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omments3.xml" ContentType="application/vnd.openxmlformats-officedocument.spreadsheetml.comments+xml"/>
  <Override PartName="/xl/threadedComments/threadedComment1.xml" ContentType="application/vnd.ms-excel.threadedcomments+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aveExternalLinkValues="0" codeName="ThisWorkbook"/>
  <mc:AlternateContent xmlns:mc="http://schemas.openxmlformats.org/markup-compatibility/2006">
    <mc:Choice Requires="x15">
      <x15ac:absPath xmlns:x15ac="http://schemas.microsoft.com/office/spreadsheetml/2010/11/ac" url="https://coloradohousin.sharepoint.com/teams/CHFATeamCenter/TC - Templates/Preapplication Documents/Application Documents/(ADMIN) Application in Progress/"/>
    </mc:Choice>
  </mc:AlternateContent>
  <xr:revisionPtr revIDLastSave="138" documentId="13_ncr:1_{A9AF417C-A27C-4000-9C0E-FB468ED5F569}" xr6:coauthVersionLast="47" xr6:coauthVersionMax="47" xr10:uidLastSave="{B01F50D3-ED33-401C-9C24-FD833EC590D7}"/>
  <workbookProtection workbookAlgorithmName="SHA-512" workbookHashValue="2ip6hOo3eMRqc8FI/ya8fmUevKTI/p9NDkeuL5wuxdZndnIWUWcXVmCtzl1mc4YhFVlCvbkGfFpYvs0vD3ZAQQ==" workbookSaltValue="K4VXl7IZqhCnSomx+80Tvg==" workbookSpinCount="100000" lockStructure="1"/>
  <bookViews>
    <workbookView xWindow="-28920" yWindow="-120" windowWidth="29040" windowHeight="15720" tabRatio="905" xr2:uid="{00000000-000D-0000-FFFF-FFFF00000000}"/>
  </bookViews>
  <sheets>
    <sheet name="Application Instructions" sheetId="1" r:id="rId1"/>
    <sheet name="Data Issues" sheetId="21" r:id="rId2"/>
    <sheet name="Contact Information" sheetId="46" r:id="rId3"/>
    <sheet name="Application" sheetId="2" r:id="rId4"/>
    <sheet name="Unit Mix &amp; Rents" sheetId="13" r:id="rId5"/>
    <sheet name="Financing" sheetId="6" r:id="rId6"/>
    <sheet name="Development Budget" sheetId="10" r:id="rId7"/>
    <sheet name="Commercial Budget" sheetId="11" r:id="rId8"/>
    <sheet name="Proforma, Income &amp; Expense" sheetId="12" r:id="rId9"/>
    <sheet name="Amenities" sheetId="20" r:id="rId10"/>
    <sheet name="Cost Summary" sheetId="9" r:id="rId11"/>
    <sheet name="Scoring" sheetId="14" r:id="rId12"/>
    <sheet name="Final Building Profile" sheetId="16" r:id="rId13"/>
    <sheet name="Contact Summary" sheetId="7" r:id="rId14"/>
    <sheet name="Tax Credit Details" sheetId="25" r:id="rId15"/>
    <sheet name="Development Summary" sheetId="24" r:id="rId16"/>
    <sheet name="Budget Output" sheetId="30" r:id="rId17"/>
    <sheet name="DOH Underwriting" sheetId="49" r:id="rId18"/>
    <sheet name="DOH Assessment" sheetId="51" r:id="rId19"/>
    <sheet name="DOH Assisted Units" sheetId="50" r:id="rId20"/>
    <sheet name="DOH Proforma" sheetId="52" r:id="rId21"/>
    <sheet name="DOH Services Contribution" sheetId="53" r:id="rId22"/>
    <sheet name="Rent &amp; Income Limits" sheetId="15" r:id="rId23"/>
    <sheet name="Final Totals" sheetId="34" r:id="rId24"/>
    <sheet name="Stress Test &amp; Attachments" sheetId="32" r:id="rId25"/>
    <sheet name="Calculations" sheetId="3" r:id="rId26"/>
    <sheet name="Prolink" sheetId="5" state="hidden" r:id="rId27"/>
    <sheet name="Admin" sheetId="19" state="hidden" r:id="rId28"/>
    <sheet name="Validation" sheetId="44" state="hidden" r:id="rId29"/>
    <sheet name="Lookup" sheetId="8" state="hidden" r:id="rId30"/>
    <sheet name="SD_Dropdowns" sheetId="48" state="veryHidden" r:id="rId31"/>
  </sheets>
  <definedNames>
    <definedName name="_xlnm._FilterDatabase" localSheetId="25" hidden="1">Calculations!$I$4250:$AB$4405</definedName>
    <definedName name="_xlnm._FilterDatabase" localSheetId="29" hidden="1">Lookup!$A$203:$A$203</definedName>
    <definedName name="Application_Stage_List" localSheetId="19">'DOH Assisted Units'!#REF!</definedName>
    <definedName name="Application_Stage_List" localSheetId="17">'DOH Underwriting'!#REF!</definedName>
    <definedName name="Application_Stage_List">Application_Stage_Table[Application Stage]</definedName>
    <definedName name="Approval_List" localSheetId="18">'DOH Assessment'!#REF!</definedName>
    <definedName name="Approval_List" localSheetId="19">'DOH Assisted Units'!#REF!</definedName>
    <definedName name="Approval_List" localSheetId="20">'DOH Proforma'!#REF!</definedName>
    <definedName name="Approval_List" localSheetId="21">'DOH Services Contribution'!#REF!</definedName>
    <definedName name="Approval_List" localSheetId="17">'DOH Underwriting'!#REF!</definedName>
    <definedName name="Approval_List">Approval_Table[Approval]</definedName>
    <definedName name="Bond_Placement_List" localSheetId="19">'DOH Assisted Units'!#REF!</definedName>
    <definedName name="Bond_Placement_List" localSheetId="17">'DOH Underwriting'!#REF!</definedName>
    <definedName name="Bond_Placement_List">Bond_Placement_Table[Bond Placement]</definedName>
    <definedName name="Building_Construction_List" localSheetId="18">'DOH Assessment'!#REF!</definedName>
    <definedName name="Building_Construction_List" localSheetId="19">'DOH Assisted Units'!#REF!</definedName>
    <definedName name="Building_Construction_List" localSheetId="20">'DOH Proforma'!#REF!</definedName>
    <definedName name="Building_Construction_List" localSheetId="21">'DOH Services Contribution'!#REF!</definedName>
    <definedName name="Building_Construction_List" localSheetId="17">'DOH Underwriting'!#REF!</definedName>
    <definedName name="Building_Construction_List">Building_Construction_Table[Building Construction]</definedName>
    <definedName name="Building_Type_List" localSheetId="18">'DOH Assessment'!#REF!</definedName>
    <definedName name="Building_Type_List" localSheetId="19">'DOH Assisted Units'!#REF!</definedName>
    <definedName name="Building_Type_List" localSheetId="20">'DOH Proforma'!#REF!</definedName>
    <definedName name="Building_Type_List" localSheetId="21">'DOH Services Contribution'!#REF!</definedName>
    <definedName name="Building_Type_List" localSheetId="17">'DOH Underwriting'!#REF!</definedName>
    <definedName name="Building_Type_List">Building_Type_Table[Building Type]</definedName>
    <definedName name="Cable_List" localSheetId="19">'DOH Assisted Units'!#REF!</definedName>
    <definedName name="Cable_List" localSheetId="17">'DOH Underwriting'!#REF!</definedName>
    <definedName name="Cable_List">Cable_Table[Cable]</definedName>
    <definedName name="City_List" localSheetId="19">'DOH Assisted Units'!#REF!</definedName>
    <definedName name="City_List" localSheetId="17">'DOH Underwriting'!#REF!</definedName>
    <definedName name="City_List">City_Table[City]</definedName>
    <definedName name="Determination_TC_Range">'Tax Credit Details'!$A$60</definedName>
    <definedName name="Developer_Additional_Question_List" localSheetId="19">'DOH Assisted Units'!#REF!</definedName>
    <definedName name="Developer_Additional_Question_List" localSheetId="17">'DOH Underwriting'!#REF!</definedName>
    <definedName name="Developer_Additional_Question_List">Developer_Additional_Question_Table[Developer Additional Question]</definedName>
    <definedName name="Drawings_Complete" localSheetId="18">'DOH Assessment'!#REF!</definedName>
    <definedName name="Drawings_Complete" localSheetId="19">'DOH Assisted Units'!#REF!</definedName>
    <definedName name="Drawings_Complete" localSheetId="20">'DOH Proforma'!#REF!</definedName>
    <definedName name="Drawings_Complete" localSheetId="21">'DOH Services Contribution'!#REF!</definedName>
    <definedName name="Drawings_Complete" localSheetId="17">'DOH Underwriting'!#REF!</definedName>
    <definedName name="Drawings_Complete">Lookup!$E$45:$E$48</definedName>
    <definedName name="Drawings_Complete_List" localSheetId="18">'DOH Assessment'!Drawings_Complete</definedName>
    <definedName name="Drawings_Complete_List" localSheetId="19">'DOH Assisted Units'!Drawings_Complete</definedName>
    <definedName name="Drawings_Complete_List" localSheetId="20">'DOH Proforma'!Drawings_Complete</definedName>
    <definedName name="Drawings_Complete_List" localSheetId="21">'DOH Services Contribution'!Drawings_Complete</definedName>
    <definedName name="Drawings_Complete_List" localSheetId="17">'DOH Underwriting'!Drawings_Complete</definedName>
    <definedName name="Drawings_Complete_List">Drawings_Complete</definedName>
    <definedName name="Entity_Type_List" localSheetId="18">'DOH Assessment'!#REF!</definedName>
    <definedName name="Entity_Type_List" localSheetId="19">'DOH Assisted Units'!#REF!</definedName>
    <definedName name="Entity_Type_List" localSheetId="20">'DOH Proforma'!#REF!</definedName>
    <definedName name="Entity_Type_List" localSheetId="21">'DOH Services Contribution'!#REF!</definedName>
    <definedName name="Entity_Type_List" localSheetId="17">'DOH Underwriting'!#REF!</definedName>
    <definedName name="Entity_Type_List">Entity_Type_Table[Entity Type]</definedName>
    <definedName name="Extended_Low_Income_Use_List" localSheetId="18">'DOH Assessment'!#REF!</definedName>
    <definedName name="Extended_Low_Income_Use_List" localSheetId="19">'DOH Assisted Units'!#REF!</definedName>
    <definedName name="Extended_Low_Income_Use_List" localSheetId="20">'DOH Proforma'!#REF!</definedName>
    <definedName name="Extended_Low_Income_Use_List" localSheetId="21">'DOH Services Contribution'!#REF!</definedName>
    <definedName name="Extended_Low_Income_Use_List" localSheetId="17">'DOH Underwriting'!#REF!</definedName>
    <definedName name="Extended_Low_Income_Use_List">Extended_Low_Income_Use_Table[Extended Low-Income Use]</definedName>
    <definedName name="Historic_Rehabilitation_Tax_Credits_List" localSheetId="19">'DOH Assisted Units'!#REF!</definedName>
    <definedName name="Historic_Rehabilitation_Tax_Credits_List" localSheetId="17">'DOH Underwriting'!#REF!</definedName>
    <definedName name="Historic_Rehabilitation_Tax_Credits_List">Historic_Rehabilitation_Tax_Credits_Table[Historic Rehabilitation Tax Credits]</definedName>
    <definedName name="Income_Level_List" localSheetId="18">'DOH Assessment'!#REF!</definedName>
    <definedName name="Income_Level_List" localSheetId="19">'DOH Assisted Units'!#REF!</definedName>
    <definedName name="Income_Level_List" localSheetId="20">'DOH Proforma'!#REF!</definedName>
    <definedName name="Income_Level_List" localSheetId="21">'DOH Services Contribution'!#REF!</definedName>
    <definedName name="Income_Level_List" localSheetId="17">'DOH Underwriting'!#REF!</definedName>
    <definedName name="Income_Level_List">Income_Level_Table[Income Level]</definedName>
    <definedName name="Jurisdiction_Title_List" localSheetId="18">'DOH Assessment'!#REF!</definedName>
    <definedName name="Jurisdiction_Title_List" localSheetId="19">'DOH Assisted Units'!#REF!</definedName>
    <definedName name="Jurisdiction_Title_List" localSheetId="20">'DOH Proforma'!#REF!</definedName>
    <definedName name="Jurisdiction_Title_List" localSheetId="21">'DOH Services Contribution'!#REF!</definedName>
    <definedName name="Jurisdiction_Title_List" localSheetId="17">'DOH Underwriting'!#REF!</definedName>
    <definedName name="Jurisdiction_Title_List">Jurisdiction_Title_Table[Jurisdiction Title]</definedName>
    <definedName name="Legal_Status_List" localSheetId="18">'DOH Assessment'!#REF!</definedName>
    <definedName name="Legal_Status_List" localSheetId="19">'DOH Assisted Units'!#REF!</definedName>
    <definedName name="Legal_Status_List" localSheetId="20">'DOH Proforma'!#REF!</definedName>
    <definedName name="Legal_Status_List" localSheetId="21">'DOH Services Contribution'!#REF!</definedName>
    <definedName name="Legal_Status_List" localSheetId="17">'DOH Underwriting'!#REF!</definedName>
    <definedName name="Legal_Status_List">Legal_Status_Table[Legal Status]</definedName>
    <definedName name="Number_of_beds_per_room_List" localSheetId="19">'DOH Assisted Units'!#REF!</definedName>
    <definedName name="Number_of_beds_per_room_List" localSheetId="17">'DOH Underwriting'!#REF!</definedName>
    <definedName name="Number_of_beds_per_room_List">Number_of_beds_per_room_Table[Number of beds per room]</definedName>
    <definedName name="_xlnm.Print_Area" localSheetId="16">'Budget Output'!$A$1:$I$226</definedName>
    <definedName name="_xlnm.Print_Area" localSheetId="15">'Development Summary'!$A$1:$K$335</definedName>
    <definedName name="_xlnm.Print_Area" localSheetId="18">'DOH Assessment'!$A$1:$A$66</definedName>
    <definedName name="_xlnm.Print_Area" localSheetId="19">'DOH Assisted Units'!$A$1:$A$95</definedName>
    <definedName name="_xlnm.Print_Area" localSheetId="17">'DOH Underwriting'!$A$1:$G$92</definedName>
    <definedName name="_xlnm.Print_Area" localSheetId="24">'Stress Test &amp; Attachments'!$A$1:$L$211</definedName>
    <definedName name="_xlnm.Print_Area" localSheetId="14">'Tax Credit Details'!$A$1:$L$122</definedName>
    <definedName name="_xlnm.Print_Titles" localSheetId="16">'Budget Output'!$3:$5</definedName>
    <definedName name="_xlnm.Print_Titles" localSheetId="15">'Development Summary'!$1:$12</definedName>
    <definedName name="_xlnm.Print_Titles" localSheetId="24">'Stress Test &amp; Attachments'!$1:$7</definedName>
    <definedName name="_xlnm.Print_Titles" localSheetId="14">'Tax Credit Details'!$1:$7</definedName>
    <definedName name="Project_Type_List" localSheetId="18">'DOH Assessment'!#REF!</definedName>
    <definedName name="Project_Type_List" localSheetId="19">'DOH Assisted Units'!#REF!</definedName>
    <definedName name="Project_Type_List" localSheetId="20">'DOH Proforma'!#REF!</definedName>
    <definedName name="Project_Type_List" localSheetId="21">'DOH Services Contribution'!#REF!</definedName>
    <definedName name="Project_Type_List" localSheetId="17">'DOH Underwriting'!#REF!</definedName>
    <definedName name="Project_Type_List">Project_Type_Table[Project  Type]</definedName>
    <definedName name="Residential_Loan_Type_List" localSheetId="18">'DOH Assessment'!#REF!</definedName>
    <definedName name="Residential_Loan_Type_List" localSheetId="19">'DOH Assisted Units'!#REF!</definedName>
    <definedName name="Residential_Loan_Type_List" localSheetId="20">'DOH Proforma'!#REF!</definedName>
    <definedName name="Residential_Loan_Type_List" localSheetId="21">'DOH Services Contribution'!#REF!</definedName>
    <definedName name="Residential_Loan_Type_List" localSheetId="17">'DOH Underwriting'!#REF!</definedName>
    <definedName name="Residential_Loan_Type_List">Residential_Loan_Type_Table[Residential Loan Type]</definedName>
    <definedName name="Scoring_Details_Range">'Tax Credit Details'!$A$13</definedName>
    <definedName name="Scoring_Development_Location_List" localSheetId="17">'DOH Underwriting'!#REF!</definedName>
    <definedName name="Scoring_Threshold_List" localSheetId="18">'DOH Assessment'!#REF!</definedName>
    <definedName name="Scoring_Threshold_List" localSheetId="19">'DOH Assisted Units'!#REF!</definedName>
    <definedName name="Scoring_Threshold_List" localSheetId="20">'DOH Proforma'!#REF!</definedName>
    <definedName name="Scoring_Threshold_List" localSheetId="21">'DOH Services Contribution'!#REF!</definedName>
    <definedName name="Scoring_Threshold_List" localSheetId="17">'DOH Underwriting'!#REF!</definedName>
    <definedName name="Scoring_Threshold_List">Scoring_Threshold_Table[Scoring Threshold]</definedName>
    <definedName name="Scoring_VeryLowIncome">Calculations!$K$45:$M$47</definedName>
    <definedName name="SD_2558x1_11_B_0" localSheetId="26" hidden="1">Prolink!$D$920</definedName>
    <definedName name="SD_2558x1_24_B_1" localSheetId="26" hidden="1">Prolink!$C$920</definedName>
    <definedName name="SD_2558x10_11_B_0" localSheetId="26" hidden="1">Prolink!$D$929</definedName>
    <definedName name="SD_2558x10_24_B_1" localSheetId="26" hidden="1">Prolink!$C$929</definedName>
    <definedName name="SD_2558x2_11_B_0" localSheetId="26" hidden="1">Prolink!$D$921</definedName>
    <definedName name="SD_2558x2_24_B_1" localSheetId="26" hidden="1">Prolink!$C$921</definedName>
    <definedName name="SD_2558x3_11_B_0" localSheetId="26" hidden="1">Prolink!$D$922</definedName>
    <definedName name="SD_2558x3_24_B_1" localSheetId="26" hidden="1">Prolink!$C$922</definedName>
    <definedName name="SD_2558x4_11_B_0" localSheetId="26" hidden="1">Prolink!$D$923</definedName>
    <definedName name="SD_2558x4_24_B_1" localSheetId="26" hidden="1">Prolink!$C$923</definedName>
    <definedName name="SD_2558x5_11_B_0" localSheetId="26" hidden="1">Prolink!$D$924</definedName>
    <definedName name="SD_2558x5_24_B_1" localSheetId="26" hidden="1">Prolink!$C$924</definedName>
    <definedName name="SD_2558x6_11_B_0" localSheetId="26" hidden="1">Prolink!$D$925</definedName>
    <definedName name="SD_2558x6_24_B_1" localSheetId="26" hidden="1">Prolink!$C$925</definedName>
    <definedName name="SD_2558x7_11_B_0" localSheetId="26" hidden="1">Prolink!$D$926</definedName>
    <definedName name="SD_2558x7_24_B_1" localSheetId="26" hidden="1">Prolink!$C$926</definedName>
    <definedName name="SD_2558x8_11_B_0" localSheetId="26" hidden="1">Prolink!$D$927</definedName>
    <definedName name="SD_2558x8_24_B_1" localSheetId="26" hidden="1">Prolink!$C$927</definedName>
    <definedName name="SD_2558x9_11_B_0" localSheetId="26" hidden="1">Prolink!$D$928</definedName>
    <definedName name="SD_2558x9_24_B_1" localSheetId="26" hidden="1">Prolink!$C$928</definedName>
    <definedName name="SD_34x1_106_B_0" localSheetId="26" hidden="1">Prolink!$C$2</definedName>
    <definedName name="SD_34x1_109_B_0" localSheetId="26" hidden="1">Prolink!$C$3</definedName>
    <definedName name="SD_34x1_111_B_0" localSheetId="26" hidden="1">Prolink!$C$4</definedName>
    <definedName name="SD_34x1_112_B_0" localSheetId="26" hidden="1">Prolink!$C$5</definedName>
    <definedName name="SD_34x1_113_B_0" localSheetId="26" hidden="1">Prolink!$C$6</definedName>
    <definedName name="SD_34x1_114_B_0" localSheetId="26" hidden="1">Prolink!$C$148</definedName>
    <definedName name="SD_34x1_115_B_0" localSheetId="26" hidden="1">Prolink!$C$155</definedName>
    <definedName name="SD_34x1_117_B_0" localSheetId="26" hidden="1">Prolink!$C$154</definedName>
    <definedName name="SD_34x1_118_B_0" localSheetId="26" hidden="1">Prolink!$C$151</definedName>
    <definedName name="SD_34x1_119_B_0" localSheetId="26" hidden="1">Prolink!$C$152</definedName>
    <definedName name="SD_34x1_121_B_0" localSheetId="26" hidden="1">Prolink!$C$149</definedName>
    <definedName name="SD_34x1_123_B_0" localSheetId="26" hidden="1">Prolink!$C$147</definedName>
    <definedName name="SD_34x1_124_B_0" localSheetId="26" hidden="1">Prolink!$C$156</definedName>
    <definedName name="SD_34x1_127_B_0" localSheetId="26" hidden="1">Prolink!$C$160</definedName>
    <definedName name="SD_34x1_128_B_0" localSheetId="26" hidden="1">Prolink!$C$161</definedName>
    <definedName name="SD_34x1_129_B_0" localSheetId="26" hidden="1">Prolink!$C$162</definedName>
    <definedName name="SD_34x1_130_B_0" localSheetId="26" hidden="1">Prolink!$C$164</definedName>
    <definedName name="SD_34x1_131_B_0" localSheetId="26" hidden="1">Prolink!$C$163</definedName>
    <definedName name="SD_34x1_135_B_0" localSheetId="26" hidden="1">Prolink!$C$173</definedName>
    <definedName name="SD_34x1_136_B_0" localSheetId="26" hidden="1">Prolink!$C$165</definedName>
    <definedName name="SD_34x1_137_B_0" localSheetId="26" hidden="1">Prolink!$C$166</definedName>
    <definedName name="SD_34x1_140_B_0" localSheetId="26" hidden="1">Prolink!$C$174</definedName>
    <definedName name="SD_34x1_141_B_0" localSheetId="26" hidden="1">Prolink!$C$176</definedName>
    <definedName name="SD_34x1_142_B_0" localSheetId="26" hidden="1">Prolink!$C$177</definedName>
    <definedName name="SD_34x1_143_B_0" localSheetId="26" hidden="1">Prolink!$C$175</definedName>
    <definedName name="SD_34x1_144_B_0" localSheetId="26" hidden="1">Prolink!$C$172</definedName>
    <definedName name="SD_34x1_147_B_0" localSheetId="26" hidden="1">Prolink!$C$180</definedName>
    <definedName name="SD_34x1_148_B_0" localSheetId="26" hidden="1">Prolink!$C$179</definedName>
    <definedName name="SD_34x1_151_B_0" localSheetId="26" hidden="1">Prolink!$C$184</definedName>
    <definedName name="SD_34x1_152_B_0" localSheetId="26" hidden="1">Prolink!$C$188</definedName>
    <definedName name="SD_34x1_153_B_0" localSheetId="26" hidden="1">Prolink!$C$186</definedName>
    <definedName name="SD_34x1_154_B_0" localSheetId="26" hidden="1">Prolink!$C$187</definedName>
    <definedName name="SD_34x1_159_B_0" localSheetId="26" hidden="1">Prolink!$C$440</definedName>
    <definedName name="SD_34x1_165_B_0" localSheetId="26" hidden="1">Prolink!$C$267</definedName>
    <definedName name="SD_34x1_166_B_0" localSheetId="26" hidden="1">Prolink!$C$265</definedName>
    <definedName name="SD_34x1_171_B_0" localSheetId="26" hidden="1">Prolink!$C$266</definedName>
    <definedName name="SD_34x1_174_B_0" localSheetId="26" hidden="1">Prolink!$C$268</definedName>
    <definedName name="SD_34x1_176_B_0" localSheetId="26" hidden="1">Prolink!$C$203</definedName>
    <definedName name="SD_34x1_178_B_0" localSheetId="26" hidden="1">Prolink!$C$204</definedName>
    <definedName name="SD_34x1_179_B_0" localSheetId="26" hidden="1">Prolink!$C$593</definedName>
    <definedName name="SD_34x1_181_B_0" localSheetId="26" hidden="1">Prolink!$C$206</definedName>
    <definedName name="SD_34x1_186_B_0" localSheetId="26" hidden="1">Prolink!$C$207</definedName>
    <definedName name="SD_34x1_188_B_0" localSheetId="26" hidden="1">Prolink!$C$232</definedName>
    <definedName name="SD_34x1_200_B_0" localSheetId="26" hidden="1">Prolink!$C$247</definedName>
    <definedName name="SD_34x1_208_B_0" localSheetId="26" hidden="1">Prolink!$C$248</definedName>
    <definedName name="SD_34x1_21_B_0" localSheetId="26" hidden="1">Prolink!$C$234</definedName>
    <definedName name="SD_34x1_214_B_0" localSheetId="26" hidden="1">Prolink!$C$245</definedName>
    <definedName name="SD_34x1_218_B_0" localSheetId="26" hidden="1">Prolink!$C$246</definedName>
    <definedName name="SD_34x1_223_B_0" localSheetId="26" hidden="1">Prolink!$C$249</definedName>
    <definedName name="SD_34x1_23_B_0" localSheetId="26" hidden="1">Prolink!$C$235</definedName>
    <definedName name="SD_34x1_24_B_0" localSheetId="26" hidden="1">Prolink!$C$237</definedName>
    <definedName name="SD_34x1_26_B_0" localSheetId="26" hidden="1">Prolink!$C$238</definedName>
    <definedName name="SD_34x1_27_B_0" localSheetId="26" hidden="1">Prolink!$C$294</definedName>
    <definedName name="SD_34x1_28_B_0" localSheetId="26" hidden="1">Prolink!$C$295</definedName>
    <definedName name="SD_34x1_32_B_0" localSheetId="26" hidden="1">Prolink!$C$239</definedName>
    <definedName name="SD_34x1_337_B_1" localSheetId="26" hidden="1">Prolink!$C$236</definedName>
    <definedName name="SD_34x1_339_B_1" localSheetId="26" hidden="1">Prolink!$C$242</definedName>
    <definedName name="SD_34x1_34_B_0" localSheetId="26" hidden="1">Prolink!$C$240</definedName>
    <definedName name="SD_34x1_343_B_1" localSheetId="26" hidden="1">Prolink!$C$298</definedName>
    <definedName name="SD_34x1_347_B_1" localSheetId="26" hidden="1">Prolink!$C$304</definedName>
    <definedName name="SD_34x1_349_B_1" localSheetId="26" hidden="1">Prolink!$C$510</definedName>
    <definedName name="SD_34x1_35_B_0" localSheetId="26" hidden="1">Prolink!$C$241</definedName>
    <definedName name="SD_34x1_350_B_1" localSheetId="26" hidden="1">Prolink!$C$300</definedName>
    <definedName name="SD_34x1_363_B_1" localSheetId="26" hidden="1">Prolink!$C$301</definedName>
    <definedName name="SD_34x1_38_B_0" localSheetId="26" hidden="1">Prolink!$C$208</definedName>
    <definedName name="SD_34x1_39_B_0" localSheetId="26" hidden="1">Prolink!$C$209</definedName>
    <definedName name="SD_34x1_40_B_0" localSheetId="26" hidden="1">Prolink!$C$250</definedName>
    <definedName name="SD_34x1_42x1_10_B_0" localSheetId="26" hidden="1">Prolink!$C$350</definedName>
    <definedName name="SD_34x1_42x1_12_B_0" localSheetId="26" hidden="1">Prolink!$C$345</definedName>
    <definedName name="SD_34x1_42x1_15_B_0" localSheetId="26" hidden="1">Prolink!$C$352</definedName>
    <definedName name="SD_34x1_42x1_16_B_0" localSheetId="26" hidden="1">Prolink!$C$353</definedName>
    <definedName name="SD_34x1_42x1_17_B_0" localSheetId="26" hidden="1">Prolink!$C$354</definedName>
    <definedName name="SD_34x1_42x1_18_B_0" localSheetId="26" hidden="1">Prolink!$C$378</definedName>
    <definedName name="SD_34x1_42x1_21_B_0" localSheetId="26" hidden="1">Prolink!$C$358</definedName>
    <definedName name="SD_34x1_42x1_22_B_0" localSheetId="26" hidden="1">Prolink!$C$362</definedName>
    <definedName name="SD_34x1_42x1_23_B_0" localSheetId="26" hidden="1">Prolink!$C$363</definedName>
    <definedName name="SD_34x1_42x1_24_B_0" localSheetId="26" hidden="1">Prolink!$C$381</definedName>
    <definedName name="SD_34x1_42x1_25_B_0" localSheetId="26" hidden="1">Prolink!$C$410</definedName>
    <definedName name="SD_34x1_42x1_26_B_0" localSheetId="26" hidden="1">Prolink!$C$380</definedName>
    <definedName name="SD_34x1_42x1_27_B_0" localSheetId="26" hidden="1">Prolink!$C$379</definedName>
    <definedName name="SD_34x1_42x1_28_B_0" localSheetId="26" hidden="1">Prolink!$C$388</definedName>
    <definedName name="SD_34x1_42x1_29_B_0" localSheetId="26" hidden="1">Prolink!$C$376</definedName>
    <definedName name="SD_34x1_42x1_30_B_0" localSheetId="26" hidden="1">Prolink!$C$417</definedName>
    <definedName name="SD_34x1_42x1_31_B_0" localSheetId="26" hidden="1">Prolink!$C$400</definedName>
    <definedName name="SD_34x1_42x1_32_B_0" localSheetId="26" hidden="1">Prolink!$C$369</definedName>
    <definedName name="SD_34x1_42x1_33_B_0" localSheetId="26" hidden="1">Prolink!$C$398</definedName>
    <definedName name="SD_34x1_42x1_34_B_0" localSheetId="26" hidden="1">Prolink!$C$387</definedName>
    <definedName name="SD_34x1_42x1_35_B_0" localSheetId="26" hidden="1">Prolink!$C$399</definedName>
    <definedName name="SD_34x1_42x1_37_B_0" localSheetId="26" hidden="1">Prolink!$C$413</definedName>
    <definedName name="SD_34x1_42x1_38_B_0" localSheetId="26" hidden="1">Prolink!$C$365</definedName>
    <definedName name="SD_34x1_42x1_39_B_0" localSheetId="26" hidden="1">Prolink!$C$411</definedName>
    <definedName name="SD_34x1_42x1_40_B_0" localSheetId="26" hidden="1">Prolink!$C$412</definedName>
    <definedName name="SD_34x1_42x1_41_B_0" localSheetId="26" hidden="1">Prolink!$C$439</definedName>
    <definedName name="SD_34x1_42x1_42_B_0" localSheetId="26" hidden="1">Prolink!$C$415</definedName>
    <definedName name="SD_34x1_42x1_43_B_0" localSheetId="26" hidden="1">Prolink!$C$355</definedName>
    <definedName name="SD_34x1_42x1_44_B_0" localSheetId="26" hidden="1">Prolink!$C$431</definedName>
    <definedName name="SD_34x1_42x1_45_B_0" localSheetId="26" hidden="1">Prolink!$C$343</definedName>
    <definedName name="SD_34x1_42x1_46_B_0" localSheetId="26" hidden="1">Prolink!$C$344</definedName>
    <definedName name="SD_34x1_42x1_5_B_0" localSheetId="26" hidden="1">Prolink!$C$347</definedName>
    <definedName name="SD_34x1_42x1_6_B_0" localSheetId="26" hidden="1">Prolink!$C$346</definedName>
    <definedName name="SD_34x1_42x1_8_B_0" localSheetId="26" hidden="1">Prolink!$C$348</definedName>
    <definedName name="SD_34x1_42x1_82_B_0" localSheetId="26" hidden="1">Prolink!$C$351</definedName>
    <definedName name="SD_34x1_42x1_88_B_0" localSheetId="26" hidden="1">Prolink!$C$364</definedName>
    <definedName name="SD_34x1_42x1_89_B_0" localSheetId="26" hidden="1">Prolink!$C$366</definedName>
    <definedName name="SD_34x1_42x1_9_B_0" localSheetId="26" hidden="1">Prolink!$C$349</definedName>
    <definedName name="SD_34x1_42x1_92_B_0" localSheetId="26" hidden="1">Prolink!$C$357</definedName>
    <definedName name="SD_34x1_42x1_93_B_0" localSheetId="26" hidden="1">Prolink!$C$383</definedName>
    <definedName name="SD_34x1_42x1_94_B_0" localSheetId="26" hidden="1">Prolink!$C$384</definedName>
    <definedName name="SD_34x1_42x1_95_B_0" localSheetId="26" hidden="1">Prolink!$C$391</definedName>
    <definedName name="SD_34x1_4467x1_17_B_1" localSheetId="26" hidden="1">Prolink!$D$939</definedName>
    <definedName name="SD_34x1_4467x1_19_B_0" localSheetId="26" hidden="1">Prolink!$C$939</definedName>
    <definedName name="SD_34x1_4467x2_17_B_1" localSheetId="26" hidden="1">Prolink!$D$940</definedName>
    <definedName name="SD_34x1_4467x2_19_B_0" localSheetId="26" hidden="1">Prolink!$C$940</definedName>
    <definedName name="SD_34x1_4467x3_17_B_1" localSheetId="26" hidden="1">Prolink!$D$941</definedName>
    <definedName name="SD_34x1_4467x3_19_B_0" localSheetId="26" hidden="1">Prolink!$C$941</definedName>
    <definedName name="SD_34x1_4467x4_17_B_1" localSheetId="26" hidden="1">Prolink!$D$942</definedName>
    <definedName name="SD_34x1_4467x4_19_B_0" localSheetId="26" hidden="1">Prolink!$C$942</definedName>
    <definedName name="SD_34x1_4467x5_17_B_1" localSheetId="26" hidden="1">Prolink!$D$943</definedName>
    <definedName name="SD_34x1_4467x5_19_B_0" localSheetId="26" hidden="1">Prolink!$C$943</definedName>
    <definedName name="SD_34x1_4467x6_17_B_1" localSheetId="26" hidden="1">Prolink!$D$944</definedName>
    <definedName name="SD_34x1_4467x6_19_B_0" localSheetId="26" hidden="1">Prolink!$C$944</definedName>
    <definedName name="SD_34x1_45_B_0" localSheetId="26" hidden="1">Prolink!$C$462</definedName>
    <definedName name="SD_34x1_46_B_0" localSheetId="26" hidden="1">Prolink!$C$463</definedName>
    <definedName name="SD_34x1_464_B_0" localSheetId="26" hidden="1">Prolink!$C$491</definedName>
    <definedName name="SD_34x1_467_B_0" localSheetId="26" hidden="1">Prolink!$C$565</definedName>
    <definedName name="SD_34x1_468_B_0" localSheetId="26" hidden="1">Prolink!$C$566</definedName>
    <definedName name="SD_34x1_47_B_0" localSheetId="26" hidden="1">Prolink!$C$579</definedName>
    <definedName name="SD_34x1_470_B_0" localSheetId="26" hidden="1">Prolink!$C$567</definedName>
    <definedName name="SD_34x1_471_B_0" localSheetId="26" hidden="1">Prolink!$C$568</definedName>
    <definedName name="SD_34x1_472_B_0" localSheetId="26" hidden="1">Prolink!$C$569</definedName>
    <definedName name="SD_34x1_474_B_0" localSheetId="26" hidden="1">Prolink!$C$571</definedName>
    <definedName name="SD_34x1_475_B_0" localSheetId="26" hidden="1">Prolink!$C$572</definedName>
    <definedName name="SD_34x1_476_B_0" localSheetId="26" hidden="1">Prolink!$C$573</definedName>
    <definedName name="SD_34x1_478_B_0" localSheetId="26" hidden="1">Prolink!$C$574</definedName>
    <definedName name="SD_34x1_479_B_0" localSheetId="26" hidden="1">Prolink!$C$588</definedName>
    <definedName name="SD_34x1_480_B_0" localSheetId="26" hidden="1">Prolink!$C$589</definedName>
    <definedName name="SD_34x1_482_B_0" localSheetId="26" hidden="1">Prolink!$C$586</definedName>
    <definedName name="SD_34x1_483_B_0" localSheetId="26" hidden="1">Prolink!$C$587</definedName>
    <definedName name="SD_34x1_485_B_0" localSheetId="26" hidden="1">Prolink!$C$582</definedName>
    <definedName name="SD_34x1_486_B_0" localSheetId="26" hidden="1">Prolink!$C$583</definedName>
    <definedName name="SD_34x1_488_B_0" localSheetId="26" hidden="1">Prolink!$C$580</definedName>
    <definedName name="SD_34x1_489_B_0" localSheetId="26" hidden="1">Prolink!$C$581</definedName>
    <definedName name="SD_34x1_491_B_0" localSheetId="26" hidden="1">Prolink!$C$590</definedName>
    <definedName name="SD_34x1_492_B_0" localSheetId="26" hidden="1">Prolink!$C$591</definedName>
    <definedName name="SD_34x1_494_B_0" localSheetId="26" hidden="1">Prolink!$C$592</definedName>
    <definedName name="SD_34x1_50_B_0" localSheetId="26" hidden="1">Prolink!$C$492</definedName>
    <definedName name="SD_34x1_507_B_0" localSheetId="26" hidden="1">Prolink!$C$494</definedName>
    <definedName name="SD_34x1_508_B_0" localSheetId="26" hidden="1">Prolink!$C$495</definedName>
    <definedName name="SD_34x1_509_B_0" localSheetId="26" hidden="1">Prolink!$C$496</definedName>
    <definedName name="SD_34x1_51_B_0" localSheetId="26" hidden="1">Prolink!$C$508</definedName>
    <definedName name="SD_34x1_510_B_0" localSheetId="26" hidden="1">Prolink!$C$497</definedName>
    <definedName name="SD_34x1_5103x1_1042_B_0" localSheetId="26" hidden="1">Prolink!$C$758</definedName>
    <definedName name="SD_34x1_5103x1_1043_B_0" localSheetId="26" hidden="1">Prolink!$C$759</definedName>
    <definedName name="SD_34x1_5103x1_1044_B_0" localSheetId="26" hidden="1">Prolink!$C$766</definedName>
    <definedName name="SD_34x1_5103x1_1045_B_0" localSheetId="26" hidden="1">Prolink!$C$767</definedName>
    <definedName name="SD_34x1_5103x1_1046_B_0" localSheetId="26" hidden="1">Prolink!$C$769</definedName>
    <definedName name="SD_34x1_5103x1_1048_B_0" localSheetId="26" hidden="1">Prolink!$C$780</definedName>
    <definedName name="SD_34x1_5103x1_1106_B_0" localSheetId="26" hidden="1">Prolink!$C$270</definedName>
    <definedName name="SD_34x1_5103x1_1107_B_0" localSheetId="26" hidden="1">Prolink!$C$271</definedName>
    <definedName name="SD_34x1_5103x1_1108_B_0" localSheetId="26" hidden="1">Prolink!$C$272</definedName>
    <definedName name="SD_34x1_5103x1_1109_B_0" localSheetId="26" hidden="1">Prolink!$C$273</definedName>
    <definedName name="SD_34x1_5103x1_111_B_0" localSheetId="26" hidden="1">Prolink!$C$214</definedName>
    <definedName name="SD_34x1_5103x1_1110_B_0" localSheetId="26" hidden="1">Prolink!$C$286</definedName>
    <definedName name="SD_34x1_5103x1_1111_B_0" localSheetId="26" hidden="1">Prolink!$C$287</definedName>
    <definedName name="SD_34x1_5103x1_1112_B_0" localSheetId="26" hidden="1">Prolink!$C$288</definedName>
    <definedName name="SD_34x1_5103x1_1113_B_0" localSheetId="26" hidden="1">Prolink!$C$289</definedName>
    <definedName name="SD_34x1_5103x1_1114_B_0" localSheetId="26" hidden="1">Prolink!$C$576</definedName>
    <definedName name="SD_34x1_5103x1_1115_B_0" localSheetId="26" hidden="1">Prolink!$C$601</definedName>
    <definedName name="SD_34x1_5103x1_1116_B_0" localSheetId="26" hidden="1">Prolink!$C$609</definedName>
    <definedName name="SD_34x1_5103x1_1118_B_0" localSheetId="26" hidden="1">Prolink!$C$632</definedName>
    <definedName name="SD_34x1_5103x1_1119_B_0" localSheetId="26" hidden="1">Prolink!$C$703</definedName>
    <definedName name="SD_34x1_5103x1_112_B_0" localSheetId="26" hidden="1">Prolink!$C$215</definedName>
    <definedName name="SD_34x1_5103x1_1120_B_0" localSheetId="26" hidden="1">Prolink!$D$1403</definedName>
    <definedName name="SD_34x1_5103x1_1121_B_0" localSheetId="26" hidden="1">Prolink!$D$1404</definedName>
    <definedName name="SD_34x1_5103x1_1122_B_0" localSheetId="26" hidden="1">Prolink!$D$1405</definedName>
    <definedName name="SD_34x1_5103x1_1123_B_0" localSheetId="26" hidden="1">Prolink!$D$1417</definedName>
    <definedName name="SD_34x1_5103x1_1124_B_0" localSheetId="26" hidden="1">Prolink!$D$1418</definedName>
    <definedName name="SD_34x1_5103x1_1125_B_0" localSheetId="26" hidden="1">Prolink!$D$1419</definedName>
    <definedName name="SD_34x1_5103x1_1126_B_0" localSheetId="26" hidden="1">Prolink!$D$1420</definedName>
    <definedName name="SD_34x1_5103x1_1127_B_0" localSheetId="26" hidden="1">Prolink!$D$1421</definedName>
    <definedName name="SD_34x1_5103x1_1128_B_0" localSheetId="26" hidden="1">Prolink!$D$1445</definedName>
    <definedName name="SD_34x1_5103x1_1129_B_0" localSheetId="26" hidden="1">Prolink!$D$1446</definedName>
    <definedName name="SD_34x1_5103x1_1130_B_0" localSheetId="26" hidden="1">Prolink!$D$1447</definedName>
    <definedName name="SD_34x1_5103x1_1131_B_0" localSheetId="26" hidden="1">Prolink!$D$1466</definedName>
    <definedName name="SD_34x1_5103x1_1132_B_0" localSheetId="26" hidden="1">Prolink!$D$1465</definedName>
    <definedName name="SD_34x1_5103x1_1133_B_0" localSheetId="26" hidden="1">Prolink!$D$1473</definedName>
    <definedName name="SD_34x1_5103x1_1134_B_0" localSheetId="26" hidden="1">Prolink!$D$1474</definedName>
    <definedName name="SD_34x1_5103x1_1135_B_0" localSheetId="26" hidden="1">Prolink!$D$1448</definedName>
    <definedName name="SD_34x1_5103x1_114_B_0" localSheetId="26" hidden="1">Prolink!$C$218</definedName>
    <definedName name="SD_34x1_5103x1_115_B_0" localSheetId="26" hidden="1">Prolink!$C$219</definedName>
    <definedName name="SD_34x1_5103x1_1156_B_0" localSheetId="26" hidden="1">Prolink!$C$311</definedName>
    <definedName name="SD_34x1_5103x1_1157_B_0" localSheetId="26" hidden="1">Prolink!$C$312</definedName>
    <definedName name="SD_34x1_5103x1_1158_B_0" localSheetId="26" hidden="1">Prolink!$C$390</definedName>
    <definedName name="SD_34x1_5103x1_1159_B_0" localSheetId="26" hidden="1">Prolink!$D$1454</definedName>
    <definedName name="SD_34x1_5103x1_116_B_0" localSheetId="26" hidden="1">Prolink!$C$251</definedName>
    <definedName name="SD_34x1_5103x1_1160_B_0" localSheetId="26" hidden="1">Prolink!$D$1455</definedName>
    <definedName name="SD_34x1_5103x1_1161_B_1" localSheetId="26" hidden="1">Prolink!$C$772</definedName>
    <definedName name="SD_34x1_5103x1_117_B_0" localSheetId="26" hidden="1">Prolink!$C$252</definedName>
    <definedName name="SD_34x1_5103x1_118_B_0" localSheetId="26" hidden="1">Prolink!$C$269</definedName>
    <definedName name="SD_34x1_5103x1_119_B_0" localSheetId="26" hidden="1">Prolink!$C$279</definedName>
    <definedName name="SD_34x1_5103x1_1194_S_0" localSheetId="26" hidden="1">Prolink!$C$777</definedName>
    <definedName name="SD_34x1_5103x1_1195_S_0" localSheetId="26" hidden="1">Prolink!$C$774</definedName>
    <definedName name="SD_34x1_5103x1_1196_S_0" localSheetId="26" hidden="1">Prolink!$C$776</definedName>
    <definedName name="SD_34x1_5103x1_120_B_0" localSheetId="26" hidden="1">Prolink!$C$274</definedName>
    <definedName name="SD_34x1_5103x1_121_B_0" localSheetId="26" hidden="1">Prolink!$C$280</definedName>
    <definedName name="SD_34x1_5103x1_123_B_0" localSheetId="26" hidden="1">Prolink!$C$283</definedName>
    <definedName name="SD_34x1_5103x1_1232_S_0" localSheetId="26" hidden="1">Prolink!$C$775</definedName>
    <definedName name="SD_34x1_5103x1_1233_B_0" localSheetId="26" hidden="1">Prolink!$C$554</definedName>
    <definedName name="SD_34x1_5103x1_1234_B_0" localSheetId="26" hidden="1">Prolink!$C$555</definedName>
    <definedName name="SD_34x1_5103x1_1235_B_0" localSheetId="26" hidden="1">Prolink!$C$556</definedName>
    <definedName name="SD_34x1_5103x1_1236_B_0" localSheetId="26" hidden="1">Prolink!$C$557</definedName>
    <definedName name="SD_34x1_5103x1_1237_B_0" localSheetId="26" hidden="1">Prolink!$C$558</definedName>
    <definedName name="SD_34x1_5103x1_1238_B_0" localSheetId="26" hidden="1">Prolink!$C$559</definedName>
    <definedName name="SD_34x1_5103x1_1239_B_0" localSheetId="26" hidden="1">Prolink!$C$560</definedName>
    <definedName name="SD_34x1_5103x1_124_B_0" localSheetId="26" hidden="1">Prolink!$C$284</definedName>
    <definedName name="SD_34x1_5103x1_1240_B_0" localSheetId="26" hidden="1">Prolink!$C$561</definedName>
    <definedName name="SD_34x1_5103x1_1241_B_0" localSheetId="26" hidden="1">Prolink!$C$562</definedName>
    <definedName name="SD_34x1_5103x1_1242_B_0" localSheetId="26" hidden="1">Prolink!$C$563</definedName>
    <definedName name="SD_34x1_5103x1_1243_B_0" localSheetId="26" hidden="1">Prolink!$C$564</definedName>
    <definedName name="SD_34x1_5103x1_1244_B_0" localSheetId="26" hidden="1">Prolink!$C$640</definedName>
    <definedName name="SD_34x1_5103x1_127_B_0" localSheetId="26" hidden="1">Prolink!$C$305</definedName>
    <definedName name="SD_34x1_5103x1_128_B_0" localSheetId="26" hidden="1">Prolink!$C$306</definedName>
    <definedName name="SD_34x1_5103x1_129_B_0" localSheetId="26" hidden="1">Prolink!$C$307</definedName>
    <definedName name="SD_34x1_5103x1_130_B_0" localSheetId="26" hidden="1">Prolink!$C$308</definedName>
    <definedName name="SD_34x1_5103x1_131_B_0" localSheetId="26" hidden="1">Prolink!$C$356</definedName>
    <definedName name="SD_34x1_5103x1_132_B_0" localSheetId="26" hidden="1">Prolink!$C$359</definedName>
    <definedName name="SD_34x1_5103x1_133_B_0" localSheetId="26" hidden="1">Prolink!$C$360</definedName>
    <definedName name="SD_34x1_5103x1_134_B_0" localSheetId="26" hidden="1">Prolink!$C$361</definedName>
    <definedName name="SD_34x1_5103x1_135_B_0" localSheetId="26" hidden="1">Prolink!$C$367</definedName>
    <definedName name="SD_34x1_5103x1_136_B_0" localSheetId="26" hidden="1">Prolink!$C$368</definedName>
    <definedName name="SD_34x1_5103x1_137_B_0" localSheetId="26" hidden="1">Prolink!$C$370</definedName>
    <definedName name="SD_34x1_5103x1_138_B_0" localSheetId="26" hidden="1">Prolink!$C$371</definedName>
    <definedName name="SD_34x1_5103x1_139_B_0" localSheetId="26" hidden="1">Prolink!$C$372</definedName>
    <definedName name="SD_34x1_5103x1_140_B_0" localSheetId="26" hidden="1">Prolink!$C$373</definedName>
    <definedName name="SD_34x1_5103x1_141_B_0" localSheetId="26" hidden="1">Prolink!$C$374</definedName>
    <definedName name="SD_34x1_5103x1_142_B_0" localSheetId="26" hidden="1">Prolink!$C$375</definedName>
    <definedName name="SD_34x1_5103x1_143_B_0" localSheetId="26" hidden="1">Prolink!$C$377</definedName>
    <definedName name="SD_34x1_5103x1_144_B_0" localSheetId="26" hidden="1">Prolink!$C$382</definedName>
    <definedName name="SD_34x1_5103x1_145_B_0" localSheetId="26" hidden="1">Prolink!$C$385</definedName>
    <definedName name="SD_34x1_5103x1_146_B_0" localSheetId="26" hidden="1">Prolink!$C$386</definedName>
    <definedName name="SD_34x1_5103x1_148_B_0" localSheetId="26" hidden="1">Prolink!$C$389</definedName>
    <definedName name="SD_34x1_5103x1_150_B_0" localSheetId="26" hidden="1">Prolink!$C$392</definedName>
    <definedName name="SD_34x1_5103x1_151_B_0" localSheetId="26" hidden="1">Prolink!$C$393</definedName>
    <definedName name="SD_34x1_5103x1_152_B_0" localSheetId="26" hidden="1">Prolink!$C$394</definedName>
    <definedName name="SD_34x1_5103x1_153_B_0" localSheetId="26" hidden="1">Prolink!$C$395</definedName>
    <definedName name="SD_34x1_5103x1_154_B_0" localSheetId="26" hidden="1">Prolink!$C$396</definedName>
    <definedName name="SD_34x1_5103x1_155_B_0" localSheetId="26" hidden="1">Prolink!$C$397</definedName>
    <definedName name="SD_34x1_5103x1_156_B_0" localSheetId="26" hidden="1">Prolink!$C$401</definedName>
    <definedName name="SD_34x1_5103x1_157_B_0" localSheetId="26" hidden="1">Prolink!$C$402</definedName>
    <definedName name="SD_34x1_5103x1_158_B_0" localSheetId="26" hidden="1">Prolink!$C$403</definedName>
    <definedName name="SD_34x1_5103x1_159_B_0" localSheetId="26" hidden="1">Prolink!$C$404</definedName>
    <definedName name="SD_34x1_5103x1_160_B_0" localSheetId="26" hidden="1">Prolink!$C$405</definedName>
    <definedName name="SD_34x1_5103x1_161_B_0" localSheetId="26" hidden="1">Prolink!$C$406</definedName>
    <definedName name="SD_34x1_5103x1_162_B_0" localSheetId="26" hidden="1">Prolink!$C$407</definedName>
    <definedName name="SD_34x1_5103x1_163_B_0" localSheetId="26" hidden="1">Prolink!$C$408</definedName>
    <definedName name="SD_34x1_5103x1_164_B_0" localSheetId="26" hidden="1">Prolink!$C$409</definedName>
    <definedName name="SD_34x1_5103x1_165_B_0" localSheetId="26" hidden="1">Prolink!$C$414</definedName>
    <definedName name="SD_34x1_5103x1_166_B_0" localSheetId="26" hidden="1">Prolink!$C$416</definedName>
    <definedName name="SD_34x1_5103x1_167_B_0" localSheetId="26" hidden="1">Prolink!$C$418</definedName>
    <definedName name="SD_34x1_5103x1_168_B_0" localSheetId="26" hidden="1">Prolink!$C$419</definedName>
    <definedName name="SD_34x1_5103x1_169_B_0" localSheetId="26" hidden="1">Prolink!$C$421</definedName>
    <definedName name="SD_34x1_5103x1_170_B_0" localSheetId="26" hidden="1">Prolink!$C$422</definedName>
    <definedName name="SD_34x1_5103x1_171_B_0" localSheetId="26" hidden="1">Prolink!$C$423</definedName>
    <definedName name="SD_34x1_5103x1_172_B_0" localSheetId="26" hidden="1">Prolink!$C$424</definedName>
    <definedName name="SD_34x1_5103x1_173_B_0" localSheetId="26" hidden="1">Prolink!$C$425</definedName>
    <definedName name="SD_34x1_5103x1_174_B_0" localSheetId="26" hidden="1">Prolink!$C$426</definedName>
    <definedName name="SD_34x1_5103x1_175_B_0" localSheetId="26" hidden="1">Prolink!$C$427</definedName>
    <definedName name="SD_34x1_5103x1_176_B_0" localSheetId="26" hidden="1">Prolink!$C$428</definedName>
    <definedName name="SD_34x1_5103x1_177_B_0" localSheetId="26" hidden="1">Prolink!$C$429</definedName>
    <definedName name="SD_34x1_5103x1_178_B_0" localSheetId="26" hidden="1">Prolink!$C$430</definedName>
    <definedName name="SD_34x1_5103x1_179_B_0" localSheetId="26" hidden="1">Prolink!$C$432</definedName>
    <definedName name="SD_34x1_5103x1_180_B_0" localSheetId="26" hidden="1">Prolink!$C$433</definedName>
    <definedName name="SD_34x1_5103x1_181_B_0" localSheetId="26" hidden="1">Prolink!$C$435</definedName>
    <definedName name="SD_34x1_5103x1_182_B_0" localSheetId="26" hidden="1">Prolink!$C$436</definedName>
    <definedName name="SD_34x1_5103x1_183_B_0" localSheetId="26" hidden="1">Prolink!$C$437</definedName>
    <definedName name="SD_34x1_5103x1_184_B_0" localSheetId="26" hidden="1">Prolink!$C$438</definedName>
    <definedName name="SD_34x1_5103x1_185_B_0" localSheetId="26" hidden="1">Prolink!$C$442</definedName>
    <definedName name="SD_34x1_5103x1_186_B_0" localSheetId="26" hidden="1">Prolink!$C$443</definedName>
    <definedName name="SD_34x1_5103x1_187_B_0" localSheetId="26" hidden="1">Prolink!$C$444</definedName>
    <definedName name="SD_34x1_5103x1_188_B_0" localSheetId="26" hidden="1">Prolink!$C$445</definedName>
    <definedName name="SD_34x1_5103x1_189_B_0" localSheetId="26" hidden="1">Prolink!$C$446</definedName>
    <definedName name="SD_34x1_5103x1_190_B_0" localSheetId="26" hidden="1">Prolink!$C$447</definedName>
    <definedName name="SD_34x1_5103x1_191_B_0" localSheetId="26" hidden="1">Prolink!$C$448</definedName>
    <definedName name="SD_34x1_5103x1_192_B_0" localSheetId="26" hidden="1">Prolink!$C$450</definedName>
    <definedName name="SD_34x1_5103x1_193_B_0" localSheetId="26" hidden="1">Prolink!$C$451</definedName>
    <definedName name="SD_34x1_5103x1_194_B_0" localSheetId="26" hidden="1">Prolink!$C$454</definedName>
    <definedName name="SD_34x1_5103x1_195_B_0" localSheetId="26" hidden="1">Prolink!$C$455</definedName>
    <definedName name="SD_34x1_5103x1_196_B_0" localSheetId="26" hidden="1">Prolink!$C$456</definedName>
    <definedName name="SD_34x1_5103x1_197_B_0" localSheetId="26" hidden="1">Prolink!$C$457</definedName>
    <definedName name="SD_34x1_5103x1_198_B_0" localSheetId="26" hidden="1">Prolink!$C$458</definedName>
    <definedName name="SD_34x1_5103x1_199_B_0" localSheetId="26" hidden="1">Prolink!$C$459</definedName>
    <definedName name="SD_34x1_5103x1_202_B_0" localSheetId="26" hidden="1">Prolink!$C$770</definedName>
    <definedName name="SD_34x1_5103x1_203_B_0" localSheetId="26" hidden="1">Prolink!$C$771</definedName>
    <definedName name="SD_34x1_5103x1_207_B_0" localSheetId="26" hidden="1">Prolink!$C$778</definedName>
    <definedName name="SD_34x1_5103x1_210_B_0" localSheetId="26" hidden="1">Prolink!$C$499</definedName>
    <definedName name="SD_34x1_5103x1_212_B_0" localSheetId="26" hidden="1">Prolink!$C$490</definedName>
    <definedName name="SD_34x1_5103x1_213_B_0" localSheetId="26" hidden="1">Prolink!$C$500</definedName>
    <definedName name="SD_34x1_5103x1_215_B_0" localSheetId="26" hidden="1">Prolink!$C$501</definedName>
    <definedName name="SD_34x1_5103x1_219_B_0" localSheetId="26" hidden="1">Prolink!$C$502</definedName>
    <definedName name="SD_34x1_5103x1_222_B_0" localSheetId="26" hidden="1">Prolink!$C$781</definedName>
    <definedName name="SD_34x1_5103x1_223_B_0" localSheetId="26" hidden="1">Prolink!$C$782</definedName>
    <definedName name="SD_34x1_5103x1_224_B_0" localSheetId="26" hidden="1">Prolink!$C$783</definedName>
    <definedName name="SD_34x1_5103x1_225_B_0" localSheetId="26" hidden="1">Prolink!$C$784</definedName>
    <definedName name="SD_34x1_5103x1_226_B_0" localSheetId="26" hidden="1">Prolink!$C$150</definedName>
    <definedName name="SD_34x1_5103x1_227_B_0" localSheetId="26" hidden="1">Prolink!$C$153</definedName>
    <definedName name="SD_34x1_5103x1_228_B_0" localSheetId="26" hidden="1">Prolink!$C$157</definedName>
    <definedName name="SD_34x1_5103x1_229_B_0" localSheetId="26" hidden="1">Prolink!$C$158</definedName>
    <definedName name="SD_34x1_5103x1_230_B_0" localSheetId="26" hidden="1">Prolink!$C$159</definedName>
    <definedName name="SD_34x1_5103x1_231_B_0" localSheetId="26" hidden="1">Prolink!$C$178</definedName>
    <definedName name="SD_34x1_5103x1_232_B_0" localSheetId="26" hidden="1">Prolink!$C$181</definedName>
    <definedName name="SD_34x1_5103x1_233_B_0" localSheetId="26" hidden="1">Prolink!$C$182</definedName>
    <definedName name="SD_34x1_5103x1_234_B_0" localSheetId="26" hidden="1">Prolink!$C$183</definedName>
    <definedName name="SD_34x1_5103x1_235_B_0" localSheetId="26" hidden="1">Prolink!$C$167</definedName>
    <definedName name="SD_34x1_5103x1_236_B_0" localSheetId="26" hidden="1">Prolink!$C$168</definedName>
    <definedName name="SD_34x1_5103x1_237_B_0" localSheetId="26" hidden="1">Prolink!$C$169</definedName>
    <definedName name="SD_34x1_5103x1_238_B_0" localSheetId="26" hidden="1">Prolink!$C$170</definedName>
    <definedName name="SD_34x1_5103x1_239_B_0" localSheetId="26" hidden="1">Prolink!$C$171</definedName>
    <definedName name="SD_34x1_5103x1_241_B_0" localSheetId="26" hidden="1">Prolink!$C$185</definedName>
    <definedName name="SD_34x1_5103x1_242_B_0" localSheetId="26" hidden="1">Prolink!$C$189</definedName>
    <definedName name="SD_34x1_5103x1_243_B_0" localSheetId="26" hidden="1">Prolink!$C$190</definedName>
    <definedName name="SD_34x1_5103x1_244_B_0" localSheetId="26" hidden="1">Prolink!$C$193</definedName>
    <definedName name="SD_34x1_5103x1_245_B_0" localSheetId="26" hidden="1">Prolink!$C$194</definedName>
    <definedName name="SD_34x1_5103x1_246_B_0" localSheetId="26" hidden="1">Prolink!$C$192</definedName>
    <definedName name="SD_34x1_5103x1_247_B_0" localSheetId="26" hidden="1">Prolink!$C$195</definedName>
    <definedName name="SD_34x1_5103x1_248_B_0" localSheetId="26" hidden="1">Prolink!$C$787</definedName>
    <definedName name="SD_34x1_5103x1_250_B_0" localSheetId="26" hidden="1">Prolink!$C$789</definedName>
    <definedName name="SD_34x1_5103x1_260_B_0" localSheetId="26" hidden="1">Prolink!$C$748</definedName>
    <definedName name="SD_34x1_5103x1_261_B_0" localSheetId="26" hidden="1">Prolink!$C$749</definedName>
    <definedName name="SD_34x1_5103x1_262_B_0" localSheetId="26" hidden="1">Prolink!$C$750</definedName>
    <definedName name="SD_34x1_5103x1_263_B_0" localSheetId="26" hidden="1">Prolink!$C$751</definedName>
    <definedName name="SD_34x1_5103x1_264_B_0" localSheetId="26" hidden="1">Prolink!$C$752</definedName>
    <definedName name="SD_34x1_5103x1_265_B_0" localSheetId="26" hidden="1">Prolink!$C$753</definedName>
    <definedName name="SD_34x1_5103x1_266_B_0" localSheetId="26" hidden="1">Prolink!$C$754</definedName>
    <definedName name="SD_34x1_5103x1_267_B_0" localSheetId="26" hidden="1">Prolink!$C$755</definedName>
    <definedName name="SD_34x1_5103x1_268_B_0" localSheetId="26" hidden="1">Prolink!$C$756</definedName>
    <definedName name="SD_34x1_5103x1_270_B_0" localSheetId="26" hidden="1">Prolink!$C$760</definedName>
    <definedName name="SD_34x1_5103x1_271_B_0" localSheetId="26" hidden="1">Prolink!$C$761</definedName>
    <definedName name="SD_34x1_5103x1_272_B_0" localSheetId="26" hidden="1">Prolink!$C$762</definedName>
    <definedName name="SD_34x1_5103x1_273_B_0" localSheetId="26" hidden="1">Prolink!$C$763</definedName>
    <definedName name="SD_34x1_5103x1_274_B_0" localSheetId="26" hidden="1">Prolink!$C$764</definedName>
    <definedName name="SD_34x1_5103x1_287_B_0" localSheetId="26" hidden="1">Prolink!$C$1089</definedName>
    <definedName name="SD_34x1_5103x1_288_B_0" localSheetId="26" hidden="1">Prolink!$C$1090</definedName>
    <definedName name="SD_34x1_5103x1_289_B_0" localSheetId="26" hidden="1">Prolink!$C$1091</definedName>
    <definedName name="SD_34x1_5103x1_290_B_0" localSheetId="26" hidden="1">Prolink!$C$1092</definedName>
    <definedName name="SD_34x1_5103x1_296_B_0" localSheetId="26" hidden="1">Prolink!$C$795</definedName>
    <definedName name="SD_34x1_5103x1_297_B_0" localSheetId="26" hidden="1">Prolink!$C$796</definedName>
    <definedName name="SD_34x1_5103x1_298_B_0" localSheetId="26" hidden="1">Prolink!$C$797</definedName>
    <definedName name="SD_34x1_5103x1_299_B_0" localSheetId="26" hidden="1">Prolink!$C$798</definedName>
    <definedName name="SD_34x1_5103x1_300_B_0" localSheetId="26" hidden="1">Prolink!$C$799</definedName>
    <definedName name="SD_34x1_5103x1_301_B_0" localSheetId="26" hidden="1">Prolink!$C$800</definedName>
    <definedName name="SD_34x1_5103x1_302_B_0" localSheetId="26" hidden="1">Prolink!$C$801</definedName>
    <definedName name="SD_34x1_5103x1_303_B_0" localSheetId="26" hidden="1">Prolink!$C$802</definedName>
    <definedName name="SD_34x1_5103x1_304_B_0" localSheetId="26" hidden="1">Prolink!$C$803</definedName>
    <definedName name="SD_34x1_5103x1_305_B_0" localSheetId="26" hidden="1">Prolink!$C$804</definedName>
    <definedName name="SD_34x1_5103x1_306_B_0" localSheetId="26" hidden="1">Prolink!$C$805</definedName>
    <definedName name="SD_34x1_5103x1_307_B_0" localSheetId="26" hidden="1">Prolink!$C$806</definedName>
    <definedName name="SD_34x1_5103x1_308_B_0" localSheetId="26" hidden="1">Prolink!$C$807</definedName>
    <definedName name="SD_34x1_5103x1_309_B_0" localSheetId="26" hidden="1">Prolink!$C$808</definedName>
    <definedName name="SD_34x1_5103x1_310_B_0" localSheetId="26" hidden="1">Prolink!$C$809</definedName>
    <definedName name="SD_34x1_5103x1_311_B_0" localSheetId="26" hidden="1">Prolink!$C$810</definedName>
    <definedName name="SD_34x1_5103x1_312_B_0" localSheetId="26" hidden="1">Prolink!$C$811</definedName>
    <definedName name="SD_34x1_5103x1_313_B_0" localSheetId="26" hidden="1">Prolink!$C$812</definedName>
    <definedName name="SD_34x1_5103x1_314_B_0" localSheetId="26" hidden="1">Prolink!$C$813</definedName>
    <definedName name="SD_34x1_5103x1_315_B_0" localSheetId="26" hidden="1">Prolink!$C$814</definedName>
    <definedName name="SD_34x1_5103x1_316_B_0" localSheetId="26" hidden="1">Prolink!$C$815</definedName>
    <definedName name="SD_34x1_5103x1_317_B_0" localSheetId="26" hidden="1">Prolink!$C$816</definedName>
    <definedName name="SD_34x1_5103x1_318_B_0" localSheetId="26" hidden="1">Prolink!$C$817</definedName>
    <definedName name="SD_34x1_5103x1_319_B_0" localSheetId="26" hidden="1">Prolink!$C$818</definedName>
    <definedName name="SD_34x1_5103x1_320_B_0" localSheetId="26" hidden="1">Prolink!$C$819</definedName>
    <definedName name="SD_34x1_5103x1_321_B_0" localSheetId="26" hidden="1">Prolink!$C$821</definedName>
    <definedName name="SD_34x1_5103x1_322_B_0" localSheetId="26" hidden="1">Prolink!$C$822</definedName>
    <definedName name="SD_34x1_5103x1_323_B_0" localSheetId="26" hidden="1">Prolink!$C$823</definedName>
    <definedName name="SD_34x1_5103x1_324_B_0" localSheetId="26" hidden="1">Prolink!$C$824</definedName>
    <definedName name="SD_34x1_5103x1_325_B_0" localSheetId="26" hidden="1">Prolink!$C$825</definedName>
    <definedName name="SD_34x1_5103x1_326_B_0" localSheetId="26" hidden="1">Prolink!$C$826</definedName>
    <definedName name="SD_34x1_5103x1_327_B_0" localSheetId="26" hidden="1">Prolink!$C$827</definedName>
    <definedName name="SD_34x1_5103x1_328_B_0" localSheetId="26" hidden="1">Prolink!$C$828</definedName>
    <definedName name="SD_34x1_5103x1_329_B_0" localSheetId="26" hidden="1">Prolink!$C$829</definedName>
    <definedName name="SD_34x1_5103x1_330_B_0" localSheetId="26" hidden="1">Prolink!$C$830</definedName>
    <definedName name="SD_34x1_5103x1_331_B_0" localSheetId="26" hidden="1">Prolink!$C$831</definedName>
    <definedName name="SD_34x1_5103x1_332_B_0" localSheetId="26" hidden="1">Prolink!$C$832</definedName>
    <definedName name="SD_34x1_5103x1_333_B_0" localSheetId="26" hidden="1">Prolink!$C$833</definedName>
    <definedName name="SD_34x1_5103x1_334_B_0" localSheetId="26" hidden="1">Prolink!$C$834</definedName>
    <definedName name="SD_34x1_5103x1_335_B_0" localSheetId="26" hidden="1">Prolink!$C$835</definedName>
    <definedName name="SD_34x1_5103x1_336_B_0" localSheetId="26" hidden="1">Prolink!$C$836</definedName>
    <definedName name="SD_34x1_5103x1_337_B_0" localSheetId="26" hidden="1">Prolink!$C$837</definedName>
    <definedName name="SD_34x1_5103x1_343_B_0" localSheetId="26" hidden="1">Prolink!$C$253</definedName>
    <definedName name="SD_34x1_5103x1_345_B_0" localSheetId="26" hidden="1">Prolink!$C$281</definedName>
    <definedName name="SD_34x1_5103x1_346_B_0" localSheetId="26" hidden="1">Prolink!$C$290</definedName>
    <definedName name="SD_34x1_5103x1_348_B_0" localSheetId="26" hidden="1">Prolink!$C$420</definedName>
    <definedName name="SD_34x1_5103x1_349_B_0" localSheetId="26" hidden="1">Prolink!$C$309</definedName>
    <definedName name="SD_34x1_5103x1_350_B_0" localSheetId="26" hidden="1">Prolink!$C$441</definedName>
    <definedName name="SD_34x1_5103x1_351_B_0" localSheetId="26" hidden="1">Prolink!$C$498</definedName>
    <definedName name="SD_34x1_5103x1_352_B_0" localSheetId="26" hidden="1">Prolink!$C$318</definedName>
    <definedName name="SD_34x1_5103x1_353_B_0" localSheetId="26" hidden="1">Prolink!$C$319</definedName>
    <definedName name="SD_34x1_5103x1_354_B_0" localSheetId="26" hidden="1">Prolink!$C$320</definedName>
    <definedName name="SD_34x1_5103x1_355_B_0" localSheetId="26" hidden="1">Prolink!$C$794</definedName>
    <definedName name="SD_34x1_5103x1_356_B_0" localSheetId="26" hidden="1">Prolink!$C$594</definedName>
    <definedName name="SD_34x1_5103x1_357_B_0" localSheetId="26" hidden="1">Prolink!$C$838</definedName>
    <definedName name="SD_34x1_5103x1_358_B_0" localSheetId="26" hidden="1">Prolink!$C$839</definedName>
    <definedName name="SD_34x1_5103x1_359_B_0" localSheetId="26" hidden="1">Prolink!$C$840</definedName>
    <definedName name="SD_34x1_5103x1_360_B_0" localSheetId="26" hidden="1">Prolink!$C$841</definedName>
    <definedName name="SD_34x1_5103x1_361_B_0" localSheetId="26" hidden="1">Prolink!$C$842</definedName>
    <definedName name="SD_34x1_5103x1_362_B_0" localSheetId="26" hidden="1">Prolink!$C$843</definedName>
    <definedName name="SD_34x1_5103x1_363_B_0" localSheetId="26" hidden="1">Prolink!$C$296</definedName>
    <definedName name="SD_34x1_5103x1_366_B_0" localSheetId="26" hidden="1">Prolink!$C$512</definedName>
    <definedName name="SD_34x1_5103x1_367_B_0" localSheetId="26" hidden="1">Prolink!$C$513</definedName>
    <definedName name="SD_34x1_5103x1_368_B_0" localSheetId="26" hidden="1">Prolink!$C$220</definedName>
    <definedName name="SD_34x1_5103x1_369_B_0" localSheetId="26" hidden="1">Prolink!$C$226</definedName>
    <definedName name="SD_34x1_5103x1_370_B_0" localSheetId="26" hidden="1">Prolink!$C$210</definedName>
    <definedName name="SD_34x1_5103x1_374_B_0" localSheetId="26" hidden="1">Prolink!$D$1376</definedName>
    <definedName name="SD_34x1_5103x1_375_B_0" localSheetId="26" hidden="1">Prolink!$D$1377</definedName>
    <definedName name="SD_34x1_5103x1_376_B_0" localSheetId="26" hidden="1">Prolink!$D$1378</definedName>
    <definedName name="SD_34x1_5103x1_377_B_0" localSheetId="26" hidden="1">Prolink!$D$1379</definedName>
    <definedName name="SD_34x1_5103x1_378_B_0" localSheetId="26" hidden="1">Prolink!$D$1380</definedName>
    <definedName name="SD_34x1_5103x1_379_B_0" localSheetId="26" hidden="1">Prolink!$D$1381</definedName>
    <definedName name="SD_34x1_5103x1_380_B_0" localSheetId="26" hidden="1">Prolink!$D$1382</definedName>
    <definedName name="SD_34x1_5103x1_381_B_0" localSheetId="26" hidden="1">Prolink!$D$1383</definedName>
    <definedName name="SD_34x1_5103x1_383_B_0" localSheetId="26" hidden="1">Prolink!$D$1388</definedName>
    <definedName name="SD_34x1_5103x1_384_B_0" localSheetId="26" hidden="1">Prolink!$D$1389</definedName>
    <definedName name="SD_34x1_5103x1_385_B_0" localSheetId="26" hidden="1">Prolink!$D$1390</definedName>
    <definedName name="SD_34x1_5103x1_386_B_0" localSheetId="26" hidden="1">Prolink!$D$1391</definedName>
    <definedName name="SD_34x1_5103x1_387_B_0" localSheetId="26" hidden="1">Prolink!$D$1392</definedName>
    <definedName name="SD_34x1_5103x1_390_B_0" localSheetId="26" hidden="1">Prolink!$D$1395</definedName>
    <definedName name="SD_34x1_5103x1_391_B_0" localSheetId="26" hidden="1">Prolink!$D$1397</definedName>
    <definedName name="SD_34x1_5103x1_392_B_0" localSheetId="26" hidden="1">Prolink!$D$1398</definedName>
    <definedName name="SD_34x1_5103x1_393_B_0" localSheetId="26" hidden="1">Prolink!$D$1399</definedName>
    <definedName name="SD_34x1_5103x1_394_B_0" localSheetId="26" hidden="1">Prolink!$D$1400</definedName>
    <definedName name="SD_34x1_5103x1_395_B_0" localSheetId="26" hidden="1">Prolink!$D$1401</definedName>
    <definedName name="SD_34x1_5103x1_396_B_0" localSheetId="26" hidden="1">Prolink!$D$1402</definedName>
    <definedName name="SD_34x1_5103x1_397_B_0" localSheetId="26" hidden="1">Prolink!$D$1406</definedName>
    <definedName name="SD_34x1_5103x1_398_B_0" localSheetId="26" hidden="1">Prolink!$D$1407</definedName>
    <definedName name="SD_34x1_5103x1_399_B_0" localSheetId="26" hidden="1">Prolink!$D$1408</definedName>
    <definedName name="SD_34x1_5103x1_400_B_0" localSheetId="26" hidden="1">Prolink!$D$1410</definedName>
    <definedName name="SD_34x1_5103x1_401_B_0" localSheetId="26" hidden="1">Prolink!$D$1411</definedName>
    <definedName name="SD_34x1_5103x1_402_B_0" localSheetId="26" hidden="1">Prolink!$D$1412</definedName>
    <definedName name="SD_34x1_5103x1_403_B_0" localSheetId="26" hidden="1">Prolink!$D$1413</definedName>
    <definedName name="SD_34x1_5103x1_404_B_0" localSheetId="26" hidden="1">Prolink!$D$1415</definedName>
    <definedName name="SD_34x1_5103x1_405_B_0" localSheetId="26" hidden="1">Prolink!$D$1416</definedName>
    <definedName name="SD_34x1_5103x1_406_B_0" localSheetId="26" hidden="1">Prolink!$D$1422</definedName>
    <definedName name="SD_34x1_5103x1_407_B_0" localSheetId="26" hidden="1">Prolink!$D$1424</definedName>
    <definedName name="SD_34x1_5103x1_408_B_0" localSheetId="26" hidden="1">Prolink!$D$1425</definedName>
    <definedName name="SD_34x1_5103x1_409_B_0" localSheetId="26" hidden="1">Prolink!$D$1426</definedName>
    <definedName name="SD_34x1_5103x1_410_B_0" localSheetId="26" hidden="1">Prolink!$D$1427</definedName>
    <definedName name="SD_34x1_5103x1_411_B_0" localSheetId="26" hidden="1">Prolink!$D$1428</definedName>
    <definedName name="SD_34x1_5103x1_412_B_0" localSheetId="26" hidden="1">Prolink!$D$1430</definedName>
    <definedName name="SD_34x1_5103x1_414_B_0" localSheetId="26" hidden="1">Prolink!$D$1433</definedName>
    <definedName name="SD_34x1_5103x1_419_B_0" localSheetId="26" hidden="1">Prolink!$D$1440</definedName>
    <definedName name="SD_34x1_5103x1_420_B_0" localSheetId="26" hidden="1">Prolink!$D$1384</definedName>
    <definedName name="SD_34x1_5103x1_421_B_0" localSheetId="26" hidden="1">Prolink!$D$1385</definedName>
    <definedName name="SD_34x1_5103x1_422_B_0" localSheetId="26" hidden="1">Prolink!$D$1386</definedName>
    <definedName name="SD_34x1_5103x1_426_B_0" localSheetId="26" hidden="1">Prolink!$D$1437</definedName>
    <definedName name="SD_34x1_5103x1_429_B_0" localSheetId="26" hidden="1">Prolink!$D$1441</definedName>
    <definedName name="SD_34x1_5103x1_430_B_0" localSheetId="26" hidden="1">Prolink!$D$1442</definedName>
    <definedName name="SD_34x1_5103x1_431_B_0" localSheetId="26" hidden="1">Prolink!$D$1449</definedName>
    <definedName name="SD_34x1_5103x1_432_B_0" localSheetId="26" hidden="1">Prolink!$D$1450</definedName>
    <definedName name="SD_34x1_5103x1_433_B_0" localSheetId="26" hidden="1">Prolink!$D$1451</definedName>
    <definedName name="SD_34x1_5103x1_434_B_0" localSheetId="26" hidden="1">Prolink!$D$1452</definedName>
    <definedName name="SD_34x1_5103x1_435_B_0" localSheetId="26" hidden="1">Prolink!$D$1457</definedName>
    <definedName name="SD_34x1_5103x1_436_B_0" localSheetId="26" hidden="1">Prolink!$D$1458</definedName>
    <definedName name="SD_34x1_5103x1_437_B_0" localSheetId="26" hidden="1">Prolink!$D$1460</definedName>
    <definedName name="SD_34x1_5103x1_438_B_0" localSheetId="26" hidden="1">Prolink!$D$1461</definedName>
    <definedName name="SD_34x1_5103x1_439_B_0" localSheetId="26" hidden="1">Prolink!$D$1462</definedName>
    <definedName name="SD_34x1_5103x1_440_B_0" localSheetId="26" hidden="1">Prolink!$D$1463</definedName>
    <definedName name="SD_34x1_5103x1_441_B_0" localSheetId="26" hidden="1">Prolink!$D$1464</definedName>
    <definedName name="SD_34x1_5103x1_443_B_0" localSheetId="26" hidden="1">Prolink!$D$1468</definedName>
    <definedName name="SD_34x1_5103x1_444_B_0" localSheetId="26" hidden="1">Prolink!$D$1469</definedName>
    <definedName name="SD_34x1_5103x1_445_B_0" localSheetId="26" hidden="1">Prolink!$D$1470</definedName>
    <definedName name="SD_34x1_5103x1_446_B_0" localSheetId="26" hidden="1">Prolink!$D$1471</definedName>
    <definedName name="SD_34x1_5103x1_447_B_0" localSheetId="26" hidden="1">Prolink!$D$1472</definedName>
    <definedName name="SD_34x1_5103x1_449_B_0" localSheetId="26" hidden="1">Prolink!$D$1393</definedName>
    <definedName name="SD_34x1_5103x1_450_B_0" localSheetId="26" hidden="1">Prolink!$D$1394</definedName>
    <definedName name="SD_34x1_5103x1_451_B_0" localSheetId="26" hidden="1">Prolink!$D$1409</definedName>
    <definedName name="SD_34x1_5103x1_452_B_0" localSheetId="26" hidden="1">Prolink!$D$1414</definedName>
    <definedName name="SD_34x1_5103x1_453_B_0" localSheetId="26" hidden="1">Prolink!$D$1432</definedName>
    <definedName name="SD_34x1_5103x1_454_B_0" localSheetId="26" hidden="1">Prolink!$D$1434</definedName>
    <definedName name="SD_34x1_5103x1_455_B_0" localSheetId="26" hidden="1">Prolink!$D$1435</definedName>
    <definedName name="SD_34x1_5103x1_456_B_0" localSheetId="26" hidden="1">Prolink!$D$1436</definedName>
    <definedName name="SD_34x1_5103x1_457_B_0" localSheetId="26" hidden="1">Prolink!$D$1439</definedName>
    <definedName name="SD_34x1_5103x1_458_B_0" localSheetId="26" hidden="1">Prolink!$D$1438</definedName>
    <definedName name="SD_34x1_5103x1_460_B_0" localSheetId="26" hidden="1">Prolink!$C$229</definedName>
    <definedName name="SD_34x1_5103x1_461_B_0" localSheetId="26" hidden="1">Prolink!$C$230</definedName>
    <definedName name="SD_34x1_5103x1_462_B_0" localSheetId="26" hidden="1">Prolink!$C$514</definedName>
    <definedName name="SD_34x1_5103x1_463_B_0" localSheetId="26" hidden="1">Prolink!$C$757</definedName>
    <definedName name="SD_34x1_5103x1_464_B_0" localSheetId="26" hidden="1">Prolink!$C$765</definedName>
    <definedName name="SD_34x1_5103x1_465_B_0" localSheetId="26" hidden="1">Prolink!$C$310</definedName>
    <definedName name="SD_34x1_5103x1_466_B_0" localSheetId="26" hidden="1">Prolink!$C$434</definedName>
    <definedName name="SD_34x1_5103x1_469_B_0" localSheetId="26" hidden="1">Prolink!$C$452</definedName>
    <definedName name="SD_34x1_5103x1_470_B_0" localSheetId="26" hidden="1">Prolink!$C$453</definedName>
    <definedName name="SD_34x1_5103x1_471_B_0" localSheetId="26" hidden="1">Prolink!$C$575</definedName>
    <definedName name="SD_34x1_5103x1_472_B_0" localSheetId="26" hidden="1">Prolink!$C$773</definedName>
    <definedName name="SD_34x1_5103x1_473_B_0" localSheetId="26" hidden="1">Prolink!$C$788</definedName>
    <definedName name="SD_34x1_5103x1_474_B_0" localSheetId="26" hidden="1">Prolink!$C$790</definedName>
    <definedName name="SD_34x1_5103x1_475_B_0" localSheetId="26" hidden="1">Prolink!$C$1093</definedName>
    <definedName name="SD_34x1_5103x1_476_B_0" localSheetId="26" hidden="1">Prolink!$C$1094</definedName>
    <definedName name="SD_34x1_5103x1_477_B_0" localSheetId="26" hidden="1">Prolink!$C$1095</definedName>
    <definedName name="SD_34x1_5103x1_478_B_0" localSheetId="26" hidden="1">Prolink!$C$449</definedName>
    <definedName name="SD_34x1_5103x1_479_B_0" localSheetId="26" hidden="1">Prolink!$C$515</definedName>
    <definedName name="SD_34x1_5103x1_519_B_0" localSheetId="26" hidden="1">Prolink!$A$157</definedName>
    <definedName name="SD_34x1_5103x1_520_B_0" localSheetId="26" hidden="1">Prolink!$A$158</definedName>
    <definedName name="SD_34x1_5103x1_521_B_0" localSheetId="26" hidden="1">Prolink!$A$159</definedName>
    <definedName name="SD_34x1_5103x1_522_B_0" localSheetId="26" hidden="1">Prolink!$A$168</definedName>
    <definedName name="SD_34x1_5103x1_523_B_0" localSheetId="26" hidden="1">Prolink!$A$169</definedName>
    <definedName name="SD_34x1_5103x1_524_B_0" localSheetId="26" hidden="1">Prolink!$A$170</definedName>
    <definedName name="SD_34x1_5103x1_525_B_0" localSheetId="26" hidden="1">Prolink!$A$171</definedName>
    <definedName name="SD_34x1_5103x1_526_B_0" localSheetId="26" hidden="1">Prolink!$A$181</definedName>
    <definedName name="SD_34x1_5103x1_527_B_0" localSheetId="26" hidden="1">Prolink!$A$182</definedName>
    <definedName name="SD_34x1_5103x1_528_B_0" localSheetId="26" hidden="1">Prolink!$A$183</definedName>
    <definedName name="SD_34x1_5103x1_529_B_0" localSheetId="26" hidden="1">Prolink!$A$189</definedName>
    <definedName name="SD_34x1_5103x1_530_B_0" localSheetId="26" hidden="1">Prolink!$A$190</definedName>
    <definedName name="SD_34x1_5103x1_531_B_0" localSheetId="26" hidden="1">Prolink!$A$359</definedName>
    <definedName name="SD_34x1_5103x1_532_B_0" localSheetId="26" hidden="1">Prolink!$A$360</definedName>
    <definedName name="SD_34x1_5103x1_533_B_0" localSheetId="26" hidden="1">Prolink!$A$361</definedName>
    <definedName name="SD_34x1_5103x1_534_B_0" localSheetId="26" hidden="1">Prolink!$A$373</definedName>
    <definedName name="SD_34x1_5103x1_535_B_0" localSheetId="26" hidden="1">Prolink!$A$374</definedName>
    <definedName name="SD_34x1_5103x1_536_B_0" localSheetId="26" hidden="1">Prolink!$A$375</definedName>
    <definedName name="SD_34x1_5103x1_537_B_0" localSheetId="26" hidden="1">Prolink!$A$392</definedName>
    <definedName name="SD_34x1_5103x1_538_B_0" localSheetId="26" hidden="1">Prolink!$A$393</definedName>
    <definedName name="SD_34x1_5103x1_539_B_0" localSheetId="26" hidden="1">Prolink!$A$405</definedName>
    <definedName name="SD_34x1_5103x1_540_B_0" localSheetId="26" hidden="1">Prolink!$A$406</definedName>
    <definedName name="SD_34x1_5103x1_541_B_0" localSheetId="26" hidden="1">Prolink!$A$407</definedName>
    <definedName name="SD_34x1_5103x1_542_B_0" localSheetId="26" hidden="1">Prolink!$A$422</definedName>
    <definedName name="SD_34x1_5103x1_543_B_0" localSheetId="26" hidden="1">Prolink!$A$423</definedName>
    <definedName name="SD_34x1_5103x1_544_B_0" localSheetId="26" hidden="1">Prolink!$A$424</definedName>
    <definedName name="SD_34x1_5103x1_545_B_0" localSheetId="26" hidden="1">Prolink!$A$428</definedName>
    <definedName name="SD_34x1_5103x1_546_B_0" localSheetId="26" hidden="1">Prolink!$A$429</definedName>
    <definedName name="SD_34x1_5103x1_547_B_0" localSheetId="26" hidden="1">Prolink!$A$430</definedName>
    <definedName name="SD_34x1_5103x1_548_B_0" localSheetId="26" hidden="1">Prolink!$C$543</definedName>
    <definedName name="SD_34x1_5103x1_549_B_0" localSheetId="26" hidden="1">Prolink!$C$546</definedName>
    <definedName name="SD_34x1_5103x1_550_B_0" localSheetId="26" hidden="1">Prolink!$C$547</definedName>
    <definedName name="SD_34x1_5103x1_551_B_0" localSheetId="26" hidden="1">Prolink!$C$550</definedName>
    <definedName name="SD_34x1_5103x1_552_B_0" localSheetId="26" hidden="1">Prolink!$C$551</definedName>
    <definedName name="SD_34x1_5103x1_553_B_0" localSheetId="26" hidden="1">Prolink!$C$544</definedName>
    <definedName name="SD_34x1_5103x1_554_B_0" localSheetId="26" hidden="1">Prolink!$C$545</definedName>
    <definedName name="SD_34x1_5103x1_555_B_0" localSheetId="26" hidden="1">Prolink!$C$548</definedName>
    <definedName name="SD_34x1_5103x1_556_B_0" localSheetId="26" hidden="1">Prolink!$C$549</definedName>
    <definedName name="SD_34x1_5103x1_558_B_0" localSheetId="26" hidden="1">Prolink!$C$584</definedName>
    <definedName name="SD_34x1_5103x1_559_B_0" localSheetId="26" hidden="1">Prolink!$C$585</definedName>
    <definedName name="SD_34x1_5103x1_560_B_0" localSheetId="26" hidden="1">Prolink!$C$299</definedName>
    <definedName name="SD_34x1_5103x1_565_B_0" localSheetId="26" hidden="1">Prolink!$C$7</definedName>
    <definedName name="SD_34x1_5103x1_567_B_0" localSheetId="26" hidden="1">Prolink!$C$13</definedName>
    <definedName name="SD_34x1_5103x1_568_B_0" localSheetId="26" hidden="1">Prolink!$C$197</definedName>
    <definedName name="SD_34x1_5103x1_569_B_0" localSheetId="26" hidden="1">Prolink!$C$198</definedName>
    <definedName name="SD_34x1_5103x1_570_B_0" localSheetId="26" hidden="1">Prolink!$C$199</definedName>
    <definedName name="SD_34x1_5103x1_571_B_0" localSheetId="26" hidden="1">Prolink!$C$200</definedName>
    <definedName name="SD_34x1_5103x1_572_B_0" localSheetId="26" hidden="1">Prolink!$C$201</definedName>
    <definedName name="SD_34x1_5103x1_573_B_0" localSheetId="26" hidden="1">Prolink!$C$202</definedName>
    <definedName name="SD_34x1_5103x1_574_B_0" localSheetId="26" hidden="1">Prolink!$C$212</definedName>
    <definedName name="SD_34x1_5103x1_575_B_0" localSheetId="26" hidden="1">Prolink!$C$213</definedName>
    <definedName name="SD_34x1_5103x1_576_B_0" localSheetId="26" hidden="1">Prolink!$C$205</definedName>
    <definedName name="SD_34x1_5103x1_577_B_0" localSheetId="26" hidden="1">Prolink!$C$12</definedName>
    <definedName name="SD_34x1_5103x1_578_B_0" localSheetId="26" hidden="1">Prolink!$C$321</definedName>
    <definedName name="SD_34x1_5103x1_579_B_0" localSheetId="26" hidden="1">Prolink!$C$322</definedName>
    <definedName name="SD_34x1_5103x1_580_B_0" localSheetId="26" hidden="1">Prolink!$C$323</definedName>
    <definedName name="SD_34x1_5103x1_581_B_0" localSheetId="26" hidden="1">Prolink!$C$14</definedName>
    <definedName name="SD_34x1_5103x1_583_B_0" localSheetId="26" hidden="1">Prolink!$C$19</definedName>
    <definedName name="SD_34x1_5103x1_584_B_0" localSheetId="26" hidden="1">Prolink!$C$20</definedName>
    <definedName name="SD_34x1_5103x1_585_B_0" localSheetId="26" hidden="1">Prolink!$C$21</definedName>
    <definedName name="SD_34x1_5103x1_587_B_0" localSheetId="26" hidden="1">Prolink!$C$26</definedName>
    <definedName name="SD_34x1_5103x1_588_B_0" localSheetId="26" hidden="1">Prolink!$C$27</definedName>
    <definedName name="SD_34x1_5103x1_589_B_0" localSheetId="26" hidden="1">Prolink!$C$28</definedName>
    <definedName name="SD_34x1_5103x1_591_B_0" localSheetId="26" hidden="1">Prolink!$C$33</definedName>
    <definedName name="SD_34x1_5103x1_592_B_0" localSheetId="26" hidden="1">Prolink!$C$34</definedName>
    <definedName name="SD_34x1_5103x1_593_B_0" localSheetId="26" hidden="1">Prolink!$C$35</definedName>
    <definedName name="SD_34x1_5103x1_595_B_0" localSheetId="26" hidden="1">Prolink!$C$40</definedName>
    <definedName name="SD_34x1_5103x1_596_B_0" localSheetId="26" hidden="1">Prolink!$C$41</definedName>
    <definedName name="SD_34x1_5103x1_597_B_0" localSheetId="26" hidden="1">Prolink!$C$42</definedName>
    <definedName name="SD_34x1_5103x1_599_B_0" localSheetId="26" hidden="1">Prolink!$C$47</definedName>
    <definedName name="SD_34x1_5103x1_600_B_0" localSheetId="26" hidden="1">Prolink!$C$48</definedName>
    <definedName name="SD_34x1_5103x1_601_B_0" localSheetId="26" hidden="1">Prolink!$C$49</definedName>
    <definedName name="SD_34x1_5103x1_603_B_0" localSheetId="26" hidden="1">Prolink!$C$54</definedName>
    <definedName name="SD_34x1_5103x1_604_B_0" localSheetId="26" hidden="1">Prolink!$C$55</definedName>
    <definedName name="SD_34x1_5103x1_605_B_0" localSheetId="26" hidden="1">Prolink!$C$56</definedName>
    <definedName name="SD_34x1_5103x1_607_B_0" localSheetId="26" hidden="1">Prolink!$C$61</definedName>
    <definedName name="SD_34x1_5103x1_608_B_0" localSheetId="26" hidden="1">Prolink!$C$62</definedName>
    <definedName name="SD_34x1_5103x1_609_B_0" localSheetId="26" hidden="1">Prolink!$C$63</definedName>
    <definedName name="SD_34x1_5103x1_611_B_0" localSheetId="26" hidden="1">Prolink!$C$68</definedName>
    <definedName name="SD_34x1_5103x1_612_B_0" localSheetId="26" hidden="1">Prolink!$C$69</definedName>
    <definedName name="SD_34x1_5103x1_613_B_0" localSheetId="26" hidden="1">Prolink!$C$70</definedName>
    <definedName name="SD_34x1_5103x1_615_B_0" localSheetId="26" hidden="1">Prolink!$C$75</definedName>
    <definedName name="SD_34x1_5103x1_616_B_0" localSheetId="26" hidden="1">Prolink!$C$76</definedName>
    <definedName name="SD_34x1_5103x1_617_B_0" localSheetId="26" hidden="1">Prolink!$C$77</definedName>
    <definedName name="SD_34x1_5103x1_619_B_0" localSheetId="26" hidden="1">Prolink!$C$82</definedName>
    <definedName name="SD_34x1_5103x1_620_B_0" localSheetId="26" hidden="1">Prolink!$C$83</definedName>
    <definedName name="SD_34x1_5103x1_621_B_0" localSheetId="26" hidden="1">Prolink!$C$84</definedName>
    <definedName name="SD_34x1_5103x1_623_B_0" localSheetId="26" hidden="1">Prolink!$C$89</definedName>
    <definedName name="SD_34x1_5103x1_624_B_0" localSheetId="26" hidden="1">Prolink!$C$90</definedName>
    <definedName name="SD_34x1_5103x1_625_B_0" localSheetId="26" hidden="1">Prolink!$C$91</definedName>
    <definedName name="SD_34x1_5103x1_627_B_0" localSheetId="26" hidden="1">Prolink!$C$96</definedName>
    <definedName name="SD_34x1_5103x1_628_B_0" localSheetId="26" hidden="1">Prolink!$C$97</definedName>
    <definedName name="SD_34x1_5103x1_629_B_0" localSheetId="26" hidden="1">Prolink!$C$98</definedName>
    <definedName name="SD_34x1_5103x1_631_B_0" localSheetId="26" hidden="1">Prolink!$C$103</definedName>
    <definedName name="SD_34x1_5103x1_632_B_0" localSheetId="26" hidden="1">Prolink!$C$104</definedName>
    <definedName name="SD_34x1_5103x1_633_B_0" localSheetId="26" hidden="1">Prolink!$C$105</definedName>
    <definedName name="SD_34x1_5103x1_635_B_0" localSheetId="26" hidden="1">Prolink!$C$110</definedName>
    <definedName name="SD_34x1_5103x1_636_B_0" localSheetId="26" hidden="1">Prolink!$C$111</definedName>
    <definedName name="SD_34x1_5103x1_637_B_0" localSheetId="26" hidden="1">Prolink!$C$217</definedName>
    <definedName name="SD_34x1_5103x1_638_B_0" localSheetId="26" hidden="1">Prolink!$D$1431</definedName>
    <definedName name="SD_34x1_5103x1_639_B_0" localSheetId="26" hidden="1">Prolink!$C$228</definedName>
    <definedName name="SD_34x1_5103x1_640_B_0" localSheetId="26" hidden="1">Prolink!$C$227</definedName>
    <definedName name="SD_34x1_5103x1_641_B_0" localSheetId="26" hidden="1">Prolink!$C$196</definedName>
    <definedName name="SD_34x1_5103x1_642_B_0" localSheetId="26" hidden="1">Prolink!$C$211</definedName>
    <definedName name="SD_34x1_5103x1_643_B_0" localSheetId="26" hidden="1">Prolink!$C$231</definedName>
    <definedName name="SD_34x1_5103x1_644_B_0" localSheetId="26" hidden="1">Prolink!$C$595</definedName>
    <definedName name="SD_34x1_5103x1_649_B_0" localSheetId="26" hidden="1">Prolink!$C$768</definedName>
    <definedName name="SD_34x1_5103x1_650_B_0" localSheetId="26" hidden="1">Prolink!$C$779</definedName>
    <definedName name="SD_34x1_5103x1_651_B_1" localSheetId="26" hidden="1">Prolink!$C$292</definedName>
    <definedName name="SD_34x1_5103x1_652_B_0" localSheetId="26" hidden="1">Prolink!$B$325</definedName>
    <definedName name="SD_34x1_5103x1_653_B_0" localSheetId="26" hidden="1">Prolink!$B$326</definedName>
    <definedName name="SD_34x1_5103x1_654_B_0" localSheetId="26" hidden="1">Prolink!$B$327</definedName>
    <definedName name="SD_34x1_5103x1_655_B_0" localSheetId="26" hidden="1">Prolink!$B$328</definedName>
    <definedName name="SD_34x1_5103x1_656_B_0" localSheetId="26" hidden="1">Prolink!$B$329</definedName>
    <definedName name="SD_34x1_5103x1_657_B_0" localSheetId="26" hidden="1">Prolink!$B$330</definedName>
    <definedName name="SD_34x1_5103x1_658_B_0" localSheetId="26" hidden="1">Prolink!$B$331</definedName>
    <definedName name="SD_34x1_5103x1_659_B_0" localSheetId="26" hidden="1">Prolink!$B$334</definedName>
    <definedName name="SD_34x1_5103x1_662_B_0" localSheetId="26" hidden="1">Prolink!$B$338</definedName>
    <definedName name="SD_34x1_5103x1_663_B_0" localSheetId="26" hidden="1">Prolink!$B$340</definedName>
    <definedName name="SD_34x1_5103x1_665_B_0" localSheetId="26" hidden="1">Prolink!$B$333</definedName>
    <definedName name="SD_34x1_5103x1_666_B_0" localSheetId="26" hidden="1">Prolink!$B$335</definedName>
    <definedName name="SD_34x1_5103x1_668_B_0" localSheetId="26" hidden="1">Prolink!$B$339</definedName>
    <definedName name="SD_34x1_5103x1_669_B_0" localSheetId="26" hidden="1">Prolink!$B$332</definedName>
    <definedName name="SD_34x1_5103x1_670_B_0" localSheetId="26" hidden="1">Prolink!$B$336</definedName>
    <definedName name="SD_34x1_5103x1_672_B_0" localSheetId="26" hidden="1">Prolink!$B$341</definedName>
    <definedName name="SD_34x1_5103x1_697_B_0" localSheetId="26" hidden="1">Prolink!$B$337</definedName>
    <definedName name="SD_34x1_5103x1_699_B_1" localSheetId="26" hidden="1">Prolink!$C$254</definedName>
    <definedName name="SD_34x1_5103x1_700_B_1" localSheetId="26" hidden="1">Prolink!$C$256</definedName>
    <definedName name="SD_34x1_5103x1_701_B_1" localSheetId="26" hidden="1">Prolink!$C$263</definedName>
    <definedName name="SD_34x1_5103x1_703_B_1" localSheetId="26" hidden="1">Prolink!$C$264</definedName>
    <definedName name="SD_34x1_5103x1_704_B_0" localSheetId="26" hidden="1">Prolink!$B$342</definedName>
    <definedName name="SD_34x1_5103x1_706_B_0" localSheetId="26" hidden="1">Prolink!$C$261</definedName>
    <definedName name="SD_34x1_5103x1_709_B_0" localSheetId="26" hidden="1">Prolink!$C$262</definedName>
    <definedName name="SD_34x1_5103x1_710_B_0" localSheetId="26" hidden="1">Prolink!$C$276</definedName>
    <definedName name="SD_34x1_5103x1_711_B_0" localSheetId="26" hidden="1">Prolink!$C$277</definedName>
    <definedName name="SD_34x1_5103x1_712_B_0" localSheetId="26" hidden="1">Prolink!$C$278</definedName>
    <definedName name="SD_34x1_5103x1_713_B_0" localSheetId="26" hidden="1">Prolink!$C$275</definedName>
    <definedName name="SD_34x1_5103x1_714_B_0" localSheetId="26" hidden="1">Prolink!$D$1443</definedName>
    <definedName name="SD_34x1_5103x1_715_B_0" localSheetId="26" hidden="1">Prolink!$D$1444</definedName>
    <definedName name="SD_34x1_5103x1_716_B_0" localSheetId="26" hidden="1">Prolink!$C$112</definedName>
    <definedName name="SD_34x1_5103x1_717_B_0" localSheetId="26" hidden="1">Prolink!$C$113</definedName>
    <definedName name="SD_34x1_5103x1_718_B_0" localSheetId="26" hidden="1">Prolink!$C$114</definedName>
    <definedName name="SD_34x1_5103x1_719_B_0" localSheetId="26" hidden="1">Prolink!$C$115</definedName>
    <definedName name="SD_34x1_5103x1_720_B_0" localSheetId="26" hidden="1">Prolink!$C$116</definedName>
    <definedName name="SD_34x1_5103x1_721_B_0" localSheetId="26" hidden="1">Prolink!$C$117</definedName>
    <definedName name="SD_34x1_5103x1_722_B_0" localSheetId="26" hidden="1">Prolink!$C$118</definedName>
    <definedName name="SD_34x1_5103x1_723_B_0" localSheetId="26" hidden="1">Prolink!$C$119</definedName>
    <definedName name="SD_34x1_5103x1_724_B_0" localSheetId="26" hidden="1">Prolink!$C$120</definedName>
    <definedName name="SD_34x1_5103x1_725_B_0" localSheetId="26" hidden="1">Prolink!$C$121</definedName>
    <definedName name="SD_34x1_5103x1_726_B_0" localSheetId="26" hidden="1">Prolink!$C$122</definedName>
    <definedName name="SD_34x1_5103x1_727_B_0" localSheetId="26" hidden="1">Prolink!$C$123</definedName>
    <definedName name="SD_34x1_5103x1_728_B_0" localSheetId="26" hidden="1">Prolink!$C$124</definedName>
    <definedName name="SD_34x1_5103x1_729_B_0" localSheetId="26" hidden="1">Prolink!$C$125</definedName>
    <definedName name="SD_34x1_5103x1_730_B_0" localSheetId="26" hidden="1">Prolink!$C$126</definedName>
    <definedName name="SD_34x1_5103x1_731_B_0" localSheetId="26" hidden="1">Prolink!$C$127</definedName>
    <definedName name="SD_34x1_5103x1_732_B_0" localSheetId="26" hidden="1">Prolink!$C$128</definedName>
    <definedName name="SD_34x1_5103x1_733_B_0" localSheetId="26" hidden="1">Prolink!$C$129</definedName>
    <definedName name="SD_34x1_5103x1_734_B_0" localSheetId="26" hidden="1">Prolink!$C$130</definedName>
    <definedName name="SD_34x1_5103x1_735_B_0" localSheetId="26" hidden="1">Prolink!$C$131</definedName>
    <definedName name="SD_34x1_5103x1_736_B_0" localSheetId="26" hidden="1">Prolink!$C$132</definedName>
    <definedName name="SD_34x1_5103x1_737_B_0" localSheetId="26" hidden="1">Prolink!$C$133</definedName>
    <definedName name="SD_34x1_5103x1_738_B_0" localSheetId="26" hidden="1">Prolink!$C$134</definedName>
    <definedName name="SD_34x1_5103x1_739_B_0" localSheetId="26" hidden="1">Prolink!$C$135</definedName>
    <definedName name="SD_34x1_5103x1_740_B_0" localSheetId="26" hidden="1">Prolink!$C$136</definedName>
    <definedName name="SD_34x1_5103x1_741_B_0" localSheetId="26" hidden="1">Prolink!$C$137</definedName>
    <definedName name="SD_34x1_5103x1_742_B_0" localSheetId="26" hidden="1">Prolink!$C$138</definedName>
    <definedName name="SD_34x1_5103x1_743_B_0" localSheetId="26" hidden="1">Prolink!$C$139</definedName>
    <definedName name="SD_34x1_5103x1_744_B_0" localSheetId="26" hidden="1">Prolink!$C$140</definedName>
    <definedName name="SD_34x1_5103x1_745_B_0" localSheetId="26" hidden="1">Prolink!$C$141</definedName>
    <definedName name="SD_34x1_5103x1_746_B_0" localSheetId="26" hidden="1">Prolink!$C$142</definedName>
    <definedName name="SD_34x1_5103x1_747_B_0" localSheetId="26" hidden="1">Prolink!$C$143</definedName>
    <definedName name="SD_34x1_5103x1_748_B_0" localSheetId="26" hidden="1">Prolink!$C$144</definedName>
    <definedName name="SD_34x1_5103x1_749_B_0" localSheetId="26" hidden="1">Prolink!$C$145</definedName>
    <definedName name="SD_34x1_5103x1_750_B_0" localSheetId="26" hidden="1">Prolink!$C$146</definedName>
    <definedName name="SD_34x1_5103x1_752_B_0" localSheetId="26" hidden="1">Prolink!$C$612</definedName>
    <definedName name="SD_34x1_5103x1_753_B_0" localSheetId="26" hidden="1">Prolink!$C$613</definedName>
    <definedName name="SD_34x1_5103x1_754_B_0" localSheetId="26" hidden="1">Prolink!$C$614</definedName>
    <definedName name="SD_34x1_5103x1_755_B_0" localSheetId="26" hidden="1">Prolink!$C$615</definedName>
    <definedName name="SD_34x1_5103x1_756_B_0" localSheetId="26" hidden="1">Prolink!$C$616</definedName>
    <definedName name="SD_34x1_5103x1_759_B_0" localSheetId="26" hidden="1">Prolink!$C$617</definedName>
    <definedName name="SD_34x1_5103x1_760_B_0" localSheetId="26" hidden="1">Prolink!$C$618</definedName>
    <definedName name="SD_34x1_5103x1_761_B_0" localSheetId="26" hidden="1">Prolink!$C$619</definedName>
    <definedName name="SD_34x1_5103x1_762_B_0" localSheetId="26" hidden="1">Prolink!$C$620</definedName>
    <definedName name="SD_34x1_5103x1_763_B_0" localSheetId="26" hidden="1">Prolink!$C$621</definedName>
    <definedName name="SD_34x1_5103x1_766_B_0" localSheetId="26" hidden="1">Prolink!$C$622</definedName>
    <definedName name="SD_34x1_5103x1_767_B_0" localSheetId="26" hidden="1">Prolink!$C$623</definedName>
    <definedName name="SD_34x1_5103x1_768_B_0" localSheetId="26" hidden="1">Prolink!$C$624</definedName>
    <definedName name="SD_34x1_5103x1_769_B_0" localSheetId="26" hidden="1">Prolink!$C$625</definedName>
    <definedName name="SD_34x1_5103x1_770_B_0" localSheetId="26" hidden="1">Prolink!$C$626</definedName>
    <definedName name="SD_34x1_5103x1_773_B_0" localSheetId="26" hidden="1">Prolink!$C$627</definedName>
    <definedName name="SD_34x1_5103x1_774_B_0" localSheetId="26" hidden="1">Prolink!$C$628</definedName>
    <definedName name="SD_34x1_5103x1_775_B_0" localSheetId="26" hidden="1">Prolink!$C$629</definedName>
    <definedName name="SD_34x1_5103x1_776_B_0" localSheetId="26" hidden="1">Prolink!$C$630</definedName>
    <definedName name="SD_34x1_5103x1_777_B_0" localSheetId="26" hidden="1">Prolink!$C$631</definedName>
    <definedName name="SD_34x1_5103x1_780_B_0" localSheetId="26" hidden="1">Prolink!$C$635</definedName>
    <definedName name="SD_34x1_5103x1_781_B_0" localSheetId="26" hidden="1">Prolink!$C$636</definedName>
    <definedName name="SD_34x1_5103x1_782_B_0" localSheetId="26" hidden="1">Prolink!$C$637</definedName>
    <definedName name="SD_34x1_5103x1_783_B_0" localSheetId="26" hidden="1">Prolink!$C$638</definedName>
    <definedName name="SD_34x1_5103x1_784_B_0" localSheetId="26" hidden="1">Prolink!$C$639</definedName>
    <definedName name="SD_34x1_5103x1_785_B_0" localSheetId="26" hidden="1">Prolink!$C$641</definedName>
    <definedName name="SD_34x1_5103x1_787_B_0" localSheetId="26" hidden="1">Prolink!$C$642</definedName>
    <definedName name="SD_34x1_5103x1_788_B_0" localSheetId="26" hidden="1">Prolink!$C$643</definedName>
    <definedName name="SD_34x1_5103x1_789_B_0" localSheetId="26" hidden="1">Prolink!$C$644</definedName>
    <definedName name="SD_34x1_5103x1_790_B_0" localSheetId="26" hidden="1">Prolink!$C$645</definedName>
    <definedName name="SD_34x1_5103x1_791_B_0" localSheetId="26" hidden="1">Prolink!$C$646</definedName>
    <definedName name="SD_34x1_5103x1_794_B_0" localSheetId="26" hidden="1">Prolink!$C$658</definedName>
    <definedName name="SD_34x1_5103x1_795_B_0" localSheetId="26" hidden="1">Prolink!$C$659</definedName>
    <definedName name="SD_34x1_5103x1_796_B_0" localSheetId="26" hidden="1">Prolink!$C$660</definedName>
    <definedName name="SD_34x1_5103x1_797_B_0" localSheetId="26" hidden="1">Prolink!$C$661</definedName>
    <definedName name="SD_34x1_5103x1_798_B_0" localSheetId="26" hidden="1">Prolink!$C$662</definedName>
    <definedName name="SD_34x1_5103x1_801_B_0" localSheetId="26" hidden="1">Prolink!$C$663</definedName>
    <definedName name="SD_34x1_5103x1_802_B_0" localSheetId="26" hidden="1">Prolink!$C$664</definedName>
    <definedName name="SD_34x1_5103x1_803_B_0" localSheetId="26" hidden="1">Prolink!$C$665</definedName>
    <definedName name="SD_34x1_5103x1_804_B_0" localSheetId="26" hidden="1">Prolink!$C$666</definedName>
    <definedName name="SD_34x1_5103x1_805_B_0" localSheetId="26" hidden="1">Prolink!$C$667</definedName>
    <definedName name="SD_34x1_5103x1_808_B_0" localSheetId="26" hidden="1">Prolink!$C$668</definedName>
    <definedName name="SD_34x1_5103x1_809_B_0" localSheetId="26" hidden="1">Prolink!$C$669</definedName>
    <definedName name="SD_34x1_5103x1_810_B_0" localSheetId="26" hidden="1">Prolink!$C$670</definedName>
    <definedName name="SD_34x1_5103x1_811_B_0" localSheetId="26" hidden="1">Prolink!$C$671</definedName>
    <definedName name="SD_34x1_5103x1_812_B_0" localSheetId="26" hidden="1">Prolink!$C$672</definedName>
    <definedName name="SD_34x1_5103x1_815_B_0" localSheetId="26" hidden="1">Prolink!$C$673</definedName>
    <definedName name="SD_34x1_5103x1_816_B_0" localSheetId="26" hidden="1">Prolink!$C$674</definedName>
    <definedName name="SD_34x1_5103x1_817_B_0" localSheetId="26" hidden="1">Prolink!$C$675</definedName>
    <definedName name="SD_34x1_5103x1_818_B_0" localSheetId="26" hidden="1">Prolink!$C$676</definedName>
    <definedName name="SD_34x1_5103x1_819_B_0" localSheetId="26" hidden="1">Prolink!$C$677</definedName>
    <definedName name="SD_34x1_5103x1_822_B_0" localSheetId="26" hidden="1">Prolink!$C$678</definedName>
    <definedName name="SD_34x1_5103x1_823_B_0" localSheetId="26" hidden="1">Prolink!$C$679</definedName>
    <definedName name="SD_34x1_5103x1_824_B_0" localSheetId="26" hidden="1">Prolink!$C$680</definedName>
    <definedName name="SD_34x1_5103x1_825_B_0" localSheetId="26" hidden="1">Prolink!$C$681</definedName>
    <definedName name="SD_34x1_5103x1_826_B_0" localSheetId="26" hidden="1">Prolink!$C$682</definedName>
    <definedName name="SD_34x1_5103x1_829_B_0" localSheetId="26" hidden="1">Prolink!$C$683</definedName>
    <definedName name="SD_34x1_5103x1_830_B_0" localSheetId="26" hidden="1">Prolink!$C$684</definedName>
    <definedName name="SD_34x1_5103x1_831_B_0" localSheetId="26" hidden="1">Prolink!$C$685</definedName>
    <definedName name="SD_34x1_5103x1_832_B_0" localSheetId="26" hidden="1">Prolink!$C$686</definedName>
    <definedName name="SD_34x1_5103x1_833_B_0" localSheetId="26" hidden="1">Prolink!$C$687</definedName>
    <definedName name="SD_34x1_5103x1_836_B_0" localSheetId="26" hidden="1">Prolink!$C$688</definedName>
    <definedName name="SD_34x1_5103x1_837_B_0" localSheetId="26" hidden="1">Prolink!$C$689</definedName>
    <definedName name="SD_34x1_5103x1_838_B_0" localSheetId="26" hidden="1">Prolink!$C$690</definedName>
    <definedName name="SD_34x1_5103x1_839_B_0" localSheetId="26" hidden="1">Prolink!$C$691</definedName>
    <definedName name="SD_34x1_5103x1_840_B_0" localSheetId="26" hidden="1">Prolink!$C$692</definedName>
    <definedName name="SD_34x1_5103x1_843_B_0" localSheetId="26" hidden="1">Prolink!$C$693</definedName>
    <definedName name="SD_34x1_5103x1_844_B_0" localSheetId="26" hidden="1">Prolink!$C$694</definedName>
    <definedName name="SD_34x1_5103x1_845_B_0" localSheetId="26" hidden="1">Prolink!$C$695</definedName>
    <definedName name="SD_34x1_5103x1_846_B_0" localSheetId="26" hidden="1">Prolink!$C$696</definedName>
    <definedName name="SD_34x1_5103x1_847_B_0" localSheetId="26" hidden="1">Prolink!$C$697</definedName>
    <definedName name="SD_34x1_5103x1_850_B_0" localSheetId="26" hidden="1">Prolink!$C$222</definedName>
    <definedName name="SD_34x1_5103x1_851_B_0" localSheetId="26" hidden="1">Prolink!$C$224</definedName>
    <definedName name="SD_34x1_5103x1_852_B_0" localSheetId="26" hidden="1">Prolink!$C$223</definedName>
    <definedName name="SD_34x1_5103x1_853_B_0" localSheetId="26" hidden="1">Prolink!$C$225</definedName>
    <definedName name="SD_34x1_5103x1_854_B_0" localSheetId="26" hidden="1">Prolink!$C$596</definedName>
    <definedName name="SD_34x1_5103x1_855_B_0" localSheetId="26" hidden="1">Prolink!$C$597</definedName>
    <definedName name="SD_34x1_5103x1_856_B_0" localSheetId="26" hidden="1">Prolink!$C$598</definedName>
    <definedName name="SD_34x1_5103x1_857_B_0" localSheetId="26" hidden="1">Prolink!$C$599</definedName>
    <definedName name="SD_34x1_5103x1_858_B_0" localSheetId="26" hidden="1">Prolink!$C$600</definedName>
    <definedName name="SD_34x1_5103x1_861_B_0" localSheetId="26" hidden="1">Prolink!$C$604</definedName>
    <definedName name="SD_34x1_5103x1_862_B_0" localSheetId="26" hidden="1">Prolink!$C$605</definedName>
    <definedName name="SD_34x1_5103x1_863_B_0" localSheetId="26" hidden="1">Prolink!$C$606</definedName>
    <definedName name="SD_34x1_5103x1_864_B_0" localSheetId="26" hidden="1">Prolink!$C$607</definedName>
    <definedName name="SD_34x1_5103x1_865_B_0" localSheetId="26" hidden="1">Prolink!$C$608</definedName>
    <definedName name="SD_34x1_5103x1_870_B_0" localSheetId="26" hidden="1">Prolink!$C$221</definedName>
    <definedName name="SD_34x1_5103x1_874_B_0" localSheetId="26" hidden="1">Prolink!$C$282</definedName>
    <definedName name="SD_34x1_5103x1_875_B_0" localSheetId="26" hidden="1">Prolink!$C$698</definedName>
    <definedName name="SD_34x1_5103x1_876_B_0" localSheetId="26" hidden="1">Prolink!$C$699</definedName>
    <definedName name="SD_34x1_5103x1_877_B_0" localSheetId="26" hidden="1">Prolink!$C$700</definedName>
    <definedName name="SD_34x1_5103x1_878_B_0" localSheetId="26" hidden="1">Prolink!$C$702</definedName>
    <definedName name="SD_34x1_5103x1_879_B_0" localSheetId="26" hidden="1">Prolink!$C$701</definedName>
    <definedName name="SD_34x1_5103x1_880_B_1" localSheetId="26" hidden="1">Prolink!$C$255</definedName>
    <definedName name="SD_34x1_5103x1_882_B_1" localSheetId="26" hidden="1">Prolink!$C$257</definedName>
    <definedName name="SD_34x1_5103x1_883_B_1" localSheetId="26" hidden="1">Prolink!$C$259</definedName>
    <definedName name="SD_34x1_5103x1_884_B_1" localSheetId="26" hidden="1">Prolink!$C$260</definedName>
    <definedName name="SD_34x1_5103x1_886_B_0" localSheetId="26" hidden="1">Prolink!$C$552</definedName>
    <definedName name="SD_34x1_5103x1_887_B_0" localSheetId="26" hidden="1">Prolink!$C$553</definedName>
    <definedName name="SD_34x1_5103x1_888_B_0" localSheetId="26" hidden="1">Prolink!$C$577</definedName>
    <definedName name="SD_34x1_5103x1_889_B_0" localSheetId="26" hidden="1">Prolink!$C$578</definedName>
    <definedName name="SD_34x1_5103x1_890_B_0" localSheetId="26" hidden="1">Prolink!$C$602</definedName>
    <definedName name="SD_34x1_5103x1_891_B_0" localSheetId="26" hidden="1">Prolink!$C$603</definedName>
    <definedName name="SD_34x1_5103x1_892_B_0" localSheetId="26" hidden="1">Prolink!$C$610</definedName>
    <definedName name="SD_34x1_5103x1_893_B_0" localSheetId="26" hidden="1">Prolink!$C$611</definedName>
    <definedName name="SD_34x1_5103x1_894_B_0" localSheetId="26" hidden="1">Prolink!$C$633</definedName>
    <definedName name="SD_34x1_5103x1_895_B_0" localSheetId="26" hidden="1">Prolink!$C$634</definedName>
    <definedName name="SD_34x1_5103x1_896_B_0" localSheetId="26" hidden="1">Prolink!$C$647</definedName>
    <definedName name="SD_34x1_5103x1_897_B_0" localSheetId="26" hidden="1">Prolink!$C$648</definedName>
    <definedName name="SD_34x1_5103x1_898_B_0" localSheetId="26" hidden="1">Prolink!$C$649</definedName>
    <definedName name="SD_34x1_5103x1_899_B_0" localSheetId="26" hidden="1">Prolink!$C$650</definedName>
    <definedName name="SD_34x1_5103x1_900_B_0" localSheetId="26" hidden="1">Prolink!$C$651</definedName>
    <definedName name="SD_34x1_5103x1_901_B_0" localSheetId="26" hidden="1">Prolink!$C$653</definedName>
    <definedName name="SD_34x1_5103x1_902_B_0" localSheetId="26" hidden="1">Prolink!$C$654</definedName>
    <definedName name="SD_34x1_5103x1_903_B_0" localSheetId="26" hidden="1">Prolink!$C$655</definedName>
    <definedName name="SD_34x1_5103x1_904_B_0" localSheetId="26" hidden="1">Prolink!$C$656</definedName>
    <definedName name="SD_34x1_5103x1_905_B_0" localSheetId="26" hidden="1">Prolink!$C$657</definedName>
    <definedName name="SD_34x1_5103x1_906_B_0" localSheetId="26" hidden="1">Prolink!$C$704</definedName>
    <definedName name="SD_34x1_5103x1_907_B_0" localSheetId="26" hidden="1">Prolink!$C$705</definedName>
    <definedName name="SD_34x1_5103x1_908_B_0" localSheetId="26" hidden="1">Prolink!$C$8</definedName>
    <definedName name="SD_34x1_5103x1_909_B_0" localSheetId="26" hidden="1">Prolink!$C$16</definedName>
    <definedName name="SD_34x1_5103x1_910_B_1" localSheetId="26" hidden="1">Prolink!$C$258</definedName>
    <definedName name="SD_34x1_5103x1_911_B_0" localSheetId="26" hidden="1">Prolink!$C$293</definedName>
    <definedName name="SD_34x1_5103x1_912_B_0" localSheetId="26" hidden="1">Prolink!$C$15</definedName>
    <definedName name="SD_34x1_5103x1_913_B_0" localSheetId="26" hidden="1">Prolink!$C$22</definedName>
    <definedName name="SD_34x1_5103x1_914_B_0" localSheetId="26" hidden="1">Prolink!$C$29</definedName>
    <definedName name="SD_34x1_5103x1_915_B_0" localSheetId="26" hidden="1">Prolink!$C$36</definedName>
    <definedName name="SD_34x1_5103x1_916_B_0" localSheetId="26" hidden="1">Prolink!$C$43</definedName>
    <definedName name="SD_34x1_5103x1_917_B_0" localSheetId="26" hidden="1">Prolink!$C$50</definedName>
    <definedName name="SD_34x1_5103x1_918_B_0" localSheetId="26" hidden="1">Prolink!$C$57</definedName>
    <definedName name="SD_34x1_5103x1_919_B_0" localSheetId="26" hidden="1">Prolink!$C$64</definedName>
    <definedName name="SD_34x1_5103x1_920_B_0" localSheetId="26" hidden="1">Prolink!$C$71</definedName>
    <definedName name="SD_34x1_5103x1_921_B_0" localSheetId="26" hidden="1">Prolink!$C$78</definedName>
    <definedName name="SD_34x1_5103x1_922_B_0" localSheetId="26" hidden="1">Prolink!$C$85</definedName>
    <definedName name="SD_34x1_5103x1_923_B_0" localSheetId="26" hidden="1">Prolink!$C$92</definedName>
    <definedName name="SD_34x1_5103x1_924_B_0" localSheetId="26" hidden="1">Prolink!$C$99</definedName>
    <definedName name="SD_34x1_5103x1_925_B_0" localSheetId="26" hidden="1">Prolink!$C$9</definedName>
    <definedName name="SD_34x1_5103x1_926_B_0" localSheetId="26" hidden="1">Prolink!$C$23</definedName>
    <definedName name="SD_34x1_5103x1_927_B_0" localSheetId="26" hidden="1">Prolink!$C$30</definedName>
    <definedName name="SD_34x1_5103x1_928_B_0" localSheetId="26" hidden="1">Prolink!$C$37</definedName>
    <definedName name="SD_34x1_5103x1_929_B_0" localSheetId="26" hidden="1">Prolink!$C$44</definedName>
    <definedName name="SD_34x1_5103x1_930_B_0" localSheetId="26" hidden="1">Prolink!$C$51</definedName>
    <definedName name="SD_34x1_5103x1_931_B_0" localSheetId="26" hidden="1">Prolink!$C$58</definedName>
    <definedName name="SD_34x1_5103x1_932_B_0" localSheetId="26" hidden="1">Prolink!$C$65</definedName>
    <definedName name="SD_34x1_5103x1_933_B_0" localSheetId="26" hidden="1">Prolink!$C$72</definedName>
    <definedName name="SD_34x1_5103x1_934_B_0" localSheetId="26" hidden="1">Prolink!$C$79</definedName>
    <definedName name="SD_34x1_5103x1_935_B_0" localSheetId="26" hidden="1">Prolink!$C$86</definedName>
    <definedName name="SD_34x1_5103x1_936_B_0" localSheetId="26" hidden="1">Prolink!$C$93</definedName>
    <definedName name="SD_34x1_5103x1_937_B_0" localSheetId="26" hidden="1">Prolink!$C$100</definedName>
    <definedName name="SD_34x1_5103x1_938_B_0" localSheetId="26" hidden="1">Prolink!$C$10</definedName>
    <definedName name="SD_34x1_5103x1_939_B_0" localSheetId="26" hidden="1">Prolink!$C$17</definedName>
    <definedName name="SD_34x1_5103x1_940_B_0" localSheetId="26" hidden="1">Prolink!$C$24</definedName>
    <definedName name="SD_34x1_5103x1_941_B_0" localSheetId="26" hidden="1">Prolink!$C$31</definedName>
    <definedName name="SD_34x1_5103x1_942_B_0" localSheetId="26" hidden="1">Prolink!$C$38</definedName>
    <definedName name="SD_34x1_5103x1_943_B_0" localSheetId="26" hidden="1">Prolink!$C$45</definedName>
    <definedName name="SD_34x1_5103x1_944_B_0" localSheetId="26" hidden="1">Prolink!$C$52</definedName>
    <definedName name="SD_34x1_5103x1_945_B_0" localSheetId="26" hidden="1">Prolink!$C$59</definedName>
    <definedName name="SD_34x1_5103x1_946_B_0" localSheetId="26" hidden="1">Prolink!$C$66</definedName>
    <definedName name="SD_34x1_5103x1_947_B_0" localSheetId="26" hidden="1">Prolink!$C$73</definedName>
    <definedName name="SD_34x1_5103x1_948_B_0" localSheetId="26" hidden="1">Prolink!$C$80</definedName>
    <definedName name="SD_34x1_5103x1_949_B_0" localSheetId="26" hidden="1">Prolink!$C$87</definedName>
    <definedName name="SD_34x1_5103x1_950_B_0" localSheetId="26" hidden="1">Prolink!$C$94</definedName>
    <definedName name="SD_34x1_5103x1_951_B_0" localSheetId="26" hidden="1">Prolink!$C$101</definedName>
    <definedName name="SD_34x1_5103x1_952_B_0" localSheetId="26" hidden="1">Prolink!$C$11</definedName>
    <definedName name="SD_34x1_5103x1_953_B_0" localSheetId="26" hidden="1">Prolink!$C$18</definedName>
    <definedName name="SD_34x1_5103x1_954_B_0" localSheetId="26" hidden="1">Prolink!$C$25</definedName>
    <definedName name="SD_34x1_5103x1_955_B_0" localSheetId="26" hidden="1">Prolink!$C$32</definedName>
    <definedName name="SD_34x1_5103x1_956_B_0" localSheetId="26" hidden="1">Prolink!$C$39</definedName>
    <definedName name="SD_34x1_5103x1_957_B_0" localSheetId="26" hidden="1">Prolink!$C$46</definedName>
    <definedName name="SD_34x1_5103x1_958_B_0" localSheetId="26" hidden="1">Prolink!$C$53</definedName>
    <definedName name="SD_34x1_5103x1_959_B_0" localSheetId="26" hidden="1">Prolink!$C$60</definedName>
    <definedName name="SD_34x1_5103x1_960_B_0" localSheetId="26" hidden="1">Prolink!$C$67</definedName>
    <definedName name="SD_34x1_5103x1_961_B_0" localSheetId="26" hidden="1">Prolink!$C$74</definedName>
    <definedName name="SD_34x1_5103x1_962_B_0" localSheetId="26" hidden="1">Prolink!$C$81</definedName>
    <definedName name="SD_34x1_5103x1_963_B_0" localSheetId="26" hidden="1">Prolink!$C$88</definedName>
    <definedName name="SD_34x1_5103x1_964_B_0" localSheetId="26" hidden="1">Prolink!$C$95</definedName>
    <definedName name="SD_34x1_5103x1_965_B_0" localSheetId="26" hidden="1">Prolink!$C$102</definedName>
    <definedName name="SD_34x1_5103x1_966_B_0" localSheetId="26" hidden="1">Prolink!$C$106</definedName>
    <definedName name="SD_34x1_5103x1_967_B_0" localSheetId="26" hidden="1">Prolink!$C$107</definedName>
    <definedName name="SD_34x1_5103x1_968_B_0" localSheetId="26" hidden="1">Prolink!$C$108</definedName>
    <definedName name="SD_34x1_5103x1_969_B_0" localSheetId="26" hidden="1">Prolink!$C$109</definedName>
    <definedName name="SD_34x1_5103x1_972_B_0" localSheetId="26" hidden="1">Prolink!$C$820</definedName>
    <definedName name="SD_34x1_511_B_0" localSheetId="26" hidden="1">Prolink!$C$493</definedName>
    <definedName name="SD_34x1_512_B_1" localSheetId="26" hidden="1">Prolink!$C$570</definedName>
    <definedName name="SD_34x1_5155x1_10_B_0" localSheetId="26" hidden="1">Prolink!$D$890</definedName>
    <definedName name="SD_34x1_5155x1_21_B_1" localSheetId="26" hidden="1">Prolink!$E$890</definedName>
    <definedName name="SD_34x1_5155x1_7_B_0" localSheetId="26" hidden="1">Prolink!$C$890</definedName>
    <definedName name="SD_34x1_5155x2_10_B_0" localSheetId="26" hidden="1">Prolink!$D$891</definedName>
    <definedName name="SD_34x1_5155x2_21_B_1" localSheetId="26" hidden="1">Prolink!$E$891</definedName>
    <definedName name="SD_34x1_5155x2_7_B_0" localSheetId="26" hidden="1">Prolink!$C$891</definedName>
    <definedName name="SD_34x1_5155x3_10_B_0" localSheetId="26" hidden="1">Prolink!$D$892</definedName>
    <definedName name="SD_34x1_5155x3_21_B_1" localSheetId="26" hidden="1">Prolink!$E$892</definedName>
    <definedName name="SD_34x1_5155x3_7_B_0" localSheetId="26" hidden="1">Prolink!$C$892</definedName>
    <definedName name="SD_34x1_5155x4_10_B_0" localSheetId="26" hidden="1">Prolink!$D$893</definedName>
    <definedName name="SD_34x1_5155x4_21_B_1" localSheetId="26" hidden="1">Prolink!$E$893</definedName>
    <definedName name="SD_34x1_5155x4_7_B_0" localSheetId="26" hidden="1">Prolink!$C$893</definedName>
    <definedName name="SD_34x1_5155x5_10_B_0" localSheetId="26" hidden="1">Prolink!$D$894</definedName>
    <definedName name="SD_34x1_5155x5_21_B_1" localSheetId="26" hidden="1">Prolink!$E$894</definedName>
    <definedName name="SD_34x1_5155x5_7_B_0" localSheetId="26" hidden="1">Prolink!$C$894</definedName>
    <definedName name="SD_34x1_5155x6_10_B_0" localSheetId="26" hidden="1">Prolink!$D$895</definedName>
    <definedName name="SD_34x1_5155x6_21_B_1" localSheetId="26" hidden="1">Prolink!$E$895</definedName>
    <definedName name="SD_34x1_5155x6_7_B_0" localSheetId="26" hidden="1">Prolink!$C$895</definedName>
    <definedName name="SD_34x1_5155x7_10_B_0" localSheetId="26" hidden="1">Prolink!$D$896</definedName>
    <definedName name="SD_34x1_5155x7_21_B_1" localSheetId="26" hidden="1">Prolink!$E$896</definedName>
    <definedName name="SD_34x1_5155x7_7_B_0" localSheetId="26" hidden="1">Prolink!$C$896</definedName>
    <definedName name="SD_34x1_5155x8_10_B_0" localSheetId="26" hidden="1">Prolink!$D$897</definedName>
    <definedName name="SD_34x1_5155x8_21_B_1" localSheetId="26" hidden="1">Prolink!$E$897</definedName>
    <definedName name="SD_34x1_5155x8_7_B_0" localSheetId="26" hidden="1">Prolink!$C$897</definedName>
    <definedName name="SD_34x1_5158x1_10_B_0" localSheetId="26" hidden="1">Prolink!$D$866</definedName>
    <definedName name="SD_34x1_5158x1_11_B_0" localSheetId="26" hidden="1">Prolink!$H$866</definedName>
    <definedName name="SD_34x1_5158x1_12_B_0" localSheetId="26" hidden="1">Prolink!$E$866</definedName>
    <definedName name="SD_34x1_5158x1_13_B_0" localSheetId="26" hidden="1">Prolink!$G$866</definedName>
    <definedName name="SD_34x1_5158x1_14_B_0" localSheetId="26" hidden="1">Prolink!$F$866</definedName>
    <definedName name="SD_34x1_5158x1_21_B_1" localSheetId="26" hidden="1">Prolink!$I$866</definedName>
    <definedName name="SD_34x1_5158x1_7_B_0" localSheetId="26" hidden="1">Prolink!$C$866</definedName>
    <definedName name="SD_34x1_5158x2_10_B_0" localSheetId="26" hidden="1">Prolink!$D$867</definedName>
    <definedName name="SD_34x1_5158x2_11_B_0" localSheetId="26" hidden="1">Prolink!$H$867</definedName>
    <definedName name="SD_34x1_5158x2_12_B_0" localSheetId="26" hidden="1">Prolink!$E$867</definedName>
    <definedName name="SD_34x1_5158x2_13_B_0" localSheetId="26" hidden="1">Prolink!$G$867</definedName>
    <definedName name="SD_34x1_5158x2_14_B_0" localSheetId="26" hidden="1">Prolink!$F$867</definedName>
    <definedName name="SD_34x1_5158x2_21_B_1" localSheetId="26" hidden="1">Prolink!$I$867</definedName>
    <definedName name="SD_34x1_5158x2_7_B_0" localSheetId="26" hidden="1">Prolink!$C$867</definedName>
    <definedName name="SD_34x1_5158x3_10_B_0" localSheetId="26" hidden="1">Prolink!$D$868</definedName>
    <definedName name="SD_34x1_5158x3_11_B_0" localSheetId="26" hidden="1">Prolink!$H$868</definedName>
    <definedName name="SD_34x1_5158x3_12_B_0" localSheetId="26" hidden="1">Prolink!$E$868</definedName>
    <definedName name="SD_34x1_5158x3_13_B_0" localSheetId="26" hidden="1">Prolink!$G$868</definedName>
    <definedName name="SD_34x1_5158x3_14_B_0" localSheetId="26" hidden="1">Prolink!$F$868</definedName>
    <definedName name="SD_34x1_5158x3_21_B_1" localSheetId="26" hidden="1">Prolink!$I$868</definedName>
    <definedName name="SD_34x1_5158x3_7_B_0" localSheetId="26" hidden="1">Prolink!$C$868</definedName>
    <definedName name="SD_34x1_5158x4_10_B_0" localSheetId="26" hidden="1">Prolink!$D$869</definedName>
    <definedName name="SD_34x1_5158x4_11_B_0" localSheetId="26" hidden="1">Prolink!$H$869</definedName>
    <definedName name="SD_34x1_5158x4_12_B_0" localSheetId="26" hidden="1">Prolink!$E$869</definedName>
    <definedName name="SD_34x1_5158x4_13_B_0" localSheetId="26" hidden="1">Prolink!$G$869</definedName>
    <definedName name="SD_34x1_5158x4_14_B_0" localSheetId="26" hidden="1">Prolink!$F$869</definedName>
    <definedName name="SD_34x1_5158x4_21_B_1" localSheetId="26" hidden="1">Prolink!$I$869</definedName>
    <definedName name="SD_34x1_5158x4_7_B_0" localSheetId="26" hidden="1">Prolink!$C$869</definedName>
    <definedName name="SD_34x1_5158x5_10_B_0" localSheetId="26" hidden="1">Prolink!$D$870</definedName>
    <definedName name="SD_34x1_5158x5_11_B_0" localSheetId="26" hidden="1">Prolink!$H$870</definedName>
    <definedName name="SD_34x1_5158x5_12_B_0" localSheetId="26" hidden="1">Prolink!$E$870</definedName>
    <definedName name="SD_34x1_5158x5_13_B_0" localSheetId="26" hidden="1">Prolink!$G$870</definedName>
    <definedName name="SD_34x1_5158x5_14_B_0" localSheetId="26" hidden="1">Prolink!$F$870</definedName>
    <definedName name="SD_34x1_5158x5_21_B_1" localSheetId="26" hidden="1">Prolink!$I$870</definedName>
    <definedName name="SD_34x1_5158x5_7_B_0" localSheetId="26" hidden="1">Prolink!$C$870</definedName>
    <definedName name="SD_34x1_5158x6_10_B_0" localSheetId="26" hidden="1">Prolink!$D$871</definedName>
    <definedName name="SD_34x1_5158x6_11_B_0" localSheetId="26" hidden="1">Prolink!$H$871</definedName>
    <definedName name="SD_34x1_5158x6_12_B_0" localSheetId="26" hidden="1">Prolink!$E$871</definedName>
    <definedName name="SD_34x1_5158x6_13_B_0" localSheetId="26" hidden="1">Prolink!$G$871</definedName>
    <definedName name="SD_34x1_5158x6_14_B_0" localSheetId="26" hidden="1">Prolink!$F$871</definedName>
    <definedName name="SD_34x1_5158x6_21_B_1" localSheetId="26" hidden="1">Prolink!$I$871</definedName>
    <definedName name="SD_34x1_5158x6_7_B_0" localSheetId="26" hidden="1">Prolink!$C$871</definedName>
    <definedName name="SD_34x1_5158x7_10_B_0" localSheetId="26" hidden="1">Prolink!$D$872</definedName>
    <definedName name="SD_34x1_5158x7_11_B_0" localSheetId="26" hidden="1">Prolink!$H$872</definedName>
    <definedName name="SD_34x1_5158x7_12_B_0" localSheetId="26" hidden="1">Prolink!$E$872</definedName>
    <definedName name="SD_34x1_5158x7_13_B_0" localSheetId="26" hidden="1">Prolink!$G$872</definedName>
    <definedName name="SD_34x1_5158x7_14_B_0" localSheetId="26" hidden="1">Prolink!$F$872</definedName>
    <definedName name="SD_34x1_5158x7_21_B_1" localSheetId="26" hidden="1">Prolink!$I$872</definedName>
    <definedName name="SD_34x1_5158x7_7_B_0" localSheetId="26" hidden="1">Prolink!$C$872</definedName>
    <definedName name="SD_34x1_5158x8_10_B_0" localSheetId="26" hidden="1">Prolink!$D$873</definedName>
    <definedName name="SD_34x1_5158x8_11_B_0" localSheetId="26" hidden="1">Prolink!$H$873</definedName>
    <definedName name="SD_34x1_5158x8_12_B_0" localSheetId="26" hidden="1">Prolink!$E$873</definedName>
    <definedName name="SD_34x1_5158x8_13_B_0" localSheetId="26" hidden="1">Prolink!$G$873</definedName>
    <definedName name="SD_34x1_5158x8_14_B_0" localSheetId="26" hidden="1">Prolink!$F$873</definedName>
    <definedName name="SD_34x1_5158x8_21_B_1" localSheetId="26" hidden="1">Prolink!$I$873</definedName>
    <definedName name="SD_34x1_5158x8_7_B_0" localSheetId="26" hidden="1">Prolink!$C$873</definedName>
    <definedName name="SD_34x1_5158x9_10_B_0" localSheetId="26" hidden="1">Prolink!$D$874</definedName>
    <definedName name="SD_34x1_5158x9_11_B_0" localSheetId="26" hidden="1">Prolink!$H$874</definedName>
    <definedName name="SD_34x1_5158x9_12_B_0" localSheetId="26" hidden="1">Prolink!$E$874</definedName>
    <definedName name="SD_34x1_5158x9_13_B_0" localSheetId="26" hidden="1">Prolink!$G$874</definedName>
    <definedName name="SD_34x1_5158x9_14_B_0" localSheetId="26" hidden="1">Prolink!$F$874</definedName>
    <definedName name="SD_34x1_5158x9_21_B_1" localSheetId="26" hidden="1">Prolink!$I$874</definedName>
    <definedName name="SD_34x1_5158x9_7_B_0" localSheetId="26" hidden="1">Prolink!$C$874</definedName>
    <definedName name="SD_34x1_54_B_0" localSheetId="26" hidden="1">Prolink!$C$503</definedName>
    <definedName name="SD_34x1_56_B_0" localSheetId="26" hidden="1">Prolink!$C$511</definedName>
    <definedName name="SD_34x1_65_B_0" localSheetId="26" hidden="1">Prolink!$C$317</definedName>
    <definedName name="SD_34x1_66_B_0" localSheetId="26" hidden="1">Prolink!$C$314</definedName>
    <definedName name="SD_34x1_667_B_0" localSheetId="26" hidden="1">Prolink!$C$297</definedName>
    <definedName name="SD_34x1_67_B_0" localSheetId="26" hidden="1">Prolink!$C$315</definedName>
    <definedName name="SD_34x1_68_B_0" localSheetId="26" hidden="1">Prolink!$C$316</definedName>
    <definedName name="SD_34x1_7026x1_11_B_0" localSheetId="26" hidden="1">Prolink!$C$466</definedName>
    <definedName name="SD_34x1_7026x1_8_B_1" localSheetId="26" hidden="1">Prolink!$C$465</definedName>
    <definedName name="SD_34x1_7026x1_9_B_0" localSheetId="26" hidden="1">Prolink!$C$467</definedName>
    <definedName name="SD_34x1_7026x2_11_B_0" localSheetId="26" hidden="1">Prolink!$C$469</definedName>
    <definedName name="SD_34x1_7026x2_8_B_1" localSheetId="26" hidden="1">Prolink!$C$468</definedName>
    <definedName name="SD_34x1_7026x2_9_B_0" localSheetId="26" hidden="1">Prolink!$C$470</definedName>
    <definedName name="SD_34x1_7026x3_11_B_0" localSheetId="26" hidden="1">Prolink!$C$472</definedName>
    <definedName name="SD_34x1_7026x3_8_B_1" localSheetId="26" hidden="1">Prolink!$C$471</definedName>
    <definedName name="SD_34x1_7026x3_9_B_0" localSheetId="26" hidden="1">Prolink!$C$473</definedName>
    <definedName name="SD_34x1_7026x4_11_B_0" localSheetId="26" hidden="1">Prolink!$C$475</definedName>
    <definedName name="SD_34x1_7026x4_8_B_1" localSheetId="26" hidden="1">Prolink!$C$474</definedName>
    <definedName name="SD_34x1_7026x4_9_B_0" localSheetId="26" hidden="1">Prolink!$C$476</definedName>
    <definedName name="SD_34x1_7026x5_11_B_0" localSheetId="26" hidden="1">Prolink!$C$478</definedName>
    <definedName name="SD_34x1_7026x5_8_B_1" localSheetId="26" hidden="1">Prolink!$C$477</definedName>
    <definedName name="SD_34x1_7026x5_9_B_0" localSheetId="26" hidden="1">Prolink!$C$479</definedName>
    <definedName name="SD_34x1_7026x6_11_B_0" localSheetId="26" hidden="1">Prolink!$C$481</definedName>
    <definedName name="SD_34x1_7026x6_8_B_1" localSheetId="26" hidden="1">Prolink!$C$480</definedName>
    <definedName name="SD_34x1_7026x6_9_B_0" localSheetId="26" hidden="1">Prolink!$C$482</definedName>
    <definedName name="SD_34x1_7026x7_11_B_0" localSheetId="26" hidden="1">Prolink!$C$484</definedName>
    <definedName name="SD_34x1_7026x7_8_B_1" localSheetId="26" hidden="1">Prolink!$C$483</definedName>
    <definedName name="SD_34x1_7026x7_9_B_0" localSheetId="26" hidden="1">Prolink!$C$485</definedName>
    <definedName name="SD_34x1_7026x8_11_B_0" localSheetId="26" hidden="1">Prolink!$C$487</definedName>
    <definedName name="SD_34x1_7026x8_8_B_1" localSheetId="26" hidden="1">Prolink!$C$486</definedName>
    <definedName name="SD_34x1_7026x8_9_B_0" localSheetId="26" hidden="1">Prolink!$C$488</definedName>
    <definedName name="SD_34x1_77x1_107_B_0" localSheetId="26" hidden="1">Prolink!$C$542</definedName>
    <definedName name="SD_34x1_77x1_133_B_0" localSheetId="26" hidden="1">Prolink!$C$541</definedName>
    <definedName name="SD_34x1_77x1_185_B_0" localSheetId="26" hidden="1">Prolink!$C$516</definedName>
    <definedName name="SD_34x1_77x1_186_B_0" localSheetId="26" hidden="1">Prolink!$C$517</definedName>
    <definedName name="SD_34x1_77x1_187_B_0" localSheetId="26" hidden="1">Prolink!$C$518</definedName>
    <definedName name="SD_34x1_77x1_188_B_0" localSheetId="26" hidden="1">Prolink!$C$519</definedName>
    <definedName name="SD_34x1_77x1_189_B_0" localSheetId="26" hidden="1">Prolink!$C$520</definedName>
    <definedName name="SD_34x1_77x1_190_B_0" localSheetId="26" hidden="1">Prolink!$C$521</definedName>
    <definedName name="SD_34x1_77x1_191_B_0" localSheetId="26" hidden="1">Prolink!$C$522</definedName>
    <definedName name="SD_34x1_77x1_192_B_0" localSheetId="26" hidden="1">Prolink!$C$523</definedName>
    <definedName name="SD_34x1_77x1_195_B_0" localSheetId="26" hidden="1">Prolink!$C$524</definedName>
    <definedName name="SD_34x1_77x1_197_B_0" localSheetId="26" hidden="1">Prolink!$C$525</definedName>
    <definedName name="SD_34x1_77x1_55_B_0" localSheetId="26" hidden="1">Prolink!$C$526</definedName>
    <definedName name="SD_34x1_77x1_56_B_0" localSheetId="26" hidden="1">Prolink!$C$527</definedName>
    <definedName name="SD_34x1_77x1_57_B_0" localSheetId="26" hidden="1">Prolink!$C$528</definedName>
    <definedName name="SD_34x1_77x1_58_B_0" localSheetId="26" hidden="1">Prolink!$C$529</definedName>
    <definedName name="SD_34x1_77x1_81_B_0" localSheetId="26" hidden="1">Prolink!$C$530</definedName>
    <definedName name="SD_34x1_77x1_82_B_0" localSheetId="26" hidden="1">Prolink!$C$531</definedName>
    <definedName name="SD_34x1_77x1_83_B_0" localSheetId="26" hidden="1">Prolink!$C$532</definedName>
    <definedName name="SD_34x1_77x1_84_B_0" localSheetId="26" hidden="1">Prolink!$C$533</definedName>
    <definedName name="SD_34x1_77x1_85_B_0" localSheetId="26" hidden="1">Prolink!$C$534</definedName>
    <definedName name="SD_34x1_77x1_86_B_0" localSheetId="26" hidden="1">Prolink!$C$535</definedName>
    <definedName name="SD_34x1_77x1_87_B_0" localSheetId="26" hidden="1">Prolink!$C$536</definedName>
    <definedName name="SD_34x1_77x1_88_B_0" localSheetId="26" hidden="1">Prolink!$C$537</definedName>
    <definedName name="SD_34x1_77x1_89_B_0" localSheetId="26" hidden="1">Prolink!$C$538</definedName>
    <definedName name="SD_34x1_77x1_90_B_0" localSheetId="26" hidden="1">Prolink!$C$539</definedName>
    <definedName name="SD_34x1_77x1_91_B_0" localSheetId="26" hidden="1">Prolink!$C$540</definedName>
    <definedName name="SD_34x1_78_B_0" localSheetId="26" hidden="1">Prolink!$C$504</definedName>
    <definedName name="SD_34x1_78x1_10_B_0" localSheetId="26" hidden="1">Prolink!$G$1016</definedName>
    <definedName name="SD_34x1_78x1_17_B_1" localSheetId="26" hidden="1">Prolink!$C$1016</definedName>
    <definedName name="SD_34x1_78x1_20_B_1" localSheetId="26" hidden="1">Prolink!$D$1016</definedName>
    <definedName name="SD_34x1_78x1_8_B_0" localSheetId="26" hidden="1">Prolink!$E$1016</definedName>
    <definedName name="SD_34x1_78x1_9_B_0" localSheetId="26" hidden="1">Prolink!$F$1016</definedName>
    <definedName name="SD_34x1_78x10_10_B_0" localSheetId="26" hidden="1">Prolink!$G$1025</definedName>
    <definedName name="SD_34x1_78x10_17_B_1" localSheetId="26" hidden="1">Prolink!$C$1025</definedName>
    <definedName name="SD_34x1_78x10_20_B_1" localSheetId="26" hidden="1">Prolink!$D$1025</definedName>
    <definedName name="SD_34x1_78x10_8_B_0" localSheetId="26" hidden="1">Prolink!$E$1025</definedName>
    <definedName name="SD_34x1_78x10_9_B_0" localSheetId="26" hidden="1">Prolink!$F$1025</definedName>
    <definedName name="SD_34x1_78x11_10_B_0" localSheetId="26" hidden="1">Prolink!$G$1026</definedName>
    <definedName name="SD_34x1_78x11_17_B_1" localSheetId="26" hidden="1">Prolink!$C$1026</definedName>
    <definedName name="SD_34x1_78x11_20_B_1" localSheetId="26" hidden="1">Prolink!$D$1026</definedName>
    <definedName name="SD_34x1_78x11_8_B_0" localSheetId="26" hidden="1">Prolink!$E$1026</definedName>
    <definedName name="SD_34x1_78x11_9_B_0" localSheetId="26" hidden="1">Prolink!$F$1026</definedName>
    <definedName name="SD_34x1_78x12_10_B_0" localSheetId="26" hidden="1">Prolink!$G$1027</definedName>
    <definedName name="SD_34x1_78x12_17_B_1" localSheetId="26" hidden="1">Prolink!$C$1027</definedName>
    <definedName name="SD_34x1_78x12_20_B_1" localSheetId="26" hidden="1">Prolink!$D$1027</definedName>
    <definedName name="SD_34x1_78x12_8_B_0" localSheetId="26" hidden="1">Prolink!$E$1027</definedName>
    <definedName name="SD_34x1_78x12_9_B_0" localSheetId="26" hidden="1">Prolink!$F$1027</definedName>
    <definedName name="SD_34x1_78x13_10_B_0" localSheetId="26" hidden="1">Prolink!$G$1028</definedName>
    <definedName name="SD_34x1_78x13_17_B_1" localSheetId="26" hidden="1">Prolink!$C$1028</definedName>
    <definedName name="SD_34x1_78x13_20_B_1" localSheetId="26" hidden="1">Prolink!$D$1028</definedName>
    <definedName name="SD_34x1_78x13_8_B_0" localSheetId="26" hidden="1">Prolink!$E$1028</definedName>
    <definedName name="SD_34x1_78x13_9_B_0" localSheetId="26" hidden="1">Prolink!$F$1028</definedName>
    <definedName name="SD_34x1_78x14_10_B_0" localSheetId="26" hidden="1">Prolink!$G$1029</definedName>
    <definedName name="SD_34x1_78x14_17_B_1" localSheetId="26" hidden="1">Prolink!$C$1029</definedName>
    <definedName name="SD_34x1_78x14_20_B_1" localSheetId="26" hidden="1">Prolink!$D$1029</definedName>
    <definedName name="SD_34x1_78x14_8_B_0" localSheetId="26" hidden="1">Prolink!$E$1029</definedName>
    <definedName name="SD_34x1_78x14_9_B_0" localSheetId="26" hidden="1">Prolink!$F$1029</definedName>
    <definedName name="SD_34x1_78x15_10_B_0" localSheetId="26" hidden="1">Prolink!$G$1030</definedName>
    <definedName name="SD_34x1_78x15_17_B_1" localSheetId="26" hidden="1">Prolink!$C$1030</definedName>
    <definedName name="SD_34x1_78x15_20_B_1" localSheetId="26" hidden="1">Prolink!$D$1030</definedName>
    <definedName name="SD_34x1_78x15_8_B_0" localSheetId="26" hidden="1">Prolink!$E$1030</definedName>
    <definedName name="SD_34x1_78x15_9_B_0" localSheetId="26" hidden="1">Prolink!$F$1030</definedName>
    <definedName name="SD_34x1_78x16_10_B_0" localSheetId="26" hidden="1">Prolink!$G$1031</definedName>
    <definedName name="SD_34x1_78x16_17_B_1" localSheetId="26" hidden="1">Prolink!$C$1031</definedName>
    <definedName name="SD_34x1_78x16_20_B_1" localSheetId="26" hidden="1">Prolink!$D$1031</definedName>
    <definedName name="SD_34x1_78x16_8_B_0" localSheetId="26" hidden="1">Prolink!$E$1031</definedName>
    <definedName name="SD_34x1_78x16_9_B_0" localSheetId="26" hidden="1">Prolink!$F$1031</definedName>
    <definedName name="SD_34x1_78x17_10_B_0" localSheetId="26" hidden="1">Prolink!$G$1032</definedName>
    <definedName name="SD_34x1_78x17_17_B_1" localSheetId="26" hidden="1">Prolink!$C$1032</definedName>
    <definedName name="SD_34x1_78x17_20_B_1" localSheetId="26" hidden="1">Prolink!$D$1032</definedName>
    <definedName name="SD_34x1_78x17_8_B_0" localSheetId="26" hidden="1">Prolink!$E$1032</definedName>
    <definedName name="SD_34x1_78x17_9_B_0" localSheetId="26" hidden="1">Prolink!$F$1032</definedName>
    <definedName name="SD_34x1_78x18_10_B_0" localSheetId="26" hidden="1">Prolink!$G$1033</definedName>
    <definedName name="SD_34x1_78x18_17_B_1" localSheetId="26" hidden="1">Prolink!$C$1033</definedName>
    <definedName name="SD_34x1_78x18_20_B_1" localSheetId="26" hidden="1">Prolink!$D$1033</definedName>
    <definedName name="SD_34x1_78x18_8_B_0" localSheetId="26" hidden="1">Prolink!$E$1033</definedName>
    <definedName name="SD_34x1_78x18_9_B_0" localSheetId="26" hidden="1">Prolink!$F$1033</definedName>
    <definedName name="SD_34x1_78x19_10_B_0" localSheetId="26" hidden="1">Prolink!$G$1034</definedName>
    <definedName name="SD_34x1_78x19_17_B_1" localSheetId="26" hidden="1">Prolink!$C$1034</definedName>
    <definedName name="SD_34x1_78x19_20_B_1" localSheetId="26" hidden="1">Prolink!$D$1034</definedName>
    <definedName name="SD_34x1_78x19_8_B_0" localSheetId="26" hidden="1">Prolink!$E$1034</definedName>
    <definedName name="SD_34x1_78x19_9_B_0" localSheetId="26" hidden="1">Prolink!$F$1034</definedName>
    <definedName name="SD_34x1_78x2_10_B_0" localSheetId="26" hidden="1">Prolink!$G$1017</definedName>
    <definedName name="SD_34x1_78x2_17_B_1" localSheetId="26" hidden="1">Prolink!$C$1017</definedName>
    <definedName name="SD_34x1_78x2_20_B_1" localSheetId="26" hidden="1">Prolink!$D$1017</definedName>
    <definedName name="SD_34x1_78x2_8_B_0" localSheetId="26" hidden="1">Prolink!$E$1017</definedName>
    <definedName name="SD_34x1_78x2_9_B_0" localSheetId="26" hidden="1">Prolink!$F$1017</definedName>
    <definedName name="SD_34x1_78x20_10_B_0" localSheetId="26" hidden="1">Prolink!$G$1035</definedName>
    <definedName name="SD_34x1_78x20_17_B_1" localSheetId="26" hidden="1">Prolink!$C$1035</definedName>
    <definedName name="SD_34x1_78x20_20_B_1" localSheetId="26" hidden="1">Prolink!$D$1035</definedName>
    <definedName name="SD_34x1_78x20_8_B_0" localSheetId="26" hidden="1">Prolink!$E$1035</definedName>
    <definedName name="SD_34x1_78x20_9_B_0" localSheetId="26" hidden="1">Prolink!$F$1035</definedName>
    <definedName name="SD_34x1_78x21_10_B_0" localSheetId="26" hidden="1">Prolink!$G$1036</definedName>
    <definedName name="SD_34x1_78x21_17_B_1" localSheetId="26" hidden="1">Prolink!$C$1036</definedName>
    <definedName name="SD_34x1_78x21_20_B_1" localSheetId="26" hidden="1">Prolink!$D$1036</definedName>
    <definedName name="SD_34x1_78x21_8_B_0" localSheetId="26" hidden="1">Prolink!$E$1036</definedName>
    <definedName name="SD_34x1_78x21_9_B_0" localSheetId="26" hidden="1">Prolink!$F$1036</definedName>
    <definedName name="SD_34x1_78x22_10_B_0" localSheetId="26" hidden="1">Prolink!$G$1037</definedName>
    <definedName name="SD_34x1_78x22_17_B_1" localSheetId="26" hidden="1">Prolink!$C$1037</definedName>
    <definedName name="SD_34x1_78x22_20_B_1" localSheetId="26" hidden="1">Prolink!$D$1037</definedName>
    <definedName name="SD_34x1_78x22_8_B_0" localSheetId="26" hidden="1">Prolink!$E$1037</definedName>
    <definedName name="SD_34x1_78x22_9_B_0" localSheetId="26" hidden="1">Prolink!$F$1037</definedName>
    <definedName name="SD_34x1_78x23_10_B_0" localSheetId="26" hidden="1">Prolink!$G$1038</definedName>
    <definedName name="SD_34x1_78x23_17_B_1" localSheetId="26" hidden="1">Prolink!$C$1038</definedName>
    <definedName name="SD_34x1_78x23_20_B_1" localSheetId="26" hidden="1">Prolink!$D$1038</definedName>
    <definedName name="SD_34x1_78x23_8_B_0" localSheetId="26" hidden="1">Prolink!$E$1038</definedName>
    <definedName name="SD_34x1_78x23_9_B_0" localSheetId="26" hidden="1">Prolink!$F$1038</definedName>
    <definedName name="SD_34x1_78x24_10_B_0" localSheetId="26" hidden="1">Prolink!$G$1039</definedName>
    <definedName name="SD_34x1_78x24_17_B_1" localSheetId="26" hidden="1">Prolink!$C$1039</definedName>
    <definedName name="SD_34x1_78x24_20_B_1" localSheetId="26" hidden="1">Prolink!$D$1039</definedName>
    <definedName name="SD_34x1_78x24_8_B_0" localSheetId="26" hidden="1">Prolink!$E$1039</definedName>
    <definedName name="SD_34x1_78x24_9_B_0" localSheetId="26" hidden="1">Prolink!$F$1039</definedName>
    <definedName name="SD_34x1_78x25_10_B_0" localSheetId="26" hidden="1">Prolink!$G$1040</definedName>
    <definedName name="SD_34x1_78x25_17_B_1" localSheetId="26" hidden="1">Prolink!$C$1040</definedName>
    <definedName name="SD_34x1_78x25_20_B_1" localSheetId="26" hidden="1">Prolink!$D$1040</definedName>
    <definedName name="SD_34x1_78x25_8_B_0" localSheetId="26" hidden="1">Prolink!$E$1040</definedName>
    <definedName name="SD_34x1_78x25_9_B_0" localSheetId="26" hidden="1">Prolink!$F$1040</definedName>
    <definedName name="SD_34x1_78x26_10_B_0" localSheetId="26" hidden="1">Prolink!$G$1041</definedName>
    <definedName name="SD_34x1_78x26_17_B_1" localSheetId="26" hidden="1">Prolink!$C$1041</definedName>
    <definedName name="SD_34x1_78x26_20_B_1" localSheetId="26" hidden="1">Prolink!$D$1041</definedName>
    <definedName name="SD_34x1_78x26_8_B_0" localSheetId="26" hidden="1">Prolink!$E$1041</definedName>
    <definedName name="SD_34x1_78x26_9_B_0" localSheetId="26" hidden="1">Prolink!$F$1041</definedName>
    <definedName name="SD_34x1_78x27_10_B_0" localSheetId="26" hidden="1">Prolink!$G$1042</definedName>
    <definedName name="SD_34x1_78x27_17_B_1" localSheetId="26" hidden="1">Prolink!$C$1042</definedName>
    <definedName name="SD_34x1_78x27_20_B_1" localSheetId="26" hidden="1">Prolink!$D$1042</definedName>
    <definedName name="SD_34x1_78x27_8_B_0" localSheetId="26" hidden="1">Prolink!$E$1042</definedName>
    <definedName name="SD_34x1_78x27_9_B_0" localSheetId="26" hidden="1">Prolink!$F$1042</definedName>
    <definedName name="SD_34x1_78x28_10_B_0" localSheetId="26" hidden="1">Prolink!$G$1043</definedName>
    <definedName name="SD_34x1_78x28_17_B_1" localSheetId="26" hidden="1">Prolink!$C$1043</definedName>
    <definedName name="SD_34x1_78x28_20_B_1" localSheetId="26" hidden="1">Prolink!$D$1043</definedName>
    <definedName name="SD_34x1_78x28_8_B_0" localSheetId="26" hidden="1">Prolink!$E$1043</definedName>
    <definedName name="SD_34x1_78x28_9_B_0" localSheetId="26" hidden="1">Prolink!$F$1043</definedName>
    <definedName name="SD_34x1_78x29_10_B_0" localSheetId="26" hidden="1">Prolink!$G$1044</definedName>
    <definedName name="SD_34x1_78x29_17_B_1" localSheetId="26" hidden="1">Prolink!$C$1044</definedName>
    <definedName name="SD_34x1_78x29_20_B_1" localSheetId="26" hidden="1">Prolink!$D$1044</definedName>
    <definedName name="SD_34x1_78x29_8_B_0" localSheetId="26" hidden="1">Prolink!$E$1044</definedName>
    <definedName name="SD_34x1_78x29_9_B_0" localSheetId="26" hidden="1">Prolink!$F$1044</definedName>
    <definedName name="SD_34x1_78x3_10_B_0" localSheetId="26" hidden="1">Prolink!$G$1018</definedName>
    <definedName name="SD_34x1_78x3_17_B_1" localSheetId="26" hidden="1">Prolink!$C$1018</definedName>
    <definedName name="SD_34x1_78x3_20_B_1" localSheetId="26" hidden="1">Prolink!$D$1018</definedName>
    <definedName name="SD_34x1_78x3_8_B_0" localSheetId="26" hidden="1">Prolink!$E$1018</definedName>
    <definedName name="SD_34x1_78x3_9_B_0" localSheetId="26" hidden="1">Prolink!$F$1018</definedName>
    <definedName name="SD_34x1_78x30_10_B_0" localSheetId="26" hidden="1">Prolink!$G$1045</definedName>
    <definedName name="SD_34x1_78x30_17_B_1" localSheetId="26" hidden="1">Prolink!$C$1045</definedName>
    <definedName name="SD_34x1_78x30_20_B_1" localSheetId="26" hidden="1">Prolink!$D$1045</definedName>
    <definedName name="SD_34x1_78x30_8_B_0" localSheetId="26" hidden="1">Prolink!$E$1045</definedName>
    <definedName name="SD_34x1_78x30_9_B_0" localSheetId="26" hidden="1">Prolink!$F$1045</definedName>
    <definedName name="SD_34x1_78x31_10_B_0" localSheetId="26" hidden="1">Prolink!$G$1046</definedName>
    <definedName name="SD_34x1_78x31_17_B_1" localSheetId="26" hidden="1">Prolink!$C$1046</definedName>
    <definedName name="SD_34x1_78x31_20_B_1" localSheetId="26" hidden="1">Prolink!$D$1046</definedName>
    <definedName name="SD_34x1_78x31_8_B_0" localSheetId="26" hidden="1">Prolink!$E$1046</definedName>
    <definedName name="SD_34x1_78x31_9_B_0" localSheetId="26" hidden="1">Prolink!$F$1046</definedName>
    <definedName name="SD_34x1_78x32_10_B_0" localSheetId="26" hidden="1">Prolink!$G$1047</definedName>
    <definedName name="SD_34x1_78x32_17_B_1" localSheetId="26" hidden="1">Prolink!$C$1047</definedName>
    <definedName name="SD_34x1_78x32_20_B_1" localSheetId="26" hidden="1">Prolink!$D$1047</definedName>
    <definedName name="SD_34x1_78x32_8_B_0" localSheetId="26" hidden="1">Prolink!$E$1047</definedName>
    <definedName name="SD_34x1_78x32_9_B_0" localSheetId="26" hidden="1">Prolink!$F$1047</definedName>
    <definedName name="SD_34x1_78x33_10_B_0" localSheetId="26" hidden="1">Prolink!$G$1048</definedName>
    <definedName name="SD_34x1_78x33_17_B_1" localSheetId="26" hidden="1">Prolink!$C$1048</definedName>
    <definedName name="SD_34x1_78x33_20_B_1" localSheetId="26" hidden="1">Prolink!$D$1048</definedName>
    <definedName name="SD_34x1_78x33_8_B_0" localSheetId="26" hidden="1">Prolink!$E$1048</definedName>
    <definedName name="SD_34x1_78x33_9_B_0" localSheetId="26" hidden="1">Prolink!$F$1048</definedName>
    <definedName name="SD_34x1_78x34_10_B_0" localSheetId="26" hidden="1">Prolink!$G$1049</definedName>
    <definedName name="SD_34x1_78x34_17_B_1" localSheetId="26" hidden="1">Prolink!$C$1049</definedName>
    <definedName name="SD_34x1_78x34_20_B_1" localSheetId="26" hidden="1">Prolink!$D$1049</definedName>
    <definedName name="SD_34x1_78x34_8_B_0" localSheetId="26" hidden="1">Prolink!$E$1049</definedName>
    <definedName name="SD_34x1_78x34_9_B_0" localSheetId="26" hidden="1">Prolink!$F$1049</definedName>
    <definedName name="SD_34x1_78x35_10_B_0" localSheetId="26" hidden="1">Prolink!$G$1050</definedName>
    <definedName name="SD_34x1_78x35_17_B_1" localSheetId="26" hidden="1">Prolink!$C$1050</definedName>
    <definedName name="SD_34x1_78x35_20_B_1" localSheetId="26" hidden="1">Prolink!$D$1050</definedName>
    <definedName name="SD_34x1_78x35_8_B_0" localSheetId="26" hidden="1">Prolink!$E$1050</definedName>
    <definedName name="SD_34x1_78x35_9_B_0" localSheetId="26" hidden="1">Prolink!$F$1050</definedName>
    <definedName name="SD_34x1_78x36_10_B_0" localSheetId="26" hidden="1">Prolink!$G$1051</definedName>
    <definedName name="SD_34x1_78x36_17_B_1" localSheetId="26" hidden="1">Prolink!$C$1051</definedName>
    <definedName name="SD_34x1_78x36_20_B_1" localSheetId="26" hidden="1">Prolink!$D$1051</definedName>
    <definedName name="SD_34x1_78x36_8_B_0" localSheetId="26" hidden="1">Prolink!$E$1051</definedName>
    <definedName name="SD_34x1_78x36_9_B_0" localSheetId="26" hidden="1">Prolink!$F$1051</definedName>
    <definedName name="SD_34x1_78x37_10_B_0" localSheetId="26" hidden="1">Prolink!$G$1052</definedName>
    <definedName name="SD_34x1_78x37_17_B_1" localSheetId="26" hidden="1">Prolink!$C$1052</definedName>
    <definedName name="SD_34x1_78x37_20_B_1" localSheetId="26" hidden="1">Prolink!$D$1052</definedName>
    <definedName name="SD_34x1_78x37_8_B_0" localSheetId="26" hidden="1">Prolink!$E$1052</definedName>
    <definedName name="SD_34x1_78x37_9_B_0" localSheetId="26" hidden="1">Prolink!$F$1052</definedName>
    <definedName name="SD_34x1_78x38_10_B_0" localSheetId="26" hidden="1">Prolink!$G$1053</definedName>
    <definedName name="SD_34x1_78x38_17_B_1" localSheetId="26" hidden="1">Prolink!$C$1053</definedName>
    <definedName name="SD_34x1_78x38_20_B_1" localSheetId="26" hidden="1">Prolink!$D$1053</definedName>
    <definedName name="SD_34x1_78x38_8_B_0" localSheetId="26" hidden="1">Prolink!$E$1053</definedName>
    <definedName name="SD_34x1_78x38_9_B_0" localSheetId="26" hidden="1">Prolink!$F$1053</definedName>
    <definedName name="SD_34x1_78x39_10_B_0" localSheetId="26" hidden="1">Prolink!$G$1054</definedName>
    <definedName name="SD_34x1_78x39_17_B_1" localSheetId="26" hidden="1">Prolink!$C$1054</definedName>
    <definedName name="SD_34x1_78x39_20_B_1" localSheetId="26" hidden="1">Prolink!$D$1054</definedName>
    <definedName name="SD_34x1_78x39_8_B_0" localSheetId="26" hidden="1">Prolink!$E$1054</definedName>
    <definedName name="SD_34x1_78x39_9_B_0" localSheetId="26" hidden="1">Prolink!$F$1054</definedName>
    <definedName name="SD_34x1_78x4_10_B_0" localSheetId="26" hidden="1">Prolink!$G$1019</definedName>
    <definedName name="SD_34x1_78x4_17_B_1" localSheetId="26" hidden="1">Prolink!$C$1019</definedName>
    <definedName name="SD_34x1_78x4_20_B_1" localSheetId="26" hidden="1">Prolink!$D$1019</definedName>
    <definedName name="SD_34x1_78x4_8_B_0" localSheetId="26" hidden="1">Prolink!$E$1019</definedName>
    <definedName name="SD_34x1_78x4_9_B_0" localSheetId="26" hidden="1">Prolink!$F$1019</definedName>
    <definedName name="SD_34x1_78x40_10_B_0" localSheetId="26" hidden="1">Prolink!$G$1055</definedName>
    <definedName name="SD_34x1_78x40_17_B_1" localSheetId="26" hidden="1">Prolink!$C$1055</definedName>
    <definedName name="SD_34x1_78x40_20_B_1" localSheetId="26" hidden="1">Prolink!$D$1055</definedName>
    <definedName name="SD_34x1_78x40_8_B_0" localSheetId="26" hidden="1">Prolink!$E$1055</definedName>
    <definedName name="SD_34x1_78x40_9_B_0" localSheetId="26" hidden="1">Prolink!$F$1055</definedName>
    <definedName name="SD_34x1_78x41_10_B_0" localSheetId="26" hidden="1">Prolink!$G$1056</definedName>
    <definedName name="SD_34x1_78x41_17_B_1" localSheetId="26" hidden="1">Prolink!$C$1056</definedName>
    <definedName name="SD_34x1_78x41_20_B_1" localSheetId="26" hidden="1">Prolink!$D$1056</definedName>
    <definedName name="SD_34x1_78x41_8_B_0" localSheetId="26" hidden="1">Prolink!$E$1056</definedName>
    <definedName name="SD_34x1_78x41_9_B_0" localSheetId="26" hidden="1">Prolink!$F$1056</definedName>
    <definedName name="SD_34x1_78x42_10_B_0" localSheetId="26" hidden="1">Prolink!$G$1057</definedName>
    <definedName name="SD_34x1_78x42_17_B_1" localSheetId="26" hidden="1">Prolink!$C$1057</definedName>
    <definedName name="SD_34x1_78x42_20_B_1" localSheetId="26" hidden="1">Prolink!$D$1057</definedName>
    <definedName name="SD_34x1_78x42_8_B_0" localSheetId="26" hidden="1">Prolink!$E$1057</definedName>
    <definedName name="SD_34x1_78x42_9_B_0" localSheetId="26" hidden="1">Prolink!$F$1057</definedName>
    <definedName name="SD_34x1_78x43_10_B_0" localSheetId="26" hidden="1">Prolink!$G$1058</definedName>
    <definedName name="SD_34x1_78x43_17_B_1" localSheetId="26" hidden="1">Prolink!$C$1058</definedName>
    <definedName name="SD_34x1_78x43_20_B_1" localSheetId="26" hidden="1">Prolink!$D$1058</definedName>
    <definedName name="SD_34x1_78x43_8_B_0" localSheetId="26" hidden="1">Prolink!$E$1058</definedName>
    <definedName name="SD_34x1_78x43_9_B_0" localSheetId="26" hidden="1">Prolink!$F$1058</definedName>
    <definedName name="SD_34x1_78x44_10_B_0" localSheetId="26" hidden="1">Prolink!$G$1059</definedName>
    <definedName name="SD_34x1_78x44_17_B_1" localSheetId="26" hidden="1">Prolink!$C$1059</definedName>
    <definedName name="SD_34x1_78x44_20_B_1" localSheetId="26" hidden="1">Prolink!$D$1059</definedName>
    <definedName name="SD_34x1_78x44_8_B_0" localSheetId="26" hidden="1">Prolink!$E$1059</definedName>
    <definedName name="SD_34x1_78x44_9_B_0" localSheetId="26" hidden="1">Prolink!$F$1059</definedName>
    <definedName name="SD_34x1_78x45_10_B_0" localSheetId="26" hidden="1">Prolink!$G$1060</definedName>
    <definedName name="SD_34x1_78x45_17_B_1" localSheetId="26" hidden="1">Prolink!$C$1060</definedName>
    <definedName name="SD_34x1_78x45_20_B_1" localSheetId="26" hidden="1">Prolink!$D$1060</definedName>
    <definedName name="SD_34x1_78x45_8_B_0" localSheetId="26" hidden="1">Prolink!$E$1060</definedName>
    <definedName name="SD_34x1_78x45_9_B_0" localSheetId="26" hidden="1">Prolink!$F$1060</definedName>
    <definedName name="SD_34x1_78x46_10_B_0" localSheetId="26" hidden="1">Prolink!$G$1061</definedName>
    <definedName name="SD_34x1_78x46_17_B_1" localSheetId="26" hidden="1">Prolink!$C$1061</definedName>
    <definedName name="SD_34x1_78x46_20_B_1" localSheetId="26" hidden="1">Prolink!$D$1061</definedName>
    <definedName name="SD_34x1_78x46_8_B_0" localSheetId="26" hidden="1">Prolink!$E$1061</definedName>
    <definedName name="SD_34x1_78x46_9_B_0" localSheetId="26" hidden="1">Prolink!$F$1061</definedName>
    <definedName name="SD_34x1_78x47_10_B_0" localSheetId="26" hidden="1">Prolink!$G$1062</definedName>
    <definedName name="SD_34x1_78x47_17_B_1" localSheetId="26" hidden="1">Prolink!$C$1062</definedName>
    <definedName name="SD_34x1_78x47_20_B_1" localSheetId="26" hidden="1">Prolink!$D$1062</definedName>
    <definedName name="SD_34x1_78x47_8_B_0" localSheetId="26" hidden="1">Prolink!$E$1062</definedName>
    <definedName name="SD_34x1_78x47_9_B_0" localSheetId="26" hidden="1">Prolink!$F$1062</definedName>
    <definedName name="SD_34x1_78x48_10_B_0" localSheetId="26" hidden="1">Prolink!$G$1063</definedName>
    <definedName name="SD_34x1_78x48_17_B_1" localSheetId="26" hidden="1">Prolink!$C$1063</definedName>
    <definedName name="SD_34x1_78x48_20_B_1" localSheetId="26" hidden="1">Prolink!$D$1063</definedName>
    <definedName name="SD_34x1_78x48_8_B_0" localSheetId="26" hidden="1">Prolink!$E$1063</definedName>
    <definedName name="SD_34x1_78x48_9_B_0" localSheetId="26" hidden="1">Prolink!$F$1063</definedName>
    <definedName name="SD_34x1_78x49_10_B_0" localSheetId="26" hidden="1">Prolink!$G$1064</definedName>
    <definedName name="SD_34x1_78x49_17_B_1" localSheetId="26" hidden="1">Prolink!$C$1064</definedName>
    <definedName name="SD_34x1_78x49_20_B_1" localSheetId="26" hidden="1">Prolink!$D$1064</definedName>
    <definedName name="SD_34x1_78x49_8_B_0" localSheetId="26" hidden="1">Prolink!$E$1064</definedName>
    <definedName name="SD_34x1_78x49_9_B_0" localSheetId="26" hidden="1">Prolink!$F$1064</definedName>
    <definedName name="SD_34x1_78x5_10_B_0" localSheetId="26" hidden="1">Prolink!$G$1020</definedName>
    <definedName name="SD_34x1_78x5_17_B_1" localSheetId="26" hidden="1">Prolink!$C$1020</definedName>
    <definedName name="SD_34x1_78x5_20_B_1" localSheetId="26" hidden="1">Prolink!$D$1020</definedName>
    <definedName name="SD_34x1_78x5_8_B_0" localSheetId="26" hidden="1">Prolink!$E$1020</definedName>
    <definedName name="SD_34x1_78x5_9_B_0" localSheetId="26" hidden="1">Prolink!$F$1020</definedName>
    <definedName name="SD_34x1_78x50_10_B_0" localSheetId="26" hidden="1">Prolink!$G$1065</definedName>
    <definedName name="SD_34x1_78x50_17_B_1" localSheetId="26" hidden="1">Prolink!$C$1065</definedName>
    <definedName name="SD_34x1_78x50_20_B_1" localSheetId="26" hidden="1">Prolink!$D$1065</definedName>
    <definedName name="SD_34x1_78x50_8_B_0" localSheetId="26" hidden="1">Prolink!$E$1065</definedName>
    <definedName name="SD_34x1_78x50_9_B_0" localSheetId="26" hidden="1">Prolink!$F$1065</definedName>
    <definedName name="SD_34x1_78x51_10_B_0" localSheetId="26" hidden="1">Prolink!$G$1066</definedName>
    <definedName name="SD_34x1_78x51_17_B_1" localSheetId="26" hidden="1">Prolink!$C$1066</definedName>
    <definedName name="SD_34x1_78x51_20_B_1" localSheetId="26" hidden="1">Prolink!$D$1066</definedName>
    <definedName name="SD_34x1_78x51_8_B_0" localSheetId="26" hidden="1">Prolink!$E$1066</definedName>
    <definedName name="SD_34x1_78x51_9_B_0" localSheetId="26" hidden="1">Prolink!$F$1066</definedName>
    <definedName name="SD_34x1_78x52_10_B_0" localSheetId="26" hidden="1">Prolink!$G$1067</definedName>
    <definedName name="SD_34x1_78x52_17_B_1" localSheetId="26" hidden="1">Prolink!$C$1067</definedName>
    <definedName name="SD_34x1_78x52_20_B_1" localSheetId="26" hidden="1">Prolink!$D$1067</definedName>
    <definedName name="SD_34x1_78x52_8_B_0" localSheetId="26" hidden="1">Prolink!$E$1067</definedName>
    <definedName name="SD_34x1_78x52_9_B_0" localSheetId="26" hidden="1">Prolink!$F$1067</definedName>
    <definedName name="SD_34x1_78x53_10_B_0" localSheetId="26" hidden="1">Prolink!$G$1068</definedName>
    <definedName name="SD_34x1_78x53_17_B_1" localSheetId="26" hidden="1">Prolink!$C$1068</definedName>
    <definedName name="SD_34x1_78x53_20_B_1" localSheetId="26" hidden="1">Prolink!$D$1068</definedName>
    <definedName name="SD_34x1_78x53_8_B_0" localSheetId="26" hidden="1">Prolink!$E$1068</definedName>
    <definedName name="SD_34x1_78x53_9_B_0" localSheetId="26" hidden="1">Prolink!$F$1068</definedName>
    <definedName name="SD_34x1_78x54_10_B_0" localSheetId="26" hidden="1">Prolink!$G$1069</definedName>
    <definedName name="SD_34x1_78x54_17_B_1" localSheetId="26" hidden="1">Prolink!$C$1069</definedName>
    <definedName name="SD_34x1_78x54_20_B_1" localSheetId="26" hidden="1">Prolink!$D$1069</definedName>
    <definedName name="SD_34x1_78x54_8_B_0" localSheetId="26" hidden="1">Prolink!$E$1069</definedName>
    <definedName name="SD_34x1_78x54_9_B_0" localSheetId="26" hidden="1">Prolink!$F$1069</definedName>
    <definedName name="SD_34x1_78x55_10_B_0" localSheetId="26" hidden="1">Prolink!$G$1070</definedName>
    <definedName name="SD_34x1_78x55_17_B_1" localSheetId="26" hidden="1">Prolink!$C$1070</definedName>
    <definedName name="SD_34x1_78x55_20_B_1" localSheetId="26" hidden="1">Prolink!$D$1070</definedName>
    <definedName name="SD_34x1_78x55_8_B_0" localSheetId="26" hidden="1">Prolink!$E$1070</definedName>
    <definedName name="SD_34x1_78x55_9_B_0" localSheetId="26" hidden="1">Prolink!$F$1070</definedName>
    <definedName name="SD_34x1_78x56_10_B_0" localSheetId="26" hidden="1">Prolink!$G$1071</definedName>
    <definedName name="SD_34x1_78x56_17_B_1" localSheetId="26" hidden="1">Prolink!$C$1071</definedName>
    <definedName name="SD_34x1_78x56_20_B_1" localSheetId="26" hidden="1">Prolink!$D$1071</definedName>
    <definedName name="SD_34x1_78x56_8_B_0" localSheetId="26" hidden="1">Prolink!$E$1071</definedName>
    <definedName name="SD_34x1_78x56_9_B_0" localSheetId="26" hidden="1">Prolink!$F$1071</definedName>
    <definedName name="SD_34x1_78x57_10_B_0" localSheetId="26" hidden="1">Prolink!$G$1072</definedName>
    <definedName name="SD_34x1_78x57_17_B_1" localSheetId="26" hidden="1">Prolink!$C$1072</definedName>
    <definedName name="SD_34x1_78x57_20_B_1" localSheetId="26" hidden="1">Prolink!$D$1072</definedName>
    <definedName name="SD_34x1_78x57_8_B_0" localSheetId="26" hidden="1">Prolink!$E$1072</definedName>
    <definedName name="SD_34x1_78x57_9_B_0" localSheetId="26" hidden="1">Prolink!$F$1072</definedName>
    <definedName name="SD_34x1_78x58_10_B_0" localSheetId="26" hidden="1">Prolink!$G$1073</definedName>
    <definedName name="SD_34x1_78x58_17_B_1" localSheetId="26" hidden="1">Prolink!$C$1073</definedName>
    <definedName name="SD_34x1_78x58_20_B_1" localSheetId="26" hidden="1">Prolink!$D$1073</definedName>
    <definedName name="SD_34x1_78x58_8_B_0" localSheetId="26" hidden="1">Prolink!$E$1073</definedName>
    <definedName name="SD_34x1_78x58_9_B_0" localSheetId="26" hidden="1">Prolink!$F$1073</definedName>
    <definedName name="SD_34x1_78x59_10_B_0" localSheetId="26" hidden="1">Prolink!$G$1074</definedName>
    <definedName name="SD_34x1_78x59_17_B_1" localSheetId="26" hidden="1">Prolink!$C$1074</definedName>
    <definedName name="SD_34x1_78x59_20_B_1" localSheetId="26" hidden="1">Prolink!$D$1074</definedName>
    <definedName name="SD_34x1_78x59_8_B_0" localSheetId="26" hidden="1">Prolink!$E$1074</definedName>
    <definedName name="SD_34x1_78x59_9_B_0" localSheetId="26" hidden="1">Prolink!$F$1074</definedName>
    <definedName name="SD_34x1_78x6_10_B_0" localSheetId="26" hidden="1">Prolink!$G$1021</definedName>
    <definedName name="SD_34x1_78x6_17_B_1" localSheetId="26" hidden="1">Prolink!$C$1021</definedName>
    <definedName name="SD_34x1_78x6_20_B_1" localSheetId="26" hidden="1">Prolink!$D$1021</definedName>
    <definedName name="SD_34x1_78x6_8_B_0" localSheetId="26" hidden="1">Prolink!$E$1021</definedName>
    <definedName name="SD_34x1_78x6_9_B_0" localSheetId="26" hidden="1">Prolink!$F$1021</definedName>
    <definedName name="SD_34x1_78x60_10_B_0" localSheetId="26" hidden="1">Prolink!$G$1075</definedName>
    <definedName name="SD_34x1_78x60_17_B_1" localSheetId="26" hidden="1">Prolink!$C$1075</definedName>
    <definedName name="SD_34x1_78x60_20_B_1" localSheetId="26" hidden="1">Prolink!$D$1075</definedName>
    <definedName name="SD_34x1_78x60_8_B_0" localSheetId="26" hidden="1">Prolink!$E$1075</definedName>
    <definedName name="SD_34x1_78x60_9_B_0" localSheetId="26" hidden="1">Prolink!$F$1075</definedName>
    <definedName name="SD_34x1_78x7_10_B_0" localSheetId="26" hidden="1">Prolink!$G$1022</definedName>
    <definedName name="SD_34x1_78x7_17_B_1" localSheetId="26" hidden="1">Prolink!$C$1022</definedName>
    <definedName name="SD_34x1_78x7_20_B_1" localSheetId="26" hidden="1">Prolink!$D$1022</definedName>
    <definedName name="SD_34x1_78x7_8_B_0" localSheetId="26" hidden="1">Prolink!$E$1022</definedName>
    <definedName name="SD_34x1_78x7_9_B_0" localSheetId="26" hidden="1">Prolink!$F$1022</definedName>
    <definedName name="SD_34x1_78x8_10_B_0" localSheetId="26" hidden="1">Prolink!$G$1023</definedName>
    <definedName name="SD_34x1_78x8_17_B_1" localSheetId="26" hidden="1">Prolink!$C$1023</definedName>
    <definedName name="SD_34x1_78x8_20_B_1" localSheetId="26" hidden="1">Prolink!$D$1023</definedName>
    <definedName name="SD_34x1_78x8_8_B_0" localSheetId="26" hidden="1">Prolink!$E$1023</definedName>
    <definedName name="SD_34x1_78x8_9_B_0" localSheetId="26" hidden="1">Prolink!$F$1023</definedName>
    <definedName name="SD_34x1_78x9_10_B_0" localSheetId="26" hidden="1">Prolink!$G$1024</definedName>
    <definedName name="SD_34x1_78x9_17_B_1" localSheetId="26" hidden="1">Prolink!$C$1024</definedName>
    <definedName name="SD_34x1_78x9_20_B_1" localSheetId="26" hidden="1">Prolink!$D$1024</definedName>
    <definedName name="SD_34x1_78x9_8_B_0" localSheetId="26" hidden="1">Prolink!$E$1024</definedName>
    <definedName name="SD_34x1_78x9_9_B_0" localSheetId="26" hidden="1">Prolink!$F$1024</definedName>
    <definedName name="SD_34x1_79_B_0" localSheetId="26" hidden="1">Prolink!$C$313</definedName>
    <definedName name="SD_34x1_82_B_0" localSheetId="26" hidden="1">Prolink!$C$505</definedName>
    <definedName name="SD_34x1_83_B_0" localSheetId="26" hidden="1">Prolink!$C$506</definedName>
    <definedName name="SD_34x1_84_B_0" localSheetId="26" hidden="1">Prolink!$C$507</definedName>
    <definedName name="SD_34x1_86_B_0" localSheetId="26" hidden="1">Prolink!$C$303</definedName>
    <definedName name="SD_34x1_91_B_0" localSheetId="26" hidden="1">Prolink!$C$244</definedName>
    <definedName name="SD_34x1_91x1_10_B_0" localSheetId="26" hidden="1">Prolink!$R$1204</definedName>
    <definedName name="SD_34x1_91x1_11_B_0" localSheetId="26" hidden="1">Prolink!$P$1204</definedName>
    <definedName name="SD_34x1_91x1_12_B_0" localSheetId="26" hidden="1">Prolink!$Q$1204</definedName>
    <definedName name="SD_34x1_91x1_14_B_0" localSheetId="26" hidden="1">Prolink!$M$1204</definedName>
    <definedName name="SD_34x1_91x1_15_B_0" localSheetId="26" hidden="1">Prolink!$K$1204</definedName>
    <definedName name="SD_34x1_91x1_16_B_0" localSheetId="26" hidden="1">Prolink!$L$1204</definedName>
    <definedName name="SD_34x1_91x1_18_B_0" localSheetId="26" hidden="1">Prolink!$H$1204</definedName>
    <definedName name="SD_34x1_91x1_19_B_0" localSheetId="26" hidden="1">Prolink!$F$1204</definedName>
    <definedName name="SD_34x1_91x1_20_B_0" localSheetId="26" hidden="1">Prolink!$G$1204</definedName>
    <definedName name="SD_34x1_91x1_22_B_0" localSheetId="26" hidden="1">Prolink!$C$1204</definedName>
    <definedName name="SD_34x1_91x1_23_B_0" localSheetId="26" hidden="1">Prolink!$S$1204</definedName>
    <definedName name="SD_34x1_91x1_24_B_0" localSheetId="26" hidden="1">Prolink!$T$1204</definedName>
    <definedName name="SD_34x1_91x1_25_B_0" localSheetId="26" hidden="1">Prolink!$N$1204</definedName>
    <definedName name="SD_34x1_91x1_26_B_0" localSheetId="26" hidden="1">Prolink!$O$1204</definedName>
    <definedName name="SD_34x1_91x1_27_B_0" localSheetId="26" hidden="1">Prolink!$I$1204</definedName>
    <definedName name="SD_34x1_91x1_28_B_0" localSheetId="26" hidden="1">Prolink!$J$1204</definedName>
    <definedName name="SD_34x1_91x1_4_B_0" localSheetId="26" hidden="1">Prolink!$D$1204</definedName>
    <definedName name="SD_34x1_91x1_8_B_0" localSheetId="26" hidden="1">Prolink!$E$1204</definedName>
    <definedName name="SD_34x1_91x10_10_B_0" localSheetId="26" hidden="1">Prolink!$R$1213</definedName>
    <definedName name="SD_34x1_91x10_11_B_0" localSheetId="26" hidden="1">Prolink!$P$1213</definedName>
    <definedName name="SD_34x1_91x10_12_B_0" localSheetId="26" hidden="1">Prolink!$Q$1213</definedName>
    <definedName name="SD_34x1_91x10_14_B_0" localSheetId="26" hidden="1">Prolink!$M$1213</definedName>
    <definedName name="SD_34x1_91x10_15_B_0" localSheetId="26" hidden="1">Prolink!$K$1213</definedName>
    <definedName name="SD_34x1_91x10_16_B_0" localSheetId="26" hidden="1">Prolink!$L$1213</definedName>
    <definedName name="SD_34x1_91x10_18_B_0" localSheetId="26" hidden="1">Prolink!$H$1213</definedName>
    <definedName name="SD_34x1_91x10_19_B_0" localSheetId="26" hidden="1">Prolink!$F$1213</definedName>
    <definedName name="SD_34x1_91x10_20_B_0" localSheetId="26" hidden="1">Prolink!$G$1213</definedName>
    <definedName name="SD_34x1_91x10_22_B_0" localSheetId="26" hidden="1">Prolink!$C$1213</definedName>
    <definedName name="SD_34x1_91x10_23_B_0" localSheetId="26" hidden="1">Prolink!$S$1213</definedName>
    <definedName name="SD_34x1_91x10_24_B_0" localSheetId="26" hidden="1">Prolink!$T$1213</definedName>
    <definedName name="SD_34x1_91x10_25_B_0" localSheetId="26" hidden="1">Prolink!$N$1213</definedName>
    <definedName name="SD_34x1_91x10_26_B_0" localSheetId="26" hidden="1">Prolink!$O$1213</definedName>
    <definedName name="SD_34x1_91x10_27_B_0" localSheetId="26" hidden="1">Prolink!$I$1213</definedName>
    <definedName name="SD_34x1_91x10_28_B_0" localSheetId="26" hidden="1">Prolink!$J$1213</definedName>
    <definedName name="SD_34x1_91x10_4_B_0" localSheetId="26" hidden="1">Prolink!$D$1213</definedName>
    <definedName name="SD_34x1_91x10_8_B_0" localSheetId="26" hidden="1">Prolink!$E$1213</definedName>
    <definedName name="SD_34x1_91x11_10_B_0" localSheetId="26" hidden="1">Prolink!$R$1214</definedName>
    <definedName name="SD_34x1_91x11_11_B_0" localSheetId="26" hidden="1">Prolink!$P$1214</definedName>
    <definedName name="SD_34x1_91x11_12_B_0" localSheetId="26" hidden="1">Prolink!$Q$1214</definedName>
    <definedName name="SD_34x1_91x11_14_B_0" localSheetId="26" hidden="1">Prolink!$M$1214</definedName>
    <definedName name="SD_34x1_91x11_15_B_0" localSheetId="26" hidden="1">Prolink!$K$1214</definedName>
    <definedName name="SD_34x1_91x11_16_B_0" localSheetId="26" hidden="1">Prolink!$L$1214</definedName>
    <definedName name="SD_34x1_91x11_18_B_0" localSheetId="26" hidden="1">Prolink!$H$1214</definedName>
    <definedName name="SD_34x1_91x11_19_B_0" localSheetId="26" hidden="1">Prolink!$F$1214</definedName>
    <definedName name="SD_34x1_91x11_20_B_0" localSheetId="26" hidden="1">Prolink!$G$1214</definedName>
    <definedName name="SD_34x1_91x11_22_B_0" localSheetId="26" hidden="1">Prolink!$C$1214</definedName>
    <definedName name="SD_34x1_91x11_23_B_0" localSheetId="26" hidden="1">Prolink!$S$1214</definedName>
    <definedName name="SD_34x1_91x11_24_B_0" localSheetId="26" hidden="1">Prolink!$T$1214</definedName>
    <definedName name="SD_34x1_91x11_25_B_0" localSheetId="26" hidden="1">Prolink!$N$1214</definedName>
    <definedName name="SD_34x1_91x11_26_B_0" localSheetId="26" hidden="1">Prolink!$O$1214</definedName>
    <definedName name="SD_34x1_91x11_27_B_0" localSheetId="26" hidden="1">Prolink!$I$1214</definedName>
    <definedName name="SD_34x1_91x11_28_B_0" localSheetId="26" hidden="1">Prolink!$J$1214</definedName>
    <definedName name="SD_34x1_91x11_4_B_0" localSheetId="26" hidden="1">Prolink!$D$1214</definedName>
    <definedName name="SD_34x1_91x11_8_B_0" localSheetId="26" hidden="1">Prolink!$E$1214</definedName>
    <definedName name="SD_34x1_91x12_10_B_0" localSheetId="26" hidden="1">Prolink!$R$1215</definedName>
    <definedName name="SD_34x1_91x12_11_B_0" localSheetId="26" hidden="1">Prolink!$P$1215</definedName>
    <definedName name="SD_34x1_91x12_12_B_0" localSheetId="26" hidden="1">Prolink!$Q$1215</definedName>
    <definedName name="SD_34x1_91x12_14_B_0" localSheetId="26" hidden="1">Prolink!$M$1215</definedName>
    <definedName name="SD_34x1_91x12_15_B_0" localSheetId="26" hidden="1">Prolink!$K$1215</definedName>
    <definedName name="SD_34x1_91x12_16_B_0" localSheetId="26" hidden="1">Prolink!$L$1215</definedName>
    <definedName name="SD_34x1_91x12_18_B_0" localSheetId="26" hidden="1">Prolink!$H$1215</definedName>
    <definedName name="SD_34x1_91x12_19_B_0" localSheetId="26" hidden="1">Prolink!$F$1215</definedName>
    <definedName name="SD_34x1_91x12_20_B_0" localSheetId="26" hidden="1">Prolink!$G$1215</definedName>
    <definedName name="SD_34x1_91x12_22_B_0" localSheetId="26" hidden="1">Prolink!$C$1215</definedName>
    <definedName name="SD_34x1_91x12_23_B_0" localSheetId="26" hidden="1">Prolink!$S$1215</definedName>
    <definedName name="SD_34x1_91x12_24_B_0" localSheetId="26" hidden="1">Prolink!$T$1215</definedName>
    <definedName name="SD_34x1_91x12_25_B_0" localSheetId="26" hidden="1">Prolink!$N$1215</definedName>
    <definedName name="SD_34x1_91x12_26_B_0" localSheetId="26" hidden="1">Prolink!$O$1215</definedName>
    <definedName name="SD_34x1_91x12_27_B_0" localSheetId="26" hidden="1">Prolink!$I$1215</definedName>
    <definedName name="SD_34x1_91x12_28_B_0" localSheetId="26" hidden="1">Prolink!$J$1215</definedName>
    <definedName name="SD_34x1_91x12_4_B_0" localSheetId="26" hidden="1">Prolink!$D$1215</definedName>
    <definedName name="SD_34x1_91x12_8_B_0" localSheetId="26" hidden="1">Prolink!$E$1215</definedName>
    <definedName name="SD_34x1_91x13_10_B_0" localSheetId="26" hidden="1">Prolink!$R$1216</definedName>
    <definedName name="SD_34x1_91x13_11_B_0" localSheetId="26" hidden="1">Prolink!$P$1216</definedName>
    <definedName name="SD_34x1_91x13_12_B_0" localSheetId="26" hidden="1">Prolink!$Q$1216</definedName>
    <definedName name="SD_34x1_91x13_14_B_0" localSheetId="26" hidden="1">Prolink!$M$1216</definedName>
    <definedName name="SD_34x1_91x13_15_B_0" localSheetId="26" hidden="1">Prolink!$K$1216</definedName>
    <definedName name="SD_34x1_91x13_16_B_0" localSheetId="26" hidden="1">Prolink!$L$1216</definedName>
    <definedName name="SD_34x1_91x13_18_B_0" localSheetId="26" hidden="1">Prolink!$H$1216</definedName>
    <definedName name="SD_34x1_91x13_19_B_0" localSheetId="26" hidden="1">Prolink!$F$1216</definedName>
    <definedName name="SD_34x1_91x13_20_B_0" localSheetId="26" hidden="1">Prolink!$G$1216</definedName>
    <definedName name="SD_34x1_91x13_22_B_0" localSheetId="26" hidden="1">Prolink!$C$1216</definedName>
    <definedName name="SD_34x1_91x13_23_B_0" localSheetId="26" hidden="1">Prolink!$S$1216</definedName>
    <definedName name="SD_34x1_91x13_24_B_0" localSheetId="26" hidden="1">Prolink!$T$1216</definedName>
    <definedName name="SD_34x1_91x13_25_B_0" localSheetId="26" hidden="1">Prolink!$N$1216</definedName>
    <definedName name="SD_34x1_91x13_26_B_0" localSheetId="26" hidden="1">Prolink!$O$1216</definedName>
    <definedName name="SD_34x1_91x13_27_B_0" localSheetId="26" hidden="1">Prolink!$I$1216</definedName>
    <definedName name="SD_34x1_91x13_28_B_0" localSheetId="26" hidden="1">Prolink!$J$1216</definedName>
    <definedName name="SD_34x1_91x13_4_B_0" localSheetId="26" hidden="1">Prolink!$D$1216</definedName>
    <definedName name="SD_34x1_91x13_8_B_0" localSheetId="26" hidden="1">Prolink!$E$1216</definedName>
    <definedName name="SD_34x1_91x14_10_B_0" localSheetId="26" hidden="1">Prolink!$R$1217</definedName>
    <definedName name="SD_34x1_91x14_11_B_0" localSheetId="26" hidden="1">Prolink!$P$1217</definedName>
    <definedName name="SD_34x1_91x14_12_B_0" localSheetId="26" hidden="1">Prolink!$Q$1217</definedName>
    <definedName name="SD_34x1_91x14_14_B_0" localSheetId="26" hidden="1">Prolink!$M$1217</definedName>
    <definedName name="SD_34x1_91x14_15_B_0" localSheetId="26" hidden="1">Prolink!$K$1217</definedName>
    <definedName name="SD_34x1_91x14_16_B_0" localSheetId="26" hidden="1">Prolink!$L$1217</definedName>
    <definedName name="SD_34x1_91x14_18_B_0" localSheetId="26" hidden="1">Prolink!$H$1217</definedName>
    <definedName name="SD_34x1_91x14_19_B_0" localSheetId="26" hidden="1">Prolink!$F$1217</definedName>
    <definedName name="SD_34x1_91x14_20_B_0" localSheetId="26" hidden="1">Prolink!$G$1217</definedName>
    <definedName name="SD_34x1_91x14_22_B_0" localSheetId="26" hidden="1">Prolink!$C$1217</definedName>
    <definedName name="SD_34x1_91x14_23_B_0" localSheetId="26" hidden="1">Prolink!$S$1217</definedName>
    <definedName name="SD_34x1_91x14_24_B_0" localSheetId="26" hidden="1">Prolink!$T$1217</definedName>
    <definedName name="SD_34x1_91x14_25_B_0" localSheetId="26" hidden="1">Prolink!$N$1217</definedName>
    <definedName name="SD_34x1_91x14_26_B_0" localSheetId="26" hidden="1">Prolink!$O$1217</definedName>
    <definedName name="SD_34x1_91x14_27_B_0" localSheetId="26" hidden="1">Prolink!$I$1217</definedName>
    <definedName name="SD_34x1_91x14_28_B_0" localSheetId="26" hidden="1">Prolink!$J$1217</definedName>
    <definedName name="SD_34x1_91x14_4_B_0" localSheetId="26" hidden="1">Prolink!$D$1217</definedName>
    <definedName name="SD_34x1_91x14_8_B_0" localSheetId="26" hidden="1">Prolink!$E$1217</definedName>
    <definedName name="SD_34x1_91x15_10_B_0" localSheetId="26" hidden="1">Prolink!$R$1218</definedName>
    <definedName name="SD_34x1_91x15_11_B_0" localSheetId="26" hidden="1">Prolink!$P$1218</definedName>
    <definedName name="SD_34x1_91x15_12_B_0" localSheetId="26" hidden="1">Prolink!$Q$1218</definedName>
    <definedName name="SD_34x1_91x15_14_B_0" localSheetId="26" hidden="1">Prolink!$M$1218</definedName>
    <definedName name="SD_34x1_91x15_15_B_0" localSheetId="26" hidden="1">Prolink!$K$1218</definedName>
    <definedName name="SD_34x1_91x15_16_B_0" localSheetId="26" hidden="1">Prolink!$L$1218</definedName>
    <definedName name="SD_34x1_91x15_18_B_0" localSheetId="26" hidden="1">Prolink!$H$1218</definedName>
    <definedName name="SD_34x1_91x15_19_B_0" localSheetId="26" hidden="1">Prolink!$F$1218</definedName>
    <definedName name="SD_34x1_91x15_20_B_0" localSheetId="26" hidden="1">Prolink!$G$1218</definedName>
    <definedName name="SD_34x1_91x15_22_B_0" localSheetId="26" hidden="1">Prolink!$C$1218</definedName>
    <definedName name="SD_34x1_91x15_23_B_0" localSheetId="26" hidden="1">Prolink!$S$1218</definedName>
    <definedName name="SD_34x1_91x15_24_B_0" localSheetId="26" hidden="1">Prolink!$T$1218</definedName>
    <definedName name="SD_34x1_91x15_25_B_0" localSheetId="26" hidden="1">Prolink!$N$1218</definedName>
    <definedName name="SD_34x1_91x15_26_B_0" localSheetId="26" hidden="1">Prolink!$O$1218</definedName>
    <definedName name="SD_34x1_91x15_27_B_0" localSheetId="26" hidden="1">Prolink!$I$1218</definedName>
    <definedName name="SD_34x1_91x15_28_B_0" localSheetId="26" hidden="1">Prolink!$J$1218</definedName>
    <definedName name="SD_34x1_91x15_4_B_0" localSheetId="26" hidden="1">Prolink!$D$1218</definedName>
    <definedName name="SD_34x1_91x15_8_B_0" localSheetId="26" hidden="1">Prolink!$E$1218</definedName>
    <definedName name="SD_34x1_91x16_10_B_0" localSheetId="26" hidden="1">Prolink!$R$1219</definedName>
    <definedName name="SD_34x1_91x16_11_B_0" localSheetId="26" hidden="1">Prolink!$P$1219</definedName>
    <definedName name="SD_34x1_91x16_12_B_0" localSheetId="26" hidden="1">Prolink!$Q$1219</definedName>
    <definedName name="SD_34x1_91x16_14_B_0" localSheetId="26" hidden="1">Prolink!$M$1219</definedName>
    <definedName name="SD_34x1_91x16_15_B_0" localSheetId="26" hidden="1">Prolink!$K$1219</definedName>
    <definedName name="SD_34x1_91x16_16_B_0" localSheetId="26" hidden="1">Prolink!$L$1219</definedName>
    <definedName name="SD_34x1_91x16_18_B_0" localSheetId="26" hidden="1">Prolink!$H$1219</definedName>
    <definedName name="SD_34x1_91x16_19_B_0" localSheetId="26" hidden="1">Prolink!$F$1219</definedName>
    <definedName name="SD_34x1_91x16_20_B_0" localSheetId="26" hidden="1">Prolink!$G$1219</definedName>
    <definedName name="SD_34x1_91x16_22_B_0" localSheetId="26" hidden="1">Prolink!$C$1219</definedName>
    <definedName name="SD_34x1_91x16_23_B_0" localSheetId="26" hidden="1">Prolink!$S$1219</definedName>
    <definedName name="SD_34x1_91x16_24_B_0" localSheetId="26" hidden="1">Prolink!$T$1219</definedName>
    <definedName name="SD_34x1_91x16_25_B_0" localSheetId="26" hidden="1">Prolink!$N$1219</definedName>
    <definedName name="SD_34x1_91x16_26_B_0" localSheetId="26" hidden="1">Prolink!$O$1219</definedName>
    <definedName name="SD_34x1_91x16_27_B_0" localSheetId="26" hidden="1">Prolink!$I$1219</definedName>
    <definedName name="SD_34x1_91x16_28_B_0" localSheetId="26" hidden="1">Prolink!$J$1219</definedName>
    <definedName name="SD_34x1_91x16_4_B_0" localSheetId="26" hidden="1">Prolink!$D$1219</definedName>
    <definedName name="SD_34x1_91x16_8_B_0" localSheetId="26" hidden="1">Prolink!$E$1219</definedName>
    <definedName name="SD_34x1_91x17_10_B_0" localSheetId="26" hidden="1">Prolink!$R$1220</definedName>
    <definedName name="SD_34x1_91x17_11_B_0" localSheetId="26" hidden="1">Prolink!$P$1220</definedName>
    <definedName name="SD_34x1_91x17_12_B_0" localSheetId="26" hidden="1">Prolink!$Q$1220</definedName>
    <definedName name="SD_34x1_91x17_14_B_0" localSheetId="26" hidden="1">Prolink!$M$1220</definedName>
    <definedName name="SD_34x1_91x17_15_B_0" localSheetId="26" hidden="1">Prolink!$K$1220</definedName>
    <definedName name="SD_34x1_91x17_16_B_0" localSheetId="26" hidden="1">Prolink!$L$1220</definedName>
    <definedName name="SD_34x1_91x17_18_B_0" localSheetId="26" hidden="1">Prolink!$H$1220</definedName>
    <definedName name="SD_34x1_91x17_19_B_0" localSheetId="26" hidden="1">Prolink!$F$1220</definedName>
    <definedName name="SD_34x1_91x17_20_B_0" localSheetId="26" hidden="1">Prolink!$G$1220</definedName>
    <definedName name="SD_34x1_91x17_22_B_0" localSheetId="26" hidden="1">Prolink!$C$1220</definedName>
    <definedName name="SD_34x1_91x17_23_B_0" localSheetId="26" hidden="1">Prolink!$S$1220</definedName>
    <definedName name="SD_34x1_91x17_24_B_0" localSheetId="26" hidden="1">Prolink!$T$1220</definedName>
    <definedName name="SD_34x1_91x17_25_B_0" localSheetId="26" hidden="1">Prolink!$N$1220</definedName>
    <definedName name="SD_34x1_91x17_26_B_0" localSheetId="26" hidden="1">Prolink!$O$1220</definedName>
    <definedName name="SD_34x1_91x17_27_B_0" localSheetId="26" hidden="1">Prolink!$I$1220</definedName>
    <definedName name="SD_34x1_91x17_28_B_0" localSheetId="26" hidden="1">Prolink!$J$1220</definedName>
    <definedName name="SD_34x1_91x17_4_B_0" localSheetId="26" hidden="1">Prolink!$D$1220</definedName>
    <definedName name="SD_34x1_91x17_8_B_0" localSheetId="26" hidden="1">Prolink!$E$1220</definedName>
    <definedName name="SD_34x1_91x18_10_B_0" localSheetId="26" hidden="1">Prolink!$R$1221</definedName>
    <definedName name="SD_34x1_91x18_11_B_0" localSheetId="26" hidden="1">Prolink!$P$1221</definedName>
    <definedName name="SD_34x1_91x18_12_B_0" localSheetId="26" hidden="1">Prolink!$Q$1221</definedName>
    <definedName name="SD_34x1_91x18_14_B_0" localSheetId="26" hidden="1">Prolink!$M$1221</definedName>
    <definedName name="SD_34x1_91x18_15_B_0" localSheetId="26" hidden="1">Prolink!$K$1221</definedName>
    <definedName name="SD_34x1_91x18_16_B_0" localSheetId="26" hidden="1">Prolink!$L$1221</definedName>
    <definedName name="SD_34x1_91x18_18_B_0" localSheetId="26" hidden="1">Prolink!$H$1221</definedName>
    <definedName name="SD_34x1_91x18_19_B_0" localSheetId="26" hidden="1">Prolink!$F$1221</definedName>
    <definedName name="SD_34x1_91x18_20_B_0" localSheetId="26" hidden="1">Prolink!$G$1221</definedName>
    <definedName name="SD_34x1_91x18_22_B_0" localSheetId="26" hidden="1">Prolink!$C$1221</definedName>
    <definedName name="SD_34x1_91x18_23_B_0" localSheetId="26" hidden="1">Prolink!$S$1221</definedName>
    <definedName name="SD_34x1_91x18_24_B_0" localSheetId="26" hidden="1">Prolink!$T$1221</definedName>
    <definedName name="SD_34x1_91x18_25_B_0" localSheetId="26" hidden="1">Prolink!$N$1221</definedName>
    <definedName name="SD_34x1_91x18_26_B_0" localSheetId="26" hidden="1">Prolink!$O$1221</definedName>
    <definedName name="SD_34x1_91x18_27_B_0" localSheetId="26" hidden="1">Prolink!$I$1221</definedName>
    <definedName name="SD_34x1_91x18_28_B_0" localSheetId="26" hidden="1">Prolink!$J$1221</definedName>
    <definedName name="SD_34x1_91x18_4_B_0" localSheetId="26" hidden="1">Prolink!$D$1221</definedName>
    <definedName name="SD_34x1_91x18_8_B_0" localSheetId="26" hidden="1">Prolink!$E$1221</definedName>
    <definedName name="SD_34x1_91x19_10_B_0" localSheetId="26" hidden="1">Prolink!$R$1222</definedName>
    <definedName name="SD_34x1_91x19_11_B_0" localSheetId="26" hidden="1">Prolink!$P$1222</definedName>
    <definedName name="SD_34x1_91x19_12_B_0" localSheetId="26" hidden="1">Prolink!$Q$1222</definedName>
    <definedName name="SD_34x1_91x19_14_B_0" localSheetId="26" hidden="1">Prolink!$M$1222</definedName>
    <definedName name="SD_34x1_91x19_15_B_0" localSheetId="26" hidden="1">Prolink!$K$1222</definedName>
    <definedName name="SD_34x1_91x19_16_B_0" localSheetId="26" hidden="1">Prolink!$L$1222</definedName>
    <definedName name="SD_34x1_91x19_18_B_0" localSheetId="26" hidden="1">Prolink!$H$1222</definedName>
    <definedName name="SD_34x1_91x19_19_B_0" localSheetId="26" hidden="1">Prolink!$F$1222</definedName>
    <definedName name="SD_34x1_91x19_20_B_0" localSheetId="26" hidden="1">Prolink!$G$1222</definedName>
    <definedName name="SD_34x1_91x19_22_B_0" localSheetId="26" hidden="1">Prolink!$C$1222</definedName>
    <definedName name="SD_34x1_91x19_23_B_0" localSheetId="26" hidden="1">Prolink!$S$1222</definedName>
    <definedName name="SD_34x1_91x19_24_B_0" localSheetId="26" hidden="1">Prolink!$T$1222</definedName>
    <definedName name="SD_34x1_91x19_25_B_0" localSheetId="26" hidden="1">Prolink!$N$1222</definedName>
    <definedName name="SD_34x1_91x19_26_B_0" localSheetId="26" hidden="1">Prolink!$O$1222</definedName>
    <definedName name="SD_34x1_91x19_27_B_0" localSheetId="26" hidden="1">Prolink!$I$1222</definedName>
    <definedName name="SD_34x1_91x19_28_B_0" localSheetId="26" hidden="1">Prolink!$J$1222</definedName>
    <definedName name="SD_34x1_91x19_4_B_0" localSheetId="26" hidden="1">Prolink!$D$1222</definedName>
    <definedName name="SD_34x1_91x19_8_B_0" localSheetId="26" hidden="1">Prolink!$E$1222</definedName>
    <definedName name="SD_34x1_91x2_10_B_0" localSheetId="26" hidden="1">Prolink!$R$1205</definedName>
    <definedName name="SD_34x1_91x2_11_B_0" localSheetId="26" hidden="1">Prolink!$P$1205</definedName>
    <definedName name="SD_34x1_91x2_12_B_0" localSheetId="26" hidden="1">Prolink!$Q$1205</definedName>
    <definedName name="SD_34x1_91x2_14_B_0" localSheetId="26" hidden="1">Prolink!$M$1205</definedName>
    <definedName name="SD_34x1_91x2_15_B_0" localSheetId="26" hidden="1">Prolink!$K$1205</definedName>
    <definedName name="SD_34x1_91x2_16_B_0" localSheetId="26" hidden="1">Prolink!$L$1205</definedName>
    <definedName name="SD_34x1_91x2_18_B_0" localSheetId="26" hidden="1">Prolink!$H$1205</definedName>
    <definedName name="SD_34x1_91x2_19_B_0" localSheetId="26" hidden="1">Prolink!$F$1205</definedName>
    <definedName name="SD_34x1_91x2_20_B_0" localSheetId="26" hidden="1">Prolink!$G$1205</definedName>
    <definedName name="SD_34x1_91x2_22_B_0" localSheetId="26" hidden="1">Prolink!$C$1205</definedName>
    <definedName name="SD_34x1_91x2_23_B_0" localSheetId="26" hidden="1">Prolink!$S$1205</definedName>
    <definedName name="SD_34x1_91x2_24_B_0" localSheetId="26" hidden="1">Prolink!$T$1205</definedName>
    <definedName name="SD_34x1_91x2_25_B_0" localSheetId="26" hidden="1">Prolink!$N$1205</definedName>
    <definedName name="SD_34x1_91x2_26_B_0" localSheetId="26" hidden="1">Prolink!$O$1205</definedName>
    <definedName name="SD_34x1_91x2_27_B_0" localSheetId="26" hidden="1">Prolink!$I$1205</definedName>
    <definedName name="SD_34x1_91x2_28_B_0" localSheetId="26" hidden="1">Prolink!$J$1205</definedName>
    <definedName name="SD_34x1_91x2_4_B_0" localSheetId="26" hidden="1">Prolink!$D$1205</definedName>
    <definedName name="SD_34x1_91x2_8_B_0" localSheetId="26" hidden="1">Prolink!$E$1205</definedName>
    <definedName name="SD_34x1_91x20_10_B_0" localSheetId="26" hidden="1">Prolink!$R$1223</definedName>
    <definedName name="SD_34x1_91x20_11_B_0" localSheetId="26" hidden="1">Prolink!$P$1223</definedName>
    <definedName name="SD_34x1_91x20_12_B_0" localSheetId="26" hidden="1">Prolink!$Q$1223</definedName>
    <definedName name="SD_34x1_91x20_14_B_0" localSheetId="26" hidden="1">Prolink!$M$1223</definedName>
    <definedName name="SD_34x1_91x20_15_B_0" localSheetId="26" hidden="1">Prolink!$K$1223</definedName>
    <definedName name="SD_34x1_91x20_16_B_0" localSheetId="26" hidden="1">Prolink!$L$1223</definedName>
    <definedName name="SD_34x1_91x20_18_B_0" localSheetId="26" hidden="1">Prolink!$H$1223</definedName>
    <definedName name="SD_34x1_91x20_19_B_0" localSheetId="26" hidden="1">Prolink!$F$1223</definedName>
    <definedName name="SD_34x1_91x20_20_B_0" localSheetId="26" hidden="1">Prolink!$G$1223</definedName>
    <definedName name="SD_34x1_91x20_22_B_0" localSheetId="26" hidden="1">Prolink!$C$1223</definedName>
    <definedName name="SD_34x1_91x20_23_B_0" localSheetId="26" hidden="1">Prolink!$S$1223</definedName>
    <definedName name="SD_34x1_91x20_24_B_0" localSheetId="26" hidden="1">Prolink!$T$1223</definedName>
    <definedName name="SD_34x1_91x20_25_B_0" localSheetId="26" hidden="1">Prolink!$N$1223</definedName>
    <definedName name="SD_34x1_91x20_26_B_0" localSheetId="26" hidden="1">Prolink!$O$1223</definedName>
    <definedName name="SD_34x1_91x20_27_B_0" localSheetId="26" hidden="1">Prolink!$I$1223</definedName>
    <definedName name="SD_34x1_91x20_28_B_0" localSheetId="26" hidden="1">Prolink!$J$1223</definedName>
    <definedName name="SD_34x1_91x20_4_B_0" localSheetId="26" hidden="1">Prolink!$D$1223</definedName>
    <definedName name="SD_34x1_91x20_8_B_0" localSheetId="26" hidden="1">Prolink!$E$1223</definedName>
    <definedName name="SD_34x1_91x21_10_B_0" localSheetId="26" hidden="1">Prolink!$R$1224</definedName>
    <definedName name="SD_34x1_91x21_11_B_0" localSheetId="26" hidden="1">Prolink!$P$1224</definedName>
    <definedName name="SD_34x1_91x21_12_B_0" localSheetId="26" hidden="1">Prolink!$Q$1224</definedName>
    <definedName name="SD_34x1_91x21_14_B_0" localSheetId="26" hidden="1">Prolink!$M$1224</definedName>
    <definedName name="SD_34x1_91x21_15_B_0" localSheetId="26" hidden="1">Prolink!$K$1224</definedName>
    <definedName name="SD_34x1_91x21_16_B_0" localSheetId="26" hidden="1">Prolink!$L$1224</definedName>
    <definedName name="SD_34x1_91x21_18_B_0" localSheetId="26" hidden="1">Prolink!$H$1224</definedName>
    <definedName name="SD_34x1_91x21_19_B_0" localSheetId="26" hidden="1">Prolink!$F$1224</definedName>
    <definedName name="SD_34x1_91x21_20_B_0" localSheetId="26" hidden="1">Prolink!$G$1224</definedName>
    <definedName name="SD_34x1_91x21_22_B_0" localSheetId="26" hidden="1">Prolink!$C$1224</definedName>
    <definedName name="SD_34x1_91x21_23_B_0" localSheetId="26" hidden="1">Prolink!$S$1224</definedName>
    <definedName name="SD_34x1_91x21_24_B_0" localSheetId="26" hidden="1">Prolink!$T$1224</definedName>
    <definedName name="SD_34x1_91x21_25_B_0" localSheetId="26" hidden="1">Prolink!$N$1224</definedName>
    <definedName name="SD_34x1_91x21_26_B_0" localSheetId="26" hidden="1">Prolink!$O$1224</definedName>
    <definedName name="SD_34x1_91x21_27_B_0" localSheetId="26" hidden="1">Prolink!$I$1224</definedName>
    <definedName name="SD_34x1_91x21_28_B_0" localSheetId="26" hidden="1">Prolink!$J$1224</definedName>
    <definedName name="SD_34x1_91x21_4_B_0" localSheetId="26" hidden="1">Prolink!$D$1224</definedName>
    <definedName name="SD_34x1_91x21_8_B_0" localSheetId="26" hidden="1">Prolink!$E$1224</definedName>
    <definedName name="SD_34x1_91x22_10_B_0" localSheetId="26" hidden="1">Prolink!$R$1225</definedName>
    <definedName name="SD_34x1_91x22_11_B_0" localSheetId="26" hidden="1">Prolink!$P$1225</definedName>
    <definedName name="SD_34x1_91x22_12_B_0" localSheetId="26" hidden="1">Prolink!$Q$1225</definedName>
    <definedName name="SD_34x1_91x22_14_B_0" localSheetId="26" hidden="1">Prolink!$M$1225</definedName>
    <definedName name="SD_34x1_91x22_15_B_0" localSheetId="26" hidden="1">Prolink!$K$1225</definedName>
    <definedName name="SD_34x1_91x22_16_B_0" localSheetId="26" hidden="1">Prolink!$L$1225</definedName>
    <definedName name="SD_34x1_91x22_18_B_0" localSheetId="26" hidden="1">Prolink!$H$1225</definedName>
    <definedName name="SD_34x1_91x22_19_B_0" localSheetId="26" hidden="1">Prolink!$F$1225</definedName>
    <definedName name="SD_34x1_91x22_20_B_0" localSheetId="26" hidden="1">Prolink!$G$1225</definedName>
    <definedName name="SD_34x1_91x22_22_B_0" localSheetId="26" hidden="1">Prolink!$C$1225</definedName>
    <definedName name="SD_34x1_91x22_23_B_0" localSheetId="26" hidden="1">Prolink!$S$1225</definedName>
    <definedName name="SD_34x1_91x22_24_B_0" localSheetId="26" hidden="1">Prolink!$T$1225</definedName>
    <definedName name="SD_34x1_91x22_25_B_0" localSheetId="26" hidden="1">Prolink!$N$1225</definedName>
    <definedName name="SD_34x1_91x22_26_B_0" localSheetId="26" hidden="1">Prolink!$O$1225</definedName>
    <definedName name="SD_34x1_91x22_27_B_0" localSheetId="26" hidden="1">Prolink!$I$1225</definedName>
    <definedName name="SD_34x1_91x22_28_B_0" localSheetId="26" hidden="1">Prolink!$J$1225</definedName>
    <definedName name="SD_34x1_91x22_4_B_0" localSheetId="26" hidden="1">Prolink!$D$1225</definedName>
    <definedName name="SD_34x1_91x22_8_B_0" localSheetId="26" hidden="1">Prolink!$E$1225</definedName>
    <definedName name="SD_34x1_91x23_10_B_0" localSheetId="26" hidden="1">Prolink!$R$1226</definedName>
    <definedName name="SD_34x1_91x23_11_B_0" localSheetId="26" hidden="1">Prolink!$P$1226</definedName>
    <definedName name="SD_34x1_91x23_12_B_0" localSheetId="26" hidden="1">Prolink!$Q$1226</definedName>
    <definedName name="SD_34x1_91x23_14_B_0" localSheetId="26" hidden="1">Prolink!$M$1226</definedName>
    <definedName name="SD_34x1_91x23_15_B_0" localSheetId="26" hidden="1">Prolink!$K$1226</definedName>
    <definedName name="SD_34x1_91x23_16_B_0" localSheetId="26" hidden="1">Prolink!$L$1226</definedName>
    <definedName name="SD_34x1_91x23_18_B_0" localSheetId="26" hidden="1">Prolink!$H$1226</definedName>
    <definedName name="SD_34x1_91x23_19_B_0" localSheetId="26" hidden="1">Prolink!$F$1226</definedName>
    <definedName name="SD_34x1_91x23_20_B_0" localSheetId="26" hidden="1">Prolink!$G$1226</definedName>
    <definedName name="SD_34x1_91x23_22_B_0" localSheetId="26" hidden="1">Prolink!$C$1226</definedName>
    <definedName name="SD_34x1_91x23_23_B_0" localSheetId="26" hidden="1">Prolink!$S$1226</definedName>
    <definedName name="SD_34x1_91x23_24_B_0" localSheetId="26" hidden="1">Prolink!$T$1226</definedName>
    <definedName name="SD_34x1_91x23_25_B_0" localSheetId="26" hidden="1">Prolink!$N$1226</definedName>
    <definedName name="SD_34x1_91x23_26_B_0" localSheetId="26" hidden="1">Prolink!$O$1226</definedName>
    <definedName name="SD_34x1_91x23_27_B_0" localSheetId="26" hidden="1">Prolink!$I$1226</definedName>
    <definedName name="SD_34x1_91x23_28_B_0" localSheetId="26" hidden="1">Prolink!$J$1226</definedName>
    <definedName name="SD_34x1_91x23_4_B_0" localSheetId="26" hidden="1">Prolink!$D$1226</definedName>
    <definedName name="SD_34x1_91x23_8_B_0" localSheetId="26" hidden="1">Prolink!$E$1226</definedName>
    <definedName name="SD_34x1_91x24_10_B_0" localSheetId="26" hidden="1">Prolink!$R$1227</definedName>
    <definedName name="SD_34x1_91x24_11_B_0" localSheetId="26" hidden="1">Prolink!$P$1227</definedName>
    <definedName name="SD_34x1_91x24_12_B_0" localSheetId="26" hidden="1">Prolink!$Q$1227</definedName>
    <definedName name="SD_34x1_91x24_14_B_0" localSheetId="26" hidden="1">Prolink!$M$1227</definedName>
    <definedName name="SD_34x1_91x24_15_B_0" localSheetId="26" hidden="1">Prolink!$K$1227</definedName>
    <definedName name="SD_34x1_91x24_16_B_0" localSheetId="26" hidden="1">Prolink!$L$1227</definedName>
    <definedName name="SD_34x1_91x24_18_B_0" localSheetId="26" hidden="1">Prolink!$H$1227</definedName>
    <definedName name="SD_34x1_91x24_19_B_0" localSheetId="26" hidden="1">Prolink!$F$1227</definedName>
    <definedName name="SD_34x1_91x24_20_B_0" localSheetId="26" hidden="1">Prolink!$G$1227</definedName>
    <definedName name="SD_34x1_91x24_22_B_0" localSheetId="26" hidden="1">Prolink!$C$1227</definedName>
    <definedName name="SD_34x1_91x24_23_B_0" localSheetId="26" hidden="1">Prolink!$S$1227</definedName>
    <definedName name="SD_34x1_91x24_24_B_0" localSheetId="26" hidden="1">Prolink!$T$1227</definedName>
    <definedName name="SD_34x1_91x24_25_B_0" localSheetId="26" hidden="1">Prolink!$N$1227</definedName>
    <definedName name="SD_34x1_91x24_26_B_0" localSheetId="26" hidden="1">Prolink!$O$1227</definedName>
    <definedName name="SD_34x1_91x24_27_B_0" localSheetId="26" hidden="1">Prolink!$I$1227</definedName>
    <definedName name="SD_34x1_91x24_28_B_0" localSheetId="26" hidden="1">Prolink!$J$1227</definedName>
    <definedName name="SD_34x1_91x24_4_B_0" localSheetId="26" hidden="1">Prolink!$D$1227</definedName>
    <definedName name="SD_34x1_91x24_8_B_0" localSheetId="26" hidden="1">Prolink!$E$1227</definedName>
    <definedName name="SD_34x1_91x25_10_B_0" localSheetId="26" hidden="1">Prolink!$R$1228</definedName>
    <definedName name="SD_34x1_91x25_11_B_0" localSheetId="26" hidden="1">Prolink!$P$1228</definedName>
    <definedName name="SD_34x1_91x25_12_B_0" localSheetId="26" hidden="1">Prolink!$Q$1228</definedName>
    <definedName name="SD_34x1_91x25_14_B_0" localSheetId="26" hidden="1">Prolink!$M$1228</definedName>
    <definedName name="SD_34x1_91x25_15_B_0" localSheetId="26" hidden="1">Prolink!$K$1228</definedName>
    <definedName name="SD_34x1_91x25_16_B_0" localSheetId="26" hidden="1">Prolink!$L$1228</definedName>
    <definedName name="SD_34x1_91x25_18_B_0" localSheetId="26" hidden="1">Prolink!$H$1228</definedName>
    <definedName name="SD_34x1_91x25_19_B_0" localSheetId="26" hidden="1">Prolink!$F$1228</definedName>
    <definedName name="SD_34x1_91x25_20_B_0" localSheetId="26" hidden="1">Prolink!$G$1228</definedName>
    <definedName name="SD_34x1_91x25_22_B_0" localSheetId="26" hidden="1">Prolink!$C$1228</definedName>
    <definedName name="SD_34x1_91x25_23_B_0" localSheetId="26" hidden="1">Prolink!$S$1228</definedName>
    <definedName name="SD_34x1_91x25_24_B_0" localSheetId="26" hidden="1">Prolink!$T$1228</definedName>
    <definedName name="SD_34x1_91x25_25_B_0" localSheetId="26" hidden="1">Prolink!$N$1228</definedName>
    <definedName name="SD_34x1_91x25_26_B_0" localSheetId="26" hidden="1">Prolink!$O$1228</definedName>
    <definedName name="SD_34x1_91x25_27_B_0" localSheetId="26" hidden="1">Prolink!$I$1228</definedName>
    <definedName name="SD_34x1_91x25_28_B_0" localSheetId="26" hidden="1">Prolink!$J$1228</definedName>
    <definedName name="SD_34x1_91x25_4_B_0" localSheetId="26" hidden="1">Prolink!$D$1228</definedName>
    <definedName name="SD_34x1_91x25_8_B_0" localSheetId="26" hidden="1">Prolink!$E$1228</definedName>
    <definedName name="SD_34x1_91x26_10_B_0" localSheetId="26" hidden="1">Prolink!$R$1229</definedName>
    <definedName name="SD_34x1_91x26_11_B_0" localSheetId="26" hidden="1">Prolink!$P$1229</definedName>
    <definedName name="SD_34x1_91x26_12_B_0" localSheetId="26" hidden="1">Prolink!$Q$1229</definedName>
    <definedName name="SD_34x1_91x26_14_B_0" localSheetId="26" hidden="1">Prolink!$M$1229</definedName>
    <definedName name="SD_34x1_91x26_15_B_0" localSheetId="26" hidden="1">Prolink!$K$1229</definedName>
    <definedName name="SD_34x1_91x26_16_B_0" localSheetId="26" hidden="1">Prolink!$L$1229</definedName>
    <definedName name="SD_34x1_91x26_18_B_0" localSheetId="26" hidden="1">Prolink!$H$1229</definedName>
    <definedName name="SD_34x1_91x26_19_B_0" localSheetId="26" hidden="1">Prolink!$F$1229</definedName>
    <definedName name="SD_34x1_91x26_20_B_0" localSheetId="26" hidden="1">Prolink!$G$1229</definedName>
    <definedName name="SD_34x1_91x26_22_B_0" localSheetId="26" hidden="1">Prolink!$C$1229</definedName>
    <definedName name="SD_34x1_91x26_23_B_0" localSheetId="26" hidden="1">Prolink!$S$1229</definedName>
    <definedName name="SD_34x1_91x26_24_B_0" localSheetId="26" hidden="1">Prolink!$T$1229</definedName>
    <definedName name="SD_34x1_91x26_25_B_0" localSheetId="26" hidden="1">Prolink!$N$1229</definedName>
    <definedName name="SD_34x1_91x26_26_B_0" localSheetId="26" hidden="1">Prolink!$O$1229</definedName>
    <definedName name="SD_34x1_91x26_27_B_0" localSheetId="26" hidden="1">Prolink!$I$1229</definedName>
    <definedName name="SD_34x1_91x26_28_B_0" localSheetId="26" hidden="1">Prolink!$J$1229</definedName>
    <definedName name="SD_34x1_91x26_4_B_0" localSheetId="26" hidden="1">Prolink!$D$1229</definedName>
    <definedName name="SD_34x1_91x26_8_B_0" localSheetId="26" hidden="1">Prolink!$E$1229</definedName>
    <definedName name="SD_34x1_91x27_10_B_0" localSheetId="26" hidden="1">Prolink!$R$1230</definedName>
    <definedName name="SD_34x1_91x27_11_B_0" localSheetId="26" hidden="1">Prolink!$P$1230</definedName>
    <definedName name="SD_34x1_91x27_12_B_0" localSheetId="26" hidden="1">Prolink!$Q$1230</definedName>
    <definedName name="SD_34x1_91x27_14_B_0" localSheetId="26" hidden="1">Prolink!$M$1230</definedName>
    <definedName name="SD_34x1_91x27_15_B_0" localSheetId="26" hidden="1">Prolink!$K$1230</definedName>
    <definedName name="SD_34x1_91x27_16_B_0" localSheetId="26" hidden="1">Prolink!$L$1230</definedName>
    <definedName name="SD_34x1_91x27_18_B_0" localSheetId="26" hidden="1">Prolink!$H$1230</definedName>
    <definedName name="SD_34x1_91x27_19_B_0" localSheetId="26" hidden="1">Prolink!$F$1230</definedName>
    <definedName name="SD_34x1_91x27_20_B_0" localSheetId="26" hidden="1">Prolink!$G$1230</definedName>
    <definedName name="SD_34x1_91x27_22_B_0" localSheetId="26" hidden="1">Prolink!$C$1230</definedName>
    <definedName name="SD_34x1_91x27_23_B_0" localSheetId="26" hidden="1">Prolink!$S$1230</definedName>
    <definedName name="SD_34x1_91x27_24_B_0" localSheetId="26" hidden="1">Prolink!$T$1230</definedName>
    <definedName name="SD_34x1_91x27_25_B_0" localSheetId="26" hidden="1">Prolink!$N$1230</definedName>
    <definedName name="SD_34x1_91x27_26_B_0" localSheetId="26" hidden="1">Prolink!$O$1230</definedName>
    <definedName name="SD_34x1_91x27_27_B_0" localSheetId="26" hidden="1">Prolink!$I$1230</definedName>
    <definedName name="SD_34x1_91x27_28_B_0" localSheetId="26" hidden="1">Prolink!$J$1230</definedName>
    <definedName name="SD_34x1_91x27_4_B_0" localSheetId="26" hidden="1">Prolink!$D$1230</definedName>
    <definedName name="SD_34x1_91x27_8_B_0" localSheetId="26" hidden="1">Prolink!$E$1230</definedName>
    <definedName name="SD_34x1_91x28_10_B_0" localSheetId="26" hidden="1">Prolink!$R$1231</definedName>
    <definedName name="SD_34x1_91x28_11_B_0" localSheetId="26" hidden="1">Prolink!$P$1231</definedName>
    <definedName name="SD_34x1_91x28_12_B_0" localSheetId="26" hidden="1">Prolink!$Q$1231</definedName>
    <definedName name="SD_34x1_91x28_14_B_0" localSheetId="26" hidden="1">Prolink!$M$1231</definedName>
    <definedName name="SD_34x1_91x28_15_B_0" localSheetId="26" hidden="1">Prolink!$K$1231</definedName>
    <definedName name="SD_34x1_91x28_16_B_0" localSheetId="26" hidden="1">Prolink!$L$1231</definedName>
    <definedName name="SD_34x1_91x28_18_B_0" localSheetId="26" hidden="1">Prolink!$H$1231</definedName>
    <definedName name="SD_34x1_91x28_19_B_0" localSheetId="26" hidden="1">Prolink!$F$1231</definedName>
    <definedName name="SD_34x1_91x28_20_B_0" localSheetId="26" hidden="1">Prolink!$G$1231</definedName>
    <definedName name="SD_34x1_91x28_22_B_0" localSheetId="26" hidden="1">Prolink!$C$1231</definedName>
    <definedName name="SD_34x1_91x28_23_B_0" localSheetId="26" hidden="1">Prolink!$S$1231</definedName>
    <definedName name="SD_34x1_91x28_24_B_0" localSheetId="26" hidden="1">Prolink!$T$1231</definedName>
    <definedName name="SD_34x1_91x28_25_B_0" localSheetId="26" hidden="1">Prolink!$N$1231</definedName>
    <definedName name="SD_34x1_91x28_26_B_0" localSheetId="26" hidden="1">Prolink!$O$1231</definedName>
    <definedName name="SD_34x1_91x28_27_B_0" localSheetId="26" hidden="1">Prolink!$I$1231</definedName>
    <definedName name="SD_34x1_91x28_28_B_0" localSheetId="26" hidden="1">Prolink!$J$1231</definedName>
    <definedName name="SD_34x1_91x28_4_B_0" localSheetId="26" hidden="1">Prolink!$D$1231</definedName>
    <definedName name="SD_34x1_91x28_8_B_0" localSheetId="26" hidden="1">Prolink!$E$1231</definedName>
    <definedName name="SD_34x1_91x29_10_B_0" localSheetId="26" hidden="1">Prolink!$R$1232</definedName>
    <definedName name="SD_34x1_91x29_11_B_0" localSheetId="26" hidden="1">Prolink!$P$1232</definedName>
    <definedName name="SD_34x1_91x29_12_B_0" localSheetId="26" hidden="1">Prolink!$Q$1232</definedName>
    <definedName name="SD_34x1_91x29_14_B_0" localSheetId="26" hidden="1">Prolink!$M$1232</definedName>
    <definedName name="SD_34x1_91x29_15_B_0" localSheetId="26" hidden="1">Prolink!$K$1232</definedName>
    <definedName name="SD_34x1_91x29_16_B_0" localSheetId="26" hidden="1">Prolink!$L$1232</definedName>
    <definedName name="SD_34x1_91x29_18_B_0" localSheetId="26" hidden="1">Prolink!$H$1232</definedName>
    <definedName name="SD_34x1_91x29_19_B_0" localSheetId="26" hidden="1">Prolink!$F$1232</definedName>
    <definedName name="SD_34x1_91x29_20_B_0" localSheetId="26" hidden="1">Prolink!$G$1232</definedName>
    <definedName name="SD_34x1_91x29_22_B_0" localSheetId="26" hidden="1">Prolink!$C$1232</definedName>
    <definedName name="SD_34x1_91x29_23_B_0" localSheetId="26" hidden="1">Prolink!$S$1232</definedName>
    <definedName name="SD_34x1_91x29_24_B_0" localSheetId="26" hidden="1">Prolink!$T$1232</definedName>
    <definedName name="SD_34x1_91x29_25_B_0" localSheetId="26" hidden="1">Prolink!$N$1232</definedName>
    <definedName name="SD_34x1_91x29_26_B_0" localSheetId="26" hidden="1">Prolink!$O$1232</definedName>
    <definedName name="SD_34x1_91x29_27_B_0" localSheetId="26" hidden="1">Prolink!$I$1232</definedName>
    <definedName name="SD_34x1_91x29_28_B_0" localSheetId="26" hidden="1">Prolink!$J$1232</definedName>
    <definedName name="SD_34x1_91x29_4_B_0" localSheetId="26" hidden="1">Prolink!$D$1232</definedName>
    <definedName name="SD_34x1_91x29_8_B_0" localSheetId="26" hidden="1">Prolink!$E$1232</definedName>
    <definedName name="SD_34x1_91x3_10_B_0" localSheetId="26" hidden="1">Prolink!$R$1206</definedName>
    <definedName name="SD_34x1_91x3_11_B_0" localSheetId="26" hidden="1">Prolink!$P$1206</definedName>
    <definedName name="SD_34x1_91x3_12_B_0" localSheetId="26" hidden="1">Prolink!$Q$1206</definedName>
    <definedName name="SD_34x1_91x3_14_B_0" localSheetId="26" hidden="1">Prolink!$M$1206</definedName>
    <definedName name="SD_34x1_91x3_15_B_0" localSheetId="26" hidden="1">Prolink!$K$1206</definedName>
    <definedName name="SD_34x1_91x3_16_B_0" localSheetId="26" hidden="1">Prolink!$L$1206</definedName>
    <definedName name="SD_34x1_91x3_18_B_0" localSheetId="26" hidden="1">Prolink!$H$1206</definedName>
    <definedName name="SD_34x1_91x3_19_B_0" localSheetId="26" hidden="1">Prolink!$F$1206</definedName>
    <definedName name="SD_34x1_91x3_20_B_0" localSheetId="26" hidden="1">Prolink!$G$1206</definedName>
    <definedName name="SD_34x1_91x3_22_B_0" localSheetId="26" hidden="1">Prolink!$C$1206</definedName>
    <definedName name="SD_34x1_91x3_23_B_0" localSheetId="26" hidden="1">Prolink!$S$1206</definedName>
    <definedName name="SD_34x1_91x3_24_B_0" localSheetId="26" hidden="1">Prolink!$T$1206</definedName>
    <definedName name="SD_34x1_91x3_25_B_0" localSheetId="26" hidden="1">Prolink!$N$1206</definedName>
    <definedName name="SD_34x1_91x3_26_B_0" localSheetId="26" hidden="1">Prolink!$O$1206</definedName>
    <definedName name="SD_34x1_91x3_27_B_0" localSheetId="26" hidden="1">Prolink!$I$1206</definedName>
    <definedName name="SD_34x1_91x3_28_B_0" localSheetId="26" hidden="1">Prolink!$J$1206</definedName>
    <definedName name="SD_34x1_91x3_4_B_0" localSheetId="26" hidden="1">Prolink!$D$1206</definedName>
    <definedName name="SD_34x1_91x3_8_B_0" localSheetId="26" hidden="1">Prolink!$E$1206</definedName>
    <definedName name="SD_34x1_91x30_10_B_0" localSheetId="26" hidden="1">Prolink!$R$1233</definedName>
    <definedName name="SD_34x1_91x30_11_B_0" localSheetId="26" hidden="1">Prolink!$P$1233</definedName>
    <definedName name="SD_34x1_91x30_12_B_0" localSheetId="26" hidden="1">Prolink!$Q$1233</definedName>
    <definedName name="SD_34x1_91x30_14_B_0" localSheetId="26" hidden="1">Prolink!$M$1233</definedName>
    <definedName name="SD_34x1_91x30_15_B_0" localSheetId="26" hidden="1">Prolink!$K$1233</definedName>
    <definedName name="SD_34x1_91x30_16_B_0" localSheetId="26" hidden="1">Prolink!$L$1233</definedName>
    <definedName name="SD_34x1_91x30_18_B_0" localSheetId="26" hidden="1">Prolink!$H$1233</definedName>
    <definedName name="SD_34x1_91x30_19_B_0" localSheetId="26" hidden="1">Prolink!$F$1233</definedName>
    <definedName name="SD_34x1_91x30_20_B_0" localSheetId="26" hidden="1">Prolink!$G$1233</definedName>
    <definedName name="SD_34x1_91x30_22_B_0" localSheetId="26" hidden="1">Prolink!$C$1233</definedName>
    <definedName name="SD_34x1_91x30_23_B_0" localSheetId="26" hidden="1">Prolink!$S$1233</definedName>
    <definedName name="SD_34x1_91x30_24_B_0" localSheetId="26" hidden="1">Prolink!$T$1233</definedName>
    <definedName name="SD_34x1_91x30_25_B_0" localSheetId="26" hidden="1">Prolink!$N$1233</definedName>
    <definedName name="SD_34x1_91x30_26_B_0" localSheetId="26" hidden="1">Prolink!$O$1233</definedName>
    <definedName name="SD_34x1_91x30_27_B_0" localSheetId="26" hidden="1">Prolink!$I$1233</definedName>
    <definedName name="SD_34x1_91x30_28_B_0" localSheetId="26" hidden="1">Prolink!$J$1233</definedName>
    <definedName name="SD_34x1_91x30_4_B_0" localSheetId="26" hidden="1">Prolink!$D$1233</definedName>
    <definedName name="SD_34x1_91x30_8_B_0" localSheetId="26" hidden="1">Prolink!$E$1233</definedName>
    <definedName name="SD_34x1_91x31_10_B_0" localSheetId="26" hidden="1">Prolink!$R$1234</definedName>
    <definedName name="SD_34x1_91x31_11_B_0" localSheetId="26" hidden="1">Prolink!$P$1234</definedName>
    <definedName name="SD_34x1_91x31_12_B_0" localSheetId="26" hidden="1">Prolink!$Q$1234</definedName>
    <definedName name="SD_34x1_91x31_14_B_0" localSheetId="26" hidden="1">Prolink!$M$1234</definedName>
    <definedName name="SD_34x1_91x31_15_B_0" localSheetId="26" hidden="1">Prolink!$K$1234</definedName>
    <definedName name="SD_34x1_91x31_16_B_0" localSheetId="26" hidden="1">Prolink!$L$1234</definedName>
    <definedName name="SD_34x1_91x31_18_B_0" localSheetId="26" hidden="1">Prolink!$H$1234</definedName>
    <definedName name="SD_34x1_91x31_19_B_0" localSheetId="26" hidden="1">Prolink!$F$1234</definedName>
    <definedName name="SD_34x1_91x31_20_B_0" localSheetId="26" hidden="1">Prolink!$G$1234</definedName>
    <definedName name="SD_34x1_91x31_22_B_0" localSheetId="26" hidden="1">Prolink!$C$1234</definedName>
    <definedName name="SD_34x1_91x31_23_B_0" localSheetId="26" hidden="1">Prolink!$S$1234</definedName>
    <definedName name="SD_34x1_91x31_24_B_0" localSheetId="26" hidden="1">Prolink!$T$1234</definedName>
    <definedName name="SD_34x1_91x31_25_B_0" localSheetId="26" hidden="1">Prolink!$N$1234</definedName>
    <definedName name="SD_34x1_91x31_26_B_0" localSheetId="26" hidden="1">Prolink!$O$1234</definedName>
    <definedName name="SD_34x1_91x31_27_B_0" localSheetId="26" hidden="1">Prolink!$I$1234</definedName>
    <definedName name="SD_34x1_91x31_28_B_0" localSheetId="26" hidden="1">Prolink!$J$1234</definedName>
    <definedName name="SD_34x1_91x31_4_B_0" localSheetId="26" hidden="1">Prolink!$D$1234</definedName>
    <definedName name="SD_34x1_91x31_8_B_0" localSheetId="26" hidden="1">Prolink!$E$1234</definedName>
    <definedName name="SD_34x1_91x32_10_B_0" localSheetId="26" hidden="1">Prolink!$R$1235</definedName>
    <definedName name="SD_34x1_91x32_11_B_0" localSheetId="26" hidden="1">Prolink!$P$1235</definedName>
    <definedName name="SD_34x1_91x32_12_B_0" localSheetId="26" hidden="1">Prolink!$Q$1235</definedName>
    <definedName name="SD_34x1_91x32_14_B_0" localSheetId="26" hidden="1">Prolink!$M$1235</definedName>
    <definedName name="SD_34x1_91x32_15_B_0" localSheetId="26" hidden="1">Prolink!$K$1235</definedName>
    <definedName name="SD_34x1_91x32_16_B_0" localSheetId="26" hidden="1">Prolink!$L$1235</definedName>
    <definedName name="SD_34x1_91x32_18_B_0" localSheetId="26" hidden="1">Prolink!$H$1235</definedName>
    <definedName name="SD_34x1_91x32_19_B_0" localSheetId="26" hidden="1">Prolink!$F$1235</definedName>
    <definedName name="SD_34x1_91x32_20_B_0" localSheetId="26" hidden="1">Prolink!$G$1235</definedName>
    <definedName name="SD_34x1_91x32_22_B_0" localSheetId="26" hidden="1">Prolink!$C$1235</definedName>
    <definedName name="SD_34x1_91x32_23_B_0" localSheetId="26" hidden="1">Prolink!$S$1235</definedName>
    <definedName name="SD_34x1_91x32_24_B_0" localSheetId="26" hidden="1">Prolink!$T$1235</definedName>
    <definedName name="SD_34x1_91x32_25_B_0" localSheetId="26" hidden="1">Prolink!$N$1235</definedName>
    <definedName name="SD_34x1_91x32_26_B_0" localSheetId="26" hidden="1">Prolink!$O$1235</definedName>
    <definedName name="SD_34x1_91x32_27_B_0" localSheetId="26" hidden="1">Prolink!$I$1235</definedName>
    <definedName name="SD_34x1_91x32_28_B_0" localSheetId="26" hidden="1">Prolink!$J$1235</definedName>
    <definedName name="SD_34x1_91x32_4_B_0" localSheetId="26" hidden="1">Prolink!$D$1235</definedName>
    <definedName name="SD_34x1_91x32_8_B_0" localSheetId="26" hidden="1">Prolink!$E$1235</definedName>
    <definedName name="SD_34x1_91x33_10_B_0" localSheetId="26" hidden="1">Prolink!$R$1236</definedName>
    <definedName name="SD_34x1_91x33_11_B_0" localSheetId="26" hidden="1">Prolink!$P$1236</definedName>
    <definedName name="SD_34x1_91x33_12_B_0" localSheetId="26" hidden="1">Prolink!$Q$1236</definedName>
    <definedName name="SD_34x1_91x33_14_B_0" localSheetId="26" hidden="1">Prolink!$M$1236</definedName>
    <definedName name="SD_34x1_91x33_15_B_0" localSheetId="26" hidden="1">Prolink!$K$1236</definedName>
    <definedName name="SD_34x1_91x33_16_B_0" localSheetId="26" hidden="1">Prolink!$L$1236</definedName>
    <definedName name="SD_34x1_91x33_18_B_0" localSheetId="26" hidden="1">Prolink!$H$1236</definedName>
    <definedName name="SD_34x1_91x33_19_B_0" localSheetId="26" hidden="1">Prolink!$F$1236</definedName>
    <definedName name="SD_34x1_91x33_20_B_0" localSheetId="26" hidden="1">Prolink!$G$1236</definedName>
    <definedName name="SD_34x1_91x33_22_B_0" localSheetId="26" hidden="1">Prolink!$C$1236</definedName>
    <definedName name="SD_34x1_91x33_23_B_0" localSheetId="26" hidden="1">Prolink!$S$1236</definedName>
    <definedName name="SD_34x1_91x33_24_B_0" localSheetId="26" hidden="1">Prolink!$T$1236</definedName>
    <definedName name="SD_34x1_91x33_25_B_0" localSheetId="26" hidden="1">Prolink!$N$1236</definedName>
    <definedName name="SD_34x1_91x33_26_B_0" localSheetId="26" hidden="1">Prolink!$O$1236</definedName>
    <definedName name="SD_34x1_91x33_27_B_0" localSheetId="26" hidden="1">Prolink!$I$1236</definedName>
    <definedName name="SD_34x1_91x33_28_B_0" localSheetId="26" hidden="1">Prolink!$J$1236</definedName>
    <definedName name="SD_34x1_91x33_4_B_0" localSheetId="26" hidden="1">Prolink!$D$1236</definedName>
    <definedName name="SD_34x1_91x33_8_B_0" localSheetId="26" hidden="1">Prolink!$E$1236</definedName>
    <definedName name="SD_34x1_91x34_10_B_0" localSheetId="26" hidden="1">Prolink!$R$1237</definedName>
    <definedName name="SD_34x1_91x34_11_B_0" localSheetId="26" hidden="1">Prolink!$P$1237</definedName>
    <definedName name="SD_34x1_91x34_12_B_0" localSheetId="26" hidden="1">Prolink!$Q$1237</definedName>
    <definedName name="SD_34x1_91x34_14_B_0" localSheetId="26" hidden="1">Prolink!$M$1237</definedName>
    <definedName name="SD_34x1_91x34_15_B_0" localSheetId="26" hidden="1">Prolink!$K$1237</definedName>
    <definedName name="SD_34x1_91x34_16_B_0" localSheetId="26" hidden="1">Prolink!$L$1237</definedName>
    <definedName name="SD_34x1_91x34_18_B_0" localSheetId="26" hidden="1">Prolink!$H$1237</definedName>
    <definedName name="SD_34x1_91x34_19_B_0" localSheetId="26" hidden="1">Prolink!$F$1237</definedName>
    <definedName name="SD_34x1_91x34_20_B_0" localSheetId="26" hidden="1">Prolink!$G$1237</definedName>
    <definedName name="SD_34x1_91x34_22_B_0" localSheetId="26" hidden="1">Prolink!$C$1237</definedName>
    <definedName name="SD_34x1_91x34_23_B_0" localSheetId="26" hidden="1">Prolink!$S$1237</definedName>
    <definedName name="SD_34x1_91x34_24_B_0" localSheetId="26" hidden="1">Prolink!$T$1237</definedName>
    <definedName name="SD_34x1_91x34_25_B_0" localSheetId="26" hidden="1">Prolink!$N$1237</definedName>
    <definedName name="SD_34x1_91x34_26_B_0" localSheetId="26" hidden="1">Prolink!$O$1237</definedName>
    <definedName name="SD_34x1_91x34_27_B_0" localSheetId="26" hidden="1">Prolink!$I$1237</definedName>
    <definedName name="SD_34x1_91x34_28_B_0" localSheetId="26" hidden="1">Prolink!$J$1237</definedName>
    <definedName name="SD_34x1_91x34_4_B_0" localSheetId="26" hidden="1">Prolink!$D$1237</definedName>
    <definedName name="SD_34x1_91x34_8_B_0" localSheetId="26" hidden="1">Prolink!$E$1237</definedName>
    <definedName name="SD_34x1_91x35_10_B_0" localSheetId="26" hidden="1">Prolink!$R$1238</definedName>
    <definedName name="SD_34x1_91x35_11_B_0" localSheetId="26" hidden="1">Prolink!$P$1238</definedName>
    <definedName name="SD_34x1_91x35_12_B_0" localSheetId="26" hidden="1">Prolink!$Q$1238</definedName>
    <definedName name="SD_34x1_91x35_14_B_0" localSheetId="26" hidden="1">Prolink!$M$1238</definedName>
    <definedName name="SD_34x1_91x35_15_B_0" localSheetId="26" hidden="1">Prolink!$K$1238</definedName>
    <definedName name="SD_34x1_91x35_16_B_0" localSheetId="26" hidden="1">Prolink!$L$1238</definedName>
    <definedName name="SD_34x1_91x35_18_B_0" localSheetId="26" hidden="1">Prolink!$H$1238</definedName>
    <definedName name="SD_34x1_91x35_19_B_0" localSheetId="26" hidden="1">Prolink!$F$1238</definedName>
    <definedName name="SD_34x1_91x35_20_B_0" localSheetId="26" hidden="1">Prolink!$G$1238</definedName>
    <definedName name="SD_34x1_91x35_22_B_0" localSheetId="26" hidden="1">Prolink!$C$1238</definedName>
    <definedName name="SD_34x1_91x35_23_B_0" localSheetId="26" hidden="1">Prolink!$S$1238</definedName>
    <definedName name="SD_34x1_91x35_24_B_0" localSheetId="26" hidden="1">Prolink!$T$1238</definedName>
    <definedName name="SD_34x1_91x35_25_B_0" localSheetId="26" hidden="1">Prolink!$N$1238</definedName>
    <definedName name="SD_34x1_91x35_26_B_0" localSheetId="26" hidden="1">Prolink!$O$1238</definedName>
    <definedName name="SD_34x1_91x35_27_B_0" localSheetId="26" hidden="1">Prolink!$I$1238</definedName>
    <definedName name="SD_34x1_91x35_28_B_0" localSheetId="26" hidden="1">Prolink!$J$1238</definedName>
    <definedName name="SD_34x1_91x35_4_B_0" localSheetId="26" hidden="1">Prolink!$D$1238</definedName>
    <definedName name="SD_34x1_91x35_8_B_0" localSheetId="26" hidden="1">Prolink!$E$1238</definedName>
    <definedName name="SD_34x1_91x36_10_B_0" localSheetId="26" hidden="1">Prolink!$R$1239</definedName>
    <definedName name="SD_34x1_91x36_11_B_0" localSheetId="26" hidden="1">Prolink!$P$1239</definedName>
    <definedName name="SD_34x1_91x36_12_B_0" localSheetId="26" hidden="1">Prolink!$Q$1239</definedName>
    <definedName name="SD_34x1_91x36_14_B_0" localSheetId="26" hidden="1">Prolink!$M$1239</definedName>
    <definedName name="SD_34x1_91x36_15_B_0" localSheetId="26" hidden="1">Prolink!$K$1239</definedName>
    <definedName name="SD_34x1_91x36_16_B_0" localSheetId="26" hidden="1">Prolink!$L$1239</definedName>
    <definedName name="SD_34x1_91x36_18_B_0" localSheetId="26" hidden="1">Prolink!$H$1239</definedName>
    <definedName name="SD_34x1_91x36_19_B_0" localSheetId="26" hidden="1">Prolink!$F$1239</definedName>
    <definedName name="SD_34x1_91x36_20_B_0" localSheetId="26" hidden="1">Prolink!$G$1239</definedName>
    <definedName name="SD_34x1_91x36_22_B_0" localSheetId="26" hidden="1">Prolink!$C$1239</definedName>
    <definedName name="SD_34x1_91x36_23_B_0" localSheetId="26" hidden="1">Prolink!$S$1239</definedName>
    <definedName name="SD_34x1_91x36_24_B_0" localSheetId="26" hidden="1">Prolink!$T$1239</definedName>
    <definedName name="SD_34x1_91x36_25_B_0" localSheetId="26" hidden="1">Prolink!$N$1239</definedName>
    <definedName name="SD_34x1_91x36_26_B_0" localSheetId="26" hidden="1">Prolink!$O$1239</definedName>
    <definedName name="SD_34x1_91x36_27_B_0" localSheetId="26" hidden="1">Prolink!$I$1239</definedName>
    <definedName name="SD_34x1_91x36_28_B_0" localSheetId="26" hidden="1">Prolink!$J$1239</definedName>
    <definedName name="SD_34x1_91x36_4_B_0" localSheetId="26" hidden="1">Prolink!$D$1239</definedName>
    <definedName name="SD_34x1_91x36_8_B_0" localSheetId="26" hidden="1">Prolink!$E$1239</definedName>
    <definedName name="SD_34x1_91x37_10_B_0" localSheetId="26" hidden="1">Prolink!$R$1240</definedName>
    <definedName name="SD_34x1_91x37_11_B_0" localSheetId="26" hidden="1">Prolink!$P$1240</definedName>
    <definedName name="SD_34x1_91x37_12_B_0" localSheetId="26" hidden="1">Prolink!$Q$1240</definedName>
    <definedName name="SD_34x1_91x37_14_B_0" localSheetId="26" hidden="1">Prolink!$M$1240</definedName>
    <definedName name="SD_34x1_91x37_15_B_0" localSheetId="26" hidden="1">Prolink!$K$1240</definedName>
    <definedName name="SD_34x1_91x37_16_B_0" localSheetId="26" hidden="1">Prolink!$L$1240</definedName>
    <definedName name="SD_34x1_91x37_18_B_0" localSheetId="26" hidden="1">Prolink!$H$1240</definedName>
    <definedName name="SD_34x1_91x37_19_B_0" localSheetId="26" hidden="1">Prolink!$F$1240</definedName>
    <definedName name="SD_34x1_91x37_20_B_0" localSheetId="26" hidden="1">Prolink!$G$1240</definedName>
    <definedName name="SD_34x1_91x37_22_B_0" localSheetId="26" hidden="1">Prolink!$C$1240</definedName>
    <definedName name="SD_34x1_91x37_23_B_0" localSheetId="26" hidden="1">Prolink!$S$1240</definedName>
    <definedName name="SD_34x1_91x37_24_B_0" localSheetId="26" hidden="1">Prolink!$T$1240</definedName>
    <definedName name="SD_34x1_91x37_25_B_0" localSheetId="26" hidden="1">Prolink!$N$1240</definedName>
    <definedName name="SD_34x1_91x37_26_B_0" localSheetId="26" hidden="1">Prolink!$O$1240</definedName>
    <definedName name="SD_34x1_91x37_27_B_0" localSheetId="26" hidden="1">Prolink!$I$1240</definedName>
    <definedName name="SD_34x1_91x37_28_B_0" localSheetId="26" hidden="1">Prolink!$J$1240</definedName>
    <definedName name="SD_34x1_91x37_4_B_0" localSheetId="26" hidden="1">Prolink!$D$1240</definedName>
    <definedName name="SD_34x1_91x37_8_B_0" localSheetId="26" hidden="1">Prolink!$E$1240</definedName>
    <definedName name="SD_34x1_91x38_10_B_0" localSheetId="26" hidden="1">Prolink!$R$1241</definedName>
    <definedName name="SD_34x1_91x38_11_B_0" localSheetId="26" hidden="1">Prolink!$P$1241</definedName>
    <definedName name="SD_34x1_91x38_12_B_0" localSheetId="26" hidden="1">Prolink!$Q$1241</definedName>
    <definedName name="SD_34x1_91x38_14_B_0" localSheetId="26" hidden="1">Prolink!$M$1241</definedName>
    <definedName name="SD_34x1_91x38_15_B_0" localSheetId="26" hidden="1">Prolink!$K$1241</definedName>
    <definedName name="SD_34x1_91x38_16_B_0" localSheetId="26" hidden="1">Prolink!$L$1241</definedName>
    <definedName name="SD_34x1_91x38_18_B_0" localSheetId="26" hidden="1">Prolink!$H$1241</definedName>
    <definedName name="SD_34x1_91x38_19_B_0" localSheetId="26" hidden="1">Prolink!$F$1241</definedName>
    <definedName name="SD_34x1_91x38_20_B_0" localSheetId="26" hidden="1">Prolink!$G$1241</definedName>
    <definedName name="SD_34x1_91x38_22_B_0" localSheetId="26" hidden="1">Prolink!$C$1241</definedName>
    <definedName name="SD_34x1_91x38_23_B_0" localSheetId="26" hidden="1">Prolink!$S$1241</definedName>
    <definedName name="SD_34x1_91x38_24_B_0" localSheetId="26" hidden="1">Prolink!$T$1241</definedName>
    <definedName name="SD_34x1_91x38_25_B_0" localSheetId="26" hidden="1">Prolink!$N$1241</definedName>
    <definedName name="SD_34x1_91x38_26_B_0" localSheetId="26" hidden="1">Prolink!$O$1241</definedName>
    <definedName name="SD_34x1_91x38_27_B_0" localSheetId="26" hidden="1">Prolink!$I$1241</definedName>
    <definedName name="SD_34x1_91x38_28_B_0" localSheetId="26" hidden="1">Prolink!$J$1241</definedName>
    <definedName name="SD_34x1_91x38_4_B_0" localSheetId="26" hidden="1">Prolink!$D$1241</definedName>
    <definedName name="SD_34x1_91x38_8_B_0" localSheetId="26" hidden="1">Prolink!$E$1241</definedName>
    <definedName name="SD_34x1_91x39_10_B_0" localSheetId="26" hidden="1">Prolink!$R$1242</definedName>
    <definedName name="SD_34x1_91x39_11_B_0" localSheetId="26" hidden="1">Prolink!$P$1242</definedName>
    <definedName name="SD_34x1_91x39_12_B_0" localSheetId="26" hidden="1">Prolink!$Q$1242</definedName>
    <definedName name="SD_34x1_91x39_14_B_0" localSheetId="26" hidden="1">Prolink!$M$1242</definedName>
    <definedName name="SD_34x1_91x39_15_B_0" localSheetId="26" hidden="1">Prolink!$K$1242</definedName>
    <definedName name="SD_34x1_91x39_16_B_0" localSheetId="26" hidden="1">Prolink!$L$1242</definedName>
    <definedName name="SD_34x1_91x39_18_B_0" localSheetId="26" hidden="1">Prolink!$H$1242</definedName>
    <definedName name="SD_34x1_91x39_19_B_0" localSheetId="26" hidden="1">Prolink!$F$1242</definedName>
    <definedName name="SD_34x1_91x39_20_B_0" localSheetId="26" hidden="1">Prolink!$G$1242</definedName>
    <definedName name="SD_34x1_91x39_22_B_0" localSheetId="26" hidden="1">Prolink!$C$1242</definedName>
    <definedName name="SD_34x1_91x39_23_B_0" localSheetId="26" hidden="1">Prolink!$S$1242</definedName>
    <definedName name="SD_34x1_91x39_24_B_0" localSheetId="26" hidden="1">Prolink!$T$1242</definedName>
    <definedName name="SD_34x1_91x39_25_B_0" localSheetId="26" hidden="1">Prolink!$N$1242</definedName>
    <definedName name="SD_34x1_91x39_26_B_0" localSheetId="26" hidden="1">Prolink!$O$1242</definedName>
    <definedName name="SD_34x1_91x39_27_B_0" localSheetId="26" hidden="1">Prolink!$I$1242</definedName>
    <definedName name="SD_34x1_91x39_28_B_0" localSheetId="26" hidden="1">Prolink!$J$1242</definedName>
    <definedName name="SD_34x1_91x39_4_B_0" localSheetId="26" hidden="1">Prolink!$D$1242</definedName>
    <definedName name="SD_34x1_91x39_8_B_0" localSheetId="26" hidden="1">Prolink!$E$1242</definedName>
    <definedName name="SD_34x1_91x4_10_B_0" localSheetId="26" hidden="1">Prolink!$R$1207</definedName>
    <definedName name="SD_34x1_91x4_11_B_0" localSheetId="26" hidden="1">Prolink!$P$1207</definedName>
    <definedName name="SD_34x1_91x4_12_B_0" localSheetId="26" hidden="1">Prolink!$Q$1207</definedName>
    <definedName name="SD_34x1_91x4_14_B_0" localSheetId="26" hidden="1">Prolink!$M$1207</definedName>
    <definedName name="SD_34x1_91x4_15_B_0" localSheetId="26" hidden="1">Prolink!$K$1207</definedName>
    <definedName name="SD_34x1_91x4_16_B_0" localSheetId="26" hidden="1">Prolink!$L$1207</definedName>
    <definedName name="SD_34x1_91x4_18_B_0" localSheetId="26" hidden="1">Prolink!$H$1207</definedName>
    <definedName name="SD_34x1_91x4_19_B_0" localSheetId="26" hidden="1">Prolink!$F$1207</definedName>
    <definedName name="SD_34x1_91x4_20_B_0" localSheetId="26" hidden="1">Prolink!$G$1207</definedName>
    <definedName name="SD_34x1_91x4_22_B_0" localSheetId="26" hidden="1">Prolink!$C$1207</definedName>
    <definedName name="SD_34x1_91x4_23_B_0" localSheetId="26" hidden="1">Prolink!$S$1207</definedName>
    <definedName name="SD_34x1_91x4_24_B_0" localSheetId="26" hidden="1">Prolink!$T$1207</definedName>
    <definedName name="SD_34x1_91x4_25_B_0" localSheetId="26" hidden="1">Prolink!$N$1207</definedName>
    <definedName name="SD_34x1_91x4_26_B_0" localSheetId="26" hidden="1">Prolink!$O$1207</definedName>
    <definedName name="SD_34x1_91x4_27_B_0" localSheetId="26" hidden="1">Prolink!$I$1207</definedName>
    <definedName name="SD_34x1_91x4_28_B_0" localSheetId="26" hidden="1">Prolink!$J$1207</definedName>
    <definedName name="SD_34x1_91x4_4_B_0" localSheetId="26" hidden="1">Prolink!$D$1207</definedName>
    <definedName name="SD_34x1_91x4_8_B_0" localSheetId="26" hidden="1">Prolink!$E$1207</definedName>
    <definedName name="SD_34x1_91x40_10_B_0" localSheetId="26" hidden="1">Prolink!$R$1243</definedName>
    <definedName name="SD_34x1_91x40_11_B_0" localSheetId="26" hidden="1">Prolink!$P$1243</definedName>
    <definedName name="SD_34x1_91x40_12_B_0" localSheetId="26" hidden="1">Prolink!$Q$1243</definedName>
    <definedName name="SD_34x1_91x40_14_B_0" localSheetId="26" hidden="1">Prolink!$M$1243</definedName>
    <definedName name="SD_34x1_91x40_15_B_0" localSheetId="26" hidden="1">Prolink!$K$1243</definedName>
    <definedName name="SD_34x1_91x40_16_B_0" localSheetId="26" hidden="1">Prolink!$L$1243</definedName>
    <definedName name="SD_34x1_91x40_18_B_0" localSheetId="26" hidden="1">Prolink!$H$1243</definedName>
    <definedName name="SD_34x1_91x40_19_B_0" localSheetId="26" hidden="1">Prolink!$F$1243</definedName>
    <definedName name="SD_34x1_91x40_20_B_0" localSheetId="26" hidden="1">Prolink!$G$1243</definedName>
    <definedName name="SD_34x1_91x40_22_B_0" localSheetId="26" hidden="1">Prolink!$C$1243</definedName>
    <definedName name="SD_34x1_91x40_23_B_0" localSheetId="26" hidden="1">Prolink!$S$1243</definedName>
    <definedName name="SD_34x1_91x40_24_B_0" localSheetId="26" hidden="1">Prolink!$T$1243</definedName>
    <definedName name="SD_34x1_91x40_25_B_0" localSheetId="26" hidden="1">Prolink!$N$1243</definedName>
    <definedName name="SD_34x1_91x40_26_B_0" localSheetId="26" hidden="1">Prolink!$O$1243</definedName>
    <definedName name="SD_34x1_91x40_27_B_0" localSheetId="26" hidden="1">Prolink!$I$1243</definedName>
    <definedName name="SD_34x1_91x40_28_B_0" localSheetId="26" hidden="1">Prolink!$J$1243</definedName>
    <definedName name="SD_34x1_91x40_4_B_0" localSheetId="26" hidden="1">Prolink!$D$1243</definedName>
    <definedName name="SD_34x1_91x40_8_B_0" localSheetId="26" hidden="1">Prolink!$E$1243</definedName>
    <definedName name="SD_34x1_91x41_10_B_0" localSheetId="26" hidden="1">Prolink!$R$1244</definedName>
    <definedName name="SD_34x1_91x41_11_B_0" localSheetId="26" hidden="1">Prolink!$P$1244</definedName>
    <definedName name="SD_34x1_91x41_12_B_0" localSheetId="26" hidden="1">Prolink!$Q$1244</definedName>
    <definedName name="SD_34x1_91x41_14_B_0" localSheetId="26" hidden="1">Prolink!$M$1244</definedName>
    <definedName name="SD_34x1_91x41_15_B_0" localSheetId="26" hidden="1">Prolink!$K$1244</definedName>
    <definedName name="SD_34x1_91x41_16_B_0" localSheetId="26" hidden="1">Prolink!$L$1244</definedName>
    <definedName name="SD_34x1_91x41_18_B_0" localSheetId="26" hidden="1">Prolink!$H$1244</definedName>
    <definedName name="SD_34x1_91x41_19_B_0" localSheetId="26" hidden="1">Prolink!$F$1244</definedName>
    <definedName name="SD_34x1_91x41_20_B_0" localSheetId="26" hidden="1">Prolink!$G$1244</definedName>
    <definedName name="SD_34x1_91x41_22_B_0" localSheetId="26" hidden="1">Prolink!$C$1244</definedName>
    <definedName name="SD_34x1_91x41_23_B_0" localSheetId="26" hidden="1">Prolink!$S$1244</definedName>
    <definedName name="SD_34x1_91x41_24_B_0" localSheetId="26" hidden="1">Prolink!$T$1244</definedName>
    <definedName name="SD_34x1_91x41_25_B_0" localSheetId="26" hidden="1">Prolink!$N$1244</definedName>
    <definedName name="SD_34x1_91x41_26_B_0" localSheetId="26" hidden="1">Prolink!$O$1244</definedName>
    <definedName name="SD_34x1_91x41_27_B_0" localSheetId="26" hidden="1">Prolink!$I$1244</definedName>
    <definedName name="SD_34x1_91x41_28_B_0" localSheetId="26" hidden="1">Prolink!$J$1244</definedName>
    <definedName name="SD_34x1_91x41_4_B_0" localSheetId="26" hidden="1">Prolink!$D$1244</definedName>
    <definedName name="SD_34x1_91x41_8_B_0" localSheetId="26" hidden="1">Prolink!$E$1244</definedName>
    <definedName name="SD_34x1_91x42_10_B_0" localSheetId="26" hidden="1">Prolink!$R$1245</definedName>
    <definedName name="SD_34x1_91x42_11_B_0" localSheetId="26" hidden="1">Prolink!$P$1245</definedName>
    <definedName name="SD_34x1_91x42_12_B_0" localSheetId="26" hidden="1">Prolink!$Q$1245</definedName>
    <definedName name="SD_34x1_91x42_14_B_0" localSheetId="26" hidden="1">Prolink!$M$1245</definedName>
    <definedName name="SD_34x1_91x42_15_B_0" localSheetId="26" hidden="1">Prolink!$K$1245</definedName>
    <definedName name="SD_34x1_91x42_16_B_0" localSheetId="26" hidden="1">Prolink!$L$1245</definedName>
    <definedName name="SD_34x1_91x42_18_B_0" localSheetId="26" hidden="1">Prolink!$H$1245</definedName>
    <definedName name="SD_34x1_91x42_19_B_0" localSheetId="26" hidden="1">Prolink!$F$1245</definedName>
    <definedName name="SD_34x1_91x42_20_B_0" localSheetId="26" hidden="1">Prolink!$G$1245</definedName>
    <definedName name="SD_34x1_91x42_22_B_0" localSheetId="26" hidden="1">Prolink!$C$1245</definedName>
    <definedName name="SD_34x1_91x42_23_B_0" localSheetId="26" hidden="1">Prolink!$S$1245</definedName>
    <definedName name="SD_34x1_91x42_24_B_0" localSheetId="26" hidden="1">Prolink!$T$1245</definedName>
    <definedName name="SD_34x1_91x42_25_B_0" localSheetId="26" hidden="1">Prolink!$N$1245</definedName>
    <definedName name="SD_34x1_91x42_26_B_0" localSheetId="26" hidden="1">Prolink!$O$1245</definedName>
    <definedName name="SD_34x1_91x42_27_B_0" localSheetId="26" hidden="1">Prolink!$I$1245</definedName>
    <definedName name="SD_34x1_91x42_28_B_0" localSheetId="26" hidden="1">Prolink!$J$1245</definedName>
    <definedName name="SD_34x1_91x42_4_B_0" localSheetId="26" hidden="1">Prolink!$D$1245</definedName>
    <definedName name="SD_34x1_91x42_8_B_0" localSheetId="26" hidden="1">Prolink!$E$1245</definedName>
    <definedName name="SD_34x1_91x43_10_B_0" localSheetId="26" hidden="1">Prolink!$R$1246</definedName>
    <definedName name="SD_34x1_91x43_11_B_0" localSheetId="26" hidden="1">Prolink!$P$1246</definedName>
    <definedName name="SD_34x1_91x43_12_B_0" localSheetId="26" hidden="1">Prolink!$Q$1246</definedName>
    <definedName name="SD_34x1_91x43_14_B_0" localSheetId="26" hidden="1">Prolink!$M$1246</definedName>
    <definedName name="SD_34x1_91x43_15_B_0" localSheetId="26" hidden="1">Prolink!$K$1246</definedName>
    <definedName name="SD_34x1_91x43_16_B_0" localSheetId="26" hidden="1">Prolink!$L$1246</definedName>
    <definedName name="SD_34x1_91x43_18_B_0" localSheetId="26" hidden="1">Prolink!$H$1246</definedName>
    <definedName name="SD_34x1_91x43_19_B_0" localSheetId="26" hidden="1">Prolink!$F$1246</definedName>
    <definedName name="SD_34x1_91x43_20_B_0" localSheetId="26" hidden="1">Prolink!$G$1246</definedName>
    <definedName name="SD_34x1_91x43_22_B_0" localSheetId="26" hidden="1">Prolink!$C$1246</definedName>
    <definedName name="SD_34x1_91x43_23_B_0" localSheetId="26" hidden="1">Prolink!$S$1246</definedName>
    <definedName name="SD_34x1_91x43_24_B_0" localSheetId="26" hidden="1">Prolink!$T$1246</definedName>
    <definedName name="SD_34x1_91x43_25_B_0" localSheetId="26" hidden="1">Prolink!$N$1246</definedName>
    <definedName name="SD_34x1_91x43_26_B_0" localSheetId="26" hidden="1">Prolink!$O$1246</definedName>
    <definedName name="SD_34x1_91x43_27_B_0" localSheetId="26" hidden="1">Prolink!$I$1246</definedName>
    <definedName name="SD_34x1_91x43_28_B_0" localSheetId="26" hidden="1">Prolink!$J$1246</definedName>
    <definedName name="SD_34x1_91x43_4_B_0" localSheetId="26" hidden="1">Prolink!$D$1246</definedName>
    <definedName name="SD_34x1_91x43_8_B_0" localSheetId="26" hidden="1">Prolink!$E$1246</definedName>
    <definedName name="SD_34x1_91x44_10_B_0" localSheetId="26" hidden="1">Prolink!$R$1247</definedName>
    <definedName name="SD_34x1_91x44_11_B_0" localSheetId="26" hidden="1">Prolink!$P$1247</definedName>
    <definedName name="SD_34x1_91x44_12_B_0" localSheetId="26" hidden="1">Prolink!$Q$1247</definedName>
    <definedName name="SD_34x1_91x44_14_B_0" localSheetId="26" hidden="1">Prolink!$M$1247</definedName>
    <definedName name="SD_34x1_91x44_15_B_0" localSheetId="26" hidden="1">Prolink!$K$1247</definedName>
    <definedName name="SD_34x1_91x44_16_B_0" localSheetId="26" hidden="1">Prolink!$L$1247</definedName>
    <definedName name="SD_34x1_91x44_18_B_0" localSheetId="26" hidden="1">Prolink!$H$1247</definedName>
    <definedName name="SD_34x1_91x44_19_B_0" localSheetId="26" hidden="1">Prolink!$F$1247</definedName>
    <definedName name="SD_34x1_91x44_20_B_0" localSheetId="26" hidden="1">Prolink!$G$1247</definedName>
    <definedName name="SD_34x1_91x44_22_B_0" localSheetId="26" hidden="1">Prolink!$C$1247</definedName>
    <definedName name="SD_34x1_91x44_23_B_0" localSheetId="26" hidden="1">Prolink!$S$1247</definedName>
    <definedName name="SD_34x1_91x44_24_B_0" localSheetId="26" hidden="1">Prolink!$T$1247</definedName>
    <definedName name="SD_34x1_91x44_25_B_0" localSheetId="26" hidden="1">Prolink!$N$1247</definedName>
    <definedName name="SD_34x1_91x44_26_B_0" localSheetId="26" hidden="1">Prolink!$O$1247</definedName>
    <definedName name="SD_34x1_91x44_27_B_0" localSheetId="26" hidden="1">Prolink!$I$1247</definedName>
    <definedName name="SD_34x1_91x44_28_B_0" localSheetId="26" hidden="1">Prolink!$J$1247</definedName>
    <definedName name="SD_34x1_91x44_4_B_0" localSheetId="26" hidden="1">Prolink!$D$1247</definedName>
    <definedName name="SD_34x1_91x44_8_B_0" localSheetId="26" hidden="1">Prolink!$E$1247</definedName>
    <definedName name="SD_34x1_91x45_10_B_0" localSheetId="26" hidden="1">Prolink!$R$1248</definedName>
    <definedName name="SD_34x1_91x45_11_B_0" localSheetId="26" hidden="1">Prolink!$P$1248</definedName>
    <definedName name="SD_34x1_91x45_12_B_0" localSheetId="26" hidden="1">Prolink!$Q$1248</definedName>
    <definedName name="SD_34x1_91x45_14_B_0" localSheetId="26" hidden="1">Prolink!$M$1248</definedName>
    <definedName name="SD_34x1_91x45_15_B_0" localSheetId="26" hidden="1">Prolink!$K$1248</definedName>
    <definedName name="SD_34x1_91x45_16_B_0" localSheetId="26" hidden="1">Prolink!$L$1248</definedName>
    <definedName name="SD_34x1_91x45_18_B_0" localSheetId="26" hidden="1">Prolink!$H$1248</definedName>
    <definedName name="SD_34x1_91x45_19_B_0" localSheetId="26" hidden="1">Prolink!$F$1248</definedName>
    <definedName name="SD_34x1_91x45_20_B_0" localSheetId="26" hidden="1">Prolink!$G$1248</definedName>
    <definedName name="SD_34x1_91x45_22_B_0" localSheetId="26" hidden="1">Prolink!$C$1248</definedName>
    <definedName name="SD_34x1_91x45_23_B_0" localSheetId="26" hidden="1">Prolink!$S$1248</definedName>
    <definedName name="SD_34x1_91x45_24_B_0" localSheetId="26" hidden="1">Prolink!$T$1248</definedName>
    <definedName name="SD_34x1_91x45_25_B_0" localSheetId="26" hidden="1">Prolink!$N$1248</definedName>
    <definedName name="SD_34x1_91x45_26_B_0" localSheetId="26" hidden="1">Prolink!$O$1248</definedName>
    <definedName name="SD_34x1_91x45_27_B_0" localSheetId="26" hidden="1">Prolink!$I$1248</definedName>
    <definedName name="SD_34x1_91x45_28_B_0" localSheetId="26" hidden="1">Prolink!$J$1248</definedName>
    <definedName name="SD_34x1_91x45_4_B_0" localSheetId="26" hidden="1">Prolink!$D$1248</definedName>
    <definedName name="SD_34x1_91x45_8_B_0" localSheetId="26" hidden="1">Prolink!$E$1248</definedName>
    <definedName name="SD_34x1_91x46_10_B_0" localSheetId="26" hidden="1">Prolink!$R$1249</definedName>
    <definedName name="SD_34x1_91x46_11_B_0" localSheetId="26" hidden="1">Prolink!$P$1249</definedName>
    <definedName name="SD_34x1_91x46_12_B_0" localSheetId="26" hidden="1">Prolink!$Q$1249</definedName>
    <definedName name="SD_34x1_91x46_14_B_0" localSheetId="26" hidden="1">Prolink!$M$1249</definedName>
    <definedName name="SD_34x1_91x46_15_B_0" localSheetId="26" hidden="1">Prolink!$K$1249</definedName>
    <definedName name="SD_34x1_91x46_16_B_0" localSheetId="26" hidden="1">Prolink!$L$1249</definedName>
    <definedName name="SD_34x1_91x46_18_B_0" localSheetId="26" hidden="1">Prolink!$H$1249</definedName>
    <definedName name="SD_34x1_91x46_19_B_0" localSheetId="26" hidden="1">Prolink!$F$1249</definedName>
    <definedName name="SD_34x1_91x46_20_B_0" localSheetId="26" hidden="1">Prolink!$G$1249</definedName>
    <definedName name="SD_34x1_91x46_22_B_0" localSheetId="26" hidden="1">Prolink!$C$1249</definedName>
    <definedName name="SD_34x1_91x46_23_B_0" localSheetId="26" hidden="1">Prolink!$S$1249</definedName>
    <definedName name="SD_34x1_91x46_24_B_0" localSheetId="26" hidden="1">Prolink!$T$1249</definedName>
    <definedName name="SD_34x1_91x46_25_B_0" localSheetId="26" hidden="1">Prolink!$N$1249</definedName>
    <definedName name="SD_34x1_91x46_26_B_0" localSheetId="26" hidden="1">Prolink!$O$1249</definedName>
    <definedName name="SD_34x1_91x46_27_B_0" localSheetId="26" hidden="1">Prolink!$I$1249</definedName>
    <definedName name="SD_34x1_91x46_28_B_0" localSheetId="26" hidden="1">Prolink!$J$1249</definedName>
    <definedName name="SD_34x1_91x46_4_B_0" localSheetId="26" hidden="1">Prolink!$D$1249</definedName>
    <definedName name="SD_34x1_91x46_8_B_0" localSheetId="26" hidden="1">Prolink!$E$1249</definedName>
    <definedName name="SD_34x1_91x47_10_B_0" localSheetId="26" hidden="1">Prolink!$R$1250</definedName>
    <definedName name="SD_34x1_91x47_11_B_0" localSheetId="26" hidden="1">Prolink!$P$1250</definedName>
    <definedName name="SD_34x1_91x47_12_B_0" localSheetId="26" hidden="1">Prolink!$Q$1250</definedName>
    <definedName name="SD_34x1_91x47_14_B_0" localSheetId="26" hidden="1">Prolink!$M$1250</definedName>
    <definedName name="SD_34x1_91x47_15_B_0" localSheetId="26" hidden="1">Prolink!$K$1250</definedName>
    <definedName name="SD_34x1_91x47_16_B_0" localSheetId="26" hidden="1">Prolink!$L$1250</definedName>
    <definedName name="SD_34x1_91x47_18_B_0" localSheetId="26" hidden="1">Prolink!$H$1250</definedName>
    <definedName name="SD_34x1_91x47_19_B_0" localSheetId="26" hidden="1">Prolink!$F$1250</definedName>
    <definedName name="SD_34x1_91x47_20_B_0" localSheetId="26" hidden="1">Prolink!$G$1250</definedName>
    <definedName name="SD_34x1_91x47_22_B_0" localSheetId="26" hidden="1">Prolink!$C$1250</definedName>
    <definedName name="SD_34x1_91x47_23_B_0" localSheetId="26" hidden="1">Prolink!$S$1250</definedName>
    <definedName name="SD_34x1_91x47_24_B_0" localSheetId="26" hidden="1">Prolink!$T$1250</definedName>
    <definedName name="SD_34x1_91x47_25_B_0" localSheetId="26" hidden="1">Prolink!$N$1250</definedName>
    <definedName name="SD_34x1_91x47_26_B_0" localSheetId="26" hidden="1">Prolink!$O$1250</definedName>
    <definedName name="SD_34x1_91x47_27_B_0" localSheetId="26" hidden="1">Prolink!$I$1250</definedName>
    <definedName name="SD_34x1_91x47_28_B_0" localSheetId="26" hidden="1">Prolink!$J$1250</definedName>
    <definedName name="SD_34x1_91x47_4_B_0" localSheetId="26" hidden="1">Prolink!$D$1250</definedName>
    <definedName name="SD_34x1_91x47_8_B_0" localSheetId="26" hidden="1">Prolink!$E$1250</definedName>
    <definedName name="SD_34x1_91x48_10_B_0" localSheetId="26" hidden="1">Prolink!$R$1251</definedName>
    <definedName name="SD_34x1_91x48_11_B_0" localSheetId="26" hidden="1">Prolink!$P$1251</definedName>
    <definedName name="SD_34x1_91x48_12_B_0" localSheetId="26" hidden="1">Prolink!$Q$1251</definedName>
    <definedName name="SD_34x1_91x48_14_B_0" localSheetId="26" hidden="1">Prolink!$M$1251</definedName>
    <definedName name="SD_34x1_91x48_15_B_0" localSheetId="26" hidden="1">Prolink!$K$1251</definedName>
    <definedName name="SD_34x1_91x48_16_B_0" localSheetId="26" hidden="1">Prolink!$L$1251</definedName>
    <definedName name="SD_34x1_91x48_18_B_0" localSheetId="26" hidden="1">Prolink!$H$1251</definedName>
    <definedName name="SD_34x1_91x48_19_B_0" localSheetId="26" hidden="1">Prolink!$F$1251</definedName>
    <definedName name="SD_34x1_91x48_20_B_0" localSheetId="26" hidden="1">Prolink!$G$1251</definedName>
    <definedName name="SD_34x1_91x48_22_B_0" localSheetId="26" hidden="1">Prolink!$C$1251</definedName>
    <definedName name="SD_34x1_91x48_23_B_0" localSheetId="26" hidden="1">Prolink!$S$1251</definedName>
    <definedName name="SD_34x1_91x48_24_B_0" localSheetId="26" hidden="1">Prolink!$T$1251</definedName>
    <definedName name="SD_34x1_91x48_25_B_0" localSheetId="26" hidden="1">Prolink!$N$1251</definedName>
    <definedName name="SD_34x1_91x48_26_B_0" localSheetId="26" hidden="1">Prolink!$O$1251</definedName>
    <definedName name="SD_34x1_91x48_27_B_0" localSheetId="26" hidden="1">Prolink!$I$1251</definedName>
    <definedName name="SD_34x1_91x48_28_B_0" localSheetId="26" hidden="1">Prolink!$J$1251</definedName>
    <definedName name="SD_34x1_91x48_4_B_0" localSheetId="26" hidden="1">Prolink!$D$1251</definedName>
    <definedName name="SD_34x1_91x48_8_B_0" localSheetId="26" hidden="1">Prolink!$E$1251</definedName>
    <definedName name="SD_34x1_91x49_10_B_0" localSheetId="26" hidden="1">Prolink!$R$1252</definedName>
    <definedName name="SD_34x1_91x49_11_B_0" localSheetId="26" hidden="1">Prolink!$P$1252</definedName>
    <definedName name="SD_34x1_91x49_12_B_0" localSheetId="26" hidden="1">Prolink!$Q$1252</definedName>
    <definedName name="SD_34x1_91x49_14_B_0" localSheetId="26" hidden="1">Prolink!$M$1252</definedName>
    <definedName name="SD_34x1_91x49_15_B_0" localSheetId="26" hidden="1">Prolink!$K$1252</definedName>
    <definedName name="SD_34x1_91x49_16_B_0" localSheetId="26" hidden="1">Prolink!$L$1252</definedName>
    <definedName name="SD_34x1_91x49_18_B_0" localSheetId="26" hidden="1">Prolink!$H$1252</definedName>
    <definedName name="SD_34x1_91x49_19_B_0" localSheetId="26" hidden="1">Prolink!$F$1252</definedName>
    <definedName name="SD_34x1_91x49_20_B_0" localSheetId="26" hidden="1">Prolink!$G$1252</definedName>
    <definedName name="SD_34x1_91x49_22_B_0" localSheetId="26" hidden="1">Prolink!$C$1252</definedName>
    <definedName name="SD_34x1_91x49_23_B_0" localSheetId="26" hidden="1">Prolink!$S$1252</definedName>
    <definedName name="SD_34x1_91x49_24_B_0" localSheetId="26" hidden="1">Prolink!$T$1252</definedName>
    <definedName name="SD_34x1_91x49_25_B_0" localSheetId="26" hidden="1">Prolink!$N$1252</definedName>
    <definedName name="SD_34x1_91x49_26_B_0" localSheetId="26" hidden="1">Prolink!$O$1252</definedName>
    <definedName name="SD_34x1_91x49_27_B_0" localSheetId="26" hidden="1">Prolink!$I$1252</definedName>
    <definedName name="SD_34x1_91x49_28_B_0" localSheetId="26" hidden="1">Prolink!$J$1252</definedName>
    <definedName name="SD_34x1_91x49_4_B_0" localSheetId="26" hidden="1">Prolink!$D$1252</definedName>
    <definedName name="SD_34x1_91x49_8_B_0" localSheetId="26" hidden="1">Prolink!$E$1252</definedName>
    <definedName name="SD_34x1_91x5_10_B_0" localSheetId="26" hidden="1">Prolink!$R$1208</definedName>
    <definedName name="SD_34x1_91x5_11_B_0" localSheetId="26" hidden="1">Prolink!$P$1208</definedName>
    <definedName name="SD_34x1_91x5_12_B_0" localSheetId="26" hidden="1">Prolink!$Q$1208</definedName>
    <definedName name="SD_34x1_91x5_14_B_0" localSheetId="26" hidden="1">Prolink!$M$1208</definedName>
    <definedName name="SD_34x1_91x5_15_B_0" localSheetId="26" hidden="1">Prolink!$K$1208</definedName>
    <definedName name="SD_34x1_91x5_16_B_0" localSheetId="26" hidden="1">Prolink!$L$1208</definedName>
    <definedName name="SD_34x1_91x5_18_B_0" localSheetId="26" hidden="1">Prolink!$H$1208</definedName>
    <definedName name="SD_34x1_91x5_19_B_0" localSheetId="26" hidden="1">Prolink!$F$1208</definedName>
    <definedName name="SD_34x1_91x5_20_B_0" localSheetId="26" hidden="1">Prolink!$G$1208</definedName>
    <definedName name="SD_34x1_91x5_22_B_0" localSheetId="26" hidden="1">Prolink!$C$1208</definedName>
    <definedName name="SD_34x1_91x5_23_B_0" localSheetId="26" hidden="1">Prolink!$S$1208</definedName>
    <definedName name="SD_34x1_91x5_24_B_0" localSheetId="26" hidden="1">Prolink!$T$1208</definedName>
    <definedName name="SD_34x1_91x5_25_B_0" localSheetId="26" hidden="1">Prolink!$N$1208</definedName>
    <definedName name="SD_34x1_91x5_26_B_0" localSheetId="26" hidden="1">Prolink!$O$1208</definedName>
    <definedName name="SD_34x1_91x5_27_B_0" localSheetId="26" hidden="1">Prolink!$I$1208</definedName>
    <definedName name="SD_34x1_91x5_28_B_0" localSheetId="26" hidden="1">Prolink!$J$1208</definedName>
    <definedName name="SD_34x1_91x5_4_B_0" localSheetId="26" hidden="1">Prolink!$D$1208</definedName>
    <definedName name="SD_34x1_91x5_8_B_0" localSheetId="26" hidden="1">Prolink!$E$1208</definedName>
    <definedName name="SD_34x1_91x50_10_B_0" localSheetId="26" hidden="1">Prolink!$R$1253</definedName>
    <definedName name="SD_34x1_91x50_11_B_0" localSheetId="26" hidden="1">Prolink!$P$1253</definedName>
    <definedName name="SD_34x1_91x50_12_B_0" localSheetId="26" hidden="1">Prolink!$Q$1253</definedName>
    <definedName name="SD_34x1_91x50_14_B_0" localSheetId="26" hidden="1">Prolink!$M$1253</definedName>
    <definedName name="SD_34x1_91x50_15_B_0" localSheetId="26" hidden="1">Prolink!$K$1253</definedName>
    <definedName name="SD_34x1_91x50_16_B_0" localSheetId="26" hidden="1">Prolink!$L$1253</definedName>
    <definedName name="SD_34x1_91x50_18_B_0" localSheetId="26" hidden="1">Prolink!$H$1253</definedName>
    <definedName name="SD_34x1_91x50_19_B_0" localSheetId="26" hidden="1">Prolink!$F$1253</definedName>
    <definedName name="SD_34x1_91x50_20_B_0" localSheetId="26" hidden="1">Prolink!$G$1253</definedName>
    <definedName name="SD_34x1_91x50_22_B_0" localSheetId="26" hidden="1">Prolink!$C$1253</definedName>
    <definedName name="SD_34x1_91x50_23_B_0" localSheetId="26" hidden="1">Prolink!$S$1253</definedName>
    <definedName name="SD_34x1_91x50_24_B_0" localSheetId="26" hidden="1">Prolink!$T$1253</definedName>
    <definedName name="SD_34x1_91x50_25_B_0" localSheetId="26" hidden="1">Prolink!$N$1253</definedName>
    <definedName name="SD_34x1_91x50_26_B_0" localSheetId="26" hidden="1">Prolink!$O$1253</definedName>
    <definedName name="SD_34x1_91x50_27_B_0" localSheetId="26" hidden="1">Prolink!$I$1253</definedName>
    <definedName name="SD_34x1_91x50_28_B_0" localSheetId="26" hidden="1">Prolink!$J$1253</definedName>
    <definedName name="SD_34x1_91x50_4_B_0" localSheetId="26" hidden="1">Prolink!$D$1253</definedName>
    <definedName name="SD_34x1_91x50_8_B_0" localSheetId="26" hidden="1">Prolink!$E$1253</definedName>
    <definedName name="SD_34x1_91x51_10_B_0" localSheetId="26" hidden="1">Prolink!$R$1254</definedName>
    <definedName name="SD_34x1_91x51_11_B_0" localSheetId="26" hidden="1">Prolink!$P$1254</definedName>
    <definedName name="SD_34x1_91x51_12_B_0" localSheetId="26" hidden="1">Prolink!$Q$1254</definedName>
    <definedName name="SD_34x1_91x51_14_B_0" localSheetId="26" hidden="1">Prolink!$M$1254</definedName>
    <definedName name="SD_34x1_91x51_15_B_0" localSheetId="26" hidden="1">Prolink!$K$1254</definedName>
    <definedName name="SD_34x1_91x51_16_B_0" localSheetId="26" hidden="1">Prolink!$L$1254</definedName>
    <definedName name="SD_34x1_91x51_18_B_0" localSheetId="26" hidden="1">Prolink!$H$1254</definedName>
    <definedName name="SD_34x1_91x51_19_B_0" localSheetId="26" hidden="1">Prolink!$F$1254</definedName>
    <definedName name="SD_34x1_91x51_20_B_0" localSheetId="26" hidden="1">Prolink!$G$1254</definedName>
    <definedName name="SD_34x1_91x51_22_B_0" localSheetId="26" hidden="1">Prolink!$C$1254</definedName>
    <definedName name="SD_34x1_91x51_23_B_0" localSheetId="26" hidden="1">Prolink!$S$1254</definedName>
    <definedName name="SD_34x1_91x51_24_B_0" localSheetId="26" hidden="1">Prolink!$T$1254</definedName>
    <definedName name="SD_34x1_91x51_25_B_0" localSheetId="26" hidden="1">Prolink!$N$1254</definedName>
    <definedName name="SD_34x1_91x51_26_B_0" localSheetId="26" hidden="1">Prolink!$O$1254</definedName>
    <definedName name="SD_34x1_91x51_27_B_0" localSheetId="26" hidden="1">Prolink!$I$1254</definedName>
    <definedName name="SD_34x1_91x51_28_B_0" localSheetId="26" hidden="1">Prolink!$J$1254</definedName>
    <definedName name="SD_34x1_91x51_4_B_0" localSheetId="26" hidden="1">Prolink!$D$1254</definedName>
    <definedName name="SD_34x1_91x51_8_B_0" localSheetId="26" hidden="1">Prolink!$E$1254</definedName>
    <definedName name="SD_34x1_91x52_10_B_0" localSheetId="26" hidden="1">Prolink!$R$1255</definedName>
    <definedName name="SD_34x1_91x52_11_B_0" localSheetId="26" hidden="1">Prolink!$P$1255</definedName>
    <definedName name="SD_34x1_91x52_12_B_0" localSheetId="26" hidden="1">Prolink!$Q$1255</definedName>
    <definedName name="SD_34x1_91x52_14_B_0" localSheetId="26" hidden="1">Prolink!$M$1255</definedName>
    <definedName name="SD_34x1_91x52_15_B_0" localSheetId="26" hidden="1">Prolink!$K$1255</definedName>
    <definedName name="SD_34x1_91x52_16_B_0" localSheetId="26" hidden="1">Prolink!$L$1255</definedName>
    <definedName name="SD_34x1_91x52_18_B_0" localSheetId="26" hidden="1">Prolink!$H$1255</definedName>
    <definedName name="SD_34x1_91x52_19_B_0" localSheetId="26" hidden="1">Prolink!$F$1255</definedName>
    <definedName name="SD_34x1_91x52_20_B_0" localSheetId="26" hidden="1">Prolink!$G$1255</definedName>
    <definedName name="SD_34x1_91x52_22_B_0" localSheetId="26" hidden="1">Prolink!$C$1255</definedName>
    <definedName name="SD_34x1_91x52_23_B_0" localSheetId="26" hidden="1">Prolink!$S$1255</definedName>
    <definedName name="SD_34x1_91x52_24_B_0" localSheetId="26" hidden="1">Prolink!$T$1255</definedName>
    <definedName name="SD_34x1_91x52_25_B_0" localSheetId="26" hidden="1">Prolink!$N$1255</definedName>
    <definedName name="SD_34x1_91x52_26_B_0" localSheetId="26" hidden="1">Prolink!$O$1255</definedName>
    <definedName name="SD_34x1_91x52_27_B_0" localSheetId="26" hidden="1">Prolink!$I$1255</definedName>
    <definedName name="SD_34x1_91x52_28_B_0" localSheetId="26" hidden="1">Prolink!$J$1255</definedName>
    <definedName name="SD_34x1_91x52_4_B_0" localSheetId="26" hidden="1">Prolink!$D$1255</definedName>
    <definedName name="SD_34x1_91x52_8_B_0" localSheetId="26" hidden="1">Prolink!$E$1255</definedName>
    <definedName name="SD_34x1_91x53_10_B_0" localSheetId="26" hidden="1">Prolink!$R$1256</definedName>
    <definedName name="SD_34x1_91x53_11_B_0" localSheetId="26" hidden="1">Prolink!$P$1256</definedName>
    <definedName name="SD_34x1_91x53_12_B_0" localSheetId="26" hidden="1">Prolink!$Q$1256</definedName>
    <definedName name="SD_34x1_91x53_14_B_0" localSheetId="26" hidden="1">Prolink!$M$1256</definedName>
    <definedName name="SD_34x1_91x53_15_B_0" localSheetId="26" hidden="1">Prolink!$K$1256</definedName>
    <definedName name="SD_34x1_91x53_16_B_0" localSheetId="26" hidden="1">Prolink!$L$1256</definedName>
    <definedName name="SD_34x1_91x53_18_B_0" localSheetId="26" hidden="1">Prolink!$H$1256</definedName>
    <definedName name="SD_34x1_91x53_19_B_0" localSheetId="26" hidden="1">Prolink!$F$1256</definedName>
    <definedName name="SD_34x1_91x53_20_B_0" localSheetId="26" hidden="1">Prolink!$G$1256</definedName>
    <definedName name="SD_34x1_91x53_22_B_0" localSheetId="26" hidden="1">Prolink!$C$1256</definedName>
    <definedName name="SD_34x1_91x53_23_B_0" localSheetId="26" hidden="1">Prolink!$S$1256</definedName>
    <definedName name="SD_34x1_91x53_24_B_0" localSheetId="26" hidden="1">Prolink!$T$1256</definedName>
    <definedName name="SD_34x1_91x53_25_B_0" localSheetId="26" hidden="1">Prolink!$N$1256</definedName>
    <definedName name="SD_34x1_91x53_26_B_0" localSheetId="26" hidden="1">Prolink!$O$1256</definedName>
    <definedName name="SD_34x1_91x53_27_B_0" localSheetId="26" hidden="1">Prolink!$I$1256</definedName>
    <definedName name="SD_34x1_91x53_28_B_0" localSheetId="26" hidden="1">Prolink!$J$1256</definedName>
    <definedName name="SD_34x1_91x53_4_B_0" localSheetId="26" hidden="1">Prolink!$D$1256</definedName>
    <definedName name="SD_34x1_91x53_8_B_0" localSheetId="26" hidden="1">Prolink!$E$1256</definedName>
    <definedName name="SD_34x1_91x54_10_B_0" localSheetId="26" hidden="1">Prolink!$R$1257</definedName>
    <definedName name="SD_34x1_91x54_11_B_0" localSheetId="26" hidden="1">Prolink!$P$1257</definedName>
    <definedName name="SD_34x1_91x54_12_B_0" localSheetId="26" hidden="1">Prolink!$Q$1257</definedName>
    <definedName name="SD_34x1_91x54_14_B_0" localSheetId="26" hidden="1">Prolink!$M$1257</definedName>
    <definedName name="SD_34x1_91x54_15_B_0" localSheetId="26" hidden="1">Prolink!$K$1257</definedName>
    <definedName name="SD_34x1_91x54_16_B_0" localSheetId="26" hidden="1">Prolink!$L$1257</definedName>
    <definedName name="SD_34x1_91x54_18_B_0" localSheetId="26" hidden="1">Prolink!$H$1257</definedName>
    <definedName name="SD_34x1_91x54_19_B_0" localSheetId="26" hidden="1">Prolink!$F$1257</definedName>
    <definedName name="SD_34x1_91x54_20_B_0" localSheetId="26" hidden="1">Prolink!$G$1257</definedName>
    <definedName name="SD_34x1_91x54_22_B_0" localSheetId="26" hidden="1">Prolink!$C$1257</definedName>
    <definedName name="SD_34x1_91x54_23_B_0" localSheetId="26" hidden="1">Prolink!$S$1257</definedName>
    <definedName name="SD_34x1_91x54_24_B_0" localSheetId="26" hidden="1">Prolink!$T$1257</definedName>
    <definedName name="SD_34x1_91x54_25_B_0" localSheetId="26" hidden="1">Prolink!$N$1257</definedName>
    <definedName name="SD_34x1_91x54_26_B_0" localSheetId="26" hidden="1">Prolink!$O$1257</definedName>
    <definedName name="SD_34x1_91x54_27_B_0" localSheetId="26" hidden="1">Prolink!$I$1257</definedName>
    <definedName name="SD_34x1_91x54_28_B_0" localSheetId="26" hidden="1">Prolink!$J$1257</definedName>
    <definedName name="SD_34x1_91x54_4_B_0" localSheetId="26" hidden="1">Prolink!$D$1257</definedName>
    <definedName name="SD_34x1_91x54_8_B_0" localSheetId="26" hidden="1">Prolink!$E$1257</definedName>
    <definedName name="SD_34x1_91x55_10_B_0" localSheetId="26" hidden="1">Prolink!$R$1258</definedName>
    <definedName name="SD_34x1_91x55_11_B_0" localSheetId="26" hidden="1">Prolink!$P$1258</definedName>
    <definedName name="SD_34x1_91x55_12_B_0" localSheetId="26" hidden="1">Prolink!$Q$1258</definedName>
    <definedName name="SD_34x1_91x55_14_B_0" localSheetId="26" hidden="1">Prolink!$M$1258</definedName>
    <definedName name="SD_34x1_91x55_15_B_0" localSheetId="26" hidden="1">Prolink!$K$1258</definedName>
    <definedName name="SD_34x1_91x55_16_B_0" localSheetId="26" hidden="1">Prolink!$L$1258</definedName>
    <definedName name="SD_34x1_91x55_18_B_0" localSheetId="26" hidden="1">Prolink!$H$1258</definedName>
    <definedName name="SD_34x1_91x55_19_B_0" localSheetId="26" hidden="1">Prolink!$F$1258</definedName>
    <definedName name="SD_34x1_91x55_20_B_0" localSheetId="26" hidden="1">Prolink!$G$1258</definedName>
    <definedName name="SD_34x1_91x55_22_B_0" localSheetId="26" hidden="1">Prolink!$C$1258</definedName>
    <definedName name="SD_34x1_91x55_23_B_0" localSheetId="26" hidden="1">Prolink!$S$1258</definedName>
    <definedName name="SD_34x1_91x55_24_B_0" localSheetId="26" hidden="1">Prolink!$T$1258</definedName>
    <definedName name="SD_34x1_91x55_25_B_0" localSheetId="26" hidden="1">Prolink!$N$1258</definedName>
    <definedName name="SD_34x1_91x55_26_B_0" localSheetId="26" hidden="1">Prolink!$O$1258</definedName>
    <definedName name="SD_34x1_91x55_27_B_0" localSheetId="26" hidden="1">Prolink!$I$1258</definedName>
    <definedName name="SD_34x1_91x55_28_B_0" localSheetId="26" hidden="1">Prolink!$J$1258</definedName>
    <definedName name="SD_34x1_91x55_4_B_0" localSheetId="26" hidden="1">Prolink!$D$1258</definedName>
    <definedName name="SD_34x1_91x55_8_B_0" localSheetId="26" hidden="1">Prolink!$E$1258</definedName>
    <definedName name="SD_34x1_91x56_10_B_0" localSheetId="26" hidden="1">Prolink!$R$1259</definedName>
    <definedName name="SD_34x1_91x56_11_B_0" localSheetId="26" hidden="1">Prolink!$P$1259</definedName>
    <definedName name="SD_34x1_91x56_12_B_0" localSheetId="26" hidden="1">Prolink!$Q$1259</definedName>
    <definedName name="SD_34x1_91x56_14_B_0" localSheetId="26" hidden="1">Prolink!$M$1259</definedName>
    <definedName name="SD_34x1_91x56_15_B_0" localSheetId="26" hidden="1">Prolink!$K$1259</definedName>
    <definedName name="SD_34x1_91x56_16_B_0" localSheetId="26" hidden="1">Prolink!$L$1259</definedName>
    <definedName name="SD_34x1_91x56_18_B_0" localSheetId="26" hidden="1">Prolink!$H$1259</definedName>
    <definedName name="SD_34x1_91x56_19_B_0" localSheetId="26" hidden="1">Prolink!$F$1259</definedName>
    <definedName name="SD_34x1_91x56_20_B_0" localSheetId="26" hidden="1">Prolink!$G$1259</definedName>
    <definedName name="SD_34x1_91x56_22_B_0" localSheetId="26" hidden="1">Prolink!$C$1259</definedName>
    <definedName name="SD_34x1_91x56_23_B_0" localSheetId="26" hidden="1">Prolink!$S$1259</definedName>
    <definedName name="SD_34x1_91x56_24_B_0" localSheetId="26" hidden="1">Prolink!$T$1259</definedName>
    <definedName name="SD_34x1_91x56_25_B_0" localSheetId="26" hidden="1">Prolink!$N$1259</definedName>
    <definedName name="SD_34x1_91x56_26_B_0" localSheetId="26" hidden="1">Prolink!$O$1259</definedName>
    <definedName name="SD_34x1_91x56_27_B_0" localSheetId="26" hidden="1">Prolink!$I$1259</definedName>
    <definedName name="SD_34x1_91x56_28_B_0" localSheetId="26" hidden="1">Prolink!$J$1259</definedName>
    <definedName name="SD_34x1_91x56_4_B_0" localSheetId="26" hidden="1">Prolink!$D$1259</definedName>
    <definedName name="SD_34x1_91x56_8_B_0" localSheetId="26" hidden="1">Prolink!$E$1259</definedName>
    <definedName name="SD_34x1_91x57_10_B_0" localSheetId="26" hidden="1">Prolink!$R$1260</definedName>
    <definedName name="SD_34x1_91x57_11_B_0" localSheetId="26" hidden="1">Prolink!$P$1260</definedName>
    <definedName name="SD_34x1_91x57_12_B_0" localSheetId="26" hidden="1">Prolink!$Q$1260</definedName>
    <definedName name="SD_34x1_91x57_14_B_0" localSheetId="26" hidden="1">Prolink!$M$1260</definedName>
    <definedName name="SD_34x1_91x57_15_B_0" localSheetId="26" hidden="1">Prolink!$K$1260</definedName>
    <definedName name="SD_34x1_91x57_16_B_0" localSheetId="26" hidden="1">Prolink!$L$1260</definedName>
    <definedName name="SD_34x1_91x57_18_B_0" localSheetId="26" hidden="1">Prolink!$H$1260</definedName>
    <definedName name="SD_34x1_91x57_19_B_0" localSheetId="26" hidden="1">Prolink!$F$1260</definedName>
    <definedName name="SD_34x1_91x57_20_B_0" localSheetId="26" hidden="1">Prolink!$G$1260</definedName>
    <definedName name="SD_34x1_91x57_22_B_0" localSheetId="26" hidden="1">Prolink!$C$1260</definedName>
    <definedName name="SD_34x1_91x57_23_B_0" localSheetId="26" hidden="1">Prolink!$S$1260</definedName>
    <definedName name="SD_34x1_91x57_24_B_0" localSheetId="26" hidden="1">Prolink!$T$1260</definedName>
    <definedName name="SD_34x1_91x57_25_B_0" localSheetId="26" hidden="1">Prolink!$N$1260</definedName>
    <definedName name="SD_34x1_91x57_26_B_0" localSheetId="26" hidden="1">Prolink!$O$1260</definedName>
    <definedName name="SD_34x1_91x57_27_B_0" localSheetId="26" hidden="1">Prolink!$I$1260</definedName>
    <definedName name="SD_34x1_91x57_28_B_0" localSheetId="26" hidden="1">Prolink!$J$1260</definedName>
    <definedName name="SD_34x1_91x57_4_B_0" localSheetId="26" hidden="1">Prolink!$D$1260</definedName>
    <definedName name="SD_34x1_91x57_8_B_0" localSheetId="26" hidden="1">Prolink!$E$1260</definedName>
    <definedName name="SD_34x1_91x58_10_B_0" localSheetId="26" hidden="1">Prolink!$R$1261</definedName>
    <definedName name="SD_34x1_91x58_11_B_0" localSheetId="26" hidden="1">Prolink!$P$1261</definedName>
    <definedName name="SD_34x1_91x58_12_B_0" localSheetId="26" hidden="1">Prolink!$Q$1261</definedName>
    <definedName name="SD_34x1_91x58_14_B_0" localSheetId="26" hidden="1">Prolink!$M$1261</definedName>
    <definedName name="SD_34x1_91x58_15_B_0" localSheetId="26" hidden="1">Prolink!$K$1261</definedName>
    <definedName name="SD_34x1_91x58_16_B_0" localSheetId="26" hidden="1">Prolink!$L$1261</definedName>
    <definedName name="SD_34x1_91x58_18_B_0" localSheetId="26" hidden="1">Prolink!$H$1261</definedName>
    <definedName name="SD_34x1_91x58_19_B_0" localSheetId="26" hidden="1">Prolink!$F$1261</definedName>
    <definedName name="SD_34x1_91x58_20_B_0" localSheetId="26" hidden="1">Prolink!$G$1261</definedName>
    <definedName name="SD_34x1_91x58_22_B_0" localSheetId="26" hidden="1">Prolink!$C$1261</definedName>
    <definedName name="SD_34x1_91x58_23_B_0" localSheetId="26" hidden="1">Prolink!$S$1261</definedName>
    <definedName name="SD_34x1_91x58_24_B_0" localSheetId="26" hidden="1">Prolink!$T$1261</definedName>
    <definedName name="SD_34x1_91x58_25_B_0" localSheetId="26" hidden="1">Prolink!$N$1261</definedName>
    <definedName name="SD_34x1_91x58_26_B_0" localSheetId="26" hidden="1">Prolink!$O$1261</definedName>
    <definedName name="SD_34x1_91x58_27_B_0" localSheetId="26" hidden="1">Prolink!$I$1261</definedName>
    <definedName name="SD_34x1_91x58_28_B_0" localSheetId="26" hidden="1">Prolink!$J$1261</definedName>
    <definedName name="SD_34x1_91x58_4_B_0" localSheetId="26" hidden="1">Prolink!$D$1261</definedName>
    <definedName name="SD_34x1_91x58_8_B_0" localSheetId="26" hidden="1">Prolink!$E$1261</definedName>
    <definedName name="SD_34x1_91x59_10_B_0" localSheetId="26" hidden="1">Prolink!$R$1262</definedName>
    <definedName name="SD_34x1_91x59_11_B_0" localSheetId="26" hidden="1">Prolink!$P$1262</definedName>
    <definedName name="SD_34x1_91x59_12_B_0" localSheetId="26" hidden="1">Prolink!$Q$1262</definedName>
    <definedName name="SD_34x1_91x59_14_B_0" localSheetId="26" hidden="1">Prolink!$M$1262</definedName>
    <definedName name="SD_34x1_91x59_15_B_0" localSheetId="26" hidden="1">Prolink!$K$1262</definedName>
    <definedName name="SD_34x1_91x59_16_B_0" localSheetId="26" hidden="1">Prolink!$L$1262</definedName>
    <definedName name="SD_34x1_91x59_18_B_0" localSheetId="26" hidden="1">Prolink!$H$1262</definedName>
    <definedName name="SD_34x1_91x59_19_B_0" localSheetId="26" hidden="1">Prolink!$F$1262</definedName>
    <definedName name="SD_34x1_91x59_20_B_0" localSheetId="26" hidden="1">Prolink!$G$1262</definedName>
    <definedName name="SD_34x1_91x59_22_B_0" localSheetId="26" hidden="1">Prolink!$C$1262</definedName>
    <definedName name="SD_34x1_91x59_23_B_0" localSheetId="26" hidden="1">Prolink!$S$1262</definedName>
    <definedName name="SD_34x1_91x59_24_B_0" localSheetId="26" hidden="1">Prolink!$T$1262</definedName>
    <definedName name="SD_34x1_91x59_25_B_0" localSheetId="26" hidden="1">Prolink!$N$1262</definedName>
    <definedName name="SD_34x1_91x59_26_B_0" localSheetId="26" hidden="1">Prolink!$O$1262</definedName>
    <definedName name="SD_34x1_91x59_27_B_0" localSheetId="26" hidden="1">Prolink!$I$1262</definedName>
    <definedName name="SD_34x1_91x59_28_B_0" localSheetId="26" hidden="1">Prolink!$J$1262</definedName>
    <definedName name="SD_34x1_91x59_4_B_0" localSheetId="26" hidden="1">Prolink!$D$1262</definedName>
    <definedName name="SD_34x1_91x59_8_B_0" localSheetId="26" hidden="1">Prolink!$E$1262</definedName>
    <definedName name="SD_34x1_91x6_10_B_0" localSheetId="26" hidden="1">Prolink!$R$1209</definedName>
    <definedName name="SD_34x1_91x6_11_B_0" localSheetId="26" hidden="1">Prolink!$P$1209</definedName>
    <definedName name="SD_34x1_91x6_12_B_0" localSheetId="26" hidden="1">Prolink!$Q$1209</definedName>
    <definedName name="SD_34x1_91x6_14_B_0" localSheetId="26" hidden="1">Prolink!$M$1209</definedName>
    <definedName name="SD_34x1_91x6_15_B_0" localSheetId="26" hidden="1">Prolink!$K$1209</definedName>
    <definedName name="SD_34x1_91x6_16_B_0" localSheetId="26" hidden="1">Prolink!$L$1209</definedName>
    <definedName name="SD_34x1_91x6_18_B_0" localSheetId="26" hidden="1">Prolink!$H$1209</definedName>
    <definedName name="SD_34x1_91x6_19_B_0" localSheetId="26" hidden="1">Prolink!$F$1209</definedName>
    <definedName name="SD_34x1_91x6_20_B_0" localSheetId="26" hidden="1">Prolink!$G$1209</definedName>
    <definedName name="SD_34x1_91x6_22_B_0" localSheetId="26" hidden="1">Prolink!$C$1209</definedName>
    <definedName name="SD_34x1_91x6_23_B_0" localSheetId="26" hidden="1">Prolink!$S$1209</definedName>
    <definedName name="SD_34x1_91x6_24_B_0" localSheetId="26" hidden="1">Prolink!$T$1209</definedName>
    <definedName name="SD_34x1_91x6_25_B_0" localSheetId="26" hidden="1">Prolink!$N$1209</definedName>
    <definedName name="SD_34x1_91x6_26_B_0" localSheetId="26" hidden="1">Prolink!$O$1209</definedName>
    <definedName name="SD_34x1_91x6_27_B_0" localSheetId="26" hidden="1">Prolink!$I$1209</definedName>
    <definedName name="SD_34x1_91x6_28_B_0" localSheetId="26" hidden="1">Prolink!$J$1209</definedName>
    <definedName name="SD_34x1_91x6_4_B_0" localSheetId="26" hidden="1">Prolink!$D$1209</definedName>
    <definedName name="SD_34x1_91x6_8_B_0" localSheetId="26" hidden="1">Prolink!$E$1209</definedName>
    <definedName name="SD_34x1_91x60_10_B_0" localSheetId="26" hidden="1">Prolink!$R$1263</definedName>
    <definedName name="SD_34x1_91x60_11_B_0" localSheetId="26" hidden="1">Prolink!$P$1263</definedName>
    <definedName name="SD_34x1_91x60_12_B_0" localSheetId="26" hidden="1">Prolink!$Q$1263</definedName>
    <definedName name="SD_34x1_91x60_14_B_0" localSheetId="26" hidden="1">Prolink!$M$1263</definedName>
    <definedName name="SD_34x1_91x60_15_B_0" localSheetId="26" hidden="1">Prolink!$K$1263</definedName>
    <definedName name="SD_34x1_91x60_16_B_0" localSheetId="26" hidden="1">Prolink!$L$1263</definedName>
    <definedName name="SD_34x1_91x60_18_B_0" localSheetId="26" hidden="1">Prolink!$H$1263</definedName>
    <definedName name="SD_34x1_91x60_19_B_0" localSheetId="26" hidden="1">Prolink!$F$1263</definedName>
    <definedName name="SD_34x1_91x60_20_B_0" localSheetId="26" hidden="1">Prolink!$G$1263</definedName>
    <definedName name="SD_34x1_91x60_22_B_0" localSheetId="26" hidden="1">Prolink!$C$1263</definedName>
    <definedName name="SD_34x1_91x60_23_B_0" localSheetId="26" hidden="1">Prolink!$S$1263</definedName>
    <definedName name="SD_34x1_91x60_24_B_0" localSheetId="26" hidden="1">Prolink!$T$1263</definedName>
    <definedName name="SD_34x1_91x60_25_B_0" localSheetId="26" hidden="1">Prolink!$N$1263</definedName>
    <definedName name="SD_34x1_91x60_26_B_0" localSheetId="26" hidden="1">Prolink!$O$1263</definedName>
    <definedName name="SD_34x1_91x60_27_B_0" localSheetId="26" hidden="1">Prolink!$I$1263</definedName>
    <definedName name="SD_34x1_91x60_28_B_0" localSheetId="26" hidden="1">Prolink!$J$1263</definedName>
    <definedName name="SD_34x1_91x60_4_B_0" localSheetId="26" hidden="1">Prolink!$D$1263</definedName>
    <definedName name="SD_34x1_91x60_8_B_0" localSheetId="26" hidden="1">Prolink!$E$1263</definedName>
    <definedName name="SD_34x1_91x61_10_B_0" localSheetId="26" hidden="1">Prolink!$R$1264</definedName>
    <definedName name="SD_34x1_91x61_11_B_0" localSheetId="26" hidden="1">Prolink!$P$1264</definedName>
    <definedName name="SD_34x1_91x61_12_B_0" localSheetId="26" hidden="1">Prolink!$Q$1264</definedName>
    <definedName name="SD_34x1_91x61_14_B_0" localSheetId="26" hidden="1">Prolink!$M$1264</definedName>
    <definedName name="SD_34x1_91x61_15_B_0" localSheetId="26" hidden="1">Prolink!$K$1264</definedName>
    <definedName name="SD_34x1_91x61_16_B_0" localSheetId="26" hidden="1">Prolink!$L$1264</definedName>
    <definedName name="SD_34x1_91x61_18_B_0" localSheetId="26" hidden="1">Prolink!$H$1264</definedName>
    <definedName name="SD_34x1_91x61_19_B_0" localSheetId="26" hidden="1">Prolink!$F$1264</definedName>
    <definedName name="SD_34x1_91x61_20_B_0" localSheetId="26" hidden="1">Prolink!$G$1264</definedName>
    <definedName name="SD_34x1_91x61_22_B_0" localSheetId="26" hidden="1">Prolink!$C$1264</definedName>
    <definedName name="SD_34x1_91x61_23_B_0" localSheetId="26" hidden="1">Prolink!$S$1264</definedName>
    <definedName name="SD_34x1_91x61_24_B_0" localSheetId="26" hidden="1">Prolink!$T$1264</definedName>
    <definedName name="SD_34x1_91x61_25_B_0" localSheetId="26" hidden="1">Prolink!$N$1264</definedName>
    <definedName name="SD_34x1_91x61_26_B_0" localSheetId="26" hidden="1">Prolink!$O$1264</definedName>
    <definedName name="SD_34x1_91x61_27_B_0" localSheetId="26" hidden="1">Prolink!$I$1264</definedName>
    <definedName name="SD_34x1_91x61_28_B_0" localSheetId="26" hidden="1">Prolink!$J$1264</definedName>
    <definedName name="SD_34x1_91x61_4_B_0" localSheetId="26" hidden="1">Prolink!$D$1264</definedName>
    <definedName name="SD_34x1_91x61_8_B_0" localSheetId="26" hidden="1">Prolink!$E$1264</definedName>
    <definedName name="SD_34x1_91x62_10_B_0" localSheetId="26" hidden="1">Prolink!$R$1265</definedName>
    <definedName name="SD_34x1_91x62_11_B_0" localSheetId="26" hidden="1">Prolink!$P$1265</definedName>
    <definedName name="SD_34x1_91x62_12_B_0" localSheetId="26" hidden="1">Prolink!$Q$1265</definedName>
    <definedName name="SD_34x1_91x62_14_B_0" localSheetId="26" hidden="1">Prolink!$M$1265</definedName>
    <definedName name="SD_34x1_91x62_15_B_0" localSheetId="26" hidden="1">Prolink!$K$1265</definedName>
    <definedName name="SD_34x1_91x62_16_B_0" localSheetId="26" hidden="1">Prolink!$L$1265</definedName>
    <definedName name="SD_34x1_91x62_18_B_0" localSheetId="26" hidden="1">Prolink!$H$1265</definedName>
    <definedName name="SD_34x1_91x62_19_B_0" localSheetId="26" hidden="1">Prolink!$F$1265</definedName>
    <definedName name="SD_34x1_91x62_20_B_0" localSheetId="26" hidden="1">Prolink!$G$1265</definedName>
    <definedName name="SD_34x1_91x62_22_B_0" localSheetId="26" hidden="1">Prolink!$C$1265</definedName>
    <definedName name="SD_34x1_91x62_23_B_0" localSheetId="26" hidden="1">Prolink!$S$1265</definedName>
    <definedName name="SD_34x1_91x62_24_B_0" localSheetId="26" hidden="1">Prolink!$T$1265</definedName>
    <definedName name="SD_34x1_91x62_25_B_0" localSheetId="26" hidden="1">Prolink!$N$1265</definedName>
    <definedName name="SD_34x1_91x62_26_B_0" localSheetId="26" hidden="1">Prolink!$O$1265</definedName>
    <definedName name="SD_34x1_91x62_27_B_0" localSheetId="26" hidden="1">Prolink!$I$1265</definedName>
    <definedName name="SD_34x1_91x62_28_B_0" localSheetId="26" hidden="1">Prolink!$J$1265</definedName>
    <definedName name="SD_34x1_91x62_4_B_0" localSheetId="26" hidden="1">Prolink!$D$1265</definedName>
    <definedName name="SD_34x1_91x62_8_B_0" localSheetId="26" hidden="1">Prolink!$E$1265</definedName>
    <definedName name="SD_34x1_91x63_10_B_0" localSheetId="26" hidden="1">Prolink!$R$1266</definedName>
    <definedName name="SD_34x1_91x63_11_B_0" localSheetId="26" hidden="1">Prolink!$P$1266</definedName>
    <definedName name="SD_34x1_91x63_12_B_0" localSheetId="26" hidden="1">Prolink!$Q$1266</definedName>
    <definedName name="SD_34x1_91x63_14_B_0" localSheetId="26" hidden="1">Prolink!$M$1266</definedName>
    <definedName name="SD_34x1_91x63_15_B_0" localSheetId="26" hidden="1">Prolink!$K$1266</definedName>
    <definedName name="SD_34x1_91x63_16_B_0" localSheetId="26" hidden="1">Prolink!$L$1266</definedName>
    <definedName name="SD_34x1_91x63_18_B_0" localSheetId="26" hidden="1">Prolink!$H$1266</definedName>
    <definedName name="SD_34x1_91x63_19_B_0" localSheetId="26" hidden="1">Prolink!$F$1266</definedName>
    <definedName name="SD_34x1_91x63_20_B_0" localSheetId="26" hidden="1">Prolink!$G$1266</definedName>
    <definedName name="SD_34x1_91x63_22_B_0" localSheetId="26" hidden="1">Prolink!$C$1266</definedName>
    <definedName name="SD_34x1_91x63_23_B_0" localSheetId="26" hidden="1">Prolink!$S$1266</definedName>
    <definedName name="SD_34x1_91x63_24_B_0" localSheetId="26" hidden="1">Prolink!$T$1266</definedName>
    <definedName name="SD_34x1_91x63_25_B_0" localSheetId="26" hidden="1">Prolink!$N$1266</definedName>
    <definedName name="SD_34x1_91x63_26_B_0" localSheetId="26" hidden="1">Prolink!$O$1266</definedName>
    <definedName name="SD_34x1_91x63_27_B_0" localSheetId="26" hidden="1">Prolink!$I$1266</definedName>
    <definedName name="SD_34x1_91x63_28_B_0" localSheetId="26" hidden="1">Prolink!$J$1266</definedName>
    <definedName name="SD_34x1_91x63_4_B_0" localSheetId="26" hidden="1">Prolink!$D$1266</definedName>
    <definedName name="SD_34x1_91x63_8_B_0" localSheetId="26" hidden="1">Prolink!$E$1266</definedName>
    <definedName name="SD_34x1_91x64_10_B_0" localSheetId="26" hidden="1">Prolink!$R$1267</definedName>
    <definedName name="SD_34x1_91x64_11_B_0" localSheetId="26" hidden="1">Prolink!$P$1267</definedName>
    <definedName name="SD_34x1_91x64_12_B_0" localSheetId="26" hidden="1">Prolink!$Q$1267</definedName>
    <definedName name="SD_34x1_91x64_14_B_0" localSheetId="26" hidden="1">Prolink!$M$1267</definedName>
    <definedName name="SD_34x1_91x64_15_B_0" localSheetId="26" hidden="1">Prolink!$K$1267</definedName>
    <definedName name="SD_34x1_91x64_16_B_0" localSheetId="26" hidden="1">Prolink!$L$1267</definedName>
    <definedName name="SD_34x1_91x64_18_B_0" localSheetId="26" hidden="1">Prolink!$H$1267</definedName>
    <definedName name="SD_34x1_91x64_19_B_0" localSheetId="26" hidden="1">Prolink!$F$1267</definedName>
    <definedName name="SD_34x1_91x64_20_B_0" localSheetId="26" hidden="1">Prolink!$G$1267</definedName>
    <definedName name="SD_34x1_91x64_22_B_0" localSheetId="26" hidden="1">Prolink!$C$1267</definedName>
    <definedName name="SD_34x1_91x64_23_B_0" localSheetId="26" hidden="1">Prolink!$S$1267</definedName>
    <definedName name="SD_34x1_91x64_24_B_0" localSheetId="26" hidden="1">Prolink!$T$1267</definedName>
    <definedName name="SD_34x1_91x64_25_B_0" localSheetId="26" hidden="1">Prolink!$N$1267</definedName>
    <definedName name="SD_34x1_91x64_26_B_0" localSheetId="26" hidden="1">Prolink!$O$1267</definedName>
    <definedName name="SD_34x1_91x64_27_B_0" localSheetId="26" hidden="1">Prolink!$I$1267</definedName>
    <definedName name="SD_34x1_91x64_28_B_0" localSheetId="26" hidden="1">Prolink!$J$1267</definedName>
    <definedName name="SD_34x1_91x64_4_B_0" localSheetId="26" hidden="1">Prolink!$D$1267</definedName>
    <definedName name="SD_34x1_91x64_8_B_0" localSheetId="26" hidden="1">Prolink!$E$1267</definedName>
    <definedName name="SD_34x1_91x65_10_B_0" localSheetId="26" hidden="1">Prolink!$R$1268</definedName>
    <definedName name="SD_34x1_91x65_11_B_0" localSheetId="26" hidden="1">Prolink!$P$1268</definedName>
    <definedName name="SD_34x1_91x65_12_B_0" localSheetId="26" hidden="1">Prolink!$Q$1268</definedName>
    <definedName name="SD_34x1_91x65_14_B_0" localSheetId="26" hidden="1">Prolink!$M$1268</definedName>
    <definedName name="SD_34x1_91x65_15_B_0" localSheetId="26" hidden="1">Prolink!$K$1268</definedName>
    <definedName name="SD_34x1_91x65_16_B_0" localSheetId="26" hidden="1">Prolink!$L$1268</definedName>
    <definedName name="SD_34x1_91x65_18_B_0" localSheetId="26" hidden="1">Prolink!$H$1268</definedName>
    <definedName name="SD_34x1_91x65_19_B_0" localSheetId="26" hidden="1">Prolink!$F$1268</definedName>
    <definedName name="SD_34x1_91x65_20_B_0" localSheetId="26" hidden="1">Prolink!$G$1268</definedName>
    <definedName name="SD_34x1_91x65_22_B_0" localSheetId="26" hidden="1">Prolink!$C$1268</definedName>
    <definedName name="SD_34x1_91x65_23_B_0" localSheetId="26" hidden="1">Prolink!$S$1268</definedName>
    <definedName name="SD_34x1_91x65_24_B_0" localSheetId="26" hidden="1">Prolink!$T$1268</definedName>
    <definedName name="SD_34x1_91x65_25_B_0" localSheetId="26" hidden="1">Prolink!$N$1268</definedName>
    <definedName name="SD_34x1_91x65_26_B_0" localSheetId="26" hidden="1">Prolink!$O$1268</definedName>
    <definedName name="SD_34x1_91x65_27_B_0" localSheetId="26" hidden="1">Prolink!$I$1268</definedName>
    <definedName name="SD_34x1_91x65_28_B_0" localSheetId="26" hidden="1">Prolink!$J$1268</definedName>
    <definedName name="SD_34x1_91x65_4_B_0" localSheetId="26" hidden="1">Prolink!$D$1268</definedName>
    <definedName name="SD_34x1_91x65_8_B_0" localSheetId="26" hidden="1">Prolink!$E$1268</definedName>
    <definedName name="SD_34x1_91x66_10_B_0" localSheetId="26" hidden="1">Prolink!$R$1269</definedName>
    <definedName name="SD_34x1_91x66_11_B_0" localSheetId="26" hidden="1">Prolink!$P$1269</definedName>
    <definedName name="SD_34x1_91x66_12_B_0" localSheetId="26" hidden="1">Prolink!$Q$1269</definedName>
    <definedName name="SD_34x1_91x66_14_B_0" localSheetId="26" hidden="1">Prolink!$M$1269</definedName>
    <definedName name="SD_34x1_91x66_15_B_0" localSheetId="26" hidden="1">Prolink!$K$1269</definedName>
    <definedName name="SD_34x1_91x66_16_B_0" localSheetId="26" hidden="1">Prolink!$L$1269</definedName>
    <definedName name="SD_34x1_91x66_18_B_0" localSheetId="26" hidden="1">Prolink!$H$1269</definedName>
    <definedName name="SD_34x1_91x66_19_B_0" localSheetId="26" hidden="1">Prolink!$F$1269</definedName>
    <definedName name="SD_34x1_91x66_20_B_0" localSheetId="26" hidden="1">Prolink!$G$1269</definedName>
    <definedName name="SD_34x1_91x66_22_B_0" localSheetId="26" hidden="1">Prolink!$C$1269</definedName>
    <definedName name="SD_34x1_91x66_23_B_0" localSheetId="26" hidden="1">Prolink!$S$1269</definedName>
    <definedName name="SD_34x1_91x66_24_B_0" localSheetId="26" hidden="1">Prolink!$T$1269</definedName>
    <definedName name="SD_34x1_91x66_25_B_0" localSheetId="26" hidden="1">Prolink!$N$1269</definedName>
    <definedName name="SD_34x1_91x66_26_B_0" localSheetId="26" hidden="1">Prolink!$O$1269</definedName>
    <definedName name="SD_34x1_91x66_27_B_0" localSheetId="26" hidden="1">Prolink!$I$1269</definedName>
    <definedName name="SD_34x1_91x66_28_B_0" localSheetId="26" hidden="1">Prolink!$J$1269</definedName>
    <definedName name="SD_34x1_91x66_4_B_0" localSheetId="26" hidden="1">Prolink!$D$1269</definedName>
    <definedName name="SD_34x1_91x66_8_B_0" localSheetId="26" hidden="1">Prolink!$E$1269</definedName>
    <definedName name="SD_34x1_91x67_10_B_0" localSheetId="26" hidden="1">Prolink!$R$1270</definedName>
    <definedName name="SD_34x1_91x67_11_B_0" localSheetId="26" hidden="1">Prolink!$P$1270</definedName>
    <definedName name="SD_34x1_91x67_12_B_0" localSheetId="26" hidden="1">Prolink!$Q$1270</definedName>
    <definedName name="SD_34x1_91x67_14_B_0" localSheetId="26" hidden="1">Prolink!$M$1270</definedName>
    <definedName name="SD_34x1_91x67_15_B_0" localSheetId="26" hidden="1">Prolink!$K$1270</definedName>
    <definedName name="SD_34x1_91x67_16_B_0" localSheetId="26" hidden="1">Prolink!$L$1270</definedName>
    <definedName name="SD_34x1_91x67_18_B_0" localSheetId="26" hidden="1">Prolink!$H$1270</definedName>
    <definedName name="SD_34x1_91x67_19_B_0" localSheetId="26" hidden="1">Prolink!$F$1270</definedName>
    <definedName name="SD_34x1_91x67_20_B_0" localSheetId="26" hidden="1">Prolink!$G$1270</definedName>
    <definedName name="SD_34x1_91x67_22_B_0" localSheetId="26" hidden="1">Prolink!$C$1270</definedName>
    <definedName name="SD_34x1_91x67_23_B_0" localSheetId="26" hidden="1">Prolink!$S$1270</definedName>
    <definedName name="SD_34x1_91x67_24_B_0" localSheetId="26" hidden="1">Prolink!$T$1270</definedName>
    <definedName name="SD_34x1_91x67_25_B_0" localSheetId="26" hidden="1">Prolink!$N$1270</definedName>
    <definedName name="SD_34x1_91x67_26_B_0" localSheetId="26" hidden="1">Prolink!$O$1270</definedName>
    <definedName name="SD_34x1_91x67_27_B_0" localSheetId="26" hidden="1">Prolink!$I$1270</definedName>
    <definedName name="SD_34x1_91x67_28_B_0" localSheetId="26" hidden="1">Prolink!$J$1270</definedName>
    <definedName name="SD_34x1_91x67_4_B_0" localSheetId="26" hidden="1">Prolink!$D$1270</definedName>
    <definedName name="SD_34x1_91x67_8_B_0" localSheetId="26" hidden="1">Prolink!$E$1270</definedName>
    <definedName name="SD_34x1_91x68_10_B_0" localSheetId="26" hidden="1">Prolink!$R$1271</definedName>
    <definedName name="SD_34x1_91x68_11_B_0" localSheetId="26" hidden="1">Prolink!$P$1271</definedName>
    <definedName name="SD_34x1_91x68_12_B_0" localSheetId="26" hidden="1">Prolink!$Q$1271</definedName>
    <definedName name="SD_34x1_91x68_14_B_0" localSheetId="26" hidden="1">Prolink!$M$1271</definedName>
    <definedName name="SD_34x1_91x68_15_B_0" localSheetId="26" hidden="1">Prolink!$K$1271</definedName>
    <definedName name="SD_34x1_91x68_16_B_0" localSheetId="26" hidden="1">Prolink!$L$1271</definedName>
    <definedName name="SD_34x1_91x68_18_B_0" localSheetId="26" hidden="1">Prolink!$H$1271</definedName>
    <definedName name="SD_34x1_91x68_19_B_0" localSheetId="26" hidden="1">Prolink!$F$1271</definedName>
    <definedName name="SD_34x1_91x68_20_B_0" localSheetId="26" hidden="1">Prolink!$G$1271</definedName>
    <definedName name="SD_34x1_91x68_22_B_0" localSheetId="26" hidden="1">Prolink!$C$1271</definedName>
    <definedName name="SD_34x1_91x68_23_B_0" localSheetId="26" hidden="1">Prolink!$S$1271</definedName>
    <definedName name="SD_34x1_91x68_24_B_0" localSheetId="26" hidden="1">Prolink!$T$1271</definedName>
    <definedName name="SD_34x1_91x68_25_B_0" localSheetId="26" hidden="1">Prolink!$N$1271</definedName>
    <definedName name="SD_34x1_91x68_26_B_0" localSheetId="26" hidden="1">Prolink!$O$1271</definedName>
    <definedName name="SD_34x1_91x68_27_B_0" localSheetId="26" hidden="1">Prolink!$I$1271</definedName>
    <definedName name="SD_34x1_91x68_28_B_0" localSheetId="26" hidden="1">Prolink!$J$1271</definedName>
    <definedName name="SD_34x1_91x68_4_B_0" localSheetId="26" hidden="1">Prolink!$D$1271</definedName>
    <definedName name="SD_34x1_91x68_8_B_0" localSheetId="26" hidden="1">Prolink!$E$1271</definedName>
    <definedName name="SD_34x1_91x69_10_B_0" localSheetId="26" hidden="1">Prolink!$R$1272</definedName>
    <definedName name="SD_34x1_91x69_11_B_0" localSheetId="26" hidden="1">Prolink!$P$1272</definedName>
    <definedName name="SD_34x1_91x69_12_B_0" localSheetId="26" hidden="1">Prolink!$Q$1272</definedName>
    <definedName name="SD_34x1_91x69_14_B_0" localSheetId="26" hidden="1">Prolink!$M$1272</definedName>
    <definedName name="SD_34x1_91x69_15_B_0" localSheetId="26" hidden="1">Prolink!$K$1272</definedName>
    <definedName name="SD_34x1_91x69_16_B_0" localSheetId="26" hidden="1">Prolink!$L$1272</definedName>
    <definedName name="SD_34x1_91x69_18_B_0" localSheetId="26" hidden="1">Prolink!$H$1272</definedName>
    <definedName name="SD_34x1_91x69_19_B_0" localSheetId="26" hidden="1">Prolink!$F$1272</definedName>
    <definedName name="SD_34x1_91x69_20_B_0" localSheetId="26" hidden="1">Prolink!$G$1272</definedName>
    <definedName name="SD_34x1_91x69_22_B_0" localSheetId="26" hidden="1">Prolink!$C$1272</definedName>
    <definedName name="SD_34x1_91x69_23_B_0" localSheetId="26" hidden="1">Prolink!$S$1272</definedName>
    <definedName name="SD_34x1_91x69_24_B_0" localSheetId="26" hidden="1">Prolink!$T$1272</definedName>
    <definedName name="SD_34x1_91x69_25_B_0" localSheetId="26" hidden="1">Prolink!$N$1272</definedName>
    <definedName name="SD_34x1_91x69_26_B_0" localSheetId="26" hidden="1">Prolink!$O$1272</definedName>
    <definedName name="SD_34x1_91x69_27_B_0" localSheetId="26" hidden="1">Prolink!$I$1272</definedName>
    <definedName name="SD_34x1_91x69_28_B_0" localSheetId="26" hidden="1">Prolink!$J$1272</definedName>
    <definedName name="SD_34x1_91x69_4_B_0" localSheetId="26" hidden="1">Prolink!$D$1272</definedName>
    <definedName name="SD_34x1_91x69_8_B_0" localSheetId="26" hidden="1">Prolink!$E$1272</definedName>
    <definedName name="SD_34x1_91x7_10_B_0" localSheetId="26" hidden="1">Prolink!$R$1210</definedName>
    <definedName name="SD_34x1_91x7_11_B_0" localSheetId="26" hidden="1">Prolink!$P$1210</definedName>
    <definedName name="SD_34x1_91x7_12_B_0" localSheetId="26" hidden="1">Prolink!$Q$1210</definedName>
    <definedName name="SD_34x1_91x7_14_B_0" localSheetId="26" hidden="1">Prolink!$M$1210</definedName>
    <definedName name="SD_34x1_91x7_15_B_0" localSheetId="26" hidden="1">Prolink!$K$1210</definedName>
    <definedName name="SD_34x1_91x7_16_B_0" localSheetId="26" hidden="1">Prolink!$L$1210</definedName>
    <definedName name="SD_34x1_91x7_18_B_0" localSheetId="26" hidden="1">Prolink!$H$1210</definedName>
    <definedName name="SD_34x1_91x7_19_B_0" localSheetId="26" hidden="1">Prolink!$F$1210</definedName>
    <definedName name="SD_34x1_91x7_20_B_0" localSheetId="26" hidden="1">Prolink!$G$1210</definedName>
    <definedName name="SD_34x1_91x7_22_B_0" localSheetId="26" hidden="1">Prolink!$C$1210</definedName>
    <definedName name="SD_34x1_91x7_23_B_0" localSheetId="26" hidden="1">Prolink!$S$1210</definedName>
    <definedName name="SD_34x1_91x7_24_B_0" localSheetId="26" hidden="1">Prolink!$T$1210</definedName>
    <definedName name="SD_34x1_91x7_25_B_0" localSheetId="26" hidden="1">Prolink!$N$1210</definedName>
    <definedName name="SD_34x1_91x7_26_B_0" localSheetId="26" hidden="1">Prolink!$O$1210</definedName>
    <definedName name="SD_34x1_91x7_27_B_0" localSheetId="26" hidden="1">Prolink!$I$1210</definedName>
    <definedName name="SD_34x1_91x7_28_B_0" localSheetId="26" hidden="1">Prolink!$J$1210</definedName>
    <definedName name="SD_34x1_91x7_4_B_0" localSheetId="26" hidden="1">Prolink!$D$1210</definedName>
    <definedName name="SD_34x1_91x7_8_B_0" localSheetId="26" hidden="1">Prolink!$E$1210</definedName>
    <definedName name="SD_34x1_91x70_10_B_0" localSheetId="26" hidden="1">Prolink!$R$1273</definedName>
    <definedName name="SD_34x1_91x70_11_B_0" localSheetId="26" hidden="1">Prolink!$P$1273</definedName>
    <definedName name="SD_34x1_91x70_12_B_0" localSheetId="26" hidden="1">Prolink!$Q$1273</definedName>
    <definedName name="SD_34x1_91x70_14_B_0" localSheetId="26" hidden="1">Prolink!$M$1273</definedName>
    <definedName name="SD_34x1_91x70_15_B_0" localSheetId="26" hidden="1">Prolink!$K$1273</definedName>
    <definedName name="SD_34x1_91x70_16_B_0" localSheetId="26" hidden="1">Prolink!$L$1273</definedName>
    <definedName name="SD_34x1_91x70_18_B_0" localSheetId="26" hidden="1">Prolink!$H$1273</definedName>
    <definedName name="SD_34x1_91x70_19_B_0" localSheetId="26" hidden="1">Prolink!$F$1273</definedName>
    <definedName name="SD_34x1_91x70_20_B_0" localSheetId="26" hidden="1">Prolink!$G$1273</definedName>
    <definedName name="SD_34x1_91x70_22_B_0" localSheetId="26" hidden="1">Prolink!$C$1273</definedName>
    <definedName name="SD_34x1_91x70_23_B_0" localSheetId="26" hidden="1">Prolink!$S$1273</definedName>
    <definedName name="SD_34x1_91x70_24_B_0" localSheetId="26" hidden="1">Prolink!$T$1273</definedName>
    <definedName name="SD_34x1_91x70_25_B_0" localSheetId="26" hidden="1">Prolink!$N$1273</definedName>
    <definedName name="SD_34x1_91x70_26_B_0" localSheetId="26" hidden="1">Prolink!$O$1273</definedName>
    <definedName name="SD_34x1_91x70_27_B_0" localSheetId="26" hidden="1">Prolink!$I$1273</definedName>
    <definedName name="SD_34x1_91x70_28_B_0" localSheetId="26" hidden="1">Prolink!$J$1273</definedName>
    <definedName name="SD_34x1_91x70_4_B_0" localSheetId="26" hidden="1">Prolink!$D$1273</definedName>
    <definedName name="SD_34x1_91x70_8_B_0" localSheetId="26" hidden="1">Prolink!$E$1273</definedName>
    <definedName name="SD_34x1_91x71_10_B_0" localSheetId="26" hidden="1">Prolink!$R$1274</definedName>
    <definedName name="SD_34x1_91x71_11_B_0" localSheetId="26" hidden="1">Prolink!$P$1274</definedName>
    <definedName name="SD_34x1_91x71_12_B_0" localSheetId="26" hidden="1">Prolink!$Q$1274</definedName>
    <definedName name="SD_34x1_91x71_14_B_0" localSheetId="26" hidden="1">Prolink!$M$1274</definedName>
    <definedName name="SD_34x1_91x71_15_B_0" localSheetId="26" hidden="1">Prolink!$K$1274</definedName>
    <definedName name="SD_34x1_91x71_16_B_0" localSheetId="26" hidden="1">Prolink!$L$1274</definedName>
    <definedName name="SD_34x1_91x71_18_B_0" localSheetId="26" hidden="1">Prolink!$H$1274</definedName>
    <definedName name="SD_34x1_91x71_19_B_0" localSheetId="26" hidden="1">Prolink!$F$1274</definedName>
    <definedName name="SD_34x1_91x71_20_B_0" localSheetId="26" hidden="1">Prolink!$G$1274</definedName>
    <definedName name="SD_34x1_91x71_22_B_0" localSheetId="26" hidden="1">Prolink!$C$1274</definedName>
    <definedName name="SD_34x1_91x71_23_B_0" localSheetId="26" hidden="1">Prolink!$S$1274</definedName>
    <definedName name="SD_34x1_91x71_24_B_0" localSheetId="26" hidden="1">Prolink!$T$1274</definedName>
    <definedName name="SD_34x1_91x71_25_B_0" localSheetId="26" hidden="1">Prolink!$N$1274</definedName>
    <definedName name="SD_34x1_91x71_26_B_0" localSheetId="26" hidden="1">Prolink!$O$1274</definedName>
    <definedName name="SD_34x1_91x71_27_B_0" localSheetId="26" hidden="1">Prolink!$I$1274</definedName>
    <definedName name="SD_34x1_91x71_28_B_0" localSheetId="26" hidden="1">Prolink!$J$1274</definedName>
    <definedName name="SD_34x1_91x71_4_B_0" localSheetId="26" hidden="1">Prolink!$D$1274</definedName>
    <definedName name="SD_34x1_91x71_8_B_0" localSheetId="26" hidden="1">Prolink!$E$1274</definedName>
    <definedName name="SD_34x1_91x72_10_B_0" localSheetId="26" hidden="1">Prolink!$R$1275</definedName>
    <definedName name="SD_34x1_91x72_11_B_0" localSheetId="26" hidden="1">Prolink!$P$1275</definedName>
    <definedName name="SD_34x1_91x72_12_B_0" localSheetId="26" hidden="1">Prolink!$Q$1275</definedName>
    <definedName name="SD_34x1_91x72_14_B_0" localSheetId="26" hidden="1">Prolink!$M$1275</definedName>
    <definedName name="SD_34x1_91x72_15_B_0" localSheetId="26" hidden="1">Prolink!$K$1275</definedName>
    <definedName name="SD_34x1_91x72_16_B_0" localSheetId="26" hidden="1">Prolink!$L$1275</definedName>
    <definedName name="SD_34x1_91x72_18_B_0" localSheetId="26" hidden="1">Prolink!$H$1275</definedName>
    <definedName name="SD_34x1_91x72_19_B_0" localSheetId="26" hidden="1">Prolink!$F$1275</definedName>
    <definedName name="SD_34x1_91x72_20_B_0" localSheetId="26" hidden="1">Prolink!$G$1275</definedName>
    <definedName name="SD_34x1_91x72_22_B_0" localSheetId="26" hidden="1">Prolink!$C$1275</definedName>
    <definedName name="SD_34x1_91x72_23_B_0" localSheetId="26" hidden="1">Prolink!$S$1275</definedName>
    <definedName name="SD_34x1_91x72_24_B_0" localSheetId="26" hidden="1">Prolink!$T$1275</definedName>
    <definedName name="SD_34x1_91x72_25_B_0" localSheetId="26" hidden="1">Prolink!$N$1275</definedName>
    <definedName name="SD_34x1_91x72_26_B_0" localSheetId="26" hidden="1">Prolink!$O$1275</definedName>
    <definedName name="SD_34x1_91x72_27_B_0" localSheetId="26" hidden="1">Prolink!$I$1275</definedName>
    <definedName name="SD_34x1_91x72_28_B_0" localSheetId="26" hidden="1">Prolink!$J$1275</definedName>
    <definedName name="SD_34x1_91x72_4_B_0" localSheetId="26" hidden="1">Prolink!$D$1275</definedName>
    <definedName name="SD_34x1_91x72_8_B_0" localSheetId="26" hidden="1">Prolink!$E$1275</definedName>
    <definedName name="SD_34x1_91x73_10_B_0" localSheetId="26" hidden="1">Prolink!$R$1276</definedName>
    <definedName name="SD_34x1_91x73_11_B_0" localSheetId="26" hidden="1">Prolink!$P$1276</definedName>
    <definedName name="SD_34x1_91x73_12_B_0" localSheetId="26" hidden="1">Prolink!$Q$1276</definedName>
    <definedName name="SD_34x1_91x73_14_B_0" localSheetId="26" hidden="1">Prolink!$M$1276</definedName>
    <definedName name="SD_34x1_91x73_15_B_0" localSheetId="26" hidden="1">Prolink!$K$1276</definedName>
    <definedName name="SD_34x1_91x73_16_B_0" localSheetId="26" hidden="1">Prolink!$L$1276</definedName>
    <definedName name="SD_34x1_91x73_18_B_0" localSheetId="26" hidden="1">Prolink!$H$1276</definedName>
    <definedName name="SD_34x1_91x73_19_B_0" localSheetId="26" hidden="1">Prolink!$F$1276</definedName>
    <definedName name="SD_34x1_91x73_20_B_0" localSheetId="26" hidden="1">Prolink!$G$1276</definedName>
    <definedName name="SD_34x1_91x73_22_B_0" localSheetId="26" hidden="1">Prolink!$C$1276</definedName>
    <definedName name="SD_34x1_91x73_23_B_0" localSheetId="26" hidden="1">Prolink!$S$1276</definedName>
    <definedName name="SD_34x1_91x73_24_B_0" localSheetId="26" hidden="1">Prolink!$T$1276</definedName>
    <definedName name="SD_34x1_91x73_25_B_0" localSheetId="26" hidden="1">Prolink!$N$1276</definedName>
    <definedName name="SD_34x1_91x73_26_B_0" localSheetId="26" hidden="1">Prolink!$O$1276</definedName>
    <definedName name="SD_34x1_91x73_27_B_0" localSheetId="26" hidden="1">Prolink!$I$1276</definedName>
    <definedName name="SD_34x1_91x73_28_B_0" localSheetId="26" hidden="1">Prolink!$J$1276</definedName>
    <definedName name="SD_34x1_91x73_4_B_0" localSheetId="26" hidden="1">Prolink!$D$1276</definedName>
    <definedName name="SD_34x1_91x73_8_B_0" localSheetId="26" hidden="1">Prolink!$E$1276</definedName>
    <definedName name="SD_34x1_91x74_10_B_0" localSheetId="26" hidden="1">Prolink!$R$1277</definedName>
    <definedName name="SD_34x1_91x74_11_B_0" localSheetId="26" hidden="1">Prolink!$P$1277</definedName>
    <definedName name="SD_34x1_91x74_12_B_0" localSheetId="26" hidden="1">Prolink!$Q$1277</definedName>
    <definedName name="SD_34x1_91x74_14_B_0" localSheetId="26" hidden="1">Prolink!$M$1277</definedName>
    <definedName name="SD_34x1_91x74_15_B_0" localSheetId="26" hidden="1">Prolink!$K$1277</definedName>
    <definedName name="SD_34x1_91x74_16_B_0" localSheetId="26" hidden="1">Prolink!$L$1277</definedName>
    <definedName name="SD_34x1_91x74_18_B_0" localSheetId="26" hidden="1">Prolink!$H$1277</definedName>
    <definedName name="SD_34x1_91x74_19_B_0" localSheetId="26" hidden="1">Prolink!$F$1277</definedName>
    <definedName name="SD_34x1_91x74_20_B_0" localSheetId="26" hidden="1">Prolink!$G$1277</definedName>
    <definedName name="SD_34x1_91x74_22_B_0" localSheetId="26" hidden="1">Prolink!$C$1277</definedName>
    <definedName name="SD_34x1_91x74_23_B_0" localSheetId="26" hidden="1">Prolink!$S$1277</definedName>
    <definedName name="SD_34x1_91x74_24_B_0" localSheetId="26" hidden="1">Prolink!$T$1277</definedName>
    <definedName name="SD_34x1_91x74_25_B_0" localSheetId="26" hidden="1">Prolink!$N$1277</definedName>
    <definedName name="SD_34x1_91x74_26_B_0" localSheetId="26" hidden="1">Prolink!$O$1277</definedName>
    <definedName name="SD_34x1_91x74_27_B_0" localSheetId="26" hidden="1">Prolink!$I$1277</definedName>
    <definedName name="SD_34x1_91x74_28_B_0" localSheetId="26" hidden="1">Prolink!$J$1277</definedName>
    <definedName name="SD_34x1_91x74_4_B_0" localSheetId="26" hidden="1">Prolink!$D$1277</definedName>
    <definedName name="SD_34x1_91x74_8_B_0" localSheetId="26" hidden="1">Prolink!$E$1277</definedName>
    <definedName name="SD_34x1_91x75_10_B_0" localSheetId="26" hidden="1">Prolink!$R$1278</definedName>
    <definedName name="SD_34x1_91x75_11_B_0" localSheetId="26" hidden="1">Prolink!$P$1278</definedName>
    <definedName name="SD_34x1_91x75_12_B_0" localSheetId="26" hidden="1">Prolink!$Q$1278</definedName>
    <definedName name="SD_34x1_91x75_14_B_0" localSheetId="26" hidden="1">Prolink!$M$1278</definedName>
    <definedName name="SD_34x1_91x75_15_B_0" localSheetId="26" hidden="1">Prolink!$K$1278</definedName>
    <definedName name="SD_34x1_91x75_16_B_0" localSheetId="26" hidden="1">Prolink!$L$1278</definedName>
    <definedName name="SD_34x1_91x75_18_B_0" localSheetId="26" hidden="1">Prolink!$H$1278</definedName>
    <definedName name="SD_34x1_91x75_19_B_0" localSheetId="26" hidden="1">Prolink!$F$1278</definedName>
    <definedName name="SD_34x1_91x75_20_B_0" localSheetId="26" hidden="1">Prolink!$G$1278</definedName>
    <definedName name="SD_34x1_91x75_22_B_0" localSheetId="26" hidden="1">Prolink!$C$1278</definedName>
    <definedName name="SD_34x1_91x75_23_B_0" localSheetId="26" hidden="1">Prolink!$S$1278</definedName>
    <definedName name="SD_34x1_91x75_24_B_0" localSheetId="26" hidden="1">Prolink!$T$1278</definedName>
    <definedName name="SD_34x1_91x75_25_B_0" localSheetId="26" hidden="1">Prolink!$N$1278</definedName>
    <definedName name="SD_34x1_91x75_26_B_0" localSheetId="26" hidden="1">Prolink!$O$1278</definedName>
    <definedName name="SD_34x1_91x75_27_B_0" localSheetId="26" hidden="1">Prolink!$I$1278</definedName>
    <definedName name="SD_34x1_91x75_28_B_0" localSheetId="26" hidden="1">Prolink!$J$1278</definedName>
    <definedName name="SD_34x1_91x75_4_B_0" localSheetId="26" hidden="1">Prolink!$D$1278</definedName>
    <definedName name="SD_34x1_91x75_8_B_0" localSheetId="26" hidden="1">Prolink!$E$1278</definedName>
    <definedName name="SD_34x1_91x76_10_B_0" localSheetId="26" hidden="1">Prolink!$R$1279</definedName>
    <definedName name="SD_34x1_91x76_11_B_0" localSheetId="26" hidden="1">Prolink!$P$1279</definedName>
    <definedName name="SD_34x1_91x76_12_B_0" localSheetId="26" hidden="1">Prolink!$Q$1279</definedName>
    <definedName name="SD_34x1_91x76_14_B_0" localSheetId="26" hidden="1">Prolink!$M$1279</definedName>
    <definedName name="SD_34x1_91x76_15_B_0" localSheetId="26" hidden="1">Prolink!$K$1279</definedName>
    <definedName name="SD_34x1_91x76_16_B_0" localSheetId="26" hidden="1">Prolink!$L$1279</definedName>
    <definedName name="SD_34x1_91x76_18_B_0" localSheetId="26" hidden="1">Prolink!$H$1279</definedName>
    <definedName name="SD_34x1_91x76_19_B_0" localSheetId="26" hidden="1">Prolink!$F$1279</definedName>
    <definedName name="SD_34x1_91x76_20_B_0" localSheetId="26" hidden="1">Prolink!$G$1279</definedName>
    <definedName name="SD_34x1_91x76_22_B_0" localSheetId="26" hidden="1">Prolink!$C$1279</definedName>
    <definedName name="SD_34x1_91x76_23_B_0" localSheetId="26" hidden="1">Prolink!$S$1279</definedName>
    <definedName name="SD_34x1_91x76_24_B_0" localSheetId="26" hidden="1">Prolink!$T$1279</definedName>
    <definedName name="SD_34x1_91x76_25_B_0" localSheetId="26" hidden="1">Prolink!$N$1279</definedName>
    <definedName name="SD_34x1_91x76_26_B_0" localSheetId="26" hidden="1">Prolink!$O$1279</definedName>
    <definedName name="SD_34x1_91x76_27_B_0" localSheetId="26" hidden="1">Prolink!$I$1279</definedName>
    <definedName name="SD_34x1_91x76_28_B_0" localSheetId="26" hidden="1">Prolink!$J$1279</definedName>
    <definedName name="SD_34x1_91x76_4_B_0" localSheetId="26" hidden="1">Prolink!$D$1279</definedName>
    <definedName name="SD_34x1_91x76_8_B_0" localSheetId="26" hidden="1">Prolink!$E$1279</definedName>
    <definedName name="SD_34x1_91x77_10_B_0" localSheetId="26" hidden="1">Prolink!$R$1280</definedName>
    <definedName name="SD_34x1_91x77_11_B_0" localSheetId="26" hidden="1">Prolink!$P$1280</definedName>
    <definedName name="SD_34x1_91x77_12_B_0" localSheetId="26" hidden="1">Prolink!$Q$1280</definedName>
    <definedName name="SD_34x1_91x77_14_B_0" localSheetId="26" hidden="1">Prolink!$M$1280</definedName>
    <definedName name="SD_34x1_91x77_15_B_0" localSheetId="26" hidden="1">Prolink!$K$1280</definedName>
    <definedName name="SD_34x1_91x77_16_B_0" localSheetId="26" hidden="1">Prolink!$L$1280</definedName>
    <definedName name="SD_34x1_91x77_18_B_0" localSheetId="26" hidden="1">Prolink!$H$1280</definedName>
    <definedName name="SD_34x1_91x77_19_B_0" localSheetId="26" hidden="1">Prolink!$F$1280</definedName>
    <definedName name="SD_34x1_91x77_20_B_0" localSheetId="26" hidden="1">Prolink!$G$1280</definedName>
    <definedName name="SD_34x1_91x77_22_B_0" localSheetId="26" hidden="1">Prolink!$C$1280</definedName>
    <definedName name="SD_34x1_91x77_23_B_0" localSheetId="26" hidden="1">Prolink!$S$1280</definedName>
    <definedName name="SD_34x1_91x77_24_B_0" localSheetId="26" hidden="1">Prolink!$T$1280</definedName>
    <definedName name="SD_34x1_91x77_25_B_0" localSheetId="26" hidden="1">Prolink!$N$1280</definedName>
    <definedName name="SD_34x1_91x77_26_B_0" localSheetId="26" hidden="1">Prolink!$O$1280</definedName>
    <definedName name="SD_34x1_91x77_27_B_0" localSheetId="26" hidden="1">Prolink!$I$1280</definedName>
    <definedName name="SD_34x1_91x77_28_B_0" localSheetId="26" hidden="1">Prolink!$J$1280</definedName>
    <definedName name="SD_34x1_91x77_4_B_0" localSheetId="26" hidden="1">Prolink!$D$1280</definedName>
    <definedName name="SD_34x1_91x77_8_B_0" localSheetId="26" hidden="1">Prolink!$E$1280</definedName>
    <definedName name="SD_34x1_91x78_10_B_0" localSheetId="26" hidden="1">Prolink!$R$1281</definedName>
    <definedName name="SD_34x1_91x78_11_B_0" localSheetId="26" hidden="1">Prolink!$P$1281</definedName>
    <definedName name="SD_34x1_91x78_12_B_0" localSheetId="26" hidden="1">Prolink!$Q$1281</definedName>
    <definedName name="SD_34x1_91x78_14_B_0" localSheetId="26" hidden="1">Prolink!$M$1281</definedName>
    <definedName name="SD_34x1_91x78_15_B_0" localSheetId="26" hidden="1">Prolink!$K$1281</definedName>
    <definedName name="SD_34x1_91x78_16_B_0" localSheetId="26" hidden="1">Prolink!$L$1281</definedName>
    <definedName name="SD_34x1_91x78_18_B_0" localSheetId="26" hidden="1">Prolink!$H$1281</definedName>
    <definedName name="SD_34x1_91x78_19_B_0" localSheetId="26" hidden="1">Prolink!$F$1281</definedName>
    <definedName name="SD_34x1_91x78_20_B_0" localSheetId="26" hidden="1">Prolink!$G$1281</definedName>
    <definedName name="SD_34x1_91x78_22_B_0" localSheetId="26" hidden="1">Prolink!$C$1281</definedName>
    <definedName name="SD_34x1_91x78_23_B_0" localSheetId="26" hidden="1">Prolink!$S$1281</definedName>
    <definedName name="SD_34x1_91x78_24_B_0" localSheetId="26" hidden="1">Prolink!$T$1281</definedName>
    <definedName name="SD_34x1_91x78_25_B_0" localSheetId="26" hidden="1">Prolink!$N$1281</definedName>
    <definedName name="SD_34x1_91x78_26_B_0" localSheetId="26" hidden="1">Prolink!$O$1281</definedName>
    <definedName name="SD_34x1_91x78_27_B_0" localSheetId="26" hidden="1">Prolink!$I$1281</definedName>
    <definedName name="SD_34x1_91x78_28_B_0" localSheetId="26" hidden="1">Prolink!$J$1281</definedName>
    <definedName name="SD_34x1_91x78_4_B_0" localSheetId="26" hidden="1">Prolink!$D$1281</definedName>
    <definedName name="SD_34x1_91x78_8_B_0" localSheetId="26" hidden="1">Prolink!$E$1281</definedName>
    <definedName name="SD_34x1_91x79_10_B_0" localSheetId="26" hidden="1">Prolink!$R$1282</definedName>
    <definedName name="SD_34x1_91x79_11_B_0" localSheetId="26" hidden="1">Prolink!$P$1282</definedName>
    <definedName name="SD_34x1_91x79_12_B_0" localSheetId="26" hidden="1">Prolink!$Q$1282</definedName>
    <definedName name="SD_34x1_91x79_14_B_0" localSheetId="26" hidden="1">Prolink!$M$1282</definedName>
    <definedName name="SD_34x1_91x79_15_B_0" localSheetId="26" hidden="1">Prolink!$K$1282</definedName>
    <definedName name="SD_34x1_91x79_16_B_0" localSheetId="26" hidden="1">Prolink!$L$1282</definedName>
    <definedName name="SD_34x1_91x79_18_B_0" localSheetId="26" hidden="1">Prolink!$H$1282</definedName>
    <definedName name="SD_34x1_91x79_19_B_0" localSheetId="26" hidden="1">Prolink!$F$1282</definedName>
    <definedName name="SD_34x1_91x79_20_B_0" localSheetId="26" hidden="1">Prolink!$G$1282</definedName>
    <definedName name="SD_34x1_91x79_22_B_0" localSheetId="26" hidden="1">Prolink!$C$1282</definedName>
    <definedName name="SD_34x1_91x79_23_B_0" localSheetId="26" hidden="1">Prolink!$S$1282</definedName>
    <definedName name="SD_34x1_91x79_24_B_0" localSheetId="26" hidden="1">Prolink!$T$1282</definedName>
    <definedName name="SD_34x1_91x79_25_B_0" localSheetId="26" hidden="1">Prolink!$N$1282</definedName>
    <definedName name="SD_34x1_91x79_26_B_0" localSheetId="26" hidden="1">Prolink!$O$1282</definedName>
    <definedName name="SD_34x1_91x79_27_B_0" localSheetId="26" hidden="1">Prolink!$I$1282</definedName>
    <definedName name="SD_34x1_91x79_28_B_0" localSheetId="26" hidden="1">Prolink!$J$1282</definedName>
    <definedName name="SD_34x1_91x79_4_B_0" localSheetId="26" hidden="1">Prolink!$D$1282</definedName>
    <definedName name="SD_34x1_91x79_8_B_0" localSheetId="26" hidden="1">Prolink!$E$1282</definedName>
    <definedName name="SD_34x1_91x8_10_B_0" localSheetId="26" hidden="1">Prolink!$R$1211</definedName>
    <definedName name="SD_34x1_91x8_11_B_0" localSheetId="26" hidden="1">Prolink!$P$1211</definedName>
    <definedName name="SD_34x1_91x8_12_B_0" localSheetId="26" hidden="1">Prolink!$Q$1211</definedName>
    <definedName name="SD_34x1_91x8_14_B_0" localSheetId="26" hidden="1">Prolink!$M$1211</definedName>
    <definedName name="SD_34x1_91x8_15_B_0" localSheetId="26" hidden="1">Prolink!$K$1211</definedName>
    <definedName name="SD_34x1_91x8_16_B_0" localSheetId="26" hidden="1">Prolink!$L$1211</definedName>
    <definedName name="SD_34x1_91x8_18_B_0" localSheetId="26" hidden="1">Prolink!$H$1211</definedName>
    <definedName name="SD_34x1_91x8_19_B_0" localSheetId="26" hidden="1">Prolink!$F$1211</definedName>
    <definedName name="SD_34x1_91x8_20_B_0" localSheetId="26" hidden="1">Prolink!$G$1211</definedName>
    <definedName name="SD_34x1_91x8_22_B_0" localSheetId="26" hidden="1">Prolink!$C$1211</definedName>
    <definedName name="SD_34x1_91x8_23_B_0" localSheetId="26" hidden="1">Prolink!$S$1211</definedName>
    <definedName name="SD_34x1_91x8_24_B_0" localSheetId="26" hidden="1">Prolink!$T$1211</definedName>
    <definedName name="SD_34x1_91x8_25_B_0" localSheetId="26" hidden="1">Prolink!$N$1211</definedName>
    <definedName name="SD_34x1_91x8_26_B_0" localSheetId="26" hidden="1">Prolink!$O$1211</definedName>
    <definedName name="SD_34x1_91x8_27_B_0" localSheetId="26" hidden="1">Prolink!$I$1211</definedName>
    <definedName name="SD_34x1_91x8_28_B_0" localSheetId="26" hidden="1">Prolink!$J$1211</definedName>
    <definedName name="SD_34x1_91x8_4_B_0" localSheetId="26" hidden="1">Prolink!$D$1211</definedName>
    <definedName name="SD_34x1_91x8_8_B_0" localSheetId="26" hidden="1">Prolink!$E$1211</definedName>
    <definedName name="SD_34x1_91x80_10_B_0" localSheetId="26" hidden="1">Prolink!$R$1283</definedName>
    <definedName name="SD_34x1_91x80_11_B_0" localSheetId="26" hidden="1">Prolink!$P$1283</definedName>
    <definedName name="SD_34x1_91x80_12_B_0" localSheetId="26" hidden="1">Prolink!$Q$1283</definedName>
    <definedName name="SD_34x1_91x80_14_B_0" localSheetId="26" hidden="1">Prolink!$M$1283</definedName>
    <definedName name="SD_34x1_91x80_15_B_0" localSheetId="26" hidden="1">Prolink!$K$1283</definedName>
    <definedName name="SD_34x1_91x80_16_B_0" localSheetId="26" hidden="1">Prolink!$L$1283</definedName>
    <definedName name="SD_34x1_91x80_18_B_0" localSheetId="26" hidden="1">Prolink!$H$1283</definedName>
    <definedName name="SD_34x1_91x80_19_B_0" localSheetId="26" hidden="1">Prolink!$F$1283</definedName>
    <definedName name="SD_34x1_91x80_20_B_0" localSheetId="26" hidden="1">Prolink!$G$1283</definedName>
    <definedName name="SD_34x1_91x80_22_B_0" localSheetId="26" hidden="1">Prolink!$C$1283</definedName>
    <definedName name="SD_34x1_91x80_23_B_0" localSheetId="26" hidden="1">Prolink!$S$1283</definedName>
    <definedName name="SD_34x1_91x80_24_B_0" localSheetId="26" hidden="1">Prolink!$T$1283</definedName>
    <definedName name="SD_34x1_91x80_25_B_0" localSheetId="26" hidden="1">Prolink!$N$1283</definedName>
    <definedName name="SD_34x1_91x80_26_B_0" localSheetId="26" hidden="1">Prolink!$O$1283</definedName>
    <definedName name="SD_34x1_91x80_27_B_0" localSheetId="26" hidden="1">Prolink!$I$1283</definedName>
    <definedName name="SD_34x1_91x80_28_B_0" localSheetId="26" hidden="1">Prolink!$J$1283</definedName>
    <definedName name="SD_34x1_91x80_4_B_0" localSheetId="26" hidden="1">Prolink!$D$1283</definedName>
    <definedName name="SD_34x1_91x80_8_B_0" localSheetId="26" hidden="1">Prolink!$E$1283</definedName>
    <definedName name="SD_34x1_91x81_10_B_0" localSheetId="26" hidden="1">Prolink!$R$1284</definedName>
    <definedName name="SD_34x1_91x81_11_B_0" localSheetId="26" hidden="1">Prolink!$P$1284</definedName>
    <definedName name="SD_34x1_91x81_12_B_0" localSheetId="26" hidden="1">Prolink!$Q$1284</definedName>
    <definedName name="SD_34x1_91x81_14_B_0" localSheetId="26" hidden="1">Prolink!$M$1284</definedName>
    <definedName name="SD_34x1_91x81_15_B_0" localSheetId="26" hidden="1">Prolink!$K$1284</definedName>
    <definedName name="SD_34x1_91x81_16_B_0" localSheetId="26" hidden="1">Prolink!$L$1284</definedName>
    <definedName name="SD_34x1_91x81_18_B_0" localSheetId="26" hidden="1">Prolink!$H$1284</definedName>
    <definedName name="SD_34x1_91x81_19_B_0" localSheetId="26" hidden="1">Prolink!$F$1284</definedName>
    <definedName name="SD_34x1_91x81_20_B_0" localSheetId="26" hidden="1">Prolink!$G$1284</definedName>
    <definedName name="SD_34x1_91x81_22_B_0" localSheetId="26" hidden="1">Prolink!$C$1284</definedName>
    <definedName name="SD_34x1_91x81_23_B_0" localSheetId="26" hidden="1">Prolink!$S$1284</definedName>
    <definedName name="SD_34x1_91x81_24_B_0" localSheetId="26" hidden="1">Prolink!$T$1284</definedName>
    <definedName name="SD_34x1_91x81_25_B_0" localSheetId="26" hidden="1">Prolink!$N$1284</definedName>
    <definedName name="SD_34x1_91x81_26_B_0" localSheetId="26" hidden="1">Prolink!$O$1284</definedName>
    <definedName name="SD_34x1_91x81_27_B_0" localSheetId="26" hidden="1">Prolink!$I$1284</definedName>
    <definedName name="SD_34x1_91x81_28_B_0" localSheetId="26" hidden="1">Prolink!$J$1284</definedName>
    <definedName name="SD_34x1_91x81_4_B_0" localSheetId="26" hidden="1">Prolink!$D$1284</definedName>
    <definedName name="SD_34x1_91x81_8_B_0" localSheetId="26" hidden="1">Prolink!$E$1284</definedName>
    <definedName name="SD_34x1_91x82_10_B_0" localSheetId="26" hidden="1">Prolink!$R$1285</definedName>
    <definedName name="SD_34x1_91x82_11_B_0" localSheetId="26" hidden="1">Prolink!$P$1285</definedName>
    <definedName name="SD_34x1_91x82_12_B_0" localSheetId="26" hidden="1">Prolink!$Q$1285</definedName>
    <definedName name="SD_34x1_91x82_14_B_0" localSheetId="26" hidden="1">Prolink!$M$1285</definedName>
    <definedName name="SD_34x1_91x82_15_B_0" localSheetId="26" hidden="1">Prolink!$K$1285</definedName>
    <definedName name="SD_34x1_91x82_16_B_0" localSheetId="26" hidden="1">Prolink!$L$1285</definedName>
    <definedName name="SD_34x1_91x82_18_B_0" localSheetId="26" hidden="1">Prolink!$H$1285</definedName>
    <definedName name="SD_34x1_91x82_19_B_0" localSheetId="26" hidden="1">Prolink!$F$1285</definedName>
    <definedName name="SD_34x1_91x82_20_B_0" localSheetId="26" hidden="1">Prolink!$G$1285</definedName>
    <definedName name="SD_34x1_91x82_22_B_0" localSheetId="26" hidden="1">Prolink!$C$1285</definedName>
    <definedName name="SD_34x1_91x82_23_B_0" localSheetId="26" hidden="1">Prolink!$S$1285</definedName>
    <definedName name="SD_34x1_91x82_24_B_0" localSheetId="26" hidden="1">Prolink!$T$1285</definedName>
    <definedName name="SD_34x1_91x82_25_B_0" localSheetId="26" hidden="1">Prolink!$N$1285</definedName>
    <definedName name="SD_34x1_91x82_26_B_0" localSheetId="26" hidden="1">Prolink!$O$1285</definedName>
    <definedName name="SD_34x1_91x82_27_B_0" localSheetId="26" hidden="1">Prolink!$I$1285</definedName>
    <definedName name="SD_34x1_91x82_28_B_0" localSheetId="26" hidden="1">Prolink!$J$1285</definedName>
    <definedName name="SD_34x1_91x82_4_B_0" localSheetId="26" hidden="1">Prolink!$D$1285</definedName>
    <definedName name="SD_34x1_91x82_8_B_0" localSheetId="26" hidden="1">Prolink!$E$1285</definedName>
    <definedName name="SD_34x1_91x83_10_B_0" localSheetId="26" hidden="1">Prolink!$R$1286</definedName>
    <definedName name="SD_34x1_91x83_11_B_0" localSheetId="26" hidden="1">Prolink!$P$1286</definedName>
    <definedName name="SD_34x1_91x83_12_B_0" localSheetId="26" hidden="1">Prolink!$Q$1286</definedName>
    <definedName name="SD_34x1_91x83_14_B_0" localSheetId="26" hidden="1">Prolink!$M$1286</definedName>
    <definedName name="SD_34x1_91x83_15_B_0" localSheetId="26" hidden="1">Prolink!$K$1286</definedName>
    <definedName name="SD_34x1_91x83_16_B_0" localSheetId="26" hidden="1">Prolink!$L$1286</definedName>
    <definedName name="SD_34x1_91x83_18_B_0" localSheetId="26" hidden="1">Prolink!$H$1286</definedName>
    <definedName name="SD_34x1_91x83_19_B_0" localSheetId="26" hidden="1">Prolink!$F$1286</definedName>
    <definedName name="SD_34x1_91x83_20_B_0" localSheetId="26" hidden="1">Prolink!$G$1286</definedName>
    <definedName name="SD_34x1_91x83_22_B_0" localSheetId="26" hidden="1">Prolink!$C$1286</definedName>
    <definedName name="SD_34x1_91x83_23_B_0" localSheetId="26" hidden="1">Prolink!$S$1286</definedName>
    <definedName name="SD_34x1_91x83_24_B_0" localSheetId="26" hidden="1">Prolink!$T$1286</definedName>
    <definedName name="SD_34x1_91x83_25_B_0" localSheetId="26" hidden="1">Prolink!$N$1286</definedName>
    <definedName name="SD_34x1_91x83_26_B_0" localSheetId="26" hidden="1">Prolink!$O$1286</definedName>
    <definedName name="SD_34x1_91x83_27_B_0" localSheetId="26" hidden="1">Prolink!$I$1286</definedName>
    <definedName name="SD_34x1_91x83_28_B_0" localSheetId="26" hidden="1">Prolink!$J$1286</definedName>
    <definedName name="SD_34x1_91x83_4_B_0" localSheetId="26" hidden="1">Prolink!$D$1286</definedName>
    <definedName name="SD_34x1_91x83_8_B_0" localSheetId="26" hidden="1">Prolink!$E$1286</definedName>
    <definedName name="SD_34x1_91x84_10_B_0" localSheetId="26" hidden="1">Prolink!$R$1287</definedName>
    <definedName name="SD_34x1_91x84_11_B_0" localSheetId="26" hidden="1">Prolink!$P$1287</definedName>
    <definedName name="SD_34x1_91x84_12_B_0" localSheetId="26" hidden="1">Prolink!$Q$1287</definedName>
    <definedName name="SD_34x1_91x84_14_B_0" localSheetId="26" hidden="1">Prolink!$M$1287</definedName>
    <definedName name="SD_34x1_91x84_15_B_0" localSheetId="26" hidden="1">Prolink!$K$1287</definedName>
    <definedName name="SD_34x1_91x84_16_B_0" localSheetId="26" hidden="1">Prolink!$L$1287</definedName>
    <definedName name="SD_34x1_91x84_18_B_0" localSheetId="26" hidden="1">Prolink!$H$1287</definedName>
    <definedName name="SD_34x1_91x84_19_B_0" localSheetId="26" hidden="1">Prolink!$F$1287</definedName>
    <definedName name="SD_34x1_91x84_20_B_0" localSheetId="26" hidden="1">Prolink!$G$1287</definedName>
    <definedName name="SD_34x1_91x84_22_B_0" localSheetId="26" hidden="1">Prolink!$C$1287</definedName>
    <definedName name="SD_34x1_91x84_23_B_0" localSheetId="26" hidden="1">Prolink!$S$1287</definedName>
    <definedName name="SD_34x1_91x84_24_B_0" localSheetId="26" hidden="1">Prolink!$T$1287</definedName>
    <definedName name="SD_34x1_91x84_25_B_0" localSheetId="26" hidden="1">Prolink!$N$1287</definedName>
    <definedName name="SD_34x1_91x84_26_B_0" localSheetId="26" hidden="1">Prolink!$O$1287</definedName>
    <definedName name="SD_34x1_91x84_27_B_0" localSheetId="26" hidden="1">Prolink!$I$1287</definedName>
    <definedName name="SD_34x1_91x84_28_B_0" localSheetId="26" hidden="1">Prolink!$J$1287</definedName>
    <definedName name="SD_34x1_91x84_4_B_0" localSheetId="26" hidden="1">Prolink!$D$1287</definedName>
    <definedName name="SD_34x1_91x84_8_B_0" localSheetId="26" hidden="1">Prolink!$E$1287</definedName>
    <definedName name="SD_34x1_91x85_10_B_0" localSheetId="26" hidden="1">Prolink!$R$1288</definedName>
    <definedName name="SD_34x1_91x85_11_B_0" localSheetId="26" hidden="1">Prolink!$P$1288</definedName>
    <definedName name="SD_34x1_91x85_12_B_0" localSheetId="26" hidden="1">Prolink!$Q$1288</definedName>
    <definedName name="SD_34x1_91x85_14_B_0" localSheetId="26" hidden="1">Prolink!$M$1288</definedName>
    <definedName name="SD_34x1_91x85_15_B_0" localSheetId="26" hidden="1">Prolink!$K$1288</definedName>
    <definedName name="SD_34x1_91x85_16_B_0" localSheetId="26" hidden="1">Prolink!$L$1288</definedName>
    <definedName name="SD_34x1_91x85_18_B_0" localSheetId="26" hidden="1">Prolink!$H$1288</definedName>
    <definedName name="SD_34x1_91x85_19_B_0" localSheetId="26" hidden="1">Prolink!$F$1288</definedName>
    <definedName name="SD_34x1_91x85_20_B_0" localSheetId="26" hidden="1">Prolink!$G$1288</definedName>
    <definedName name="SD_34x1_91x85_22_B_0" localSheetId="26" hidden="1">Prolink!$C$1288</definedName>
    <definedName name="SD_34x1_91x85_23_B_0" localSheetId="26" hidden="1">Prolink!$S$1288</definedName>
    <definedName name="SD_34x1_91x85_24_B_0" localSheetId="26" hidden="1">Prolink!$T$1288</definedName>
    <definedName name="SD_34x1_91x85_25_B_0" localSheetId="26" hidden="1">Prolink!$N$1288</definedName>
    <definedName name="SD_34x1_91x85_26_B_0" localSheetId="26" hidden="1">Prolink!$O$1288</definedName>
    <definedName name="SD_34x1_91x85_27_B_0" localSheetId="26" hidden="1">Prolink!$I$1288</definedName>
    <definedName name="SD_34x1_91x85_28_B_0" localSheetId="26" hidden="1">Prolink!$J$1288</definedName>
    <definedName name="SD_34x1_91x85_4_B_0" localSheetId="26" hidden="1">Prolink!$D$1288</definedName>
    <definedName name="SD_34x1_91x85_8_B_0" localSheetId="26" hidden="1">Prolink!$E$1288</definedName>
    <definedName name="SD_34x1_91x86_10_B_0" localSheetId="26" hidden="1">Prolink!$R$1289</definedName>
    <definedName name="SD_34x1_91x86_11_B_0" localSheetId="26" hidden="1">Prolink!$P$1289</definedName>
    <definedName name="SD_34x1_91x86_12_B_0" localSheetId="26" hidden="1">Prolink!$Q$1289</definedName>
    <definedName name="SD_34x1_91x86_14_B_0" localSheetId="26" hidden="1">Prolink!$M$1289</definedName>
    <definedName name="SD_34x1_91x86_15_B_0" localSheetId="26" hidden="1">Prolink!$K$1289</definedName>
    <definedName name="SD_34x1_91x86_16_B_0" localSheetId="26" hidden="1">Prolink!$L$1289</definedName>
    <definedName name="SD_34x1_91x86_18_B_0" localSheetId="26" hidden="1">Prolink!$H$1289</definedName>
    <definedName name="SD_34x1_91x86_19_B_0" localSheetId="26" hidden="1">Prolink!$F$1289</definedName>
    <definedName name="SD_34x1_91x86_20_B_0" localSheetId="26" hidden="1">Prolink!$G$1289</definedName>
    <definedName name="SD_34x1_91x86_22_B_0" localSheetId="26" hidden="1">Prolink!$C$1289</definedName>
    <definedName name="SD_34x1_91x86_23_B_0" localSheetId="26" hidden="1">Prolink!$S$1289</definedName>
    <definedName name="SD_34x1_91x86_24_B_0" localSheetId="26" hidden="1">Prolink!$T$1289</definedName>
    <definedName name="SD_34x1_91x86_25_B_0" localSheetId="26" hidden="1">Prolink!$N$1289</definedName>
    <definedName name="SD_34x1_91x86_26_B_0" localSheetId="26" hidden="1">Prolink!$O$1289</definedName>
    <definedName name="SD_34x1_91x86_27_B_0" localSheetId="26" hidden="1">Prolink!$I$1289</definedName>
    <definedName name="SD_34x1_91x86_28_B_0" localSheetId="26" hidden="1">Prolink!$J$1289</definedName>
    <definedName name="SD_34x1_91x86_4_B_0" localSheetId="26" hidden="1">Prolink!$D$1289</definedName>
    <definedName name="SD_34x1_91x86_8_B_0" localSheetId="26" hidden="1">Prolink!$E$1289</definedName>
    <definedName name="SD_34x1_91x87_10_B_0" localSheetId="26" hidden="1">Prolink!$R$1290</definedName>
    <definedName name="SD_34x1_91x87_11_B_0" localSheetId="26" hidden="1">Prolink!$P$1290</definedName>
    <definedName name="SD_34x1_91x87_12_B_0" localSheetId="26" hidden="1">Prolink!$Q$1290</definedName>
    <definedName name="SD_34x1_91x87_14_B_0" localSheetId="26" hidden="1">Prolink!$M$1290</definedName>
    <definedName name="SD_34x1_91x87_15_B_0" localSheetId="26" hidden="1">Prolink!$K$1290</definedName>
    <definedName name="SD_34x1_91x87_16_B_0" localSheetId="26" hidden="1">Prolink!$L$1290</definedName>
    <definedName name="SD_34x1_91x87_18_B_0" localSheetId="26" hidden="1">Prolink!$H$1290</definedName>
    <definedName name="SD_34x1_91x87_19_B_0" localSheetId="26" hidden="1">Prolink!$F$1290</definedName>
    <definedName name="SD_34x1_91x87_20_B_0" localSheetId="26" hidden="1">Prolink!$G$1290</definedName>
    <definedName name="SD_34x1_91x87_22_B_0" localSheetId="26" hidden="1">Prolink!$C$1290</definedName>
    <definedName name="SD_34x1_91x87_23_B_0" localSheetId="26" hidden="1">Prolink!$S$1290</definedName>
    <definedName name="SD_34x1_91x87_24_B_0" localSheetId="26" hidden="1">Prolink!$T$1290</definedName>
    <definedName name="SD_34x1_91x87_25_B_0" localSheetId="26" hidden="1">Prolink!$N$1290</definedName>
    <definedName name="SD_34x1_91x87_26_B_0" localSheetId="26" hidden="1">Prolink!$O$1290</definedName>
    <definedName name="SD_34x1_91x87_27_B_0" localSheetId="26" hidden="1">Prolink!$I$1290</definedName>
    <definedName name="SD_34x1_91x87_28_B_0" localSheetId="26" hidden="1">Prolink!$J$1290</definedName>
    <definedName name="SD_34x1_91x87_4_B_0" localSheetId="26" hidden="1">Prolink!$D$1290</definedName>
    <definedName name="SD_34x1_91x87_8_B_0" localSheetId="26" hidden="1">Prolink!$E$1290</definedName>
    <definedName name="SD_34x1_91x88_10_B_0" localSheetId="26" hidden="1">Prolink!$R$1291</definedName>
    <definedName name="SD_34x1_91x88_11_B_0" localSheetId="26" hidden="1">Prolink!$P$1291</definedName>
    <definedName name="SD_34x1_91x88_12_B_0" localSheetId="26" hidden="1">Prolink!$Q$1291</definedName>
    <definedName name="SD_34x1_91x88_14_B_0" localSheetId="26" hidden="1">Prolink!$M$1291</definedName>
    <definedName name="SD_34x1_91x88_15_B_0" localSheetId="26" hidden="1">Prolink!$K$1291</definedName>
    <definedName name="SD_34x1_91x88_16_B_0" localSheetId="26" hidden="1">Prolink!$L$1291</definedName>
    <definedName name="SD_34x1_91x88_18_B_0" localSheetId="26" hidden="1">Prolink!$H$1291</definedName>
    <definedName name="SD_34x1_91x88_19_B_0" localSheetId="26" hidden="1">Prolink!$F$1291</definedName>
    <definedName name="SD_34x1_91x88_20_B_0" localSheetId="26" hidden="1">Prolink!$G$1291</definedName>
    <definedName name="SD_34x1_91x88_22_B_0" localSheetId="26" hidden="1">Prolink!$C$1291</definedName>
    <definedName name="SD_34x1_91x88_23_B_0" localSheetId="26" hidden="1">Prolink!$S$1291</definedName>
    <definedName name="SD_34x1_91x88_24_B_0" localSheetId="26" hidden="1">Prolink!$T$1291</definedName>
    <definedName name="SD_34x1_91x88_25_B_0" localSheetId="26" hidden="1">Prolink!$N$1291</definedName>
    <definedName name="SD_34x1_91x88_26_B_0" localSheetId="26" hidden="1">Prolink!$O$1291</definedName>
    <definedName name="SD_34x1_91x88_27_B_0" localSheetId="26" hidden="1">Prolink!$I$1291</definedName>
    <definedName name="SD_34x1_91x88_28_B_0" localSheetId="26" hidden="1">Prolink!$J$1291</definedName>
    <definedName name="SD_34x1_91x88_4_B_0" localSheetId="26" hidden="1">Prolink!$D$1291</definedName>
    <definedName name="SD_34x1_91x88_8_B_0" localSheetId="26" hidden="1">Prolink!$E$1291</definedName>
    <definedName name="SD_34x1_91x89_10_B_0" localSheetId="26" hidden="1">Prolink!$R$1292</definedName>
    <definedName name="SD_34x1_91x89_11_B_0" localSheetId="26" hidden="1">Prolink!$P$1292</definedName>
    <definedName name="SD_34x1_91x89_12_B_0" localSheetId="26" hidden="1">Prolink!$Q$1292</definedName>
    <definedName name="SD_34x1_91x89_14_B_0" localSheetId="26" hidden="1">Prolink!$M$1292</definedName>
    <definedName name="SD_34x1_91x89_15_B_0" localSheetId="26" hidden="1">Prolink!$K$1292</definedName>
    <definedName name="SD_34x1_91x89_16_B_0" localSheetId="26" hidden="1">Prolink!$L$1292</definedName>
    <definedName name="SD_34x1_91x89_18_B_0" localSheetId="26" hidden="1">Prolink!$H$1292</definedName>
    <definedName name="SD_34x1_91x89_19_B_0" localSheetId="26" hidden="1">Prolink!$F$1292</definedName>
    <definedName name="SD_34x1_91x89_20_B_0" localSheetId="26" hidden="1">Prolink!$G$1292</definedName>
    <definedName name="SD_34x1_91x89_22_B_0" localSheetId="26" hidden="1">Prolink!$C$1292</definedName>
    <definedName name="SD_34x1_91x89_23_B_0" localSheetId="26" hidden="1">Prolink!$S$1292</definedName>
    <definedName name="SD_34x1_91x89_24_B_0" localSheetId="26" hidden="1">Prolink!$T$1292</definedName>
    <definedName name="SD_34x1_91x89_25_B_0" localSheetId="26" hidden="1">Prolink!$N$1292</definedName>
    <definedName name="SD_34x1_91x89_26_B_0" localSheetId="26" hidden="1">Prolink!$O$1292</definedName>
    <definedName name="SD_34x1_91x89_27_B_0" localSheetId="26" hidden="1">Prolink!$I$1292</definedName>
    <definedName name="SD_34x1_91x89_28_B_0" localSheetId="26" hidden="1">Prolink!$J$1292</definedName>
    <definedName name="SD_34x1_91x89_4_B_0" localSheetId="26" hidden="1">Prolink!$D$1292</definedName>
    <definedName name="SD_34x1_91x89_8_B_0" localSheetId="26" hidden="1">Prolink!$E$1292</definedName>
    <definedName name="SD_34x1_91x9_10_B_0" localSheetId="26" hidden="1">Prolink!$R$1212</definedName>
    <definedName name="SD_34x1_91x9_11_B_0" localSheetId="26" hidden="1">Prolink!$P$1212</definedName>
    <definedName name="SD_34x1_91x9_12_B_0" localSheetId="26" hidden="1">Prolink!$Q$1212</definedName>
    <definedName name="SD_34x1_91x9_14_B_0" localSheetId="26" hidden="1">Prolink!$M$1212</definedName>
    <definedName name="SD_34x1_91x9_15_B_0" localSheetId="26" hidden="1">Prolink!$K$1212</definedName>
    <definedName name="SD_34x1_91x9_16_B_0" localSheetId="26" hidden="1">Prolink!$L$1212</definedName>
    <definedName name="SD_34x1_91x9_18_B_0" localSheetId="26" hidden="1">Prolink!$H$1212</definedName>
    <definedName name="SD_34x1_91x9_19_B_0" localSheetId="26" hidden="1">Prolink!$F$1212</definedName>
    <definedName name="SD_34x1_91x9_20_B_0" localSheetId="26" hidden="1">Prolink!$G$1212</definedName>
    <definedName name="SD_34x1_91x9_22_B_0" localSheetId="26" hidden="1">Prolink!$C$1212</definedName>
    <definedName name="SD_34x1_91x9_23_B_0" localSheetId="26" hidden="1">Prolink!$S$1212</definedName>
    <definedName name="SD_34x1_91x9_24_B_0" localSheetId="26" hidden="1">Prolink!$T$1212</definedName>
    <definedName name="SD_34x1_91x9_25_B_0" localSheetId="26" hidden="1">Prolink!$N$1212</definedName>
    <definedName name="SD_34x1_91x9_26_B_0" localSheetId="26" hidden="1">Prolink!$O$1212</definedName>
    <definedName name="SD_34x1_91x9_27_B_0" localSheetId="26" hidden="1">Prolink!$I$1212</definedName>
    <definedName name="SD_34x1_91x9_28_B_0" localSheetId="26" hidden="1">Prolink!$J$1212</definedName>
    <definedName name="SD_34x1_91x9_4_B_0" localSheetId="26" hidden="1">Prolink!$D$1212</definedName>
    <definedName name="SD_34x1_91x9_8_B_0" localSheetId="26" hidden="1">Prolink!$E$1212</definedName>
    <definedName name="SD_34x1_91x90_10_B_0" localSheetId="26" hidden="1">Prolink!$R$1293</definedName>
    <definedName name="SD_34x1_91x90_11_B_0" localSheetId="26" hidden="1">Prolink!$P$1293</definedName>
    <definedName name="SD_34x1_91x90_12_B_0" localSheetId="26" hidden="1">Prolink!$Q$1293</definedName>
    <definedName name="SD_34x1_91x90_14_B_0" localSheetId="26" hidden="1">Prolink!$M$1293</definedName>
    <definedName name="SD_34x1_91x90_15_B_0" localSheetId="26" hidden="1">Prolink!$K$1293</definedName>
    <definedName name="SD_34x1_91x90_16_B_0" localSheetId="26" hidden="1">Prolink!$L$1293</definedName>
    <definedName name="SD_34x1_91x90_18_B_0" localSheetId="26" hidden="1">Prolink!$H$1293</definedName>
    <definedName name="SD_34x1_91x90_19_B_0" localSheetId="26" hidden="1">Prolink!$F$1293</definedName>
    <definedName name="SD_34x1_91x90_20_B_0" localSheetId="26" hidden="1">Prolink!$G$1293</definedName>
    <definedName name="SD_34x1_91x90_22_B_0" localSheetId="26" hidden="1">Prolink!$C$1293</definedName>
    <definedName name="SD_34x1_91x90_23_B_0" localSheetId="26" hidden="1">Prolink!$S$1293</definedName>
    <definedName name="SD_34x1_91x90_24_B_0" localSheetId="26" hidden="1">Prolink!$T$1293</definedName>
    <definedName name="SD_34x1_91x90_25_B_0" localSheetId="26" hidden="1">Prolink!$N$1293</definedName>
    <definedName name="SD_34x1_91x90_26_B_0" localSheetId="26" hidden="1">Prolink!$O$1293</definedName>
    <definedName name="SD_34x1_91x90_27_B_0" localSheetId="26" hidden="1">Prolink!$I$1293</definedName>
    <definedName name="SD_34x1_91x90_28_B_0" localSheetId="26" hidden="1">Prolink!$J$1293</definedName>
    <definedName name="SD_34x1_91x90_4_B_0" localSheetId="26" hidden="1">Prolink!$D$1293</definedName>
    <definedName name="SD_34x1_91x90_8_B_0" localSheetId="26" hidden="1">Prolink!$E$1293</definedName>
    <definedName name="SD_34x1_91x91_10_B_0" localSheetId="26" hidden="1">Prolink!$R$1294</definedName>
    <definedName name="SD_34x1_91x91_11_B_0" localSheetId="26" hidden="1">Prolink!$P$1294</definedName>
    <definedName name="SD_34x1_91x91_12_B_0" localSheetId="26" hidden="1">Prolink!$Q$1294</definedName>
    <definedName name="SD_34x1_91x91_14_B_0" localSheetId="26" hidden="1">Prolink!$M$1294</definedName>
    <definedName name="SD_34x1_91x91_15_B_0" localSheetId="26" hidden="1">Prolink!$K$1294</definedName>
    <definedName name="SD_34x1_91x91_16_B_0" localSheetId="26" hidden="1">Prolink!$L$1294</definedName>
    <definedName name="SD_34x1_91x91_18_B_0" localSheetId="26" hidden="1">Prolink!$H$1294</definedName>
    <definedName name="SD_34x1_91x91_19_B_0" localSheetId="26" hidden="1">Prolink!$F$1294</definedName>
    <definedName name="SD_34x1_91x91_20_B_0" localSheetId="26" hidden="1">Prolink!$G$1294</definedName>
    <definedName name="SD_34x1_91x91_22_B_0" localSheetId="26" hidden="1">Prolink!$C$1294</definedName>
    <definedName name="SD_34x1_91x91_23_B_0" localSheetId="26" hidden="1">Prolink!$S$1294</definedName>
    <definedName name="SD_34x1_91x91_24_B_0" localSheetId="26" hidden="1">Prolink!$T$1294</definedName>
    <definedName name="SD_34x1_91x91_25_B_0" localSheetId="26" hidden="1">Prolink!$N$1294</definedName>
    <definedName name="SD_34x1_91x91_26_B_0" localSheetId="26" hidden="1">Prolink!$O$1294</definedName>
    <definedName name="SD_34x1_91x91_27_B_0" localSheetId="26" hidden="1">Prolink!$I$1294</definedName>
    <definedName name="SD_34x1_91x91_28_B_0" localSheetId="26" hidden="1">Prolink!$J$1294</definedName>
    <definedName name="SD_34x1_91x91_4_B_0" localSheetId="26" hidden="1">Prolink!$D$1294</definedName>
    <definedName name="SD_34x1_91x91_8_B_0" localSheetId="26" hidden="1">Prolink!$E$1294</definedName>
    <definedName name="SD_34x1_91x92_10_B_0" localSheetId="26" hidden="1">Prolink!$R$1295</definedName>
    <definedName name="SD_34x1_91x92_11_B_0" localSheetId="26" hidden="1">Prolink!$P$1295</definedName>
    <definedName name="SD_34x1_91x92_12_B_0" localSheetId="26" hidden="1">Prolink!$Q$1295</definedName>
    <definedName name="SD_34x1_91x92_14_B_0" localSheetId="26" hidden="1">Prolink!$M$1295</definedName>
    <definedName name="SD_34x1_91x92_15_B_0" localSheetId="26" hidden="1">Prolink!$K$1295</definedName>
    <definedName name="SD_34x1_91x92_16_B_0" localSheetId="26" hidden="1">Prolink!$L$1295</definedName>
    <definedName name="SD_34x1_91x92_18_B_0" localSheetId="26" hidden="1">Prolink!$H$1295</definedName>
    <definedName name="SD_34x1_91x92_19_B_0" localSheetId="26" hidden="1">Prolink!$F$1295</definedName>
    <definedName name="SD_34x1_91x92_20_B_0" localSheetId="26" hidden="1">Prolink!$G$1295</definedName>
    <definedName name="SD_34x1_91x92_22_B_0" localSheetId="26" hidden="1">Prolink!$C$1295</definedName>
    <definedName name="SD_34x1_91x92_23_B_0" localSheetId="26" hidden="1">Prolink!$S$1295</definedName>
    <definedName name="SD_34x1_91x92_24_B_0" localSheetId="26" hidden="1">Prolink!$T$1295</definedName>
    <definedName name="SD_34x1_91x92_25_B_0" localSheetId="26" hidden="1">Prolink!$N$1295</definedName>
    <definedName name="SD_34x1_91x92_26_B_0" localSheetId="26" hidden="1">Prolink!$O$1295</definedName>
    <definedName name="SD_34x1_91x92_27_B_0" localSheetId="26" hidden="1">Prolink!$I$1295</definedName>
    <definedName name="SD_34x1_91x92_28_B_0" localSheetId="26" hidden="1">Prolink!$J$1295</definedName>
    <definedName name="SD_34x1_91x92_4_B_0" localSheetId="26" hidden="1">Prolink!$D$1295</definedName>
    <definedName name="SD_34x1_91x92_8_B_0" localSheetId="26" hidden="1">Prolink!$E$1295</definedName>
    <definedName name="SD_34x1_91x93_10_B_0" localSheetId="26" hidden="1">Prolink!$R$1296</definedName>
    <definedName name="SD_34x1_91x93_11_B_0" localSheetId="26" hidden="1">Prolink!$P$1296</definedName>
    <definedName name="SD_34x1_91x93_12_B_0" localSheetId="26" hidden="1">Prolink!$Q$1296</definedName>
    <definedName name="SD_34x1_91x93_14_B_0" localSheetId="26" hidden="1">Prolink!$M$1296</definedName>
    <definedName name="SD_34x1_91x93_15_B_0" localSheetId="26" hidden="1">Prolink!$K$1296</definedName>
    <definedName name="SD_34x1_91x93_16_B_0" localSheetId="26" hidden="1">Prolink!$L$1296</definedName>
    <definedName name="SD_34x1_91x93_18_B_0" localSheetId="26" hidden="1">Prolink!$H$1296</definedName>
    <definedName name="SD_34x1_91x93_19_B_0" localSheetId="26" hidden="1">Prolink!$F$1296</definedName>
    <definedName name="SD_34x1_91x93_20_B_0" localSheetId="26" hidden="1">Prolink!$G$1296</definedName>
    <definedName name="SD_34x1_91x93_22_B_0" localSheetId="26" hidden="1">Prolink!$C$1296</definedName>
    <definedName name="SD_34x1_91x93_23_B_0" localSheetId="26" hidden="1">Prolink!$S$1296</definedName>
    <definedName name="SD_34x1_91x93_24_B_0" localSheetId="26" hidden="1">Prolink!$T$1296</definedName>
    <definedName name="SD_34x1_91x93_25_B_0" localSheetId="26" hidden="1">Prolink!$N$1296</definedName>
    <definedName name="SD_34x1_91x93_26_B_0" localSheetId="26" hidden="1">Prolink!$O$1296</definedName>
    <definedName name="SD_34x1_91x93_27_B_0" localSheetId="26" hidden="1">Prolink!$I$1296</definedName>
    <definedName name="SD_34x1_91x93_28_B_0" localSheetId="26" hidden="1">Prolink!$J$1296</definedName>
    <definedName name="SD_34x1_91x93_4_B_0" localSheetId="26" hidden="1">Prolink!$D$1296</definedName>
    <definedName name="SD_34x1_91x93_8_B_0" localSheetId="26" hidden="1">Prolink!$E$1296</definedName>
    <definedName name="SD_34x1_91x94_10_B_0" localSheetId="26" hidden="1">Prolink!$R$1297</definedName>
    <definedName name="SD_34x1_91x94_11_B_0" localSheetId="26" hidden="1">Prolink!$P$1297</definedName>
    <definedName name="SD_34x1_91x94_12_B_0" localSheetId="26" hidden="1">Prolink!$Q$1297</definedName>
    <definedName name="SD_34x1_91x94_14_B_0" localSheetId="26" hidden="1">Prolink!$M$1297</definedName>
    <definedName name="SD_34x1_91x94_15_B_0" localSheetId="26" hidden="1">Prolink!$K$1297</definedName>
    <definedName name="SD_34x1_91x94_16_B_0" localSheetId="26" hidden="1">Prolink!$L$1297</definedName>
    <definedName name="SD_34x1_91x94_18_B_0" localSheetId="26" hidden="1">Prolink!$H$1297</definedName>
    <definedName name="SD_34x1_91x94_19_B_0" localSheetId="26" hidden="1">Prolink!$F$1297</definedName>
    <definedName name="SD_34x1_91x94_20_B_0" localSheetId="26" hidden="1">Prolink!$G$1297</definedName>
    <definedName name="SD_34x1_91x94_22_B_0" localSheetId="26" hidden="1">Prolink!$C$1297</definedName>
    <definedName name="SD_34x1_91x94_23_B_0" localSheetId="26" hidden="1">Prolink!$S$1297</definedName>
    <definedName name="SD_34x1_91x94_24_B_0" localSheetId="26" hidden="1">Prolink!$T$1297</definedName>
    <definedName name="SD_34x1_91x94_25_B_0" localSheetId="26" hidden="1">Prolink!$N$1297</definedName>
    <definedName name="SD_34x1_91x94_26_B_0" localSheetId="26" hidden="1">Prolink!$O$1297</definedName>
    <definedName name="SD_34x1_91x94_27_B_0" localSheetId="26" hidden="1">Prolink!$I$1297</definedName>
    <definedName name="SD_34x1_91x94_28_B_0" localSheetId="26" hidden="1">Prolink!$J$1297</definedName>
    <definedName name="SD_34x1_91x94_4_B_0" localSheetId="26" hidden="1">Prolink!$D$1297</definedName>
    <definedName name="SD_34x1_91x94_8_B_0" localSheetId="26" hidden="1">Prolink!$E$1297</definedName>
    <definedName name="SD_34x1_91x95_10_B_0" localSheetId="26" hidden="1">Prolink!$R$1298</definedName>
    <definedName name="SD_34x1_91x95_11_B_0" localSheetId="26" hidden="1">Prolink!$P$1298</definedName>
    <definedName name="SD_34x1_91x95_12_B_0" localSheetId="26" hidden="1">Prolink!$Q$1298</definedName>
    <definedName name="SD_34x1_91x95_14_B_0" localSheetId="26" hidden="1">Prolink!$M$1298</definedName>
    <definedName name="SD_34x1_91x95_15_B_0" localSheetId="26" hidden="1">Prolink!$K$1298</definedName>
    <definedName name="SD_34x1_91x95_16_B_0" localSheetId="26" hidden="1">Prolink!$L$1298</definedName>
    <definedName name="SD_34x1_91x95_18_B_0" localSheetId="26" hidden="1">Prolink!$H$1298</definedName>
    <definedName name="SD_34x1_91x95_19_B_0" localSheetId="26" hidden="1">Prolink!$F$1298</definedName>
    <definedName name="SD_34x1_91x95_20_B_0" localSheetId="26" hidden="1">Prolink!$G$1298</definedName>
    <definedName name="SD_34x1_91x95_22_B_0" localSheetId="26" hidden="1">Prolink!$C$1298</definedName>
    <definedName name="SD_34x1_91x95_23_B_0" localSheetId="26" hidden="1">Prolink!$S$1298</definedName>
    <definedName name="SD_34x1_91x95_24_B_0" localSheetId="26" hidden="1">Prolink!$T$1298</definedName>
    <definedName name="SD_34x1_91x95_25_B_0" localSheetId="26" hidden="1">Prolink!$N$1298</definedName>
    <definedName name="SD_34x1_91x95_26_B_0" localSheetId="26" hidden="1">Prolink!$O$1298</definedName>
    <definedName name="SD_34x1_91x95_27_B_0" localSheetId="26" hidden="1">Prolink!$I$1298</definedName>
    <definedName name="SD_34x1_91x95_28_B_0" localSheetId="26" hidden="1">Prolink!$J$1298</definedName>
    <definedName name="SD_34x1_91x95_4_B_0" localSheetId="26" hidden="1">Prolink!$D$1298</definedName>
    <definedName name="SD_34x1_91x95_8_B_0" localSheetId="26" hidden="1">Prolink!$E$1298</definedName>
    <definedName name="SD_34x1_91x96_10_B_0" localSheetId="26" hidden="1">Prolink!$R$1299</definedName>
    <definedName name="SD_34x1_91x96_11_B_0" localSheetId="26" hidden="1">Prolink!$P$1299</definedName>
    <definedName name="SD_34x1_91x96_12_B_0" localSheetId="26" hidden="1">Prolink!$Q$1299</definedName>
    <definedName name="SD_34x1_91x96_14_B_0" localSheetId="26" hidden="1">Prolink!$M$1299</definedName>
    <definedName name="SD_34x1_91x96_15_B_0" localSheetId="26" hidden="1">Prolink!$K$1299</definedName>
    <definedName name="SD_34x1_91x96_16_B_0" localSheetId="26" hidden="1">Prolink!$L$1299</definedName>
    <definedName name="SD_34x1_91x96_18_B_0" localSheetId="26" hidden="1">Prolink!$H$1299</definedName>
    <definedName name="SD_34x1_91x96_19_B_0" localSheetId="26" hidden="1">Prolink!$F$1299</definedName>
    <definedName name="SD_34x1_91x96_20_B_0" localSheetId="26" hidden="1">Prolink!$G$1299</definedName>
    <definedName name="SD_34x1_91x96_22_B_0" localSheetId="26" hidden="1">Prolink!$C$1299</definedName>
    <definedName name="SD_34x1_91x96_23_B_0" localSheetId="26" hidden="1">Prolink!$S$1299</definedName>
    <definedName name="SD_34x1_91x96_24_B_0" localSheetId="26" hidden="1">Prolink!$T$1299</definedName>
    <definedName name="SD_34x1_91x96_25_B_0" localSheetId="26" hidden="1">Prolink!$N$1299</definedName>
    <definedName name="SD_34x1_91x96_26_B_0" localSheetId="26" hidden="1">Prolink!$O$1299</definedName>
    <definedName name="SD_34x1_91x96_27_B_0" localSheetId="26" hidden="1">Prolink!$I$1299</definedName>
    <definedName name="SD_34x1_91x96_28_B_0" localSheetId="26" hidden="1">Prolink!$J$1299</definedName>
    <definedName name="SD_34x1_91x96_4_B_0" localSheetId="26" hidden="1">Prolink!$D$1299</definedName>
    <definedName name="SD_34x1_91x96_8_B_0" localSheetId="26" hidden="1">Prolink!$E$1299</definedName>
    <definedName name="SD_34x1_91x97_10_B_0" localSheetId="26" hidden="1">Prolink!$R$1300</definedName>
    <definedName name="SD_34x1_91x97_11_B_0" localSheetId="26" hidden="1">Prolink!$P$1300</definedName>
    <definedName name="SD_34x1_91x97_12_B_0" localSheetId="26" hidden="1">Prolink!$Q$1300</definedName>
    <definedName name="SD_34x1_91x97_14_B_0" localSheetId="26" hidden="1">Prolink!$M$1300</definedName>
    <definedName name="SD_34x1_91x97_15_B_0" localSheetId="26" hidden="1">Prolink!$K$1300</definedName>
    <definedName name="SD_34x1_91x97_16_B_0" localSheetId="26" hidden="1">Prolink!$L$1300</definedName>
    <definedName name="SD_34x1_91x97_18_B_0" localSheetId="26" hidden="1">Prolink!$H$1300</definedName>
    <definedName name="SD_34x1_91x97_19_B_0" localSheetId="26" hidden="1">Prolink!$F$1300</definedName>
    <definedName name="SD_34x1_91x97_20_B_0" localSheetId="26" hidden="1">Prolink!$G$1300</definedName>
    <definedName name="SD_34x1_91x97_22_B_0" localSheetId="26" hidden="1">Prolink!$C$1300</definedName>
    <definedName name="SD_34x1_91x97_23_B_0" localSheetId="26" hidden="1">Prolink!$S$1300</definedName>
    <definedName name="SD_34x1_91x97_24_B_0" localSheetId="26" hidden="1">Prolink!$T$1300</definedName>
    <definedName name="SD_34x1_91x97_25_B_0" localSheetId="26" hidden="1">Prolink!$N$1300</definedName>
    <definedName name="SD_34x1_91x97_26_B_0" localSheetId="26" hidden="1">Prolink!$O$1300</definedName>
    <definedName name="SD_34x1_91x97_27_B_0" localSheetId="26" hidden="1">Prolink!$I$1300</definedName>
    <definedName name="SD_34x1_91x97_28_B_0" localSheetId="26" hidden="1">Prolink!$J$1300</definedName>
    <definedName name="SD_34x1_91x97_4_B_0" localSheetId="26" hidden="1">Prolink!$D$1300</definedName>
    <definedName name="SD_34x1_91x97_8_B_0" localSheetId="26" hidden="1">Prolink!$E$1300</definedName>
    <definedName name="SD_34x1_91x98_10_B_0" localSheetId="26" hidden="1">Prolink!$R$1301</definedName>
    <definedName name="SD_34x1_91x98_11_B_0" localSheetId="26" hidden="1">Prolink!$P$1301</definedName>
    <definedName name="SD_34x1_91x98_12_B_0" localSheetId="26" hidden="1">Prolink!$Q$1301</definedName>
    <definedName name="SD_34x1_91x98_14_B_0" localSheetId="26" hidden="1">Prolink!$M$1301</definedName>
    <definedName name="SD_34x1_91x98_15_B_0" localSheetId="26" hidden="1">Prolink!$K$1301</definedName>
    <definedName name="SD_34x1_91x98_16_B_0" localSheetId="26" hidden="1">Prolink!$L$1301</definedName>
    <definedName name="SD_34x1_91x98_18_B_0" localSheetId="26" hidden="1">Prolink!$H$1301</definedName>
    <definedName name="SD_34x1_91x98_19_B_0" localSheetId="26" hidden="1">Prolink!$F$1301</definedName>
    <definedName name="SD_34x1_91x98_20_B_0" localSheetId="26" hidden="1">Prolink!$G$1301</definedName>
    <definedName name="SD_34x1_91x98_22_B_0" localSheetId="26" hidden="1">Prolink!$C$1301</definedName>
    <definedName name="SD_34x1_91x98_23_B_0" localSheetId="26" hidden="1">Prolink!$S$1301</definedName>
    <definedName name="SD_34x1_91x98_24_B_0" localSheetId="26" hidden="1">Prolink!$T$1301</definedName>
    <definedName name="SD_34x1_91x98_25_B_0" localSheetId="26" hidden="1">Prolink!$N$1301</definedName>
    <definedName name="SD_34x1_91x98_26_B_0" localSheetId="26" hidden="1">Prolink!$O$1301</definedName>
    <definedName name="SD_34x1_91x98_27_B_0" localSheetId="26" hidden="1">Prolink!$I$1301</definedName>
    <definedName name="SD_34x1_91x98_28_B_0" localSheetId="26" hidden="1">Prolink!$J$1301</definedName>
    <definedName name="SD_34x1_91x98_4_B_0" localSheetId="26" hidden="1">Prolink!$D$1301</definedName>
    <definedName name="SD_34x1_91x98_8_B_0" localSheetId="26" hidden="1">Prolink!$E$1301</definedName>
    <definedName name="SD_34x1_91x99_10_B_0" localSheetId="26" hidden="1">Prolink!$R$1302</definedName>
    <definedName name="SD_34x1_91x99_11_B_0" localSheetId="26" hidden="1">Prolink!$P$1302</definedName>
    <definedName name="SD_34x1_91x99_12_B_0" localSheetId="26" hidden="1">Prolink!$Q$1302</definedName>
    <definedName name="SD_34x1_91x99_14_B_0" localSheetId="26" hidden="1">Prolink!$M$1302</definedName>
    <definedName name="SD_34x1_91x99_15_B_0" localSheetId="26" hidden="1">Prolink!$K$1302</definedName>
    <definedName name="SD_34x1_91x99_16_B_0" localSheetId="26" hidden="1">Prolink!$L$1302</definedName>
    <definedName name="SD_34x1_91x99_18_B_0" localSheetId="26" hidden="1">Prolink!$H$1302</definedName>
    <definedName name="SD_34x1_91x99_19_B_0" localSheetId="26" hidden="1">Prolink!$F$1302</definedName>
    <definedName name="SD_34x1_91x99_20_B_0" localSheetId="26" hidden="1">Prolink!$G$1302</definedName>
    <definedName name="SD_34x1_91x99_22_B_0" localSheetId="26" hidden="1">Prolink!$C$1302</definedName>
    <definedName name="SD_34x1_91x99_23_B_0" localSheetId="26" hidden="1">Prolink!$S$1302</definedName>
    <definedName name="SD_34x1_91x99_24_B_0" localSheetId="26" hidden="1">Prolink!$T$1302</definedName>
    <definedName name="SD_34x1_91x99_25_B_0" localSheetId="26" hidden="1">Prolink!$N$1302</definedName>
    <definedName name="SD_34x1_91x99_26_B_0" localSheetId="26" hidden="1">Prolink!$O$1302</definedName>
    <definedName name="SD_34x1_91x99_27_B_0" localSheetId="26" hidden="1">Prolink!$I$1302</definedName>
    <definedName name="SD_34x1_91x99_28_B_0" localSheetId="26" hidden="1">Prolink!$J$1302</definedName>
    <definedName name="SD_34x1_91x99_4_B_0" localSheetId="26" hidden="1">Prolink!$D$1302</definedName>
    <definedName name="SD_34x1_91x99_8_B_0" localSheetId="26" hidden="1">Prolink!$E$1302</definedName>
    <definedName name="SD_34x1_97_B_0" localSheetId="26" hidden="1">Prolink!$C$285</definedName>
    <definedName name="SD_34x1_98_B_0" localSheetId="26" hidden="1">Prolink!$C$291</definedName>
    <definedName name="SD_66_B_0" localSheetId="26" hidden="1">Prolink!$C$216</definedName>
    <definedName name="SD_7634x1_11_B_0" localSheetId="26" hidden="1">Prolink!$G$708</definedName>
    <definedName name="SD_7634x1_13_S_1" localSheetId="26" hidden="1">Prolink!$F$708</definedName>
    <definedName name="SD_7634x1_14_B_1" localSheetId="26" hidden="1">Prolink!$K$708</definedName>
    <definedName name="SD_7634x1_15_B_0" localSheetId="26" hidden="1">Prolink!$H$708</definedName>
    <definedName name="SD_7634x1_16_B_0" localSheetId="26" hidden="1">Prolink!$C$708</definedName>
    <definedName name="SD_7634x1_21_B_0" localSheetId="26" hidden="1">Prolink!$I$708</definedName>
    <definedName name="SD_7634x1_23_B_0" localSheetId="26" hidden="1">Prolink!$E$708</definedName>
    <definedName name="SD_7634x1_25_B_0" localSheetId="26" hidden="1">Prolink!$D$708</definedName>
    <definedName name="SD_7634x1_27_B_1" localSheetId="26" hidden="1">Prolink!$J$708</definedName>
    <definedName name="SD_7634x10_11_B_0" localSheetId="26" hidden="1">Prolink!$G$717</definedName>
    <definedName name="SD_7634x10_13_S_1" localSheetId="26" hidden="1">Prolink!$F$717</definedName>
    <definedName name="SD_7634x10_14_B_1" localSheetId="26" hidden="1">Prolink!$K$717</definedName>
    <definedName name="SD_7634x10_15_B_0" localSheetId="26" hidden="1">Prolink!$H$717</definedName>
    <definedName name="SD_7634x10_16_B_0" localSheetId="26" hidden="1">Prolink!$C$717</definedName>
    <definedName name="SD_7634x10_21_B_0" localSheetId="26" hidden="1">Prolink!$I$717</definedName>
    <definedName name="SD_7634x10_23_B_0" localSheetId="26" hidden="1">Prolink!$E$717</definedName>
    <definedName name="SD_7634x10_25_B_0" localSheetId="26" hidden="1">Prolink!$D$717</definedName>
    <definedName name="SD_7634x10_27_B_1" localSheetId="26" hidden="1">Prolink!$J$717</definedName>
    <definedName name="SD_7634x11_11_B_0" localSheetId="26" hidden="1">Prolink!$G$718</definedName>
    <definedName name="SD_7634x11_13_S_1" localSheetId="26" hidden="1">Prolink!$F$718</definedName>
    <definedName name="SD_7634x11_14_B_1" localSheetId="26" hidden="1">Prolink!$K$718</definedName>
    <definedName name="SD_7634x11_15_B_0" localSheetId="26" hidden="1">Prolink!$H$718</definedName>
    <definedName name="SD_7634x11_16_B_0" localSheetId="26" hidden="1">Prolink!$C$718</definedName>
    <definedName name="SD_7634x11_21_B_0" localSheetId="26" hidden="1">Prolink!$I$718</definedName>
    <definedName name="SD_7634x11_23_B_0" localSheetId="26" hidden="1">Prolink!$E$718</definedName>
    <definedName name="SD_7634x11_25_B_0" localSheetId="26" hidden="1">Prolink!$D$718</definedName>
    <definedName name="SD_7634x11_27_B_1" localSheetId="26" hidden="1">Prolink!$J$718</definedName>
    <definedName name="SD_7634x12_11_B_0" localSheetId="26" hidden="1">Prolink!$G$719</definedName>
    <definedName name="SD_7634x12_13_S_1" localSheetId="26" hidden="1">Prolink!$F$719</definedName>
    <definedName name="SD_7634x12_14_B_1" localSheetId="26" hidden="1">Prolink!$K$719</definedName>
    <definedName name="SD_7634x12_15_B_0" localSheetId="26" hidden="1">Prolink!$H$719</definedName>
    <definedName name="SD_7634x12_16_B_0" localSheetId="26" hidden="1">Prolink!$C$719</definedName>
    <definedName name="SD_7634x12_21_B_0" localSheetId="26" hidden="1">Prolink!$I$719</definedName>
    <definedName name="SD_7634x12_23_B_0" localSheetId="26" hidden="1">Prolink!$E$719</definedName>
    <definedName name="SD_7634x12_25_B_0" localSheetId="26" hidden="1">Prolink!$D$719</definedName>
    <definedName name="SD_7634x12_27_B_1" localSheetId="26" hidden="1">Prolink!$J$719</definedName>
    <definedName name="SD_7634x13_11_B_0" localSheetId="26" hidden="1">Prolink!$G$720</definedName>
    <definedName name="SD_7634x13_13_S_1" localSheetId="26" hidden="1">Prolink!$F$720</definedName>
    <definedName name="SD_7634x13_14_B_1" localSheetId="26" hidden="1">Prolink!$K$720</definedName>
    <definedName name="SD_7634x13_15_B_0" localSheetId="26" hidden="1">Prolink!$H$720</definedName>
    <definedName name="SD_7634x13_16_B_0" localSheetId="26" hidden="1">Prolink!$C$720</definedName>
    <definedName name="SD_7634x13_21_B_0" localSheetId="26" hidden="1">Prolink!$I$720</definedName>
    <definedName name="SD_7634x13_23_B_0" localSheetId="26" hidden="1">Prolink!$E$720</definedName>
    <definedName name="SD_7634x13_25_B_0" localSheetId="26" hidden="1">Prolink!$D$720</definedName>
    <definedName name="SD_7634x13_27_B_1" localSheetId="26" hidden="1">Prolink!$J$720</definedName>
    <definedName name="SD_7634x14_11_B_0" localSheetId="26" hidden="1">Prolink!$G$721</definedName>
    <definedName name="SD_7634x14_13_S_1" localSheetId="26" hidden="1">Prolink!$F$721</definedName>
    <definedName name="SD_7634x14_14_B_1" localSheetId="26" hidden="1">Prolink!$K$721</definedName>
    <definedName name="SD_7634x14_15_B_0" localSheetId="26" hidden="1">Prolink!$H$721</definedName>
    <definedName name="SD_7634x14_16_B_0" localSheetId="26" hidden="1">Prolink!$C$721</definedName>
    <definedName name="SD_7634x14_21_B_0" localSheetId="26" hidden="1">Prolink!$I$721</definedName>
    <definedName name="SD_7634x14_23_B_0" localSheetId="26" hidden="1">Prolink!$E$721</definedName>
    <definedName name="SD_7634x14_25_B_0" localSheetId="26" hidden="1">Prolink!$D$721</definedName>
    <definedName name="SD_7634x14_27_B_1" localSheetId="26" hidden="1">Prolink!$J$721</definedName>
    <definedName name="SD_7634x15_11_B_0" localSheetId="26" hidden="1">Prolink!$G$722</definedName>
    <definedName name="SD_7634x15_13_S_1" localSheetId="26" hidden="1">Prolink!$F$722</definedName>
    <definedName name="SD_7634x15_14_B_1" localSheetId="26" hidden="1">Prolink!$K$722</definedName>
    <definedName name="SD_7634x15_15_B_0" localSheetId="26" hidden="1">Prolink!$H$722</definedName>
    <definedName name="SD_7634x15_16_B_0" localSheetId="26" hidden="1">Prolink!$C$722</definedName>
    <definedName name="SD_7634x15_21_B_0" localSheetId="26" hidden="1">Prolink!$I$722</definedName>
    <definedName name="SD_7634x15_23_B_0" localSheetId="26" hidden="1">Prolink!$E$722</definedName>
    <definedName name="SD_7634x15_25_B_0" localSheetId="26" hidden="1">Prolink!$D$722</definedName>
    <definedName name="SD_7634x15_27_B_1" localSheetId="26" hidden="1">Prolink!$J$722</definedName>
    <definedName name="SD_7634x16_11_B_0" localSheetId="26" hidden="1">Prolink!$G$723</definedName>
    <definedName name="SD_7634x16_13_S_1" localSheetId="26" hidden="1">Prolink!$F$723</definedName>
    <definedName name="SD_7634x16_14_B_1" localSheetId="26" hidden="1">Prolink!$K$723</definedName>
    <definedName name="SD_7634x16_15_B_0" localSheetId="26" hidden="1">Prolink!$H$723</definedName>
    <definedName name="SD_7634x16_16_B_0" localSheetId="26" hidden="1">Prolink!$C$723</definedName>
    <definedName name="SD_7634x16_21_B_0" localSheetId="26" hidden="1">Prolink!$I$723</definedName>
    <definedName name="SD_7634x16_23_B_0" localSheetId="26" hidden="1">Prolink!$E$723</definedName>
    <definedName name="SD_7634x16_25_B_0" localSheetId="26" hidden="1">Prolink!$D$723</definedName>
    <definedName name="SD_7634x16_27_B_1" localSheetId="26" hidden="1">Prolink!$J$723</definedName>
    <definedName name="SD_7634x2_11_B_0" localSheetId="26" hidden="1">Prolink!$G$709</definedName>
    <definedName name="SD_7634x2_13_S_1" localSheetId="26" hidden="1">Prolink!$F$709</definedName>
    <definedName name="SD_7634x2_14_B_1" localSheetId="26" hidden="1">Prolink!$K$709</definedName>
    <definedName name="SD_7634x2_15_B_0" localSheetId="26" hidden="1">Prolink!$H$709</definedName>
    <definedName name="SD_7634x2_16_B_0" localSheetId="26" hidden="1">Prolink!$C$709</definedName>
    <definedName name="SD_7634x2_21_B_0" localSheetId="26" hidden="1">Prolink!$I$709</definedName>
    <definedName name="SD_7634x2_23_B_0" localSheetId="26" hidden="1">Prolink!$E$709</definedName>
    <definedName name="SD_7634x2_25_B_0" localSheetId="26" hidden="1">Prolink!$D$709</definedName>
    <definedName name="SD_7634x2_27_B_1" localSheetId="26" hidden="1">Prolink!$J$709</definedName>
    <definedName name="SD_7634x3_11_B_0" localSheetId="26" hidden="1">Prolink!$G$710</definedName>
    <definedName name="SD_7634x3_13_S_1" localSheetId="26" hidden="1">Prolink!$F$710</definedName>
    <definedName name="SD_7634x3_14_B_1" localSheetId="26" hidden="1">Prolink!$K$710</definedName>
    <definedName name="SD_7634x3_15_B_0" localSheetId="26" hidden="1">Prolink!$H$710</definedName>
    <definedName name="SD_7634x3_16_B_0" localSheetId="26" hidden="1">Prolink!$C$710</definedName>
    <definedName name="SD_7634x3_21_B_0" localSheetId="26" hidden="1">Prolink!$I$710</definedName>
    <definedName name="SD_7634x3_23_B_0" localSheetId="26" hidden="1">Prolink!$E$710</definedName>
    <definedName name="SD_7634x3_25_B_0" localSheetId="26" hidden="1">Prolink!$D$710</definedName>
    <definedName name="SD_7634x3_27_B_1" localSheetId="26" hidden="1">Prolink!$J$710</definedName>
    <definedName name="SD_7634x4_11_B_0" localSheetId="26" hidden="1">Prolink!$G$711</definedName>
    <definedName name="SD_7634x4_13_S_1" localSheetId="26" hidden="1">Prolink!$F$711</definedName>
    <definedName name="SD_7634x4_14_B_1" localSheetId="26" hidden="1">Prolink!$K$711</definedName>
    <definedName name="SD_7634x4_15_B_0" localSheetId="26" hidden="1">Prolink!$H$711</definedName>
    <definedName name="SD_7634x4_16_B_0" localSheetId="26" hidden="1">Prolink!$C$711</definedName>
    <definedName name="SD_7634x4_21_B_0" localSheetId="26" hidden="1">Prolink!$I$711</definedName>
    <definedName name="SD_7634x4_23_B_0" localSheetId="26" hidden="1">Prolink!$E$711</definedName>
    <definedName name="SD_7634x4_25_B_0" localSheetId="26" hidden="1">Prolink!$D$711</definedName>
    <definedName name="SD_7634x4_27_B_1" localSheetId="26" hidden="1">Prolink!$J$711</definedName>
    <definedName name="SD_7634x5_11_B_0" localSheetId="26" hidden="1">Prolink!$G$712</definedName>
    <definedName name="SD_7634x5_13_S_1" localSheetId="26" hidden="1">Prolink!$F$712</definedName>
    <definedName name="SD_7634x5_14_B_1" localSheetId="26" hidden="1">Prolink!$K$712</definedName>
    <definedName name="SD_7634x5_15_B_0" localSheetId="26" hidden="1">Prolink!$H$712</definedName>
    <definedName name="SD_7634x5_16_B_0" localSheetId="26" hidden="1">Prolink!$C$712</definedName>
    <definedName name="SD_7634x5_21_B_0" localSheetId="26" hidden="1">Prolink!$I$712</definedName>
    <definedName name="SD_7634x5_23_B_0" localSheetId="26" hidden="1">Prolink!$E$712</definedName>
    <definedName name="SD_7634x5_25_B_0" localSheetId="26" hidden="1">Prolink!$D$712</definedName>
    <definedName name="SD_7634x5_27_B_1" localSheetId="26" hidden="1">Prolink!$J$712</definedName>
    <definedName name="SD_7634x6_11_B_0" localSheetId="26" hidden="1">Prolink!$G$713</definedName>
    <definedName name="SD_7634x6_13_S_1" localSheetId="26" hidden="1">Prolink!$F$713</definedName>
    <definedName name="SD_7634x6_14_B_1" localSheetId="26" hidden="1">Prolink!$K$713</definedName>
    <definedName name="SD_7634x6_15_B_0" localSheetId="26" hidden="1">Prolink!$H$713</definedName>
    <definedName name="SD_7634x6_16_B_0" localSheetId="26" hidden="1">Prolink!$C$713</definedName>
    <definedName name="SD_7634x6_21_B_0" localSheetId="26" hidden="1">Prolink!$I$713</definedName>
    <definedName name="SD_7634x6_23_B_0" localSheetId="26" hidden="1">Prolink!$E$713</definedName>
    <definedName name="SD_7634x6_25_B_0" localSheetId="26" hidden="1">Prolink!$D$713</definedName>
    <definedName name="SD_7634x6_27_B_1" localSheetId="26" hidden="1">Prolink!$J$713</definedName>
    <definedName name="SD_7634x7_11_B_0" localSheetId="26" hidden="1">Prolink!$G$714</definedName>
    <definedName name="SD_7634x7_13_S_1" localSheetId="26" hidden="1">Prolink!$F$714</definedName>
    <definedName name="SD_7634x7_14_B_1" localSheetId="26" hidden="1">Prolink!$K$714</definedName>
    <definedName name="SD_7634x7_15_B_0" localSheetId="26" hidden="1">Prolink!$H$714</definedName>
    <definedName name="SD_7634x7_16_B_0" localSheetId="26" hidden="1">Prolink!$C$714</definedName>
    <definedName name="SD_7634x7_21_B_0" localSheetId="26" hidden="1">Prolink!$I$714</definedName>
    <definedName name="SD_7634x7_23_B_0" localSheetId="26" hidden="1">Prolink!$E$714</definedName>
    <definedName name="SD_7634x7_25_B_0" localSheetId="26" hidden="1">Prolink!$D$714</definedName>
    <definedName name="SD_7634x7_27_B_1" localSheetId="26" hidden="1">Prolink!$J$714</definedName>
    <definedName name="SD_7634x8_11_B_0" localSheetId="26" hidden="1">Prolink!$G$715</definedName>
    <definedName name="SD_7634x8_13_S_1" localSheetId="26" hidden="1">Prolink!$F$715</definedName>
    <definedName name="SD_7634x8_14_B_1" localSheetId="26" hidden="1">Prolink!$K$715</definedName>
    <definedName name="SD_7634x8_15_B_0" localSheetId="26" hidden="1">Prolink!$H$715</definedName>
    <definedName name="SD_7634x8_16_B_0" localSheetId="26" hidden="1">Prolink!$C$715</definedName>
    <definedName name="SD_7634x8_21_B_0" localSheetId="26" hidden="1">Prolink!$I$715</definedName>
    <definedName name="SD_7634x8_23_B_0" localSheetId="26" hidden="1">Prolink!$E$715</definedName>
    <definedName name="SD_7634x8_25_B_0" localSheetId="26" hidden="1">Prolink!$D$715</definedName>
    <definedName name="SD_7634x8_27_B_1" localSheetId="26" hidden="1">Prolink!$J$715</definedName>
    <definedName name="SD_7634x9_11_B_0" localSheetId="26" hidden="1">Prolink!$G$716</definedName>
    <definedName name="SD_7634x9_13_S_1" localSheetId="26" hidden="1">Prolink!$F$716</definedName>
    <definedName name="SD_7634x9_14_B_1" localSheetId="26" hidden="1">Prolink!$K$716</definedName>
    <definedName name="SD_7634x9_15_B_0" localSheetId="26" hidden="1">Prolink!$H$716</definedName>
    <definedName name="SD_7634x9_16_B_0" localSheetId="26" hidden="1">Prolink!$C$716</definedName>
    <definedName name="SD_7634x9_21_B_0" localSheetId="26" hidden="1">Prolink!$I$716</definedName>
    <definedName name="SD_7634x9_23_B_0" localSheetId="26" hidden="1">Prolink!$E$716</definedName>
    <definedName name="SD_7634x9_25_B_0" localSheetId="26" hidden="1">Prolink!$D$716</definedName>
    <definedName name="SD_7634x9_27_B_1" localSheetId="26" hidden="1">Prolink!$J$716</definedName>
    <definedName name="SD_D_PL_BldgAllocType" hidden="1">SD_Dropdowns!$Q$2:$R$12</definedName>
    <definedName name="SD_D_PL_BldgAllocType_Name" hidden="1">SD_Dropdowns!$Q$2:$Q$12</definedName>
    <definedName name="SD_D_PL_BldgAllocType_Value" hidden="1">SD_Dropdowns!$R$2:$R$12</definedName>
    <definedName name="SD_D_PL_DealEntityRole" hidden="1">SD_Dropdowns!$BA$2:$BB$36</definedName>
    <definedName name="SD_D_PL_DealEntityRole_Name" hidden="1">SD_Dropdowns!$BA$2:$BA$36</definedName>
    <definedName name="SD_D_PL_DealEntityRole_Value" hidden="1">SD_Dropdowns!$BB$2:$BB$36</definedName>
    <definedName name="SD_D_PL_EntityCompanyOrIndividual" hidden="1">SD_Dropdowns!$AY$2:$AZ$4</definedName>
    <definedName name="SD_D_PL_EntityCompanyOrIndividual_Name" hidden="1">SD_Dropdowns!$AY$2:$AY$4</definedName>
    <definedName name="SD_D_PL_EntityCompanyOrIndividual_Value" hidden="1">SD_Dropdowns!$AZ$2:$AZ$4</definedName>
    <definedName name="SD_D_PL_ExtendedUseAgreement" hidden="1">SD_Dropdowns!$M$2:$N$7</definedName>
    <definedName name="SD_D_PL_ExtendedUseAgreement_Name" hidden="1">SD_Dropdowns!$M$2:$M$7</definedName>
    <definedName name="SD_D_PL_ExtendedUseAgreement_Value" hidden="1">SD_Dropdowns!$N$2:$N$7</definedName>
    <definedName name="SD_D_PL_FinancingType" hidden="1">SD_Dropdowns!$AQ$2:$AR$5</definedName>
    <definedName name="SD_D_PL_FinancingType_Name" hidden="1">SD_Dropdowns!$AQ$2:$AQ$5</definedName>
    <definedName name="SD_D_PL_FinancingType_Value" hidden="1">SD_Dropdowns!$AR$2:$AR$5</definedName>
    <definedName name="SD_D_PL_IncomeTarget" hidden="1">SD_Dropdowns!$AU$2:$AV$16</definedName>
    <definedName name="SD_D_PL_IncomeTarget_Name" hidden="1">SD_Dropdowns!$AU$2:$AU$16</definedName>
    <definedName name="SD_D_PL_IncomeTarget_Value" hidden="1">SD_Dropdowns!$AV$2:$AV$16</definedName>
    <definedName name="SD_D_PL_IssuingAuthority" hidden="1">SD_Dropdowns!$AS$2:$AT$4</definedName>
    <definedName name="SD_D_PL_IssuingAuthority_Name" hidden="1">SD_Dropdowns!$AS$2:$AS$4</definedName>
    <definedName name="SD_D_PL_IssuingAuthority_Value" hidden="1">SD_Dropdowns!$AT$2:$AT$4</definedName>
    <definedName name="SD_D_PL_Jurisdiction" hidden="1">SD_Dropdowns!$G$2:$H$66</definedName>
    <definedName name="SD_D_PL_Jurisdiction_Name" hidden="1">SD_Dropdowns!$G$2:$G$66</definedName>
    <definedName name="SD_D_PL_Jurisdiction_Value" hidden="1">SD_Dropdowns!$H$2:$H$66</definedName>
    <definedName name="SD_D_PL_SiteControlType" hidden="1">SD_Dropdowns!$O$2:$P$6</definedName>
    <definedName name="SD_D_PL_SiteControlType_Name" hidden="1">SD_Dropdowns!$O$2:$O$6</definedName>
    <definedName name="SD_D_PL_SiteControlType_Value" hidden="1">SD_Dropdowns!$P$2:$P$6</definedName>
    <definedName name="SD_D_PL_State" hidden="1">SD_Dropdowns!$E$2:$F$53</definedName>
    <definedName name="SD_D_PL_State_Name" hidden="1">SD_Dropdowns!$E$2:$E$53</definedName>
    <definedName name="SD_D_PL_State_Value" hidden="1">SD_Dropdowns!$F$2:$F$53</definedName>
    <definedName name="SD_D_PL_TargetType" hidden="1">SD_Dropdowns!$K$2:$L$13</definedName>
    <definedName name="SD_D_PL_TargetType_Name" hidden="1">SD_Dropdowns!$K$2:$K$13</definedName>
    <definedName name="SD_D_PL_TargetType_Value" hidden="1">SD_Dropdowns!$L$2:$L$13</definedName>
    <definedName name="SD_D_PL_TCDealFeeType" hidden="1">SD_Dropdowns!$C$2:$D$21</definedName>
    <definedName name="SD_D_PL_TCDealFeeType_Name" hidden="1">SD_Dropdowns!$C$2:$C$21</definedName>
    <definedName name="SD_D_PL_TCDealFeeType_Value" hidden="1">SD_Dropdowns!$D$2:$D$21</definedName>
    <definedName name="SD_D_PL_TCUnitMixType" hidden="1">SD_Dropdowns!$AW$2:$AX$26</definedName>
    <definedName name="SD_D_PL_TCUnitMixType_Name" hidden="1">SD_Dropdowns!$AW$2:$AW$26</definedName>
    <definedName name="SD_D_PL_TCUnitMixType_Value" hidden="1">SD_Dropdowns!$AX$2:$AX$26</definedName>
    <definedName name="SD_D_PL_TCUnitType" hidden="1">SD_Dropdowns!$S$2:$T$23</definedName>
    <definedName name="SD_D_PL_TCUnitType_Name" hidden="1">SD_Dropdowns!$S$2:$S$23</definedName>
    <definedName name="SD_D_PL_TCUnitType_Value" hidden="1">SD_Dropdowns!$T$2:$T$23</definedName>
    <definedName name="SD_D_PL_TypeofAllocationRequested" hidden="1">SD_Dropdowns!$I$2:$J$6</definedName>
    <definedName name="SD_D_PL_TypeofAllocationRequested_Name" hidden="1">SD_Dropdowns!$I$2:$I$6</definedName>
    <definedName name="SD_D_PL_TypeofAllocationRequested_Value" hidden="1">SD_Dropdowns!$J$2:$J$6</definedName>
    <definedName name="SD_D_PL_UDF_1161" hidden="1">SD_Dropdowns!$U$2:$V$4</definedName>
    <definedName name="SD_D_PL_UDF_1161_Name" hidden="1">SD_Dropdowns!$U$2:$U$4</definedName>
    <definedName name="SD_D_PL_UDF_1161_Value" hidden="1">SD_Dropdowns!$V$2:$V$4</definedName>
    <definedName name="SD_D_PL_UDF_651" hidden="1">SD_Dropdowns!$W$2:$X$5</definedName>
    <definedName name="SD_D_PL_UDF_651_Name" hidden="1">SD_Dropdowns!$W$2:$W$5</definedName>
    <definedName name="SD_D_PL_UDF_651_Value" hidden="1">SD_Dropdowns!$X$2:$X$5</definedName>
    <definedName name="SD_D_PL_UDF_699" hidden="1">SD_Dropdowns!$Y$2:$Z$9</definedName>
    <definedName name="SD_D_PL_UDF_699_Name" hidden="1">SD_Dropdowns!$Y$2:$Y$9</definedName>
    <definedName name="SD_D_PL_UDF_699_Value" hidden="1">SD_Dropdowns!$Z$2:$Z$9</definedName>
    <definedName name="SD_D_PL_UDF_700" hidden="1">SD_Dropdowns!$AA$2:$AB$5</definedName>
    <definedName name="SD_D_PL_UDF_700_Name" hidden="1">SD_Dropdowns!$AA$2:$AA$5</definedName>
    <definedName name="SD_D_PL_UDF_700_Value" hidden="1">SD_Dropdowns!$AB$2:$AB$5</definedName>
    <definedName name="SD_D_PL_UDF_701" hidden="1">SD_Dropdowns!$AC$2:$AD$8</definedName>
    <definedName name="SD_D_PL_UDF_701_Name" hidden="1">SD_Dropdowns!$AC$2:$AC$8</definedName>
    <definedName name="SD_D_PL_UDF_701_Value" hidden="1">SD_Dropdowns!$AD$2:$AD$8</definedName>
    <definedName name="SD_D_PL_UDF_703" hidden="1">SD_Dropdowns!$AE$2:$AF$17</definedName>
    <definedName name="SD_D_PL_UDF_703_Name" hidden="1">SD_Dropdowns!$AE$2:$AE$17</definedName>
    <definedName name="SD_D_PL_UDF_703_Value" hidden="1">SD_Dropdowns!$AF$2:$AF$17</definedName>
    <definedName name="SD_D_PL_UDF_880" hidden="1">SD_Dropdowns!$AG$2:$AH$9</definedName>
    <definedName name="SD_D_PL_UDF_880_Name" hidden="1">SD_Dropdowns!$AG$2:$AG$9</definedName>
    <definedName name="SD_D_PL_UDF_880_Value" hidden="1">SD_Dropdowns!$AH$2:$AH$9</definedName>
    <definedName name="SD_D_PL_UDF_882" hidden="1">SD_Dropdowns!$AI$2:$AJ$5</definedName>
    <definedName name="SD_D_PL_UDF_882_Name" hidden="1">SD_Dropdowns!$AI$2:$AI$5</definedName>
    <definedName name="SD_D_PL_UDF_882_Value" hidden="1">SD_Dropdowns!$AJ$2:$AJ$5</definedName>
    <definedName name="SD_D_PL_UDF_883" hidden="1">SD_Dropdowns!$AK$2:$AL$5</definedName>
    <definedName name="SD_D_PL_UDF_883_Name" hidden="1">SD_Dropdowns!$AK$2:$AK$5</definedName>
    <definedName name="SD_D_PL_UDF_883_Value" hidden="1">SD_Dropdowns!$AL$2:$AL$5</definedName>
    <definedName name="SD_D_PL_UDF_884" hidden="1">SD_Dropdowns!$AM$2:$AN$7</definedName>
    <definedName name="SD_D_PL_UDF_884_Name" hidden="1">SD_Dropdowns!$AM$2:$AM$7</definedName>
    <definedName name="SD_D_PL_UDF_884_Value" hidden="1">SD_Dropdowns!$AN$2:$AN$7</definedName>
    <definedName name="SD_D_PL_UDF_910" hidden="1">SD_Dropdowns!$AO$2:$AP$8</definedName>
    <definedName name="SD_D_PL_UDF_910_Name" hidden="1">SD_Dropdowns!$AO$2:$AO$8</definedName>
    <definedName name="SD_D_PL_UDF_910_Value" hidden="1">SD_Dropdowns!$AP$2:$AP$8</definedName>
    <definedName name="Site_Control_List" localSheetId="18">'DOH Assessment'!#REF!</definedName>
    <definedName name="Site_Control_List" localSheetId="19">'DOH Assisted Units'!#REF!</definedName>
    <definedName name="Site_Control_List" localSheetId="20">'DOH Proforma'!#REF!</definedName>
    <definedName name="Site_Control_List" localSheetId="21">'DOH Services Contribution'!#REF!</definedName>
    <definedName name="Site_Control_List" localSheetId="17">'DOH Underwriting'!#REF!</definedName>
    <definedName name="Site_Control_List">Site_Control_Table[Site Control]</definedName>
    <definedName name="State_Funds_List" localSheetId="17">'DOH Underwriting'!#REF!</definedName>
    <definedName name="Tax_Credit_Type_List" localSheetId="18">'DOH Assessment'!#REF!</definedName>
    <definedName name="Tax_Credit_Type_List" localSheetId="19">'DOH Assisted Units'!#REF!</definedName>
    <definedName name="Tax_Credit_Type_List" localSheetId="20">'DOH Proforma'!#REF!</definedName>
    <definedName name="Tax_Credit_Type_List" localSheetId="21">'DOH Services Contribution'!#REF!</definedName>
    <definedName name="Tax_Credit_Type_List" localSheetId="17">'DOH Underwriting'!#REF!</definedName>
    <definedName name="Tax_Credit_Type_List">Tax_Credit_Type_Table[Type Of Tax Credit]</definedName>
    <definedName name="Tenant_Population_with_Special_Housing_Needs_List" localSheetId="18">'DOH Assessment'!#REF!</definedName>
    <definedName name="Tenant_Population_with_Special_Housing_Needs_List" localSheetId="19">'DOH Assisted Units'!#REF!</definedName>
    <definedName name="Tenant_Population_with_Special_Housing_Needs_List" localSheetId="20">'DOH Proforma'!#REF!</definedName>
    <definedName name="Tenant_Population_with_Special_Housing_Needs_List" localSheetId="21">'DOH Services Contribution'!#REF!</definedName>
    <definedName name="Tenant_Population_with_Special_Housing_Needs_List" localSheetId="17">'DOH Underwriting'!#REF!</definedName>
    <definedName name="Tenant_Population_with_Special_Housing_Needs_List">Tenant_Population_with_Special_Housing_Needs_Table[Tenant Population with Special Housing Needs]</definedName>
    <definedName name="Type_of_Cooling_List" localSheetId="18">'DOH Assessment'!#REF!</definedName>
    <definedName name="Type_of_Cooling_List" localSheetId="19">'DOH Assisted Units'!#REF!</definedName>
    <definedName name="Type_of_Cooling_List" localSheetId="20">'DOH Proforma'!#REF!</definedName>
    <definedName name="Type_of_Cooling_List" localSheetId="21">'DOH Services Contribution'!#REF!</definedName>
    <definedName name="Type_of_Cooling_List" localSheetId="17">'DOH Underwriting'!#REF!</definedName>
    <definedName name="Type_of_Cooling_List">Type_of_Cooling_Table[Type of Cooling In-Unit]</definedName>
    <definedName name="Type_of_Heating_List" localSheetId="18">'DOH Assessment'!#REF!</definedName>
    <definedName name="Type_of_Heating_List" localSheetId="19">'DOH Assisted Units'!#REF!</definedName>
    <definedName name="Type_of_Heating_List" localSheetId="20">'DOH Proforma'!#REF!</definedName>
    <definedName name="Type_of_Heating_List" localSheetId="21">'DOH Services Contribution'!#REF!</definedName>
    <definedName name="Type_of_Heating_List" localSheetId="17">'DOH Underwriting'!#REF!</definedName>
    <definedName name="Type_of_Heating_List">Type_of_Heating_Table[Type of Heating In-Unit]</definedName>
    <definedName name="Type_of_Units_Housing_List" localSheetId="18">'DOH Assessment'!#REF!</definedName>
    <definedName name="Type_of_Units_Housing_List" localSheetId="19">'DOH Assisted Units'!#REF!</definedName>
    <definedName name="Type_of_Units_Housing_List" localSheetId="20">'DOH Proforma'!#REF!</definedName>
    <definedName name="Type_of_Units_Housing_List" localSheetId="21">'DOH Services Contribution'!#REF!</definedName>
    <definedName name="Type_of_Units_Housing_List" localSheetId="17">'DOH Underwriting'!#REF!</definedName>
    <definedName name="Type_of_Units_Housing_List">Type_of_Units_Housing_Table[Type of Units/Housing]</definedName>
    <definedName name="Unit_Mix_Type_List" localSheetId="18">'DOH Assessment'!#REF!</definedName>
    <definedName name="Unit_Mix_Type_List" localSheetId="19">'DOH Assisted Units'!#REF!</definedName>
    <definedName name="Unit_Mix_Type_List" localSheetId="20">'DOH Proforma'!#REF!</definedName>
    <definedName name="Unit_Mix_Type_List" localSheetId="21">'DOH Services Contribution'!#REF!</definedName>
    <definedName name="Unit_Mix_Type_List" localSheetId="17">'DOH Underwriting'!#REF!</definedName>
    <definedName name="Unit_Mix_Type_List">Unit_Mix_Type_Table[Unit Mix Type]</definedName>
    <definedName name="Unit_Rent_Matrix_Income" localSheetId="17">'DOH Underwriting'!#REF!</definedName>
    <definedName name="Unit_Rent_Matrix_Income">Calculations!$A$76:$A$287</definedName>
    <definedName name="Unit_Rent_Matrix_NumberUnits">Calculations!$D$76:$D$287</definedName>
    <definedName name="Unit_Rent_Matrix_TotalRent" localSheetId="17">'DOH Underwriting'!#REF!</definedName>
    <definedName name="Unit_Rent_Matrix_TotalRent">Calculations!$G$76:$G$287</definedName>
    <definedName name="Unit_Rent_Matrix_TotalSqFt">Calculations!$F$76:$F$287</definedName>
    <definedName name="Unit_Rent_Matrix_UnitType" localSheetId="17">'DOH Underwriting'!#REF!</definedName>
    <definedName name="Unit_Rent_Matrix_UnitType">Calculations!$B$76:$B$287</definedName>
    <definedName name="Utilitiy_Model_List" localSheetId="18">'DOH Assessment'!#REF!</definedName>
    <definedName name="Utilitiy_Model_List" localSheetId="19">'DOH Assisted Units'!#REF!</definedName>
    <definedName name="Utilitiy_Model_List" localSheetId="20">'DOH Proforma'!#REF!</definedName>
    <definedName name="Utilitiy_Model_List" localSheetId="21">'DOH Services Contribution'!#REF!</definedName>
    <definedName name="Utilitiy_Model_List" localSheetId="17">'DOH Underwriting'!#REF!</definedName>
    <definedName name="Utilitiy_Model_List">Utilitiy_Model_Table[Utilitiy Model]</definedName>
    <definedName name="Very_Very_Low_Income_Targeting_List" localSheetId="18">'DOH Assessment'!#REF!</definedName>
    <definedName name="Very_Very_Low_Income_Targeting_List" localSheetId="19">'DOH Assisted Units'!#REF!</definedName>
    <definedName name="Very_Very_Low_Income_Targeting_List" localSheetId="20">'DOH Proforma'!#REF!</definedName>
    <definedName name="Very_Very_Low_Income_Targeting_List" localSheetId="21">'DOH Services Contribution'!#REF!</definedName>
    <definedName name="Very_Very_Low_Income_Targeting_List" localSheetId="17">'DOH Underwriting'!#REF!</definedName>
    <definedName name="Very_Very_Low_Income_Targeting_List">Very_Very_Low_Income_Targeting_Table[Very, Very Low-Income Targeting]</definedName>
    <definedName name="XXXX" hidden="1">#REF!</definedName>
    <definedName name="Yes_No_List" localSheetId="18">'DOH Assessment'!#REF!</definedName>
    <definedName name="Yes_No_List" localSheetId="19">'DOH Assisted Units'!#REF!</definedName>
    <definedName name="Yes_No_List" localSheetId="20">'DOH Proforma'!#REF!</definedName>
    <definedName name="Yes_No_List" localSheetId="21">'DOH Services Contribution'!#REF!</definedName>
    <definedName name="Yes_No_List" localSheetId="17">'DOH Underwriting'!#REF!</definedName>
    <definedName name="Yes_No_List">Yes_No_Table[Yes/No]</definedName>
    <definedName name="Yes_No_NA_List" localSheetId="18">'DOH Assessment'!#REF!</definedName>
    <definedName name="Yes_No_NA_List" localSheetId="19">'DOH Assisted Units'!#REF!</definedName>
    <definedName name="Yes_No_NA_List" localSheetId="20">'DOH Proforma'!#REF!</definedName>
    <definedName name="Yes_No_NA_List" localSheetId="21">'DOH Services Contribution'!#REF!</definedName>
    <definedName name="Yes_No_NA_List" localSheetId="17">'DOH Underwriting'!#REF!</definedName>
    <definedName name="Yes_No_NA_List">Yes_No_NA_Table[Yes/No/NA]</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2" i="49" l="1"/>
  <c r="J24" i="51"/>
  <c r="C24" i="51"/>
  <c r="H63" i="25"/>
  <c r="E33" i="24"/>
  <c r="C877" i="3"/>
  <c r="H16" i="7"/>
  <c r="G16" i="7"/>
  <c r="G227" i="3"/>
  <c r="G226" i="3"/>
  <c r="C702" i="5"/>
  <c r="C701" i="5"/>
  <c r="C700" i="5"/>
  <c r="C699" i="5"/>
  <c r="C698" i="5"/>
  <c r="C697" i="5"/>
  <c r="C696" i="5"/>
  <c r="C695" i="5"/>
  <c r="C694" i="5"/>
  <c r="C693" i="5"/>
  <c r="C692" i="5"/>
  <c r="C691" i="5"/>
  <c r="C690" i="5"/>
  <c r="C689" i="5"/>
  <c r="C688" i="5"/>
  <c r="C687" i="5"/>
  <c r="C686" i="5"/>
  <c r="C685" i="5"/>
  <c r="C684" i="5"/>
  <c r="C683" i="5"/>
  <c r="C627" i="5"/>
  <c r="C628" i="5"/>
  <c r="C629" i="5"/>
  <c r="C630" i="5"/>
  <c r="C608" i="5"/>
  <c r="C607" i="5"/>
  <c r="C606" i="5"/>
  <c r="C605" i="5"/>
  <c r="C604" i="5"/>
  <c r="C563" i="5"/>
  <c r="E702" i="5"/>
  <c r="E701" i="5"/>
  <c r="E700" i="5"/>
  <c r="E699" i="5"/>
  <c r="E698" i="5"/>
  <c r="E697" i="5"/>
  <c r="E696" i="5"/>
  <c r="E695" i="5"/>
  <c r="E694" i="5"/>
  <c r="E693" i="5"/>
  <c r="E692" i="5"/>
  <c r="E691" i="5"/>
  <c r="E690" i="5"/>
  <c r="E689" i="5"/>
  <c r="E688" i="5"/>
  <c r="E687" i="5"/>
  <c r="C657" i="5"/>
  <c r="C656" i="5"/>
  <c r="C655" i="5"/>
  <c r="C654" i="5"/>
  <c r="C653" i="5"/>
  <c r="E653" i="5"/>
  <c r="E657" i="5"/>
  <c r="E656" i="5"/>
  <c r="E655" i="5"/>
  <c r="E654" i="5"/>
  <c r="E608" i="5"/>
  <c r="E607" i="5"/>
  <c r="E606" i="5"/>
  <c r="E605" i="5"/>
  <c r="E604" i="5"/>
  <c r="C92" i="49" l="1"/>
  <c r="C78" i="49"/>
  <c r="C73" i="49"/>
  <c r="C59" i="49"/>
  <c r="C52" i="49"/>
  <c r="C49" i="49"/>
  <c r="C40" i="49"/>
  <c r="C37" i="49"/>
  <c r="C34" i="49"/>
  <c r="C31" i="49"/>
  <c r="C30" i="49"/>
  <c r="C27" i="49"/>
  <c r="C22" i="49"/>
  <c r="M2" i="52"/>
  <c r="K17" i="49"/>
  <c r="K16" i="49"/>
  <c r="K15" i="49"/>
  <c r="K14" i="49"/>
  <c r="K13" i="49"/>
  <c r="K12" i="49"/>
  <c r="K11" i="49"/>
  <c r="K10" i="49"/>
  <c r="K9" i="49"/>
  <c r="J28" i="49"/>
  <c r="J27" i="49"/>
  <c r="J26" i="49"/>
  <c r="J25" i="49"/>
  <c r="J24" i="49"/>
  <c r="J23" i="49"/>
  <c r="J22" i="49"/>
  <c r="J21" i="49"/>
  <c r="J20" i="49"/>
  <c r="J19" i="49"/>
  <c r="J18" i="49"/>
  <c r="J17" i="49"/>
  <c r="J16" i="49"/>
  <c r="J15" i="49"/>
  <c r="J14" i="49"/>
  <c r="J13" i="49"/>
  <c r="J12" i="49"/>
  <c r="J11" i="49"/>
  <c r="J10" i="49"/>
  <c r="J9" i="49"/>
  <c r="C4" i="53" l="1"/>
  <c r="C3" i="53"/>
  <c r="AU40" i="52"/>
  <c r="AU39" i="52"/>
  <c r="AU38" i="52"/>
  <c r="AT40" i="52"/>
  <c r="AT39" i="52"/>
  <c r="AT38" i="52"/>
  <c r="AS40" i="52"/>
  <c r="AS39" i="52"/>
  <c r="AS38" i="52"/>
  <c r="AR40" i="52"/>
  <c r="AR39" i="52"/>
  <c r="AR38" i="52"/>
  <c r="AQ40" i="52"/>
  <c r="AQ39" i="52"/>
  <c r="AQ38" i="52"/>
  <c r="AP40" i="52"/>
  <c r="AP39" i="52"/>
  <c r="AP38" i="52"/>
  <c r="AO40" i="52"/>
  <c r="AO39" i="52" l="1"/>
  <c r="AO38" i="52"/>
  <c r="AN40" i="52" l="1"/>
  <c r="AN39" i="52"/>
  <c r="AN38" i="52"/>
  <c r="AM40" i="52"/>
  <c r="AM39" i="52"/>
  <c r="AM38" i="52"/>
  <c r="AL40" i="52"/>
  <c r="AL39" i="52"/>
  <c r="AL38" i="52"/>
  <c r="AK40" i="52"/>
  <c r="AK39" i="52"/>
  <c r="AK38" i="52"/>
  <c r="AJ40" i="52"/>
  <c r="AJ39" i="52"/>
  <c r="AJ38" i="52"/>
  <c r="AI40" i="52"/>
  <c r="AI39" i="52"/>
  <c r="AI38" i="52"/>
  <c r="AH40" i="52"/>
  <c r="AH39" i="52"/>
  <c r="AH38" i="52"/>
  <c r="AG40" i="52"/>
  <c r="AG39" i="52"/>
  <c r="AG38" i="52"/>
  <c r="AF40" i="52"/>
  <c r="AF39" i="52"/>
  <c r="AF38" i="52"/>
  <c r="AE40" i="52"/>
  <c r="AE39" i="52"/>
  <c r="AE38" i="52"/>
  <c r="AD40" i="52"/>
  <c r="AD39" i="52"/>
  <c r="AD38" i="52"/>
  <c r="AC40" i="52"/>
  <c r="AC39" i="52"/>
  <c r="AC38" i="52"/>
  <c r="AB40" i="52"/>
  <c r="AB39" i="52"/>
  <c r="AB38" i="52"/>
  <c r="AA40" i="52"/>
  <c r="AA39" i="52"/>
  <c r="AA38" i="52"/>
  <c r="Z40" i="52"/>
  <c r="Z39" i="52"/>
  <c r="Z38" i="52"/>
  <c r="Y40" i="52"/>
  <c r="Y39" i="52"/>
  <c r="Y38" i="52"/>
  <c r="X40" i="52"/>
  <c r="X39" i="52"/>
  <c r="X38" i="52"/>
  <c r="W40" i="52"/>
  <c r="W39" i="52"/>
  <c r="W38" i="52"/>
  <c r="V40" i="52"/>
  <c r="V39" i="52"/>
  <c r="V38" i="52"/>
  <c r="U40" i="52"/>
  <c r="U39" i="52"/>
  <c r="U38" i="52"/>
  <c r="T40" i="52"/>
  <c r="T39" i="52"/>
  <c r="T38" i="52"/>
  <c r="S40" i="52"/>
  <c r="S39" i="52"/>
  <c r="S38" i="52"/>
  <c r="R40" i="52"/>
  <c r="R39" i="52"/>
  <c r="R38" i="52"/>
  <c r="Q40" i="52"/>
  <c r="Q39" i="52"/>
  <c r="Q38" i="52"/>
  <c r="P40" i="52"/>
  <c r="P39" i="52"/>
  <c r="P38" i="52"/>
  <c r="O40" i="52"/>
  <c r="O39" i="52"/>
  <c r="O38" i="52"/>
  <c r="N40" i="52"/>
  <c r="N39" i="52"/>
  <c r="N38" i="52"/>
  <c r="M40" i="52"/>
  <c r="M39" i="52"/>
  <c r="M38" i="52"/>
  <c r="L40" i="52"/>
  <c r="L39" i="52"/>
  <c r="L38" i="52"/>
  <c r="K40" i="52"/>
  <c r="K39" i="52"/>
  <c r="K38" i="52"/>
  <c r="J40" i="52"/>
  <c r="J39" i="52"/>
  <c r="J38" i="52"/>
  <c r="I40" i="52"/>
  <c r="I39" i="52"/>
  <c r="I38" i="52"/>
  <c r="H39" i="52"/>
  <c r="H40" i="52"/>
  <c r="H38" i="52"/>
  <c r="H27" i="52"/>
  <c r="H26" i="52"/>
  <c r="H19" i="52"/>
  <c r="H14" i="52"/>
  <c r="AH2" i="52"/>
  <c r="AC2" i="52"/>
  <c r="AA7" i="52"/>
  <c r="V7" i="52"/>
  <c r="V2" i="52"/>
  <c r="O7" i="52"/>
  <c r="O2" i="52"/>
  <c r="H7" i="52"/>
  <c r="AA2" i="52"/>
  <c r="T7" i="52"/>
  <c r="T2" i="52"/>
  <c r="M7" i="52"/>
  <c r="D4" i="52"/>
  <c r="D3" i="52"/>
  <c r="E92" i="50"/>
  <c r="E91" i="50"/>
  <c r="E90" i="50"/>
  <c r="E89" i="50"/>
  <c r="E88" i="50"/>
  <c r="E87" i="50"/>
  <c r="E86" i="50"/>
  <c r="E85" i="50"/>
  <c r="E84" i="50"/>
  <c r="E83" i="50"/>
  <c r="E82" i="50"/>
  <c r="E81" i="50"/>
  <c r="E80" i="50"/>
  <c r="E79" i="50"/>
  <c r="E78" i="50"/>
  <c r="E77" i="50"/>
  <c r="E76" i="50"/>
  <c r="E75" i="50"/>
  <c r="E74" i="50"/>
  <c r="E73" i="50"/>
  <c r="E72" i="50"/>
  <c r="E71" i="50"/>
  <c r="E70" i="50"/>
  <c r="E69" i="50"/>
  <c r="E68" i="50"/>
  <c r="E67" i="50"/>
  <c r="E66" i="50"/>
  <c r="E65" i="50"/>
  <c r="E64" i="50"/>
  <c r="E63" i="50"/>
  <c r="E62" i="50"/>
  <c r="E61" i="50"/>
  <c r="E60" i="50"/>
  <c r="E59" i="50"/>
  <c r="E58" i="50"/>
  <c r="E57" i="50"/>
  <c r="E56" i="50"/>
  <c r="E55" i="50"/>
  <c r="E54" i="50"/>
  <c r="E53" i="50"/>
  <c r="E52" i="50"/>
  <c r="E51" i="50"/>
  <c r="E50" i="50"/>
  <c r="E49" i="50"/>
  <c r="E48" i="50"/>
  <c r="E47" i="50"/>
  <c r="E46" i="50"/>
  <c r="E45" i="50"/>
  <c r="E44" i="50"/>
  <c r="E43" i="50"/>
  <c r="E42" i="50"/>
  <c r="E41" i="50"/>
  <c r="E40" i="50"/>
  <c r="E39" i="50"/>
  <c r="E38" i="50"/>
  <c r="E37" i="50"/>
  <c r="E36" i="50"/>
  <c r="E35" i="50"/>
  <c r="E34" i="50"/>
  <c r="E33" i="50"/>
  <c r="D92" i="50"/>
  <c r="D91" i="50"/>
  <c r="D90" i="50"/>
  <c r="D89" i="50"/>
  <c r="D88" i="50"/>
  <c r="D87" i="50"/>
  <c r="D86" i="50"/>
  <c r="D85" i="50"/>
  <c r="D84" i="50"/>
  <c r="D83" i="50"/>
  <c r="D82" i="50"/>
  <c r="D81" i="50"/>
  <c r="D80" i="50"/>
  <c r="D79" i="50"/>
  <c r="D78" i="50"/>
  <c r="D77" i="50"/>
  <c r="D76" i="50"/>
  <c r="D75" i="50"/>
  <c r="D74" i="50"/>
  <c r="D73" i="50"/>
  <c r="D72" i="50"/>
  <c r="D71" i="50"/>
  <c r="D70" i="50"/>
  <c r="D69" i="50"/>
  <c r="D68" i="50"/>
  <c r="D67" i="50"/>
  <c r="D66" i="50"/>
  <c r="D65" i="50"/>
  <c r="D64" i="50"/>
  <c r="D63" i="50"/>
  <c r="D62" i="50"/>
  <c r="D61" i="50"/>
  <c r="D60" i="50"/>
  <c r="D59" i="50"/>
  <c r="D58" i="50"/>
  <c r="D57" i="50"/>
  <c r="D56" i="50"/>
  <c r="D55" i="50"/>
  <c r="D54" i="50"/>
  <c r="D53" i="50"/>
  <c r="D52" i="50"/>
  <c r="D51" i="50"/>
  <c r="D50" i="50"/>
  <c r="D49" i="50"/>
  <c r="D48" i="50"/>
  <c r="D47" i="50"/>
  <c r="D46" i="50"/>
  <c r="D45" i="50"/>
  <c r="D44" i="50"/>
  <c r="D43" i="50"/>
  <c r="D42" i="50"/>
  <c r="D41" i="50"/>
  <c r="D40" i="50"/>
  <c r="D39" i="50"/>
  <c r="D38" i="50"/>
  <c r="D37" i="50"/>
  <c r="D36" i="50"/>
  <c r="D35" i="50"/>
  <c r="D34" i="50"/>
  <c r="D33" i="50"/>
  <c r="C92" i="50"/>
  <c r="C91" i="50"/>
  <c r="C90" i="50"/>
  <c r="C89" i="50"/>
  <c r="C88" i="50"/>
  <c r="C87" i="50"/>
  <c r="C86" i="50"/>
  <c r="C85" i="50"/>
  <c r="C84" i="50"/>
  <c r="C83" i="50"/>
  <c r="C82" i="50"/>
  <c r="C81" i="50"/>
  <c r="C80" i="50"/>
  <c r="C79" i="50"/>
  <c r="C78" i="50"/>
  <c r="C77" i="50"/>
  <c r="C76" i="50"/>
  <c r="C75" i="50"/>
  <c r="C74" i="50"/>
  <c r="C73" i="50"/>
  <c r="C72" i="50"/>
  <c r="C71" i="50"/>
  <c r="C70" i="50"/>
  <c r="C69" i="50"/>
  <c r="C68" i="50"/>
  <c r="C67" i="50"/>
  <c r="C66" i="50"/>
  <c r="C65" i="50"/>
  <c r="C64" i="50"/>
  <c r="C63" i="50"/>
  <c r="C62" i="50"/>
  <c r="C61" i="50"/>
  <c r="C60" i="50"/>
  <c r="C59" i="50"/>
  <c r="C58" i="50"/>
  <c r="C57" i="50"/>
  <c r="C56" i="50"/>
  <c r="C55" i="50"/>
  <c r="C54" i="50"/>
  <c r="C53" i="50"/>
  <c r="C52" i="50"/>
  <c r="C51" i="50"/>
  <c r="C50" i="50"/>
  <c r="C49" i="50"/>
  <c r="C48" i="50"/>
  <c r="C47" i="50"/>
  <c r="C46" i="50"/>
  <c r="C45" i="50"/>
  <c r="C44" i="50"/>
  <c r="C43" i="50"/>
  <c r="C42" i="50"/>
  <c r="C41" i="50"/>
  <c r="C40" i="50"/>
  <c r="C39" i="50"/>
  <c r="C38" i="50"/>
  <c r="C37" i="50"/>
  <c r="C36" i="50"/>
  <c r="C35" i="50"/>
  <c r="C34" i="50"/>
  <c r="C33" i="50"/>
  <c r="B92" i="50"/>
  <c r="B91" i="50"/>
  <c r="B90" i="50"/>
  <c r="B89" i="50"/>
  <c r="B88" i="50"/>
  <c r="B87" i="50"/>
  <c r="B86" i="50"/>
  <c r="B85" i="50"/>
  <c r="B84" i="50"/>
  <c r="B83" i="50"/>
  <c r="B82" i="50"/>
  <c r="B81" i="50"/>
  <c r="B80" i="50"/>
  <c r="B79" i="50"/>
  <c r="B78" i="50"/>
  <c r="B77" i="50"/>
  <c r="B76" i="50"/>
  <c r="B75" i="50"/>
  <c r="B74" i="50"/>
  <c r="B73" i="50"/>
  <c r="B72" i="50"/>
  <c r="B71" i="50"/>
  <c r="B70" i="50"/>
  <c r="B69" i="50"/>
  <c r="B68" i="50"/>
  <c r="B67" i="50"/>
  <c r="B66" i="50"/>
  <c r="B65" i="50"/>
  <c r="B64" i="50"/>
  <c r="B63" i="50"/>
  <c r="B62" i="50"/>
  <c r="B61" i="50"/>
  <c r="B60" i="50"/>
  <c r="B59" i="50"/>
  <c r="B58" i="50"/>
  <c r="B57" i="50"/>
  <c r="B56" i="50"/>
  <c r="B55" i="50"/>
  <c r="B54" i="50"/>
  <c r="B53" i="50"/>
  <c r="B52" i="50"/>
  <c r="B51" i="50"/>
  <c r="B50" i="50"/>
  <c r="B49" i="50"/>
  <c r="B48" i="50"/>
  <c r="B47" i="50"/>
  <c r="B46" i="50"/>
  <c r="B45" i="50"/>
  <c r="B44" i="50"/>
  <c r="B43" i="50"/>
  <c r="B42" i="50"/>
  <c r="B41" i="50"/>
  <c r="B40" i="50"/>
  <c r="B39" i="50"/>
  <c r="B38" i="50"/>
  <c r="B37" i="50"/>
  <c r="B36" i="50"/>
  <c r="B35" i="50"/>
  <c r="B34" i="50"/>
  <c r="B33" i="50"/>
  <c r="C28" i="50"/>
  <c r="C27" i="50"/>
  <c r="C26" i="50"/>
  <c r="C25" i="50"/>
  <c r="C24" i="50"/>
  <c r="C4" i="50"/>
  <c r="C4" i="51"/>
  <c r="C3" i="51"/>
  <c r="C3" i="50"/>
  <c r="J32" i="51"/>
  <c r="J31" i="51"/>
  <c r="J25" i="51"/>
  <c r="J22" i="51"/>
  <c r="C32" i="51" l="1"/>
  <c r="C31" i="51"/>
  <c r="C25" i="51"/>
  <c r="C22" i="51"/>
  <c r="N17" i="49" l="1"/>
  <c r="N16" i="49"/>
  <c r="N14" i="49"/>
  <c r="N12" i="49"/>
  <c r="N11" i="49"/>
  <c r="N10" i="49"/>
  <c r="N9" i="49"/>
  <c r="J33" i="49"/>
  <c r="I28" i="49"/>
  <c r="I27" i="49"/>
  <c r="I26" i="49"/>
  <c r="I25" i="49"/>
  <c r="I24" i="49"/>
  <c r="I23" i="49"/>
  <c r="I22" i="49" l="1"/>
  <c r="I21" i="49"/>
  <c r="I20" i="49"/>
  <c r="I19" i="49"/>
  <c r="I18" i="49"/>
  <c r="I17" i="49"/>
  <c r="I16" i="49"/>
  <c r="I15" i="49"/>
  <c r="I14" i="49"/>
  <c r="I13" i="49"/>
  <c r="I12" i="49"/>
  <c r="I11" i="49"/>
  <c r="I10" i="49"/>
  <c r="I9" i="49"/>
  <c r="D104" i="49" l="1"/>
  <c r="C91" i="49" l="1"/>
  <c r="C90" i="49"/>
  <c r="C89" i="49"/>
  <c r="C88" i="49"/>
  <c r="C85" i="49"/>
  <c r="C84" i="49"/>
  <c r="C83" i="49"/>
  <c r="C82" i="49"/>
  <c r="C81" i="49"/>
  <c r="C77" i="49"/>
  <c r="C76" i="49"/>
  <c r="C75" i="49"/>
  <c r="C74" i="49"/>
  <c r="C72" i="49"/>
  <c r="C71" i="49"/>
  <c r="C70" i="49"/>
  <c r="C69" i="49"/>
  <c r="C68" i="49"/>
  <c r="C67" i="49"/>
  <c r="C66" i="49"/>
  <c r="C65" i="49"/>
  <c r="C64" i="49"/>
  <c r="C63" i="49"/>
  <c r="C62" i="49"/>
  <c r="C58" i="49"/>
  <c r="C57" i="49"/>
  <c r="C56" i="49"/>
  <c r="C55" i="49"/>
  <c r="C54" i="49"/>
  <c r="C53" i="49"/>
  <c r="C48" i="49"/>
  <c r="C47" i="49"/>
  <c r="C46" i="49"/>
  <c r="C45" i="49"/>
  <c r="C44" i="49"/>
  <c r="C43" i="49"/>
  <c r="C42" i="49"/>
  <c r="C41" i="49"/>
  <c r="C36" i="49"/>
  <c r="C35" i="49"/>
  <c r="C33" i="49"/>
  <c r="C32" i="49"/>
  <c r="C26" i="49"/>
  <c r="C25" i="49"/>
  <c r="C24" i="49"/>
  <c r="C23" i="49"/>
  <c r="C21" i="49"/>
  <c r="C20" i="49"/>
  <c r="C19" i="49"/>
  <c r="C16" i="49"/>
  <c r="C15" i="49"/>
  <c r="C14" i="49"/>
  <c r="C11" i="49"/>
  <c r="C10" i="49"/>
  <c r="C5" i="49"/>
  <c r="C3" i="49"/>
  <c r="C2" i="49"/>
  <c r="E9" i="53" l="1"/>
  <c r="E10" i="53" s="1"/>
  <c r="F9" i="53"/>
  <c r="F10" i="53" s="1"/>
  <c r="D10" i="53"/>
  <c r="D13" i="53"/>
  <c r="D23" i="53" s="1"/>
  <c r="E13" i="53"/>
  <c r="E23" i="53" s="1"/>
  <c r="F13" i="53"/>
  <c r="F23" i="53" s="1"/>
  <c r="G13" i="53"/>
  <c r="H13" i="53"/>
  <c r="I13" i="53"/>
  <c r="J13" i="53"/>
  <c r="K13" i="53"/>
  <c r="L13" i="53"/>
  <c r="M13" i="53"/>
  <c r="N13" i="53"/>
  <c r="O13" i="53"/>
  <c r="P13" i="53"/>
  <c r="P23" i="53" s="1"/>
  <c r="Q13" i="53"/>
  <c r="Q23" i="53" s="1"/>
  <c r="R13" i="53"/>
  <c r="R23" i="53" s="1"/>
  <c r="S14" i="53"/>
  <c r="T14" i="53"/>
  <c r="S15" i="53"/>
  <c r="T15" i="53"/>
  <c r="S16" i="53"/>
  <c r="S17" i="53"/>
  <c r="S18" i="53"/>
  <c r="S19" i="53"/>
  <c r="S20" i="53"/>
  <c r="S21" i="53"/>
  <c r="S22" i="53"/>
  <c r="G23" i="53"/>
  <c r="H23" i="53"/>
  <c r="I23" i="53"/>
  <c r="J23" i="53"/>
  <c r="K23" i="53"/>
  <c r="L23" i="53"/>
  <c r="M23" i="53"/>
  <c r="N23" i="53"/>
  <c r="O23" i="53"/>
  <c r="S28" i="53"/>
  <c r="S30" i="53"/>
  <c r="G69" i="52"/>
  <c r="H69" i="52" s="1"/>
  <c r="B30" i="52"/>
  <c r="G79" i="52"/>
  <c r="H79" i="52" s="1"/>
  <c r="B32" i="52"/>
  <c r="G89" i="52"/>
  <c r="H89" i="52" s="1"/>
  <c r="B34" i="52"/>
  <c r="B29" i="52"/>
  <c r="B33" i="52"/>
  <c r="G94" i="52"/>
  <c r="H94" i="52" s="1"/>
  <c r="B13" i="52"/>
  <c r="B14" i="52"/>
  <c r="I14" i="52"/>
  <c r="J14" i="52" s="1"/>
  <c r="K14" i="52" s="1"/>
  <c r="L14" i="52" s="1"/>
  <c r="M14" i="52" s="1"/>
  <c r="N14" i="52" s="1"/>
  <c r="O14" i="52" s="1"/>
  <c r="P14" i="52" s="1"/>
  <c r="Q14" i="52" s="1"/>
  <c r="R14" i="52" s="1"/>
  <c r="S14" i="52" s="1"/>
  <c r="T14" i="52" s="1"/>
  <c r="U14" i="52" s="1"/>
  <c r="V14" i="52" s="1"/>
  <c r="W14" i="52" s="1"/>
  <c r="X14" i="52" s="1"/>
  <c r="Y14" i="52" s="1"/>
  <c r="Z14" i="52" s="1"/>
  <c r="AA14" i="52" s="1"/>
  <c r="AB14" i="52" s="1"/>
  <c r="AC14" i="52" s="1"/>
  <c r="AD14" i="52" s="1"/>
  <c r="AE14" i="52" s="1"/>
  <c r="AF14" i="52" s="1"/>
  <c r="AG14" i="52" s="1"/>
  <c r="AH14" i="52" s="1"/>
  <c r="AI14" i="52" s="1"/>
  <c r="AJ14" i="52" s="1"/>
  <c r="AK14" i="52" s="1"/>
  <c r="AL14" i="52" s="1"/>
  <c r="AM14" i="52" s="1"/>
  <c r="AN14" i="52" s="1"/>
  <c r="AO14" i="52" s="1"/>
  <c r="AP14" i="52" s="1"/>
  <c r="AQ14" i="52" s="1"/>
  <c r="AR14" i="52" s="1"/>
  <c r="AS14" i="52" s="1"/>
  <c r="AT14" i="52" s="1"/>
  <c r="AU14" i="52" s="1"/>
  <c r="B17" i="52"/>
  <c r="Y19" i="52"/>
  <c r="I20" i="52"/>
  <c r="J20" i="52" s="1"/>
  <c r="K20" i="52" s="1"/>
  <c r="L20" i="52" s="1"/>
  <c r="M20" i="52" s="1"/>
  <c r="N20" i="52" s="1"/>
  <c r="O20" i="52"/>
  <c r="P20" i="52" s="1"/>
  <c r="Q20" i="52" s="1"/>
  <c r="R20" i="52" s="1"/>
  <c r="S20" i="52" s="1"/>
  <c r="T20" i="52" s="1"/>
  <c r="U20" i="52" s="1"/>
  <c r="V20" i="52" s="1"/>
  <c r="W20" i="52" s="1"/>
  <c r="X20" i="52" s="1"/>
  <c r="Y20" i="52" s="1"/>
  <c r="Z20" i="52" s="1"/>
  <c r="AA20" i="52" s="1"/>
  <c r="AB20" i="52" s="1"/>
  <c r="AC20" i="52" s="1"/>
  <c r="AD20" i="52" s="1"/>
  <c r="AE20" i="52" s="1"/>
  <c r="AF20" i="52" s="1"/>
  <c r="AG20" i="52" s="1"/>
  <c r="AH20" i="52" s="1"/>
  <c r="AI20" i="52" s="1"/>
  <c r="AJ20" i="52" s="1"/>
  <c r="AK20" i="52" s="1"/>
  <c r="AL20" i="52" s="1"/>
  <c r="AM20" i="52" s="1"/>
  <c r="AN20" i="52" s="1"/>
  <c r="AO20" i="52" s="1"/>
  <c r="AP20" i="52" s="1"/>
  <c r="AQ20" i="52" s="1"/>
  <c r="AR20" i="52" s="1"/>
  <c r="AS20" i="52" s="1"/>
  <c r="AT20" i="52" s="1"/>
  <c r="AU20" i="52" s="1"/>
  <c r="I21" i="52"/>
  <c r="J21" i="52"/>
  <c r="K21" i="52"/>
  <c r="L21" i="52"/>
  <c r="M21" i="52" s="1"/>
  <c r="N21" i="52" s="1"/>
  <c r="O21" i="52" s="1"/>
  <c r="P21" i="52" s="1"/>
  <c r="Q21" i="52" s="1"/>
  <c r="R21" i="52" s="1"/>
  <c r="S21" i="52" s="1"/>
  <c r="T21" i="52" s="1"/>
  <c r="U21" i="52" s="1"/>
  <c r="V21" i="52" s="1"/>
  <c r="W21" i="52" s="1"/>
  <c r="X21" i="52" s="1"/>
  <c r="Y21" i="52" s="1"/>
  <c r="Z21" i="52" s="1"/>
  <c r="AA21" i="52" s="1"/>
  <c r="AB21" i="52" s="1"/>
  <c r="AC21" i="52" s="1"/>
  <c r="AD21" i="52" s="1"/>
  <c r="AE21" i="52" s="1"/>
  <c r="AF21" i="52" s="1"/>
  <c r="AG21" i="52" s="1"/>
  <c r="AH21" i="52" s="1"/>
  <c r="AI21" i="52" s="1"/>
  <c r="AJ21" i="52" s="1"/>
  <c r="AK21" i="52" s="1"/>
  <c r="AL21" i="52" s="1"/>
  <c r="AM21" i="52" s="1"/>
  <c r="AN21" i="52" s="1"/>
  <c r="AO21" i="52" s="1"/>
  <c r="AP21" i="52" s="1"/>
  <c r="AQ21" i="52" s="1"/>
  <c r="AR21" i="52" s="1"/>
  <c r="AS21" i="52" s="1"/>
  <c r="AT21" i="52" s="1"/>
  <c r="AU21" i="52" s="1"/>
  <c r="B26" i="52"/>
  <c r="I26" i="52"/>
  <c r="J26" i="52" s="1"/>
  <c r="K26" i="52" s="1"/>
  <c r="L26" i="52" s="1"/>
  <c r="M26" i="52" s="1"/>
  <c r="N26" i="52" s="1"/>
  <c r="O26" i="52" s="1"/>
  <c r="P26" i="52" s="1"/>
  <c r="Q26" i="52" s="1"/>
  <c r="R26" i="52" s="1"/>
  <c r="S26" i="52" s="1"/>
  <c r="T26" i="52" s="1"/>
  <c r="U26" i="52" s="1"/>
  <c r="V26" i="52" s="1"/>
  <c r="W26" i="52" s="1"/>
  <c r="X26" i="52" s="1"/>
  <c r="Y26" i="52" s="1"/>
  <c r="Z26" i="52" s="1"/>
  <c r="AA26" i="52" s="1"/>
  <c r="AB26" i="52" s="1"/>
  <c r="AC26" i="52" s="1"/>
  <c r="AD26" i="52" s="1"/>
  <c r="AE26" i="52" s="1"/>
  <c r="AF26" i="52" s="1"/>
  <c r="AG26" i="52" s="1"/>
  <c r="AH26" i="52" s="1"/>
  <c r="AI26" i="52" s="1"/>
  <c r="AJ26" i="52" s="1"/>
  <c r="AK26" i="52" s="1"/>
  <c r="AL26" i="52" s="1"/>
  <c r="AM26" i="52" s="1"/>
  <c r="AN26" i="52" s="1"/>
  <c r="AO26" i="52" s="1"/>
  <c r="AP26" i="52" s="1"/>
  <c r="AQ26" i="52" s="1"/>
  <c r="AR26" i="52" s="1"/>
  <c r="AS26" i="52" s="1"/>
  <c r="AT26" i="52" s="1"/>
  <c r="AU26" i="52" s="1"/>
  <c r="T27" i="52"/>
  <c r="B31" i="52"/>
  <c r="I51" i="52"/>
  <c r="J51" i="52"/>
  <c r="K51" i="52"/>
  <c r="L51" i="52"/>
  <c r="M51" i="52"/>
  <c r="N51" i="52"/>
  <c r="O51" i="52"/>
  <c r="P51" i="52"/>
  <c r="Q51" i="52"/>
  <c r="AU51" i="52" s="1"/>
  <c r="R51" i="52"/>
  <c r="S51" i="52"/>
  <c r="T51" i="52"/>
  <c r="U51" i="52"/>
  <c r="V51" i="52"/>
  <c r="W51" i="52"/>
  <c r="X51" i="52"/>
  <c r="Y51" i="52"/>
  <c r="Z51" i="52"/>
  <c r="AA51" i="52"/>
  <c r="AB51" i="52"/>
  <c r="AC51" i="52"/>
  <c r="AD51" i="52"/>
  <c r="AE51" i="52"/>
  <c r="AF51" i="52"/>
  <c r="AG51" i="52"/>
  <c r="AH51" i="52"/>
  <c r="AI51" i="52"/>
  <c r="AJ51" i="52"/>
  <c r="AK51" i="52"/>
  <c r="AL51" i="52"/>
  <c r="AM51" i="52"/>
  <c r="AN51" i="52"/>
  <c r="AO51" i="52"/>
  <c r="AP51" i="52"/>
  <c r="AQ51" i="52"/>
  <c r="AR51" i="52"/>
  <c r="AS51" i="52"/>
  <c r="AT51" i="52"/>
  <c r="I53" i="52"/>
  <c r="J53" i="52"/>
  <c r="K53" i="52"/>
  <c r="L53" i="52"/>
  <c r="M53" i="52"/>
  <c r="N53" i="52"/>
  <c r="O53" i="52"/>
  <c r="P53" i="52"/>
  <c r="Q53" i="52"/>
  <c r="R53" i="52"/>
  <c r="S53" i="52"/>
  <c r="T53" i="52"/>
  <c r="U53" i="52"/>
  <c r="V53" i="52"/>
  <c r="W53" i="52"/>
  <c r="X53" i="52"/>
  <c r="Y53" i="52"/>
  <c r="Z53" i="52"/>
  <c r="AA53" i="52"/>
  <c r="AB53" i="52"/>
  <c r="AC53" i="52"/>
  <c r="AD53" i="52"/>
  <c r="AE53" i="52"/>
  <c r="AF53" i="52"/>
  <c r="AG53" i="52"/>
  <c r="AH53" i="52"/>
  <c r="AI53" i="52"/>
  <c r="AJ53" i="52"/>
  <c r="AK53" i="52"/>
  <c r="AL53" i="52"/>
  <c r="AM53" i="52"/>
  <c r="AN53" i="52"/>
  <c r="AO53" i="52"/>
  <c r="AP53" i="52"/>
  <c r="AQ53" i="52"/>
  <c r="AR53" i="52"/>
  <c r="AS53" i="52"/>
  <c r="AT53" i="52"/>
  <c r="AU53" i="52"/>
  <c r="I54" i="52"/>
  <c r="J54" i="52"/>
  <c r="K54" i="52"/>
  <c r="L54" i="52"/>
  <c r="M54" i="52"/>
  <c r="N54" i="52"/>
  <c r="O54" i="52"/>
  <c r="P54" i="52"/>
  <c r="Q54" i="52"/>
  <c r="R54" i="52"/>
  <c r="S54" i="52"/>
  <c r="T54" i="52"/>
  <c r="U54" i="52"/>
  <c r="V54" i="52"/>
  <c r="W54" i="52"/>
  <c r="X54" i="52"/>
  <c r="Y54" i="52"/>
  <c r="Z54" i="52"/>
  <c r="AA54" i="52"/>
  <c r="AB54" i="52"/>
  <c r="AC54" i="52"/>
  <c r="AD54" i="52"/>
  <c r="AE54" i="52"/>
  <c r="AF54" i="52"/>
  <c r="AG54" i="52"/>
  <c r="AH54" i="52"/>
  <c r="AI54" i="52"/>
  <c r="AJ54" i="52"/>
  <c r="AK54" i="52"/>
  <c r="AL54" i="52"/>
  <c r="AM54" i="52"/>
  <c r="AN54" i="52"/>
  <c r="AO54" i="52"/>
  <c r="AP54" i="52"/>
  <c r="AQ54" i="52"/>
  <c r="AR54" i="52"/>
  <c r="AS54" i="52"/>
  <c r="AT54" i="52"/>
  <c r="AU54" i="52"/>
  <c r="I57" i="52"/>
  <c r="J57" i="52"/>
  <c r="K57" i="52"/>
  <c r="L57" i="52"/>
  <c r="M57" i="52"/>
  <c r="N57" i="52"/>
  <c r="O57" i="52"/>
  <c r="P57" i="52"/>
  <c r="Q57" i="52"/>
  <c r="R57" i="52"/>
  <c r="S57" i="52"/>
  <c r="T57" i="52"/>
  <c r="U57" i="52"/>
  <c r="V57" i="52"/>
  <c r="W57" i="52"/>
  <c r="X57" i="52"/>
  <c r="Y57" i="52"/>
  <c r="Z57" i="52"/>
  <c r="AA57" i="52"/>
  <c r="AB57" i="52"/>
  <c r="AC57" i="52"/>
  <c r="AD57" i="52"/>
  <c r="AE57" i="52"/>
  <c r="AF57" i="52"/>
  <c r="AG57" i="52"/>
  <c r="AH57" i="52"/>
  <c r="AI57" i="52"/>
  <c r="AJ57" i="52"/>
  <c r="AK57" i="52"/>
  <c r="AL57" i="52"/>
  <c r="AM57" i="52"/>
  <c r="AN57" i="52"/>
  <c r="AO57" i="52"/>
  <c r="AP57" i="52"/>
  <c r="AQ57" i="52"/>
  <c r="AR57" i="52"/>
  <c r="AS57" i="52"/>
  <c r="AT57" i="52"/>
  <c r="AU57" i="52"/>
  <c r="I59" i="52"/>
  <c r="J59" i="52"/>
  <c r="K59" i="52"/>
  <c r="L59" i="52"/>
  <c r="M59" i="52"/>
  <c r="N59" i="52"/>
  <c r="O59" i="52"/>
  <c r="P59" i="52"/>
  <c r="Q59" i="52"/>
  <c r="R59" i="52"/>
  <c r="S59" i="52"/>
  <c r="T59" i="52"/>
  <c r="U59" i="52"/>
  <c r="V59" i="52"/>
  <c r="W59" i="52"/>
  <c r="X59" i="52"/>
  <c r="Y59" i="52"/>
  <c r="Z59" i="52"/>
  <c r="AA59" i="52"/>
  <c r="AB59" i="52"/>
  <c r="AC59" i="52"/>
  <c r="AD59" i="52"/>
  <c r="AE59" i="52"/>
  <c r="AF59" i="52"/>
  <c r="AG59" i="52"/>
  <c r="AH59" i="52"/>
  <c r="AI59" i="52"/>
  <c r="AJ59" i="52"/>
  <c r="AK59" i="52"/>
  <c r="AL59" i="52"/>
  <c r="AM59" i="52"/>
  <c r="AN59" i="52"/>
  <c r="AO59" i="52"/>
  <c r="AP59" i="52"/>
  <c r="AQ59" i="52"/>
  <c r="AR59" i="52"/>
  <c r="AS59" i="52"/>
  <c r="AT59" i="52"/>
  <c r="AU59" i="52"/>
  <c r="G74" i="52"/>
  <c r="H74" i="52" s="1"/>
  <c r="G84" i="52"/>
  <c r="H84" i="52" s="1"/>
  <c r="G22" i="51"/>
  <c r="N22" i="51"/>
  <c r="K19" i="52" l="1"/>
  <c r="AC27" i="52"/>
  <c r="I27" i="52"/>
  <c r="AK19" i="52"/>
  <c r="AJ19" i="52"/>
  <c r="AD27" i="52"/>
  <c r="AH3" i="52"/>
  <c r="AH4" i="52" s="1"/>
  <c r="J19" i="52"/>
  <c r="AL19" i="52"/>
  <c r="L19" i="52"/>
  <c r="AG19" i="52"/>
  <c r="AI19" i="52"/>
  <c r="AF19" i="52"/>
  <c r="AE19" i="52"/>
  <c r="AD19" i="52"/>
  <c r="T3" i="52"/>
  <c r="T4" i="52" s="1"/>
  <c r="AC19" i="52"/>
  <c r="T19" i="52"/>
  <c r="S19" i="52"/>
  <c r="R19" i="52"/>
  <c r="Q19" i="52"/>
  <c r="P19" i="52"/>
  <c r="AH19" i="52"/>
  <c r="O19" i="52"/>
  <c r="AN19" i="52"/>
  <c r="N19" i="52"/>
  <c r="AM19" i="52"/>
  <c r="M19" i="52"/>
  <c r="X27" i="52"/>
  <c r="U27" i="52"/>
  <c r="AB27" i="52"/>
  <c r="T8" i="52"/>
  <c r="T9" i="52" s="1"/>
  <c r="M8" i="52"/>
  <c r="M9" i="52" s="1"/>
  <c r="AJ27" i="52"/>
  <c r="O27" i="52"/>
  <c r="AB19" i="52"/>
  <c r="Z27" i="52"/>
  <c r="Y27" i="52"/>
  <c r="AP27" i="52"/>
  <c r="AI27" i="52"/>
  <c r="N27" i="52"/>
  <c r="AU19" i="52"/>
  <c r="Z19" i="52"/>
  <c r="R27" i="52"/>
  <c r="P27" i="52"/>
  <c r="AH27" i="52"/>
  <c r="M27" i="52"/>
  <c r="AT19" i="52"/>
  <c r="X19" i="52"/>
  <c r="AA3" i="52"/>
  <c r="AA4" i="52" s="1"/>
  <c r="G99" i="52"/>
  <c r="H99" i="52" s="1"/>
  <c r="AG27" i="52"/>
  <c r="L27" i="52"/>
  <c r="AR19" i="52"/>
  <c r="W19" i="52"/>
  <c r="AS27" i="52"/>
  <c r="AR27" i="52"/>
  <c r="AQ27" i="52"/>
  <c r="S27" i="52"/>
  <c r="AK27" i="52"/>
  <c r="AF27" i="52"/>
  <c r="K27" i="52"/>
  <c r="AP19" i="52"/>
  <c r="V19" i="52"/>
  <c r="AU27" i="52"/>
  <c r="AA27" i="52"/>
  <c r="AT27" i="52"/>
  <c r="AA8" i="52"/>
  <c r="AA9" i="52" s="1"/>
  <c r="AN27" i="52"/>
  <c r="AM27" i="52"/>
  <c r="Q27" i="52"/>
  <c r="AE27" i="52"/>
  <c r="J27" i="52"/>
  <c r="AO19" i="52"/>
  <c r="U19" i="52"/>
  <c r="S23" i="53"/>
  <c r="D24" i="53"/>
  <c r="S13" i="53"/>
  <c r="F24" i="53"/>
  <c r="E24" i="53"/>
  <c r="G9" i="53"/>
  <c r="AO27" i="52"/>
  <c r="W27" i="52"/>
  <c r="V27" i="52"/>
  <c r="AS19" i="52"/>
  <c r="AA19" i="52"/>
  <c r="I19" i="52"/>
  <c r="AL27" i="52"/>
  <c r="AQ19" i="52"/>
  <c r="G10" i="53" l="1"/>
  <c r="H9" i="53"/>
  <c r="G24" i="53"/>
  <c r="H10" i="53" l="1"/>
  <c r="I9" i="53"/>
  <c r="H24" i="53"/>
  <c r="I10" i="53" l="1"/>
  <c r="J9" i="53"/>
  <c r="I24" i="53"/>
  <c r="J10" i="53" l="1"/>
  <c r="K9" i="53"/>
  <c r="J24" i="53"/>
  <c r="K10" i="53" l="1"/>
  <c r="L9" i="53"/>
  <c r="K24" i="53"/>
  <c r="L10" i="53" l="1"/>
  <c r="M9" i="53"/>
  <c r="L24" i="53"/>
  <c r="M10" i="53" l="1"/>
  <c r="M24" i="53"/>
  <c r="N9" i="53"/>
  <c r="N10" i="53" l="1"/>
  <c r="O9" i="53"/>
  <c r="N24" i="53"/>
  <c r="O24" i="53" l="1"/>
  <c r="P9" i="53"/>
  <c r="O10" i="53"/>
  <c r="P24" i="53" l="1"/>
  <c r="Q9" i="53"/>
  <c r="P10" i="53"/>
  <c r="Q24" i="53" l="1"/>
  <c r="R9" i="53"/>
  <c r="Q10" i="53"/>
  <c r="R24" i="53" l="1"/>
  <c r="S24" i="53" s="1"/>
  <c r="R10" i="53"/>
  <c r="S9" i="53"/>
  <c r="E29" i="50" l="1"/>
  <c r="Q29" i="50"/>
  <c r="G33" i="50"/>
  <c r="G34" i="50"/>
  <c r="G35" i="50"/>
  <c r="G36" i="50"/>
  <c r="G37" i="50"/>
  <c r="G38" i="50"/>
  <c r="G39" i="50"/>
  <c r="G40" i="50"/>
  <c r="G41" i="50"/>
  <c r="G42" i="50"/>
  <c r="G43" i="50"/>
  <c r="G44" i="50"/>
  <c r="G45" i="50"/>
  <c r="G46" i="50"/>
  <c r="G47" i="50"/>
  <c r="G48" i="50"/>
  <c r="G49" i="50"/>
  <c r="G50" i="50"/>
  <c r="G51" i="50"/>
  <c r="G52" i="50"/>
  <c r="G53" i="50"/>
  <c r="G54" i="50"/>
  <c r="G55" i="50"/>
  <c r="G56" i="50"/>
  <c r="G57" i="50"/>
  <c r="G58" i="50"/>
  <c r="G59" i="50"/>
  <c r="G60" i="50"/>
  <c r="G61" i="50"/>
  <c r="G62" i="50"/>
  <c r="G63" i="50"/>
  <c r="G64" i="50"/>
  <c r="G65" i="50"/>
  <c r="G66" i="50"/>
  <c r="G67" i="50"/>
  <c r="G68" i="50"/>
  <c r="G69" i="50"/>
  <c r="G70" i="50"/>
  <c r="G71" i="50"/>
  <c r="G72" i="50"/>
  <c r="G73" i="50"/>
  <c r="G74" i="50"/>
  <c r="G75" i="50"/>
  <c r="G76" i="50"/>
  <c r="G77" i="50"/>
  <c r="G78" i="50"/>
  <c r="G79" i="50"/>
  <c r="G80" i="50"/>
  <c r="G81" i="50"/>
  <c r="G82" i="50"/>
  <c r="G83" i="50"/>
  <c r="G84" i="50"/>
  <c r="G85" i="50"/>
  <c r="G86" i="50"/>
  <c r="G87" i="50"/>
  <c r="G88" i="50"/>
  <c r="G89" i="50"/>
  <c r="G90" i="50"/>
  <c r="G91" i="50"/>
  <c r="G92" i="50"/>
  <c r="F93" i="50"/>
  <c r="C15" i="50"/>
  <c r="C14" i="50"/>
  <c r="C86" i="49" l="1"/>
  <c r="P14" i="50"/>
  <c r="P23" i="50" s="1"/>
  <c r="C93" i="49"/>
  <c r="C60" i="49"/>
  <c r="C13" i="50"/>
  <c r="N15" i="50"/>
  <c r="N24" i="50" s="1"/>
  <c r="C17" i="49"/>
  <c r="C12" i="49"/>
  <c r="J41" i="49"/>
  <c r="J42" i="49"/>
  <c r="O15" i="50"/>
  <c r="O24" i="50" s="1"/>
  <c r="M14" i="50"/>
  <c r="M23" i="50" s="1"/>
  <c r="O19" i="50"/>
  <c r="O28" i="50" s="1"/>
  <c r="P11" i="50"/>
  <c r="P20" i="50" s="1"/>
  <c r="C50" i="49"/>
  <c r="N13" i="49" s="1"/>
  <c r="M11" i="50"/>
  <c r="M20" i="50" s="1"/>
  <c r="L19" i="50"/>
  <c r="L28" i="50" s="1"/>
  <c r="C38" i="49"/>
  <c r="N18" i="50"/>
  <c r="N27" i="50" s="1"/>
  <c r="M18" i="50"/>
  <c r="M27" i="50" s="1"/>
  <c r="L18" i="50"/>
  <c r="L27" i="50" s="1"/>
  <c r="N17" i="50"/>
  <c r="N26" i="50" s="1"/>
  <c r="C28" i="49"/>
  <c r="L12" i="50"/>
  <c r="L21" i="50" s="1"/>
  <c r="O16" i="50"/>
  <c r="O25" i="50" s="1"/>
  <c r="L13" i="50"/>
  <c r="L22" i="50" s="1"/>
  <c r="C12" i="50"/>
  <c r="P15" i="50"/>
  <c r="P24" i="50" s="1"/>
  <c r="C18" i="50"/>
  <c r="M15" i="50"/>
  <c r="M24" i="50" s="1"/>
  <c r="P12" i="50"/>
  <c r="L15" i="50"/>
  <c r="O12" i="50"/>
  <c r="P17" i="50"/>
  <c r="P26" i="50" s="1"/>
  <c r="N12" i="50"/>
  <c r="O17" i="50"/>
  <c r="O26" i="50" s="1"/>
  <c r="M12" i="50"/>
  <c r="M17" i="50"/>
  <c r="M26" i="50" s="1"/>
  <c r="O14" i="50"/>
  <c r="O23" i="50" s="1"/>
  <c r="P19" i="50"/>
  <c r="P28" i="50" s="1"/>
  <c r="L17" i="50"/>
  <c r="N14" i="50"/>
  <c r="N23" i="50" s="1"/>
  <c r="N19" i="50"/>
  <c r="N28" i="50" s="1"/>
  <c r="L14" i="50"/>
  <c r="O11" i="50"/>
  <c r="O20" i="50" s="1"/>
  <c r="M19" i="50"/>
  <c r="M28" i="50" s="1"/>
  <c r="P16" i="50"/>
  <c r="P25" i="50" s="1"/>
  <c r="N11" i="50"/>
  <c r="N20" i="50" s="1"/>
  <c r="N16" i="50"/>
  <c r="N25" i="50" s="1"/>
  <c r="P13" i="50"/>
  <c r="P22" i="50" s="1"/>
  <c r="L11" i="50"/>
  <c r="D93" i="50"/>
  <c r="M16" i="50"/>
  <c r="M25" i="50" s="1"/>
  <c r="O13" i="50"/>
  <c r="O22" i="50" s="1"/>
  <c r="P18" i="50"/>
  <c r="P27" i="50" s="1"/>
  <c r="L16" i="50"/>
  <c r="N13" i="50"/>
  <c r="N22" i="50" s="1"/>
  <c r="C29" i="50"/>
  <c r="O18" i="50"/>
  <c r="O27" i="50" s="1"/>
  <c r="M13" i="50"/>
  <c r="M22" i="50" s="1"/>
  <c r="C79" i="49"/>
  <c r="J43" i="49" l="1"/>
  <c r="L31" i="50"/>
  <c r="Q28" i="50"/>
  <c r="L26" i="50"/>
  <c r="Q26" i="50" s="1"/>
  <c r="Q17" i="50"/>
  <c r="Q18" i="50"/>
  <c r="M21" i="50"/>
  <c r="M31" i="50"/>
  <c r="N21" i="50"/>
  <c r="N30" i="50" s="1"/>
  <c r="N31" i="50"/>
  <c r="Q11" i="50"/>
  <c r="L20" i="50"/>
  <c r="Q20" i="50" s="1"/>
  <c r="Q14" i="50"/>
  <c r="L23" i="50"/>
  <c r="Q23" i="50" s="1"/>
  <c r="Q16" i="50"/>
  <c r="L25" i="50"/>
  <c r="Q25" i="50" s="1"/>
  <c r="Q19" i="50"/>
  <c r="Q13" i="50"/>
  <c r="Q27" i="50"/>
  <c r="Q12" i="50"/>
  <c r="O31" i="50"/>
  <c r="O21" i="50"/>
  <c r="O35" i="50" s="1"/>
  <c r="Q15" i="50"/>
  <c r="L24" i="50"/>
  <c r="Q24" i="50" s="1"/>
  <c r="Q22" i="50"/>
  <c r="P21" i="50"/>
  <c r="P30" i="50" s="1"/>
  <c r="P31" i="50"/>
  <c r="C94" i="49"/>
  <c r="N15" i="49"/>
  <c r="N34" i="49" s="1"/>
  <c r="Q31" i="50" l="1"/>
  <c r="C11" i="50"/>
  <c r="C17" i="50" s="1"/>
  <c r="J18" i="51"/>
  <c r="C18" i="51"/>
  <c r="C10" i="50"/>
  <c r="Q21" i="50"/>
  <c r="Q30" i="50" s="1"/>
  <c r="R32" i="50" s="1"/>
  <c r="M30" i="50"/>
  <c r="M35" i="50"/>
  <c r="N35" i="50"/>
  <c r="O30" i="50"/>
  <c r="L30" i="50"/>
  <c r="P35" i="50"/>
  <c r="L35" i="50"/>
  <c r="C20" i="50" l="1"/>
  <c r="D24" i="50" s="1"/>
  <c r="C19" i="50"/>
  <c r="H64" i="50" s="1"/>
  <c r="D27" i="50"/>
  <c r="G27" i="50" s="1"/>
  <c r="D25" i="50"/>
  <c r="G25" i="50" s="1"/>
  <c r="D26" i="50"/>
  <c r="G26" i="50" s="1"/>
  <c r="D28" i="50"/>
  <c r="G28" i="50" s="1"/>
  <c r="O32" i="50"/>
  <c r="Q35" i="50"/>
  <c r="L32" i="50"/>
  <c r="G24" i="50"/>
  <c r="G29" i="50" s="1"/>
  <c r="E8" i="50" s="1"/>
  <c r="D29" i="50"/>
  <c r="Q32" i="50"/>
  <c r="M32" i="50"/>
  <c r="P32" i="50"/>
  <c r="N32" i="50"/>
  <c r="H87" i="50" l="1"/>
  <c r="H37" i="50"/>
  <c r="H84" i="50"/>
  <c r="H75" i="50"/>
  <c r="H58" i="50"/>
  <c r="H77" i="50"/>
  <c r="H35" i="50"/>
  <c r="H86" i="50"/>
  <c r="H71" i="50"/>
  <c r="H82" i="50"/>
  <c r="H66" i="50"/>
  <c r="H83" i="50"/>
  <c r="H79" i="50"/>
  <c r="H60" i="50"/>
  <c r="H69" i="50"/>
  <c r="H54" i="50"/>
  <c r="H73" i="50"/>
  <c r="H74" i="50"/>
  <c r="H39" i="50"/>
  <c r="H62" i="50"/>
  <c r="H34" i="50"/>
  <c r="H52" i="50"/>
  <c r="H42" i="50"/>
  <c r="H76" i="50"/>
  <c r="H91" i="50"/>
  <c r="H40" i="50"/>
  <c r="H46" i="50"/>
  <c r="H41" i="50"/>
  <c r="H72" i="50"/>
  <c r="H67" i="50"/>
  <c r="H33" i="50"/>
  <c r="H51" i="50"/>
  <c r="H44" i="50"/>
  <c r="H45" i="50"/>
  <c r="H48" i="50"/>
  <c r="H68" i="50"/>
  <c r="H43" i="50"/>
  <c r="H88" i="50"/>
  <c r="H63" i="50"/>
  <c r="H89" i="50"/>
  <c r="H78" i="50"/>
  <c r="H85" i="50"/>
  <c r="H61" i="50"/>
  <c r="H53" i="50"/>
  <c r="H50" i="50"/>
  <c r="H90" i="50"/>
  <c r="H38" i="50"/>
  <c r="H70" i="50"/>
  <c r="H56" i="50"/>
  <c r="H59" i="50"/>
  <c r="H65" i="50"/>
  <c r="H57" i="50"/>
  <c r="H55" i="50"/>
  <c r="H36" i="50"/>
  <c r="H81" i="50"/>
  <c r="H47" i="50"/>
  <c r="H49" i="50"/>
  <c r="H92" i="50"/>
  <c r="H80" i="50"/>
  <c r="B47" i="25"/>
  <c r="B46" i="25"/>
  <c r="B18" i="7"/>
  <c r="B17" i="7"/>
  <c r="E647" i="5" s="1"/>
  <c r="C647" i="5" s="1"/>
  <c r="B16" i="7"/>
  <c r="B40" i="7"/>
  <c r="B39" i="7"/>
  <c r="B38" i="7"/>
  <c r="B37" i="7"/>
  <c r="B35" i="7"/>
  <c r="B34" i="7"/>
  <c r="B33" i="7"/>
  <c r="B32" i="7"/>
  <c r="B31" i="7"/>
  <c r="B30" i="7"/>
  <c r="B29" i="7"/>
  <c r="B28" i="7"/>
  <c r="B27" i="7"/>
  <c r="B26" i="7"/>
  <c r="B25" i="7"/>
  <c r="E683" i="5" s="1"/>
  <c r="B24" i="7"/>
  <c r="B23" i="7"/>
  <c r="B22" i="7"/>
  <c r="B21" i="7"/>
  <c r="B20" i="7"/>
  <c r="B19" i="7"/>
  <c r="B15" i="7"/>
  <c r="B14" i="7"/>
  <c r="B13" i="7"/>
  <c r="B12" i="7"/>
  <c r="B11" i="7"/>
  <c r="B10" i="7"/>
  <c r="B9" i="7"/>
  <c r="B8" i="7"/>
  <c r="B7" i="7"/>
  <c r="I6" i="7"/>
  <c r="F6" i="7"/>
  <c r="B6" i="7"/>
  <c r="B5" i="7"/>
  <c r="E554" i="5" s="1"/>
  <c r="C554" i="5" s="1"/>
  <c r="F5" i="7"/>
  <c r="E558" i="5" s="1"/>
  <c r="C558" i="5" s="1"/>
  <c r="B4" i="7"/>
  <c r="C4" i="7"/>
  <c r="B3" i="7"/>
  <c r="H93" i="50" l="1"/>
  <c r="E622" i="5"/>
  <c r="E594" i="5"/>
  <c r="C594" i="5" s="1"/>
  <c r="C622" i="5"/>
  <c r="E565" i="5"/>
  <c r="C565" i="5"/>
  <c r="E617" i="5"/>
  <c r="C617" i="5" s="1"/>
  <c r="E587" i="5"/>
  <c r="C587" i="5" s="1"/>
  <c r="E642" i="5"/>
  <c r="C642" i="5" s="1"/>
  <c r="J8" i="7"/>
  <c r="I8" i="7"/>
  <c r="H8" i="7"/>
  <c r="G8" i="7"/>
  <c r="F8" i="7"/>
  <c r="E8" i="7"/>
  <c r="D8" i="7"/>
  <c r="C8" i="7"/>
  <c r="C564" i="5"/>
  <c r="C641" i="5"/>
  <c r="C640" i="5"/>
  <c r="L732" i="5" a="1"/>
  <c r="N738" i="5" a="1"/>
  <c r="N741" i="5" a="1"/>
  <c r="O741" i="5" a="1"/>
  <c r="P729" i="5" a="1"/>
  <c r="O729" i="5" a="1"/>
  <c r="M729" i="5" a="1"/>
  <c r="L728" i="5" a="1"/>
  <c r="Q740" i="5" a="1"/>
  <c r="O738" i="5" a="1"/>
  <c r="L740" i="5" a="1"/>
  <c r="P740" i="5" a="1"/>
  <c r="M740" i="5" a="1"/>
  <c r="L729" i="5" a="1"/>
  <c r="Q729" i="5" a="1"/>
  <c r="L734" i="5" a="1"/>
  <c r="Q741" i="5" a="1"/>
  <c r="N729" i="5" a="1"/>
  <c r="L737" i="5" a="1"/>
  <c r="L727" i="5" a="1"/>
  <c r="R740" i="5" a="1"/>
  <c r="L739" i="5" a="1"/>
  <c r="M738" i="5" a="1"/>
  <c r="R729" i="5" a="1"/>
  <c r="L731" i="5" a="1"/>
  <c r="L730" i="5" a="1"/>
  <c r="Q727" i="5" a="1"/>
  <c r="L736" i="5" a="1"/>
  <c r="L735" i="5" a="1"/>
  <c r="R738" i="5" a="1"/>
  <c r="R741" i="5" a="1"/>
  <c r="M741" i="5" a="1"/>
  <c r="P741" i="5" a="1"/>
  <c r="Q738" i="5" a="1"/>
  <c r="P727" i="5" a="1"/>
  <c r="N740" i="5" a="1"/>
  <c r="O740" i="5" a="1"/>
  <c r="L741" i="5" a="1"/>
  <c r="L738" i="5" a="1"/>
  <c r="L733" i="5" a="1"/>
  <c r="R739" i="5" a="1"/>
  <c r="P738" i="5" a="1"/>
  <c r="E621" i="5" l="1"/>
  <c r="C621" i="5"/>
  <c r="E620" i="5"/>
  <c r="C620" i="5"/>
  <c r="E619" i="5"/>
  <c r="C619" i="5" s="1"/>
  <c r="E618" i="5"/>
  <c r="C618" i="5" s="1"/>
  <c r="N741" i="5"/>
  <c r="E741" i="5" s="1" a="1"/>
  <c r="E741" i="5" s="1"/>
  <c r="L740" i="5"/>
  <c r="C740" i="5" s="1" a="1"/>
  <c r="O740" i="5"/>
  <c r="F740" i="5" s="1" a="1"/>
  <c r="F740" i="5" s="1"/>
  <c r="Q741" i="5"/>
  <c r="H741" i="5" s="1" a="1"/>
  <c r="H741" i="5" s="1"/>
  <c r="L731" i="5"/>
  <c r="C731" i="5" s="1" a="1"/>
  <c r="L741" i="5"/>
  <c r="C741" i="5" s="1" a="1"/>
  <c r="O738" i="5"/>
  <c r="F738" i="5" s="1" a="1"/>
  <c r="F738" i="5" s="1"/>
  <c r="R729" i="5"/>
  <c r="I729" i="5" s="1"/>
  <c r="L734" i="5"/>
  <c r="C734" i="5" s="1" a="1"/>
  <c r="L735" i="5"/>
  <c r="C735" i="5" s="1" a="1"/>
  <c r="R739" i="5"/>
  <c r="I739" i="5" s="1"/>
  <c r="O729" i="5"/>
  <c r="F729" i="5" s="1" a="1"/>
  <c r="N729" i="5"/>
  <c r="L739" i="5"/>
  <c r="C739" i="5" s="1" a="1"/>
  <c r="Q740" i="5"/>
  <c r="H740" i="5" s="1" a="1"/>
  <c r="H740" i="5" s="1"/>
  <c r="N738" i="5"/>
  <c r="E738" i="5" s="1" a="1"/>
  <c r="E738" i="5" s="1"/>
  <c r="L737" i="5"/>
  <c r="C737" i="5" s="1" a="1"/>
  <c r="R740" i="5"/>
  <c r="I740" i="5" s="1"/>
  <c r="L727" i="5"/>
  <c r="C727" i="5" s="1" a="1"/>
  <c r="L729" i="5"/>
  <c r="C729" i="5" s="1" a="1"/>
  <c r="R741" i="5"/>
  <c r="I741" i="5" s="1"/>
  <c r="L733" i="5"/>
  <c r="C733" i="5" s="1" a="1"/>
  <c r="L736" i="5"/>
  <c r="C736" i="5" s="1" a="1"/>
  <c r="O741" i="5"/>
  <c r="F741" i="5" s="1" a="1"/>
  <c r="F741" i="5" s="1"/>
  <c r="L738" i="5"/>
  <c r="C738" i="5" s="1" a="1"/>
  <c r="P727" i="5"/>
  <c r="G727" i="5" s="1" a="1"/>
  <c r="M740" i="5"/>
  <c r="D740" i="5" s="1" a="1"/>
  <c r="D740" i="5" s="1"/>
  <c r="P729" i="5"/>
  <c r="G729" i="5" s="1" a="1"/>
  <c r="M729" i="5"/>
  <c r="D729" i="5" s="1" a="1"/>
  <c r="P740" i="5"/>
  <c r="G740" i="5" s="1" a="1"/>
  <c r="G740" i="5" s="1"/>
  <c r="Q727" i="5"/>
  <c r="H727" i="5" s="1" a="1"/>
  <c r="L730" i="5"/>
  <c r="C730" i="5" s="1" a="1"/>
  <c r="P738" i="5"/>
  <c r="G738" i="5" s="1" a="1"/>
  <c r="G738" i="5" s="1"/>
  <c r="M738" i="5"/>
  <c r="D738" i="5" s="1" a="1"/>
  <c r="D738" i="5" s="1"/>
  <c r="P741" i="5"/>
  <c r="G741" i="5" s="1" a="1"/>
  <c r="G741" i="5" s="1"/>
  <c r="M741" i="5"/>
  <c r="D741" i="5" s="1" a="1"/>
  <c r="D741" i="5" s="1"/>
  <c r="L728" i="5"/>
  <c r="C728" i="5" s="1" a="1"/>
  <c r="N740" i="5"/>
  <c r="E740" i="5" s="1" a="1"/>
  <c r="E740" i="5" s="1"/>
  <c r="Q729" i="5"/>
  <c r="H729" i="5" s="1" a="1"/>
  <c r="L732" i="5"/>
  <c r="C732" i="5" s="1" a="1"/>
  <c r="Q738" i="5"/>
  <c r="H738" i="5" s="1" a="1"/>
  <c r="H738" i="5" s="1"/>
  <c r="R738" i="5"/>
  <c r="I738" i="5" s="1"/>
  <c r="J40" i="7"/>
  <c r="I40" i="7"/>
  <c r="H40" i="7"/>
  <c r="G40" i="7"/>
  <c r="F40" i="7"/>
  <c r="E40" i="7"/>
  <c r="D40" i="7"/>
  <c r="C40" i="7"/>
  <c r="J39" i="7"/>
  <c r="I39" i="7"/>
  <c r="H39" i="7"/>
  <c r="G39" i="7"/>
  <c r="F39" i="7"/>
  <c r="E39" i="7"/>
  <c r="D39" i="7"/>
  <c r="C39" i="7"/>
  <c r="J38" i="7"/>
  <c r="I38" i="7"/>
  <c r="H38" i="7"/>
  <c r="G38" i="7"/>
  <c r="F38" i="7"/>
  <c r="E38" i="7"/>
  <c r="D38" i="7"/>
  <c r="C38" i="7"/>
  <c r="J37" i="7"/>
  <c r="I37" i="7"/>
  <c r="H37" i="7"/>
  <c r="G37" i="7"/>
  <c r="F37" i="7"/>
  <c r="E37" i="7"/>
  <c r="D37" i="7"/>
  <c r="C37" i="7"/>
  <c r="J35" i="7"/>
  <c r="I35" i="7"/>
  <c r="H35" i="7"/>
  <c r="G35" i="7"/>
  <c r="F35" i="7"/>
  <c r="E35" i="7"/>
  <c r="D35" i="7"/>
  <c r="C35" i="7"/>
  <c r="J34" i="7"/>
  <c r="I34" i="7"/>
  <c r="H34" i="7"/>
  <c r="G34" i="7"/>
  <c r="F34" i="7"/>
  <c r="E34" i="7"/>
  <c r="D34" i="7"/>
  <c r="C34" i="7"/>
  <c r="J33" i="7"/>
  <c r="I33" i="7"/>
  <c r="H33" i="7"/>
  <c r="G33" i="7"/>
  <c r="F33" i="7"/>
  <c r="E33" i="7"/>
  <c r="D33" i="7"/>
  <c r="C33" i="7"/>
  <c r="J32" i="7"/>
  <c r="I32" i="7"/>
  <c r="H32" i="7"/>
  <c r="G32" i="7"/>
  <c r="F32" i="7"/>
  <c r="E32" i="7"/>
  <c r="D32" i="7"/>
  <c r="C32" i="7"/>
  <c r="J31" i="7"/>
  <c r="I31" i="7"/>
  <c r="H31" i="7"/>
  <c r="G31" i="7"/>
  <c r="F31" i="7"/>
  <c r="E31" i="7"/>
  <c r="D31" i="7"/>
  <c r="C31" i="7"/>
  <c r="J30" i="7"/>
  <c r="I30" i="7"/>
  <c r="H30" i="7"/>
  <c r="G30" i="7"/>
  <c r="F30" i="7"/>
  <c r="E30" i="7"/>
  <c r="D30" i="7"/>
  <c r="C30" i="7"/>
  <c r="J29" i="7"/>
  <c r="I29" i="7"/>
  <c r="H29" i="7"/>
  <c r="G29" i="7"/>
  <c r="F29" i="7"/>
  <c r="E29" i="7"/>
  <c r="D29" i="7"/>
  <c r="C29" i="7"/>
  <c r="J28" i="7"/>
  <c r="I28" i="7"/>
  <c r="H28" i="7"/>
  <c r="G28" i="7"/>
  <c r="F28" i="7"/>
  <c r="E28" i="7"/>
  <c r="D28" i="7"/>
  <c r="C28" i="7"/>
  <c r="J27" i="7"/>
  <c r="I27" i="7"/>
  <c r="H27" i="7"/>
  <c r="G27" i="7"/>
  <c r="F27" i="7"/>
  <c r="E27" i="7"/>
  <c r="D27" i="7"/>
  <c r="C27" i="7"/>
  <c r="J26" i="7"/>
  <c r="I26" i="7"/>
  <c r="H26" i="7"/>
  <c r="G26" i="7"/>
  <c r="F26" i="7"/>
  <c r="E26" i="7"/>
  <c r="D26" i="7"/>
  <c r="C26" i="7"/>
  <c r="J25" i="7"/>
  <c r="I25" i="7"/>
  <c r="H25" i="7"/>
  <c r="E685" i="5" s="1"/>
  <c r="G25" i="7"/>
  <c r="E684" i="5" s="1"/>
  <c r="F25" i="7"/>
  <c r="E25" i="7"/>
  <c r="D25" i="7"/>
  <c r="C25" i="7"/>
  <c r="J24" i="7"/>
  <c r="I24" i="7"/>
  <c r="H24" i="7"/>
  <c r="G24" i="7"/>
  <c r="F24" i="7"/>
  <c r="E24" i="7"/>
  <c r="D24" i="7"/>
  <c r="C24" i="7"/>
  <c r="J23" i="7"/>
  <c r="I23" i="7"/>
  <c r="H23" i="7"/>
  <c r="G23" i="7"/>
  <c r="F23" i="7"/>
  <c r="E23" i="7"/>
  <c r="D23" i="7"/>
  <c r="C23" i="7"/>
  <c r="J22" i="7"/>
  <c r="I22" i="7"/>
  <c r="H22" i="7"/>
  <c r="G22" i="7"/>
  <c r="F22" i="7"/>
  <c r="E22" i="7"/>
  <c r="D22" i="7"/>
  <c r="C22" i="7"/>
  <c r="J21" i="7"/>
  <c r="I21" i="7"/>
  <c r="H21" i="7"/>
  <c r="G21" i="7"/>
  <c r="F21" i="7"/>
  <c r="E21" i="7"/>
  <c r="D21" i="7"/>
  <c r="C21" i="7"/>
  <c r="J20" i="7"/>
  <c r="I20" i="7"/>
  <c r="H20" i="7"/>
  <c r="G20" i="7"/>
  <c r="F20" i="7"/>
  <c r="E20" i="7"/>
  <c r="D20" i="7"/>
  <c r="C20" i="7"/>
  <c r="J19" i="7"/>
  <c r="I19" i="7"/>
  <c r="H19" i="7"/>
  <c r="G19" i="7"/>
  <c r="F19" i="7"/>
  <c r="E19" i="7"/>
  <c r="D19" i="7"/>
  <c r="C19" i="7"/>
  <c r="J17" i="7"/>
  <c r="I17" i="7"/>
  <c r="H17" i="7"/>
  <c r="G17" i="7"/>
  <c r="E648" i="5" s="1"/>
  <c r="C648" i="5" s="1"/>
  <c r="F17" i="7"/>
  <c r="E17" i="7"/>
  <c r="D17" i="7"/>
  <c r="C17" i="7"/>
  <c r="J18" i="7"/>
  <c r="I18" i="7"/>
  <c r="H18" i="7"/>
  <c r="G18" i="7"/>
  <c r="F18" i="7"/>
  <c r="E18" i="7"/>
  <c r="D18" i="7"/>
  <c r="C18" i="7"/>
  <c r="J16" i="7"/>
  <c r="I16" i="7"/>
  <c r="E644" i="5"/>
  <c r="C644" i="5" s="1"/>
  <c r="F16" i="7"/>
  <c r="E16" i="7"/>
  <c r="D16" i="7"/>
  <c r="C16" i="7"/>
  <c r="J15" i="7"/>
  <c r="I15" i="7"/>
  <c r="H15" i="7"/>
  <c r="G15" i="7"/>
  <c r="F15" i="7"/>
  <c r="E15" i="7"/>
  <c r="D15" i="7"/>
  <c r="C15" i="7"/>
  <c r="J14" i="7"/>
  <c r="I14" i="7"/>
  <c r="H14" i="7"/>
  <c r="G14" i="7"/>
  <c r="F14" i="7"/>
  <c r="E14" i="7"/>
  <c r="D14" i="7"/>
  <c r="C14" i="7"/>
  <c r="J13" i="7"/>
  <c r="I13" i="7"/>
  <c r="H13" i="7"/>
  <c r="G13" i="7"/>
  <c r="F13" i="7"/>
  <c r="E13" i="7"/>
  <c r="D13" i="7"/>
  <c r="C13" i="7"/>
  <c r="J12" i="7"/>
  <c r="I12" i="7"/>
  <c r="H12" i="7"/>
  <c r="G12" i="7"/>
  <c r="F12" i="7"/>
  <c r="E12" i="7"/>
  <c r="D12" i="7"/>
  <c r="C12" i="7"/>
  <c r="J11" i="7"/>
  <c r="I11" i="7"/>
  <c r="H11" i="7"/>
  <c r="G11" i="7"/>
  <c r="F11" i="7"/>
  <c r="E11" i="7"/>
  <c r="D11" i="7"/>
  <c r="C11" i="7"/>
  <c r="J10" i="7"/>
  <c r="I10" i="7"/>
  <c r="H10" i="7"/>
  <c r="G10" i="7"/>
  <c r="F10" i="7"/>
  <c r="E10" i="7"/>
  <c r="D10" i="7"/>
  <c r="C10" i="7"/>
  <c r="J9" i="7"/>
  <c r="I9" i="7"/>
  <c r="H9" i="7"/>
  <c r="G9" i="7"/>
  <c r="F9" i="7"/>
  <c r="E9" i="7"/>
  <c r="D9" i="7"/>
  <c r="C9" i="7"/>
  <c r="J7" i="7"/>
  <c r="I7" i="7"/>
  <c r="H7" i="7"/>
  <c r="G7" i="7"/>
  <c r="F7" i="7"/>
  <c r="E7" i="7"/>
  <c r="D7" i="7"/>
  <c r="C7" i="7"/>
  <c r="J6" i="7"/>
  <c r="H6" i="7"/>
  <c r="G6" i="7"/>
  <c r="E6" i="7"/>
  <c r="D6" i="7"/>
  <c r="C6" i="7"/>
  <c r="J5" i="7"/>
  <c r="E562" i="5" s="1"/>
  <c r="C562" i="5" s="1"/>
  <c r="I5" i="7"/>
  <c r="E561" i="5" s="1"/>
  <c r="C561" i="5" s="1"/>
  <c r="H5" i="7"/>
  <c r="E560" i="5" s="1"/>
  <c r="C560" i="5" s="1"/>
  <c r="G5" i="7"/>
  <c r="E559" i="5" s="1"/>
  <c r="C559" i="5" s="1"/>
  <c r="E5" i="7"/>
  <c r="E557" i="5" s="1"/>
  <c r="C557" i="5" s="1"/>
  <c r="D5" i="7"/>
  <c r="E556" i="5" s="1"/>
  <c r="C556" i="5" s="1"/>
  <c r="C5" i="7"/>
  <c r="E555" i="5" s="1"/>
  <c r="C555" i="5" s="1"/>
  <c r="J4" i="7"/>
  <c r="I4" i="7"/>
  <c r="H4" i="7"/>
  <c r="G4" i="7"/>
  <c r="F4" i="7"/>
  <c r="E4" i="7"/>
  <c r="D4" i="7"/>
  <c r="J3" i="7"/>
  <c r="I3" i="7"/>
  <c r="H3" i="7"/>
  <c r="G3" i="7"/>
  <c r="C320" i="3"/>
  <c r="B320" i="3" s="1"/>
  <c r="C118" i="25"/>
  <c r="E729" i="5" a="1"/>
  <c r="Q735" i="5" a="1"/>
  <c r="P737" i="5" a="1"/>
  <c r="P735" i="5" a="1"/>
  <c r="M728" i="5" a="1"/>
  <c r="N733" i="5" a="1"/>
  <c r="R734" i="5" a="1"/>
  <c r="Q736" i="5" a="1"/>
  <c r="P731" i="5" a="1"/>
  <c r="Q737" i="5" a="1"/>
  <c r="P728" i="5" a="1"/>
  <c r="R730" i="5" a="1"/>
  <c r="M732" i="5" a="1"/>
  <c r="R735" i="5" a="1"/>
  <c r="Q730" i="5" a="1"/>
  <c r="N732" i="5" a="1"/>
  <c r="O734" i="5" a="1"/>
  <c r="R732" i="5" a="1"/>
  <c r="M727" i="5" a="1"/>
  <c r="M733" i="5" a="1"/>
  <c r="O728" i="5" a="1"/>
  <c r="R733" i="5" a="1"/>
  <c r="O737" i="5" a="1"/>
  <c r="P732" i="5" a="1"/>
  <c r="O742" i="5" a="1"/>
  <c r="N739" i="5" a="1"/>
  <c r="M739" i="5" a="1"/>
  <c r="O727" i="5" a="1"/>
  <c r="R736" i="5" a="1"/>
  <c r="Q732" i="5" a="1"/>
  <c r="R727" i="5" a="1"/>
  <c r="P730" i="5" a="1"/>
  <c r="O730" i="5" a="1"/>
  <c r="Q728" i="5" a="1"/>
  <c r="M736" i="5" a="1"/>
  <c r="R731" i="5" a="1"/>
  <c r="R728" i="5" a="1"/>
  <c r="Q742" i="5" a="1"/>
  <c r="N734" i="5" a="1"/>
  <c r="N728" i="5" a="1"/>
  <c r="R742" i="5" a="1"/>
  <c r="P736" i="5" a="1"/>
  <c r="M735" i="5" a="1"/>
  <c r="O733" i="5" a="1"/>
  <c r="N727" i="5" a="1"/>
  <c r="N736" i="5" a="1"/>
  <c r="L742" i="5" a="1"/>
  <c r="M737" i="5" a="1"/>
  <c r="O739" i="5" a="1"/>
  <c r="P739" i="5" a="1"/>
  <c r="R737" i="5" a="1"/>
  <c r="M730" i="5" a="1"/>
  <c r="P734" i="5" a="1"/>
  <c r="Q734" i="5" a="1"/>
  <c r="N731" i="5" a="1"/>
  <c r="N742" i="5" a="1"/>
  <c r="M731" i="5" a="1"/>
  <c r="N735" i="5" a="1"/>
  <c r="N737" i="5" a="1"/>
  <c r="O731" i="5" a="1"/>
  <c r="Q731" i="5" a="1"/>
  <c r="Q739" i="5" a="1"/>
  <c r="P742" i="5" a="1"/>
  <c r="Q733" i="5" a="1"/>
  <c r="O735" i="5" a="1"/>
  <c r="M734" i="5" a="1"/>
  <c r="P733" i="5" a="1"/>
  <c r="O736" i="5" a="1"/>
  <c r="M742" i="5" a="1"/>
  <c r="N730" i="5" a="1"/>
  <c r="O732" i="5" a="1"/>
  <c r="C650" i="5" l="1"/>
  <c r="E650" i="5"/>
  <c r="E625" i="5"/>
  <c r="C625" i="5"/>
  <c r="E571" i="5"/>
  <c r="C571" i="5" s="1"/>
  <c r="E570" i="5"/>
  <c r="C570" i="5"/>
  <c r="C573" i="5"/>
  <c r="E575" i="5"/>
  <c r="C575" i="5" s="1"/>
  <c r="E573" i="5"/>
  <c r="E646" i="5"/>
  <c r="C646" i="5"/>
  <c r="E645" i="5"/>
  <c r="C645" i="5"/>
  <c r="C540" i="5"/>
  <c r="J47" i="25"/>
  <c r="E626" i="5"/>
  <c r="C626" i="5" s="1"/>
  <c r="E624" i="5"/>
  <c r="C624" i="5" s="1"/>
  <c r="E623" i="5"/>
  <c r="C623" i="5" s="1"/>
  <c r="E574" i="5"/>
  <c r="C574" i="5" s="1"/>
  <c r="E567" i="5"/>
  <c r="C567" i="5" s="1"/>
  <c r="E566" i="5"/>
  <c r="C566" i="5" s="1"/>
  <c r="E569" i="5"/>
  <c r="C569" i="5" s="1"/>
  <c r="E568" i="5"/>
  <c r="C568" i="5"/>
  <c r="E651" i="5"/>
  <c r="C651" i="5" s="1"/>
  <c r="E649" i="5"/>
  <c r="C649" i="5"/>
  <c r="E586" i="5"/>
  <c r="C586" i="5" s="1"/>
  <c r="E643" i="5"/>
  <c r="C643" i="5" s="1"/>
  <c r="Q739" i="5"/>
  <c r="H739" i="5" s="1" a="1"/>
  <c r="E686" i="5"/>
  <c r="P739" i="5"/>
  <c r="G739" i="5" s="1" a="1"/>
  <c r="O739" i="5"/>
  <c r="F739" i="5" s="1" a="1"/>
  <c r="N739" i="5"/>
  <c r="E739" i="5" s="1" a="1"/>
  <c r="M739" i="5"/>
  <c r="D739" i="5" s="1" a="1"/>
  <c r="R737" i="5"/>
  <c r="I737" i="5" s="1"/>
  <c r="Q737" i="5"/>
  <c r="H737" i="5" s="1" a="1"/>
  <c r="P737" i="5"/>
  <c r="G737" i="5" s="1" a="1"/>
  <c r="O737" i="5"/>
  <c r="F737" i="5" s="1" a="1"/>
  <c r="N737" i="5"/>
  <c r="E737" i="5" s="1" a="1"/>
  <c r="M737" i="5"/>
  <c r="D737" i="5" s="1" a="1"/>
  <c r="R736" i="5"/>
  <c r="I736" i="5" s="1"/>
  <c r="Q736" i="5"/>
  <c r="H736" i="5" s="1" a="1"/>
  <c r="P736" i="5"/>
  <c r="G736" i="5" s="1" a="1"/>
  <c r="O736" i="5"/>
  <c r="F736" i="5" s="1" a="1"/>
  <c r="N736" i="5"/>
  <c r="E736" i="5" s="1" a="1"/>
  <c r="M736" i="5"/>
  <c r="D736" i="5" s="1" a="1"/>
  <c r="R735" i="5"/>
  <c r="I735" i="5" s="1"/>
  <c r="Q735" i="5"/>
  <c r="H735" i="5" s="1" a="1"/>
  <c r="P735" i="5"/>
  <c r="G735" i="5" s="1" a="1"/>
  <c r="O735" i="5"/>
  <c r="F735" i="5" s="1" a="1"/>
  <c r="N735" i="5"/>
  <c r="E735" i="5" s="1" a="1"/>
  <c r="M735" i="5"/>
  <c r="D735" i="5" s="1" a="1"/>
  <c r="R734" i="5"/>
  <c r="I734" i="5" s="1"/>
  <c r="Q734" i="5"/>
  <c r="H734" i="5" s="1" a="1"/>
  <c r="P734" i="5"/>
  <c r="G734" i="5" s="1" a="1"/>
  <c r="O734" i="5"/>
  <c r="F734" i="5" s="1" a="1"/>
  <c r="N734" i="5"/>
  <c r="E734" i="5" s="1" a="1"/>
  <c r="M734" i="5"/>
  <c r="D734" i="5" s="1" a="1"/>
  <c r="R733" i="5"/>
  <c r="I733" i="5" s="1"/>
  <c r="Q733" i="5"/>
  <c r="H733" i="5" s="1" a="1"/>
  <c r="P733" i="5"/>
  <c r="G733" i="5" s="1" a="1"/>
  <c r="O733" i="5"/>
  <c r="F733" i="5" s="1" a="1"/>
  <c r="N733" i="5"/>
  <c r="E733" i="5" s="1" a="1"/>
  <c r="M733" i="5"/>
  <c r="D733" i="5" s="1" a="1"/>
  <c r="R732" i="5"/>
  <c r="I732" i="5" s="1"/>
  <c r="Q732" i="5"/>
  <c r="H732" i="5" s="1" a="1"/>
  <c r="P732" i="5"/>
  <c r="G732" i="5" s="1" a="1"/>
  <c r="O732" i="5"/>
  <c r="F732" i="5" s="1" a="1"/>
  <c r="N732" i="5"/>
  <c r="E732" i="5" s="1" a="1"/>
  <c r="M732" i="5"/>
  <c r="D732" i="5" s="1" a="1"/>
  <c r="R731" i="5"/>
  <c r="I731" i="5" s="1"/>
  <c r="Q731" i="5"/>
  <c r="H731" i="5" s="1" a="1"/>
  <c r="P731" i="5"/>
  <c r="G731" i="5" s="1" a="1"/>
  <c r="O731" i="5"/>
  <c r="F731" i="5" s="1" a="1"/>
  <c r="N731" i="5"/>
  <c r="E731" i="5" s="1" a="1"/>
  <c r="M731" i="5"/>
  <c r="D731" i="5" s="1" a="1"/>
  <c r="R730" i="5"/>
  <c r="I730" i="5" s="1"/>
  <c r="Q730" i="5"/>
  <c r="H730" i="5" s="1" a="1"/>
  <c r="P730" i="5"/>
  <c r="G730" i="5" s="1" a="1"/>
  <c r="O730" i="5"/>
  <c r="F730" i="5" s="1" a="1"/>
  <c r="N730" i="5"/>
  <c r="E730" i="5" s="1" a="1"/>
  <c r="M730" i="5"/>
  <c r="D730" i="5" s="1" a="1"/>
  <c r="H729" i="5"/>
  <c r="G729" i="5"/>
  <c r="F729" i="5"/>
  <c r="E729" i="5"/>
  <c r="D729" i="5"/>
  <c r="R728" i="5"/>
  <c r="I728" i="5" s="1"/>
  <c r="Q728" i="5"/>
  <c r="H728" i="5" s="1" a="1"/>
  <c r="P728" i="5"/>
  <c r="G728" i="5" s="1" a="1"/>
  <c r="O728" i="5"/>
  <c r="F728" i="5" s="1" a="1"/>
  <c r="N728" i="5"/>
  <c r="E728" i="5" s="1" a="1"/>
  <c r="M728" i="5"/>
  <c r="D728" i="5" s="1" a="1"/>
  <c r="R727" i="5"/>
  <c r="I727" i="5" s="1"/>
  <c r="O727" i="5"/>
  <c r="F727" i="5" s="1" a="1"/>
  <c r="N727" i="5"/>
  <c r="E727" i="5" s="1" a="1"/>
  <c r="M727" i="5"/>
  <c r="D727" i="5" s="1" a="1"/>
  <c r="R742" i="5"/>
  <c r="I742" i="5" s="1"/>
  <c r="Q742" i="5"/>
  <c r="H742" i="5" s="1" a="1"/>
  <c r="O742" i="5"/>
  <c r="F742" i="5" s="1" a="1"/>
  <c r="N742" i="5"/>
  <c r="E742" i="5" s="1" a="1"/>
  <c r="M742" i="5"/>
  <c r="D742" i="5" s="1" a="1"/>
  <c r="C741" i="5"/>
  <c r="A741" i="5" s="1"/>
  <c r="C740" i="5"/>
  <c r="C739" i="5"/>
  <c r="C738" i="5"/>
  <c r="C737" i="5"/>
  <c r="C736" i="5"/>
  <c r="C735" i="5"/>
  <c r="C734" i="5"/>
  <c r="C733" i="5"/>
  <c r="C732" i="5"/>
  <c r="C731" i="5"/>
  <c r="C730" i="5"/>
  <c r="C729" i="5"/>
  <c r="C728" i="5"/>
  <c r="G727" i="5"/>
  <c r="H727" i="5"/>
  <c r="C727" i="5"/>
  <c r="P742" i="5"/>
  <c r="G742" i="5" s="1" a="1"/>
  <c r="L742" i="5"/>
  <c r="C742" i="5" s="1" a="1"/>
  <c r="G527" i="3"/>
  <c r="G530" i="3"/>
  <c r="B12" i="3"/>
  <c r="B608" i="3"/>
  <c r="C15" i="19"/>
  <c r="B15" i="19" s="1"/>
  <c r="C14" i="19"/>
  <c r="B14" i="19" s="1"/>
  <c r="H99" i="25" l="1"/>
  <c r="C36" i="51"/>
  <c r="J36" i="51"/>
  <c r="J32" i="49"/>
  <c r="H739" i="5"/>
  <c r="G739" i="5"/>
  <c r="F739" i="5"/>
  <c r="E739" i="5"/>
  <c r="D739" i="5"/>
  <c r="H737" i="5"/>
  <c r="G737" i="5"/>
  <c r="F737" i="5"/>
  <c r="E737" i="5"/>
  <c r="D737" i="5"/>
  <c r="H736" i="5"/>
  <c r="G736" i="5"/>
  <c r="F736" i="5"/>
  <c r="E736" i="5"/>
  <c r="D736" i="5"/>
  <c r="H735" i="5"/>
  <c r="G735" i="5"/>
  <c r="F735" i="5"/>
  <c r="E735" i="5"/>
  <c r="D735" i="5"/>
  <c r="H734" i="5"/>
  <c r="G734" i="5"/>
  <c r="F734" i="5"/>
  <c r="E734" i="5"/>
  <c r="D734" i="5"/>
  <c r="H733" i="5"/>
  <c r="G733" i="5"/>
  <c r="F733" i="5"/>
  <c r="E733" i="5"/>
  <c r="D733" i="5"/>
  <c r="H732" i="5"/>
  <c r="G732" i="5"/>
  <c r="F732" i="5"/>
  <c r="E732" i="5"/>
  <c r="D732" i="5"/>
  <c r="H731" i="5"/>
  <c r="G731" i="5"/>
  <c r="F731" i="5"/>
  <c r="E731" i="5"/>
  <c r="D731" i="5"/>
  <c r="H730" i="5"/>
  <c r="G730" i="5"/>
  <c r="F730" i="5"/>
  <c r="E730" i="5"/>
  <c r="D730" i="5"/>
  <c r="H728" i="5"/>
  <c r="G728" i="5"/>
  <c r="F728" i="5"/>
  <c r="E728" i="5"/>
  <c r="D728" i="5"/>
  <c r="F727" i="5"/>
  <c r="E727" i="5"/>
  <c r="D727" i="5"/>
  <c r="H742" i="5"/>
  <c r="F742" i="5"/>
  <c r="E742" i="5"/>
  <c r="D742" i="5"/>
  <c r="G742" i="5"/>
  <c r="C742" i="5"/>
  <c r="H69" i="25"/>
  <c r="H70" i="25"/>
  <c r="H72" i="25"/>
  <c r="H82" i="25"/>
  <c r="H81" i="25"/>
  <c r="H518" i="3"/>
  <c r="B565" i="3"/>
  <c r="H94" i="25" s="1"/>
  <c r="H62" i="25"/>
  <c r="H64" i="25"/>
  <c r="H96" i="25"/>
  <c r="H61" i="25"/>
  <c r="H65" i="25"/>
  <c r="H97" i="25"/>
  <c r="H67" i="25"/>
  <c r="H98" i="25"/>
  <c r="H68" i="25"/>
  <c r="C776" i="5"/>
  <c r="H93" i="25" l="1"/>
  <c r="B37" i="25"/>
  <c r="B864" i="3"/>
  <c r="D120" i="25" s="1"/>
  <c r="C774" i="5"/>
  <c r="C312" i="3"/>
  <c r="B312" i="3" s="1"/>
  <c r="C532" i="5" s="1"/>
  <c r="B336" i="3"/>
  <c r="C319" i="3"/>
  <c r="B319" i="3" s="1"/>
  <c r="J46" i="25" s="1"/>
  <c r="H20" i="44"/>
  <c r="B20" i="44"/>
  <c r="D20" i="44" s="1"/>
  <c r="D14" i="44"/>
  <c r="C629" i="3"/>
  <c r="B584" i="3"/>
  <c r="D605" i="3"/>
  <c r="B590" i="3"/>
  <c r="H522" i="3"/>
  <c r="C227" i="3"/>
  <c r="D227" i="3"/>
  <c r="E227" i="3"/>
  <c r="D226" i="3"/>
  <c r="E226" i="3"/>
  <c r="B227" i="3"/>
  <c r="C14" i="44"/>
  <c r="E20" i="44"/>
  <c r="E14" i="44"/>
  <c r="E69" i="24" l="1"/>
  <c r="F59" i="32"/>
  <c r="C539" i="5"/>
  <c r="J37" i="25"/>
  <c r="D928" i="5"/>
  <c r="G52" i="24"/>
  <c r="G77" i="32"/>
  <c r="G54" i="24"/>
  <c r="G79" i="32"/>
  <c r="F14" i="44"/>
  <c r="A14" i="44" s="1"/>
  <c r="H520" i="3"/>
  <c r="F227" i="3"/>
  <c r="D500" i="3"/>
  <c r="D501" i="3"/>
  <c r="D11" i="3"/>
  <c r="F11" i="3" s="1"/>
  <c r="D14" i="3"/>
  <c r="G518" i="3"/>
  <c r="C287" i="5"/>
  <c r="C1455" i="5"/>
  <c r="C1454" i="5"/>
  <c r="C312" i="5"/>
  <c r="C311" i="5"/>
  <c r="D110" i="44"/>
  <c r="D109" i="44"/>
  <c r="C390" i="5"/>
  <c r="E110" i="44"/>
  <c r="C20" i="44"/>
  <c r="C110" i="44"/>
  <c r="E109" i="44"/>
  <c r="C109" i="44"/>
  <c r="F20" i="44" l="1"/>
  <c r="A20" i="44" s="1"/>
  <c r="G522" i="3"/>
  <c r="D502" i="3"/>
  <c r="I94" i="25" s="1"/>
  <c r="E11" i="3"/>
  <c r="B11" i="3" s="1"/>
  <c r="B11" i="2" s="1"/>
  <c r="G520" i="3"/>
  <c r="G521" i="3" s="1"/>
  <c r="F109" i="44"/>
  <c r="F110" i="44"/>
  <c r="B952" i="5"/>
  <c r="C772" i="5" l="1"/>
  <c r="D1430" i="5"/>
  <c r="D1448" i="5"/>
  <c r="F120" i="32"/>
  <c r="F148" i="24"/>
  <c r="C273" i="5"/>
  <c r="C271" i="5"/>
  <c r="C288" i="5"/>
  <c r="C289" i="5"/>
  <c r="B1446" i="5"/>
  <c r="B1421" i="5"/>
  <c r="B1419" i="5"/>
  <c r="B1404" i="5"/>
  <c r="A288" i="5"/>
  <c r="A272" i="5"/>
  <c r="F235" i="44"/>
  <c r="B87" i="44"/>
  <c r="B88" i="44"/>
  <c r="B89" i="44"/>
  <c r="A273" i="5"/>
  <c r="A271" i="5"/>
  <c r="C272" i="5"/>
  <c r="A270" i="5"/>
  <c r="C286" i="5"/>
  <c r="A289" i="5"/>
  <c r="A287" i="5"/>
  <c r="A286" i="5"/>
  <c r="D1445" i="5"/>
  <c r="C1445" i="5"/>
  <c r="B1445" i="5"/>
  <c r="C89" i="44"/>
  <c r="C88" i="44"/>
  <c r="C87" i="44"/>
  <c r="C779" i="5" l="1"/>
  <c r="D89" i="44"/>
  <c r="D87" i="44"/>
  <c r="F87" i="44" s="1"/>
  <c r="D88" i="44"/>
  <c r="E88" i="44"/>
  <c r="E87" i="44"/>
  <c r="E89" i="44"/>
  <c r="A87" i="44" l="1"/>
  <c r="A89" i="44"/>
  <c r="F88" i="44"/>
  <c r="A88" i="44" s="1"/>
  <c r="F89" i="44"/>
  <c r="F3" i="3" l="1"/>
  <c r="H3" i="3" s="1"/>
  <c r="C1446" i="5"/>
  <c r="D1446" i="5" s="1"/>
  <c r="D1447" i="5"/>
  <c r="C1447" i="5"/>
  <c r="C1448" i="5"/>
  <c r="B1448" i="5"/>
  <c r="B1447" i="5"/>
  <c r="C1417" i="5"/>
  <c r="D1417" i="5" s="1"/>
  <c r="C1418" i="5"/>
  <c r="D1418" i="5" s="1"/>
  <c r="C1419" i="5"/>
  <c r="D1419" i="5" s="1"/>
  <c r="C1420" i="5"/>
  <c r="D1420" i="5" s="1"/>
  <c r="C1421" i="5"/>
  <c r="D1421" i="5" s="1"/>
  <c r="B1420" i="5"/>
  <c r="B1418" i="5"/>
  <c r="B1417" i="5"/>
  <c r="C1405" i="5"/>
  <c r="D1405" i="5" s="1"/>
  <c r="B1405" i="5"/>
  <c r="C1404" i="5"/>
  <c r="D1404" i="5" s="1"/>
  <c r="C1403" i="5"/>
  <c r="D1403" i="5" s="1"/>
  <c r="B1403" i="5"/>
  <c r="B1474" i="5"/>
  <c r="C1474" i="5"/>
  <c r="D1474" i="5" s="1"/>
  <c r="C1466" i="5"/>
  <c r="D1466" i="5" s="1"/>
  <c r="B1466" i="5"/>
  <c r="M45" i="3"/>
  <c r="B86" i="44"/>
  <c r="C270" i="5"/>
  <c r="C86" i="44"/>
  <c r="D86" i="44" l="1"/>
  <c r="E86" i="44"/>
  <c r="F86" i="44" l="1"/>
  <c r="A86" i="44" s="1"/>
  <c r="C298" i="5" l="1"/>
  <c r="C258" i="5"/>
  <c r="M43" i="3"/>
  <c r="F236" i="44"/>
  <c r="C780" i="5" l="1"/>
  <c r="C769" i="5"/>
  <c r="G1098" i="44"/>
  <c r="C610" i="5" l="1"/>
  <c r="C611" i="5"/>
  <c r="C609" i="5"/>
  <c r="C602" i="5"/>
  <c r="C603" i="5"/>
  <c r="C601" i="5"/>
  <c r="C634" i="5"/>
  <c r="C633" i="5"/>
  <c r="C632" i="5"/>
  <c r="C339" i="5" l="1"/>
  <c r="C340" i="5"/>
  <c r="C341" i="5"/>
  <c r="C342" i="5"/>
  <c r="C338" i="5"/>
  <c r="C335" i="5"/>
  <c r="C336" i="5"/>
  <c r="C337" i="5"/>
  <c r="C334" i="5"/>
  <c r="C333" i="5"/>
  <c r="C330" i="5"/>
  <c r="C331" i="5"/>
  <c r="C332" i="5"/>
  <c r="C326" i="5"/>
  <c r="C327" i="5"/>
  <c r="C328" i="5"/>
  <c r="C329" i="5"/>
  <c r="C325" i="5"/>
  <c r="D1464" i="44" l="1"/>
  <c r="I236" i="44"/>
  <c r="C837" i="5" l="1"/>
  <c r="C572" i="5" l="1"/>
  <c r="C264" i="5"/>
  <c r="C263" i="5"/>
  <c r="C260" i="5"/>
  <c r="C259" i="5"/>
  <c r="C257" i="5"/>
  <c r="C256" i="5"/>
  <c r="C255" i="5"/>
  <c r="C254" i="5"/>
  <c r="B1400" i="44" l="1"/>
  <c r="B1391" i="44"/>
  <c r="J1400" i="44"/>
  <c r="B1095" i="44" l="1"/>
  <c r="D1095" i="44" s="1"/>
  <c r="C1095" i="44"/>
  <c r="E1095" i="44"/>
  <c r="A1095" i="44" l="1"/>
  <c r="F1095" i="44"/>
  <c r="C836" i="5" l="1"/>
  <c r="C835" i="5"/>
  <c r="C834" i="5"/>
  <c r="C833" i="5"/>
  <c r="C832" i="5"/>
  <c r="C831" i="5"/>
  <c r="C830" i="5"/>
  <c r="C829" i="5"/>
  <c r="C828" i="5"/>
  <c r="C827" i="5"/>
  <c r="C824" i="5" l="1"/>
  <c r="C825" i="5"/>
  <c r="C826" i="5"/>
  <c r="C823" i="5"/>
  <c r="C393" i="3" l="1"/>
  <c r="D393" i="3"/>
  <c r="E393" i="3"/>
  <c r="F393" i="3"/>
  <c r="G393" i="3"/>
  <c r="H393" i="3"/>
  <c r="I393" i="3"/>
  <c r="J393" i="3"/>
  <c r="K393" i="3"/>
  <c r="L393" i="3"/>
  <c r="M393" i="3"/>
  <c r="N393" i="3"/>
  <c r="O393" i="3"/>
  <c r="P393" i="3"/>
  <c r="B393" i="3"/>
  <c r="A7" i="12"/>
  <c r="B953" i="44"/>
  <c r="B954" i="44" s="1"/>
  <c r="B955" i="44" s="1"/>
  <c r="B956" i="44" s="1"/>
  <c r="G953" i="44"/>
  <c r="H953" i="44"/>
  <c r="G954" i="44"/>
  <c r="G955" i="44"/>
  <c r="G956" i="44"/>
  <c r="G957" i="44"/>
  <c r="G958" i="44"/>
  <c r="G959" i="44"/>
  <c r="G960" i="44"/>
  <c r="G961" i="44"/>
  <c r="G962" i="44"/>
  <c r="G963" i="44"/>
  <c r="G964" i="44"/>
  <c r="G965" i="44"/>
  <c r="G966" i="44"/>
  <c r="G967" i="44"/>
  <c r="G938" i="44"/>
  <c r="H938" i="44"/>
  <c r="H939" i="44" s="1"/>
  <c r="H940" i="44" s="1"/>
  <c r="H941" i="44" s="1"/>
  <c r="H942" i="44" s="1"/>
  <c r="H943" i="44" s="1"/>
  <c r="H944" i="44" s="1"/>
  <c r="H945" i="44" s="1"/>
  <c r="H946" i="44" s="1"/>
  <c r="H947" i="44" s="1"/>
  <c r="H948" i="44" s="1"/>
  <c r="H949" i="44" s="1"/>
  <c r="H950" i="44" s="1"/>
  <c r="H951" i="44" s="1"/>
  <c r="H952" i="44" s="1"/>
  <c r="G939" i="44"/>
  <c r="G940" i="44"/>
  <c r="G941" i="44"/>
  <c r="G942" i="44"/>
  <c r="G943" i="44"/>
  <c r="G944" i="44"/>
  <c r="G945" i="44"/>
  <c r="G946" i="44"/>
  <c r="G947" i="44"/>
  <c r="G948" i="44"/>
  <c r="G949" i="44"/>
  <c r="G950" i="44"/>
  <c r="G951" i="44"/>
  <c r="G952" i="44"/>
  <c r="C953" i="44"/>
  <c r="C954" i="44"/>
  <c r="B957" i="44" l="1"/>
  <c r="H954" i="44"/>
  <c r="C578" i="5"/>
  <c r="C577" i="5"/>
  <c r="C956" i="44"/>
  <c r="C955" i="44"/>
  <c r="B958" i="44" l="1"/>
  <c r="H955" i="44"/>
  <c r="E286" i="3"/>
  <c r="E287" i="3"/>
  <c r="E288" i="3"/>
  <c r="E289" i="3"/>
  <c r="E290" i="3"/>
  <c r="E277" i="3"/>
  <c r="E278" i="3"/>
  <c r="E279" i="3"/>
  <c r="E280" i="3"/>
  <c r="E281" i="3"/>
  <c r="E282" i="3"/>
  <c r="E269" i="3"/>
  <c r="E270" i="3"/>
  <c r="E271" i="3"/>
  <c r="E272" i="3"/>
  <c r="E273" i="3"/>
  <c r="E260" i="3"/>
  <c r="E261" i="3"/>
  <c r="E262" i="3"/>
  <c r="E263" i="3"/>
  <c r="E264" i="3"/>
  <c r="E265" i="3"/>
  <c r="E242" i="3"/>
  <c r="E243" i="3"/>
  <c r="E244" i="3"/>
  <c r="E245" i="3"/>
  <c r="E246" i="3"/>
  <c r="E225" i="3"/>
  <c r="E228" i="3"/>
  <c r="E229" i="3"/>
  <c r="E230" i="3"/>
  <c r="E206" i="3"/>
  <c r="E207" i="3"/>
  <c r="E208" i="3"/>
  <c r="E209" i="3"/>
  <c r="E210" i="3"/>
  <c r="E190" i="3"/>
  <c r="E191" i="3"/>
  <c r="E192" i="3"/>
  <c r="E193" i="3"/>
  <c r="E194" i="3"/>
  <c r="B1409" i="44"/>
  <c r="C1409" i="44"/>
  <c r="C957" i="44"/>
  <c r="C759" i="5" l="1"/>
  <c r="C758" i="5"/>
  <c r="C768" i="5"/>
  <c r="H956" i="44"/>
  <c r="B959" i="44"/>
  <c r="B56" i="44"/>
  <c r="B54" i="44"/>
  <c r="B45" i="44"/>
  <c r="D45" i="44" s="1"/>
  <c r="B46" i="44"/>
  <c r="B47" i="44"/>
  <c r="D47" i="44" s="1"/>
  <c r="B48" i="44"/>
  <c r="D48" i="44" s="1"/>
  <c r="B43" i="44"/>
  <c r="D43" i="44" s="1"/>
  <c r="E48" i="44"/>
  <c r="C46" i="44"/>
  <c r="C54" i="44"/>
  <c r="C958" i="44"/>
  <c r="E47" i="44"/>
  <c r="E43" i="44"/>
  <c r="E45" i="44"/>
  <c r="C56" i="44"/>
  <c r="B960" i="44" l="1"/>
  <c r="H957" i="44"/>
  <c r="D56" i="44"/>
  <c r="D54" i="44"/>
  <c r="F54" i="44" s="1"/>
  <c r="D46" i="44"/>
  <c r="C576" i="5"/>
  <c r="C703" i="5"/>
  <c r="C820" i="5"/>
  <c r="C821" i="5"/>
  <c r="C822" i="5"/>
  <c r="C110" i="5"/>
  <c r="C89" i="5"/>
  <c r="C293" i="5"/>
  <c r="I117" i="32"/>
  <c r="D391" i="3"/>
  <c r="E391" i="3"/>
  <c r="F98" i="32" s="1"/>
  <c r="F391" i="3"/>
  <c r="G98" i="32" s="1"/>
  <c r="G391" i="3"/>
  <c r="H391" i="3"/>
  <c r="I98" i="32" s="1"/>
  <c r="I391" i="3"/>
  <c r="J98" i="32" s="1"/>
  <c r="J391" i="3"/>
  <c r="K391" i="3"/>
  <c r="D115" i="32" s="1"/>
  <c r="L391" i="3"/>
  <c r="C79" i="5" s="1"/>
  <c r="M391" i="3"/>
  <c r="N391" i="3"/>
  <c r="O391" i="3"/>
  <c r="P391" i="3"/>
  <c r="B118" i="32"/>
  <c r="B101" i="32"/>
  <c r="E56" i="44"/>
  <c r="C45" i="44"/>
  <c r="C43" i="44"/>
  <c r="C47" i="44"/>
  <c r="C48" i="44"/>
  <c r="C959" i="44"/>
  <c r="E46" i="44"/>
  <c r="F45" i="44" l="1"/>
  <c r="A45" i="44" s="1"/>
  <c r="F47" i="44"/>
  <c r="A47" i="44" s="1"/>
  <c r="F48" i="44"/>
  <c r="A48" i="44" s="1"/>
  <c r="H958" i="44"/>
  <c r="B961" i="44"/>
  <c r="G115" i="32"/>
  <c r="H115" i="32"/>
  <c r="C93" i="5"/>
  <c r="F115" i="32"/>
  <c r="C86" i="5"/>
  <c r="E115" i="32"/>
  <c r="C23" i="5"/>
  <c r="C58" i="5"/>
  <c r="C107" i="5"/>
  <c r="C100" i="5"/>
  <c r="I115" i="32"/>
  <c r="C72" i="5"/>
  <c r="E98" i="32"/>
  <c r="C37" i="5"/>
  <c r="C65" i="5"/>
  <c r="C115" i="32"/>
  <c r="C30" i="5"/>
  <c r="C51" i="5"/>
  <c r="H98" i="32"/>
  <c r="C44" i="5"/>
  <c r="F56" i="44"/>
  <c r="A56" i="44" s="1"/>
  <c r="F46" i="44"/>
  <c r="A46" i="44" s="1"/>
  <c r="F43" i="44"/>
  <c r="A43" i="44" s="1"/>
  <c r="F117" i="32"/>
  <c r="C392" i="3"/>
  <c r="D392" i="3"/>
  <c r="E392" i="3"/>
  <c r="F392" i="3"/>
  <c r="G392" i="3"/>
  <c r="H392" i="3"/>
  <c r="I392" i="3"/>
  <c r="J392" i="3"/>
  <c r="K392" i="3"/>
  <c r="L392" i="3"/>
  <c r="M392" i="3"/>
  <c r="N392" i="3"/>
  <c r="O392" i="3"/>
  <c r="P392" i="3"/>
  <c r="C390" i="3"/>
  <c r="D390" i="3"/>
  <c r="E390" i="3"/>
  <c r="F390" i="3"/>
  <c r="G390" i="3"/>
  <c r="H390" i="3"/>
  <c r="I390" i="3"/>
  <c r="J390" i="3"/>
  <c r="K390" i="3"/>
  <c r="L390" i="3"/>
  <c r="M390" i="3"/>
  <c r="N390" i="3"/>
  <c r="O390" i="3"/>
  <c r="P390" i="3"/>
  <c r="C389" i="3"/>
  <c r="D389" i="3"/>
  <c r="E389" i="3"/>
  <c r="F389" i="3"/>
  <c r="G389" i="3"/>
  <c r="H389" i="3"/>
  <c r="I389" i="3"/>
  <c r="J389" i="3"/>
  <c r="K389" i="3"/>
  <c r="L389" i="3"/>
  <c r="M389" i="3"/>
  <c r="N389" i="3"/>
  <c r="O389" i="3"/>
  <c r="P389" i="3"/>
  <c r="C391" i="3"/>
  <c r="B392" i="3"/>
  <c r="B391" i="3"/>
  <c r="B390" i="3"/>
  <c r="B389" i="3"/>
  <c r="C96" i="32" s="1"/>
  <c r="E54" i="44"/>
  <c r="C960" i="44"/>
  <c r="A54" i="44" l="1"/>
  <c r="C91" i="5"/>
  <c r="G113" i="32"/>
  <c r="G96" i="32"/>
  <c r="C35" i="5"/>
  <c r="F113" i="32"/>
  <c r="C84" i="5"/>
  <c r="C28" i="5"/>
  <c r="F96" i="32"/>
  <c r="E113" i="32"/>
  <c r="C77" i="5"/>
  <c r="C113" i="32"/>
  <c r="C63" i="5"/>
  <c r="C21" i="5"/>
  <c r="E96" i="32"/>
  <c r="C14" i="5"/>
  <c r="D96" i="32"/>
  <c r="C105" i="5"/>
  <c r="I113" i="32"/>
  <c r="I96" i="32"/>
  <c r="C49" i="5"/>
  <c r="C70" i="5"/>
  <c r="D113" i="32"/>
  <c r="C56" i="5"/>
  <c r="J96" i="32"/>
  <c r="C98" i="5"/>
  <c r="H113" i="32"/>
  <c r="C42" i="5"/>
  <c r="H96" i="32"/>
  <c r="B962" i="44"/>
  <c r="H959" i="44"/>
  <c r="G97" i="32"/>
  <c r="C36" i="5"/>
  <c r="E141" i="24"/>
  <c r="C78" i="5"/>
  <c r="E114" i="32"/>
  <c r="E97" i="32"/>
  <c r="C22" i="5"/>
  <c r="C29" i="5"/>
  <c r="F97" i="32"/>
  <c r="D141" i="24"/>
  <c r="C71" i="5"/>
  <c r="D114" i="32"/>
  <c r="C15" i="5"/>
  <c r="D97" i="32"/>
  <c r="C57" i="5"/>
  <c r="J97" i="32"/>
  <c r="G141" i="24"/>
  <c r="C92" i="5"/>
  <c r="G114" i="32"/>
  <c r="F141" i="24"/>
  <c r="C85" i="5"/>
  <c r="F114" i="32"/>
  <c r="C8" i="5"/>
  <c r="C97" i="32"/>
  <c r="C141" i="24"/>
  <c r="C114" i="32"/>
  <c r="C64" i="5"/>
  <c r="I141" i="24"/>
  <c r="I114" i="32"/>
  <c r="C106" i="5"/>
  <c r="C50" i="5"/>
  <c r="I97" i="32"/>
  <c r="H141" i="24"/>
  <c r="H114" i="32"/>
  <c r="C99" i="5"/>
  <c r="C43" i="5"/>
  <c r="H97" i="32"/>
  <c r="C17" i="5"/>
  <c r="D99" i="32"/>
  <c r="C80" i="5"/>
  <c r="E116" i="32"/>
  <c r="C116" i="32"/>
  <c r="C66" i="5"/>
  <c r="I126" i="24"/>
  <c r="I100" i="32"/>
  <c r="C54" i="5"/>
  <c r="C117" i="32"/>
  <c r="C68" i="5"/>
  <c r="D116" i="32"/>
  <c r="C73" i="5"/>
  <c r="C99" i="32"/>
  <c r="C10" i="5"/>
  <c r="H117" i="32"/>
  <c r="C103" i="5"/>
  <c r="C108" i="5"/>
  <c r="I116" i="32"/>
  <c r="C52" i="5"/>
  <c r="I99" i="32"/>
  <c r="C96" i="5"/>
  <c r="G117" i="32"/>
  <c r="C40" i="5"/>
  <c r="G100" i="32"/>
  <c r="G126" i="24"/>
  <c r="C101" i="5"/>
  <c r="H116" i="32"/>
  <c r="C45" i="5"/>
  <c r="H99" i="32"/>
  <c r="F100" i="32"/>
  <c r="C33" i="5"/>
  <c r="F126" i="24"/>
  <c r="E99" i="32"/>
  <c r="C24" i="5"/>
  <c r="C61" i="5"/>
  <c r="J100" i="32"/>
  <c r="J126" i="24"/>
  <c r="C59" i="5"/>
  <c r="J99" i="32"/>
  <c r="H126" i="24"/>
  <c r="C47" i="5"/>
  <c r="H100" i="32"/>
  <c r="C94" i="5"/>
  <c r="G116" i="32"/>
  <c r="C38" i="5"/>
  <c r="G99" i="32"/>
  <c r="C82" i="5"/>
  <c r="E117" i="32"/>
  <c r="F116" i="32"/>
  <c r="C87" i="5"/>
  <c r="F99" i="32"/>
  <c r="C31" i="5"/>
  <c r="D117" i="32"/>
  <c r="C75" i="5"/>
  <c r="E100" i="32"/>
  <c r="E126" i="24"/>
  <c r="C26" i="5"/>
  <c r="C19" i="5"/>
  <c r="D100" i="32"/>
  <c r="D126" i="24"/>
  <c r="C16" i="5"/>
  <c r="D98" i="32"/>
  <c r="C9" i="5"/>
  <c r="C98" i="32"/>
  <c r="G123" i="24"/>
  <c r="C123" i="24"/>
  <c r="D124" i="24"/>
  <c r="E124" i="24"/>
  <c r="G124" i="24"/>
  <c r="H124" i="24"/>
  <c r="I124" i="24"/>
  <c r="C125" i="24"/>
  <c r="C705" i="5"/>
  <c r="C704" i="5"/>
  <c r="C553" i="5"/>
  <c r="C552" i="5"/>
  <c r="D125" i="24"/>
  <c r="E125" i="24"/>
  <c r="F125" i="24"/>
  <c r="G125" i="24"/>
  <c r="H125" i="24"/>
  <c r="I125" i="24"/>
  <c r="J125" i="24"/>
  <c r="F124" i="24"/>
  <c r="J124" i="24"/>
  <c r="D123" i="24"/>
  <c r="E123" i="24"/>
  <c r="F123" i="24"/>
  <c r="H123" i="24"/>
  <c r="I123" i="24"/>
  <c r="A390" i="3"/>
  <c r="A391" i="3"/>
  <c r="A392" i="3"/>
  <c r="A393" i="3"/>
  <c r="A389" i="3"/>
  <c r="C124" i="24"/>
  <c r="C961" i="44"/>
  <c r="B126" i="24" l="1"/>
  <c r="B117" i="32"/>
  <c r="B100" i="32"/>
  <c r="C25" i="5"/>
  <c r="C60" i="5"/>
  <c r="C53" i="5"/>
  <c r="C74" i="5"/>
  <c r="C18" i="5"/>
  <c r="C102" i="5"/>
  <c r="C95" i="5"/>
  <c r="C39" i="5"/>
  <c r="C32" i="5"/>
  <c r="C81" i="5"/>
  <c r="C67" i="5"/>
  <c r="C11" i="5"/>
  <c r="C109" i="5"/>
  <c r="C46" i="5"/>
  <c r="C88" i="5"/>
  <c r="B98" i="32"/>
  <c r="B115" i="32"/>
  <c r="H960" i="44"/>
  <c r="B963" i="44"/>
  <c r="B123" i="24"/>
  <c r="B141" i="24"/>
  <c r="B97" i="32"/>
  <c r="B114" i="32"/>
  <c r="C126" i="24"/>
  <c r="C100" i="32"/>
  <c r="C12" i="5"/>
  <c r="B116" i="32"/>
  <c r="B99" i="32"/>
  <c r="J123" i="24"/>
  <c r="B127" i="24"/>
  <c r="B124" i="24"/>
  <c r="B125" i="24"/>
  <c r="C962" i="44"/>
  <c r="B964" i="44" l="1"/>
  <c r="H961" i="44"/>
  <c r="C963" i="44"/>
  <c r="H962" i="44" l="1"/>
  <c r="B965" i="44"/>
  <c r="C748" i="5"/>
  <c r="C749" i="5"/>
  <c r="C750" i="5"/>
  <c r="C751" i="5"/>
  <c r="C282" i="5"/>
  <c r="A282" i="5"/>
  <c r="C964" i="44"/>
  <c r="C767" i="5" l="1"/>
  <c r="C766" i="5"/>
  <c r="B966" i="44"/>
  <c r="H963" i="44"/>
  <c r="A164" i="3"/>
  <c r="B164" i="3"/>
  <c r="B1568" i="44"/>
  <c r="C277" i="5"/>
  <c r="B29" i="3"/>
  <c r="A218" i="5"/>
  <c r="C218" i="5"/>
  <c r="I56" i="44" a="1"/>
  <c r="C965" i="44"/>
  <c r="H56" i="44" a="1"/>
  <c r="H964" i="44" l="1"/>
  <c r="B967" i="44"/>
  <c r="H56" i="44"/>
  <c r="I56" i="44"/>
  <c r="G5" i="30"/>
  <c r="C966" i="44"/>
  <c r="C967" i="44"/>
  <c r="H965" i="44" l="1"/>
  <c r="C513" i="5"/>
  <c r="C512" i="5"/>
  <c r="H966" i="44" l="1"/>
  <c r="L1479" i="44"/>
  <c r="L1478" i="44"/>
  <c r="L1477" i="44"/>
  <c r="L1476" i="44"/>
  <c r="F1479" i="44"/>
  <c r="D1479" i="44"/>
  <c r="F1477" i="44"/>
  <c r="D1477" i="44"/>
  <c r="F1476" i="44"/>
  <c r="D1476" i="44"/>
  <c r="F1475" i="44"/>
  <c r="F1474" i="44"/>
  <c r="F1473" i="44"/>
  <c r="F1471" i="44"/>
  <c r="F1470" i="44"/>
  <c r="F1469" i="44"/>
  <c r="F1468" i="44"/>
  <c r="L1474" i="44"/>
  <c r="L1473" i="44"/>
  <c r="L1475" i="44"/>
  <c r="H1471" i="44"/>
  <c r="H1470" i="44"/>
  <c r="H1469" i="44"/>
  <c r="H1468" i="44"/>
  <c r="K1478" i="44"/>
  <c r="K1476" i="44"/>
  <c r="K1479" i="44"/>
  <c r="K1477" i="44"/>
  <c r="H967" i="44" l="1"/>
  <c r="B76" i="44"/>
  <c r="B77" i="44"/>
  <c r="D77" i="44" s="1"/>
  <c r="E77" i="44"/>
  <c r="J1479" i="44"/>
  <c r="J1477" i="44"/>
  <c r="J1476" i="44"/>
  <c r="C76" i="44"/>
  <c r="E1479" i="44" l="1"/>
  <c r="A1479" i="44" s="1"/>
  <c r="E1477" i="44"/>
  <c r="A1477" i="44" s="1"/>
  <c r="E1476" i="44"/>
  <c r="A1476" i="44" s="1"/>
  <c r="A77" i="44"/>
  <c r="D76" i="44"/>
  <c r="F76" i="44" s="1"/>
  <c r="C77" i="44"/>
  <c r="F77" i="44" l="1"/>
  <c r="E76" i="44"/>
  <c r="A76" i="44" l="1"/>
  <c r="C278" i="5"/>
  <c r="D1444" i="5" l="1"/>
  <c r="C1443" i="5"/>
  <c r="D1443" i="5" s="1"/>
  <c r="C1444" i="5"/>
  <c r="H1363" i="44"/>
  <c r="B1454" i="44"/>
  <c r="B1445" i="44"/>
  <c r="B1436" i="44"/>
  <c r="B1427" i="44"/>
  <c r="B1418" i="44"/>
  <c r="B1382" i="44"/>
  <c r="B1373" i="44"/>
  <c r="B1364" i="44"/>
  <c r="B1354" i="44"/>
  <c r="B1345" i="44"/>
  <c r="B1336" i="44"/>
  <c r="B1327" i="44"/>
  <c r="B1318" i="44"/>
  <c r="B1309" i="44"/>
  <c r="B1300" i="44"/>
  <c r="B1291" i="44"/>
  <c r="B1282" i="44"/>
  <c r="B1273" i="44"/>
  <c r="B1264" i="44"/>
  <c r="B1255" i="44"/>
  <c r="B1246" i="44"/>
  <c r="B1237" i="44"/>
  <c r="B1228" i="44"/>
  <c r="B1219" i="44"/>
  <c r="B1210" i="44"/>
  <c r="B1201" i="44"/>
  <c r="B1190" i="44"/>
  <c r="B1179" i="44"/>
  <c r="B1170" i="44"/>
  <c r="B1161" i="44"/>
  <c r="B1137" i="44"/>
  <c r="B1136" i="44"/>
  <c r="B1135" i="44"/>
  <c r="B1134" i="44"/>
  <c r="B1133" i="44"/>
  <c r="B1132" i="44"/>
  <c r="B1131" i="44"/>
  <c r="B1130" i="44"/>
  <c r="B1129" i="44"/>
  <c r="B1128" i="44"/>
  <c r="B1127" i="44"/>
  <c r="B1126" i="44"/>
  <c r="B1125" i="44"/>
  <c r="B1124" i="44"/>
  <c r="B1123" i="44"/>
  <c r="B1122" i="44"/>
  <c r="B1121" i="44"/>
  <c r="B1120" i="44"/>
  <c r="B1119" i="44"/>
  <c r="B1118" i="44"/>
  <c r="B1117" i="44"/>
  <c r="B1116" i="44"/>
  <c r="B1115" i="44"/>
  <c r="B1114" i="44"/>
  <c r="B1113" i="44"/>
  <c r="B1112" i="44"/>
  <c r="B1111" i="44"/>
  <c r="B1110" i="44"/>
  <c r="B1109" i="44"/>
  <c r="B1108" i="44"/>
  <c r="B1107" i="44"/>
  <c r="B1106" i="44"/>
  <c r="B1105" i="44"/>
  <c r="B1152" i="44"/>
  <c r="B1143" i="44"/>
  <c r="B1138" i="44"/>
  <c r="B1104" i="44"/>
  <c r="B1103" i="44"/>
  <c r="C262" i="5" l="1"/>
  <c r="C276" i="5"/>
  <c r="C275" i="5"/>
  <c r="C313" i="5"/>
  <c r="B213" i="3" l="1"/>
  <c r="C579" i="5" l="1"/>
  <c r="H1236" i="44"/>
  <c r="H1235" i="44"/>
  <c r="H1234" i="44"/>
  <c r="H1233" i="44"/>
  <c r="H1232" i="44"/>
  <c r="H1231" i="44"/>
  <c r="H1230" i="44"/>
  <c r="H1229" i="44"/>
  <c r="H1228" i="44"/>
  <c r="H1227" i="44"/>
  <c r="H1226" i="44"/>
  <c r="H1225" i="44"/>
  <c r="H1224" i="44"/>
  <c r="H1223" i="44"/>
  <c r="H1222" i="44"/>
  <c r="H1221" i="44"/>
  <c r="H1220" i="44"/>
  <c r="H1219" i="44"/>
  <c r="H1218" i="44"/>
  <c r="H1217" i="44"/>
  <c r="H1216" i="44"/>
  <c r="H1215" i="44"/>
  <c r="H1214" i="44"/>
  <c r="H1213" i="44"/>
  <c r="H1212" i="44"/>
  <c r="H1211" i="44"/>
  <c r="H1210" i="44"/>
  <c r="H1254" i="44"/>
  <c r="H1253" i="44"/>
  <c r="H1252" i="44"/>
  <c r="H1251" i="44"/>
  <c r="H1250" i="44"/>
  <c r="H1249" i="44"/>
  <c r="H1248" i="44"/>
  <c r="H1247" i="44"/>
  <c r="H1246" i="44"/>
  <c r="H1326" i="44"/>
  <c r="H1325" i="44"/>
  <c r="H1324" i="44"/>
  <c r="H1323" i="44"/>
  <c r="H1322" i="44"/>
  <c r="H1321" i="44"/>
  <c r="H1320" i="44"/>
  <c r="H1319" i="44"/>
  <c r="H1318" i="44"/>
  <c r="H1317" i="44"/>
  <c r="H1316" i="44"/>
  <c r="H1315" i="44"/>
  <c r="H1314" i="44"/>
  <c r="H1313" i="44"/>
  <c r="H1312" i="44"/>
  <c r="H1311" i="44"/>
  <c r="H1310" i="44"/>
  <c r="H1309" i="44"/>
  <c r="H1308" i="44"/>
  <c r="H1307" i="44"/>
  <c r="H1306" i="44"/>
  <c r="H1305" i="44"/>
  <c r="H1304" i="44"/>
  <c r="H1303" i="44"/>
  <c r="H1302" i="44"/>
  <c r="H1301" i="44"/>
  <c r="H1300" i="44"/>
  <c r="H1299" i="44"/>
  <c r="H1298" i="44"/>
  <c r="H1297" i="44"/>
  <c r="H1296" i="44"/>
  <c r="H1295" i="44"/>
  <c r="H1294" i="44"/>
  <c r="H1293" i="44"/>
  <c r="H1292" i="44"/>
  <c r="H1291" i="44"/>
  <c r="H1290" i="44"/>
  <c r="H1289" i="44"/>
  <c r="H1288" i="44"/>
  <c r="H1287" i="44"/>
  <c r="H1286" i="44"/>
  <c r="H1285" i="44"/>
  <c r="H1284" i="44"/>
  <c r="H1283" i="44"/>
  <c r="H1282" i="44"/>
  <c r="H1281" i="44"/>
  <c r="H1280" i="44"/>
  <c r="H1279" i="44"/>
  <c r="H1278" i="44"/>
  <c r="H1277" i="44"/>
  <c r="H1276" i="44"/>
  <c r="H1275" i="44"/>
  <c r="H1274" i="44"/>
  <c r="H1273" i="44"/>
  <c r="H1372" i="44"/>
  <c r="H1371" i="44"/>
  <c r="H1370" i="44"/>
  <c r="H1369" i="44"/>
  <c r="H1368" i="44"/>
  <c r="H1367" i="44"/>
  <c r="H1366" i="44"/>
  <c r="H1365" i="44"/>
  <c r="H1364" i="44"/>
  <c r="H1362" i="44"/>
  <c r="H1361" i="44"/>
  <c r="H1360" i="44"/>
  <c r="H1359" i="44"/>
  <c r="H1358" i="44"/>
  <c r="H1357" i="44"/>
  <c r="H1356" i="44"/>
  <c r="H1355" i="44"/>
  <c r="H1354" i="44"/>
  <c r="H1426" i="44"/>
  <c r="H1425" i="44"/>
  <c r="H1424" i="44"/>
  <c r="H1423" i="44"/>
  <c r="H1422" i="44"/>
  <c r="H1421" i="44"/>
  <c r="H1420" i="44"/>
  <c r="H1419" i="44"/>
  <c r="H1418" i="44"/>
  <c r="H1200" i="44"/>
  <c r="H1199" i="44"/>
  <c r="H1198" i="44"/>
  <c r="H1197" i="44"/>
  <c r="H1196" i="44"/>
  <c r="H1195" i="44"/>
  <c r="H1194" i="44"/>
  <c r="H1193" i="44"/>
  <c r="H1192" i="44"/>
  <c r="H1191" i="44"/>
  <c r="H1190" i="44"/>
  <c r="H1189" i="44"/>
  <c r="H1188" i="44"/>
  <c r="H1187" i="44"/>
  <c r="H1186" i="44"/>
  <c r="H1185" i="44"/>
  <c r="H1184" i="44"/>
  <c r="H1183" i="44"/>
  <c r="H1182" i="44"/>
  <c r="H1181" i="44"/>
  <c r="H1180" i="44"/>
  <c r="H1179" i="44"/>
  <c r="H1178" i="44"/>
  <c r="H1177" i="44"/>
  <c r="H1176" i="44"/>
  <c r="H1175" i="44"/>
  <c r="H1174" i="44"/>
  <c r="H1173" i="44"/>
  <c r="H1172" i="44"/>
  <c r="H1171" i="44"/>
  <c r="H1170" i="44"/>
  <c r="H1169" i="44"/>
  <c r="H1168" i="44"/>
  <c r="H1167" i="44"/>
  <c r="H1166" i="44"/>
  <c r="H1165" i="44"/>
  <c r="H1164" i="44"/>
  <c r="H1163" i="44"/>
  <c r="H1162" i="44"/>
  <c r="H1161" i="44"/>
  <c r="H1160" i="44"/>
  <c r="H1159" i="44"/>
  <c r="H1158" i="44"/>
  <c r="H1157" i="44"/>
  <c r="H1156" i="44"/>
  <c r="H1155" i="44"/>
  <c r="H1154" i="44"/>
  <c r="H1153" i="44"/>
  <c r="H1152" i="44"/>
  <c r="H1151" i="44"/>
  <c r="H1150" i="44"/>
  <c r="H1149" i="44"/>
  <c r="H1148" i="44"/>
  <c r="H1147" i="44"/>
  <c r="H1146" i="44"/>
  <c r="H1145" i="44"/>
  <c r="H1144" i="44"/>
  <c r="H1143" i="44"/>
  <c r="H1142" i="44"/>
  <c r="H1141" i="44"/>
  <c r="H1140" i="44"/>
  <c r="H1139" i="44"/>
  <c r="H1138" i="44"/>
  <c r="H1133" i="44"/>
  <c r="H1128" i="44"/>
  <c r="H1127" i="44"/>
  <c r="H1123" i="44"/>
  <c r="H1122" i="44"/>
  <c r="H1121" i="44"/>
  <c r="H1120" i="44"/>
  <c r="H1119" i="44"/>
  <c r="H1118" i="44"/>
  <c r="H1115" i="44"/>
  <c r="H1113" i="44"/>
  <c r="H1112" i="44"/>
  <c r="H1111" i="44"/>
  <c r="H1109" i="44"/>
  <c r="H1108" i="44"/>
  <c r="H1107" i="44"/>
  <c r="H1106" i="44"/>
  <c r="H1105" i="44"/>
  <c r="H1104" i="44"/>
  <c r="H1103" i="44"/>
  <c r="A727" i="5" l="1"/>
  <c r="C549" i="5"/>
  <c r="C548" i="5"/>
  <c r="C546" i="5"/>
  <c r="C545" i="5"/>
  <c r="C544" i="5"/>
  <c r="C682" i="5"/>
  <c r="C638" i="5"/>
  <c r="C616" i="5"/>
  <c r="C600" i="5"/>
  <c r="C598" i="5"/>
  <c r="C597" i="5"/>
  <c r="D1472" i="44"/>
  <c r="D1468" i="44"/>
  <c r="D1469" i="44"/>
  <c r="D1470" i="44"/>
  <c r="D1471" i="44"/>
  <c r="D1473" i="44"/>
  <c r="D1474" i="44"/>
  <c r="D1475" i="44"/>
  <c r="D1478" i="44"/>
  <c r="D1495" i="44"/>
  <c r="D1494" i="44"/>
  <c r="D1493" i="44"/>
  <c r="D1492" i="44"/>
  <c r="D1491" i="44"/>
  <c r="D1490" i="44"/>
  <c r="D1489" i="44"/>
  <c r="D1488" i="44"/>
  <c r="D1487" i="44"/>
  <c r="D1486" i="44"/>
  <c r="D1485" i="44"/>
  <c r="D1484" i="44"/>
  <c r="D1483" i="44"/>
  <c r="D1482" i="44"/>
  <c r="D1481" i="44"/>
  <c r="D1480" i="44"/>
  <c r="E1487" i="44"/>
  <c r="E1495" i="44"/>
  <c r="C1485" i="44"/>
  <c r="E1489" i="44"/>
  <c r="C1487" i="44"/>
  <c r="C1493" i="44"/>
  <c r="E1494" i="44"/>
  <c r="E1493" i="44"/>
  <c r="C1495" i="44"/>
  <c r="C1492" i="44"/>
  <c r="E1492" i="44"/>
  <c r="C1134" i="44"/>
  <c r="E1491" i="44"/>
  <c r="E1484" i="44"/>
  <c r="C1494" i="44"/>
  <c r="C1135" i="44"/>
  <c r="E1472" i="44"/>
  <c r="E1485" i="44"/>
  <c r="C1489" i="44"/>
  <c r="C1472" i="44"/>
  <c r="C1484" i="44"/>
  <c r="C1488" i="44"/>
  <c r="C1491" i="44"/>
  <c r="A728" i="5" l="1"/>
  <c r="A729" i="5" s="1"/>
  <c r="C596" i="5"/>
  <c r="C639" i="5"/>
  <c r="C636" i="5"/>
  <c r="C582" i="5"/>
  <c r="C637" i="5"/>
  <c r="C612" i="5"/>
  <c r="C681" i="5"/>
  <c r="C680" i="5"/>
  <c r="C679" i="5"/>
  <c r="C631" i="5"/>
  <c r="C615" i="5"/>
  <c r="C614" i="5"/>
  <c r="C613" i="5"/>
  <c r="C599" i="5"/>
  <c r="C580" i="5"/>
  <c r="C593" i="5"/>
  <c r="F1472" i="44"/>
  <c r="A1472" i="44" s="1"/>
  <c r="F1495" i="44"/>
  <c r="A1495" i="44" s="1"/>
  <c r="F1493" i="44"/>
  <c r="A1493" i="44" s="1"/>
  <c r="F1494" i="44"/>
  <c r="A1494" i="44" s="1"/>
  <c r="A1492" i="44"/>
  <c r="F1491" i="44"/>
  <c r="A1491" i="44" s="1"/>
  <c r="F1492" i="44"/>
  <c r="F1489" i="44"/>
  <c r="A1489" i="44" s="1"/>
  <c r="F1487" i="44"/>
  <c r="A1488" i="44"/>
  <c r="A1487" i="44"/>
  <c r="F1484" i="44"/>
  <c r="A1484" i="44" s="1"/>
  <c r="F1485" i="44"/>
  <c r="A1485" i="44" s="1"/>
  <c r="L1471" i="44"/>
  <c r="L1470" i="44"/>
  <c r="L1469" i="44"/>
  <c r="L1468" i="44"/>
  <c r="D1467" i="44"/>
  <c r="D1466" i="44"/>
  <c r="D1465" i="44"/>
  <c r="B1180" i="44"/>
  <c r="B1181" i="44" s="1"/>
  <c r="B1182" i="44" s="1"/>
  <c r="D1179" i="44"/>
  <c r="D1170" i="44"/>
  <c r="D1161" i="44"/>
  <c r="D1152" i="44"/>
  <c r="D1143" i="44"/>
  <c r="D1134" i="44"/>
  <c r="D1122" i="44"/>
  <c r="D1110" i="44"/>
  <c r="D1109" i="44"/>
  <c r="D1108" i="44"/>
  <c r="D1107" i="44"/>
  <c r="D1106" i="44"/>
  <c r="D1105" i="44"/>
  <c r="D1104" i="44"/>
  <c r="D1103" i="44"/>
  <c r="L1103" i="44" s="1"/>
  <c r="C1105" i="44"/>
  <c r="C1107" i="44"/>
  <c r="C1464" i="44"/>
  <c r="J1182" i="44"/>
  <c r="J1143" i="44"/>
  <c r="C1466" i="44"/>
  <c r="C1103" i="44"/>
  <c r="C1483" i="44"/>
  <c r="J1152" i="44"/>
  <c r="C1481" i="44"/>
  <c r="C1465" i="44"/>
  <c r="C1108" i="44"/>
  <c r="C1104" i="44"/>
  <c r="C1123" i="44"/>
  <c r="C1106" i="44"/>
  <c r="C1110" i="44"/>
  <c r="E1467" i="44"/>
  <c r="J1179" i="44"/>
  <c r="C1482" i="44"/>
  <c r="C1109" i="44"/>
  <c r="C1124" i="44"/>
  <c r="C1111" i="44"/>
  <c r="J1170" i="44"/>
  <c r="C1480" i="44"/>
  <c r="C1467" i="44"/>
  <c r="J1161" i="44"/>
  <c r="E1466" i="44"/>
  <c r="A730" i="5" l="1"/>
  <c r="C635" i="5"/>
  <c r="C595" i="5"/>
  <c r="C678" i="5"/>
  <c r="D1112" i="44"/>
  <c r="F1467" i="44"/>
  <c r="A1467" i="44" s="1"/>
  <c r="F1466" i="44"/>
  <c r="A1466" i="44" s="1"/>
  <c r="D1123" i="44"/>
  <c r="D1291" i="44"/>
  <c r="D1180" i="44"/>
  <c r="B1183" i="44"/>
  <c r="D1182" i="44"/>
  <c r="D1181" i="44"/>
  <c r="D1124" i="44"/>
  <c r="D1111" i="44"/>
  <c r="F1104" i="44"/>
  <c r="F1103" i="44"/>
  <c r="J1181" i="44"/>
  <c r="J1180" i="44"/>
  <c r="J1291" i="44"/>
  <c r="A731" i="5" l="1"/>
  <c r="A732" i="5" s="1"/>
  <c r="A733" i="5" s="1"/>
  <c r="C662" i="5"/>
  <c r="C661" i="5"/>
  <c r="C660" i="5"/>
  <c r="C659" i="5"/>
  <c r="D1113" i="44"/>
  <c r="C1112" i="44"/>
  <c r="C1125" i="44"/>
  <c r="J1183" i="44"/>
  <c r="J1318" i="44"/>
  <c r="A734" i="5" l="1"/>
  <c r="C658" i="5"/>
  <c r="C667" i="5"/>
  <c r="C666" i="5"/>
  <c r="C665" i="5"/>
  <c r="C664" i="5"/>
  <c r="C588" i="5"/>
  <c r="D1318" i="44"/>
  <c r="B1184" i="44"/>
  <c r="D1183" i="44"/>
  <c r="D1125" i="44"/>
  <c r="D1114" i="44"/>
  <c r="F1106" i="44"/>
  <c r="F1105" i="44"/>
  <c r="C1126" i="44"/>
  <c r="J1327" i="44"/>
  <c r="J1184" i="44"/>
  <c r="C1113" i="44"/>
  <c r="A735" i="5" l="1"/>
  <c r="C663" i="5"/>
  <c r="C677" i="5"/>
  <c r="C672" i="5"/>
  <c r="C671" i="5"/>
  <c r="C670" i="5"/>
  <c r="C669" i="5"/>
  <c r="C590" i="5"/>
  <c r="D1327" i="44"/>
  <c r="D1184" i="44"/>
  <c r="B1185" i="44"/>
  <c r="D1126" i="44"/>
  <c r="D1115" i="44"/>
  <c r="F1107" i="44"/>
  <c r="J1185" i="44"/>
  <c r="C1127" i="44"/>
  <c r="C1114" i="44"/>
  <c r="J1336" i="44"/>
  <c r="A736" i="5" l="1"/>
  <c r="C668" i="5"/>
  <c r="C221" i="5"/>
  <c r="C676" i="5"/>
  <c r="C675" i="5"/>
  <c r="C674" i="5"/>
  <c r="C225" i="5"/>
  <c r="C224" i="5"/>
  <c r="C223" i="5"/>
  <c r="C222" i="5"/>
  <c r="D1336" i="44"/>
  <c r="D1185" i="44"/>
  <c r="B1186" i="44"/>
  <c r="D1127" i="44"/>
  <c r="D1116" i="44"/>
  <c r="F1108" i="44"/>
  <c r="C1128" i="44"/>
  <c r="C1115" i="44"/>
  <c r="J1345" i="44"/>
  <c r="J1186" i="44"/>
  <c r="A737" i="5" l="1"/>
  <c r="C673" i="5"/>
  <c r="D1345" i="44"/>
  <c r="D1186" i="44"/>
  <c r="B1187" i="44"/>
  <c r="D1128" i="44"/>
  <c r="D1117" i="44"/>
  <c r="F1109" i="44"/>
  <c r="C1117" i="44"/>
  <c r="C1129" i="44"/>
  <c r="C1116" i="44"/>
  <c r="A738" i="5" l="1"/>
  <c r="C752" i="5"/>
  <c r="C754" i="5"/>
  <c r="C753" i="5"/>
  <c r="D1354" i="44"/>
  <c r="D1187" i="44"/>
  <c r="B1188" i="44"/>
  <c r="B1189" i="44" s="1"/>
  <c r="D1129" i="44"/>
  <c r="D1118" i="44"/>
  <c r="F1110" i="44"/>
  <c r="C1189" i="44"/>
  <c r="J1187" i="44"/>
  <c r="C1130" i="44"/>
  <c r="J1354" i="44"/>
  <c r="C1118" i="44"/>
  <c r="A739" i="5" l="1"/>
  <c r="D1189" i="44"/>
  <c r="D1188" i="44"/>
  <c r="D1130" i="44"/>
  <c r="D1119" i="44"/>
  <c r="F1111" i="44"/>
  <c r="E1189" i="44"/>
  <c r="C1119" i="44"/>
  <c r="J1189" i="44"/>
  <c r="J1188" i="44"/>
  <c r="C1131" i="44"/>
  <c r="A740" i="5" l="1"/>
  <c r="F1189" i="44"/>
  <c r="D1131" i="44"/>
  <c r="D1120" i="44"/>
  <c r="F1112" i="44"/>
  <c r="D1121" i="44" l="1"/>
  <c r="F1113" i="44"/>
  <c r="C1132" i="44"/>
  <c r="C1120" i="44"/>
  <c r="C1121" i="44"/>
  <c r="C761" i="5" l="1"/>
  <c r="C760" i="5"/>
  <c r="D1132" i="44"/>
  <c r="F1114" i="44"/>
  <c r="C1133" i="44"/>
  <c r="C1122" i="44"/>
  <c r="D1133" i="44" l="1"/>
  <c r="F1115" i="44"/>
  <c r="F1116" i="44" l="1"/>
  <c r="F1117" i="44" l="1"/>
  <c r="F1118" i="44" l="1"/>
  <c r="F1119" i="44" l="1"/>
  <c r="F1120" i="44" l="1"/>
  <c r="F1121" i="44" l="1"/>
  <c r="F1122" i="44" l="1"/>
  <c r="F1123" i="44" l="1"/>
  <c r="F1124" i="44" l="1"/>
  <c r="F1125" i="44" l="1"/>
  <c r="F1126" i="44" l="1"/>
  <c r="F1127" i="44" l="1"/>
  <c r="F1128" i="44" l="1"/>
  <c r="F1129" i="44" l="1"/>
  <c r="F1130" i="44" l="1"/>
  <c r="F1131" i="44" l="1"/>
  <c r="F1132" i="44" l="1"/>
  <c r="F1133" i="44" l="1"/>
  <c r="D1138" i="44" l="1"/>
  <c r="B1139" i="44"/>
  <c r="E1138" i="44"/>
  <c r="C1138" i="44"/>
  <c r="C1139" i="44"/>
  <c r="J1139" i="44"/>
  <c r="J1138" i="44"/>
  <c r="D1139" i="44" l="1"/>
  <c r="B1140" i="44"/>
  <c r="J1140" i="44"/>
  <c r="C1140" i="44"/>
  <c r="E1139" i="44"/>
  <c r="D1140" i="44" l="1"/>
  <c r="B1141" i="44"/>
  <c r="C1141" i="44"/>
  <c r="J1141" i="44"/>
  <c r="E1140" i="44"/>
  <c r="D1141" i="44" l="1"/>
  <c r="B1142" i="44"/>
  <c r="E1141" i="44"/>
  <c r="C1142" i="44"/>
  <c r="J1142" i="44"/>
  <c r="D1142" i="44" l="1"/>
  <c r="B1144" i="44"/>
  <c r="C1143" i="44"/>
  <c r="E1143" i="44"/>
  <c r="E1142" i="44"/>
  <c r="C1144" i="44"/>
  <c r="J1144" i="44"/>
  <c r="D1144" i="44" l="1"/>
  <c r="B1145" i="44"/>
  <c r="C1145" i="44"/>
  <c r="E1144" i="44"/>
  <c r="D1145" i="44" l="1"/>
  <c r="B1146" i="44"/>
  <c r="C1146" i="44"/>
  <c r="J1146" i="44"/>
  <c r="E1145" i="44"/>
  <c r="J1145" i="44"/>
  <c r="D1146" i="44" l="1"/>
  <c r="B1147" i="44"/>
  <c r="E1146" i="44"/>
  <c r="C1147" i="44"/>
  <c r="J1147" i="44"/>
  <c r="D1147" i="44" l="1"/>
  <c r="B1148" i="44"/>
  <c r="E1147" i="44"/>
  <c r="J1148" i="44"/>
  <c r="C1148" i="44"/>
  <c r="D1148" i="44" l="1"/>
  <c r="B1149" i="44"/>
  <c r="J1149" i="44"/>
  <c r="E1148" i="44"/>
  <c r="C1149" i="44"/>
  <c r="D1149" i="44" l="1"/>
  <c r="B1150" i="44"/>
  <c r="E1149" i="44"/>
  <c r="C1150" i="44"/>
  <c r="D1150" i="44" l="1"/>
  <c r="B1151" i="44"/>
  <c r="C1151" i="44"/>
  <c r="J1151" i="44"/>
  <c r="J1150" i="44"/>
  <c r="E1150" i="44"/>
  <c r="D1151" i="44" l="1"/>
  <c r="E1151" i="44"/>
  <c r="C1152" i="44"/>
  <c r="E1152" i="44"/>
  <c r="F1152" i="44" l="1"/>
  <c r="B1153" i="44"/>
  <c r="C1153" i="44"/>
  <c r="J1153" i="44"/>
  <c r="D1153" i="44" l="1"/>
  <c r="F1153" i="44" s="1"/>
  <c r="B1154" i="44"/>
  <c r="C1154" i="44"/>
  <c r="J1154" i="44"/>
  <c r="D1154" i="44" l="1"/>
  <c r="B1155" i="44"/>
  <c r="E1154" i="44"/>
  <c r="E1153" i="44"/>
  <c r="C1155" i="44"/>
  <c r="D1155" i="44" l="1"/>
  <c r="B1156" i="44"/>
  <c r="E1155" i="44"/>
  <c r="J1155" i="44"/>
  <c r="J1156" i="44"/>
  <c r="C1156" i="44"/>
  <c r="D1156" i="44" l="1"/>
  <c r="B1157" i="44"/>
  <c r="C1157" i="44"/>
  <c r="E1156" i="44"/>
  <c r="D1157" i="44" l="1"/>
  <c r="B1158" i="44"/>
  <c r="E1157" i="44"/>
  <c r="C1158" i="44"/>
  <c r="J1157" i="44"/>
  <c r="D1158" i="44" l="1"/>
  <c r="B1159" i="44"/>
  <c r="E1158" i="44"/>
  <c r="J1159" i="44"/>
  <c r="C1159" i="44"/>
  <c r="J1158" i="44"/>
  <c r="D1159" i="44" l="1"/>
  <c r="B1160" i="44"/>
  <c r="C1161" i="44"/>
  <c r="E1161" i="44"/>
  <c r="C1160" i="44"/>
  <c r="E1159" i="44"/>
  <c r="J1160" i="44"/>
  <c r="D1160" i="44" l="1"/>
  <c r="B1162" i="44"/>
  <c r="E1160" i="44"/>
  <c r="J1162" i="44"/>
  <c r="C1162" i="44"/>
  <c r="D1162" i="44" l="1"/>
  <c r="B1163" i="44"/>
  <c r="J1163" i="44"/>
  <c r="E1162" i="44"/>
  <c r="C1163" i="44"/>
  <c r="D1163" i="44" l="1"/>
  <c r="B1164" i="44"/>
  <c r="C1164" i="44"/>
  <c r="E1163" i="44"/>
  <c r="J1164" i="44"/>
  <c r="D1164" i="44" l="1"/>
  <c r="B1165" i="44"/>
  <c r="E1164" i="44"/>
  <c r="C1165" i="44"/>
  <c r="D1165" i="44" l="1"/>
  <c r="B1166" i="44"/>
  <c r="E1165" i="44"/>
  <c r="J1166" i="44"/>
  <c r="C1166" i="44"/>
  <c r="J1165" i="44"/>
  <c r="D1166" i="44" l="1"/>
  <c r="B1167" i="44"/>
  <c r="E1166" i="44"/>
  <c r="J1167" i="44"/>
  <c r="C1167" i="44"/>
  <c r="D1167" i="44" l="1"/>
  <c r="B1168" i="44"/>
  <c r="J1168" i="44"/>
  <c r="E1167" i="44"/>
  <c r="C1168" i="44"/>
  <c r="D1168" i="44" l="1"/>
  <c r="B1169" i="44"/>
  <c r="E1168" i="44"/>
  <c r="C1170" i="44"/>
  <c r="C1169" i="44"/>
  <c r="E1170" i="44"/>
  <c r="J1169" i="44"/>
  <c r="D1169" i="44" l="1"/>
  <c r="B1171" i="44"/>
  <c r="C1171" i="44"/>
  <c r="E1169" i="44"/>
  <c r="J1171" i="44"/>
  <c r="D1171" i="44" l="1"/>
  <c r="B1172" i="44"/>
  <c r="C1172" i="44"/>
  <c r="J1172" i="44"/>
  <c r="E1171" i="44"/>
  <c r="D1172" i="44" l="1"/>
  <c r="B1173" i="44"/>
  <c r="C1173" i="44"/>
  <c r="E1172" i="44"/>
  <c r="J1173" i="44"/>
  <c r="D1173" i="44" l="1"/>
  <c r="B1174" i="44"/>
  <c r="E1173" i="44"/>
  <c r="J1174" i="44"/>
  <c r="D1174" i="44" l="1"/>
  <c r="B1175" i="44"/>
  <c r="C1175" i="44"/>
  <c r="C1174" i="44"/>
  <c r="E1174" i="44"/>
  <c r="J1175" i="44"/>
  <c r="D1175" i="44" l="1"/>
  <c r="B1176" i="44"/>
  <c r="E1175" i="44"/>
  <c r="J1176" i="44"/>
  <c r="C1176" i="44"/>
  <c r="D1176" i="44" l="1"/>
  <c r="B1177" i="44"/>
  <c r="B1178" i="44" s="1"/>
  <c r="C1182" i="44"/>
  <c r="C1187" i="44"/>
  <c r="E1187" i="44"/>
  <c r="E1184" i="44"/>
  <c r="J1178" i="44"/>
  <c r="C1180" i="44"/>
  <c r="C1185" i="44"/>
  <c r="E1181" i="44"/>
  <c r="E1182" i="44"/>
  <c r="C1181" i="44"/>
  <c r="E1183" i="44"/>
  <c r="E1188" i="44"/>
  <c r="E1185" i="44"/>
  <c r="C1188" i="44"/>
  <c r="E1186" i="44"/>
  <c r="E1180" i="44"/>
  <c r="C1178" i="44"/>
  <c r="C1179" i="44"/>
  <c r="C1186" i="44"/>
  <c r="E1176" i="44"/>
  <c r="C1183" i="44"/>
  <c r="E1179" i="44"/>
  <c r="J1177" i="44"/>
  <c r="C1184" i="44"/>
  <c r="D1178" i="44" l="1"/>
  <c r="D1177" i="44"/>
  <c r="E1178" i="44"/>
  <c r="J1190" i="44"/>
  <c r="E1177" i="44"/>
  <c r="C1190" i="44"/>
  <c r="C1177" i="44"/>
  <c r="D1190" i="44" l="1"/>
  <c r="B1191" i="44"/>
  <c r="E1190" i="44"/>
  <c r="J1191" i="44"/>
  <c r="C1191" i="44"/>
  <c r="D1191" i="44" l="1"/>
  <c r="B1192" i="44"/>
  <c r="C1192" i="44"/>
  <c r="J1192" i="44"/>
  <c r="E1191" i="44"/>
  <c r="D1192" i="44" l="1"/>
  <c r="B1193" i="44"/>
  <c r="C1193" i="44"/>
  <c r="E1192" i="44"/>
  <c r="J1193" i="44"/>
  <c r="D1193" i="44" l="1"/>
  <c r="B1194" i="44"/>
  <c r="E1193" i="44"/>
  <c r="C1194" i="44"/>
  <c r="J1194" i="44"/>
  <c r="D1194" i="44" l="1"/>
  <c r="B1195" i="44"/>
  <c r="C1195" i="44"/>
  <c r="J1195" i="44"/>
  <c r="E1194" i="44"/>
  <c r="D1195" i="44" l="1"/>
  <c r="B1196" i="44"/>
  <c r="E1195" i="44"/>
  <c r="C1196" i="44"/>
  <c r="J1196" i="44"/>
  <c r="D1196" i="44" l="1"/>
  <c r="B1197" i="44"/>
  <c r="C1197" i="44"/>
  <c r="J1197" i="44"/>
  <c r="E1196" i="44"/>
  <c r="D1197" i="44" l="1"/>
  <c r="B1198" i="44"/>
  <c r="B1199" i="44" s="1"/>
  <c r="C1198" i="44"/>
  <c r="C1199" i="44"/>
  <c r="J1199" i="44"/>
  <c r="E1197" i="44"/>
  <c r="B1200" i="44" l="1"/>
  <c r="D1199" i="44"/>
  <c r="D1198" i="44"/>
  <c r="E1198" i="44"/>
  <c r="C1201" i="44"/>
  <c r="E1199" i="44"/>
  <c r="J1198" i="44"/>
  <c r="J1201" i="44"/>
  <c r="J1200" i="44"/>
  <c r="C1200" i="44"/>
  <c r="D1200" i="44" l="1"/>
  <c r="F1199" i="44"/>
  <c r="D1201" i="44"/>
  <c r="B1202" i="44"/>
  <c r="E1201" i="44"/>
  <c r="E1200" i="44"/>
  <c r="J1202" i="44"/>
  <c r="C1202" i="44"/>
  <c r="F1200" i="44" l="1"/>
  <c r="D1202" i="44"/>
  <c r="B1203" i="44"/>
  <c r="C1203" i="44"/>
  <c r="E1202" i="44"/>
  <c r="D1203" i="44" l="1"/>
  <c r="B1204" i="44"/>
  <c r="E1203" i="44"/>
  <c r="J1203" i="44"/>
  <c r="C1204" i="44"/>
  <c r="D1204" i="44" l="1"/>
  <c r="B1205" i="44"/>
  <c r="E1204" i="44"/>
  <c r="J1205" i="44"/>
  <c r="C1205" i="44"/>
  <c r="J1204" i="44"/>
  <c r="D1205" i="44" l="1"/>
  <c r="B1206" i="44"/>
  <c r="C1206" i="44"/>
  <c r="J1206" i="44"/>
  <c r="E1205" i="44"/>
  <c r="D1206" i="44" l="1"/>
  <c r="B1207" i="44"/>
  <c r="E1206" i="44"/>
  <c r="J1207" i="44"/>
  <c r="C1207" i="44"/>
  <c r="D1207" i="44" l="1"/>
  <c r="B1208" i="44"/>
  <c r="E1207" i="44"/>
  <c r="C1208" i="44"/>
  <c r="J1208" i="44"/>
  <c r="D1208" i="44" l="1"/>
  <c r="B1209" i="44"/>
  <c r="C1209" i="44"/>
  <c r="J1209" i="44"/>
  <c r="E1208" i="44"/>
  <c r="D1209" i="44" l="1"/>
  <c r="J1210" i="44"/>
  <c r="E1209" i="44"/>
  <c r="C1210" i="44"/>
  <c r="D1210" i="44" l="1"/>
  <c r="B1211" i="44"/>
  <c r="E1210" i="44"/>
  <c r="C1211" i="44"/>
  <c r="J1211" i="44"/>
  <c r="D1211" i="44" l="1"/>
  <c r="B1212" i="44"/>
  <c r="E1211" i="44"/>
  <c r="C1212" i="44"/>
  <c r="J1212" i="44"/>
  <c r="D1212" i="44" l="1"/>
  <c r="B1213" i="44"/>
  <c r="E1212" i="44"/>
  <c r="J1213" i="44"/>
  <c r="C1213" i="44"/>
  <c r="D1213" i="44" l="1"/>
  <c r="B1214" i="44"/>
  <c r="E1213" i="44"/>
  <c r="C1214" i="44"/>
  <c r="J1214" i="44"/>
  <c r="D1214" i="44" l="1"/>
  <c r="B1215" i="44"/>
  <c r="J1215" i="44"/>
  <c r="E1214" i="44"/>
  <c r="C1215" i="44"/>
  <c r="D1215" i="44" l="1"/>
  <c r="B1216" i="44"/>
  <c r="J1216" i="44"/>
  <c r="E1215" i="44"/>
  <c r="C1216" i="44"/>
  <c r="D1216" i="44" l="1"/>
  <c r="B1217" i="44"/>
  <c r="C1217" i="44"/>
  <c r="J1217" i="44"/>
  <c r="E1216" i="44"/>
  <c r="D1217" i="44" l="1"/>
  <c r="B1218" i="44"/>
  <c r="J1218" i="44"/>
  <c r="C1218" i="44"/>
  <c r="E1217" i="44"/>
  <c r="D1218" i="44" l="1"/>
  <c r="C1219" i="44"/>
  <c r="E1218" i="44"/>
  <c r="D1219" i="44" l="1"/>
  <c r="B1220" i="44"/>
  <c r="J1219" i="44"/>
  <c r="E1219" i="44"/>
  <c r="J1220" i="44"/>
  <c r="C1220" i="44"/>
  <c r="D1220" i="44" l="1"/>
  <c r="B1221" i="44"/>
  <c r="E1220" i="44"/>
  <c r="J1221" i="44"/>
  <c r="C1221" i="44"/>
  <c r="D1221" i="44" l="1"/>
  <c r="B1222" i="44"/>
  <c r="E1221" i="44"/>
  <c r="C1222" i="44"/>
  <c r="J1222" i="44"/>
  <c r="D1222" i="44" l="1"/>
  <c r="B1223" i="44"/>
  <c r="C1223" i="44"/>
  <c r="J1223" i="44"/>
  <c r="E1222" i="44"/>
  <c r="D1223" i="44" l="1"/>
  <c r="B1224" i="44"/>
  <c r="E1223" i="44"/>
  <c r="C1224" i="44"/>
  <c r="D1224" i="44" l="1"/>
  <c r="B1225" i="44"/>
  <c r="J1224" i="44"/>
  <c r="J1225" i="44"/>
  <c r="E1224" i="44"/>
  <c r="C1225" i="44"/>
  <c r="D1225" i="44" l="1"/>
  <c r="B1226" i="44"/>
  <c r="C1226" i="44"/>
  <c r="J1226" i="44"/>
  <c r="E1225" i="44"/>
  <c r="D1226" i="44" l="1"/>
  <c r="B1227" i="44"/>
  <c r="E1226" i="44"/>
  <c r="C1227" i="44"/>
  <c r="J1227" i="44"/>
  <c r="D1227" i="44" l="1"/>
  <c r="J1228" i="44"/>
  <c r="E1227" i="44"/>
  <c r="C1228" i="44"/>
  <c r="D1228" i="44" l="1"/>
  <c r="B1229" i="44"/>
  <c r="E1228" i="44"/>
  <c r="C1229" i="44"/>
  <c r="J1229" i="44"/>
  <c r="D1229" i="44" l="1"/>
  <c r="B1230" i="44"/>
  <c r="C1230" i="44"/>
  <c r="J1230" i="44"/>
  <c r="E1229" i="44"/>
  <c r="D1230" i="44" l="1"/>
  <c r="B1231" i="44"/>
  <c r="J1231" i="44"/>
  <c r="E1230" i="44"/>
  <c r="C1231" i="44"/>
  <c r="D1231" i="44" l="1"/>
  <c r="B1232" i="44"/>
  <c r="J1232" i="44"/>
  <c r="E1231" i="44"/>
  <c r="C1232" i="44"/>
  <c r="D1232" i="44" l="1"/>
  <c r="B1233" i="44"/>
  <c r="J1233" i="44"/>
  <c r="E1232" i="44"/>
  <c r="C1233" i="44"/>
  <c r="D1233" i="44" l="1"/>
  <c r="B1234" i="44"/>
  <c r="E1233" i="44"/>
  <c r="C1234" i="44"/>
  <c r="J1234" i="44"/>
  <c r="D1234" i="44" l="1"/>
  <c r="B1235" i="44"/>
  <c r="E1234" i="44"/>
  <c r="C1235" i="44"/>
  <c r="D1235" i="44" l="1"/>
  <c r="B1236" i="44"/>
  <c r="C1236" i="44"/>
  <c r="E1235" i="44"/>
  <c r="J1235" i="44"/>
  <c r="J1236" i="44"/>
  <c r="D1236" i="44" l="1"/>
  <c r="C1237" i="44"/>
  <c r="J1237" i="44"/>
  <c r="E1236" i="44"/>
  <c r="D1237" i="44" l="1"/>
  <c r="B1238" i="44"/>
  <c r="E1237" i="44"/>
  <c r="C1238" i="44"/>
  <c r="J1238" i="44"/>
  <c r="D1238" i="44" l="1"/>
  <c r="B1239" i="44"/>
  <c r="J1239" i="44"/>
  <c r="E1238" i="44"/>
  <c r="C1239" i="44"/>
  <c r="D1239" i="44" l="1"/>
  <c r="B1240" i="44"/>
  <c r="E1239" i="44"/>
  <c r="J1240" i="44"/>
  <c r="C1240" i="44"/>
  <c r="D1240" i="44" l="1"/>
  <c r="B1241" i="44"/>
  <c r="E1240" i="44"/>
  <c r="C1241" i="44"/>
  <c r="D1241" i="44" l="1"/>
  <c r="B1242" i="44"/>
  <c r="J1241" i="44"/>
  <c r="E1241" i="44"/>
  <c r="C1242" i="44"/>
  <c r="J1242" i="44"/>
  <c r="D1242" i="44" l="1"/>
  <c r="B1243" i="44"/>
  <c r="E1242" i="44"/>
  <c r="C1243" i="44"/>
  <c r="D1243" i="44" l="1"/>
  <c r="B1244" i="44"/>
  <c r="J1243" i="44"/>
  <c r="C1244" i="44"/>
  <c r="E1243" i="44"/>
  <c r="J1244" i="44"/>
  <c r="D1244" i="44" l="1"/>
  <c r="B1245" i="44"/>
  <c r="C1245" i="44"/>
  <c r="J1245" i="44"/>
  <c r="E1244" i="44"/>
  <c r="D1245" i="44" l="1"/>
  <c r="C1246" i="44"/>
  <c r="J1246" i="44"/>
  <c r="E1245" i="44"/>
  <c r="D1246" i="44" l="1"/>
  <c r="B1247" i="44"/>
  <c r="C1247" i="44"/>
  <c r="E1246" i="44"/>
  <c r="J1247" i="44"/>
  <c r="D1247" i="44" l="1"/>
  <c r="B1248" i="44"/>
  <c r="C1248" i="44"/>
  <c r="E1247" i="44"/>
  <c r="J1248" i="44"/>
  <c r="D1248" i="44" l="1"/>
  <c r="B1249" i="44"/>
  <c r="J1249" i="44"/>
  <c r="E1248" i="44"/>
  <c r="C1249" i="44"/>
  <c r="D1249" i="44" l="1"/>
  <c r="B1250" i="44"/>
  <c r="C1250" i="44"/>
  <c r="E1249" i="44"/>
  <c r="D1250" i="44" l="1"/>
  <c r="B1251" i="44"/>
  <c r="J1250" i="44"/>
  <c r="C1251" i="44"/>
  <c r="E1250" i="44"/>
  <c r="D1251" i="44" l="1"/>
  <c r="B1252" i="44"/>
  <c r="J1252" i="44"/>
  <c r="J1251" i="44"/>
  <c r="E1251" i="44"/>
  <c r="C1252" i="44"/>
  <c r="D1252" i="44" l="1"/>
  <c r="B1253" i="44"/>
  <c r="E1252" i="44"/>
  <c r="C1253" i="44"/>
  <c r="D1253" i="44" l="1"/>
  <c r="B1254" i="44"/>
  <c r="C1254" i="44"/>
  <c r="E1253" i="44"/>
  <c r="J1253" i="44"/>
  <c r="D1254" i="44" l="1"/>
  <c r="E1254" i="44"/>
  <c r="J1254" i="44"/>
  <c r="J1255" i="44"/>
  <c r="C1255" i="44"/>
  <c r="D1255" i="44" l="1"/>
  <c r="B1256" i="44"/>
  <c r="J1256" i="44"/>
  <c r="C1256" i="44"/>
  <c r="E1255" i="44"/>
  <c r="D1256" i="44" l="1"/>
  <c r="B1257" i="44"/>
  <c r="C1257" i="44"/>
  <c r="E1256" i="44"/>
  <c r="J1257" i="44"/>
  <c r="D1257" i="44" l="1"/>
  <c r="B1258" i="44"/>
  <c r="E1257" i="44"/>
  <c r="J1258" i="44"/>
  <c r="C1258" i="44"/>
  <c r="D1258" i="44" l="1"/>
  <c r="B1259" i="44"/>
  <c r="C1259" i="44"/>
  <c r="E1258" i="44"/>
  <c r="J1259" i="44"/>
  <c r="D1259" i="44" l="1"/>
  <c r="B1260" i="44"/>
  <c r="E1259" i="44"/>
  <c r="C1260" i="44"/>
  <c r="D1260" i="44" l="1"/>
  <c r="B1261" i="44"/>
  <c r="E1260" i="44"/>
  <c r="J1260" i="44"/>
  <c r="C1261" i="44"/>
  <c r="J1261" i="44"/>
  <c r="D1261" i="44" l="1"/>
  <c r="B1262" i="44"/>
  <c r="J1262" i="44"/>
  <c r="E1261" i="44"/>
  <c r="C1262" i="44"/>
  <c r="D1262" i="44" l="1"/>
  <c r="B1263" i="44"/>
  <c r="E1262" i="44"/>
  <c r="J1263" i="44"/>
  <c r="C1263" i="44"/>
  <c r="D1263" i="44" l="1"/>
  <c r="C1264" i="44"/>
  <c r="E1263" i="44"/>
  <c r="J1264" i="44"/>
  <c r="D1264" i="44" l="1"/>
  <c r="B1265" i="44"/>
  <c r="E1264" i="44"/>
  <c r="C1265" i="44"/>
  <c r="J1265" i="44"/>
  <c r="D1265" i="44" l="1"/>
  <c r="B1266" i="44"/>
  <c r="E1265" i="44"/>
  <c r="J1266" i="44"/>
  <c r="C1266" i="44"/>
  <c r="D1266" i="44" l="1"/>
  <c r="B1267" i="44"/>
  <c r="J1267" i="44"/>
  <c r="E1266" i="44"/>
  <c r="C1267" i="44"/>
  <c r="D1267" i="44" l="1"/>
  <c r="B1268" i="44"/>
  <c r="E1267" i="44"/>
  <c r="C1268" i="44"/>
  <c r="J1268" i="44"/>
  <c r="D1268" i="44" l="1"/>
  <c r="B1269" i="44"/>
  <c r="E1268" i="44"/>
  <c r="J1269" i="44"/>
  <c r="C1269" i="44"/>
  <c r="D1269" i="44" l="1"/>
  <c r="B1270" i="44"/>
  <c r="J1270" i="44"/>
  <c r="C1270" i="44"/>
  <c r="E1269" i="44"/>
  <c r="D1270" i="44" l="1"/>
  <c r="B1271" i="44"/>
  <c r="C1271" i="44"/>
  <c r="E1270" i="44"/>
  <c r="J1271" i="44"/>
  <c r="D1271" i="44" l="1"/>
  <c r="B1272" i="44"/>
  <c r="E1271" i="44"/>
  <c r="C1272" i="44"/>
  <c r="D1272" i="44" l="1"/>
  <c r="C1273" i="44"/>
  <c r="J1272" i="44"/>
  <c r="J1273" i="44"/>
  <c r="E1272" i="44"/>
  <c r="D1273" i="44" l="1"/>
  <c r="B1274" i="44"/>
  <c r="J1274" i="44"/>
  <c r="E1273" i="44"/>
  <c r="C1274" i="44"/>
  <c r="D1274" i="44" l="1"/>
  <c r="B1275" i="44"/>
  <c r="J1275" i="44"/>
  <c r="C1275" i="44"/>
  <c r="E1274" i="44"/>
  <c r="D1275" i="44" l="1"/>
  <c r="B1276" i="44"/>
  <c r="C1276" i="44"/>
  <c r="J1276" i="44"/>
  <c r="E1275" i="44"/>
  <c r="D1276" i="44" l="1"/>
  <c r="B1277" i="44"/>
  <c r="C1277" i="44"/>
  <c r="J1277" i="44"/>
  <c r="E1276" i="44"/>
  <c r="D1277" i="44" l="1"/>
  <c r="B1278" i="44"/>
  <c r="C1278" i="44"/>
  <c r="J1278" i="44"/>
  <c r="E1277" i="44"/>
  <c r="D1278" i="44" l="1"/>
  <c r="B1279" i="44"/>
  <c r="J1279" i="44"/>
  <c r="E1278" i="44"/>
  <c r="C1279" i="44"/>
  <c r="D1279" i="44" l="1"/>
  <c r="B1280" i="44"/>
  <c r="C1280" i="44"/>
  <c r="E1279" i="44"/>
  <c r="J1280" i="44"/>
  <c r="D1280" i="44" l="1"/>
  <c r="B1281" i="44"/>
  <c r="E1280" i="44"/>
  <c r="C1281" i="44"/>
  <c r="D1281" i="44" l="1"/>
  <c r="C1282" i="44"/>
  <c r="J1281" i="44"/>
  <c r="E1281" i="44"/>
  <c r="J1282" i="44"/>
  <c r="D1282" i="44" l="1"/>
  <c r="B1283" i="44"/>
  <c r="J1283" i="44"/>
  <c r="E1282" i="44"/>
  <c r="C1283" i="44"/>
  <c r="D1283" i="44" l="1"/>
  <c r="B1284" i="44"/>
  <c r="C1284" i="44"/>
  <c r="E1283" i="44"/>
  <c r="D1284" i="44" l="1"/>
  <c r="B1285" i="44"/>
  <c r="J1285" i="44"/>
  <c r="C1285" i="44"/>
  <c r="E1284" i="44"/>
  <c r="J1284" i="44"/>
  <c r="D1285" i="44" l="1"/>
  <c r="B1286" i="44"/>
  <c r="J1286" i="44"/>
  <c r="E1285" i="44"/>
  <c r="C1286" i="44"/>
  <c r="D1286" i="44" l="1"/>
  <c r="B1287" i="44"/>
  <c r="J1287" i="44"/>
  <c r="E1286" i="44"/>
  <c r="C1287" i="44"/>
  <c r="D1287" i="44" l="1"/>
  <c r="B1288" i="44"/>
  <c r="E1287" i="44"/>
  <c r="C1288" i="44"/>
  <c r="D1288" i="44" l="1"/>
  <c r="B1289" i="44"/>
  <c r="C1289" i="44"/>
  <c r="E1288" i="44"/>
  <c r="J1288" i="44"/>
  <c r="J1289" i="44"/>
  <c r="D1289" i="44" l="1"/>
  <c r="B1290" i="44"/>
  <c r="E1291" i="44"/>
  <c r="J1290" i="44"/>
  <c r="E1289" i="44"/>
  <c r="C1291" i="44"/>
  <c r="C1290" i="44"/>
  <c r="D1290" i="44" l="1"/>
  <c r="B1292" i="44"/>
  <c r="E1290" i="44"/>
  <c r="J1292" i="44"/>
  <c r="C1292" i="44"/>
  <c r="D1292" i="44" l="1"/>
  <c r="B1293" i="44"/>
  <c r="J1293" i="44"/>
  <c r="E1292" i="44"/>
  <c r="C1293" i="44"/>
  <c r="D1293" i="44" l="1"/>
  <c r="B1294" i="44"/>
  <c r="E1293" i="44"/>
  <c r="C1294" i="44"/>
  <c r="D1294" i="44" l="1"/>
  <c r="B1295" i="44"/>
  <c r="C1295" i="44"/>
  <c r="J1294" i="44"/>
  <c r="E1294" i="44"/>
  <c r="D1295" i="44" l="1"/>
  <c r="B1296" i="44"/>
  <c r="C1296" i="44"/>
  <c r="E1295" i="44"/>
  <c r="J1296" i="44"/>
  <c r="J1295" i="44"/>
  <c r="D1296" i="44" l="1"/>
  <c r="B1297" i="44"/>
  <c r="C1297" i="44"/>
  <c r="J1297" i="44"/>
  <c r="E1296" i="44"/>
  <c r="D1297" i="44" l="1"/>
  <c r="B1298" i="44"/>
  <c r="E1297" i="44"/>
  <c r="C1298" i="44"/>
  <c r="J1298" i="44"/>
  <c r="D1298" i="44" l="1"/>
  <c r="B1299" i="44"/>
  <c r="J1299" i="44"/>
  <c r="E1298" i="44"/>
  <c r="C1299" i="44"/>
  <c r="D1299" i="44" l="1"/>
  <c r="C1300" i="44"/>
  <c r="E1299" i="44"/>
  <c r="J1300" i="44"/>
  <c r="D1300" i="44" l="1"/>
  <c r="B1301" i="44"/>
  <c r="J1301" i="44"/>
  <c r="C1301" i="44"/>
  <c r="E1300" i="44"/>
  <c r="D1301" i="44" l="1"/>
  <c r="B1302" i="44"/>
  <c r="C1302" i="44"/>
  <c r="J1302" i="44"/>
  <c r="E1301" i="44"/>
  <c r="D1302" i="44" l="1"/>
  <c r="B1303" i="44"/>
  <c r="C1303" i="44"/>
  <c r="E1302" i="44"/>
  <c r="D1303" i="44" l="1"/>
  <c r="B1304" i="44"/>
  <c r="J1304" i="44"/>
  <c r="E1303" i="44"/>
  <c r="J1303" i="44"/>
  <c r="C1304" i="44"/>
  <c r="D1304" i="44" l="1"/>
  <c r="B1305" i="44"/>
  <c r="C1305" i="44"/>
  <c r="J1305" i="44"/>
  <c r="E1304" i="44"/>
  <c r="D1305" i="44" l="1"/>
  <c r="B1306" i="44"/>
  <c r="E1305" i="44"/>
  <c r="J1306" i="44"/>
  <c r="C1306" i="44"/>
  <c r="D1306" i="44" l="1"/>
  <c r="B1307" i="44"/>
  <c r="E1306" i="44"/>
  <c r="C1307" i="44"/>
  <c r="D1307" i="44" l="1"/>
  <c r="B1308" i="44"/>
  <c r="E1307" i="44"/>
  <c r="C1308" i="44"/>
  <c r="J1307" i="44"/>
  <c r="J1308" i="44"/>
  <c r="D1308" i="44" l="1"/>
  <c r="E1308" i="44"/>
  <c r="C1309" i="44"/>
  <c r="D1309" i="44" l="1"/>
  <c r="B1310" i="44"/>
  <c r="J1309" i="44"/>
  <c r="E1309" i="44"/>
  <c r="C1310" i="44"/>
  <c r="D1310" i="44" l="1"/>
  <c r="B1311" i="44"/>
  <c r="E1310" i="44"/>
  <c r="J1311" i="44"/>
  <c r="C1311" i="44"/>
  <c r="J1310" i="44"/>
  <c r="D1311" i="44" l="1"/>
  <c r="B1312" i="44"/>
  <c r="J1312" i="44"/>
  <c r="C1312" i="44"/>
  <c r="E1311" i="44"/>
  <c r="D1312" i="44" l="1"/>
  <c r="B1313" i="44"/>
  <c r="J1313" i="44"/>
  <c r="C1313" i="44"/>
  <c r="E1312" i="44"/>
  <c r="D1313" i="44" l="1"/>
  <c r="B1314" i="44"/>
  <c r="E1313" i="44"/>
  <c r="C1314" i="44"/>
  <c r="D1314" i="44" l="1"/>
  <c r="B1315" i="44"/>
  <c r="C1315" i="44"/>
  <c r="J1314" i="44"/>
  <c r="J1315" i="44"/>
  <c r="E1314" i="44"/>
  <c r="D1315" i="44" l="1"/>
  <c r="B1316" i="44"/>
  <c r="J1316" i="44"/>
  <c r="E1315" i="44"/>
  <c r="C1316" i="44"/>
  <c r="D1316" i="44" l="1"/>
  <c r="B1317" i="44"/>
  <c r="C1318" i="44"/>
  <c r="E1316" i="44"/>
  <c r="J1317" i="44"/>
  <c r="C1317" i="44"/>
  <c r="E1318" i="44"/>
  <c r="D1317" i="44" l="1"/>
  <c r="B1319" i="44"/>
  <c r="E1317" i="44"/>
  <c r="J1319" i="44"/>
  <c r="C1319" i="44"/>
  <c r="D1319" i="44" l="1"/>
  <c r="B1320" i="44"/>
  <c r="E1319" i="44"/>
  <c r="C1320" i="44"/>
  <c r="J1320" i="44"/>
  <c r="D1320" i="44" l="1"/>
  <c r="B1321" i="44"/>
  <c r="J1321" i="44"/>
  <c r="E1320" i="44"/>
  <c r="C1321" i="44"/>
  <c r="D1321" i="44" l="1"/>
  <c r="B1322" i="44"/>
  <c r="E1321" i="44"/>
  <c r="C1322" i="44"/>
  <c r="J1322" i="44"/>
  <c r="D1322" i="44" l="1"/>
  <c r="B1323" i="44"/>
  <c r="J1323" i="44"/>
  <c r="E1322" i="44"/>
  <c r="C1323" i="44"/>
  <c r="D1323" i="44" l="1"/>
  <c r="B1324" i="44"/>
  <c r="C1324" i="44"/>
  <c r="J1324" i="44"/>
  <c r="E1323" i="44"/>
  <c r="D1324" i="44" l="1"/>
  <c r="B1325" i="44"/>
  <c r="C1325" i="44"/>
  <c r="E1324" i="44"/>
  <c r="D1325" i="44" l="1"/>
  <c r="B1326" i="44"/>
  <c r="C1326" i="44"/>
  <c r="J1326" i="44"/>
  <c r="E1325" i="44"/>
  <c r="E1327" i="44"/>
  <c r="J1325" i="44"/>
  <c r="C1327" i="44"/>
  <c r="D1326" i="44" l="1"/>
  <c r="B1328" i="44"/>
  <c r="C1328" i="44"/>
  <c r="J1328" i="44"/>
  <c r="E1326" i="44"/>
  <c r="D1328" i="44" l="1"/>
  <c r="B1329" i="44"/>
  <c r="E1328" i="44"/>
  <c r="J1329" i="44"/>
  <c r="C1329" i="44"/>
  <c r="D1329" i="44" l="1"/>
  <c r="B1330" i="44"/>
  <c r="C1330" i="44"/>
  <c r="E1329" i="44"/>
  <c r="J1330" i="44"/>
  <c r="D1330" i="44" l="1"/>
  <c r="B1331" i="44"/>
  <c r="C1331" i="44"/>
  <c r="J1331" i="44"/>
  <c r="E1330" i="44"/>
  <c r="D1331" i="44" l="1"/>
  <c r="B1332" i="44"/>
  <c r="E1331" i="44"/>
  <c r="C1332" i="44"/>
  <c r="J1332" i="44"/>
  <c r="D1332" i="44" l="1"/>
  <c r="B1333" i="44"/>
  <c r="J1333" i="44"/>
  <c r="E1332" i="44"/>
  <c r="C1333" i="44"/>
  <c r="D1333" i="44" l="1"/>
  <c r="B1334" i="44"/>
  <c r="E1333" i="44"/>
  <c r="C1334" i="44"/>
  <c r="D1334" i="44" l="1"/>
  <c r="B1335" i="44"/>
  <c r="C1335" i="44"/>
  <c r="J1334" i="44"/>
  <c r="E1334" i="44"/>
  <c r="C1336" i="44"/>
  <c r="J1335" i="44"/>
  <c r="E1336" i="44"/>
  <c r="D1335" i="44" l="1"/>
  <c r="B1337" i="44"/>
  <c r="E1335" i="44"/>
  <c r="C1337" i="44"/>
  <c r="D1337" i="44" l="1"/>
  <c r="B1338" i="44"/>
  <c r="J1338" i="44"/>
  <c r="C1338" i="44"/>
  <c r="E1337" i="44"/>
  <c r="J1337" i="44"/>
  <c r="D1338" i="44" l="1"/>
  <c r="B1339" i="44"/>
  <c r="C1339" i="44"/>
  <c r="E1338" i="44"/>
  <c r="D1339" i="44" l="1"/>
  <c r="B1340" i="44"/>
  <c r="J1340" i="44"/>
  <c r="C1340" i="44"/>
  <c r="E1339" i="44"/>
  <c r="J1339" i="44"/>
  <c r="D1340" i="44" l="1"/>
  <c r="B1341" i="44"/>
  <c r="C1341" i="44"/>
  <c r="E1340" i="44"/>
  <c r="D1341" i="44" l="1"/>
  <c r="B1342" i="44"/>
  <c r="J1341" i="44"/>
  <c r="E1341" i="44"/>
  <c r="C1342" i="44"/>
  <c r="D1342" i="44" l="1"/>
  <c r="B1343" i="44"/>
  <c r="J1342" i="44"/>
  <c r="C1343" i="44"/>
  <c r="E1342" i="44"/>
  <c r="D1343" i="44" l="1"/>
  <c r="B1344" i="44"/>
  <c r="E1345" i="44"/>
  <c r="J1344" i="44"/>
  <c r="E1343" i="44"/>
  <c r="J1343" i="44"/>
  <c r="C1345" i="44"/>
  <c r="C1344" i="44"/>
  <c r="D1344" i="44" l="1"/>
  <c r="B1346" i="44"/>
  <c r="C1346" i="44"/>
  <c r="E1344" i="44"/>
  <c r="J1346" i="44"/>
  <c r="D1346" i="44" l="1"/>
  <c r="B1347" i="44"/>
  <c r="E1346" i="44"/>
  <c r="J1347" i="44"/>
  <c r="C1347" i="44"/>
  <c r="D1347" i="44" l="1"/>
  <c r="B1348" i="44"/>
  <c r="C1348" i="44"/>
  <c r="E1347" i="44"/>
  <c r="J1348" i="44"/>
  <c r="D1348" i="44" l="1"/>
  <c r="B1349" i="44"/>
  <c r="J1349" i="44"/>
  <c r="C1349" i="44"/>
  <c r="E1348" i="44"/>
  <c r="D1349" i="44" l="1"/>
  <c r="B1350" i="44"/>
  <c r="J1350" i="44"/>
  <c r="C1350" i="44"/>
  <c r="E1349" i="44"/>
  <c r="D1350" i="44" l="1"/>
  <c r="B1351" i="44"/>
  <c r="C1351" i="44"/>
  <c r="E1350" i="44"/>
  <c r="J1351" i="44"/>
  <c r="D1351" i="44" l="1"/>
  <c r="B1352" i="44"/>
  <c r="C1352" i="44"/>
  <c r="E1351" i="44"/>
  <c r="J1352" i="44"/>
  <c r="D1352" i="44" l="1"/>
  <c r="B1353" i="44"/>
  <c r="E1354" i="44"/>
  <c r="C1354" i="44"/>
  <c r="C1353" i="44"/>
  <c r="J1353" i="44"/>
  <c r="E1352" i="44"/>
  <c r="D1353" i="44" l="1"/>
  <c r="B1355" i="44"/>
  <c r="C1355" i="44"/>
  <c r="J1355" i="44"/>
  <c r="E1353" i="44"/>
  <c r="J1364" i="44"/>
  <c r="D1355" i="44" l="1"/>
  <c r="B1356" i="44"/>
  <c r="C1356" i="44"/>
  <c r="E1355" i="44"/>
  <c r="J1356" i="44"/>
  <c r="D1356" i="44" l="1"/>
  <c r="B1357" i="44"/>
  <c r="J1357" i="44"/>
  <c r="C1357" i="44"/>
  <c r="E1356" i="44"/>
  <c r="D1357" i="44" l="1"/>
  <c r="B1358" i="44"/>
  <c r="J1358" i="44"/>
  <c r="C1358" i="44"/>
  <c r="E1357" i="44"/>
  <c r="D1358" i="44" l="1"/>
  <c r="B1359" i="44"/>
  <c r="J1359" i="44"/>
  <c r="E1358" i="44"/>
  <c r="C1359" i="44"/>
  <c r="D1359" i="44" l="1"/>
  <c r="B1360" i="44"/>
  <c r="E1359" i="44"/>
  <c r="C1360" i="44"/>
  <c r="J1360" i="44"/>
  <c r="D1360" i="44" l="1"/>
  <c r="B1361" i="44"/>
  <c r="E1360" i="44"/>
  <c r="C1361" i="44"/>
  <c r="D1361" i="44" l="1"/>
  <c r="B1362" i="44"/>
  <c r="B1363" i="44" s="1"/>
  <c r="J1361" i="44"/>
  <c r="J1362" i="44"/>
  <c r="E1361" i="44"/>
  <c r="C1363" i="44"/>
  <c r="C1362" i="44"/>
  <c r="J1363" i="44"/>
  <c r="D1363" i="44" l="1"/>
  <c r="D1362" i="44"/>
  <c r="C1364" i="44"/>
  <c r="E1362" i="44"/>
  <c r="E1363" i="44"/>
  <c r="F1363" i="44" l="1"/>
  <c r="B1365" i="44"/>
  <c r="C1365" i="44"/>
  <c r="J1365" i="44"/>
  <c r="D1364" i="44" l="1"/>
  <c r="B1366" i="44"/>
  <c r="E1364" i="44"/>
  <c r="J1373" i="44"/>
  <c r="J1366" i="44"/>
  <c r="C1366" i="44"/>
  <c r="D1365" i="44" l="1"/>
  <c r="B1367" i="44"/>
  <c r="C1367" i="44"/>
  <c r="J1382" i="44"/>
  <c r="E1365" i="44"/>
  <c r="J1367" i="44"/>
  <c r="D1366" i="44" l="1"/>
  <c r="B1368" i="44"/>
  <c r="E1366" i="44"/>
  <c r="C1368" i="44"/>
  <c r="J1391" i="44"/>
  <c r="J1368" i="44"/>
  <c r="D1367" i="44" l="1"/>
  <c r="B1369" i="44"/>
  <c r="E1367" i="44"/>
  <c r="J1369" i="44"/>
  <c r="C1369" i="44"/>
  <c r="D1368" i="44" l="1"/>
  <c r="B1370" i="44"/>
  <c r="J1409" i="44"/>
  <c r="E1368" i="44"/>
  <c r="J1370" i="44"/>
  <c r="C1370" i="44"/>
  <c r="D1409" i="44" l="1"/>
  <c r="D1369" i="44"/>
  <c r="B1371" i="44"/>
  <c r="J1418" i="44"/>
  <c r="J1371" i="44"/>
  <c r="C1371" i="44"/>
  <c r="E1369" i="44"/>
  <c r="D1418" i="44" l="1"/>
  <c r="D1370" i="44"/>
  <c r="B1372" i="44"/>
  <c r="J1427" i="44"/>
  <c r="E1370" i="44"/>
  <c r="C1372" i="44"/>
  <c r="J1372" i="44"/>
  <c r="D1427" i="44" l="1"/>
  <c r="D1371" i="44"/>
  <c r="C1445" i="44"/>
  <c r="J1445" i="44"/>
  <c r="E1371" i="44"/>
  <c r="D1445" i="44" l="1"/>
  <c r="B1446" i="44"/>
  <c r="D1436" i="44"/>
  <c r="D1372" i="44"/>
  <c r="J1436" i="44"/>
  <c r="C1373" i="44"/>
  <c r="E1445" i="44"/>
  <c r="C1454" i="44"/>
  <c r="J1446" i="44"/>
  <c r="E1372" i="44"/>
  <c r="C1446" i="44"/>
  <c r="B1455" i="44" l="1"/>
  <c r="D1454" i="44"/>
  <c r="B1447" i="44"/>
  <c r="D1446" i="44"/>
  <c r="F1445" i="44"/>
  <c r="B1374" i="44"/>
  <c r="J1455" i="44"/>
  <c r="J1454" i="44"/>
  <c r="J1447" i="44"/>
  <c r="E1446" i="44"/>
  <c r="E1454" i="44"/>
  <c r="C1455" i="44"/>
  <c r="C1374" i="44"/>
  <c r="B1448" i="44" l="1"/>
  <c r="D1447" i="44"/>
  <c r="F1446" i="44"/>
  <c r="D1455" i="44"/>
  <c r="B1456" i="44"/>
  <c r="F1454" i="44"/>
  <c r="D1373" i="44"/>
  <c r="B1375" i="44"/>
  <c r="E1447" i="44"/>
  <c r="C1447" i="44"/>
  <c r="J1456" i="44"/>
  <c r="J1374" i="44"/>
  <c r="J1448" i="44"/>
  <c r="E1455" i="44"/>
  <c r="C1448" i="44"/>
  <c r="J1375" i="44"/>
  <c r="E1373" i="44"/>
  <c r="F1455" i="44" l="1"/>
  <c r="B1457" i="44"/>
  <c r="D1456" i="44"/>
  <c r="B1449" i="44"/>
  <c r="D1448" i="44"/>
  <c r="F1447" i="44"/>
  <c r="D1374" i="44"/>
  <c r="B1376" i="44"/>
  <c r="E1456" i="44"/>
  <c r="C1449" i="44"/>
  <c r="E1448" i="44"/>
  <c r="J1457" i="44"/>
  <c r="C1456" i="44"/>
  <c r="C1376" i="44"/>
  <c r="E1374" i="44"/>
  <c r="C1375" i="44"/>
  <c r="C1457" i="44"/>
  <c r="D1449" i="44" l="1"/>
  <c r="B1450" i="44"/>
  <c r="D1457" i="44"/>
  <c r="B1458" i="44"/>
  <c r="F1448" i="44"/>
  <c r="F1456" i="44"/>
  <c r="D1375" i="44"/>
  <c r="B1377" i="44"/>
  <c r="C1458" i="44"/>
  <c r="J1450" i="44"/>
  <c r="J1458" i="44"/>
  <c r="E1375" i="44"/>
  <c r="E1457" i="44"/>
  <c r="J1449" i="44"/>
  <c r="E1449" i="44"/>
  <c r="C1450" i="44"/>
  <c r="J1376" i="44"/>
  <c r="C1377" i="44"/>
  <c r="B1451" i="44" l="1"/>
  <c r="D1450" i="44"/>
  <c r="F1457" i="44"/>
  <c r="D1458" i="44"/>
  <c r="B1459" i="44"/>
  <c r="F1449" i="44"/>
  <c r="D1376" i="44"/>
  <c r="B1378" i="44"/>
  <c r="J1451" i="44"/>
  <c r="E1450" i="44"/>
  <c r="C1451" i="44"/>
  <c r="J1378" i="44"/>
  <c r="E1376" i="44"/>
  <c r="E1458" i="44"/>
  <c r="J1377" i="44"/>
  <c r="J1459" i="44"/>
  <c r="F1458" i="44" l="1"/>
  <c r="B1460" i="44"/>
  <c r="D1459" i="44"/>
  <c r="D1451" i="44"/>
  <c r="B1452" i="44"/>
  <c r="F1450" i="44"/>
  <c r="D1377" i="44"/>
  <c r="B1379" i="44"/>
  <c r="E1459" i="44"/>
  <c r="C1460" i="44"/>
  <c r="J1460" i="44"/>
  <c r="E1451" i="44"/>
  <c r="C1379" i="44"/>
  <c r="C1378" i="44"/>
  <c r="J1452" i="44"/>
  <c r="E1377" i="44"/>
  <c r="C1459" i="44"/>
  <c r="B1453" i="44" l="1"/>
  <c r="D1452" i="44"/>
  <c r="B1461" i="44"/>
  <c r="D1460" i="44"/>
  <c r="F1451" i="44"/>
  <c r="F1459" i="44"/>
  <c r="D1378" i="44"/>
  <c r="B1380" i="44"/>
  <c r="C1461" i="44"/>
  <c r="J1379" i="44"/>
  <c r="E1460" i="44"/>
  <c r="E1452" i="44"/>
  <c r="C1453" i="44"/>
  <c r="J1461" i="44"/>
  <c r="J1453" i="44"/>
  <c r="E1378" i="44"/>
  <c r="C1452" i="44"/>
  <c r="C1380" i="44"/>
  <c r="D1461" i="44" l="1"/>
  <c r="B1462" i="44"/>
  <c r="F1460" i="44"/>
  <c r="D1453" i="44"/>
  <c r="F1453" i="44" s="1"/>
  <c r="F1452" i="44"/>
  <c r="D1379" i="44"/>
  <c r="B1381" i="44"/>
  <c r="J1381" i="44"/>
  <c r="E1461" i="44"/>
  <c r="C1462" i="44"/>
  <c r="E1379" i="44"/>
  <c r="J1380" i="44"/>
  <c r="D1462" i="44" l="1"/>
  <c r="F1461" i="44"/>
  <c r="D1380" i="44"/>
  <c r="D1381" i="44"/>
  <c r="E1380" i="44"/>
  <c r="C1382" i="44"/>
  <c r="E1381" i="44"/>
  <c r="E1453" i="44"/>
  <c r="J1462" i="44"/>
  <c r="C1381" i="44"/>
  <c r="E1462" i="44"/>
  <c r="F1462" i="44" l="1"/>
  <c r="D1382" i="44"/>
  <c r="B1383" i="44"/>
  <c r="J1383" i="44"/>
  <c r="C1383" i="44"/>
  <c r="E1382" i="44"/>
  <c r="D1383" i="44" l="1"/>
  <c r="B1384" i="44"/>
  <c r="C1384" i="44"/>
  <c r="E1383" i="44"/>
  <c r="J1384" i="44"/>
  <c r="D1384" i="44" l="1"/>
  <c r="B1385" i="44"/>
  <c r="C1385" i="44"/>
  <c r="J1385" i="44"/>
  <c r="E1384" i="44"/>
  <c r="D1385" i="44" l="1"/>
  <c r="B1386" i="44"/>
  <c r="E1385" i="44"/>
  <c r="J1386" i="44"/>
  <c r="C1386" i="44"/>
  <c r="D1386" i="44" l="1"/>
  <c r="B1387" i="44"/>
  <c r="E1386" i="44"/>
  <c r="C1387" i="44"/>
  <c r="J1387" i="44"/>
  <c r="D1387" i="44" l="1"/>
  <c r="B1388" i="44"/>
  <c r="J1388" i="44"/>
  <c r="C1388" i="44"/>
  <c r="E1387" i="44"/>
  <c r="D1388" i="44" l="1"/>
  <c r="B1389" i="44"/>
  <c r="E1388" i="44"/>
  <c r="C1389" i="44"/>
  <c r="J1389" i="44"/>
  <c r="D1389" i="44" l="1"/>
  <c r="B1390" i="44"/>
  <c r="E1389" i="44"/>
  <c r="C1390" i="44"/>
  <c r="J1390" i="44"/>
  <c r="D1390" i="44" l="1"/>
  <c r="E1390" i="44"/>
  <c r="C1391" i="44"/>
  <c r="D1391" i="44" l="1"/>
  <c r="B1392" i="44"/>
  <c r="E1391" i="44"/>
  <c r="C1392" i="44"/>
  <c r="J1392" i="44"/>
  <c r="D1392" i="44" l="1"/>
  <c r="B1393" i="44"/>
  <c r="C1393" i="44"/>
  <c r="E1392" i="44"/>
  <c r="J1393" i="44"/>
  <c r="D1393" i="44" l="1"/>
  <c r="B1394" i="44"/>
  <c r="C1394" i="44"/>
  <c r="E1393" i="44"/>
  <c r="J1394" i="44"/>
  <c r="D1394" i="44" l="1"/>
  <c r="B1395" i="44"/>
  <c r="E1394" i="44"/>
  <c r="C1395" i="44"/>
  <c r="J1395" i="44"/>
  <c r="D1395" i="44" l="1"/>
  <c r="B1396" i="44"/>
  <c r="C1396" i="44"/>
  <c r="E1395" i="44"/>
  <c r="J1396" i="44"/>
  <c r="D1396" i="44" l="1"/>
  <c r="B1397" i="44"/>
  <c r="E1396" i="44"/>
  <c r="J1397" i="44"/>
  <c r="C1397" i="44"/>
  <c r="D1397" i="44" l="1"/>
  <c r="B1398" i="44"/>
  <c r="B1399" i="44" s="1"/>
  <c r="J1398" i="44"/>
  <c r="C1400" i="44"/>
  <c r="E1397" i="44"/>
  <c r="D1400" i="44" l="1"/>
  <c r="B1401" i="44"/>
  <c r="D1398" i="44"/>
  <c r="J1399" i="44"/>
  <c r="J1401" i="44"/>
  <c r="E1398" i="44"/>
  <c r="C1398" i="44"/>
  <c r="C1401" i="44"/>
  <c r="C1399" i="44"/>
  <c r="E1400" i="44"/>
  <c r="D1401" i="44" l="1"/>
  <c r="B1402" i="44"/>
  <c r="F1400" i="44"/>
  <c r="D1399" i="44"/>
  <c r="C1402" i="44"/>
  <c r="E1401" i="44"/>
  <c r="E1399" i="44"/>
  <c r="J1402" i="44"/>
  <c r="E1409" i="44"/>
  <c r="D1402" i="44" l="1"/>
  <c r="B1403" i="44"/>
  <c r="F1401" i="44"/>
  <c r="B1410" i="44"/>
  <c r="E1402" i="44"/>
  <c r="J1410" i="44"/>
  <c r="C1410" i="44"/>
  <c r="C1403" i="44"/>
  <c r="J1403" i="44"/>
  <c r="D1403" i="44" l="1"/>
  <c r="B1404" i="44"/>
  <c r="F1402" i="44"/>
  <c r="D1410" i="44"/>
  <c r="B1411" i="44"/>
  <c r="E1410" i="44"/>
  <c r="C1411" i="44"/>
  <c r="C1404" i="44"/>
  <c r="E1403" i="44"/>
  <c r="J1404" i="44"/>
  <c r="D1404" i="44" l="1"/>
  <c r="B1405" i="44"/>
  <c r="F1403" i="44"/>
  <c r="D1411" i="44"/>
  <c r="B1412" i="44"/>
  <c r="C1412" i="44"/>
  <c r="J1405" i="44"/>
  <c r="C1405" i="44"/>
  <c r="E1411" i="44"/>
  <c r="E1404" i="44"/>
  <c r="J1411" i="44"/>
  <c r="D1405" i="44" l="1"/>
  <c r="B1406" i="44"/>
  <c r="F1404" i="44"/>
  <c r="D1412" i="44"/>
  <c r="B1413" i="44"/>
  <c r="J1413" i="44"/>
  <c r="C1413" i="44"/>
  <c r="E1412" i="44"/>
  <c r="J1412" i="44"/>
  <c r="C1406" i="44"/>
  <c r="E1405" i="44"/>
  <c r="J1406" i="44"/>
  <c r="D1406" i="44" l="1"/>
  <c r="B1407" i="44"/>
  <c r="F1405" i="44"/>
  <c r="D1413" i="44"/>
  <c r="B1414" i="44"/>
  <c r="C1407" i="44"/>
  <c r="E1413" i="44"/>
  <c r="E1406" i="44"/>
  <c r="J1414" i="44"/>
  <c r="J1407" i="44"/>
  <c r="D1407" i="44" l="1"/>
  <c r="B1408" i="44"/>
  <c r="F1406" i="44"/>
  <c r="D1414" i="44"/>
  <c r="B1415" i="44"/>
  <c r="C1408" i="44"/>
  <c r="E1414" i="44"/>
  <c r="C1415" i="44"/>
  <c r="J1415" i="44"/>
  <c r="J1408" i="44"/>
  <c r="E1407" i="44"/>
  <c r="C1414" i="44"/>
  <c r="D1408" i="44" l="1"/>
  <c r="F1407" i="44"/>
  <c r="D1415" i="44"/>
  <c r="B1416" i="44"/>
  <c r="J1416" i="44"/>
  <c r="E1408" i="44"/>
  <c r="C1416" i="44"/>
  <c r="E1415" i="44"/>
  <c r="F1408" i="44" l="1"/>
  <c r="D1416" i="44"/>
  <c r="B1417" i="44"/>
  <c r="C1418" i="44"/>
  <c r="J1417" i="44"/>
  <c r="E1418" i="44"/>
  <c r="E1416" i="44"/>
  <c r="C1417" i="44"/>
  <c r="D1417" i="44" l="1"/>
  <c r="B1419" i="44"/>
  <c r="E1417" i="44"/>
  <c r="C1419" i="44"/>
  <c r="D1419" i="44" l="1"/>
  <c r="B1420" i="44"/>
  <c r="C1420" i="44"/>
  <c r="E1419" i="44"/>
  <c r="J1420" i="44"/>
  <c r="J1419" i="44"/>
  <c r="D1420" i="44" l="1"/>
  <c r="B1421" i="44"/>
  <c r="J1421" i="44"/>
  <c r="E1420" i="44"/>
  <c r="C1421" i="44"/>
  <c r="D1421" i="44" l="1"/>
  <c r="B1422" i="44"/>
  <c r="C1422" i="44"/>
  <c r="J1422" i="44"/>
  <c r="E1421" i="44"/>
  <c r="D1422" i="44" l="1"/>
  <c r="B1423" i="44"/>
  <c r="J1423" i="44"/>
  <c r="E1422" i="44"/>
  <c r="C1423" i="44"/>
  <c r="D1423" i="44" l="1"/>
  <c r="B1424" i="44"/>
  <c r="J1424" i="44"/>
  <c r="E1423" i="44"/>
  <c r="C1424" i="44"/>
  <c r="D1424" i="44" l="1"/>
  <c r="B1425" i="44"/>
  <c r="E1424" i="44"/>
  <c r="J1425" i="44"/>
  <c r="C1425" i="44"/>
  <c r="D1425" i="44" l="1"/>
  <c r="B1426" i="44"/>
  <c r="C1427" i="44"/>
  <c r="E1427" i="44"/>
  <c r="C1426" i="44"/>
  <c r="J1426" i="44"/>
  <c r="E1425" i="44"/>
  <c r="D1426" i="44" l="1"/>
  <c r="B1428" i="44"/>
  <c r="J1428" i="44"/>
  <c r="E1426" i="44"/>
  <c r="C1428" i="44"/>
  <c r="D1428" i="44" l="1"/>
  <c r="B1429" i="44"/>
  <c r="J1429" i="44"/>
  <c r="C1429" i="44"/>
  <c r="E1428" i="44"/>
  <c r="D1429" i="44" l="1"/>
  <c r="B1430" i="44"/>
  <c r="C1430" i="44"/>
  <c r="J1430" i="44"/>
  <c r="E1429" i="44"/>
  <c r="D1430" i="44" l="1"/>
  <c r="B1431" i="44"/>
  <c r="E1430" i="44"/>
  <c r="C1431" i="44"/>
  <c r="J1431" i="44"/>
  <c r="D1431" i="44" l="1"/>
  <c r="B1432" i="44"/>
  <c r="E1431" i="44"/>
  <c r="C1432" i="44"/>
  <c r="J1432" i="44"/>
  <c r="D1432" i="44" l="1"/>
  <c r="B1433" i="44"/>
  <c r="E1432" i="44"/>
  <c r="C1433" i="44"/>
  <c r="J1433" i="44"/>
  <c r="D1433" i="44" l="1"/>
  <c r="B1434" i="44"/>
  <c r="J1434" i="44"/>
  <c r="C1434" i="44"/>
  <c r="E1433" i="44"/>
  <c r="D1434" i="44" l="1"/>
  <c r="B1435" i="44"/>
  <c r="J1435" i="44"/>
  <c r="E1436" i="44"/>
  <c r="C1435" i="44"/>
  <c r="E1434" i="44"/>
  <c r="C1436" i="44"/>
  <c r="D1435" i="44" l="1"/>
  <c r="B1437" i="44"/>
  <c r="J1437" i="44"/>
  <c r="E1435" i="44"/>
  <c r="C1437" i="44"/>
  <c r="D1437" i="44" l="1"/>
  <c r="B1438" i="44"/>
  <c r="E1437" i="44"/>
  <c r="C1438" i="44"/>
  <c r="J1438" i="44"/>
  <c r="D1438" i="44" l="1"/>
  <c r="B1439" i="44"/>
  <c r="E1438" i="44"/>
  <c r="C1439" i="44"/>
  <c r="J1439" i="44"/>
  <c r="D1439" i="44" l="1"/>
  <c r="B1440" i="44"/>
  <c r="J1440" i="44"/>
  <c r="E1439" i="44"/>
  <c r="C1440" i="44"/>
  <c r="D1440" i="44" l="1"/>
  <c r="B1441" i="44"/>
  <c r="C1441" i="44"/>
  <c r="J1441" i="44"/>
  <c r="E1440" i="44"/>
  <c r="D1441" i="44" l="1"/>
  <c r="B1442" i="44"/>
  <c r="J1442" i="44"/>
  <c r="C1442" i="44"/>
  <c r="E1441" i="44"/>
  <c r="D1442" i="44" l="1"/>
  <c r="B1443" i="44"/>
  <c r="J1443" i="44"/>
  <c r="C1443" i="44"/>
  <c r="E1442" i="44"/>
  <c r="D1443" i="44" l="1"/>
  <c r="B1444" i="44"/>
  <c r="E1443" i="44"/>
  <c r="C1444" i="44"/>
  <c r="J1444" i="44"/>
  <c r="D1444" i="44" l="1"/>
  <c r="D1463" i="44"/>
  <c r="C1463" i="44"/>
  <c r="E1463" i="44"/>
  <c r="E1444" i="44"/>
  <c r="F1463" i="44" l="1"/>
  <c r="A1463" i="44" s="1"/>
  <c r="E1464" i="44"/>
  <c r="F1464" i="44" l="1"/>
  <c r="A1464" i="44" s="1"/>
  <c r="E1465" i="44"/>
  <c r="A1465" i="44" l="1"/>
  <c r="F1465" i="44"/>
  <c r="F1478" i="44" l="1"/>
  <c r="E1480" i="44"/>
  <c r="F1480" i="44" l="1"/>
  <c r="A1480" i="44" s="1"/>
  <c r="E1481" i="44"/>
  <c r="F1481" i="44" l="1"/>
  <c r="A1481" i="44" s="1"/>
  <c r="E1482" i="44"/>
  <c r="F1482" i="44" l="1"/>
  <c r="A1482" i="44" s="1"/>
  <c r="E1483" i="44"/>
  <c r="F1483" i="44" l="1"/>
  <c r="A1483" i="44" s="1"/>
  <c r="E1486" i="44"/>
  <c r="C1486" i="44"/>
  <c r="A1486" i="44" l="1"/>
  <c r="F1486" i="44"/>
  <c r="E1490" i="44"/>
  <c r="C1490" i="44"/>
  <c r="A1490" i="44" l="1"/>
  <c r="F1490" i="44"/>
  <c r="L1104" i="44" l="1"/>
  <c r="K1104" i="44"/>
  <c r="L1105" i="44" l="1"/>
  <c r="J1104" i="44"/>
  <c r="J1105" i="44"/>
  <c r="E1104" i="44" l="1"/>
  <c r="L1106" i="44"/>
  <c r="K1106" i="44"/>
  <c r="K1105" i="44"/>
  <c r="A1363" i="44" l="1"/>
  <c r="A1104" i="44"/>
  <c r="A1148" i="44"/>
  <c r="A1152" i="44"/>
  <c r="A1147" i="44"/>
  <c r="A1149" i="44"/>
  <c r="A1146" i="44"/>
  <c r="A1150" i="44"/>
  <c r="A1151" i="44"/>
  <c r="A1144" i="44"/>
  <c r="A1200" i="44"/>
  <c r="A1153" i="44"/>
  <c r="A1189" i="44"/>
  <c r="A1145" i="44"/>
  <c r="A1199" i="44"/>
  <c r="A1143" i="44"/>
  <c r="E1105" i="44"/>
  <c r="A1105" i="44" s="1"/>
  <c r="L1107" i="44"/>
  <c r="K1107" i="44"/>
  <c r="J1106" i="44"/>
  <c r="E1106" i="44" l="1"/>
  <c r="A1106" i="44" s="1"/>
  <c r="L1108" i="44"/>
  <c r="J1108" i="44"/>
  <c r="J1107" i="44"/>
  <c r="E1107" i="44" l="1"/>
  <c r="A1107" i="44" s="1"/>
  <c r="L1109" i="44"/>
  <c r="K1108" i="44"/>
  <c r="K1109" i="44"/>
  <c r="E1108" i="44" l="1"/>
  <c r="A1108" i="44" s="1"/>
  <c r="L1110" i="44"/>
  <c r="J1109" i="44"/>
  <c r="J1110" i="44"/>
  <c r="E1109" i="44" l="1"/>
  <c r="A1109" i="44" s="1"/>
  <c r="L1111" i="44"/>
  <c r="J1111" i="44"/>
  <c r="K1110" i="44"/>
  <c r="E1110" i="44" l="1"/>
  <c r="L1112" i="44"/>
  <c r="K1112" i="44"/>
  <c r="K1111" i="44"/>
  <c r="E1111" i="44" l="1"/>
  <c r="A1111" i="44" s="1"/>
  <c r="L1113" i="44"/>
  <c r="J1112" i="44"/>
  <c r="K1113" i="44"/>
  <c r="E1112" i="44" l="1"/>
  <c r="A1112" i="44" s="1"/>
  <c r="L1114" i="44"/>
  <c r="K1114" i="44"/>
  <c r="J1113" i="44"/>
  <c r="E1113" i="44" l="1"/>
  <c r="A1113" i="44" s="1"/>
  <c r="L1115" i="44"/>
  <c r="K1115" i="44"/>
  <c r="J1114" i="44"/>
  <c r="E1114" i="44" l="1"/>
  <c r="L1116" i="44"/>
  <c r="J1115" i="44"/>
  <c r="J1116" i="44"/>
  <c r="E1115" i="44" l="1"/>
  <c r="A1115" i="44" s="1"/>
  <c r="L1117" i="44"/>
  <c r="K1116" i="44"/>
  <c r="K1117" i="44"/>
  <c r="E1116" i="44" l="1"/>
  <c r="L1118" i="44"/>
  <c r="J1117" i="44"/>
  <c r="K1118" i="44"/>
  <c r="E1117" i="44" l="1"/>
  <c r="L1119" i="44"/>
  <c r="J1118" i="44"/>
  <c r="K1119" i="44"/>
  <c r="E1118" i="44" l="1"/>
  <c r="A1118" i="44" s="1"/>
  <c r="L1120" i="44"/>
  <c r="J1119" i="44"/>
  <c r="J1120" i="44"/>
  <c r="E1119" i="44" l="1"/>
  <c r="A1119" i="44" s="1"/>
  <c r="L1121" i="44"/>
  <c r="J1121" i="44"/>
  <c r="K1120" i="44"/>
  <c r="E1120" i="44" l="1"/>
  <c r="A1120" i="44" s="1"/>
  <c r="L1122" i="44"/>
  <c r="J1122" i="44"/>
  <c r="K1121" i="44"/>
  <c r="E1121" i="44" l="1"/>
  <c r="A1121" i="44" s="1"/>
  <c r="L1123" i="44"/>
  <c r="K1123" i="44"/>
  <c r="K1122" i="44"/>
  <c r="E1122" i="44" l="1"/>
  <c r="A1122" i="44" s="1"/>
  <c r="L1124" i="44"/>
  <c r="J1124" i="44"/>
  <c r="J1123" i="44"/>
  <c r="E1123" i="44" l="1"/>
  <c r="A1123" i="44" s="1"/>
  <c r="L1125" i="44"/>
  <c r="J1125" i="44"/>
  <c r="K1124" i="44"/>
  <c r="E1124" i="44" l="1"/>
  <c r="L1126" i="44"/>
  <c r="K1125" i="44"/>
  <c r="K1126" i="44"/>
  <c r="E1125" i="44" l="1"/>
  <c r="L1127" i="44"/>
  <c r="J1126" i="44"/>
  <c r="K1127" i="44"/>
  <c r="E1126" i="44" l="1"/>
  <c r="L1128" i="44"/>
  <c r="J1128" i="44"/>
  <c r="J1127" i="44"/>
  <c r="E1127" i="44" l="1"/>
  <c r="A1127" i="44" s="1"/>
  <c r="L1129" i="44"/>
  <c r="K1129" i="44"/>
  <c r="K1128" i="44"/>
  <c r="E1128" i="44" l="1"/>
  <c r="A1128" i="44" s="1"/>
  <c r="L1130" i="44"/>
  <c r="J1130" i="44"/>
  <c r="J1129" i="44"/>
  <c r="E1129" i="44" l="1"/>
  <c r="L1131" i="44"/>
  <c r="K1130" i="44"/>
  <c r="K1131" i="44"/>
  <c r="E1130" i="44" l="1"/>
  <c r="J1131" i="44"/>
  <c r="E1131" i="44" l="1"/>
  <c r="L1132" i="44"/>
  <c r="K1132" i="44"/>
  <c r="L1133" i="44" l="1"/>
  <c r="J1132" i="44"/>
  <c r="K1133" i="44"/>
  <c r="E1132" i="44" l="1"/>
  <c r="K1468" i="44"/>
  <c r="J1468" i="44"/>
  <c r="J1133" i="44"/>
  <c r="E1133" i="44" l="1"/>
  <c r="A1133" i="44" s="1"/>
  <c r="F1162" i="44"/>
  <c r="A1162" i="44" s="1"/>
  <c r="F1160" i="44"/>
  <c r="A1160" i="44" s="1"/>
  <c r="F1156" i="44"/>
  <c r="A1156" i="44" s="1"/>
  <c r="F1155" i="44"/>
  <c r="A1155" i="44" s="1"/>
  <c r="F1154" i="44"/>
  <c r="A1154" i="44" s="1"/>
  <c r="F1174" i="44"/>
  <c r="A1174" i="44" s="1"/>
  <c r="F1173" i="44"/>
  <c r="A1173" i="44" s="1"/>
  <c r="F1172" i="44"/>
  <c r="A1172" i="44" s="1"/>
  <c r="F1171" i="44"/>
  <c r="A1171" i="44" s="1"/>
  <c r="F1169" i="44"/>
  <c r="A1169" i="44" s="1"/>
  <c r="F1165" i="44"/>
  <c r="A1165" i="44" s="1"/>
  <c r="F1164" i="44"/>
  <c r="A1164" i="44" s="1"/>
  <c r="F1163" i="44"/>
  <c r="A1163" i="44" s="1"/>
  <c r="F1281" i="44"/>
  <c r="A1281" i="44" s="1"/>
  <c r="F1250" i="44"/>
  <c r="A1250" i="44" s="1"/>
  <c r="F1222" i="44"/>
  <c r="A1222" i="44" s="1"/>
  <c r="F1192" i="44"/>
  <c r="A1192" i="44" s="1"/>
  <c r="F1277" i="44"/>
  <c r="A1277" i="44" s="1"/>
  <c r="F1249" i="44"/>
  <c r="A1249" i="44" s="1"/>
  <c r="F1221" i="44"/>
  <c r="A1221" i="44" s="1"/>
  <c r="F1191" i="44"/>
  <c r="A1191" i="44" s="1"/>
  <c r="F1365" i="44"/>
  <c r="A1365" i="44" s="1"/>
  <c r="F1248" i="44"/>
  <c r="A1248" i="44" s="1"/>
  <c r="F1220" i="44"/>
  <c r="A1220" i="44" s="1"/>
  <c r="F1187" i="44"/>
  <c r="A1187" i="44" s="1"/>
  <c r="F1331" i="44"/>
  <c r="F1247" i="44"/>
  <c r="A1247" i="44" s="1"/>
  <c r="F1218" i="44"/>
  <c r="A1218" i="44" s="1"/>
  <c r="F1183" i="44"/>
  <c r="A1183" i="44" s="1"/>
  <c r="F1310" i="44"/>
  <c r="A1310" i="44" s="1"/>
  <c r="F1245" i="44"/>
  <c r="F1214" i="44"/>
  <c r="A1214" i="44" s="1"/>
  <c r="F1182" i="44"/>
  <c r="A1182" i="44" s="1"/>
  <c r="F1367" i="44"/>
  <c r="A1367" i="44" s="1"/>
  <c r="F1357" i="44"/>
  <c r="A1357" i="44" s="1"/>
  <c r="F1241" i="44"/>
  <c r="F1213" i="44"/>
  <c r="A1213" i="44" s="1"/>
  <c r="F1181" i="44"/>
  <c r="A1181" i="44" s="1"/>
  <c r="F1338" i="44"/>
  <c r="F1393" i="44"/>
  <c r="F1274" i="44"/>
  <c r="A1274" i="44" s="1"/>
  <c r="F1268" i="44"/>
  <c r="F1240" i="44"/>
  <c r="F1212" i="44"/>
  <c r="A1212" i="44" s="1"/>
  <c r="F1180" i="44"/>
  <c r="A1180" i="44" s="1"/>
  <c r="F1151" i="44"/>
  <c r="F1394" i="44"/>
  <c r="F1362" i="44"/>
  <c r="A1362" i="44" s="1"/>
  <c r="F1272" i="44"/>
  <c r="F1267" i="44"/>
  <c r="F1239" i="44"/>
  <c r="F1211" i="44"/>
  <c r="A1211" i="44" s="1"/>
  <c r="F1178" i="44"/>
  <c r="A1178" i="44" s="1"/>
  <c r="F1147" i="44"/>
  <c r="F1337" i="44"/>
  <c r="F1392" i="44"/>
  <c r="F1301" i="44"/>
  <c r="A1301" i="44" s="1"/>
  <c r="F1440" i="44"/>
  <c r="F1322" i="44"/>
  <c r="A1322" i="44" s="1"/>
  <c r="F1294" i="44"/>
  <c r="A1294" i="44" s="1"/>
  <c r="F1266" i="44"/>
  <c r="F1238" i="44"/>
  <c r="F1209" i="44"/>
  <c r="F1146" i="44"/>
  <c r="F1366" i="44"/>
  <c r="A1366" i="44" s="1"/>
  <c r="F1303" i="44"/>
  <c r="A1303" i="44" s="1"/>
  <c r="F1417" i="44"/>
  <c r="F1328" i="44"/>
  <c r="F1410" i="44"/>
  <c r="F1293" i="44"/>
  <c r="A1293" i="44" s="1"/>
  <c r="F1265" i="44"/>
  <c r="F1236" i="44"/>
  <c r="A1236" i="44" s="1"/>
  <c r="F1205" i="44"/>
  <c r="F1145" i="44"/>
  <c r="F1395" i="44"/>
  <c r="F1421" i="44"/>
  <c r="A1421" i="44" s="1"/>
  <c r="F1302" i="44"/>
  <c r="A1302" i="44" s="1"/>
  <c r="F1413" i="44"/>
  <c r="F1355" i="44"/>
  <c r="A1355" i="44" s="1"/>
  <c r="F1383" i="44"/>
  <c r="F1348" i="44"/>
  <c r="F1320" i="44"/>
  <c r="A1320" i="44" s="1"/>
  <c r="F1292" i="44"/>
  <c r="A1292" i="44" s="1"/>
  <c r="F1263" i="44"/>
  <c r="F1232" i="44"/>
  <c r="A1232" i="44" s="1"/>
  <c r="F1204" i="44"/>
  <c r="F1144" i="44"/>
  <c r="F1308" i="44"/>
  <c r="A1308" i="44" s="1"/>
  <c r="F1420" i="44"/>
  <c r="A1420" i="44" s="1"/>
  <c r="F1330" i="44"/>
  <c r="F1356" i="44"/>
  <c r="A1356" i="44" s="1"/>
  <c r="F1384" i="44"/>
  <c r="F1353" i="44"/>
  <c r="F1435" i="44"/>
  <c r="F1376" i="44"/>
  <c r="F1347" i="44"/>
  <c r="F1319" i="44"/>
  <c r="A1319" i="44" s="1"/>
  <c r="F1290" i="44"/>
  <c r="A1290" i="44" s="1"/>
  <c r="F1259" i="44"/>
  <c r="F1231" i="44"/>
  <c r="A1231" i="44" s="1"/>
  <c r="F1203" i="44"/>
  <c r="F1426" i="44"/>
  <c r="A1426" i="44" s="1"/>
  <c r="F1304" i="44"/>
  <c r="A1304" i="44" s="1"/>
  <c r="F1390" i="44"/>
  <c r="F1299" i="44"/>
  <c r="A1299" i="44" s="1"/>
  <c r="F1411" i="44"/>
  <c r="F1438" i="44"/>
  <c r="F1437" i="44"/>
  <c r="F1375" i="44"/>
  <c r="F1346" i="44"/>
  <c r="F1317" i="44"/>
  <c r="A1317" i="44" s="1"/>
  <c r="F1286" i="44"/>
  <c r="A1286" i="44" s="1"/>
  <c r="F1258" i="44"/>
  <c r="F1230" i="44"/>
  <c r="A1230" i="44" s="1"/>
  <c r="F1202" i="44"/>
  <c r="F1142" i="44"/>
  <c r="A1142" i="44" s="1"/>
  <c r="F1335" i="44"/>
  <c r="F1419" i="44"/>
  <c r="A1419" i="44" s="1"/>
  <c r="F1386" i="44"/>
  <c r="F1385" i="44"/>
  <c r="F1412" i="44"/>
  <c r="F1439" i="44"/>
  <c r="F1349" i="44"/>
  <c r="F1374" i="44"/>
  <c r="F1344" i="44"/>
  <c r="F1313" i="44"/>
  <c r="A1313" i="44" s="1"/>
  <c r="F1285" i="44"/>
  <c r="A1285" i="44" s="1"/>
  <c r="F1257" i="44"/>
  <c r="F1229" i="44"/>
  <c r="A1229" i="44" s="1"/>
  <c r="F1198" i="44"/>
  <c r="A1198" i="44" s="1"/>
  <c r="F1141" i="44"/>
  <c r="A1141" i="44" s="1"/>
  <c r="F1422" i="44"/>
  <c r="A1422" i="44" s="1"/>
  <c r="F1275" i="44"/>
  <c r="A1275" i="44" s="1"/>
  <c r="F1329" i="44"/>
  <c r="F1295" i="44"/>
  <c r="A1295" i="44" s="1"/>
  <c r="F1381" i="44"/>
  <c r="F1377" i="44"/>
  <c r="F1429" i="44"/>
  <c r="F1372" i="44"/>
  <c r="A1372" i="44" s="1"/>
  <c r="F1340" i="44"/>
  <c r="F1312" i="44"/>
  <c r="A1312" i="44" s="1"/>
  <c r="F1284" i="44"/>
  <c r="A1284" i="44" s="1"/>
  <c r="F1256" i="44"/>
  <c r="F1227" i="44"/>
  <c r="A1227" i="44" s="1"/>
  <c r="F1194" i="44"/>
  <c r="A1194" i="44" s="1"/>
  <c r="F1140" i="44"/>
  <c r="A1140" i="44" s="1"/>
  <c r="F1276" i="44"/>
  <c r="A1276" i="44" s="1"/>
  <c r="F1358" i="44"/>
  <c r="A1358" i="44" s="1"/>
  <c r="F1444" i="44"/>
  <c r="F1326" i="44"/>
  <c r="A1326" i="44" s="1"/>
  <c r="F1321" i="44"/>
  <c r="A1321" i="44" s="1"/>
  <c r="F1431" i="44"/>
  <c r="F1430" i="44"/>
  <c r="F1428" i="44"/>
  <c r="F1399" i="44"/>
  <c r="F1368" i="44"/>
  <c r="A1368" i="44" s="1"/>
  <c r="F1339" i="44"/>
  <c r="F1311" i="44"/>
  <c r="A1311" i="44" s="1"/>
  <c r="F1283" i="44"/>
  <c r="A1283" i="44" s="1"/>
  <c r="F1254" i="44"/>
  <c r="A1254" i="44" s="1"/>
  <c r="F1223" i="44"/>
  <c r="A1223" i="44" s="1"/>
  <c r="F1193" i="44"/>
  <c r="A1193" i="44" s="1"/>
  <c r="F1139" i="44"/>
  <c r="A1139" i="44" s="1"/>
  <c r="E1468" i="44"/>
  <c r="A1468" i="44" s="1"/>
  <c r="K1469" i="44"/>
  <c r="J1469" i="44"/>
  <c r="E1469" i="44" l="1"/>
  <c r="A1469" i="44" s="1"/>
  <c r="K1470" i="44"/>
  <c r="J1470" i="44"/>
  <c r="E1470" i="44" l="1"/>
  <c r="A1470" i="44" s="1"/>
  <c r="J1471" i="44"/>
  <c r="K1471" i="44"/>
  <c r="E1471" i="44" l="1"/>
  <c r="A1471" i="44" s="1"/>
  <c r="J1474" i="44"/>
  <c r="K1473" i="44"/>
  <c r="J1473" i="44"/>
  <c r="E1473" i="44" l="1"/>
  <c r="A1473" i="44" s="1"/>
  <c r="K1474" i="44"/>
  <c r="J1475" i="44"/>
  <c r="E1474" i="44" l="1"/>
  <c r="A1474" i="44" s="1"/>
  <c r="J1478" i="44"/>
  <c r="K1475" i="44"/>
  <c r="E1475" i="44" l="1"/>
  <c r="A1475" i="44" s="1"/>
  <c r="E1478" i="44" l="1"/>
  <c r="A1478" i="44" s="1"/>
  <c r="F171" i="3"/>
  <c r="B50" i="44"/>
  <c r="C50" i="44"/>
  <c r="D50" i="44" l="1"/>
  <c r="J1103" i="44"/>
  <c r="E50" i="44"/>
  <c r="K1103" i="44"/>
  <c r="F1157" i="44" l="1"/>
  <c r="A1157" i="44" s="1"/>
  <c r="F1166" i="44"/>
  <c r="A1166" i="44" s="1"/>
  <c r="F1167" i="44"/>
  <c r="A1167" i="44" s="1"/>
  <c r="F1175" i="44"/>
  <c r="A1175" i="44" s="1"/>
  <c r="F1159" i="44"/>
  <c r="A1159" i="44" s="1"/>
  <c r="F1168" i="44"/>
  <c r="A1168" i="44" s="1"/>
  <c r="F1161" i="44"/>
  <c r="A1161" i="44" s="1"/>
  <c r="F1170" i="44"/>
  <c r="A1170" i="44" s="1"/>
  <c r="F1158" i="44"/>
  <c r="A1158" i="44" s="1"/>
  <c r="E1103" i="44"/>
  <c r="F1143" i="44"/>
  <c r="F1179" i="44"/>
  <c r="A1179" i="44" s="1"/>
  <c r="F1190" i="44"/>
  <c r="A1190" i="44" s="1"/>
  <c r="F1201" i="44"/>
  <c r="F1210" i="44"/>
  <c r="A1210" i="44" s="1"/>
  <c r="F1219" i="44"/>
  <c r="A1219" i="44" s="1"/>
  <c r="F1228" i="44"/>
  <c r="A1228" i="44" s="1"/>
  <c r="F1237" i="44"/>
  <c r="F1246" i="44"/>
  <c r="A1246" i="44" s="1"/>
  <c r="F1255" i="44"/>
  <c r="F1264" i="44"/>
  <c r="F1273" i="44"/>
  <c r="A1273" i="44" s="1"/>
  <c r="F1282" i="44"/>
  <c r="A1282" i="44" s="1"/>
  <c r="F1291" i="44"/>
  <c r="A1291" i="44" s="1"/>
  <c r="F1300" i="44"/>
  <c r="A1300" i="44" s="1"/>
  <c r="F1309" i="44"/>
  <c r="A1309" i="44" s="1"/>
  <c r="F1318" i="44"/>
  <c r="A1318" i="44" s="1"/>
  <c r="F1327" i="44"/>
  <c r="F1336" i="44"/>
  <c r="F1345" i="44"/>
  <c r="F1354" i="44"/>
  <c r="A1354" i="44" s="1"/>
  <c r="F1364" i="44"/>
  <c r="A1364" i="44" s="1"/>
  <c r="F1373" i="44"/>
  <c r="F1382" i="44"/>
  <c r="F1391" i="44"/>
  <c r="F1409" i="44"/>
  <c r="F1418" i="44"/>
  <c r="A1418" i="44" s="1"/>
  <c r="F1427" i="44"/>
  <c r="F1436" i="44"/>
  <c r="F1149" i="44"/>
  <c r="F1176" i="44"/>
  <c r="A1176" i="44" s="1"/>
  <c r="F1185" i="44"/>
  <c r="A1185" i="44" s="1"/>
  <c r="F1196" i="44"/>
  <c r="A1196" i="44" s="1"/>
  <c r="F1207" i="44"/>
  <c r="F1216" i="44"/>
  <c r="A1216" i="44" s="1"/>
  <c r="F1225" i="44"/>
  <c r="A1225" i="44" s="1"/>
  <c r="F1234" i="44"/>
  <c r="A1234" i="44" s="1"/>
  <c r="F1243" i="44"/>
  <c r="F1252" i="44"/>
  <c r="A1252" i="44" s="1"/>
  <c r="F1261" i="44"/>
  <c r="F1270" i="44"/>
  <c r="F1279" i="44"/>
  <c r="A1279" i="44" s="1"/>
  <c r="F1288" i="44"/>
  <c r="A1288" i="44" s="1"/>
  <c r="F1297" i="44"/>
  <c r="A1297" i="44" s="1"/>
  <c r="F1306" i="44"/>
  <c r="A1306" i="44" s="1"/>
  <c r="F1315" i="44"/>
  <c r="A1315" i="44" s="1"/>
  <c r="F1324" i="44"/>
  <c r="A1324" i="44" s="1"/>
  <c r="F1333" i="44"/>
  <c r="F1342" i="44"/>
  <c r="F1351" i="44"/>
  <c r="F1360" i="44"/>
  <c r="A1360" i="44" s="1"/>
  <c r="F1370" i="44"/>
  <c r="A1370" i="44" s="1"/>
  <c r="F1379" i="44"/>
  <c r="F1388" i="44"/>
  <c r="F1397" i="44"/>
  <c r="F1415" i="44"/>
  <c r="F1424" i="44"/>
  <c r="A1424" i="44" s="1"/>
  <c r="F1433" i="44"/>
  <c r="F1442" i="44"/>
  <c r="F1188" i="44"/>
  <c r="A1188" i="44" s="1"/>
  <c r="F1148" i="44"/>
  <c r="F1184" i="44"/>
  <c r="A1184" i="44" s="1"/>
  <c r="F1195" i="44"/>
  <c r="A1195" i="44" s="1"/>
  <c r="F1206" i="44"/>
  <c r="F1215" i="44"/>
  <c r="A1215" i="44" s="1"/>
  <c r="F1224" i="44"/>
  <c r="A1224" i="44" s="1"/>
  <c r="F1233" i="44"/>
  <c r="A1233" i="44" s="1"/>
  <c r="F1242" i="44"/>
  <c r="F1251" i="44"/>
  <c r="A1251" i="44" s="1"/>
  <c r="F1260" i="44"/>
  <c r="F1269" i="44"/>
  <c r="F1278" i="44"/>
  <c r="A1278" i="44" s="1"/>
  <c r="F1287" i="44"/>
  <c r="A1287" i="44" s="1"/>
  <c r="F1296" i="44"/>
  <c r="A1296" i="44" s="1"/>
  <c r="F1305" i="44"/>
  <c r="A1305" i="44" s="1"/>
  <c r="F1314" i="44"/>
  <c r="A1314" i="44" s="1"/>
  <c r="F1323" i="44"/>
  <c r="A1323" i="44" s="1"/>
  <c r="F1332" i="44"/>
  <c r="F1341" i="44"/>
  <c r="F1350" i="44"/>
  <c r="F1359" i="44"/>
  <c r="A1359" i="44" s="1"/>
  <c r="F1369" i="44"/>
  <c r="A1369" i="44" s="1"/>
  <c r="F1378" i="44"/>
  <c r="F1387" i="44"/>
  <c r="F1396" i="44"/>
  <c r="F1414" i="44"/>
  <c r="F1423" i="44"/>
  <c r="A1423" i="44" s="1"/>
  <c r="F1432" i="44"/>
  <c r="F1441" i="44"/>
  <c r="F1150" i="44"/>
  <c r="F1177" i="44"/>
  <c r="A1177" i="44" s="1"/>
  <c r="F1186" i="44"/>
  <c r="A1186" i="44" s="1"/>
  <c r="F1197" i="44"/>
  <c r="A1197" i="44" s="1"/>
  <c r="F1208" i="44"/>
  <c r="F1217" i="44"/>
  <c r="A1217" i="44" s="1"/>
  <c r="F1226" i="44"/>
  <c r="A1226" i="44" s="1"/>
  <c r="F1235" i="44"/>
  <c r="A1235" i="44" s="1"/>
  <c r="F1244" i="44"/>
  <c r="F1253" i="44"/>
  <c r="A1253" i="44" s="1"/>
  <c r="F1262" i="44"/>
  <c r="F1271" i="44"/>
  <c r="F1280" i="44"/>
  <c r="A1280" i="44" s="1"/>
  <c r="F1289" i="44"/>
  <c r="A1289" i="44" s="1"/>
  <c r="F1298" i="44"/>
  <c r="A1298" i="44" s="1"/>
  <c r="F1307" i="44"/>
  <c r="A1307" i="44" s="1"/>
  <c r="F1316" i="44"/>
  <c r="A1316" i="44" s="1"/>
  <c r="F1325" i="44"/>
  <c r="A1325" i="44" s="1"/>
  <c r="F1334" i="44"/>
  <c r="F1343" i="44"/>
  <c r="F1352" i="44"/>
  <c r="F1361" i="44"/>
  <c r="A1361" i="44" s="1"/>
  <c r="F1371" i="44"/>
  <c r="A1371" i="44" s="1"/>
  <c r="F1380" i="44"/>
  <c r="F1389" i="44"/>
  <c r="F1398" i="44"/>
  <c r="F1416" i="44"/>
  <c r="F1425" i="44"/>
  <c r="A1425" i="44" s="1"/>
  <c r="F1434" i="44"/>
  <c r="F1443" i="44"/>
  <c r="F50" i="44"/>
  <c r="A50" i="44" s="1"/>
  <c r="B3428" i="44"/>
  <c r="D3428" i="44" s="1"/>
  <c r="E3428" i="44"/>
  <c r="A1103" i="44" l="1"/>
  <c r="G1103" i="44" s="1"/>
  <c r="G1104" i="44" s="1"/>
  <c r="D555" i="3"/>
  <c r="C422" i="3"/>
  <c r="B325" i="5"/>
  <c r="C3428" i="44"/>
  <c r="F3428" i="44" l="1"/>
  <c r="A3428" i="44" s="1"/>
  <c r="B342" i="5"/>
  <c r="B341" i="5"/>
  <c r="B340" i="5"/>
  <c r="B339" i="5"/>
  <c r="B338" i="5"/>
  <c r="B337" i="5"/>
  <c r="B336" i="5"/>
  <c r="B335" i="5"/>
  <c r="B334" i="5"/>
  <c r="B333" i="5"/>
  <c r="B332" i="5"/>
  <c r="B331" i="5"/>
  <c r="B330" i="5"/>
  <c r="B329" i="5"/>
  <c r="B328" i="5"/>
  <c r="B327" i="5"/>
  <c r="B326" i="5" l="1"/>
  <c r="C261" i="5" l="1"/>
  <c r="B49" i="44"/>
  <c r="D49" i="44" s="1"/>
  <c r="E49" i="44"/>
  <c r="C292" i="5" l="1"/>
  <c r="B68" i="20"/>
  <c r="B40" i="44"/>
  <c r="B36" i="44"/>
  <c r="D36" i="44" s="1"/>
  <c r="B37" i="44"/>
  <c r="D37" i="44" s="1"/>
  <c r="B38" i="44"/>
  <c r="C40" i="44"/>
  <c r="C38" i="44"/>
  <c r="C49" i="44"/>
  <c r="E36" i="44"/>
  <c r="E37" i="44"/>
  <c r="F49" i="44" l="1"/>
  <c r="A49" i="44" s="1"/>
  <c r="C219" i="5"/>
  <c r="D40" i="44"/>
  <c r="D38" i="44"/>
  <c r="E40" i="44"/>
  <c r="C37" i="44"/>
  <c r="C36" i="44"/>
  <c r="E38" i="44"/>
  <c r="F36" i="44" l="1"/>
  <c r="A36" i="44" s="1"/>
  <c r="F37" i="44"/>
  <c r="A37" i="44" s="1"/>
  <c r="F40" i="44"/>
  <c r="A40" i="44" s="1"/>
  <c r="F38" i="44"/>
  <c r="A38" i="44" s="1"/>
  <c r="F716" i="3"/>
  <c r="H127" i="3" l="1"/>
  <c r="H112" i="44" l="1"/>
  <c r="F844" i="3"/>
  <c r="B10" i="3" l="1"/>
  <c r="F125" i="32"/>
  <c r="G125" i="32"/>
  <c r="H125" i="32"/>
  <c r="I125" i="32"/>
  <c r="J125" i="32"/>
  <c r="K125" i="32"/>
  <c r="E125" i="32"/>
  <c r="K31" i="49" l="1"/>
  <c r="J35" i="51"/>
  <c r="C35" i="51"/>
  <c r="J31" i="49"/>
  <c r="F594" i="3"/>
  <c r="F596" i="3"/>
  <c r="F593" i="3"/>
  <c r="H83" i="25" s="1"/>
  <c r="F597" i="3"/>
  <c r="F599" i="3"/>
  <c r="F598" i="3"/>
  <c r="C585" i="3"/>
  <c r="F595" i="3"/>
  <c r="C574" i="3"/>
  <c r="C608" i="3"/>
  <c r="C605" i="3"/>
  <c r="C590" i="3"/>
  <c r="C555" i="3"/>
  <c r="B849" i="3"/>
  <c r="D929" i="5" s="1"/>
  <c r="C119" i="25"/>
  <c r="B56" i="25"/>
  <c r="D118" i="25" l="1"/>
  <c r="G845" i="3"/>
  <c r="B53" i="25"/>
  <c r="B50" i="25"/>
  <c r="B45" i="25"/>
  <c r="B44" i="25"/>
  <c r="B43" i="25"/>
  <c r="B42" i="25"/>
  <c r="B41" i="25"/>
  <c r="B40" i="25"/>
  <c r="B36" i="25"/>
  <c r="B27" i="25"/>
  <c r="C318" i="3" l="1"/>
  <c r="B318" i="3" s="1"/>
  <c r="J45" i="25" l="1"/>
  <c r="C538" i="5"/>
  <c r="H71" i="24"/>
  <c r="A147" i="5" l="1"/>
  <c r="A148" i="5"/>
  <c r="A149" i="5"/>
  <c r="A150" i="5"/>
  <c r="A151" i="5"/>
  <c r="A152" i="5"/>
  <c r="A153" i="5"/>
  <c r="A154" i="5"/>
  <c r="A155" i="5"/>
  <c r="A156" i="5"/>
  <c r="A160" i="5"/>
  <c r="A161" i="5"/>
  <c r="A162" i="5"/>
  <c r="A163" i="5"/>
  <c r="A164" i="5"/>
  <c r="A165" i="5"/>
  <c r="A166" i="5"/>
  <c r="A167" i="5"/>
  <c r="A172" i="5"/>
  <c r="A173" i="5"/>
  <c r="A174" i="5"/>
  <c r="A175" i="5"/>
  <c r="A176" i="5"/>
  <c r="A177" i="5"/>
  <c r="A178" i="5"/>
  <c r="A179" i="5"/>
  <c r="A180" i="5"/>
  <c r="A184" i="5"/>
  <c r="A185" i="5"/>
  <c r="A186" i="5"/>
  <c r="A187" i="5"/>
  <c r="A188" i="5"/>
  <c r="A209" i="5"/>
  <c r="A252" i="5"/>
  <c r="A253" i="5"/>
  <c r="A269" i="5"/>
  <c r="A274" i="5"/>
  <c r="A279" i="5"/>
  <c r="A280" i="5"/>
  <c r="A281" i="5"/>
  <c r="A283" i="5"/>
  <c r="A284" i="5"/>
  <c r="A305" i="5"/>
  <c r="A306" i="5"/>
  <c r="A307" i="5"/>
  <c r="A308" i="5"/>
  <c r="A309" i="5"/>
  <c r="A343" i="5"/>
  <c r="A344" i="5"/>
  <c r="A345" i="5"/>
  <c r="A346" i="5"/>
  <c r="A347" i="5"/>
  <c r="A348" i="5"/>
  <c r="A349" i="5"/>
  <c r="A350" i="5"/>
  <c r="A351" i="5"/>
  <c r="A352" i="5"/>
  <c r="A353" i="5"/>
  <c r="A354" i="5"/>
  <c r="A355" i="5"/>
  <c r="A356" i="5"/>
  <c r="A357" i="5"/>
  <c r="A358" i="5"/>
  <c r="A362" i="5"/>
  <c r="A363" i="5"/>
  <c r="A364" i="5"/>
  <c r="A365" i="5"/>
  <c r="A366" i="5"/>
  <c r="A367" i="5"/>
  <c r="A368" i="5"/>
  <c r="A369" i="5"/>
  <c r="A370" i="5"/>
  <c r="A371" i="5"/>
  <c r="A372" i="5"/>
  <c r="A376" i="5"/>
  <c r="A377" i="5"/>
  <c r="A378" i="5"/>
  <c r="A379" i="5"/>
  <c r="A380" i="5"/>
  <c r="A381" i="5"/>
  <c r="A382" i="5"/>
  <c r="A383" i="5"/>
  <c r="A384" i="5"/>
  <c r="A385" i="5"/>
  <c r="A386" i="5"/>
  <c r="A387" i="5"/>
  <c r="A388" i="5"/>
  <c r="A389" i="5"/>
  <c r="A394" i="5"/>
  <c r="A395" i="5"/>
  <c r="A396" i="5"/>
  <c r="A397" i="5"/>
  <c r="A398" i="5"/>
  <c r="A399" i="5"/>
  <c r="A400" i="5"/>
  <c r="A401" i="5"/>
  <c r="A402" i="5"/>
  <c r="A403" i="5"/>
  <c r="A404" i="5"/>
  <c r="A408" i="5"/>
  <c r="A409" i="5"/>
  <c r="A410" i="5"/>
  <c r="A411" i="5"/>
  <c r="A412" i="5"/>
  <c r="A413" i="5"/>
  <c r="A414" i="5"/>
  <c r="A415" i="5"/>
  <c r="A416" i="5"/>
  <c r="A417" i="5"/>
  <c r="A418" i="5"/>
  <c r="A419" i="5"/>
  <c r="A420" i="5"/>
  <c r="A421" i="5"/>
  <c r="A425" i="5"/>
  <c r="A426" i="5"/>
  <c r="A427" i="5"/>
  <c r="A431" i="5"/>
  <c r="A432" i="5"/>
  <c r="A433" i="5"/>
  <c r="A434" i="5"/>
  <c r="A435" i="5"/>
  <c r="A436" i="5"/>
  <c r="A437" i="5"/>
  <c r="A438" i="5"/>
  <c r="A439" i="5"/>
  <c r="A440" i="5"/>
  <c r="A441" i="5"/>
  <c r="A748" i="5"/>
  <c r="A749" i="5"/>
  <c r="A795" i="5"/>
  <c r="A796" i="5"/>
  <c r="A797" i="5"/>
  <c r="A798" i="5"/>
  <c r="A799" i="5"/>
  <c r="A800" i="5"/>
  <c r="A801" i="5"/>
  <c r="A802" i="5"/>
  <c r="A803" i="5"/>
  <c r="A804" i="5"/>
  <c r="A805" i="5"/>
  <c r="A806" i="5"/>
  <c r="A807" i="5"/>
  <c r="A808" i="5"/>
  <c r="A809" i="5"/>
  <c r="A810" i="5"/>
  <c r="A811" i="5"/>
  <c r="A812" i="5"/>
  <c r="A813" i="5"/>
  <c r="A814" i="5"/>
  <c r="A815" i="5"/>
  <c r="A816" i="5"/>
  <c r="A817" i="5"/>
  <c r="A818" i="5"/>
  <c r="A819" i="5"/>
  <c r="A823" i="5"/>
  <c r="A827" i="5"/>
  <c r="A828" i="5"/>
  <c r="A829" i="5"/>
  <c r="A830" i="5"/>
  <c r="A832" i="5"/>
  <c r="A833" i="5"/>
  <c r="A834" i="5"/>
  <c r="A835" i="5"/>
  <c r="A836" i="5"/>
  <c r="A837" i="5"/>
  <c r="F189" i="24" l="1"/>
  <c r="G189" i="24"/>
  <c r="H189" i="24"/>
  <c r="I189" i="24"/>
  <c r="J189" i="24"/>
  <c r="E189" i="24"/>
  <c r="C181" i="3"/>
  <c r="B181" i="3"/>
  <c r="B80" i="19" l="1"/>
  <c r="B132" i="44" l="1"/>
  <c r="B128" i="44"/>
  <c r="D128" i="44" s="1"/>
  <c r="B129" i="44"/>
  <c r="D129" i="44" s="1"/>
  <c r="B130" i="44"/>
  <c r="D130" i="44" s="1"/>
  <c r="B131" i="44"/>
  <c r="D131" i="44" s="1"/>
  <c r="B127" i="44"/>
  <c r="D127" i="44" s="1"/>
  <c r="B124" i="44"/>
  <c r="D124" i="44" s="1"/>
  <c r="B125" i="44"/>
  <c r="D125" i="44" s="1"/>
  <c r="B126" i="44"/>
  <c r="D126" i="44" s="1"/>
  <c r="B121" i="44"/>
  <c r="E131" i="44"/>
  <c r="C132" i="44"/>
  <c r="E129" i="44"/>
  <c r="C121" i="44"/>
  <c r="E128" i="44"/>
  <c r="E130" i="44"/>
  <c r="C126" i="44"/>
  <c r="C129" i="44"/>
  <c r="D132" i="44" l="1"/>
  <c r="F129" i="44"/>
  <c r="A129" i="44" s="1"/>
  <c r="D121" i="44"/>
  <c r="B122" i="44"/>
  <c r="E132" i="44"/>
  <c r="C124" i="44"/>
  <c r="C131" i="44"/>
  <c r="C122" i="44"/>
  <c r="C125" i="44"/>
  <c r="C128" i="44"/>
  <c r="C130" i="44"/>
  <c r="C127" i="44"/>
  <c r="F131" i="44" l="1"/>
  <c r="A131" i="44" s="1"/>
  <c r="F128" i="44"/>
  <c r="A128" i="44" s="1"/>
  <c r="F130" i="44"/>
  <c r="A130" i="44" s="1"/>
  <c r="F132" i="44"/>
  <c r="A132" i="44" s="1"/>
  <c r="D122" i="44"/>
  <c r="B123" i="44"/>
  <c r="D123" i="44" s="1"/>
  <c r="E121" i="44"/>
  <c r="C514" i="5" l="1"/>
  <c r="C123" i="44"/>
  <c r="B359" i="3" l="1"/>
  <c r="D3" i="32" l="1"/>
  <c r="B419" i="3" l="1"/>
  <c r="B102" i="44" l="1"/>
  <c r="B101" i="44"/>
  <c r="D101" i="44" s="1"/>
  <c r="E101" i="44"/>
  <c r="C102" i="44"/>
  <c r="D102" i="44" l="1"/>
  <c r="E102" i="44"/>
  <c r="C101" i="44"/>
  <c r="F101" i="44" l="1"/>
  <c r="A101" i="44" s="1"/>
  <c r="H130" i="3"/>
  <c r="B95" i="44" l="1"/>
  <c r="C95" i="44"/>
  <c r="D95" i="44" l="1"/>
  <c r="E95" i="44"/>
  <c r="F95" i="44" l="1"/>
  <c r="A95" i="44" s="1"/>
  <c r="B90" i="44" l="1"/>
  <c r="D90" i="44" s="1"/>
  <c r="B91" i="44"/>
  <c r="D91" i="44" s="1"/>
  <c r="C285" i="5"/>
  <c r="C251" i="5"/>
  <c r="B330" i="3"/>
  <c r="E91" i="44"/>
  <c r="E90" i="44"/>
  <c r="C90" i="44"/>
  <c r="F90" i="44" l="1"/>
  <c r="A90" i="44" s="1"/>
  <c r="C91" i="44"/>
  <c r="F91" i="44" l="1"/>
  <c r="A91" i="44" s="1"/>
  <c r="B79" i="44" l="1"/>
  <c r="B74" i="44" l="1"/>
  <c r="D74" i="44" s="1"/>
  <c r="B75" i="44"/>
  <c r="D75" i="44" s="1"/>
  <c r="B63" i="44"/>
  <c r="E74" i="44"/>
  <c r="E75" i="44"/>
  <c r="C63" i="44"/>
  <c r="D63" i="44" l="1"/>
  <c r="E63" i="44"/>
  <c r="C74" i="44"/>
  <c r="C75" i="44"/>
  <c r="F75" i="44" l="1"/>
  <c r="F74" i="44"/>
  <c r="F63" i="44"/>
  <c r="A63" i="44" s="1"/>
  <c r="B53" i="44"/>
  <c r="D53" i="44" s="1"/>
  <c r="B55" i="44"/>
  <c r="B57" i="44"/>
  <c r="B58" i="44"/>
  <c r="B59" i="44"/>
  <c r="B60" i="44"/>
  <c r="B61" i="44"/>
  <c r="B62" i="44"/>
  <c r="B64" i="44"/>
  <c r="B65" i="44"/>
  <c r="B66" i="44"/>
  <c r="B67" i="44"/>
  <c r="B68" i="44"/>
  <c r="B69" i="44"/>
  <c r="B70" i="44"/>
  <c r="B72" i="44"/>
  <c r="B73" i="44"/>
  <c r="B71" i="44"/>
  <c r="B78" i="44"/>
  <c r="B80" i="44"/>
  <c r="B81" i="44"/>
  <c r="B82" i="44"/>
  <c r="B83" i="44"/>
  <c r="B84" i="44"/>
  <c r="B85" i="44"/>
  <c r="B92" i="44"/>
  <c r="B93" i="44"/>
  <c r="B94" i="44"/>
  <c r="B96" i="44"/>
  <c r="B97" i="44"/>
  <c r="B98" i="44"/>
  <c r="B99" i="44"/>
  <c r="B100" i="44"/>
  <c r="B103" i="44"/>
  <c r="B104" i="44"/>
  <c r="B105" i="44"/>
  <c r="B106" i="44"/>
  <c r="B107" i="44"/>
  <c r="B108" i="44"/>
  <c r="B111" i="44"/>
  <c r="B112" i="44"/>
  <c r="B113" i="44"/>
  <c r="B114" i="44"/>
  <c r="B115" i="44"/>
  <c r="B116" i="44"/>
  <c r="B117" i="44"/>
  <c r="B118" i="44"/>
  <c r="B119" i="44"/>
  <c r="B120" i="44"/>
  <c r="B876" i="3"/>
  <c r="C448" i="5" s="1"/>
  <c r="E53" i="44"/>
  <c r="C226" i="5" l="1"/>
  <c r="C227" i="5"/>
  <c r="C53" i="44"/>
  <c r="F53" i="44" l="1"/>
  <c r="A53" i="44" s="1"/>
  <c r="C231" i="5"/>
  <c r="C217" i="5" l="1"/>
  <c r="B3427" i="44"/>
  <c r="D3427" i="44" s="1"/>
  <c r="E3427" i="44"/>
  <c r="C281" i="5" l="1"/>
  <c r="C3427" i="44"/>
  <c r="F3427" i="44" l="1"/>
  <c r="A3427" i="44" s="1"/>
  <c r="C1431" i="5" l="1"/>
  <c r="D1431" i="5" s="1"/>
  <c r="B34" i="3"/>
  <c r="B35" i="3"/>
  <c r="B36" i="3"/>
  <c r="B37" i="3"/>
  <c r="B38" i="3"/>
  <c r="B39" i="3"/>
  <c r="B40" i="3"/>
  <c r="B43" i="3"/>
  <c r="E198" i="24" s="1"/>
  <c r="B44" i="3"/>
  <c r="E199" i="24" s="1"/>
  <c r="C34" i="3"/>
  <c r="C35" i="3"/>
  <c r="C36" i="3"/>
  <c r="C37" i="3"/>
  <c r="C38" i="3"/>
  <c r="C39" i="3"/>
  <c r="C40" i="3"/>
  <c r="C43" i="3"/>
  <c r="F198" i="24" s="1"/>
  <c r="C44" i="3"/>
  <c r="F199" i="24" s="1"/>
  <c r="D34" i="3"/>
  <c r="D35" i="3"/>
  <c r="D36" i="3"/>
  <c r="D37" i="3"/>
  <c r="D38" i="3"/>
  <c r="D39" i="3"/>
  <c r="D40" i="3"/>
  <c r="D43" i="3"/>
  <c r="G198" i="24" s="1"/>
  <c r="D44" i="3"/>
  <c r="G199" i="24" s="1"/>
  <c r="E34" i="3"/>
  <c r="E35" i="3"/>
  <c r="E36" i="3"/>
  <c r="E37" i="3"/>
  <c r="E38" i="3"/>
  <c r="E39" i="3"/>
  <c r="E40" i="3"/>
  <c r="E43" i="3"/>
  <c r="H198" i="24" s="1"/>
  <c r="E44" i="3"/>
  <c r="H199" i="24" s="1"/>
  <c r="F34" i="3"/>
  <c r="F35" i="3"/>
  <c r="F36" i="3"/>
  <c r="F37" i="3"/>
  <c r="F38" i="3"/>
  <c r="F39" i="3"/>
  <c r="F40" i="3"/>
  <c r="F43" i="3"/>
  <c r="I198" i="24" s="1"/>
  <c r="F44" i="3"/>
  <c r="I199" i="24" s="1"/>
  <c r="G34" i="3"/>
  <c r="G35" i="3"/>
  <c r="G36" i="3"/>
  <c r="G37" i="3"/>
  <c r="G38" i="3"/>
  <c r="G39" i="3"/>
  <c r="G40" i="3"/>
  <c r="G43" i="3"/>
  <c r="J198" i="24" s="1"/>
  <c r="G44" i="3"/>
  <c r="J199" i="24" s="1"/>
  <c r="B1506" i="44"/>
  <c r="D1506" i="44" s="1"/>
  <c r="B1507" i="44"/>
  <c r="D1507" i="44" s="1"/>
  <c r="B14" i="3"/>
  <c r="B16" i="3"/>
  <c r="C16" i="3" s="1"/>
  <c r="B17" i="3"/>
  <c r="B19" i="3" s="1"/>
  <c r="B220" i="44"/>
  <c r="D220" i="44" s="1"/>
  <c r="B221" i="44"/>
  <c r="D221" i="44" s="1"/>
  <c r="B222" i="44"/>
  <c r="D222" i="44" s="1"/>
  <c r="B223" i="44"/>
  <c r="D223" i="44" s="1"/>
  <c r="F223" i="44" s="1"/>
  <c r="B224" i="44"/>
  <c r="D224" i="44" s="1"/>
  <c r="F224" i="44" s="1"/>
  <c r="B225" i="44"/>
  <c r="D225" i="44" s="1"/>
  <c r="F225" i="44" s="1"/>
  <c r="B226" i="44"/>
  <c r="D226" i="44" s="1"/>
  <c r="F226" i="44" s="1"/>
  <c r="B227" i="44"/>
  <c r="D227" i="44" s="1"/>
  <c r="F227" i="44" s="1"/>
  <c r="B228" i="44"/>
  <c r="D228" i="44" s="1"/>
  <c r="F228" i="44" s="1"/>
  <c r="B229" i="44"/>
  <c r="D229" i="44" s="1"/>
  <c r="F229" i="44" s="1"/>
  <c r="B230" i="44"/>
  <c r="D230" i="44" s="1"/>
  <c r="F230" i="44" s="1"/>
  <c r="B231" i="44"/>
  <c r="D231" i="44" s="1"/>
  <c r="B232" i="44"/>
  <c r="D232" i="44" s="1"/>
  <c r="B6" i="3"/>
  <c r="B308" i="3"/>
  <c r="C304" i="3"/>
  <c r="D304" i="3" s="1"/>
  <c r="C305" i="3"/>
  <c r="D305" i="3" s="1"/>
  <c r="C306" i="3"/>
  <c r="B306" i="3" s="1"/>
  <c r="C311" i="3"/>
  <c r="B311" i="3" s="1"/>
  <c r="C531" i="5" s="1"/>
  <c r="C313" i="3"/>
  <c r="B313" i="3" s="1"/>
  <c r="C314" i="3"/>
  <c r="B314" i="3" s="1"/>
  <c r="C315" i="3"/>
  <c r="B315" i="3" s="1"/>
  <c r="C316" i="3"/>
  <c r="B316" i="3" s="1"/>
  <c r="C536" i="5" s="1"/>
  <c r="C317" i="3"/>
  <c r="B317" i="3" s="1"/>
  <c r="C537" i="5" s="1"/>
  <c r="C321" i="3"/>
  <c r="B321" i="3" s="1"/>
  <c r="C322" i="3"/>
  <c r="B322" i="3" s="1"/>
  <c r="C323" i="3"/>
  <c r="B323" i="3" s="1"/>
  <c r="B2" i="3"/>
  <c r="B276" i="3"/>
  <c r="B279" i="3"/>
  <c r="B172" i="3"/>
  <c r="B285" i="3"/>
  <c r="C404" i="3"/>
  <c r="C147" i="5"/>
  <c r="C148" i="5"/>
  <c r="C149" i="5"/>
  <c r="C150" i="5"/>
  <c r="C151" i="5"/>
  <c r="C152" i="5"/>
  <c r="C153" i="5"/>
  <c r="C154" i="5"/>
  <c r="C155" i="5"/>
  <c r="C323" i="5"/>
  <c r="C322" i="5"/>
  <c r="C321" i="5"/>
  <c r="C234" i="5"/>
  <c r="C585" i="5"/>
  <c r="C584" i="5"/>
  <c r="C299" i="5"/>
  <c r="B299" i="5"/>
  <c r="B81" i="19"/>
  <c r="C447" i="3" s="1"/>
  <c r="D447" i="3" s="1"/>
  <c r="B447" i="3"/>
  <c r="F64" i="25" s="1"/>
  <c r="B140" i="3"/>
  <c r="B396" i="3" s="1"/>
  <c r="C551" i="5"/>
  <c r="C550" i="5"/>
  <c r="C547" i="5"/>
  <c r="C543" i="5"/>
  <c r="D543" i="5" s="1"/>
  <c r="C233" i="5"/>
  <c r="G304" i="5"/>
  <c r="F304" i="5"/>
  <c r="C49" i="3"/>
  <c r="B113" i="24"/>
  <c r="B114" i="24"/>
  <c r="D67" i="32"/>
  <c r="B26" i="3"/>
  <c r="C771" i="5" s="1"/>
  <c r="B236" i="3"/>
  <c r="B34" i="9"/>
  <c r="B35" i="9"/>
  <c r="F212" i="44"/>
  <c r="F211" i="44"/>
  <c r="I212" i="44"/>
  <c r="B875" i="3"/>
  <c r="D32" i="24"/>
  <c r="C355" i="5"/>
  <c r="D79" i="44"/>
  <c r="C54" i="3"/>
  <c r="C55" i="3"/>
  <c r="C310" i="5"/>
  <c r="H274" i="24"/>
  <c r="H275" i="24"/>
  <c r="H276" i="24"/>
  <c r="H277" i="24"/>
  <c r="H278" i="24"/>
  <c r="H279" i="24"/>
  <c r="H280" i="24"/>
  <c r="H281" i="24"/>
  <c r="H282" i="24"/>
  <c r="H283" i="24"/>
  <c r="H284" i="24"/>
  <c r="H285" i="24"/>
  <c r="H286" i="24"/>
  <c r="H287" i="24"/>
  <c r="H288" i="24"/>
  <c r="H289" i="24"/>
  <c r="H290" i="24"/>
  <c r="H291" i="24"/>
  <c r="H292" i="24"/>
  <c r="H293" i="24"/>
  <c r="H294" i="24"/>
  <c r="H295" i="24"/>
  <c r="H296" i="24"/>
  <c r="H297" i="24"/>
  <c r="H298" i="24"/>
  <c r="H299" i="24"/>
  <c r="H300" i="24"/>
  <c r="H301" i="24"/>
  <c r="H302" i="24"/>
  <c r="H303" i="24"/>
  <c r="H304" i="24"/>
  <c r="H305" i="24"/>
  <c r="H306" i="24"/>
  <c r="H307" i="24"/>
  <c r="H308" i="24"/>
  <c r="H309" i="24"/>
  <c r="H310" i="24"/>
  <c r="H311" i="24"/>
  <c r="H312" i="24"/>
  <c r="H313" i="24"/>
  <c r="H314" i="24"/>
  <c r="H315" i="24"/>
  <c r="H316" i="24"/>
  <c r="H317" i="24"/>
  <c r="H318" i="24"/>
  <c r="H319" i="24"/>
  <c r="H320" i="24"/>
  <c r="H321" i="24"/>
  <c r="H322" i="24"/>
  <c r="H323" i="24"/>
  <c r="H324" i="24"/>
  <c r="H325" i="24"/>
  <c r="H326" i="24"/>
  <c r="H327" i="24"/>
  <c r="H328" i="24"/>
  <c r="H329" i="24"/>
  <c r="H330" i="24"/>
  <c r="H331" i="24"/>
  <c r="H332" i="24"/>
  <c r="H333" i="24"/>
  <c r="H334" i="24"/>
  <c r="H335" i="24"/>
  <c r="H70" i="24"/>
  <c r="H69" i="24"/>
  <c r="H68" i="24"/>
  <c r="H67" i="24"/>
  <c r="H66" i="24"/>
  <c r="H65" i="24"/>
  <c r="H64" i="24"/>
  <c r="H63" i="24"/>
  <c r="H62" i="24"/>
  <c r="B143" i="24"/>
  <c r="C434" i="5"/>
  <c r="D108" i="44"/>
  <c r="F102" i="44" s="1"/>
  <c r="C7" i="24"/>
  <c r="C8" i="24"/>
  <c r="C6" i="24"/>
  <c r="C3" i="24"/>
  <c r="C5" i="24"/>
  <c r="I274" i="24"/>
  <c r="I275" i="24"/>
  <c r="I276" i="24"/>
  <c r="I277" i="24"/>
  <c r="I278" i="24"/>
  <c r="I279" i="24"/>
  <c r="I280" i="24"/>
  <c r="I281" i="24"/>
  <c r="I282" i="24"/>
  <c r="I283" i="24"/>
  <c r="I284" i="24"/>
  <c r="I285" i="24"/>
  <c r="I286" i="24"/>
  <c r="I287" i="24"/>
  <c r="I288" i="24"/>
  <c r="I289" i="24"/>
  <c r="I290" i="24"/>
  <c r="I291" i="24"/>
  <c r="I292" i="24"/>
  <c r="I293" i="24"/>
  <c r="I294" i="24"/>
  <c r="I295" i="24"/>
  <c r="I296" i="24"/>
  <c r="I297" i="24"/>
  <c r="I298" i="24"/>
  <c r="I299" i="24"/>
  <c r="I300" i="24"/>
  <c r="I301" i="24"/>
  <c r="I302" i="24"/>
  <c r="I303" i="24"/>
  <c r="I304" i="24"/>
  <c r="I305" i="24"/>
  <c r="I306" i="24"/>
  <c r="I307" i="24"/>
  <c r="I308" i="24"/>
  <c r="I309" i="24"/>
  <c r="I310" i="24"/>
  <c r="I311" i="24"/>
  <c r="I312" i="24"/>
  <c r="I313" i="24"/>
  <c r="I314" i="24"/>
  <c r="I315" i="24"/>
  <c r="I316" i="24"/>
  <c r="I317" i="24"/>
  <c r="I318" i="24"/>
  <c r="I319" i="24"/>
  <c r="I320" i="24"/>
  <c r="I321" i="24"/>
  <c r="I322" i="24"/>
  <c r="I323" i="24"/>
  <c r="I324" i="24"/>
  <c r="I325" i="24"/>
  <c r="I326" i="24"/>
  <c r="I327" i="24"/>
  <c r="I328" i="24"/>
  <c r="I329" i="24"/>
  <c r="I330" i="24"/>
  <c r="I331" i="24"/>
  <c r="I332" i="24"/>
  <c r="I333" i="24"/>
  <c r="I334" i="24"/>
  <c r="I335" i="24"/>
  <c r="L69" i="3"/>
  <c r="D109" i="25" s="1"/>
  <c r="G63" i="3"/>
  <c r="F63" i="3"/>
  <c r="E63" i="3"/>
  <c r="G68" i="3"/>
  <c r="G69" i="3"/>
  <c r="F68" i="3"/>
  <c r="F69" i="3"/>
  <c r="E68" i="3"/>
  <c r="E69" i="3"/>
  <c r="D68" i="3"/>
  <c r="D69" i="3"/>
  <c r="C68" i="3"/>
  <c r="C69" i="3"/>
  <c r="C63" i="3"/>
  <c r="D63" i="3"/>
  <c r="B68" i="3"/>
  <c r="B69" i="3"/>
  <c r="B63" i="3"/>
  <c r="G54" i="3"/>
  <c r="G55" i="3"/>
  <c r="G49" i="3"/>
  <c r="G50" i="3"/>
  <c r="F54" i="3"/>
  <c r="F55" i="3"/>
  <c r="F49" i="3"/>
  <c r="E54" i="3"/>
  <c r="E55" i="3"/>
  <c r="E49" i="3"/>
  <c r="D54" i="3"/>
  <c r="D55" i="3"/>
  <c r="D49" i="3"/>
  <c r="B54" i="3"/>
  <c r="B55" i="3"/>
  <c r="B49" i="3"/>
  <c r="I112" i="30"/>
  <c r="C279" i="3"/>
  <c r="C112" i="30" s="1"/>
  <c r="D279" i="3"/>
  <c r="D112" i="30" s="1"/>
  <c r="B16" i="44"/>
  <c r="D16" i="44" s="1"/>
  <c r="B42" i="44"/>
  <c r="D42" i="44" s="1"/>
  <c r="B44" i="44"/>
  <c r="D44" i="44" s="1"/>
  <c r="B51" i="44"/>
  <c r="D51" i="44" s="1"/>
  <c r="B376" i="3"/>
  <c r="B244" i="44"/>
  <c r="D244" i="44" s="1"/>
  <c r="C1432" i="5"/>
  <c r="D1432" i="5" s="1"/>
  <c r="C1433" i="5"/>
  <c r="D1433" i="5" s="1"/>
  <c r="F124" i="10"/>
  <c r="B142" i="3"/>
  <c r="C205" i="5" s="1"/>
  <c r="C1410" i="5"/>
  <c r="D1410" i="5" s="1"/>
  <c r="C1469" i="5"/>
  <c r="D1469" i="5" s="1"/>
  <c r="C1470" i="5"/>
  <c r="D1470" i="5" s="1"/>
  <c r="C1471" i="5"/>
  <c r="D1471" i="5" s="1"/>
  <c r="C1472" i="5"/>
  <c r="D1472" i="5" s="1"/>
  <c r="C1473" i="5"/>
  <c r="D1473" i="5" s="1"/>
  <c r="C1468" i="5"/>
  <c r="D1468" i="5" s="1"/>
  <c r="C1465" i="5"/>
  <c r="D1465" i="5" s="1"/>
  <c r="C1461" i="5"/>
  <c r="D1461" i="5" s="1"/>
  <c r="C1462" i="5"/>
  <c r="D1462" i="5" s="1"/>
  <c r="C1463" i="5"/>
  <c r="D1463" i="5" s="1"/>
  <c r="C1464" i="5"/>
  <c r="D1464" i="5" s="1"/>
  <c r="C1460" i="5"/>
  <c r="D1460" i="5" s="1"/>
  <c r="C1458" i="5"/>
  <c r="D1458" i="5" s="1"/>
  <c r="C1457" i="5"/>
  <c r="D1457" i="5" s="1"/>
  <c r="C1450" i="5"/>
  <c r="D1450" i="5" s="1"/>
  <c r="C1451" i="5"/>
  <c r="D1451" i="5" s="1"/>
  <c r="C1452" i="5"/>
  <c r="D1452" i="5" s="1"/>
  <c r="C1449" i="5"/>
  <c r="D1449" i="5" s="1"/>
  <c r="C1434" i="5"/>
  <c r="D1434" i="5" s="1"/>
  <c r="C1435" i="5"/>
  <c r="D1435" i="5" s="1"/>
  <c r="C1436" i="5"/>
  <c r="D1436" i="5" s="1"/>
  <c r="C1437" i="5"/>
  <c r="D1437" i="5" s="1"/>
  <c r="C1438" i="5"/>
  <c r="D1438" i="5" s="1"/>
  <c r="C1439" i="5"/>
  <c r="D1439" i="5" s="1"/>
  <c r="C1440" i="5"/>
  <c r="D1440" i="5" s="1"/>
  <c r="C1441" i="5"/>
  <c r="D1441" i="5" s="1"/>
  <c r="C1442" i="5"/>
  <c r="D1442" i="5" s="1"/>
  <c r="C1425" i="5"/>
  <c r="D1425" i="5" s="1"/>
  <c r="C1426" i="5"/>
  <c r="D1426" i="5" s="1"/>
  <c r="C1427" i="5"/>
  <c r="D1427" i="5" s="1"/>
  <c r="C1428" i="5"/>
  <c r="D1428" i="5" s="1"/>
  <c r="C1424" i="5"/>
  <c r="D1424" i="5" s="1"/>
  <c r="D1387" i="5"/>
  <c r="C1376" i="5"/>
  <c r="D1376" i="5" s="1"/>
  <c r="C1398" i="5"/>
  <c r="D1398" i="5" s="1"/>
  <c r="C1399" i="5"/>
  <c r="D1399" i="5" s="1"/>
  <c r="C1400" i="5"/>
  <c r="D1400" i="5" s="1"/>
  <c r="C1401" i="5"/>
  <c r="D1401" i="5" s="1"/>
  <c r="C1402" i="5"/>
  <c r="D1402" i="5" s="1"/>
  <c r="C1406" i="5"/>
  <c r="D1406" i="5" s="1"/>
  <c r="C1407" i="5"/>
  <c r="D1407" i="5" s="1"/>
  <c r="C1408" i="5"/>
  <c r="D1408" i="5" s="1"/>
  <c r="C1409" i="5"/>
  <c r="D1409" i="5" s="1"/>
  <c r="C1411" i="5"/>
  <c r="D1411" i="5" s="1"/>
  <c r="C1412" i="5"/>
  <c r="D1412" i="5" s="1"/>
  <c r="C1413" i="5"/>
  <c r="D1413" i="5" s="1"/>
  <c r="C1414" i="5"/>
  <c r="D1414" i="5" s="1"/>
  <c r="C1415" i="5"/>
  <c r="D1415" i="5" s="1"/>
  <c r="C1416" i="5"/>
  <c r="D1416" i="5" s="1"/>
  <c r="C1422" i="5"/>
  <c r="D1422" i="5" s="1"/>
  <c r="C1397" i="5"/>
  <c r="D1397" i="5" s="1"/>
  <c r="C1395" i="5"/>
  <c r="D1395" i="5" s="1"/>
  <c r="C1394" i="5"/>
  <c r="D1394" i="5" s="1"/>
  <c r="C1393" i="5"/>
  <c r="D1393" i="5" s="1"/>
  <c r="C1392" i="5"/>
  <c r="D1392" i="5" s="1"/>
  <c r="C1391" i="5"/>
  <c r="D1391" i="5" s="1"/>
  <c r="C1390" i="5"/>
  <c r="D1390" i="5" s="1"/>
  <c r="C1389" i="5"/>
  <c r="D1389" i="5" s="1"/>
  <c r="C1388" i="5"/>
  <c r="D1388" i="5" s="1"/>
  <c r="C1386" i="5"/>
  <c r="D1386" i="5" s="1"/>
  <c r="C1385" i="5"/>
  <c r="D1385" i="5" s="1"/>
  <c r="C1384" i="5"/>
  <c r="D1384" i="5" s="1"/>
  <c r="C1383" i="5"/>
  <c r="D1383" i="5" s="1"/>
  <c r="C1382" i="5"/>
  <c r="D1382" i="5" s="1"/>
  <c r="C1381" i="5"/>
  <c r="D1381" i="5" s="1"/>
  <c r="C1380" i="5"/>
  <c r="D1380" i="5" s="1"/>
  <c r="C1379" i="5"/>
  <c r="D1379" i="5" s="1"/>
  <c r="C1378" i="5"/>
  <c r="D1378" i="5" s="1"/>
  <c r="C1377" i="5"/>
  <c r="D1377" i="5" s="1"/>
  <c r="B22" i="3"/>
  <c r="B638" i="3" s="1"/>
  <c r="D181" i="3"/>
  <c r="D15" i="30" s="1"/>
  <c r="B7" i="3"/>
  <c r="B458" i="3" s="1"/>
  <c r="B50" i="3"/>
  <c r="B51" i="3"/>
  <c r="B52" i="3"/>
  <c r="B53" i="3"/>
  <c r="B58" i="3"/>
  <c r="B59" i="3"/>
  <c r="C50" i="3"/>
  <c r="C51" i="3"/>
  <c r="C52" i="3"/>
  <c r="C53" i="3"/>
  <c r="C58" i="3"/>
  <c r="C59" i="3"/>
  <c r="D50" i="3"/>
  <c r="D51" i="3"/>
  <c r="D52" i="3"/>
  <c r="D53" i="3"/>
  <c r="D58" i="3"/>
  <c r="D59" i="3"/>
  <c r="E50" i="3"/>
  <c r="E51" i="3"/>
  <c r="E52" i="3"/>
  <c r="E53" i="3"/>
  <c r="E58" i="3"/>
  <c r="E59" i="3"/>
  <c r="F50" i="3"/>
  <c r="F51" i="3"/>
  <c r="F52" i="3"/>
  <c r="F53" i="3"/>
  <c r="F58" i="3"/>
  <c r="F59" i="3"/>
  <c r="G51" i="3"/>
  <c r="G52" i="3"/>
  <c r="G53" i="3"/>
  <c r="G58" i="3"/>
  <c r="G59" i="3"/>
  <c r="B666" i="3"/>
  <c r="B123" i="3"/>
  <c r="B480" i="3"/>
  <c r="F78" i="25" s="1"/>
  <c r="B643" i="3"/>
  <c r="B173" i="3"/>
  <c r="B174" i="3"/>
  <c r="B177" i="3"/>
  <c r="B178" i="3"/>
  <c r="B182" i="3"/>
  <c r="B183" i="3"/>
  <c r="B17" i="30" s="1"/>
  <c r="B184" i="3"/>
  <c r="B185" i="3"/>
  <c r="B186" i="3"/>
  <c r="B187" i="3"/>
  <c r="B188" i="3"/>
  <c r="B189" i="3"/>
  <c r="B190" i="3"/>
  <c r="B191" i="3"/>
  <c r="B192" i="3"/>
  <c r="B26" i="30" s="1"/>
  <c r="B193" i="3"/>
  <c r="B27" i="30" s="1"/>
  <c r="B194" i="3"/>
  <c r="B28" i="30" s="1"/>
  <c r="B197" i="3"/>
  <c r="B198" i="3"/>
  <c r="B199" i="3"/>
  <c r="B200" i="3"/>
  <c r="B201" i="3"/>
  <c r="B202" i="3"/>
  <c r="B203" i="3"/>
  <c r="B204" i="3"/>
  <c r="B205" i="3"/>
  <c r="B206" i="3"/>
  <c r="B40" i="30" s="1"/>
  <c r="B207" i="3"/>
  <c r="B208" i="3"/>
  <c r="B209" i="3"/>
  <c r="B43" i="30" s="1"/>
  <c r="B210" i="3"/>
  <c r="B44" i="30" s="1"/>
  <c r="B47" i="30"/>
  <c r="B214" i="3"/>
  <c r="B215" i="3"/>
  <c r="B216" i="3"/>
  <c r="B217" i="3"/>
  <c r="B218" i="3"/>
  <c r="B219" i="3"/>
  <c r="B53" i="30" s="1"/>
  <c r="B220" i="3"/>
  <c r="B221" i="3"/>
  <c r="B222" i="3"/>
  <c r="B223" i="3"/>
  <c r="B224" i="3"/>
  <c r="B225" i="3"/>
  <c r="B226" i="3"/>
  <c r="F226" i="3" s="1"/>
  <c r="B228" i="3"/>
  <c r="B61" i="30" s="1"/>
  <c r="B229" i="3"/>
  <c r="B62" i="30" s="1"/>
  <c r="B230" i="3"/>
  <c r="B63" i="30" s="1"/>
  <c r="B233" i="3"/>
  <c r="B234" i="3"/>
  <c r="B235" i="3"/>
  <c r="B237" i="3"/>
  <c r="B238" i="3"/>
  <c r="B239" i="3"/>
  <c r="B240" i="3"/>
  <c r="B241" i="3"/>
  <c r="B242" i="3"/>
  <c r="B75" i="30" s="1"/>
  <c r="B243" i="3"/>
  <c r="B76" i="30" s="1"/>
  <c r="B244" i="3"/>
  <c r="B245" i="3"/>
  <c r="B78" i="30" s="1"/>
  <c r="B246" i="3"/>
  <c r="B79" i="30" s="1"/>
  <c r="B249" i="3"/>
  <c r="B250" i="3"/>
  <c r="B251" i="3"/>
  <c r="B252" i="3"/>
  <c r="B253" i="3"/>
  <c r="B254" i="3"/>
  <c r="B255" i="3"/>
  <c r="B256" i="3"/>
  <c r="B257" i="3"/>
  <c r="B258" i="3"/>
  <c r="B259" i="3"/>
  <c r="B260" i="3"/>
  <c r="B261" i="3"/>
  <c r="B262" i="3"/>
  <c r="B263" i="3"/>
  <c r="B264" i="3"/>
  <c r="B97" i="30" s="1"/>
  <c r="B265" i="3"/>
  <c r="B98" i="30" s="1"/>
  <c r="B268" i="3"/>
  <c r="B269" i="3"/>
  <c r="B270" i="3"/>
  <c r="B271" i="3"/>
  <c r="B272" i="3"/>
  <c r="B105" i="30" s="1"/>
  <c r="B273" i="3"/>
  <c r="B106" i="30" s="1"/>
  <c r="B277" i="3"/>
  <c r="B110" i="30" s="1"/>
  <c r="B278" i="3"/>
  <c r="B280" i="3"/>
  <c r="B281" i="3"/>
  <c r="B282" i="3"/>
  <c r="B118" i="30"/>
  <c r="B286" i="3"/>
  <c r="B287" i="3"/>
  <c r="B288" i="3"/>
  <c r="B289" i="3"/>
  <c r="B290" i="3"/>
  <c r="D172" i="3"/>
  <c r="D6" i="30" s="1"/>
  <c r="D177" i="3"/>
  <c r="D11" i="30" s="1"/>
  <c r="D178" i="3"/>
  <c r="D12" i="30" s="1"/>
  <c r="D182" i="3"/>
  <c r="D16" i="30" s="1"/>
  <c r="D183" i="3"/>
  <c r="D17" i="30" s="1"/>
  <c r="D184" i="3"/>
  <c r="D18" i="30" s="1"/>
  <c r="D185" i="3"/>
  <c r="D19" i="30" s="1"/>
  <c r="D186" i="3"/>
  <c r="D20" i="30" s="1"/>
  <c r="D187" i="3"/>
  <c r="D21" i="30" s="1"/>
  <c r="D188" i="3"/>
  <c r="D22" i="30" s="1"/>
  <c r="D189" i="3"/>
  <c r="D23" i="30" s="1"/>
  <c r="D190" i="3"/>
  <c r="D24" i="30" s="1"/>
  <c r="D191" i="3"/>
  <c r="D25" i="30" s="1"/>
  <c r="D192" i="3"/>
  <c r="D26" i="30" s="1"/>
  <c r="D193" i="3"/>
  <c r="D27" i="30" s="1"/>
  <c r="D194" i="3"/>
  <c r="D28" i="30" s="1"/>
  <c r="D197" i="3"/>
  <c r="D31" i="30" s="1"/>
  <c r="D198" i="3"/>
  <c r="D32" i="30" s="1"/>
  <c r="D199" i="3"/>
  <c r="D33" i="30" s="1"/>
  <c r="D200" i="3"/>
  <c r="D34" i="30" s="1"/>
  <c r="D201" i="3"/>
  <c r="D35" i="30" s="1"/>
  <c r="D202" i="3"/>
  <c r="D36" i="30" s="1"/>
  <c r="D203" i="3"/>
  <c r="D37" i="30" s="1"/>
  <c r="D204" i="3"/>
  <c r="D38" i="30" s="1"/>
  <c r="D205" i="3"/>
  <c r="D39" i="30" s="1"/>
  <c r="D206" i="3"/>
  <c r="D40" i="30" s="1"/>
  <c r="D207" i="3"/>
  <c r="D41" i="30" s="1"/>
  <c r="D208" i="3"/>
  <c r="D42" i="30" s="1"/>
  <c r="D209" i="3"/>
  <c r="D43" i="30" s="1"/>
  <c r="D210" i="3"/>
  <c r="D44" i="30" s="1"/>
  <c r="D213" i="3"/>
  <c r="D47" i="30" s="1"/>
  <c r="D214" i="3"/>
  <c r="D48" i="30" s="1"/>
  <c r="D215" i="3"/>
  <c r="D49" i="30" s="1"/>
  <c r="D216" i="3"/>
  <c r="D50" i="30" s="1"/>
  <c r="D217" i="3"/>
  <c r="D51" i="30" s="1"/>
  <c r="D218" i="3"/>
  <c r="D52" i="30" s="1"/>
  <c r="D219" i="3"/>
  <c r="D53" i="30" s="1"/>
  <c r="D220" i="3"/>
  <c r="D54" i="30" s="1"/>
  <c r="D221" i="3"/>
  <c r="D55" i="30" s="1"/>
  <c r="D222" i="3"/>
  <c r="D56" i="30" s="1"/>
  <c r="D223" i="3"/>
  <c r="D57" i="30" s="1"/>
  <c r="D224" i="3"/>
  <c r="D58" i="30" s="1"/>
  <c r="D225" i="3"/>
  <c r="D59" i="30" s="1"/>
  <c r="D60" i="30"/>
  <c r="D228" i="3"/>
  <c r="D61" i="30" s="1"/>
  <c r="D229" i="3"/>
  <c r="D62" i="30" s="1"/>
  <c r="D230" i="3"/>
  <c r="D63" i="30" s="1"/>
  <c r="D250" i="3"/>
  <c r="D83" i="30" s="1"/>
  <c r="D251" i="3"/>
  <c r="D84" i="30" s="1"/>
  <c r="D252" i="3"/>
  <c r="D85" i="30" s="1"/>
  <c r="D253" i="3"/>
  <c r="D86" i="30" s="1"/>
  <c r="D254" i="3"/>
  <c r="D87" i="30" s="1"/>
  <c r="D255" i="3"/>
  <c r="D88" i="30" s="1"/>
  <c r="D258" i="3"/>
  <c r="D91" i="30" s="1"/>
  <c r="D259" i="3"/>
  <c r="D92" i="30" s="1"/>
  <c r="D260" i="3"/>
  <c r="D93" i="30" s="1"/>
  <c r="D261" i="3"/>
  <c r="D94" i="30" s="1"/>
  <c r="D262" i="3"/>
  <c r="D95" i="30" s="1"/>
  <c r="D263" i="3"/>
  <c r="D96" i="30" s="1"/>
  <c r="D264" i="3"/>
  <c r="D97" i="30" s="1"/>
  <c r="D265" i="3"/>
  <c r="D98" i="30" s="1"/>
  <c r="D276" i="3"/>
  <c r="D109" i="30" s="1"/>
  <c r="D277" i="3"/>
  <c r="D110" i="30" s="1"/>
  <c r="D278" i="3"/>
  <c r="D111" i="30" s="1"/>
  <c r="D280" i="3"/>
  <c r="D113" i="30" s="1"/>
  <c r="D281" i="3"/>
  <c r="D114" i="30" s="1"/>
  <c r="D282" i="3"/>
  <c r="D115" i="30" s="1"/>
  <c r="C173" i="3"/>
  <c r="C7" i="30" s="1"/>
  <c r="B471" i="3"/>
  <c r="B124" i="3"/>
  <c r="B125" i="3"/>
  <c r="B129" i="3"/>
  <c r="B130" i="3"/>
  <c r="B131" i="3"/>
  <c r="B132" i="3"/>
  <c r="B133" i="3"/>
  <c r="B134" i="3"/>
  <c r="B139" i="3"/>
  <c r="D53" i="32" s="1"/>
  <c r="B141" i="3"/>
  <c r="B486" i="3"/>
  <c r="B504" i="3"/>
  <c r="B629" i="3"/>
  <c r="M53" i="3"/>
  <c r="M54" i="3"/>
  <c r="C10" i="3"/>
  <c r="C301" i="5"/>
  <c r="B3449" i="44"/>
  <c r="D3449" i="44" s="1"/>
  <c r="B3448" i="44"/>
  <c r="D3448" i="44" s="1"/>
  <c r="B3447" i="44"/>
  <c r="D3447" i="44" s="1"/>
  <c r="B3426" i="44"/>
  <c r="D3426" i="44" s="1"/>
  <c r="B3425" i="44"/>
  <c r="D3425" i="44" s="1"/>
  <c r="B3424" i="44"/>
  <c r="D3424" i="44" s="1"/>
  <c r="B3423" i="44"/>
  <c r="D3423" i="44" s="1"/>
  <c r="B3422" i="44"/>
  <c r="D3422" i="44" s="1"/>
  <c r="B3421" i="44"/>
  <c r="D3421" i="44" s="1"/>
  <c r="B3385" i="44"/>
  <c r="D3385" i="44" s="1"/>
  <c r="B3384" i="44"/>
  <c r="D3384" i="44" s="1"/>
  <c r="B3383" i="44"/>
  <c r="D3383" i="44" s="1"/>
  <c r="B113" i="32"/>
  <c r="B112" i="32"/>
  <c r="B105" i="32"/>
  <c r="B106" i="32"/>
  <c r="B107" i="32"/>
  <c r="B108" i="32"/>
  <c r="B109" i="32"/>
  <c r="B110" i="32"/>
  <c r="B111" i="32"/>
  <c r="B104" i="32"/>
  <c r="B88" i="32"/>
  <c r="B89" i="32"/>
  <c r="B90" i="32"/>
  <c r="B91" i="32"/>
  <c r="B92" i="32"/>
  <c r="B93" i="32"/>
  <c r="B94" i="32"/>
  <c r="B95" i="32"/>
  <c r="B96" i="32"/>
  <c r="B87" i="32"/>
  <c r="B142" i="24"/>
  <c r="B144" i="24"/>
  <c r="B145" i="24"/>
  <c r="B140" i="24"/>
  <c r="B139" i="24"/>
  <c r="B131" i="24"/>
  <c r="B132" i="24"/>
  <c r="B133" i="24"/>
  <c r="B134" i="24"/>
  <c r="B135" i="24"/>
  <c r="B136" i="24"/>
  <c r="B137" i="24"/>
  <c r="B130" i="24"/>
  <c r="B122" i="24"/>
  <c r="B121" i="24"/>
  <c r="B115" i="24"/>
  <c r="B116" i="24"/>
  <c r="B117" i="24"/>
  <c r="B118" i="24"/>
  <c r="B119" i="24"/>
  <c r="B112" i="24"/>
  <c r="B274" i="24"/>
  <c r="C274" i="24"/>
  <c r="D274" i="24"/>
  <c r="E274" i="24"/>
  <c r="F274" i="24"/>
  <c r="G274" i="24"/>
  <c r="B275" i="24"/>
  <c r="C275" i="24"/>
  <c r="D275" i="24"/>
  <c r="E275" i="24"/>
  <c r="F275" i="24"/>
  <c r="G275" i="24"/>
  <c r="B276" i="24"/>
  <c r="C276" i="24"/>
  <c r="D276" i="24"/>
  <c r="E276" i="24"/>
  <c r="F276" i="24"/>
  <c r="G276" i="24"/>
  <c r="B277" i="24"/>
  <c r="C277" i="24"/>
  <c r="D277" i="24"/>
  <c r="E277" i="24"/>
  <c r="F277" i="24"/>
  <c r="G277" i="24"/>
  <c r="B278" i="24"/>
  <c r="C278" i="24"/>
  <c r="D278" i="24"/>
  <c r="E278" i="24"/>
  <c r="F278" i="24"/>
  <c r="G278" i="24"/>
  <c r="B279" i="24"/>
  <c r="C279" i="24"/>
  <c r="D279" i="24"/>
  <c r="E279" i="24"/>
  <c r="F279" i="24"/>
  <c r="G279" i="24"/>
  <c r="B280" i="24"/>
  <c r="C280" i="24"/>
  <c r="D280" i="24"/>
  <c r="E280" i="24"/>
  <c r="F280" i="24"/>
  <c r="G280" i="24"/>
  <c r="B281" i="24"/>
  <c r="C281" i="24"/>
  <c r="D281" i="24"/>
  <c r="E281" i="24"/>
  <c r="F281" i="24"/>
  <c r="G281" i="24"/>
  <c r="B282" i="24"/>
  <c r="C282" i="24"/>
  <c r="D282" i="24"/>
  <c r="E282" i="24"/>
  <c r="F282" i="24"/>
  <c r="G282" i="24"/>
  <c r="B283" i="24"/>
  <c r="C283" i="24"/>
  <c r="D283" i="24"/>
  <c r="E283" i="24"/>
  <c r="F283" i="24"/>
  <c r="G283" i="24"/>
  <c r="B284" i="24"/>
  <c r="C284" i="24"/>
  <c r="D284" i="24"/>
  <c r="E284" i="24"/>
  <c r="F284" i="24"/>
  <c r="G284" i="24"/>
  <c r="B285" i="24"/>
  <c r="C285" i="24"/>
  <c r="D285" i="24"/>
  <c r="E285" i="24"/>
  <c r="F285" i="24"/>
  <c r="G285" i="24"/>
  <c r="B286" i="24"/>
  <c r="C286" i="24"/>
  <c r="D286" i="24"/>
  <c r="E286" i="24"/>
  <c r="F286" i="24"/>
  <c r="G286" i="24"/>
  <c r="B287" i="24"/>
  <c r="C287" i="24"/>
  <c r="D287" i="24"/>
  <c r="E287" i="24"/>
  <c r="F287" i="24"/>
  <c r="G287" i="24"/>
  <c r="B288" i="24"/>
  <c r="C288" i="24"/>
  <c r="D288" i="24"/>
  <c r="E288" i="24"/>
  <c r="F288" i="24"/>
  <c r="G288" i="24"/>
  <c r="B289" i="24"/>
  <c r="C289" i="24"/>
  <c r="D289" i="24"/>
  <c r="E289" i="24"/>
  <c r="F289" i="24"/>
  <c r="G289" i="24"/>
  <c r="B290" i="24"/>
  <c r="C290" i="24"/>
  <c r="D290" i="24"/>
  <c r="E290" i="24"/>
  <c r="F290" i="24"/>
  <c r="G290" i="24"/>
  <c r="B291" i="24"/>
  <c r="C291" i="24"/>
  <c r="D291" i="24"/>
  <c r="E291" i="24"/>
  <c r="F291" i="24"/>
  <c r="G291" i="24"/>
  <c r="B292" i="24"/>
  <c r="C292" i="24"/>
  <c r="D292" i="24"/>
  <c r="E292" i="24"/>
  <c r="F292" i="24"/>
  <c r="G292" i="24"/>
  <c r="B293" i="24"/>
  <c r="C293" i="24"/>
  <c r="D293" i="24"/>
  <c r="E293" i="24"/>
  <c r="F293" i="24"/>
  <c r="G293" i="24"/>
  <c r="B294" i="24"/>
  <c r="C294" i="24"/>
  <c r="D294" i="24"/>
  <c r="E294" i="24"/>
  <c r="F294" i="24"/>
  <c r="G294" i="24"/>
  <c r="B295" i="24"/>
  <c r="C295" i="24"/>
  <c r="D295" i="24"/>
  <c r="E295" i="24"/>
  <c r="F295" i="24"/>
  <c r="G295" i="24"/>
  <c r="B296" i="24"/>
  <c r="C296" i="24"/>
  <c r="D296" i="24"/>
  <c r="E296" i="24"/>
  <c r="F296" i="24"/>
  <c r="G296" i="24"/>
  <c r="B297" i="24"/>
  <c r="C297" i="24"/>
  <c r="D297" i="24"/>
  <c r="E297" i="24"/>
  <c r="F297" i="24"/>
  <c r="G297" i="24"/>
  <c r="B298" i="24"/>
  <c r="C298" i="24"/>
  <c r="D298" i="24"/>
  <c r="E298" i="24"/>
  <c r="F298" i="24"/>
  <c r="G298" i="24"/>
  <c r="B299" i="24"/>
  <c r="C299" i="24"/>
  <c r="D299" i="24"/>
  <c r="E299" i="24"/>
  <c r="F299" i="24"/>
  <c r="G299" i="24"/>
  <c r="B300" i="24"/>
  <c r="C300" i="24"/>
  <c r="D300" i="24"/>
  <c r="E300" i="24"/>
  <c r="F300" i="24"/>
  <c r="G300" i="24"/>
  <c r="B301" i="24"/>
  <c r="C301" i="24"/>
  <c r="D301" i="24"/>
  <c r="E301" i="24"/>
  <c r="F301" i="24"/>
  <c r="G301" i="24"/>
  <c r="B302" i="24"/>
  <c r="C302" i="24"/>
  <c r="D302" i="24"/>
  <c r="E302" i="24"/>
  <c r="F302" i="24"/>
  <c r="G302" i="24"/>
  <c r="B303" i="24"/>
  <c r="C303" i="24"/>
  <c r="D303" i="24"/>
  <c r="E303" i="24"/>
  <c r="F303" i="24"/>
  <c r="G303" i="24"/>
  <c r="B304" i="24"/>
  <c r="C304" i="24"/>
  <c r="D304" i="24"/>
  <c r="E304" i="24"/>
  <c r="F304" i="24"/>
  <c r="G304" i="24"/>
  <c r="B305" i="24"/>
  <c r="C305" i="24"/>
  <c r="D305" i="24"/>
  <c r="E305" i="24"/>
  <c r="F305" i="24"/>
  <c r="G305" i="24"/>
  <c r="B306" i="24"/>
  <c r="C306" i="24"/>
  <c r="D306" i="24"/>
  <c r="E306" i="24"/>
  <c r="F306" i="24"/>
  <c r="G306" i="24"/>
  <c r="B307" i="24"/>
  <c r="C307" i="24"/>
  <c r="D307" i="24"/>
  <c r="E307" i="24"/>
  <c r="F307" i="24"/>
  <c r="G307" i="24"/>
  <c r="B308" i="24"/>
  <c r="C308" i="24"/>
  <c r="D308" i="24"/>
  <c r="E308" i="24"/>
  <c r="F308" i="24"/>
  <c r="G308" i="24"/>
  <c r="B309" i="24"/>
  <c r="C309" i="24"/>
  <c r="D309" i="24"/>
  <c r="E309" i="24"/>
  <c r="F309" i="24"/>
  <c r="G309" i="24"/>
  <c r="B310" i="24"/>
  <c r="C310" i="24"/>
  <c r="D310" i="24"/>
  <c r="E310" i="24"/>
  <c r="F310" i="24"/>
  <c r="G310" i="24"/>
  <c r="B311" i="24"/>
  <c r="C311" i="24"/>
  <c r="D311" i="24"/>
  <c r="E311" i="24"/>
  <c r="F311" i="24"/>
  <c r="G311" i="24"/>
  <c r="B312" i="24"/>
  <c r="C312" i="24"/>
  <c r="D312" i="24"/>
  <c r="E312" i="24"/>
  <c r="F312" i="24"/>
  <c r="G312" i="24"/>
  <c r="B313" i="24"/>
  <c r="C313" i="24"/>
  <c r="D313" i="24"/>
  <c r="E313" i="24"/>
  <c r="F313" i="24"/>
  <c r="G313" i="24"/>
  <c r="B314" i="24"/>
  <c r="C314" i="24"/>
  <c r="D314" i="24"/>
  <c r="E314" i="24"/>
  <c r="F314" i="24"/>
  <c r="G314" i="24"/>
  <c r="B315" i="24"/>
  <c r="C315" i="24"/>
  <c r="D315" i="24"/>
  <c r="E315" i="24"/>
  <c r="F315" i="24"/>
  <c r="G315" i="24"/>
  <c r="B316" i="24"/>
  <c r="C316" i="24"/>
  <c r="D316" i="24"/>
  <c r="E316" i="24"/>
  <c r="F316" i="24"/>
  <c r="G316" i="24"/>
  <c r="B317" i="24"/>
  <c r="C317" i="24"/>
  <c r="D317" i="24"/>
  <c r="E317" i="24"/>
  <c r="F317" i="24"/>
  <c r="G317" i="24"/>
  <c r="B318" i="24"/>
  <c r="C318" i="24"/>
  <c r="D318" i="24"/>
  <c r="E318" i="24"/>
  <c r="F318" i="24"/>
  <c r="G318" i="24"/>
  <c r="B319" i="24"/>
  <c r="C319" i="24"/>
  <c r="D319" i="24"/>
  <c r="E319" i="24"/>
  <c r="F319" i="24"/>
  <c r="G319" i="24"/>
  <c r="B320" i="24"/>
  <c r="C320" i="24"/>
  <c r="D320" i="24"/>
  <c r="E320" i="24"/>
  <c r="F320" i="24"/>
  <c r="G320" i="24"/>
  <c r="B321" i="24"/>
  <c r="C321" i="24"/>
  <c r="D321" i="24"/>
  <c r="E321" i="24"/>
  <c r="F321" i="24"/>
  <c r="G321" i="24"/>
  <c r="B322" i="24"/>
  <c r="C322" i="24"/>
  <c r="D322" i="24"/>
  <c r="E322" i="24"/>
  <c r="F322" i="24"/>
  <c r="G322" i="24"/>
  <c r="B323" i="24"/>
  <c r="C323" i="24"/>
  <c r="D323" i="24"/>
  <c r="E323" i="24"/>
  <c r="F323" i="24"/>
  <c r="G323" i="24"/>
  <c r="B324" i="24"/>
  <c r="C324" i="24"/>
  <c r="D324" i="24"/>
  <c r="E324" i="24"/>
  <c r="F324" i="24"/>
  <c r="G324" i="24"/>
  <c r="B325" i="24"/>
  <c r="C325" i="24"/>
  <c r="D325" i="24"/>
  <c r="E325" i="24"/>
  <c r="F325" i="24"/>
  <c r="G325" i="24"/>
  <c r="B326" i="24"/>
  <c r="C326" i="24"/>
  <c r="D326" i="24"/>
  <c r="E326" i="24"/>
  <c r="F326" i="24"/>
  <c r="G326" i="24"/>
  <c r="B327" i="24"/>
  <c r="C327" i="24"/>
  <c r="D327" i="24"/>
  <c r="E327" i="24"/>
  <c r="F327" i="24"/>
  <c r="G327" i="24"/>
  <c r="B328" i="24"/>
  <c r="C328" i="24"/>
  <c r="D328" i="24"/>
  <c r="E328" i="24"/>
  <c r="F328" i="24"/>
  <c r="G328" i="24"/>
  <c r="B329" i="24"/>
  <c r="C329" i="24"/>
  <c r="D329" i="24"/>
  <c r="E329" i="24"/>
  <c r="F329" i="24"/>
  <c r="G329" i="24"/>
  <c r="B330" i="24"/>
  <c r="C330" i="24"/>
  <c r="D330" i="24"/>
  <c r="E330" i="24"/>
  <c r="F330" i="24"/>
  <c r="G330" i="24"/>
  <c r="B331" i="24"/>
  <c r="C331" i="24"/>
  <c r="D331" i="24"/>
  <c r="E331" i="24"/>
  <c r="F331" i="24"/>
  <c r="G331" i="24"/>
  <c r="B332" i="24"/>
  <c r="C332" i="24"/>
  <c r="D332" i="24"/>
  <c r="E332" i="24"/>
  <c r="F332" i="24"/>
  <c r="G332" i="24"/>
  <c r="B333" i="24"/>
  <c r="C333" i="24"/>
  <c r="D333" i="24"/>
  <c r="E333" i="24"/>
  <c r="F333" i="24"/>
  <c r="G333" i="24"/>
  <c r="B334" i="24"/>
  <c r="C334" i="24"/>
  <c r="D334" i="24"/>
  <c r="E334" i="24"/>
  <c r="F334" i="24"/>
  <c r="G334" i="24"/>
  <c r="B335" i="24"/>
  <c r="C335" i="24"/>
  <c r="D335" i="24"/>
  <c r="E335" i="24"/>
  <c r="F335" i="24"/>
  <c r="G335" i="24"/>
  <c r="A892" i="3"/>
  <c r="B892" i="3"/>
  <c r="A893" i="3"/>
  <c r="B893" i="3"/>
  <c r="A894" i="3"/>
  <c r="B218" i="24" s="1"/>
  <c r="B894" i="3"/>
  <c r="A895" i="3"/>
  <c r="B895" i="3"/>
  <c r="C219" i="24" s="1"/>
  <c r="A896" i="3"/>
  <c r="B158" i="32" s="1"/>
  <c r="B896" i="3"/>
  <c r="A897" i="3"/>
  <c r="B897" i="3"/>
  <c r="A898" i="3"/>
  <c r="B898" i="3"/>
  <c r="C222" i="24" s="1"/>
  <c r="A899" i="3"/>
  <c r="B899" i="3"/>
  <c r="A900" i="3"/>
  <c r="B900" i="3"/>
  <c r="A901" i="3"/>
  <c r="B901" i="3"/>
  <c r="A902" i="3"/>
  <c r="B902" i="3"/>
  <c r="C226" i="24" s="1"/>
  <c r="A903" i="3"/>
  <c r="B903" i="3"/>
  <c r="A904" i="3"/>
  <c r="B904" i="3"/>
  <c r="A905" i="3"/>
  <c r="B905" i="3"/>
  <c r="A906" i="3"/>
  <c r="B906" i="3"/>
  <c r="A907" i="3"/>
  <c r="B907" i="3"/>
  <c r="A908" i="3"/>
  <c r="B908" i="3"/>
  <c r="A909" i="3"/>
  <c r="B909" i="3"/>
  <c r="A910" i="3"/>
  <c r="B910" i="3"/>
  <c r="A911" i="3"/>
  <c r="B911" i="3"/>
  <c r="A912" i="3"/>
  <c r="B912" i="3"/>
  <c r="A913" i="3"/>
  <c r="B913" i="3"/>
  <c r="A914" i="3"/>
  <c r="B914" i="3"/>
  <c r="A915" i="3"/>
  <c r="B915" i="3"/>
  <c r="A916" i="3"/>
  <c r="B916" i="3"/>
  <c r="A917" i="3"/>
  <c r="B917" i="3"/>
  <c r="A918" i="3"/>
  <c r="B918" i="3"/>
  <c r="A919" i="3"/>
  <c r="B919" i="3"/>
  <c r="A920" i="3"/>
  <c r="B920" i="3"/>
  <c r="A921" i="3"/>
  <c r="B921" i="3"/>
  <c r="A922" i="3"/>
  <c r="B184" i="32" s="1"/>
  <c r="B922" i="3"/>
  <c r="C184" i="32" s="1"/>
  <c r="A923" i="3"/>
  <c r="B923" i="3"/>
  <c r="C185" i="32" s="1"/>
  <c r="A924" i="3"/>
  <c r="B186" i="32" s="1"/>
  <c r="B924" i="3"/>
  <c r="C186" i="32" s="1"/>
  <c r="A925" i="3"/>
  <c r="B925" i="3"/>
  <c r="C187" i="32" s="1"/>
  <c r="A926" i="3"/>
  <c r="B250" i="24" s="1"/>
  <c r="B926" i="3"/>
  <c r="C188" i="32" s="1"/>
  <c r="A927" i="3"/>
  <c r="B189" i="32" s="1"/>
  <c r="B927" i="3"/>
  <c r="C189" i="32" s="1"/>
  <c r="A928" i="3"/>
  <c r="B252" i="24" s="1"/>
  <c r="B928" i="3"/>
  <c r="C190" i="32" s="1"/>
  <c r="A929" i="3"/>
  <c r="B929" i="3"/>
  <c r="C191" i="32" s="1"/>
  <c r="A930" i="3"/>
  <c r="B254" i="24" s="1"/>
  <c r="B930" i="3"/>
  <c r="C192" i="32" s="1"/>
  <c r="A931" i="3"/>
  <c r="B193" i="32" s="1"/>
  <c r="B931" i="3"/>
  <c r="C193" i="32" s="1"/>
  <c r="A932" i="3"/>
  <c r="B194" i="32" s="1"/>
  <c r="B932" i="3"/>
  <c r="C194" i="32" s="1"/>
  <c r="A933" i="3"/>
  <c r="B933" i="3"/>
  <c r="C195" i="32" s="1"/>
  <c r="A934" i="3"/>
  <c r="B258" i="24" s="1"/>
  <c r="B934" i="3"/>
  <c r="C196" i="32" s="1"/>
  <c r="A935" i="3"/>
  <c r="B935" i="3"/>
  <c r="C197" i="32" s="1"/>
  <c r="A936" i="3"/>
  <c r="B260" i="24" s="1"/>
  <c r="B936" i="3"/>
  <c r="C198" i="32" s="1"/>
  <c r="A937" i="3"/>
  <c r="B937" i="3"/>
  <c r="C199" i="32" s="1"/>
  <c r="A938" i="3"/>
  <c r="B262" i="24" s="1"/>
  <c r="B938" i="3"/>
  <c r="C200" i="32" s="1"/>
  <c r="A939" i="3"/>
  <c r="B263" i="24" s="1"/>
  <c r="B939" i="3"/>
  <c r="C201" i="32" s="1"/>
  <c r="A940" i="3"/>
  <c r="B202" i="32" s="1"/>
  <c r="B940" i="3"/>
  <c r="C202" i="32" s="1"/>
  <c r="A941" i="3"/>
  <c r="B941" i="3"/>
  <c r="C203" i="32" s="1"/>
  <c r="A942" i="3"/>
  <c r="B204" i="32" s="1"/>
  <c r="B942" i="3"/>
  <c r="C204" i="32" s="1"/>
  <c r="A943" i="3"/>
  <c r="B943" i="3"/>
  <c r="C205" i="32" s="1"/>
  <c r="A944" i="3"/>
  <c r="B944" i="3"/>
  <c r="C206" i="32" s="1"/>
  <c r="A945" i="3"/>
  <c r="B945" i="3"/>
  <c r="C207" i="32" s="1"/>
  <c r="A946" i="3"/>
  <c r="B946" i="3"/>
  <c r="C208" i="32" s="1"/>
  <c r="A947" i="3"/>
  <c r="B947" i="3"/>
  <c r="C209" i="32" s="1"/>
  <c r="A948" i="3"/>
  <c r="B272" i="24" s="1"/>
  <c r="B948" i="3"/>
  <c r="C210" i="32" s="1"/>
  <c r="A949" i="3"/>
  <c r="B949" i="3"/>
  <c r="C211" i="32" s="1"/>
  <c r="A891" i="3"/>
  <c r="B891" i="3"/>
  <c r="B890" i="3"/>
  <c r="A890" i="3"/>
  <c r="E891" i="3"/>
  <c r="E892" i="3"/>
  <c r="E893" i="3"/>
  <c r="E894" i="3"/>
  <c r="E895" i="3"/>
  <c r="E896" i="3"/>
  <c r="E897" i="3"/>
  <c r="E898" i="3"/>
  <c r="E899" i="3"/>
  <c r="E900" i="3"/>
  <c r="E901" i="3"/>
  <c r="E902" i="3"/>
  <c r="E903" i="3"/>
  <c r="E904" i="3"/>
  <c r="E905" i="3"/>
  <c r="E906" i="3"/>
  <c r="E907" i="3"/>
  <c r="E908" i="3"/>
  <c r="E909" i="3"/>
  <c r="E910" i="3"/>
  <c r="E911" i="3"/>
  <c r="E912" i="3"/>
  <c r="E913" i="3"/>
  <c r="E914" i="3"/>
  <c r="G176" i="32" s="1"/>
  <c r="E915" i="3"/>
  <c r="F239" i="24" s="1"/>
  <c r="E916" i="3"/>
  <c r="G178" i="32" s="1"/>
  <c r="E917" i="3"/>
  <c r="G179" i="32" s="1"/>
  <c r="E918" i="3"/>
  <c r="G180" i="32" s="1"/>
  <c r="E919" i="3"/>
  <c r="G181" i="32" s="1"/>
  <c r="E920" i="3"/>
  <c r="G182" i="32" s="1"/>
  <c r="E921" i="3"/>
  <c r="F245" i="24" s="1"/>
  <c r="E922" i="3"/>
  <c r="G184" i="32" s="1"/>
  <c r="E923" i="3"/>
  <c r="G185" i="32" s="1"/>
  <c r="E924" i="3"/>
  <c r="G186" i="32" s="1"/>
  <c r="E925" i="3"/>
  <c r="G187" i="32" s="1"/>
  <c r="E926" i="3"/>
  <c r="G188" i="32" s="1"/>
  <c r="E927" i="3"/>
  <c r="F251" i="24" s="1"/>
  <c r="E928" i="3"/>
  <c r="G190" i="32" s="1"/>
  <c r="E929" i="3"/>
  <c r="E930" i="3"/>
  <c r="G192" i="32" s="1"/>
  <c r="E931" i="3"/>
  <c r="F255" i="24" s="1"/>
  <c r="E932" i="3"/>
  <c r="G194" i="32" s="1"/>
  <c r="E933" i="3"/>
  <c r="E934" i="3"/>
  <c r="G196" i="32" s="1"/>
  <c r="E935" i="3"/>
  <c r="G197" i="32" s="1"/>
  <c r="E936" i="3"/>
  <c r="G198" i="32" s="1"/>
  <c r="E937" i="3"/>
  <c r="E938" i="3"/>
  <c r="G200" i="32" s="1"/>
  <c r="E939" i="3"/>
  <c r="G201" i="32" s="1"/>
  <c r="E940" i="3"/>
  <c r="G202" i="32" s="1"/>
  <c r="E941" i="3"/>
  <c r="G203" i="32" s="1"/>
  <c r="E942" i="3"/>
  <c r="G204" i="32" s="1"/>
  <c r="E943" i="3"/>
  <c r="G205" i="32" s="1"/>
  <c r="E944" i="3"/>
  <c r="G206" i="32" s="1"/>
  <c r="E945" i="3"/>
  <c r="E946" i="3"/>
  <c r="G208" i="32" s="1"/>
  <c r="E947" i="3"/>
  <c r="F271" i="24" s="1"/>
  <c r="E948" i="3"/>
  <c r="G210" i="32" s="1"/>
  <c r="E949" i="3"/>
  <c r="G211" i="32" s="1"/>
  <c r="E890" i="3"/>
  <c r="D891" i="3"/>
  <c r="D892" i="3"/>
  <c r="E216" i="24" s="1"/>
  <c r="D893" i="3"/>
  <c r="D894" i="3"/>
  <c r="E218" i="24" s="1"/>
  <c r="D895" i="3"/>
  <c r="D896" i="3"/>
  <c r="D897" i="3"/>
  <c r="D898" i="3"/>
  <c r="D899" i="3"/>
  <c r="E223" i="24" s="1"/>
  <c r="D900" i="3"/>
  <c r="D901" i="3"/>
  <c r="D902" i="3"/>
  <c r="D903" i="3"/>
  <c r="D904" i="3"/>
  <c r="D905" i="3"/>
  <c r="D906" i="3"/>
  <c r="D907" i="3"/>
  <c r="D908" i="3"/>
  <c r="D909" i="3"/>
  <c r="D910" i="3"/>
  <c r="D911" i="3"/>
  <c r="D912" i="3"/>
  <c r="D913" i="3"/>
  <c r="D914" i="3"/>
  <c r="D915" i="3"/>
  <c r="D916" i="3"/>
  <c r="D917" i="3"/>
  <c r="D918" i="3"/>
  <c r="E242" i="24" s="1"/>
  <c r="D919" i="3"/>
  <c r="D920" i="3"/>
  <c r="D921" i="3"/>
  <c r="D922" i="3"/>
  <c r="F184" i="32" s="1"/>
  <c r="D923" i="3"/>
  <c r="F185" i="32" s="1"/>
  <c r="D924" i="3"/>
  <c r="D925" i="3"/>
  <c r="F187" i="32" s="1"/>
  <c r="D926" i="3"/>
  <c r="F188" i="32" s="1"/>
  <c r="D927" i="3"/>
  <c r="E251" i="24" s="1"/>
  <c r="D928" i="3"/>
  <c r="F190" i="32" s="1"/>
  <c r="D929" i="3"/>
  <c r="F191" i="32" s="1"/>
  <c r="D930" i="3"/>
  <c r="E254" i="24" s="1"/>
  <c r="D931" i="3"/>
  <c r="F193" i="32" s="1"/>
  <c r="D932" i="3"/>
  <c r="D933" i="3"/>
  <c r="F195" i="32" s="1"/>
  <c r="D934" i="3"/>
  <c r="F196" i="32" s="1"/>
  <c r="D935" i="3"/>
  <c r="D936" i="3"/>
  <c r="D937" i="3"/>
  <c r="F199" i="32" s="1"/>
  <c r="D938" i="3"/>
  <c r="D939" i="3"/>
  <c r="F201" i="32" s="1"/>
  <c r="D940" i="3"/>
  <c r="D941" i="3"/>
  <c r="F203" i="32" s="1"/>
  <c r="D942" i="3"/>
  <c r="E266" i="24" s="1"/>
  <c r="D943" i="3"/>
  <c r="F205" i="32" s="1"/>
  <c r="D944" i="3"/>
  <c r="F206" i="32" s="1"/>
  <c r="D945" i="3"/>
  <c r="F207" i="32" s="1"/>
  <c r="D946" i="3"/>
  <c r="D947" i="3"/>
  <c r="F209" i="32" s="1"/>
  <c r="D948" i="3"/>
  <c r="D949" i="3"/>
  <c r="F211" i="32" s="1"/>
  <c r="D890" i="3"/>
  <c r="C891" i="3"/>
  <c r="C892" i="3"/>
  <c r="C893" i="3"/>
  <c r="C894" i="3"/>
  <c r="C895" i="3"/>
  <c r="D219" i="24" s="1"/>
  <c r="C896" i="3"/>
  <c r="C897" i="3"/>
  <c r="C898" i="3"/>
  <c r="C899" i="3"/>
  <c r="C900" i="3"/>
  <c r="C901" i="3"/>
  <c r="C902" i="3"/>
  <c r="C903" i="3"/>
  <c r="C904" i="3"/>
  <c r="C905" i="3"/>
  <c r="C906" i="3"/>
  <c r="C907" i="3"/>
  <c r="C908" i="3"/>
  <c r="C909" i="3"/>
  <c r="E171" i="32" s="1"/>
  <c r="C910" i="3"/>
  <c r="C911" i="3"/>
  <c r="C912" i="3"/>
  <c r="C913" i="3"/>
  <c r="C914" i="3"/>
  <c r="C915" i="3"/>
  <c r="D239" i="24" s="1"/>
  <c r="C916" i="3"/>
  <c r="D240" i="24" s="1"/>
  <c r="C917" i="3"/>
  <c r="C918" i="3"/>
  <c r="D242" i="24" s="1"/>
  <c r="C919" i="3"/>
  <c r="D243" i="24" s="1"/>
  <c r="C920" i="3"/>
  <c r="D244" i="24" s="1"/>
  <c r="C921" i="3"/>
  <c r="C922" i="3"/>
  <c r="C923" i="3"/>
  <c r="D247" i="24" s="1"/>
  <c r="C924" i="3"/>
  <c r="D248" i="24" s="1"/>
  <c r="C925" i="3"/>
  <c r="C926" i="3"/>
  <c r="C927" i="3"/>
  <c r="D251" i="24" s="1"/>
  <c r="C928" i="3"/>
  <c r="D252" i="24" s="1"/>
  <c r="C929" i="3"/>
  <c r="C930" i="3"/>
  <c r="E192" i="32" s="1"/>
  <c r="C931" i="3"/>
  <c r="D255" i="24" s="1"/>
  <c r="C932" i="3"/>
  <c r="D256" i="24" s="1"/>
  <c r="C933" i="3"/>
  <c r="C934" i="3"/>
  <c r="C935" i="3"/>
  <c r="D259" i="24" s="1"/>
  <c r="C936" i="3"/>
  <c r="D260" i="24" s="1"/>
  <c r="C937" i="3"/>
  <c r="C938" i="3"/>
  <c r="E200" i="32" s="1"/>
  <c r="C939" i="3"/>
  <c r="D263" i="24" s="1"/>
  <c r="C940" i="3"/>
  <c r="C941" i="3"/>
  <c r="C942" i="3"/>
  <c r="C943" i="3"/>
  <c r="E205" i="32" s="1"/>
  <c r="C944" i="3"/>
  <c r="D268" i="24" s="1"/>
  <c r="C945" i="3"/>
  <c r="C946" i="3"/>
  <c r="D270" i="24" s="1"/>
  <c r="C947" i="3"/>
  <c r="D271" i="24" s="1"/>
  <c r="C948" i="3"/>
  <c r="D272" i="24" s="1"/>
  <c r="C949" i="3"/>
  <c r="D273" i="24" s="1"/>
  <c r="C890" i="3"/>
  <c r="D6" i="32"/>
  <c r="D5" i="32"/>
  <c r="D4" i="32"/>
  <c r="C72" i="12"/>
  <c r="E787" i="5"/>
  <c r="C787" i="5" s="1"/>
  <c r="B12" i="44"/>
  <c r="D12" i="44" s="1"/>
  <c r="B77" i="6"/>
  <c r="B71" i="6"/>
  <c r="B41" i="6"/>
  <c r="C216" i="5"/>
  <c r="K709" i="3"/>
  <c r="K5" i="34" s="1"/>
  <c r="A764" i="3"/>
  <c r="B3321" i="44" s="1"/>
  <c r="F3321" i="44" s="1"/>
  <c r="A766" i="3"/>
  <c r="B3224" i="44" s="1"/>
  <c r="F3224" i="44" s="1"/>
  <c r="C220" i="5"/>
  <c r="G50" i="24"/>
  <c r="G67" i="3"/>
  <c r="F67" i="3"/>
  <c r="C268" i="5"/>
  <c r="C266" i="5"/>
  <c r="G73" i="3"/>
  <c r="F73" i="3"/>
  <c r="E73" i="3"/>
  <c r="D73" i="3"/>
  <c r="C73" i="3"/>
  <c r="B73" i="3"/>
  <c r="G72" i="3"/>
  <c r="F72" i="3"/>
  <c r="E72" i="3"/>
  <c r="D72" i="3"/>
  <c r="C72" i="3"/>
  <c r="B72" i="3"/>
  <c r="F856" i="5"/>
  <c r="E856" i="5"/>
  <c r="D856" i="5"/>
  <c r="G856" i="5" s="1"/>
  <c r="C856" i="5"/>
  <c r="B856" i="5"/>
  <c r="A856" i="5" s="1"/>
  <c r="F855" i="5"/>
  <c r="E855" i="5"/>
  <c r="D855" i="5"/>
  <c r="C855" i="5"/>
  <c r="B855" i="5"/>
  <c r="C320" i="5"/>
  <c r="C319" i="5"/>
  <c r="C318" i="5"/>
  <c r="C794" i="5"/>
  <c r="E146" i="44"/>
  <c r="B146" i="44"/>
  <c r="C246" i="5"/>
  <c r="C317" i="5"/>
  <c r="C242" i="5"/>
  <c r="C290" i="5"/>
  <c r="C280" i="5"/>
  <c r="C252" i="5"/>
  <c r="C253" i="5"/>
  <c r="D100" i="44"/>
  <c r="D99" i="44"/>
  <c r="B3446" i="44"/>
  <c r="D3446" i="44" s="1"/>
  <c r="B3445" i="44"/>
  <c r="D3445" i="44" s="1"/>
  <c r="B3444" i="44"/>
  <c r="D3444" i="44" s="1"/>
  <c r="B3443" i="44"/>
  <c r="D3443" i="44" s="1"/>
  <c r="B3442" i="44"/>
  <c r="D3442" i="44" s="1"/>
  <c r="B3441" i="44"/>
  <c r="D3441" i="44" s="1"/>
  <c r="B3440" i="44"/>
  <c r="D3440" i="44" s="1"/>
  <c r="B3439" i="44"/>
  <c r="D3439" i="44" s="1"/>
  <c r="B3438" i="44"/>
  <c r="D3438" i="44" s="1"/>
  <c r="B3437" i="44"/>
  <c r="D3437" i="44" s="1"/>
  <c r="B3436" i="44"/>
  <c r="D3436" i="44" s="1"/>
  <c r="B3435" i="44"/>
  <c r="D3435" i="44" s="1"/>
  <c r="B3434" i="44"/>
  <c r="D3434" i="44" s="1"/>
  <c r="B3432" i="44"/>
  <c r="D3432" i="44" s="1"/>
  <c r="B3431" i="44"/>
  <c r="D3431" i="44" s="1"/>
  <c r="B3430" i="44"/>
  <c r="D3430" i="44" s="1"/>
  <c r="B3429" i="44"/>
  <c r="D3429" i="44" s="1"/>
  <c r="B3420" i="44"/>
  <c r="D3420" i="44" s="1"/>
  <c r="B3419" i="44"/>
  <c r="D3419" i="44" s="1"/>
  <c r="B3418" i="44"/>
  <c r="D3418" i="44" s="1"/>
  <c r="B3417" i="44"/>
  <c r="D3417" i="44" s="1"/>
  <c r="B3416" i="44"/>
  <c r="D3416" i="44" s="1"/>
  <c r="B3415" i="44"/>
  <c r="D3415" i="44" s="1"/>
  <c r="B3414" i="44"/>
  <c r="D3414" i="44" s="1"/>
  <c r="B3413" i="44"/>
  <c r="D3413" i="44" s="1"/>
  <c r="B3412" i="44"/>
  <c r="D3412" i="44" s="1"/>
  <c r="B3411" i="44"/>
  <c r="D3411" i="44" s="1"/>
  <c r="B3410" i="44"/>
  <c r="D3410" i="44" s="1"/>
  <c r="B3409" i="44"/>
  <c r="D3409" i="44" s="1"/>
  <c r="B3408" i="44"/>
  <c r="D3408" i="44" s="1"/>
  <c r="B3407" i="44"/>
  <c r="D3407" i="44" s="1"/>
  <c r="B3406" i="44"/>
  <c r="D3406" i="44" s="1"/>
  <c r="B3405" i="44"/>
  <c r="D3405" i="44" s="1"/>
  <c r="B3404" i="44"/>
  <c r="D3404" i="44" s="1"/>
  <c r="B3403" i="44"/>
  <c r="D3403" i="44" s="1"/>
  <c r="B3402" i="44"/>
  <c r="D3402" i="44" s="1"/>
  <c r="B3401" i="44"/>
  <c r="D3401" i="44" s="1"/>
  <c r="B3400" i="44"/>
  <c r="D3400" i="44" s="1"/>
  <c r="B3399" i="44"/>
  <c r="D3399" i="44" s="1"/>
  <c r="B3398" i="44"/>
  <c r="D3398" i="44" s="1"/>
  <c r="B3397" i="44"/>
  <c r="D3397" i="44" s="1"/>
  <c r="B3396" i="44"/>
  <c r="D3396" i="44" s="1"/>
  <c r="B3395" i="44"/>
  <c r="D3395" i="44" s="1"/>
  <c r="B3394" i="44"/>
  <c r="D3394" i="44" s="1"/>
  <c r="B3393" i="44"/>
  <c r="D3393" i="44" s="1"/>
  <c r="B3392" i="44"/>
  <c r="D3392" i="44" s="1"/>
  <c r="B3391" i="44"/>
  <c r="D3391" i="44" s="1"/>
  <c r="B3390" i="44"/>
  <c r="D3390" i="44" s="1"/>
  <c r="B3389" i="44"/>
  <c r="D3389" i="44" s="1"/>
  <c r="B3388" i="44"/>
  <c r="D3388" i="44" s="1"/>
  <c r="B3387" i="44"/>
  <c r="D3387" i="44" s="1"/>
  <c r="B3386" i="44"/>
  <c r="D3386" i="44" s="1"/>
  <c r="B3382" i="44"/>
  <c r="D3382" i="44" s="1"/>
  <c r="B3381" i="44"/>
  <c r="D3381" i="44" s="1"/>
  <c r="B3380" i="44"/>
  <c r="D3380" i="44" s="1"/>
  <c r="B3379" i="44"/>
  <c r="D3379" i="44" s="1"/>
  <c r="B3378" i="44"/>
  <c r="D3378" i="44" s="1"/>
  <c r="B3377" i="44"/>
  <c r="D3377" i="44" s="1"/>
  <c r="B3376" i="44"/>
  <c r="D3376" i="44" s="1"/>
  <c r="B3375" i="44"/>
  <c r="D3375" i="44" s="1"/>
  <c r="B3151" i="44"/>
  <c r="J3151" i="44" s="1"/>
  <c r="B3135" i="44"/>
  <c r="B3136" i="44" s="1"/>
  <c r="B3137" i="44" s="1"/>
  <c r="B3119" i="44"/>
  <c r="B3120" i="44" s="1"/>
  <c r="D3120" i="44" s="1"/>
  <c r="B3103" i="44"/>
  <c r="J3103" i="44" s="1"/>
  <c r="B3087" i="44"/>
  <c r="D3087" i="44" s="1"/>
  <c r="B3071" i="44"/>
  <c r="J3071" i="44" s="1"/>
  <c r="B3055" i="44"/>
  <c r="B3039" i="44"/>
  <c r="D3039" i="44" s="1"/>
  <c r="B3023" i="44"/>
  <c r="B3024" i="44" s="1"/>
  <c r="B3007" i="44"/>
  <c r="D3007" i="44" s="1"/>
  <c r="B2991" i="44"/>
  <c r="D2991" i="44" s="1"/>
  <c r="B2975" i="44"/>
  <c r="J2975" i="44" s="1"/>
  <c r="B2959" i="44"/>
  <c r="D2959" i="44" s="1"/>
  <c r="B2943" i="44"/>
  <c r="B2944" i="44" s="1"/>
  <c r="D2944" i="44" s="1"/>
  <c r="B2927" i="44"/>
  <c r="B2911" i="44"/>
  <c r="B2912" i="44" s="1"/>
  <c r="D2912" i="44" s="1"/>
  <c r="B2895" i="44"/>
  <c r="B2879" i="44"/>
  <c r="D2879" i="44" s="1"/>
  <c r="B2863" i="44"/>
  <c r="B2847" i="44"/>
  <c r="D2847" i="44" s="1"/>
  <c r="B2831" i="44"/>
  <c r="D2831" i="44" s="1"/>
  <c r="B2815" i="44"/>
  <c r="D2815" i="44" s="1"/>
  <c r="B2799" i="44"/>
  <c r="J2799" i="44" s="1"/>
  <c r="B2783" i="44"/>
  <c r="B2784" i="44" s="1"/>
  <c r="B2785" i="44" s="1"/>
  <c r="B2786" i="44" s="1"/>
  <c r="B2787" i="44" s="1"/>
  <c r="B2767" i="44"/>
  <c r="J2767" i="44" s="1"/>
  <c r="B2751" i="44"/>
  <c r="D2751" i="44" s="1"/>
  <c r="B2735" i="44"/>
  <c r="B2736" i="44" s="1"/>
  <c r="B2737" i="44" s="1"/>
  <c r="B2719" i="44"/>
  <c r="J2719" i="44" s="1"/>
  <c r="B2703" i="44"/>
  <c r="J2703" i="44" s="1"/>
  <c r="B2687" i="44"/>
  <c r="B2688" i="44" s="1"/>
  <c r="B2689" i="44" s="1"/>
  <c r="D2689" i="44" s="1"/>
  <c r="B2671" i="44"/>
  <c r="J2671" i="44" s="1"/>
  <c r="B2655" i="44"/>
  <c r="D2655" i="44" s="1"/>
  <c r="B2639" i="44"/>
  <c r="B2623" i="44"/>
  <c r="J2623" i="44" s="1"/>
  <c r="B2607" i="44"/>
  <c r="B2591" i="44"/>
  <c r="J2591" i="44" s="1"/>
  <c r="B2575" i="44"/>
  <c r="B2576" i="44" s="1"/>
  <c r="B2577" i="44" s="1"/>
  <c r="B2559" i="44"/>
  <c r="B2560" i="44" s="1"/>
  <c r="B2561" i="44" s="1"/>
  <c r="D2561" i="44" s="1"/>
  <c r="B2543" i="44"/>
  <c r="B2544" i="44" s="1"/>
  <c r="D2544" i="44" s="1"/>
  <c r="B2527" i="44"/>
  <c r="D2527" i="44" s="1"/>
  <c r="B2511" i="44"/>
  <c r="J2511" i="44" s="1"/>
  <c r="B2495" i="44"/>
  <c r="B2496" i="44" s="1"/>
  <c r="D2496" i="44" s="1"/>
  <c r="B2479" i="44"/>
  <c r="B2463" i="44"/>
  <c r="B2464" i="44" s="1"/>
  <c r="B2465" i="44" s="1"/>
  <c r="B2466" i="44" s="1"/>
  <c r="B2447" i="44"/>
  <c r="B2431" i="44"/>
  <c r="B2432" i="44" s="1"/>
  <c r="D2432" i="44" s="1"/>
  <c r="B2415" i="44"/>
  <c r="B2416" i="44" s="1"/>
  <c r="B2417" i="44" s="1"/>
  <c r="B2399" i="44"/>
  <c r="D2399" i="44" s="1"/>
  <c r="B2383" i="44"/>
  <c r="B2384" i="44" s="1"/>
  <c r="B2367" i="44"/>
  <c r="B2368" i="44" s="1"/>
  <c r="D2368" i="44" s="1"/>
  <c r="B2351" i="44"/>
  <c r="J2351" i="44" s="1"/>
  <c r="B2335" i="44"/>
  <c r="D2335" i="44" s="1"/>
  <c r="B2319" i="44"/>
  <c r="B2303" i="44"/>
  <c r="B2304" i="44" s="1"/>
  <c r="B2305" i="44" s="1"/>
  <c r="B2287" i="44"/>
  <c r="B2271" i="44"/>
  <c r="J2271" i="44" s="1"/>
  <c r="B2255" i="44"/>
  <c r="J2255" i="44" s="1"/>
  <c r="B2239" i="44"/>
  <c r="B2240" i="44" s="1"/>
  <c r="B2241" i="44" s="1"/>
  <c r="B2223" i="44"/>
  <c r="B2207" i="44"/>
  <c r="B2208" i="44" s="1"/>
  <c r="B2191" i="44"/>
  <c r="D2191" i="44" s="1"/>
  <c r="B2175" i="44"/>
  <c r="B2159" i="44"/>
  <c r="D2159" i="44" s="1"/>
  <c r="B2143" i="44"/>
  <c r="B2127" i="44"/>
  <c r="B2128" i="44" s="1"/>
  <c r="B2111" i="44"/>
  <c r="B2095" i="44"/>
  <c r="B2096" i="44" s="1"/>
  <c r="B2079" i="44"/>
  <c r="B2063" i="44"/>
  <c r="B2064" i="44" s="1"/>
  <c r="B2065" i="44" s="1"/>
  <c r="B2047" i="44"/>
  <c r="B2031" i="44"/>
  <c r="D2031" i="44" s="1"/>
  <c r="B2015" i="44"/>
  <c r="B2016" i="44" s="1"/>
  <c r="D2016" i="44" s="1"/>
  <c r="B1999" i="44"/>
  <c r="J1999" i="44" s="1"/>
  <c r="B1983" i="44"/>
  <c r="B1967" i="44"/>
  <c r="J1967" i="44" s="1"/>
  <c r="B1951" i="44"/>
  <c r="J1951" i="44" s="1"/>
  <c r="B1935" i="44"/>
  <c r="B1919" i="44"/>
  <c r="B1920" i="44" s="1"/>
  <c r="B1903" i="44"/>
  <c r="B1904" i="44" s="1"/>
  <c r="D1904" i="44" s="1"/>
  <c r="B1887" i="44"/>
  <c r="D1887" i="44" s="1"/>
  <c r="B1871" i="44"/>
  <c r="B1872" i="44" s="1"/>
  <c r="D1872" i="44" s="1"/>
  <c r="B1855" i="44"/>
  <c r="B1856" i="44" s="1"/>
  <c r="B1857" i="44" s="1"/>
  <c r="B1858" i="44" s="1"/>
  <c r="B1859" i="44" s="1"/>
  <c r="B1860" i="44" s="1"/>
  <c r="D1860" i="44" s="1"/>
  <c r="B1839" i="44"/>
  <c r="B1840" i="44" s="1"/>
  <c r="B1823" i="44"/>
  <c r="D1823" i="44" s="1"/>
  <c r="B1807" i="44"/>
  <c r="B1791" i="44"/>
  <c r="D1791" i="44" s="1"/>
  <c r="B1775" i="44"/>
  <c r="B1776" i="44" s="1"/>
  <c r="B1777" i="44" s="1"/>
  <c r="D1777" i="44" s="1"/>
  <c r="B1759" i="44"/>
  <c r="B1760" i="44" s="1"/>
  <c r="D1760" i="44" s="1"/>
  <c r="B1743" i="44"/>
  <c r="B1744" i="44" s="1"/>
  <c r="B1745" i="44" s="1"/>
  <c r="B1746" i="44" s="1"/>
  <c r="B1747" i="44" s="1"/>
  <c r="D1747" i="44" s="1"/>
  <c r="B1727" i="44"/>
  <c r="B1728" i="44" s="1"/>
  <c r="B1711" i="44"/>
  <c r="J1711" i="44" s="1"/>
  <c r="B1695" i="44"/>
  <c r="D1695" i="44" s="1"/>
  <c r="B1679" i="44"/>
  <c r="B1663" i="44"/>
  <c r="B1664" i="44" s="1"/>
  <c r="D1664" i="44" s="1"/>
  <c r="B1647" i="44"/>
  <c r="D1647" i="44" s="1"/>
  <c r="B1631" i="44"/>
  <c r="B1615" i="44"/>
  <c r="B1599" i="44"/>
  <c r="D1599" i="44" s="1"/>
  <c r="B1583" i="44"/>
  <c r="B1582" i="44"/>
  <c r="D1582" i="44" s="1"/>
  <c r="B1581" i="44"/>
  <c r="D1581" i="44" s="1"/>
  <c r="C1580" i="44"/>
  <c r="B1580" i="44"/>
  <c r="D1580" i="44" s="1"/>
  <c r="C1579" i="44"/>
  <c r="B1579" i="44"/>
  <c r="D1579" i="44" s="1"/>
  <c r="C1578" i="44"/>
  <c r="B1578" i="44"/>
  <c r="D1578" i="44" s="1"/>
  <c r="C1577" i="44"/>
  <c r="B1577" i="44"/>
  <c r="D1577" i="44" s="1"/>
  <c r="C1576" i="44"/>
  <c r="B1576" i="44"/>
  <c r="D1576" i="44" s="1"/>
  <c r="C1575" i="44"/>
  <c r="B1575" i="44"/>
  <c r="D1575" i="44" s="1"/>
  <c r="F1574" i="44"/>
  <c r="F1573" i="44"/>
  <c r="F1572" i="44"/>
  <c r="F1571" i="44"/>
  <c r="F1570" i="44"/>
  <c r="F1569" i="44"/>
  <c r="A1567" i="44"/>
  <c r="G1567" i="44" s="1"/>
  <c r="B1556" i="44"/>
  <c r="D1556" i="44" s="1"/>
  <c r="B1555" i="44"/>
  <c r="D1555" i="44" s="1"/>
  <c r="B1554" i="44"/>
  <c r="D1554" i="44" s="1"/>
  <c r="B1553" i="44"/>
  <c r="D1553" i="44" s="1"/>
  <c r="B1552" i="44"/>
  <c r="D1552" i="44" s="1"/>
  <c r="B1551" i="44"/>
  <c r="D1551" i="44" s="1"/>
  <c r="B1549" i="44"/>
  <c r="D1549" i="44" s="1"/>
  <c r="B1548" i="44"/>
  <c r="D1548" i="44" s="1"/>
  <c r="B1547" i="44"/>
  <c r="D1547" i="44" s="1"/>
  <c r="B1546" i="44"/>
  <c r="D1546" i="44" s="1"/>
  <c r="B1545" i="44"/>
  <c r="D1545" i="44" s="1"/>
  <c r="B1543" i="44"/>
  <c r="D1543" i="44" s="1"/>
  <c r="B1541" i="44"/>
  <c r="D1541" i="44" s="1"/>
  <c r="B1539" i="44"/>
  <c r="D1540" i="44" s="1"/>
  <c r="B1538" i="44"/>
  <c r="D1538" i="44" s="1"/>
  <c r="B1536" i="44"/>
  <c r="D1536" i="44" s="1"/>
  <c r="B1534" i="44"/>
  <c r="D1535" i="44" s="1"/>
  <c r="B1533" i="44"/>
  <c r="D1533" i="44" s="1"/>
  <c r="B1532" i="44"/>
  <c r="D1532" i="44" s="1"/>
  <c r="B1531" i="44"/>
  <c r="D1531" i="44" s="1"/>
  <c r="B1530" i="44"/>
  <c r="D1530" i="44" s="1"/>
  <c r="B1529" i="44"/>
  <c r="D1529" i="44" s="1"/>
  <c r="B1528" i="44"/>
  <c r="D1528" i="44" s="1"/>
  <c r="B1527" i="44"/>
  <c r="D1527" i="44" s="1"/>
  <c r="B1526" i="44"/>
  <c r="D1526" i="44" s="1"/>
  <c r="B1525" i="44"/>
  <c r="D1525" i="44" s="1"/>
  <c r="B1524" i="44"/>
  <c r="D1524" i="44" s="1"/>
  <c r="B1523" i="44"/>
  <c r="D1523" i="44" s="1"/>
  <c r="B1522" i="44"/>
  <c r="D1522" i="44" s="1"/>
  <c r="B1521" i="44"/>
  <c r="D1521" i="44" s="1"/>
  <c r="B1520" i="44"/>
  <c r="D1520" i="44" s="1"/>
  <c r="B1519" i="44"/>
  <c r="D1519" i="44" s="1"/>
  <c r="B1518" i="44"/>
  <c r="D1518" i="44" s="1"/>
  <c r="B1517" i="44"/>
  <c r="D1517" i="44" s="1"/>
  <c r="B1516" i="44"/>
  <c r="D1516" i="44" s="1"/>
  <c r="B1515" i="44"/>
  <c r="D1515" i="44" s="1"/>
  <c r="B1514" i="44"/>
  <c r="D1514" i="44" s="1"/>
  <c r="B1513" i="44"/>
  <c r="D1513" i="44" s="1"/>
  <c r="B1512" i="44"/>
  <c r="D1512" i="44" s="1"/>
  <c r="B1511" i="44"/>
  <c r="D1511" i="44" s="1"/>
  <c r="B1510" i="44"/>
  <c r="D1510" i="44" s="1"/>
  <c r="B1509" i="44"/>
  <c r="D1509" i="44" s="1"/>
  <c r="B1508" i="44"/>
  <c r="D1508" i="44" s="1"/>
  <c r="F1508" i="44" s="1"/>
  <c r="B1094" i="44"/>
  <c r="B1091" i="44"/>
  <c r="B1088" i="44"/>
  <c r="B1089" i="44" s="1"/>
  <c r="D1090" i="44" s="1"/>
  <c r="B1086" i="44"/>
  <c r="D1086" i="44" s="1"/>
  <c r="B1084" i="44"/>
  <c r="D1085" i="44" s="1"/>
  <c r="B1082" i="44"/>
  <c r="D1082" i="44" s="1"/>
  <c r="B1080" i="44"/>
  <c r="D1080" i="44" s="1"/>
  <c r="B1078" i="44"/>
  <c r="B1079" i="44" s="1"/>
  <c r="B1075" i="44"/>
  <c r="B1072" i="44"/>
  <c r="D1072" i="44" s="1"/>
  <c r="B1069" i="44"/>
  <c r="D1069" i="44" s="1"/>
  <c r="B1067" i="44"/>
  <c r="B1068" i="44" s="1"/>
  <c r="B1065" i="44"/>
  <c r="D1066" i="44" s="1"/>
  <c r="B1063" i="44"/>
  <c r="B1061" i="44"/>
  <c r="D1061" i="44" s="1"/>
  <c r="B1059" i="44"/>
  <c r="D1059" i="44" s="1"/>
  <c r="B1057" i="44"/>
  <c r="D1057" i="44" s="1"/>
  <c r="B1055" i="44"/>
  <c r="B1056" i="44" s="1"/>
  <c r="B1053" i="44"/>
  <c r="D1054" i="44" s="1"/>
  <c r="B1051" i="44"/>
  <c r="D1051" i="44" s="1"/>
  <c r="B1048" i="44"/>
  <c r="B1045" i="44"/>
  <c r="D1046" i="44" s="1"/>
  <c r="B1042" i="44"/>
  <c r="D1042" i="44" s="1"/>
  <c r="B1039" i="44"/>
  <c r="B1040" i="44" s="1"/>
  <c r="D1041" i="44" s="1"/>
  <c r="B1037" i="44"/>
  <c r="B1038" i="44" s="1"/>
  <c r="B1035" i="44"/>
  <c r="B1033" i="44"/>
  <c r="D1033" i="44" s="1"/>
  <c r="B1031" i="44"/>
  <c r="D1031" i="44" s="1"/>
  <c r="B1029" i="44"/>
  <c r="D1029" i="44" s="1"/>
  <c r="B1027" i="44"/>
  <c r="D1027" i="44" s="1"/>
  <c r="B1025" i="44"/>
  <c r="B1026" i="44" s="1"/>
  <c r="B1023" i="44"/>
  <c r="D1023" i="44" s="1"/>
  <c r="B1020" i="44"/>
  <c r="B1021" i="44" s="1"/>
  <c r="D1022" i="44" s="1"/>
  <c r="B1017" i="44"/>
  <c r="B1014" i="44"/>
  <c r="B1012" i="44"/>
  <c r="B1013" i="44" s="1"/>
  <c r="B1010" i="44"/>
  <c r="D1010" i="44" s="1"/>
  <c r="B1008" i="44"/>
  <c r="B1009" i="44" s="1"/>
  <c r="B1006" i="44"/>
  <c r="B1004" i="44"/>
  <c r="D1004" i="44" s="1"/>
  <c r="B1002" i="44"/>
  <c r="D1003" i="44" s="1"/>
  <c r="B1000" i="44"/>
  <c r="B998" i="44"/>
  <c r="B996" i="44"/>
  <c r="B997" i="44" s="1"/>
  <c r="B994" i="44"/>
  <c r="B995" i="44" s="1"/>
  <c r="B993" i="44"/>
  <c r="D993" i="44" s="1"/>
  <c r="B990" i="44"/>
  <c r="B987" i="44"/>
  <c r="D987" i="44" s="1"/>
  <c r="B985" i="44"/>
  <c r="D986" i="44" s="1"/>
  <c r="B983" i="44"/>
  <c r="B968" i="44"/>
  <c r="B969" i="44" s="1"/>
  <c r="B970" i="44" s="1"/>
  <c r="B971" i="44" s="1"/>
  <c r="B972" i="44" s="1"/>
  <c r="B973" i="44" s="1"/>
  <c r="B974" i="44" s="1"/>
  <c r="B975" i="44" s="1"/>
  <c r="B976" i="44" s="1"/>
  <c r="B977" i="44" s="1"/>
  <c r="B978" i="44" s="1"/>
  <c r="B979" i="44" s="1"/>
  <c r="B980" i="44" s="1"/>
  <c r="B981" i="44" s="1"/>
  <c r="B982" i="44" s="1"/>
  <c r="B938" i="44"/>
  <c r="B939" i="44" s="1"/>
  <c r="B940" i="44" s="1"/>
  <c r="B941" i="44" s="1"/>
  <c r="B942" i="44" s="1"/>
  <c r="B943" i="44" s="1"/>
  <c r="B944" i="44" s="1"/>
  <c r="B945" i="44" s="1"/>
  <c r="B946" i="44" s="1"/>
  <c r="B947" i="44" s="1"/>
  <c r="B948" i="44" s="1"/>
  <c r="B949" i="44" s="1"/>
  <c r="B950" i="44" s="1"/>
  <c r="B951" i="44" s="1"/>
  <c r="B952" i="44" s="1"/>
  <c r="B923" i="44"/>
  <c r="B904" i="44"/>
  <c r="B895" i="44"/>
  <c r="D896" i="44" s="1"/>
  <c r="B881" i="44"/>
  <c r="D882" i="44" s="1"/>
  <c r="B860" i="44"/>
  <c r="D861" i="44" s="1"/>
  <c r="D859" i="44"/>
  <c r="D858" i="44"/>
  <c r="B833" i="44"/>
  <c r="D833" i="44" s="1"/>
  <c r="B800" i="44"/>
  <c r="B802" i="44" s="1"/>
  <c r="B782" i="44"/>
  <c r="B757" i="44"/>
  <c r="D758" i="44" s="1"/>
  <c r="B753" i="44"/>
  <c r="D754" i="44" s="1"/>
  <c r="B747" i="44"/>
  <c r="B746" i="44"/>
  <c r="D746" i="44" s="1"/>
  <c r="F746" i="44" s="1"/>
  <c r="Q745" i="44"/>
  <c r="P745" i="44"/>
  <c r="O745" i="44"/>
  <c r="N745" i="44"/>
  <c r="M745" i="44"/>
  <c r="L745" i="44"/>
  <c r="K745" i="44"/>
  <c r="J745" i="44"/>
  <c r="I745" i="44"/>
  <c r="H745" i="44"/>
  <c r="F745" i="44"/>
  <c r="Q744" i="44"/>
  <c r="P744" i="44"/>
  <c r="O744" i="44"/>
  <c r="N744" i="44"/>
  <c r="M744" i="44"/>
  <c r="L744" i="44"/>
  <c r="K744" i="44"/>
  <c r="J744" i="44"/>
  <c r="I744" i="44"/>
  <c r="H744" i="44"/>
  <c r="F744" i="44"/>
  <c r="A740" i="44"/>
  <c r="B723" i="44"/>
  <c r="B693" i="44"/>
  <c r="D693" i="44" s="1"/>
  <c r="B678" i="44"/>
  <c r="B597" i="44"/>
  <c r="D598" i="44" s="1"/>
  <c r="B565" i="44"/>
  <c r="D566" i="44" s="1"/>
  <c r="B472" i="44"/>
  <c r="D473" i="44" s="1"/>
  <c r="B399" i="44"/>
  <c r="D402" i="44" s="1"/>
  <c r="B394" i="44"/>
  <c r="D395" i="44" s="1"/>
  <c r="D393" i="44"/>
  <c r="D392" i="44"/>
  <c r="D391" i="44"/>
  <c r="D390" i="44"/>
  <c r="D389" i="44"/>
  <c r="B316" i="44"/>
  <c r="B309" i="44"/>
  <c r="B314" i="44" s="1"/>
  <c r="B300" i="44"/>
  <c r="B299" i="44"/>
  <c r="D299" i="44" s="1"/>
  <c r="F299" i="44" s="1"/>
  <c r="S298" i="44"/>
  <c r="R298" i="44"/>
  <c r="Q298" i="44"/>
  <c r="P298" i="44"/>
  <c r="O298" i="44"/>
  <c r="N298" i="44"/>
  <c r="M298" i="44"/>
  <c r="L298" i="44"/>
  <c r="K298" i="44"/>
  <c r="J298" i="44"/>
  <c r="F298" i="44"/>
  <c r="S297" i="44"/>
  <c r="R297" i="44"/>
  <c r="Q297" i="44"/>
  <c r="P297" i="44"/>
  <c r="O297" i="44"/>
  <c r="N297" i="44"/>
  <c r="M297" i="44"/>
  <c r="L297" i="44"/>
  <c r="K297" i="44"/>
  <c r="J297" i="44"/>
  <c r="F297" i="44"/>
  <c r="S296" i="44"/>
  <c r="R296" i="44"/>
  <c r="Q296" i="44"/>
  <c r="P296" i="44"/>
  <c r="O296" i="44"/>
  <c r="N296" i="44"/>
  <c r="M296" i="44"/>
  <c r="L296" i="44"/>
  <c r="K296" i="44"/>
  <c r="J296" i="44"/>
  <c r="F296" i="44"/>
  <c r="S295" i="44"/>
  <c r="R295" i="44"/>
  <c r="Q295" i="44"/>
  <c r="P295" i="44"/>
  <c r="O295" i="44"/>
  <c r="N295" i="44"/>
  <c r="J295" i="44"/>
  <c r="K295" i="44"/>
  <c r="L295" i="44"/>
  <c r="M295" i="44"/>
  <c r="F295" i="44"/>
  <c r="S294" i="44"/>
  <c r="R294" i="44"/>
  <c r="Q294" i="44"/>
  <c r="P294" i="44"/>
  <c r="O294" i="44"/>
  <c r="N294" i="44"/>
  <c r="M294" i="44"/>
  <c r="L294" i="44"/>
  <c r="K294" i="44"/>
  <c r="J294" i="44"/>
  <c r="F294" i="44"/>
  <c r="F284" i="44"/>
  <c r="F283" i="44"/>
  <c r="B282" i="44"/>
  <c r="D282" i="44" s="1"/>
  <c r="B281" i="44"/>
  <c r="D281" i="44" s="1"/>
  <c r="B280" i="44"/>
  <c r="B279" i="44"/>
  <c r="B278" i="44"/>
  <c r="F278" i="44" s="1"/>
  <c r="B277" i="44"/>
  <c r="D277" i="44" s="1"/>
  <c r="B276" i="44"/>
  <c r="F276" i="44" s="1"/>
  <c r="B275" i="44"/>
  <c r="D275" i="44" s="1"/>
  <c r="B274" i="44"/>
  <c r="F274" i="44" s="1"/>
  <c r="H273" i="44"/>
  <c r="B273" i="44"/>
  <c r="D273" i="44" s="1"/>
  <c r="H272" i="44"/>
  <c r="B272" i="44"/>
  <c r="H271" i="44"/>
  <c r="B271" i="44"/>
  <c r="D271" i="44" s="1"/>
  <c r="H270" i="44"/>
  <c r="B270" i="44"/>
  <c r="D270" i="44" s="1"/>
  <c r="H269" i="44"/>
  <c r="B269" i="44"/>
  <c r="H268" i="44"/>
  <c r="B268" i="44"/>
  <c r="H267" i="44"/>
  <c r="B267" i="44"/>
  <c r="D267" i="44" s="1"/>
  <c r="H266" i="44"/>
  <c r="B266" i="44"/>
  <c r="D266" i="44" s="1"/>
  <c r="H265" i="44"/>
  <c r="B265" i="44"/>
  <c r="D265" i="44" s="1"/>
  <c r="B264" i="44"/>
  <c r="D264" i="44" s="1"/>
  <c r="B263" i="44"/>
  <c r="D263" i="44" s="1"/>
  <c r="B262" i="44"/>
  <c r="D262" i="44" s="1"/>
  <c r="B261" i="44"/>
  <c r="F261" i="44" s="1"/>
  <c r="B260" i="44"/>
  <c r="D260" i="44" s="1"/>
  <c r="B259" i="44"/>
  <c r="D259" i="44" s="1"/>
  <c r="B258" i="44"/>
  <c r="B257" i="44"/>
  <c r="F257" i="44" s="1"/>
  <c r="B256" i="44"/>
  <c r="D256" i="44" s="1"/>
  <c r="B255" i="44"/>
  <c r="F255" i="44" s="1"/>
  <c r="B254" i="44"/>
  <c r="H253" i="44"/>
  <c r="B253" i="44"/>
  <c r="H252" i="44"/>
  <c r="B252" i="44"/>
  <c r="D252" i="44" s="1"/>
  <c r="H251" i="44"/>
  <c r="B251" i="44"/>
  <c r="D251" i="44" s="1"/>
  <c r="H250" i="44"/>
  <c r="B250" i="44"/>
  <c r="D250" i="44" s="1"/>
  <c r="H249" i="44"/>
  <c r="B249" i="44"/>
  <c r="D249" i="44" s="1"/>
  <c r="H248" i="44"/>
  <c r="B248" i="44"/>
  <c r="D248" i="44" s="1"/>
  <c r="H247" i="44"/>
  <c r="B247" i="44"/>
  <c r="D247" i="44" s="1"/>
  <c r="H246" i="44"/>
  <c r="B246" i="44"/>
  <c r="D246" i="44" s="1"/>
  <c r="H245" i="44"/>
  <c r="B245" i="44"/>
  <c r="B243" i="44"/>
  <c r="D243" i="44" s="1"/>
  <c r="B242" i="44"/>
  <c r="D242" i="44" s="1"/>
  <c r="E209" i="44"/>
  <c r="A209" i="44" s="1"/>
  <c r="B209" i="44"/>
  <c r="B210" i="44" s="1"/>
  <c r="D210" i="44" s="1"/>
  <c r="E207" i="44"/>
  <c r="A207" i="44" s="1"/>
  <c r="B207" i="44"/>
  <c r="B208" i="44" s="1"/>
  <c r="D208" i="44" s="1"/>
  <c r="E205" i="44"/>
  <c r="A205" i="44" s="1"/>
  <c r="B205" i="44"/>
  <c r="F207" i="44" s="1"/>
  <c r="E203" i="44"/>
  <c r="A203" i="44" s="1"/>
  <c r="B203" i="44"/>
  <c r="E201" i="44"/>
  <c r="A201" i="44" s="1"/>
  <c r="B201" i="44"/>
  <c r="E199" i="44"/>
  <c r="A199" i="44" s="1"/>
  <c r="B199" i="44"/>
  <c r="F201" i="44" s="1"/>
  <c r="E197" i="44"/>
  <c r="A197" i="44" s="1"/>
  <c r="B197" i="44"/>
  <c r="B198" i="44" s="1"/>
  <c r="D198" i="44" s="1"/>
  <c r="E195" i="44"/>
  <c r="A195" i="44" s="1"/>
  <c r="B195" i="44"/>
  <c r="F197" i="44" s="1"/>
  <c r="E193" i="44"/>
  <c r="A193" i="44" s="1"/>
  <c r="B193" i="44"/>
  <c r="E191" i="44"/>
  <c r="A191" i="44" s="1"/>
  <c r="B191" i="44"/>
  <c r="E189" i="44"/>
  <c r="A189" i="44" s="1"/>
  <c r="B189" i="44"/>
  <c r="E187" i="44"/>
  <c r="A187" i="44" s="1"/>
  <c r="B187" i="44"/>
  <c r="E185" i="44"/>
  <c r="A185" i="44" s="1"/>
  <c r="B185" i="44"/>
  <c r="E183" i="44"/>
  <c r="A183" i="44" s="1"/>
  <c r="B183" i="44"/>
  <c r="F185" i="44" s="1"/>
  <c r="E181" i="44"/>
  <c r="A181" i="44" s="1"/>
  <c r="B181" i="44"/>
  <c r="B182" i="44" s="1"/>
  <c r="D182" i="44" s="1"/>
  <c r="E179" i="44"/>
  <c r="A179" i="44" s="1"/>
  <c r="B179" i="44"/>
  <c r="E177" i="44"/>
  <c r="A177" i="44" s="1"/>
  <c r="B177" i="44"/>
  <c r="B178" i="44" s="1"/>
  <c r="D178" i="44" s="1"/>
  <c r="E175" i="44"/>
  <c r="A175" i="44" s="1"/>
  <c r="B175" i="44"/>
  <c r="E173" i="44"/>
  <c r="A173" i="44" s="1"/>
  <c r="B173" i="44"/>
  <c r="E171" i="44"/>
  <c r="A171" i="44" s="1"/>
  <c r="B171" i="44"/>
  <c r="B172" i="44" s="1"/>
  <c r="D172" i="44" s="1"/>
  <c r="E169" i="44"/>
  <c r="A169" i="44" s="1"/>
  <c r="B169" i="44"/>
  <c r="F171" i="44" s="1"/>
  <c r="E167" i="44"/>
  <c r="A167" i="44" s="1"/>
  <c r="B167" i="44"/>
  <c r="E165" i="44"/>
  <c r="A165" i="44" s="1"/>
  <c r="B165" i="44"/>
  <c r="F167" i="44" s="1"/>
  <c r="E163" i="44"/>
  <c r="A163" i="44" s="1"/>
  <c r="B163" i="44"/>
  <c r="E161" i="44"/>
  <c r="A161" i="44" s="1"/>
  <c r="B161" i="44"/>
  <c r="E159" i="44"/>
  <c r="A159" i="44" s="1"/>
  <c r="B159" i="44"/>
  <c r="B160" i="44" s="1"/>
  <c r="D160" i="44" s="1"/>
  <c r="E157" i="44"/>
  <c r="A157" i="44" s="1"/>
  <c r="B157" i="44"/>
  <c r="E155" i="44"/>
  <c r="A155" i="44" s="1"/>
  <c r="B155" i="44"/>
  <c r="B156" i="44" s="1"/>
  <c r="D156" i="44" s="1"/>
  <c r="E153" i="44"/>
  <c r="A153" i="44" s="1"/>
  <c r="B153" i="44"/>
  <c r="F155" i="44" s="1"/>
  <c r="E151" i="44"/>
  <c r="A151" i="44" s="1"/>
  <c r="B151" i="44"/>
  <c r="E149" i="44"/>
  <c r="A149" i="44" s="1"/>
  <c r="B149" i="44"/>
  <c r="B150" i="44" s="1"/>
  <c r="D150" i="44" s="1"/>
  <c r="E147" i="44"/>
  <c r="B147" i="44"/>
  <c r="F149" i="44" s="1"/>
  <c r="B145" i="44"/>
  <c r="F147" i="44" s="1"/>
  <c r="B144" i="44"/>
  <c r="F146" i="44" s="1"/>
  <c r="B143" i="44"/>
  <c r="D143" i="44" s="1"/>
  <c r="B142" i="44"/>
  <c r="D142" i="44" s="1"/>
  <c r="B141" i="44"/>
  <c r="D141" i="44" s="1"/>
  <c r="B140" i="44"/>
  <c r="D140" i="44" s="1"/>
  <c r="B139" i="44"/>
  <c r="D139" i="44" s="1"/>
  <c r="B138" i="44"/>
  <c r="D138" i="44" s="1"/>
  <c r="B137" i="44"/>
  <c r="D137" i="44" s="1"/>
  <c r="D120" i="44"/>
  <c r="D119" i="44"/>
  <c r="D118" i="44"/>
  <c r="D117" i="44"/>
  <c r="D116" i="44"/>
  <c r="D115" i="44"/>
  <c r="D114" i="44"/>
  <c r="D113" i="44"/>
  <c r="D112" i="44"/>
  <c r="D111" i="44"/>
  <c r="D107" i="44"/>
  <c r="D106" i="44"/>
  <c r="D105" i="44"/>
  <c r="D104" i="44"/>
  <c r="D103" i="44"/>
  <c r="D98" i="44"/>
  <c r="D97" i="44"/>
  <c r="D96" i="44"/>
  <c r="D94" i="44"/>
  <c r="D93" i="44"/>
  <c r="D92" i="44"/>
  <c r="D85" i="44"/>
  <c r="D84" i="44"/>
  <c r="D83" i="44"/>
  <c r="D82" i="44"/>
  <c r="D81" i="44"/>
  <c r="D80" i="44"/>
  <c r="D78" i="44"/>
  <c r="D71" i="44"/>
  <c r="D73" i="44"/>
  <c r="D72" i="44"/>
  <c r="D70" i="44"/>
  <c r="D69" i="44"/>
  <c r="D68" i="44"/>
  <c r="D67" i="44"/>
  <c r="D66" i="44"/>
  <c r="D65" i="44"/>
  <c r="D64" i="44"/>
  <c r="D62" i="44"/>
  <c r="D61" i="44"/>
  <c r="D60" i="44"/>
  <c r="D59" i="44"/>
  <c r="D58" i="44"/>
  <c r="D57" i="44"/>
  <c r="D55" i="44"/>
  <c r="B52" i="44"/>
  <c r="D52" i="44" s="1"/>
  <c r="B41" i="44"/>
  <c r="D41" i="44" s="1"/>
  <c r="B39" i="44"/>
  <c r="D39" i="44" s="1"/>
  <c r="B35" i="44"/>
  <c r="D35" i="44" s="1"/>
  <c r="B34" i="44"/>
  <c r="D34" i="44" s="1"/>
  <c r="B33" i="44"/>
  <c r="D33" i="44" s="1"/>
  <c r="B32" i="44"/>
  <c r="D32" i="44" s="1"/>
  <c r="B31" i="44"/>
  <c r="D31" i="44" s="1"/>
  <c r="B30" i="44"/>
  <c r="D30" i="44" s="1"/>
  <c r="B29" i="44"/>
  <c r="D29" i="44" s="1"/>
  <c r="B28" i="44"/>
  <c r="D28" i="44" s="1"/>
  <c r="B27" i="44"/>
  <c r="D27" i="44" s="1"/>
  <c r="B26" i="44"/>
  <c r="D26" i="44" s="1"/>
  <c r="B25" i="44"/>
  <c r="D25" i="44" s="1"/>
  <c r="B24" i="44"/>
  <c r="D24" i="44" s="1"/>
  <c r="B23" i="44"/>
  <c r="D23" i="44" s="1"/>
  <c r="B22" i="44"/>
  <c r="D22" i="44" s="1"/>
  <c r="B21" i="44"/>
  <c r="D21" i="44" s="1"/>
  <c r="B19" i="44"/>
  <c r="D19" i="44" s="1"/>
  <c r="B18" i="44"/>
  <c r="D18" i="44" s="1"/>
  <c r="B17" i="44"/>
  <c r="D17" i="44" s="1"/>
  <c r="B15" i="44"/>
  <c r="D15" i="44" s="1"/>
  <c r="B13" i="44"/>
  <c r="D13" i="44" s="1"/>
  <c r="B11" i="44"/>
  <c r="D11" i="44" s="1"/>
  <c r="F11" i="44" s="1"/>
  <c r="B10" i="44"/>
  <c r="D10" i="44" s="1"/>
  <c r="F10" i="44" s="1"/>
  <c r="B9" i="44"/>
  <c r="D9" i="44" s="1"/>
  <c r="B8" i="44"/>
  <c r="D8" i="44" s="1"/>
  <c r="B7" i="44"/>
  <c r="D7" i="44" s="1"/>
  <c r="B6" i="44"/>
  <c r="D6" i="44" s="1"/>
  <c r="B5" i="44"/>
  <c r="D5" i="44" s="1"/>
  <c r="C440" i="5"/>
  <c r="E1199" i="5"/>
  <c r="D1199" i="5"/>
  <c r="C1199" i="5"/>
  <c r="E1198" i="5"/>
  <c r="D1198" i="5"/>
  <c r="C1198" i="5"/>
  <c r="B8" i="3"/>
  <c r="E1197" i="5"/>
  <c r="D1197" i="5"/>
  <c r="C1197" i="5"/>
  <c r="E1196" i="5"/>
  <c r="D1196" i="5"/>
  <c r="C1196" i="5"/>
  <c r="E1195" i="5"/>
  <c r="D1195" i="5"/>
  <c r="C1195" i="5"/>
  <c r="E1194" i="5"/>
  <c r="D1194" i="5"/>
  <c r="C1194" i="5"/>
  <c r="E1193" i="5"/>
  <c r="D1193" i="5"/>
  <c r="C1193" i="5"/>
  <c r="E1192" i="5"/>
  <c r="D1192" i="5"/>
  <c r="C1192" i="5"/>
  <c r="E1191" i="5"/>
  <c r="D1191" i="5"/>
  <c r="C1191" i="5"/>
  <c r="E1190" i="5"/>
  <c r="D1190" i="5"/>
  <c r="C1190" i="5"/>
  <c r="E1189" i="5"/>
  <c r="D1189" i="5"/>
  <c r="C1189" i="5"/>
  <c r="E1188" i="5"/>
  <c r="D1188" i="5"/>
  <c r="C1188" i="5"/>
  <c r="E1187" i="5"/>
  <c r="D1187" i="5"/>
  <c r="C1187" i="5"/>
  <c r="E1186" i="5"/>
  <c r="D1186" i="5"/>
  <c r="C1186" i="5"/>
  <c r="E1185" i="5"/>
  <c r="D1185" i="5"/>
  <c r="C1185" i="5"/>
  <c r="E1184" i="5"/>
  <c r="D1184" i="5"/>
  <c r="C1184" i="5"/>
  <c r="E1183" i="5"/>
  <c r="D1183" i="5"/>
  <c r="C1183" i="5"/>
  <c r="E1182" i="5"/>
  <c r="D1182" i="5"/>
  <c r="C1182" i="5"/>
  <c r="E1181" i="5"/>
  <c r="D1181" i="5"/>
  <c r="C1181" i="5"/>
  <c r="E1180" i="5"/>
  <c r="D1180" i="5"/>
  <c r="C1180" i="5"/>
  <c r="E1179" i="5"/>
  <c r="D1179" i="5"/>
  <c r="C1179" i="5"/>
  <c r="E1178" i="5"/>
  <c r="D1178" i="5"/>
  <c r="C1178" i="5"/>
  <c r="B9" i="3"/>
  <c r="E1177" i="5"/>
  <c r="D1177" i="5"/>
  <c r="C1177" i="5"/>
  <c r="E1176" i="5"/>
  <c r="D1176" i="5"/>
  <c r="C1176" i="5"/>
  <c r="E1175" i="5"/>
  <c r="D1175" i="5"/>
  <c r="C1175" i="5"/>
  <c r="E1174" i="5"/>
  <c r="D1174" i="5"/>
  <c r="C1174" i="5"/>
  <c r="E1173" i="5"/>
  <c r="D1173" i="5"/>
  <c r="C1173" i="5"/>
  <c r="E1172" i="5"/>
  <c r="D1172" i="5"/>
  <c r="C1172" i="5"/>
  <c r="E1171" i="5"/>
  <c r="D1171" i="5"/>
  <c r="C1171" i="5"/>
  <c r="E1170" i="5"/>
  <c r="D1170" i="5"/>
  <c r="C1170" i="5"/>
  <c r="E1169" i="5"/>
  <c r="D1169" i="5"/>
  <c r="C1169" i="5"/>
  <c r="E1168" i="5"/>
  <c r="D1168" i="5"/>
  <c r="C1168" i="5"/>
  <c r="E1167" i="5"/>
  <c r="D1167" i="5"/>
  <c r="C1167" i="5"/>
  <c r="E1166" i="5"/>
  <c r="D1166" i="5"/>
  <c r="C1166" i="5"/>
  <c r="E1165" i="5"/>
  <c r="D1165" i="5"/>
  <c r="C1165" i="5"/>
  <c r="E1164" i="5"/>
  <c r="D1164" i="5"/>
  <c r="C1164" i="5"/>
  <c r="E1163" i="5"/>
  <c r="D1163" i="5"/>
  <c r="C1163" i="5"/>
  <c r="E1162" i="5"/>
  <c r="D1162" i="5"/>
  <c r="C1162" i="5"/>
  <c r="E1161" i="5"/>
  <c r="D1161" i="5"/>
  <c r="C1161" i="5"/>
  <c r="E1160" i="5"/>
  <c r="D1160" i="5"/>
  <c r="C1160" i="5"/>
  <c r="E1159" i="5"/>
  <c r="D1159" i="5"/>
  <c r="C1159" i="5"/>
  <c r="E1158" i="5"/>
  <c r="D1158" i="5"/>
  <c r="C1158" i="5"/>
  <c r="E1157" i="5"/>
  <c r="D1157" i="5"/>
  <c r="C1157" i="5"/>
  <c r="E1156" i="5"/>
  <c r="D1156" i="5"/>
  <c r="C1156" i="5"/>
  <c r="E1155" i="5"/>
  <c r="D1155" i="5"/>
  <c r="C1155" i="5"/>
  <c r="E1154" i="5"/>
  <c r="D1154" i="5"/>
  <c r="C1154" i="5"/>
  <c r="E1153" i="5"/>
  <c r="D1153" i="5"/>
  <c r="C1153" i="5"/>
  <c r="E1152" i="5"/>
  <c r="D1152" i="5"/>
  <c r="C1152" i="5"/>
  <c r="E1151" i="5"/>
  <c r="D1151" i="5"/>
  <c r="C1151" i="5"/>
  <c r="E1150" i="5"/>
  <c r="D1150" i="5"/>
  <c r="C1150" i="5"/>
  <c r="E1149" i="5"/>
  <c r="D1149" i="5"/>
  <c r="C1149" i="5"/>
  <c r="E1148" i="5"/>
  <c r="D1148" i="5"/>
  <c r="C1148" i="5"/>
  <c r="E1147" i="5"/>
  <c r="D1147" i="5"/>
  <c r="C1147" i="5"/>
  <c r="E1146" i="5"/>
  <c r="D1146" i="5"/>
  <c r="C1146" i="5"/>
  <c r="E1145" i="5"/>
  <c r="D1145" i="5"/>
  <c r="C1145" i="5"/>
  <c r="E1144" i="5"/>
  <c r="D1144" i="5"/>
  <c r="C1144" i="5"/>
  <c r="E1143" i="5"/>
  <c r="D1143" i="5"/>
  <c r="C1143" i="5"/>
  <c r="E1142" i="5"/>
  <c r="D1142" i="5"/>
  <c r="C1142" i="5"/>
  <c r="E1141" i="5"/>
  <c r="D1141" i="5"/>
  <c r="C1141" i="5"/>
  <c r="E1140" i="5"/>
  <c r="D1140" i="5"/>
  <c r="C1140" i="5"/>
  <c r="E1139" i="5"/>
  <c r="D1139" i="5"/>
  <c r="C1139" i="5"/>
  <c r="E1138" i="5"/>
  <c r="D1138" i="5"/>
  <c r="C1138" i="5"/>
  <c r="E1137" i="5"/>
  <c r="D1137" i="5"/>
  <c r="C1137" i="5"/>
  <c r="E1136" i="5"/>
  <c r="D1136" i="5"/>
  <c r="C1136" i="5"/>
  <c r="E1135" i="5"/>
  <c r="D1135" i="5"/>
  <c r="C1135" i="5"/>
  <c r="E1134" i="5"/>
  <c r="D1134" i="5"/>
  <c r="C1134" i="5"/>
  <c r="E1133" i="5"/>
  <c r="D1133" i="5"/>
  <c r="C1133" i="5"/>
  <c r="E1132" i="5"/>
  <c r="D1132" i="5"/>
  <c r="C1132" i="5"/>
  <c r="E1131" i="5"/>
  <c r="D1131" i="5"/>
  <c r="C1131" i="5"/>
  <c r="E1130" i="5"/>
  <c r="D1130" i="5"/>
  <c r="C1130" i="5"/>
  <c r="E1129" i="5"/>
  <c r="D1129" i="5"/>
  <c r="C1129" i="5"/>
  <c r="E1128" i="5"/>
  <c r="D1128" i="5"/>
  <c r="C1128" i="5"/>
  <c r="E1127" i="5"/>
  <c r="D1127" i="5"/>
  <c r="C1127" i="5"/>
  <c r="E1126" i="5"/>
  <c r="D1126" i="5"/>
  <c r="C1126" i="5"/>
  <c r="E1125" i="5"/>
  <c r="D1125" i="5"/>
  <c r="C1125" i="5"/>
  <c r="E1124" i="5"/>
  <c r="D1124" i="5"/>
  <c r="C1124" i="5"/>
  <c r="E1123" i="5"/>
  <c r="D1123" i="5"/>
  <c r="C1123" i="5"/>
  <c r="E1122" i="5"/>
  <c r="D1122" i="5"/>
  <c r="C1122" i="5"/>
  <c r="E1121" i="5"/>
  <c r="D1121" i="5"/>
  <c r="C1121" i="5"/>
  <c r="E1120" i="5"/>
  <c r="D1120" i="5"/>
  <c r="C1120" i="5"/>
  <c r="E1119" i="5"/>
  <c r="D1119" i="5"/>
  <c r="C1119" i="5"/>
  <c r="E1118" i="5"/>
  <c r="D1118" i="5"/>
  <c r="C1118" i="5"/>
  <c r="E1117" i="5"/>
  <c r="D1117" i="5"/>
  <c r="C1117" i="5"/>
  <c r="E1116" i="5"/>
  <c r="D1116" i="5"/>
  <c r="C1116" i="5"/>
  <c r="E1115" i="5"/>
  <c r="D1115" i="5"/>
  <c r="C1115" i="5"/>
  <c r="E1114" i="5"/>
  <c r="D1114" i="5"/>
  <c r="C1114" i="5"/>
  <c r="E1113" i="5"/>
  <c r="D1113" i="5"/>
  <c r="C1113" i="5"/>
  <c r="E1112" i="5"/>
  <c r="D1112" i="5"/>
  <c r="C1112" i="5"/>
  <c r="E1111" i="5"/>
  <c r="D1111" i="5"/>
  <c r="C1111" i="5"/>
  <c r="E1110" i="5"/>
  <c r="D1110" i="5"/>
  <c r="C1110" i="5"/>
  <c r="E1109" i="5"/>
  <c r="D1109" i="5"/>
  <c r="C1109" i="5"/>
  <c r="E1108" i="5"/>
  <c r="D1108" i="5"/>
  <c r="C1108" i="5"/>
  <c r="E1107" i="5"/>
  <c r="D1107" i="5"/>
  <c r="C1107" i="5"/>
  <c r="E1106" i="5"/>
  <c r="D1106" i="5"/>
  <c r="C1106" i="5"/>
  <c r="E1105" i="5"/>
  <c r="D1105" i="5"/>
  <c r="C1105" i="5"/>
  <c r="E1104" i="5"/>
  <c r="D1104" i="5"/>
  <c r="C1104" i="5"/>
  <c r="E1103" i="5"/>
  <c r="D1103" i="5"/>
  <c r="C1103" i="5"/>
  <c r="E1102" i="5"/>
  <c r="D1102" i="5"/>
  <c r="C1102" i="5"/>
  <c r="E1101" i="5"/>
  <c r="D1101" i="5"/>
  <c r="A1101" i="5" s="1"/>
  <c r="C1101" i="5"/>
  <c r="F1011" i="5"/>
  <c r="E1011" i="5"/>
  <c r="D1011" i="5"/>
  <c r="C1011" i="5"/>
  <c r="B1011" i="5"/>
  <c r="A1011" i="5" s="1"/>
  <c r="F1010" i="5"/>
  <c r="E1010" i="5"/>
  <c r="D1010" i="5"/>
  <c r="C1010" i="5"/>
  <c r="B1010" i="5"/>
  <c r="A1010" i="5" s="1"/>
  <c r="F1009" i="5"/>
  <c r="E1009" i="5"/>
  <c r="D1009" i="5"/>
  <c r="C1009" i="5"/>
  <c r="B1009" i="5"/>
  <c r="A1009" i="5" s="1"/>
  <c r="F1008" i="5"/>
  <c r="E1008" i="5"/>
  <c r="D1008" i="5"/>
  <c r="C1008" i="5"/>
  <c r="B1008" i="5"/>
  <c r="A1008" i="5" s="1"/>
  <c r="F1007" i="5"/>
  <c r="E1007" i="5"/>
  <c r="D1007" i="5"/>
  <c r="C1007" i="5"/>
  <c r="B1007" i="5"/>
  <c r="A1007" i="5" s="1"/>
  <c r="F1006" i="5"/>
  <c r="E1006" i="5"/>
  <c r="D1006" i="5"/>
  <c r="C1006" i="5"/>
  <c r="B1006" i="5"/>
  <c r="A1006" i="5" s="1"/>
  <c r="F1005" i="5"/>
  <c r="E1005" i="5"/>
  <c r="D1005" i="5"/>
  <c r="C1005" i="5"/>
  <c r="B1005" i="5"/>
  <c r="A1005" i="5" s="1"/>
  <c r="F1004" i="5"/>
  <c r="E1004" i="5"/>
  <c r="D1004" i="5"/>
  <c r="C1004" i="5"/>
  <c r="B1004" i="5"/>
  <c r="A1004" i="5" s="1"/>
  <c r="F1003" i="5"/>
  <c r="E1003" i="5"/>
  <c r="D1003" i="5"/>
  <c r="C1003" i="5"/>
  <c r="B1003" i="5"/>
  <c r="A1003" i="5" s="1"/>
  <c r="F1002" i="5"/>
  <c r="E1002" i="5"/>
  <c r="D1002" i="5"/>
  <c r="C1002" i="5"/>
  <c r="B1002" i="5"/>
  <c r="A1002" i="5" s="1"/>
  <c r="F1001" i="5"/>
  <c r="E1001" i="5"/>
  <c r="D1001" i="5"/>
  <c r="C1001" i="5"/>
  <c r="B1001" i="5"/>
  <c r="A1001" i="5" s="1"/>
  <c r="F1000" i="5"/>
  <c r="E1000" i="5"/>
  <c r="D1000" i="5"/>
  <c r="C1000" i="5"/>
  <c r="B1000" i="5"/>
  <c r="A1000" i="5" s="1"/>
  <c r="F999" i="5"/>
  <c r="E999" i="5"/>
  <c r="D999" i="5"/>
  <c r="C999" i="5"/>
  <c r="B999" i="5"/>
  <c r="A999" i="5" s="1"/>
  <c r="F998" i="5"/>
  <c r="E998" i="5"/>
  <c r="D998" i="5"/>
  <c r="C998" i="5"/>
  <c r="B998" i="5"/>
  <c r="A998" i="5" s="1"/>
  <c r="F997" i="5"/>
  <c r="E997" i="5"/>
  <c r="D997" i="5"/>
  <c r="C997" i="5"/>
  <c r="B997" i="5"/>
  <c r="A997" i="5" s="1"/>
  <c r="F996" i="5"/>
  <c r="E996" i="5"/>
  <c r="D996" i="5"/>
  <c r="C996" i="5"/>
  <c r="B996" i="5"/>
  <c r="A996" i="5" s="1"/>
  <c r="F995" i="5"/>
  <c r="E995" i="5"/>
  <c r="D995" i="5"/>
  <c r="C995" i="5"/>
  <c r="B995" i="5"/>
  <c r="A995" i="5" s="1"/>
  <c r="F994" i="5"/>
  <c r="E994" i="5"/>
  <c r="D994" i="5"/>
  <c r="C994" i="5"/>
  <c r="B994" i="5"/>
  <c r="A994" i="5" s="1"/>
  <c r="F993" i="5"/>
  <c r="E993" i="5"/>
  <c r="D993" i="5"/>
  <c r="C993" i="5"/>
  <c r="B993" i="5"/>
  <c r="A993" i="5" s="1"/>
  <c r="F992" i="5"/>
  <c r="E992" i="5"/>
  <c r="D992" i="5"/>
  <c r="C992" i="5"/>
  <c r="B992" i="5"/>
  <c r="A992" i="5" s="1"/>
  <c r="F991" i="5"/>
  <c r="E991" i="5"/>
  <c r="D991" i="5"/>
  <c r="C991" i="5"/>
  <c r="B991" i="5"/>
  <c r="A991" i="5" s="1"/>
  <c r="F990" i="5"/>
  <c r="E990" i="5"/>
  <c r="D990" i="5"/>
  <c r="C990" i="5"/>
  <c r="B990" i="5"/>
  <c r="A990" i="5" s="1"/>
  <c r="F989" i="5"/>
  <c r="E989" i="5"/>
  <c r="D989" i="5"/>
  <c r="C989" i="5"/>
  <c r="B989" i="5"/>
  <c r="A989" i="5" s="1"/>
  <c r="F988" i="5"/>
  <c r="E988" i="5"/>
  <c r="D988" i="5"/>
  <c r="C988" i="5"/>
  <c r="B988" i="5"/>
  <c r="A988" i="5" s="1"/>
  <c r="F987" i="5"/>
  <c r="E987" i="5"/>
  <c r="D987" i="5"/>
  <c r="C987" i="5"/>
  <c r="B987" i="5"/>
  <c r="A987" i="5" s="1"/>
  <c r="F986" i="5"/>
  <c r="E986" i="5"/>
  <c r="D986" i="5"/>
  <c r="C986" i="5"/>
  <c r="B986" i="5"/>
  <c r="A986" i="5" s="1"/>
  <c r="F985" i="5"/>
  <c r="E985" i="5"/>
  <c r="D985" i="5"/>
  <c r="C985" i="5"/>
  <c r="B985" i="5"/>
  <c r="A985" i="5" s="1"/>
  <c r="F984" i="5"/>
  <c r="E984" i="5"/>
  <c r="D984" i="5"/>
  <c r="C984" i="5"/>
  <c r="B984" i="5"/>
  <c r="A984" i="5" s="1"/>
  <c r="F983" i="5"/>
  <c r="E983" i="5"/>
  <c r="D983" i="5"/>
  <c r="C983" i="5"/>
  <c r="B983" i="5"/>
  <c r="A983" i="5" s="1"/>
  <c r="F982" i="5"/>
  <c r="E982" i="5"/>
  <c r="D982" i="5"/>
  <c r="C982" i="5"/>
  <c r="B982" i="5"/>
  <c r="A982" i="5" s="1"/>
  <c r="F981" i="5"/>
  <c r="E981" i="5"/>
  <c r="D981" i="5"/>
  <c r="C981" i="5"/>
  <c r="B981" i="5"/>
  <c r="A981" i="5" s="1"/>
  <c r="F980" i="5"/>
  <c r="E980" i="5"/>
  <c r="D980" i="5"/>
  <c r="C980" i="5"/>
  <c r="B980" i="5"/>
  <c r="A980" i="5" s="1"/>
  <c r="F979" i="5"/>
  <c r="E979" i="5"/>
  <c r="D979" i="5"/>
  <c r="C979" i="5"/>
  <c r="B979" i="5"/>
  <c r="A979" i="5" s="1"/>
  <c r="F978" i="5"/>
  <c r="E978" i="5"/>
  <c r="D978" i="5"/>
  <c r="C978" i="5"/>
  <c r="B978" i="5"/>
  <c r="A978" i="5" s="1"/>
  <c r="F977" i="5"/>
  <c r="E977" i="5"/>
  <c r="D977" i="5"/>
  <c r="C977" i="5"/>
  <c r="B977" i="5"/>
  <c r="A977" i="5" s="1"/>
  <c r="F976" i="5"/>
  <c r="E976" i="5"/>
  <c r="D976" i="5"/>
  <c r="C976" i="5"/>
  <c r="B976" i="5"/>
  <c r="A976" i="5" s="1"/>
  <c r="F975" i="5"/>
  <c r="E975" i="5"/>
  <c r="D975" i="5"/>
  <c r="C975" i="5"/>
  <c r="B975" i="5"/>
  <c r="A975" i="5" s="1"/>
  <c r="F974" i="5"/>
  <c r="E974" i="5"/>
  <c r="D974" i="5"/>
  <c r="C974" i="5"/>
  <c r="B974" i="5"/>
  <c r="A974" i="5" s="1"/>
  <c r="F973" i="5"/>
  <c r="E973" i="5"/>
  <c r="D973" i="5"/>
  <c r="C973" i="5"/>
  <c r="B973" i="5"/>
  <c r="A973" i="5" s="1"/>
  <c r="F972" i="5"/>
  <c r="E972" i="5"/>
  <c r="D972" i="5"/>
  <c r="C972" i="5"/>
  <c r="B972" i="5"/>
  <c r="A972" i="5" s="1"/>
  <c r="F971" i="5"/>
  <c r="E971" i="5"/>
  <c r="D971" i="5"/>
  <c r="C971" i="5"/>
  <c r="B971" i="5"/>
  <c r="A971" i="5" s="1"/>
  <c r="F970" i="5"/>
  <c r="E970" i="5"/>
  <c r="D970" i="5"/>
  <c r="C970" i="5"/>
  <c r="B970" i="5"/>
  <c r="A970" i="5" s="1"/>
  <c r="F969" i="5"/>
  <c r="E969" i="5"/>
  <c r="D969" i="5"/>
  <c r="C969" i="5"/>
  <c r="B969" i="5"/>
  <c r="A969" i="5" s="1"/>
  <c r="F968" i="5"/>
  <c r="E968" i="5"/>
  <c r="D968" i="5"/>
  <c r="C968" i="5"/>
  <c r="B968" i="5"/>
  <c r="A968" i="5" s="1"/>
  <c r="F967" i="5"/>
  <c r="E967" i="5"/>
  <c r="D967" i="5"/>
  <c r="C967" i="5"/>
  <c r="B967" i="5"/>
  <c r="A967" i="5" s="1"/>
  <c r="F966" i="5"/>
  <c r="E966" i="5"/>
  <c r="D966" i="5"/>
  <c r="C966" i="5"/>
  <c r="B966" i="5"/>
  <c r="A966" i="5" s="1"/>
  <c r="F965" i="5"/>
  <c r="E965" i="5"/>
  <c r="D965" i="5"/>
  <c r="C965" i="5"/>
  <c r="B965" i="5"/>
  <c r="A965" i="5" s="1"/>
  <c r="F964" i="5"/>
  <c r="E964" i="5"/>
  <c r="D964" i="5"/>
  <c r="C964" i="5"/>
  <c r="B964" i="5"/>
  <c r="A964" i="5" s="1"/>
  <c r="F963" i="5"/>
  <c r="E963" i="5"/>
  <c r="D963" i="5"/>
  <c r="C963" i="5"/>
  <c r="B963" i="5"/>
  <c r="A963" i="5" s="1"/>
  <c r="F962" i="5"/>
  <c r="E962" i="5"/>
  <c r="D962" i="5"/>
  <c r="C962" i="5"/>
  <c r="B962" i="5"/>
  <c r="A962" i="5" s="1"/>
  <c r="F961" i="5"/>
  <c r="E961" i="5"/>
  <c r="D961" i="5"/>
  <c r="C961" i="5"/>
  <c r="B961" i="5"/>
  <c r="A961" i="5" s="1"/>
  <c r="F960" i="5"/>
  <c r="E960" i="5"/>
  <c r="D960" i="5"/>
  <c r="C960" i="5"/>
  <c r="B960" i="5"/>
  <c r="F959" i="5"/>
  <c r="E959" i="5"/>
  <c r="D959" i="5"/>
  <c r="C959" i="5"/>
  <c r="B959" i="5"/>
  <c r="F958" i="5"/>
  <c r="E958" i="5"/>
  <c r="D958" i="5"/>
  <c r="C958" i="5"/>
  <c r="B958" i="5"/>
  <c r="F957" i="5"/>
  <c r="E957" i="5"/>
  <c r="D957" i="5"/>
  <c r="C957" i="5"/>
  <c r="B957" i="5"/>
  <c r="F956" i="5"/>
  <c r="E956" i="5"/>
  <c r="D956" i="5"/>
  <c r="C956" i="5"/>
  <c r="B956" i="5"/>
  <c r="F955" i="5"/>
  <c r="E955" i="5"/>
  <c r="D955" i="5"/>
  <c r="C955" i="5"/>
  <c r="B955" i="5"/>
  <c r="F954" i="5"/>
  <c r="E954" i="5"/>
  <c r="D954" i="5"/>
  <c r="C954" i="5"/>
  <c r="B954" i="5"/>
  <c r="F953" i="5"/>
  <c r="E953" i="5"/>
  <c r="D953" i="5"/>
  <c r="C953" i="5"/>
  <c r="B953" i="5"/>
  <c r="A952" i="5"/>
  <c r="F952" i="5"/>
  <c r="E952" i="5"/>
  <c r="D952" i="5"/>
  <c r="C952" i="5"/>
  <c r="C886" i="5"/>
  <c r="B886" i="5"/>
  <c r="A886" i="5" s="1"/>
  <c r="C885" i="5"/>
  <c r="B885" i="5"/>
  <c r="A885" i="5" s="1"/>
  <c r="C884" i="5"/>
  <c r="B884" i="5"/>
  <c r="C883" i="5"/>
  <c r="B883" i="5"/>
  <c r="C882" i="5"/>
  <c r="B882" i="5"/>
  <c r="A882" i="5" s="1"/>
  <c r="C881" i="5"/>
  <c r="B881" i="5"/>
  <c r="A881" i="5" s="1"/>
  <c r="C880" i="5"/>
  <c r="B880" i="5"/>
  <c r="A880" i="5" s="1"/>
  <c r="C879" i="5"/>
  <c r="B879" i="5"/>
  <c r="E862" i="5"/>
  <c r="D862" i="5"/>
  <c r="C862" i="5"/>
  <c r="B862" i="5"/>
  <c r="E861" i="5"/>
  <c r="D861" i="5"/>
  <c r="C861" i="5"/>
  <c r="B861" i="5"/>
  <c r="E860" i="5"/>
  <c r="D860" i="5"/>
  <c r="C860" i="5"/>
  <c r="B860" i="5"/>
  <c r="E859" i="5"/>
  <c r="D859" i="5"/>
  <c r="C859" i="5"/>
  <c r="B859" i="5"/>
  <c r="A859" i="5" s="1"/>
  <c r="E858" i="5"/>
  <c r="D858" i="5"/>
  <c r="C858" i="5"/>
  <c r="B858" i="5"/>
  <c r="A858" i="5" s="1"/>
  <c r="E857" i="5"/>
  <c r="D857" i="5"/>
  <c r="C857" i="5"/>
  <c r="B857" i="5"/>
  <c r="A857" i="5" s="1"/>
  <c r="F854" i="5"/>
  <c r="E854" i="5"/>
  <c r="D854" i="5"/>
  <c r="C854" i="5"/>
  <c r="B854" i="5"/>
  <c r="A854" i="5" s="1"/>
  <c r="C819" i="5"/>
  <c r="C818" i="5"/>
  <c r="C817" i="5"/>
  <c r="C816" i="5"/>
  <c r="C815" i="5"/>
  <c r="C814" i="5"/>
  <c r="C813" i="5"/>
  <c r="C812" i="5"/>
  <c r="C811" i="5"/>
  <c r="C810" i="5"/>
  <c r="C809" i="5"/>
  <c r="C808" i="5"/>
  <c r="C807" i="5"/>
  <c r="C806" i="5"/>
  <c r="C805" i="5"/>
  <c r="C804" i="5"/>
  <c r="C803" i="5"/>
  <c r="C802" i="5"/>
  <c r="C801" i="5"/>
  <c r="C800" i="5"/>
  <c r="C799" i="5"/>
  <c r="C798" i="5"/>
  <c r="C797" i="5"/>
  <c r="C796" i="5"/>
  <c r="C795" i="5"/>
  <c r="C784" i="5"/>
  <c r="C778" i="5"/>
  <c r="C773" i="5"/>
  <c r="C765" i="5"/>
  <c r="C764" i="5"/>
  <c r="C763" i="5"/>
  <c r="C762" i="5"/>
  <c r="C757" i="5"/>
  <c r="C756" i="5"/>
  <c r="C755" i="5"/>
  <c r="C592" i="5"/>
  <c r="C591" i="5"/>
  <c r="C589" i="5"/>
  <c r="C583" i="5"/>
  <c r="C581" i="5"/>
  <c r="C510" i="5"/>
  <c r="C504" i="5"/>
  <c r="C502" i="5"/>
  <c r="C499" i="5"/>
  <c r="C498" i="5"/>
  <c r="C497" i="5"/>
  <c r="C496" i="5"/>
  <c r="C495" i="5"/>
  <c r="C494" i="5"/>
  <c r="C493" i="5"/>
  <c r="C443" i="5"/>
  <c r="C442" i="5"/>
  <c r="C441" i="5"/>
  <c r="C439" i="5"/>
  <c r="C438" i="5"/>
  <c r="C437" i="5"/>
  <c r="C436" i="5"/>
  <c r="C435" i="5"/>
  <c r="C433" i="5"/>
  <c r="C432" i="5"/>
  <c r="C431" i="5"/>
  <c r="C430" i="5"/>
  <c r="C429" i="5"/>
  <c r="C428" i="5"/>
  <c r="C427" i="5"/>
  <c r="C426" i="5"/>
  <c r="C425" i="5"/>
  <c r="C424" i="5"/>
  <c r="C423" i="5"/>
  <c r="C422" i="5"/>
  <c r="C421" i="5"/>
  <c r="C420" i="5"/>
  <c r="C419" i="5"/>
  <c r="C418" i="5"/>
  <c r="C417" i="5"/>
  <c r="C416" i="5"/>
  <c r="C415" i="5"/>
  <c r="C414" i="5"/>
  <c r="C413" i="5"/>
  <c r="C412" i="5"/>
  <c r="C411" i="5"/>
  <c r="C410" i="5"/>
  <c r="C409" i="5"/>
  <c r="C408" i="5"/>
  <c r="C407" i="5"/>
  <c r="C406" i="5"/>
  <c r="C405" i="5"/>
  <c r="C404" i="5"/>
  <c r="C403" i="5"/>
  <c r="C402" i="5"/>
  <c r="C401" i="5"/>
  <c r="C400" i="5"/>
  <c r="C399" i="5"/>
  <c r="C398" i="5"/>
  <c r="C397" i="5"/>
  <c r="C396" i="5"/>
  <c r="C395" i="5"/>
  <c r="C394" i="5"/>
  <c r="C393" i="5"/>
  <c r="C392" i="5"/>
  <c r="C391" i="5"/>
  <c r="C389" i="5"/>
  <c r="C388" i="5"/>
  <c r="C387" i="5"/>
  <c r="C386" i="5"/>
  <c r="C385" i="5"/>
  <c r="C384" i="5"/>
  <c r="C383" i="5"/>
  <c r="C382" i="5"/>
  <c r="C381" i="5"/>
  <c r="C380" i="5"/>
  <c r="C379" i="5"/>
  <c r="C378" i="5"/>
  <c r="C377" i="5"/>
  <c r="C376" i="5"/>
  <c r="C375" i="5"/>
  <c r="C374" i="5"/>
  <c r="C373" i="5"/>
  <c r="C372" i="5"/>
  <c r="C371" i="5"/>
  <c r="C370" i="5"/>
  <c r="C369" i="5"/>
  <c r="C368" i="5"/>
  <c r="C367" i="5"/>
  <c r="C366" i="5"/>
  <c r="C365" i="5"/>
  <c r="C364" i="5"/>
  <c r="C363" i="5"/>
  <c r="C362" i="5"/>
  <c r="C361" i="5"/>
  <c r="C360" i="5"/>
  <c r="C359" i="5"/>
  <c r="C358" i="5"/>
  <c r="C357" i="5"/>
  <c r="C356" i="5"/>
  <c r="C354" i="5"/>
  <c r="C353" i="5"/>
  <c r="C352" i="5"/>
  <c r="C351" i="5"/>
  <c r="C350" i="5"/>
  <c r="C349" i="5"/>
  <c r="C348" i="5"/>
  <c r="C347" i="5"/>
  <c r="C346" i="5"/>
  <c r="C345" i="5"/>
  <c r="C344" i="5"/>
  <c r="C343" i="5"/>
  <c r="C316" i="5"/>
  <c r="C315" i="5"/>
  <c r="C314" i="5"/>
  <c r="C309" i="5"/>
  <c r="C308" i="5"/>
  <c r="C307" i="5"/>
  <c r="C306" i="5"/>
  <c r="C305" i="5"/>
  <c r="C303" i="5"/>
  <c r="C300" i="5"/>
  <c r="C291" i="5"/>
  <c r="C284" i="5"/>
  <c r="C283" i="5"/>
  <c r="C279" i="5"/>
  <c r="C274" i="5"/>
  <c r="C269" i="5"/>
  <c r="C265" i="5"/>
  <c r="C250" i="5"/>
  <c r="C249" i="5"/>
  <c r="C248" i="5"/>
  <c r="C247" i="5"/>
  <c r="C245" i="5"/>
  <c r="C244" i="5"/>
  <c r="C241" i="5"/>
  <c r="C240" i="5"/>
  <c r="C239" i="5"/>
  <c r="C238" i="5"/>
  <c r="C237" i="5"/>
  <c r="C235" i="5"/>
  <c r="C232" i="5"/>
  <c r="C215" i="5"/>
  <c r="C214" i="5"/>
  <c r="C206" i="5"/>
  <c r="C203" i="5"/>
  <c r="C190" i="5"/>
  <c r="C189" i="5"/>
  <c r="C188" i="5"/>
  <c r="C187" i="5"/>
  <c r="C186" i="5"/>
  <c r="C185" i="5"/>
  <c r="C184" i="5"/>
  <c r="C183" i="5"/>
  <c r="C182" i="5"/>
  <c r="C181" i="5"/>
  <c r="C180" i="5"/>
  <c r="C179" i="5"/>
  <c r="C178" i="5"/>
  <c r="C177" i="5"/>
  <c r="C176" i="5"/>
  <c r="C175" i="5"/>
  <c r="C174" i="5"/>
  <c r="C173" i="5"/>
  <c r="C172" i="5"/>
  <c r="C171" i="5"/>
  <c r="C170" i="5"/>
  <c r="C169" i="5"/>
  <c r="C168" i="5"/>
  <c r="C167" i="5"/>
  <c r="C166" i="5"/>
  <c r="C165" i="5"/>
  <c r="C164" i="5"/>
  <c r="C163" i="5"/>
  <c r="C162" i="5"/>
  <c r="C161" i="5"/>
  <c r="C160" i="5"/>
  <c r="C159" i="5"/>
  <c r="C158" i="5"/>
  <c r="C157" i="5"/>
  <c r="C156" i="5"/>
  <c r="B1205" i="5"/>
  <c r="C9" i="3"/>
  <c r="C337" i="3"/>
  <c r="D353" i="3" s="1"/>
  <c r="F11" i="10"/>
  <c r="C308" i="3"/>
  <c r="B351" i="3"/>
  <c r="C194" i="5" s="1"/>
  <c r="E73" i="12"/>
  <c r="E72" i="12"/>
  <c r="E63" i="12"/>
  <c r="E49" i="12"/>
  <c r="E35" i="12"/>
  <c r="C73" i="12"/>
  <c r="B73" i="12"/>
  <c r="B848" i="3"/>
  <c r="C300" i="3"/>
  <c r="B15" i="25" s="1"/>
  <c r="A50" i="11"/>
  <c r="K218" i="3" s="1"/>
  <c r="A178" i="30" s="1"/>
  <c r="B25" i="3"/>
  <c r="B5" i="3"/>
  <c r="E399" i="3"/>
  <c r="D36" i="24" s="1"/>
  <c r="G87" i="3"/>
  <c r="F87" i="3"/>
  <c r="E87" i="3"/>
  <c r="D87" i="3"/>
  <c r="E67" i="3"/>
  <c r="B835" i="3"/>
  <c r="D78" i="24"/>
  <c r="D6" i="25"/>
  <c r="D5" i="25"/>
  <c r="D4" i="25"/>
  <c r="D3" i="25"/>
  <c r="H77" i="3"/>
  <c r="C8" i="3"/>
  <c r="C7" i="3"/>
  <c r="C6" i="3"/>
  <c r="C5" i="3"/>
  <c r="B4" i="3"/>
  <c r="B3" i="3"/>
  <c r="C4" i="3"/>
  <c r="C3" i="3"/>
  <c r="C2" i="3"/>
  <c r="A22" i="11"/>
  <c r="K190" i="3" s="1"/>
  <c r="A150" i="30" s="1"/>
  <c r="A21" i="11"/>
  <c r="K189" i="3" s="1"/>
  <c r="A149" i="30" s="1"/>
  <c r="A49" i="11"/>
  <c r="K217" i="3" s="1"/>
  <c r="A177" i="30" s="1"/>
  <c r="A48" i="11"/>
  <c r="K216" i="3" s="1"/>
  <c r="A176" i="30" s="1"/>
  <c r="A61" i="11"/>
  <c r="K230" i="3" s="1"/>
  <c r="A189" i="30" s="1"/>
  <c r="A62" i="11"/>
  <c r="K231" i="3" s="1"/>
  <c r="A190" i="30" s="1"/>
  <c r="A63" i="11"/>
  <c r="K232" i="3" s="1"/>
  <c r="A191" i="30" s="1"/>
  <c r="A73" i="11"/>
  <c r="K242" i="3" s="1"/>
  <c r="A201" i="30" s="1"/>
  <c r="A74" i="11"/>
  <c r="K243" i="3" s="1"/>
  <c r="A202" i="30" s="1"/>
  <c r="A75" i="11"/>
  <c r="K244" i="3" s="1"/>
  <c r="A203" i="30" s="1"/>
  <c r="A81" i="11"/>
  <c r="K250" i="3" s="1"/>
  <c r="A209" i="30" s="1"/>
  <c r="A82" i="11"/>
  <c r="K251" i="3" s="1"/>
  <c r="A210" i="30" s="1"/>
  <c r="A96" i="11"/>
  <c r="K265" i="3" s="1"/>
  <c r="A224" i="30" s="1"/>
  <c r="A60" i="10"/>
  <c r="A391" i="5" s="1"/>
  <c r="A78" i="10"/>
  <c r="A407" i="5" s="1"/>
  <c r="A77" i="10"/>
  <c r="A406" i="5" s="1"/>
  <c r="A96" i="10"/>
  <c r="A423" i="5" s="1"/>
  <c r="A95" i="10"/>
  <c r="A422" i="5" s="1"/>
  <c r="A122" i="10"/>
  <c r="A443" i="5" s="1"/>
  <c r="E813" i="3"/>
  <c r="E812" i="3"/>
  <c r="E814" i="3"/>
  <c r="E810" i="3"/>
  <c r="E815" i="3"/>
  <c r="E811" i="3"/>
  <c r="O104" i="16"/>
  <c r="N104" i="16"/>
  <c r="A104" i="34"/>
  <c r="B4" i="34"/>
  <c r="C4" i="34"/>
  <c r="D4" i="34"/>
  <c r="E4" i="34"/>
  <c r="F4" i="34"/>
  <c r="G4" i="34"/>
  <c r="H4" i="34"/>
  <c r="I4" i="34"/>
  <c r="J4" i="34"/>
  <c r="K4" i="34"/>
  <c r="L4" i="34"/>
  <c r="M4" i="34"/>
  <c r="N4" i="34"/>
  <c r="O4" i="34"/>
  <c r="P4" i="34"/>
  <c r="Q4" i="34"/>
  <c r="R4" i="34"/>
  <c r="S4" i="34"/>
  <c r="T4" i="34"/>
  <c r="U4" i="34"/>
  <c r="V4" i="34"/>
  <c r="W4" i="34"/>
  <c r="X4" i="34"/>
  <c r="Y4" i="34"/>
  <c r="Z4" i="34"/>
  <c r="AA4" i="34"/>
  <c r="A4" i="34"/>
  <c r="K267" i="3"/>
  <c r="M265" i="3"/>
  <c r="E224" i="30" s="1"/>
  <c r="L265" i="3"/>
  <c r="B224" i="30" s="1"/>
  <c r="M264" i="3"/>
  <c r="E223" i="30" s="1"/>
  <c r="L264" i="3"/>
  <c r="B223" i="30" s="1"/>
  <c r="K264" i="3"/>
  <c r="A223" i="30" s="1"/>
  <c r="M263" i="3"/>
  <c r="E222" i="30" s="1"/>
  <c r="L263" i="3"/>
  <c r="B222" i="30" s="1"/>
  <c r="K263" i="3"/>
  <c r="A222" i="30" s="1"/>
  <c r="M262" i="3"/>
  <c r="E221" i="30" s="1"/>
  <c r="L262" i="3"/>
  <c r="B221" i="30" s="1"/>
  <c r="K262" i="3"/>
  <c r="A221" i="30" s="1"/>
  <c r="M261" i="3"/>
  <c r="E220" i="30" s="1"/>
  <c r="L261" i="3"/>
  <c r="B220" i="30" s="1"/>
  <c r="K261" i="3"/>
  <c r="A220" i="30" s="1"/>
  <c r="K260" i="3"/>
  <c r="A219" i="30" s="1"/>
  <c r="M258" i="3"/>
  <c r="E217" i="30" s="1"/>
  <c r="L258" i="3"/>
  <c r="B217" i="30" s="1"/>
  <c r="M257" i="3"/>
  <c r="E216" i="30" s="1"/>
  <c r="L257" i="3"/>
  <c r="B216" i="30" s="1"/>
  <c r="K257" i="3"/>
  <c r="A216" i="30" s="1"/>
  <c r="M256" i="3"/>
  <c r="E215" i="30" s="1"/>
  <c r="L256" i="3"/>
  <c r="B215" i="30" s="1"/>
  <c r="K256" i="3"/>
  <c r="A215" i="30" s="1"/>
  <c r="M255" i="3"/>
  <c r="E214" i="30" s="1"/>
  <c r="L255" i="3"/>
  <c r="B214" i="30" s="1"/>
  <c r="K255" i="3"/>
  <c r="A214" i="30" s="1"/>
  <c r="K254" i="3"/>
  <c r="A213" i="30" s="1"/>
  <c r="M252" i="3"/>
  <c r="L252" i="3"/>
  <c r="B211" i="30" s="1"/>
  <c r="K252" i="3"/>
  <c r="A211" i="30" s="1"/>
  <c r="M251" i="3"/>
  <c r="E210" i="30" s="1"/>
  <c r="L251" i="3"/>
  <c r="B210" i="30" s="1"/>
  <c r="M250" i="3"/>
  <c r="E209" i="30" s="1"/>
  <c r="L250" i="3"/>
  <c r="B209" i="30" s="1"/>
  <c r="M249" i="3"/>
  <c r="E208" i="30" s="1"/>
  <c r="L249" i="3"/>
  <c r="K249" i="3"/>
  <c r="A208" i="30" s="1"/>
  <c r="M248" i="3"/>
  <c r="E207" i="30" s="1"/>
  <c r="L248" i="3"/>
  <c r="B207" i="30" s="1"/>
  <c r="K248" i="3"/>
  <c r="A207" i="30" s="1"/>
  <c r="M247" i="3"/>
  <c r="E206" i="30" s="1"/>
  <c r="L247" i="3"/>
  <c r="B206" i="30" s="1"/>
  <c r="K247" i="3"/>
  <c r="A206" i="30" s="1"/>
  <c r="K246" i="3"/>
  <c r="A205" i="30" s="1"/>
  <c r="M244" i="3"/>
  <c r="E203" i="30" s="1"/>
  <c r="L244" i="3"/>
  <c r="B203" i="30" s="1"/>
  <c r="M243" i="3"/>
  <c r="E202" i="30" s="1"/>
  <c r="L243" i="3"/>
  <c r="B202" i="30" s="1"/>
  <c r="M242" i="3"/>
  <c r="E201" i="30" s="1"/>
  <c r="L242" i="3"/>
  <c r="B201" i="30" s="1"/>
  <c r="M241" i="3"/>
  <c r="E200" i="30" s="1"/>
  <c r="L241" i="3"/>
  <c r="B200" i="30" s="1"/>
  <c r="K241" i="3"/>
  <c r="A200" i="30" s="1"/>
  <c r="M240" i="3"/>
  <c r="E199" i="30" s="1"/>
  <c r="L240" i="3"/>
  <c r="B199" i="30" s="1"/>
  <c r="K240" i="3"/>
  <c r="A199" i="30" s="1"/>
  <c r="M239" i="3"/>
  <c r="E198" i="30" s="1"/>
  <c r="L239" i="3"/>
  <c r="B198" i="30" s="1"/>
  <c r="K239" i="3"/>
  <c r="A198" i="30" s="1"/>
  <c r="M238" i="3"/>
  <c r="E197" i="30" s="1"/>
  <c r="L238" i="3"/>
  <c r="B197" i="30" s="1"/>
  <c r="K238" i="3"/>
  <c r="A197" i="30" s="1"/>
  <c r="M237" i="3"/>
  <c r="E196" i="30" s="1"/>
  <c r="L237" i="3"/>
  <c r="B196" i="30" s="1"/>
  <c r="K237" i="3"/>
  <c r="A196" i="30" s="1"/>
  <c r="M236" i="3"/>
  <c r="E195" i="30" s="1"/>
  <c r="L236" i="3"/>
  <c r="B195" i="30" s="1"/>
  <c r="K236" i="3"/>
  <c r="A195" i="30" s="1"/>
  <c r="M235" i="3"/>
  <c r="E194" i="30" s="1"/>
  <c r="L235" i="3"/>
  <c r="B194" i="30" s="1"/>
  <c r="K235" i="3"/>
  <c r="A194" i="30" s="1"/>
  <c r="K234" i="3"/>
  <c r="A193" i="30" s="1"/>
  <c r="M232" i="3"/>
  <c r="E191" i="30" s="1"/>
  <c r="L232" i="3"/>
  <c r="B191" i="30" s="1"/>
  <c r="M231" i="3"/>
  <c r="E190" i="30" s="1"/>
  <c r="L231" i="3"/>
  <c r="B190" i="30" s="1"/>
  <c r="M230" i="3"/>
  <c r="E189" i="30" s="1"/>
  <c r="L230" i="3"/>
  <c r="B189" i="30" s="1"/>
  <c r="M229" i="3"/>
  <c r="E188" i="30" s="1"/>
  <c r="L229" i="3"/>
  <c r="B188" i="30" s="1"/>
  <c r="K229" i="3"/>
  <c r="A188" i="30" s="1"/>
  <c r="M228" i="3"/>
  <c r="E187" i="30" s="1"/>
  <c r="L228" i="3"/>
  <c r="B187" i="30" s="1"/>
  <c r="K228" i="3"/>
  <c r="A187" i="30" s="1"/>
  <c r="M226" i="3"/>
  <c r="E186" i="30" s="1"/>
  <c r="L226" i="3"/>
  <c r="B186" i="30" s="1"/>
  <c r="K226" i="3"/>
  <c r="A186" i="30" s="1"/>
  <c r="M225" i="3"/>
  <c r="E185" i="30" s="1"/>
  <c r="L225" i="3"/>
  <c r="B185" i="30" s="1"/>
  <c r="K225" i="3"/>
  <c r="A185" i="30" s="1"/>
  <c r="M224" i="3"/>
  <c r="E184" i="30" s="1"/>
  <c r="L224" i="3"/>
  <c r="B184" i="30" s="1"/>
  <c r="K224" i="3"/>
  <c r="A184" i="30" s="1"/>
  <c r="M223" i="3"/>
  <c r="E183" i="30" s="1"/>
  <c r="L223" i="3"/>
  <c r="B183" i="30" s="1"/>
  <c r="K223" i="3"/>
  <c r="A183" i="30" s="1"/>
  <c r="M222" i="3"/>
  <c r="E182" i="30" s="1"/>
  <c r="L222" i="3"/>
  <c r="B182" i="30" s="1"/>
  <c r="K222" i="3"/>
  <c r="A182" i="30" s="1"/>
  <c r="M221" i="3"/>
  <c r="E181" i="30" s="1"/>
  <c r="L221" i="3"/>
  <c r="B181" i="30" s="1"/>
  <c r="K221" i="3"/>
  <c r="A181" i="30" s="1"/>
  <c r="K220" i="3"/>
  <c r="A180" i="30" s="1"/>
  <c r="M218" i="3"/>
  <c r="E178" i="30" s="1"/>
  <c r="L218" i="3"/>
  <c r="B178" i="30" s="1"/>
  <c r="M217" i="3"/>
  <c r="E177" i="30" s="1"/>
  <c r="L217" i="3"/>
  <c r="B177" i="30" s="1"/>
  <c r="M216" i="3"/>
  <c r="E176" i="30" s="1"/>
  <c r="L216" i="3"/>
  <c r="B176" i="30" s="1"/>
  <c r="M215" i="3"/>
  <c r="E175" i="30" s="1"/>
  <c r="L215" i="3"/>
  <c r="B175" i="30" s="1"/>
  <c r="K215" i="3"/>
  <c r="A175" i="30" s="1"/>
  <c r="M214" i="3"/>
  <c r="E174" i="30" s="1"/>
  <c r="L214" i="3"/>
  <c r="B174" i="30" s="1"/>
  <c r="K214" i="3"/>
  <c r="A174" i="30" s="1"/>
  <c r="M213" i="3"/>
  <c r="E173" i="30" s="1"/>
  <c r="L213" i="3"/>
  <c r="B173" i="30" s="1"/>
  <c r="K213" i="3"/>
  <c r="A173" i="30" s="1"/>
  <c r="M212" i="3"/>
  <c r="E172" i="30" s="1"/>
  <c r="L212" i="3"/>
  <c r="B172" i="30" s="1"/>
  <c r="K212" i="3"/>
  <c r="A172" i="30" s="1"/>
  <c r="M211" i="3"/>
  <c r="E171" i="30" s="1"/>
  <c r="L211" i="3"/>
  <c r="B171" i="30" s="1"/>
  <c r="K211" i="3"/>
  <c r="A171" i="30" s="1"/>
  <c r="M210" i="3"/>
  <c r="E170" i="30" s="1"/>
  <c r="L210" i="3"/>
  <c r="B170" i="30" s="1"/>
  <c r="K210" i="3"/>
  <c r="A170" i="30" s="1"/>
  <c r="M209" i="3"/>
  <c r="E169" i="30" s="1"/>
  <c r="L209" i="3"/>
  <c r="B169" i="30" s="1"/>
  <c r="K209" i="3"/>
  <c r="A169" i="30" s="1"/>
  <c r="M208" i="3"/>
  <c r="E168" i="30" s="1"/>
  <c r="L208" i="3"/>
  <c r="B168" i="30" s="1"/>
  <c r="K208" i="3"/>
  <c r="A168" i="30" s="1"/>
  <c r="M207" i="3"/>
  <c r="E167" i="30" s="1"/>
  <c r="L207" i="3"/>
  <c r="B167" i="30" s="1"/>
  <c r="K207" i="3"/>
  <c r="A167" i="30" s="1"/>
  <c r="M206" i="3"/>
  <c r="E166" i="30" s="1"/>
  <c r="L206" i="3"/>
  <c r="B166" i="30" s="1"/>
  <c r="K206" i="3"/>
  <c r="A166" i="30" s="1"/>
  <c r="M205" i="3"/>
  <c r="E165" i="30" s="1"/>
  <c r="L205" i="3"/>
  <c r="B165" i="30" s="1"/>
  <c r="K205" i="3"/>
  <c r="A165" i="30" s="1"/>
  <c r="M204" i="3"/>
  <c r="E164" i="30" s="1"/>
  <c r="L204" i="3"/>
  <c r="B164" i="30" s="1"/>
  <c r="K204" i="3"/>
  <c r="A164" i="30" s="1"/>
  <c r="K203" i="3"/>
  <c r="A163" i="30" s="1"/>
  <c r="M201" i="3"/>
  <c r="E161" i="30" s="1"/>
  <c r="L201" i="3"/>
  <c r="B161" i="30" s="1"/>
  <c r="K201" i="3"/>
  <c r="A161" i="30" s="1"/>
  <c r="M200" i="3"/>
  <c r="E160" i="30" s="1"/>
  <c r="L200" i="3"/>
  <c r="B160" i="30" s="1"/>
  <c r="M199" i="3"/>
  <c r="E159" i="30" s="1"/>
  <c r="L199" i="3"/>
  <c r="B159" i="30" s="1"/>
  <c r="M198" i="3"/>
  <c r="E158" i="30" s="1"/>
  <c r="L198" i="3"/>
  <c r="B158" i="30" s="1"/>
  <c r="K198" i="3"/>
  <c r="A158" i="30" s="1"/>
  <c r="M197" i="3"/>
  <c r="E157" i="30" s="1"/>
  <c r="L197" i="3"/>
  <c r="B157" i="30" s="1"/>
  <c r="K197" i="3"/>
  <c r="A157" i="30" s="1"/>
  <c r="M196" i="3"/>
  <c r="E156" i="30" s="1"/>
  <c r="L196" i="3"/>
  <c r="B156" i="30" s="1"/>
  <c r="K196" i="3"/>
  <c r="A156" i="30" s="1"/>
  <c r="M195" i="3"/>
  <c r="E155" i="30" s="1"/>
  <c r="L195" i="3"/>
  <c r="B155" i="30" s="1"/>
  <c r="K195" i="3"/>
  <c r="A155" i="30" s="1"/>
  <c r="M194" i="3"/>
  <c r="E154" i="30" s="1"/>
  <c r="L194" i="3"/>
  <c r="B154" i="30" s="1"/>
  <c r="K194" i="3"/>
  <c r="A154" i="30" s="1"/>
  <c r="K193" i="3"/>
  <c r="A153" i="30" s="1"/>
  <c r="M191" i="3"/>
  <c r="E151" i="30" s="1"/>
  <c r="L191" i="3"/>
  <c r="B151" i="30" s="1"/>
  <c r="M190" i="3"/>
  <c r="E150" i="30" s="1"/>
  <c r="L190" i="3"/>
  <c r="B150" i="30" s="1"/>
  <c r="M189" i="3"/>
  <c r="E149" i="30" s="1"/>
  <c r="L189" i="3"/>
  <c r="B149" i="30" s="1"/>
  <c r="M188" i="3"/>
  <c r="E148" i="30" s="1"/>
  <c r="L188" i="3"/>
  <c r="B148" i="30" s="1"/>
  <c r="K188" i="3"/>
  <c r="A148" i="30" s="1"/>
  <c r="M187" i="3"/>
  <c r="E147" i="30" s="1"/>
  <c r="L187" i="3"/>
  <c r="B147" i="30" s="1"/>
  <c r="K187" i="3"/>
  <c r="A147" i="30" s="1"/>
  <c r="M186" i="3"/>
  <c r="E146" i="30" s="1"/>
  <c r="L186" i="3"/>
  <c r="B146" i="30" s="1"/>
  <c r="K186" i="3"/>
  <c r="A146" i="30" s="1"/>
  <c r="M185" i="3"/>
  <c r="E145" i="30" s="1"/>
  <c r="L185" i="3"/>
  <c r="B145" i="30" s="1"/>
  <c r="K185" i="3"/>
  <c r="A145" i="30" s="1"/>
  <c r="M184" i="3"/>
  <c r="E144" i="30" s="1"/>
  <c r="L184" i="3"/>
  <c r="B144" i="30" s="1"/>
  <c r="K184" i="3"/>
  <c r="A144" i="30" s="1"/>
  <c r="M183" i="3"/>
  <c r="E143" i="30" s="1"/>
  <c r="L183" i="3"/>
  <c r="B143" i="30" s="1"/>
  <c r="K183" i="3"/>
  <c r="A143" i="30" s="1"/>
  <c r="M182" i="3"/>
  <c r="E142" i="30" s="1"/>
  <c r="L182" i="3"/>
  <c r="B142" i="30" s="1"/>
  <c r="K182" i="3"/>
  <c r="A142" i="30" s="1"/>
  <c r="M181" i="3"/>
  <c r="E141" i="30" s="1"/>
  <c r="L181" i="3"/>
  <c r="B141" i="30" s="1"/>
  <c r="K181" i="3"/>
  <c r="A141" i="30" s="1"/>
  <c r="K180" i="3"/>
  <c r="A140" i="30" s="1"/>
  <c r="M178" i="3"/>
  <c r="E138" i="30" s="1"/>
  <c r="L178" i="3"/>
  <c r="B138" i="30" s="1"/>
  <c r="K178" i="3"/>
  <c r="A138" i="30" s="1"/>
  <c r="M177" i="3"/>
  <c r="E137" i="30" s="1"/>
  <c r="L177" i="3"/>
  <c r="B137" i="30" s="1"/>
  <c r="K177" i="3"/>
  <c r="A137" i="30" s="1"/>
  <c r="K176" i="3"/>
  <c r="A136" i="30" s="1"/>
  <c r="M174" i="3"/>
  <c r="E134" i="30" s="1"/>
  <c r="L174" i="3"/>
  <c r="B134" i="30" s="1"/>
  <c r="K174" i="3"/>
  <c r="A134" i="30" s="1"/>
  <c r="M173" i="3"/>
  <c r="E133" i="30" s="1"/>
  <c r="L173" i="3"/>
  <c r="B133" i="30" s="1"/>
  <c r="K173" i="3"/>
  <c r="A133" i="30" s="1"/>
  <c r="M172" i="3"/>
  <c r="E132" i="30" s="1"/>
  <c r="L172" i="3"/>
  <c r="B132" i="30" s="1"/>
  <c r="K172" i="3"/>
  <c r="A132" i="30" s="1"/>
  <c r="M171" i="3"/>
  <c r="E131" i="30" s="1"/>
  <c r="L171" i="3"/>
  <c r="B131" i="30" s="1"/>
  <c r="K171" i="3"/>
  <c r="A131" i="30" s="1"/>
  <c r="G131" i="30"/>
  <c r="A125" i="30"/>
  <c r="D124" i="30"/>
  <c r="C124" i="30"/>
  <c r="D123" i="30"/>
  <c r="C123" i="30"/>
  <c r="D122" i="30"/>
  <c r="C122" i="30"/>
  <c r="D121" i="30"/>
  <c r="C121" i="30"/>
  <c r="D120" i="30"/>
  <c r="C120" i="30"/>
  <c r="D119" i="30"/>
  <c r="C119" i="30"/>
  <c r="D118" i="30"/>
  <c r="C118" i="30"/>
  <c r="A117" i="30"/>
  <c r="A108" i="30"/>
  <c r="D107" i="30"/>
  <c r="C107" i="30"/>
  <c r="D106" i="30"/>
  <c r="C106" i="30"/>
  <c r="D105" i="30"/>
  <c r="C105" i="30"/>
  <c r="D104" i="30"/>
  <c r="C104" i="30"/>
  <c r="D103" i="30"/>
  <c r="C103" i="30"/>
  <c r="D102" i="30"/>
  <c r="C102" i="30"/>
  <c r="D101" i="30"/>
  <c r="C101" i="30"/>
  <c r="A100" i="30"/>
  <c r="D90" i="30"/>
  <c r="C90" i="30"/>
  <c r="D89" i="30"/>
  <c r="C89" i="30"/>
  <c r="D82" i="30"/>
  <c r="C82" i="30"/>
  <c r="A81" i="30"/>
  <c r="D80" i="30"/>
  <c r="C80" i="30"/>
  <c r="D79" i="30"/>
  <c r="C79" i="30"/>
  <c r="D78" i="30"/>
  <c r="C78" i="30"/>
  <c r="D77" i="30"/>
  <c r="C77" i="30"/>
  <c r="D76" i="30"/>
  <c r="C76" i="30"/>
  <c r="D75" i="30"/>
  <c r="C75" i="30"/>
  <c r="D74" i="30"/>
  <c r="C74" i="30"/>
  <c r="D73" i="30"/>
  <c r="C73" i="30"/>
  <c r="D72" i="30"/>
  <c r="C72" i="30"/>
  <c r="D71" i="30"/>
  <c r="C71" i="30"/>
  <c r="D70" i="30"/>
  <c r="C70" i="30"/>
  <c r="D69" i="30"/>
  <c r="C69" i="30"/>
  <c r="D68" i="30"/>
  <c r="C68" i="30"/>
  <c r="D67" i="30"/>
  <c r="C67" i="30"/>
  <c r="D66" i="30"/>
  <c r="C66" i="30"/>
  <c r="A65" i="30"/>
  <c r="A46" i="30"/>
  <c r="A30" i="30"/>
  <c r="A14" i="30"/>
  <c r="A10" i="30"/>
  <c r="D9" i="30"/>
  <c r="D8" i="30"/>
  <c r="C8" i="30"/>
  <c r="D7" i="30"/>
  <c r="C6" i="30"/>
  <c r="I5" i="30"/>
  <c r="A5" i="30"/>
  <c r="B4" i="30"/>
  <c r="B3" i="30"/>
  <c r="U807" i="3"/>
  <c r="U103" i="34" s="1"/>
  <c r="U806" i="3"/>
  <c r="U102" i="34" s="1"/>
  <c r="U805" i="3"/>
  <c r="U101" i="34" s="1"/>
  <c r="U804" i="3"/>
  <c r="U100" i="34" s="1"/>
  <c r="U803" i="3"/>
  <c r="U99" i="34" s="1"/>
  <c r="U802" i="3"/>
  <c r="U98" i="34" s="1"/>
  <c r="U801" i="3"/>
  <c r="U97" i="34" s="1"/>
  <c r="U800" i="3"/>
  <c r="U96" i="34" s="1"/>
  <c r="U799" i="3"/>
  <c r="U95" i="34" s="1"/>
  <c r="U798" i="3"/>
  <c r="U94" i="34" s="1"/>
  <c r="U797" i="3"/>
  <c r="U93" i="34" s="1"/>
  <c r="U796" i="3"/>
  <c r="U92" i="34" s="1"/>
  <c r="U795" i="3"/>
  <c r="U91" i="34" s="1"/>
  <c r="U794" i="3"/>
  <c r="U90" i="34" s="1"/>
  <c r="U793" i="3"/>
  <c r="U89" i="34" s="1"/>
  <c r="U792" i="3"/>
  <c r="U88" i="34" s="1"/>
  <c r="U791" i="3"/>
  <c r="U87" i="34" s="1"/>
  <c r="U790" i="3"/>
  <c r="U86" i="34" s="1"/>
  <c r="U789" i="3"/>
  <c r="U85" i="34" s="1"/>
  <c r="U788" i="3"/>
  <c r="U84" i="34" s="1"/>
  <c r="U787" i="3"/>
  <c r="U83" i="34" s="1"/>
  <c r="U786" i="3"/>
  <c r="U82" i="34" s="1"/>
  <c r="U785" i="3"/>
  <c r="U81" i="34" s="1"/>
  <c r="U784" i="3"/>
  <c r="U80" i="34" s="1"/>
  <c r="U783" i="3"/>
  <c r="U79" i="34" s="1"/>
  <c r="U782" i="3"/>
  <c r="U78" i="34" s="1"/>
  <c r="U781" i="3"/>
  <c r="U77" i="34" s="1"/>
  <c r="U780" i="3"/>
  <c r="U76" i="34" s="1"/>
  <c r="U779" i="3"/>
  <c r="U75" i="34" s="1"/>
  <c r="U778" i="3"/>
  <c r="U74" i="34" s="1"/>
  <c r="U777" i="3"/>
  <c r="U73" i="34" s="1"/>
  <c r="U776" i="3"/>
  <c r="U72" i="34" s="1"/>
  <c r="U775" i="3"/>
  <c r="U71" i="34" s="1"/>
  <c r="U774" i="3"/>
  <c r="U70" i="34" s="1"/>
  <c r="U773" i="3"/>
  <c r="U69" i="34" s="1"/>
  <c r="U772" i="3"/>
  <c r="U68" i="34" s="1"/>
  <c r="U771" i="3"/>
  <c r="U67" i="34" s="1"/>
  <c r="U770" i="3"/>
  <c r="U66" i="34" s="1"/>
  <c r="U769" i="3"/>
  <c r="U65" i="34" s="1"/>
  <c r="U768" i="3"/>
  <c r="U64" i="34" s="1"/>
  <c r="U767" i="3"/>
  <c r="U63" i="34" s="1"/>
  <c r="U766" i="3"/>
  <c r="U62" i="34" s="1"/>
  <c r="U765" i="3"/>
  <c r="U61" i="34" s="1"/>
  <c r="U764" i="3"/>
  <c r="U60" i="34" s="1"/>
  <c r="U763" i="3"/>
  <c r="U59" i="34" s="1"/>
  <c r="U762" i="3"/>
  <c r="U58" i="34" s="1"/>
  <c r="U761" i="3"/>
  <c r="U57" i="34" s="1"/>
  <c r="U760" i="3"/>
  <c r="U56" i="34" s="1"/>
  <c r="U759" i="3"/>
  <c r="U55" i="34" s="1"/>
  <c r="U758" i="3"/>
  <c r="U54" i="34" s="1"/>
  <c r="U757" i="3"/>
  <c r="U53" i="34" s="1"/>
  <c r="U756" i="3"/>
  <c r="U52" i="34" s="1"/>
  <c r="U755" i="3"/>
  <c r="U51" i="34" s="1"/>
  <c r="U754" i="3"/>
  <c r="U50" i="34" s="1"/>
  <c r="U753" i="3"/>
  <c r="U49" i="34" s="1"/>
  <c r="U752" i="3"/>
  <c r="U48" i="34" s="1"/>
  <c r="U751" i="3"/>
  <c r="U47" i="34" s="1"/>
  <c r="U750" i="3"/>
  <c r="U46" i="34" s="1"/>
  <c r="U749" i="3"/>
  <c r="U45" i="34" s="1"/>
  <c r="U748" i="3"/>
  <c r="U44" i="34" s="1"/>
  <c r="U747" i="3"/>
  <c r="U43" i="34" s="1"/>
  <c r="U746" i="3"/>
  <c r="U42" i="34" s="1"/>
  <c r="U745" i="3"/>
  <c r="U41" i="34" s="1"/>
  <c r="U744" i="3"/>
  <c r="U40" i="34" s="1"/>
  <c r="U743" i="3"/>
  <c r="U39" i="34" s="1"/>
  <c r="U742" i="3"/>
  <c r="U38" i="34" s="1"/>
  <c r="U741" i="3"/>
  <c r="U37" i="34" s="1"/>
  <c r="U740" i="3"/>
  <c r="U36" i="34" s="1"/>
  <c r="U739" i="3"/>
  <c r="U35" i="34" s="1"/>
  <c r="U738" i="3"/>
  <c r="U34" i="34" s="1"/>
  <c r="U737" i="3"/>
  <c r="U33" i="34" s="1"/>
  <c r="U736" i="3"/>
  <c r="U32" i="34" s="1"/>
  <c r="U735" i="3"/>
  <c r="U31" i="34" s="1"/>
  <c r="U734" i="3"/>
  <c r="U30" i="34" s="1"/>
  <c r="U733" i="3"/>
  <c r="U29" i="34" s="1"/>
  <c r="U732" i="3"/>
  <c r="U28" i="34" s="1"/>
  <c r="U731" i="3"/>
  <c r="U27" i="34" s="1"/>
  <c r="U730" i="3"/>
  <c r="U26" i="34" s="1"/>
  <c r="U729" i="3"/>
  <c r="U25" i="34" s="1"/>
  <c r="U728" i="3"/>
  <c r="U24" i="34" s="1"/>
  <c r="U727" i="3"/>
  <c r="U23" i="34" s="1"/>
  <c r="U726" i="3"/>
  <c r="U22" i="34" s="1"/>
  <c r="U725" i="3"/>
  <c r="U21" i="34" s="1"/>
  <c r="U724" i="3"/>
  <c r="U20" i="34" s="1"/>
  <c r="U723" i="3"/>
  <c r="U19" i="34" s="1"/>
  <c r="U722" i="3"/>
  <c r="U18" i="34" s="1"/>
  <c r="U721" i="3"/>
  <c r="U17" i="34" s="1"/>
  <c r="U720" i="3"/>
  <c r="U16" i="34" s="1"/>
  <c r="U719" i="3"/>
  <c r="U15" i="34" s="1"/>
  <c r="U718" i="3"/>
  <c r="U14" i="34" s="1"/>
  <c r="U717" i="3"/>
  <c r="U13" i="34" s="1"/>
  <c r="U716" i="3"/>
  <c r="U12" i="34" s="1"/>
  <c r="U715" i="3"/>
  <c r="U11" i="34" s="1"/>
  <c r="U714" i="3"/>
  <c r="U10" i="34" s="1"/>
  <c r="U713" i="3"/>
  <c r="U9" i="34" s="1"/>
  <c r="U712" i="3"/>
  <c r="U8" i="34" s="1"/>
  <c r="U711" i="3"/>
  <c r="U7" i="34" s="1"/>
  <c r="U710" i="3"/>
  <c r="U6" i="34" s="1"/>
  <c r="U709" i="3"/>
  <c r="U5" i="34" s="1"/>
  <c r="Q807" i="3"/>
  <c r="Q103" i="34" s="1"/>
  <c r="Q806" i="3"/>
  <c r="Q102" i="34" s="1"/>
  <c r="Q805" i="3"/>
  <c r="Q101" i="34" s="1"/>
  <c r="Q804" i="3"/>
  <c r="Q100" i="34" s="1"/>
  <c r="Q803" i="3"/>
  <c r="Q99" i="34" s="1"/>
  <c r="Q802" i="3"/>
  <c r="Q98" i="34" s="1"/>
  <c r="Q801" i="3"/>
  <c r="Q97" i="34" s="1"/>
  <c r="Q800" i="3"/>
  <c r="Q96" i="34" s="1"/>
  <c r="Q799" i="3"/>
  <c r="Q95" i="34" s="1"/>
  <c r="Q798" i="3"/>
  <c r="Q94" i="34" s="1"/>
  <c r="Q797" i="3"/>
  <c r="Q93" i="34" s="1"/>
  <c r="Q796" i="3"/>
  <c r="Q92" i="34" s="1"/>
  <c r="Q795" i="3"/>
  <c r="Q91" i="34" s="1"/>
  <c r="Q794" i="3"/>
  <c r="Q90" i="34" s="1"/>
  <c r="Q793" i="3"/>
  <c r="Q89" i="34" s="1"/>
  <c r="Q792" i="3"/>
  <c r="Q88" i="34" s="1"/>
  <c r="Q791" i="3"/>
  <c r="Q87" i="34" s="1"/>
  <c r="Q790" i="3"/>
  <c r="Q86" i="34" s="1"/>
  <c r="Q789" i="3"/>
  <c r="Q85" i="34" s="1"/>
  <c r="Q788" i="3"/>
  <c r="Q84" i="34" s="1"/>
  <c r="Q787" i="3"/>
  <c r="Q83" i="34" s="1"/>
  <c r="Q786" i="3"/>
  <c r="Q82" i="34" s="1"/>
  <c r="Q785" i="3"/>
  <c r="Q81" i="34" s="1"/>
  <c r="Q784" i="3"/>
  <c r="Q80" i="34" s="1"/>
  <c r="Q783" i="3"/>
  <c r="Q79" i="34" s="1"/>
  <c r="Q782" i="3"/>
  <c r="Q78" i="34" s="1"/>
  <c r="Q781" i="3"/>
  <c r="Q77" i="34" s="1"/>
  <c r="Q780" i="3"/>
  <c r="Q76" i="34" s="1"/>
  <c r="Q779" i="3"/>
  <c r="Q75" i="34" s="1"/>
  <c r="Q778" i="3"/>
  <c r="Q74" i="34" s="1"/>
  <c r="Q777" i="3"/>
  <c r="Q73" i="34" s="1"/>
  <c r="Q776" i="3"/>
  <c r="Q72" i="34" s="1"/>
  <c r="Q775" i="3"/>
  <c r="Q71" i="34" s="1"/>
  <c r="Q774" i="3"/>
  <c r="Q70" i="34" s="1"/>
  <c r="Q773" i="3"/>
  <c r="Q69" i="34" s="1"/>
  <c r="Q772" i="3"/>
  <c r="Q68" i="34" s="1"/>
  <c r="Q771" i="3"/>
  <c r="Q67" i="34" s="1"/>
  <c r="Q770" i="3"/>
  <c r="Q66" i="34" s="1"/>
  <c r="Q769" i="3"/>
  <c r="Q65" i="34" s="1"/>
  <c r="Q768" i="3"/>
  <c r="Q64" i="34" s="1"/>
  <c r="Q767" i="3"/>
  <c r="Q63" i="34" s="1"/>
  <c r="Q766" i="3"/>
  <c r="Q62" i="34" s="1"/>
  <c r="Q765" i="3"/>
  <c r="Q61" i="34" s="1"/>
  <c r="Q764" i="3"/>
  <c r="Q60" i="34" s="1"/>
  <c r="Q763" i="3"/>
  <c r="Q59" i="34" s="1"/>
  <c r="Q762" i="3"/>
  <c r="Q58" i="34" s="1"/>
  <c r="Q761" i="3"/>
  <c r="Q57" i="34" s="1"/>
  <c r="Q760" i="3"/>
  <c r="Q56" i="34" s="1"/>
  <c r="Q759" i="3"/>
  <c r="Q55" i="34" s="1"/>
  <c r="Q758" i="3"/>
  <c r="Q54" i="34" s="1"/>
  <c r="Q757" i="3"/>
  <c r="Q53" i="34" s="1"/>
  <c r="Q756" i="3"/>
  <c r="Q52" i="34" s="1"/>
  <c r="Q755" i="3"/>
  <c r="Q51" i="34" s="1"/>
  <c r="Q754" i="3"/>
  <c r="Q50" i="34" s="1"/>
  <c r="Q753" i="3"/>
  <c r="Q49" i="34" s="1"/>
  <c r="Q752" i="3"/>
  <c r="Q48" i="34" s="1"/>
  <c r="Q751" i="3"/>
  <c r="Q47" i="34" s="1"/>
  <c r="Q750" i="3"/>
  <c r="Q46" i="34" s="1"/>
  <c r="Q749" i="3"/>
  <c r="Q45" i="34" s="1"/>
  <c r="Q748" i="3"/>
  <c r="Q44" i="34" s="1"/>
  <c r="Q747" i="3"/>
  <c r="Q43" i="34" s="1"/>
  <c r="Q746" i="3"/>
  <c r="Q42" i="34" s="1"/>
  <c r="Q745" i="3"/>
  <c r="Q41" i="34" s="1"/>
  <c r="Q744" i="3"/>
  <c r="Q40" i="34" s="1"/>
  <c r="Q743" i="3"/>
  <c r="Q39" i="34" s="1"/>
  <c r="Q742" i="3"/>
  <c r="Q38" i="34" s="1"/>
  <c r="Q741" i="3"/>
  <c r="Q37" i="34" s="1"/>
  <c r="Q740" i="3"/>
  <c r="Q36" i="34" s="1"/>
  <c r="Q739" i="3"/>
  <c r="Q35" i="34" s="1"/>
  <c r="Q738" i="3"/>
  <c r="Q34" i="34" s="1"/>
  <c r="Q737" i="3"/>
  <c r="Q33" i="34" s="1"/>
  <c r="Q736" i="3"/>
  <c r="Q32" i="34" s="1"/>
  <c r="Q735" i="3"/>
  <c r="Q31" i="34" s="1"/>
  <c r="Q734" i="3"/>
  <c r="Q30" i="34" s="1"/>
  <c r="Q733" i="3"/>
  <c r="Q29" i="34" s="1"/>
  <c r="Q732" i="3"/>
  <c r="Q28" i="34" s="1"/>
  <c r="Q731" i="3"/>
  <c r="Q27" i="34" s="1"/>
  <c r="Q730" i="3"/>
  <c r="Q26" i="34" s="1"/>
  <c r="Q729" i="3"/>
  <c r="Q25" i="34" s="1"/>
  <c r="Q728" i="3"/>
  <c r="Q24" i="34" s="1"/>
  <c r="Q727" i="3"/>
  <c r="Q23" i="34" s="1"/>
  <c r="Q726" i="3"/>
  <c r="Q22" i="34" s="1"/>
  <c r="Q725" i="3"/>
  <c r="Q21" i="34" s="1"/>
  <c r="Q724" i="3"/>
  <c r="Q20" i="34" s="1"/>
  <c r="Q723" i="3"/>
  <c r="Q19" i="34" s="1"/>
  <c r="Q722" i="3"/>
  <c r="Q18" i="34" s="1"/>
  <c r="Q721" i="3"/>
  <c r="Q17" i="34" s="1"/>
  <c r="Q720" i="3"/>
  <c r="Q16" i="34" s="1"/>
  <c r="Q719" i="3"/>
  <c r="Q15" i="34" s="1"/>
  <c r="Q718" i="3"/>
  <c r="Q14" i="34" s="1"/>
  <c r="Q717" i="3"/>
  <c r="Q13" i="34" s="1"/>
  <c r="Q716" i="3"/>
  <c r="Q12" i="34" s="1"/>
  <c r="Q715" i="3"/>
  <c r="Q11" i="34" s="1"/>
  <c r="Q714" i="3"/>
  <c r="Q10" i="34" s="1"/>
  <c r="Q713" i="3"/>
  <c r="Q9" i="34" s="1"/>
  <c r="Q712" i="3"/>
  <c r="Q8" i="34" s="1"/>
  <c r="Q711" i="3"/>
  <c r="Q7" i="34" s="1"/>
  <c r="Q710" i="3"/>
  <c r="Q6" i="34" s="1"/>
  <c r="Q709" i="3"/>
  <c r="Q5" i="34" s="1"/>
  <c r="B375" i="3"/>
  <c r="B374" i="3"/>
  <c r="A288" i="3"/>
  <c r="A121" i="30" s="1"/>
  <c r="B870" i="3"/>
  <c r="B871" i="3" s="1"/>
  <c r="F362" i="3"/>
  <c r="F364" i="3" s="1"/>
  <c r="H125" i="3"/>
  <c r="H124" i="3"/>
  <c r="E121" i="25"/>
  <c r="C121" i="25"/>
  <c r="B88" i="25"/>
  <c r="B87" i="25"/>
  <c r="B86" i="25"/>
  <c r="B85" i="25"/>
  <c r="B84" i="25"/>
  <c r="B83" i="25"/>
  <c r="F20" i="25"/>
  <c r="C9" i="24"/>
  <c r="C10" i="24"/>
  <c r="C11" i="24"/>
  <c r="C4" i="24"/>
  <c r="D884" i="3"/>
  <c r="C27" i="24" s="1"/>
  <c r="D883" i="3"/>
  <c r="C26" i="24" s="1"/>
  <c r="D881" i="3"/>
  <c r="C24" i="24" s="1"/>
  <c r="D880" i="3"/>
  <c r="C22" i="24" s="1"/>
  <c r="D67" i="3"/>
  <c r="C67" i="3"/>
  <c r="B67" i="3"/>
  <c r="G66" i="3"/>
  <c r="F66" i="3"/>
  <c r="E66" i="3"/>
  <c r="D66" i="3"/>
  <c r="C66" i="3"/>
  <c r="B66" i="3"/>
  <c r="G65" i="3"/>
  <c r="F65" i="3"/>
  <c r="E65" i="3"/>
  <c r="D65" i="3"/>
  <c r="C65" i="3"/>
  <c r="B65" i="3"/>
  <c r="G64" i="3"/>
  <c r="F64" i="3"/>
  <c r="E64" i="3"/>
  <c r="D64" i="3"/>
  <c r="C64" i="3"/>
  <c r="B64" i="3"/>
  <c r="H171" i="3"/>
  <c r="H5" i="30" s="1"/>
  <c r="A287" i="3"/>
  <c r="A120" i="30" s="1"/>
  <c r="A286" i="3"/>
  <c r="A119" i="30" s="1"/>
  <c r="E285" i="3"/>
  <c r="A285" i="3"/>
  <c r="A118" i="30" s="1"/>
  <c r="C282" i="3"/>
  <c r="C115" i="30" s="1"/>
  <c r="A282" i="3"/>
  <c r="A115" i="30" s="1"/>
  <c r="C281" i="3"/>
  <c r="C114" i="30" s="1"/>
  <c r="A281" i="3"/>
  <c r="A114" i="30" s="1"/>
  <c r="C280" i="3"/>
  <c r="C113" i="30" s="1"/>
  <c r="A280" i="3"/>
  <c r="A113" i="30" s="1"/>
  <c r="C278" i="3"/>
  <c r="C111" i="30" s="1"/>
  <c r="A278" i="3"/>
  <c r="A111" i="30" s="1"/>
  <c r="C277" i="3"/>
  <c r="C110" i="30" s="1"/>
  <c r="A277" i="3"/>
  <c r="A110" i="30" s="1"/>
  <c r="E276" i="3"/>
  <c r="C276" i="3"/>
  <c r="C109" i="30" s="1"/>
  <c r="A276" i="3"/>
  <c r="A109" i="30" s="1"/>
  <c r="A270" i="3"/>
  <c r="A103" i="30" s="1"/>
  <c r="A269" i="3"/>
  <c r="A102" i="30" s="1"/>
  <c r="E268" i="3"/>
  <c r="A268" i="3"/>
  <c r="A101" i="30" s="1"/>
  <c r="C265" i="3"/>
  <c r="C98" i="30" s="1"/>
  <c r="C264" i="3"/>
  <c r="C97" i="30" s="1"/>
  <c r="C263" i="3"/>
  <c r="C96" i="30" s="1"/>
  <c r="C262" i="3"/>
  <c r="C95" i="30" s="1"/>
  <c r="A262" i="3"/>
  <c r="A95" i="30" s="1"/>
  <c r="C261" i="3"/>
  <c r="C94" i="30" s="1"/>
  <c r="A261" i="3"/>
  <c r="A94" i="30" s="1"/>
  <c r="C260" i="3"/>
  <c r="C93" i="30" s="1"/>
  <c r="A260" i="3"/>
  <c r="A93" i="30" s="1"/>
  <c r="E259" i="3"/>
  <c r="C259" i="3"/>
  <c r="C92" i="30" s="1"/>
  <c r="A259" i="3"/>
  <c r="A92" i="30" s="1"/>
  <c r="E258" i="3"/>
  <c r="C258" i="3"/>
  <c r="C91" i="30" s="1"/>
  <c r="A258" i="3"/>
  <c r="A91" i="30" s="1"/>
  <c r="E257" i="3"/>
  <c r="E90" i="30" s="1"/>
  <c r="A257" i="3"/>
  <c r="A90" i="30" s="1"/>
  <c r="E256" i="3"/>
  <c r="A256" i="3"/>
  <c r="A89" i="30" s="1"/>
  <c r="E255" i="3"/>
  <c r="C255" i="3"/>
  <c r="C88" i="30" s="1"/>
  <c r="A255" i="3"/>
  <c r="A88" i="30" s="1"/>
  <c r="E254" i="3"/>
  <c r="C254" i="3"/>
  <c r="C87" i="30" s="1"/>
  <c r="A254" i="3"/>
  <c r="A87" i="30" s="1"/>
  <c r="E253" i="3"/>
  <c r="C253" i="3"/>
  <c r="C86" i="30" s="1"/>
  <c r="A253" i="3"/>
  <c r="A86" i="30" s="1"/>
  <c r="E252" i="3"/>
  <c r="C252" i="3"/>
  <c r="C85" i="30" s="1"/>
  <c r="A252" i="3"/>
  <c r="A85" i="30" s="1"/>
  <c r="E251" i="3"/>
  <c r="C251" i="3"/>
  <c r="C84" i="30" s="1"/>
  <c r="A251" i="3"/>
  <c r="A84" i="30" s="1"/>
  <c r="E250" i="3"/>
  <c r="C250" i="3"/>
  <c r="C83" i="30" s="1"/>
  <c r="A250" i="3"/>
  <c r="A83" i="30" s="1"/>
  <c r="E249" i="3"/>
  <c r="A249" i="3"/>
  <c r="A82" i="30" s="1"/>
  <c r="A243" i="3"/>
  <c r="A76" i="30" s="1"/>
  <c r="A242" i="3"/>
  <c r="A75" i="30" s="1"/>
  <c r="E241" i="3"/>
  <c r="A241" i="3"/>
  <c r="A74" i="30" s="1"/>
  <c r="E240" i="3"/>
  <c r="A240" i="3"/>
  <c r="A73" i="30" s="1"/>
  <c r="E239" i="3"/>
  <c r="A239" i="3"/>
  <c r="A72" i="30" s="1"/>
  <c r="E238" i="3"/>
  <c r="A238" i="3"/>
  <c r="A71" i="30" s="1"/>
  <c r="E237" i="3"/>
  <c r="A237" i="3"/>
  <c r="A70" i="30" s="1"/>
  <c r="E236" i="3"/>
  <c r="A236" i="3"/>
  <c r="A69" i="30" s="1"/>
  <c r="E235" i="3"/>
  <c r="A235" i="3"/>
  <c r="A68" i="30" s="1"/>
  <c r="E234" i="3"/>
  <c r="A234" i="3"/>
  <c r="A67" i="30" s="1"/>
  <c r="E233" i="3"/>
  <c r="A233" i="3"/>
  <c r="A66" i="30" s="1"/>
  <c r="C230" i="3"/>
  <c r="C63" i="30" s="1"/>
  <c r="C229" i="3"/>
  <c r="C62" i="30" s="1"/>
  <c r="C228" i="3"/>
  <c r="C61" i="30" s="1"/>
  <c r="C226" i="3"/>
  <c r="C60" i="30" s="1"/>
  <c r="A226" i="3"/>
  <c r="A60" i="30" s="1"/>
  <c r="C225" i="3"/>
  <c r="C59" i="30" s="1"/>
  <c r="A225" i="3"/>
  <c r="A59" i="30" s="1"/>
  <c r="E224" i="3"/>
  <c r="C224" i="3"/>
  <c r="C58" i="30" s="1"/>
  <c r="A224" i="3"/>
  <c r="A58" i="30" s="1"/>
  <c r="E223" i="3"/>
  <c r="C223" i="3"/>
  <c r="C57" i="30" s="1"/>
  <c r="A223" i="3"/>
  <c r="A57" i="30" s="1"/>
  <c r="E222" i="3"/>
  <c r="C222" i="3"/>
  <c r="C56" i="30" s="1"/>
  <c r="A222" i="3"/>
  <c r="A56" i="30" s="1"/>
  <c r="E221" i="3"/>
  <c r="C221" i="3"/>
  <c r="C55" i="30" s="1"/>
  <c r="A221" i="3"/>
  <c r="A55" i="30" s="1"/>
  <c r="E220" i="3"/>
  <c r="C220" i="3"/>
  <c r="C54" i="30" s="1"/>
  <c r="A220" i="3"/>
  <c r="A54" i="30" s="1"/>
  <c r="E219" i="3"/>
  <c r="C219" i="3"/>
  <c r="C53" i="30" s="1"/>
  <c r="A219" i="3"/>
  <c r="A53" i="30" s="1"/>
  <c r="E218" i="3"/>
  <c r="C218" i="3"/>
  <c r="C52" i="30" s="1"/>
  <c r="A218" i="3"/>
  <c r="A52" i="30" s="1"/>
  <c r="E217" i="3"/>
  <c r="C217" i="3"/>
  <c r="C51" i="30" s="1"/>
  <c r="A217" i="3"/>
  <c r="A51" i="30" s="1"/>
  <c r="E216" i="3"/>
  <c r="C216" i="3"/>
  <c r="A216" i="3"/>
  <c r="A50" i="30" s="1"/>
  <c r="E215" i="3"/>
  <c r="C215" i="3"/>
  <c r="C49" i="30" s="1"/>
  <c r="A215" i="3"/>
  <c r="A49" i="30" s="1"/>
  <c r="E214" i="3"/>
  <c r="C214" i="3"/>
  <c r="C48" i="30" s="1"/>
  <c r="A214" i="3"/>
  <c r="A48" i="30" s="1"/>
  <c r="E213" i="3"/>
  <c r="G213" i="3" s="1"/>
  <c r="C213" i="3"/>
  <c r="C47" i="30" s="1"/>
  <c r="A213" i="3"/>
  <c r="A47" i="30" s="1"/>
  <c r="C210" i="3"/>
  <c r="C44" i="30" s="1"/>
  <c r="C209" i="3"/>
  <c r="C43" i="30" s="1"/>
  <c r="C208" i="3"/>
  <c r="C42" i="30" s="1"/>
  <c r="C207" i="3"/>
  <c r="C41" i="30" s="1"/>
  <c r="A207" i="3"/>
  <c r="A41" i="30" s="1"/>
  <c r="C206" i="3"/>
  <c r="C40" i="30" s="1"/>
  <c r="A206" i="3"/>
  <c r="A40" i="30" s="1"/>
  <c r="E205" i="3"/>
  <c r="C205" i="3"/>
  <c r="C39" i="30" s="1"/>
  <c r="A205" i="3"/>
  <c r="A39" i="30" s="1"/>
  <c r="E204" i="3"/>
  <c r="C204" i="3"/>
  <c r="C38" i="30" s="1"/>
  <c r="A204" i="3"/>
  <c r="A38" i="30" s="1"/>
  <c r="E203" i="3"/>
  <c r="C203" i="3"/>
  <c r="C37" i="30" s="1"/>
  <c r="A203" i="3"/>
  <c r="A37" i="30" s="1"/>
  <c r="E202" i="3"/>
  <c r="C202" i="3"/>
  <c r="C36" i="30" s="1"/>
  <c r="A202" i="3"/>
  <c r="A36" i="30" s="1"/>
  <c r="E201" i="3"/>
  <c r="C201" i="3"/>
  <c r="C35" i="30" s="1"/>
  <c r="A201" i="3"/>
  <c r="A35" i="30" s="1"/>
  <c r="E200" i="3"/>
  <c r="C200" i="3"/>
  <c r="C34" i="30" s="1"/>
  <c r="A200" i="3"/>
  <c r="A34" i="30" s="1"/>
  <c r="E199" i="3"/>
  <c r="C199" i="3"/>
  <c r="C33" i="30" s="1"/>
  <c r="A199" i="3"/>
  <c r="A33" i="30" s="1"/>
  <c r="E198" i="3"/>
  <c r="C198" i="3"/>
  <c r="C32" i="30" s="1"/>
  <c r="A198" i="3"/>
  <c r="A32" i="30" s="1"/>
  <c r="E197" i="3"/>
  <c r="C197" i="3"/>
  <c r="C31" i="30" s="1"/>
  <c r="A197" i="3"/>
  <c r="A31" i="30" s="1"/>
  <c r="C194" i="3"/>
  <c r="C28" i="30" s="1"/>
  <c r="C193" i="3"/>
  <c r="C27" i="30" s="1"/>
  <c r="C192" i="3"/>
  <c r="C26" i="30" s="1"/>
  <c r="C191" i="3"/>
  <c r="C25" i="30" s="1"/>
  <c r="A191" i="3"/>
  <c r="A25" i="30" s="1"/>
  <c r="C190" i="3"/>
  <c r="C24" i="30" s="1"/>
  <c r="A190" i="3"/>
  <c r="A24" i="30" s="1"/>
  <c r="E189" i="3"/>
  <c r="C189" i="3"/>
  <c r="C23" i="30" s="1"/>
  <c r="A189" i="3"/>
  <c r="A23" i="30" s="1"/>
  <c r="E188" i="3"/>
  <c r="C188" i="3"/>
  <c r="C22" i="30" s="1"/>
  <c r="A188" i="3"/>
  <c r="A22" i="30" s="1"/>
  <c r="E187" i="3"/>
  <c r="C187" i="3"/>
  <c r="C21" i="30" s="1"/>
  <c r="A187" i="3"/>
  <c r="A21" i="30" s="1"/>
  <c r="E186" i="3"/>
  <c r="C186" i="3"/>
  <c r="C20" i="30" s="1"/>
  <c r="A186" i="3"/>
  <c r="A20" i="30" s="1"/>
  <c r="E185" i="3"/>
  <c r="C185" i="3"/>
  <c r="C19" i="30" s="1"/>
  <c r="A185" i="3"/>
  <c r="A19" i="30" s="1"/>
  <c r="E184" i="3"/>
  <c r="C184" i="3"/>
  <c r="C18" i="30" s="1"/>
  <c r="A184" i="3"/>
  <c r="A18" i="30" s="1"/>
  <c r="E183" i="3"/>
  <c r="C183" i="3"/>
  <c r="C17" i="30" s="1"/>
  <c r="A183" i="3"/>
  <c r="A17" i="30" s="1"/>
  <c r="E182" i="3"/>
  <c r="C182" i="3"/>
  <c r="C16" i="30" s="1"/>
  <c r="A182" i="3"/>
  <c r="A16" i="30" s="1"/>
  <c r="E181" i="3"/>
  <c r="G181" i="3" s="1"/>
  <c r="C15" i="30"/>
  <c r="B15" i="30"/>
  <c r="A181" i="3"/>
  <c r="A15" i="30" s="1"/>
  <c r="E178" i="3"/>
  <c r="C178" i="3"/>
  <c r="C12" i="30" s="1"/>
  <c r="A178" i="3"/>
  <c r="A12" i="30" s="1"/>
  <c r="E177" i="3"/>
  <c r="C177" i="3"/>
  <c r="C11" i="30" s="1"/>
  <c r="A177" i="3"/>
  <c r="A11" i="30" s="1"/>
  <c r="E174" i="3"/>
  <c r="A174" i="3"/>
  <c r="A8" i="30" s="1"/>
  <c r="E173" i="3"/>
  <c r="A173" i="3"/>
  <c r="A7" i="30" s="1"/>
  <c r="E172" i="3"/>
  <c r="E6" i="30" s="1"/>
  <c r="A172" i="3"/>
  <c r="A6" i="30" s="1"/>
  <c r="E171" i="3"/>
  <c r="E5" i="30" s="1"/>
  <c r="D171" i="3"/>
  <c r="D5" i="30" s="1"/>
  <c r="C171" i="3"/>
  <c r="C5" i="30" s="1"/>
  <c r="B171" i="3"/>
  <c r="B5" i="30" s="1"/>
  <c r="M807" i="3"/>
  <c r="M103" i="34" s="1"/>
  <c r="M806" i="3"/>
  <c r="M102" i="34" s="1"/>
  <c r="M805" i="3"/>
  <c r="M101" i="34" s="1"/>
  <c r="M804" i="3"/>
  <c r="M100" i="34" s="1"/>
  <c r="M803" i="3"/>
  <c r="M99" i="34" s="1"/>
  <c r="M802" i="3"/>
  <c r="M98" i="34" s="1"/>
  <c r="M801" i="3"/>
  <c r="M97" i="34" s="1"/>
  <c r="M800" i="3"/>
  <c r="M96" i="34" s="1"/>
  <c r="M799" i="3"/>
  <c r="M95" i="34" s="1"/>
  <c r="M798" i="3"/>
  <c r="M94" i="34" s="1"/>
  <c r="M797" i="3"/>
  <c r="M93" i="34" s="1"/>
  <c r="M796" i="3"/>
  <c r="M92" i="34" s="1"/>
  <c r="M795" i="3"/>
  <c r="M91" i="34" s="1"/>
  <c r="M794" i="3"/>
  <c r="M90" i="34" s="1"/>
  <c r="M793" i="3"/>
  <c r="M89" i="34" s="1"/>
  <c r="M792" i="3"/>
  <c r="M88" i="34" s="1"/>
  <c r="M791" i="3"/>
  <c r="M87" i="34" s="1"/>
  <c r="M790" i="3"/>
  <c r="M86" i="34" s="1"/>
  <c r="M789" i="3"/>
  <c r="M85" i="34" s="1"/>
  <c r="M788" i="3"/>
  <c r="M84" i="34" s="1"/>
  <c r="M787" i="3"/>
  <c r="M83" i="34" s="1"/>
  <c r="M786" i="3"/>
  <c r="M82" i="34" s="1"/>
  <c r="M785" i="3"/>
  <c r="M81" i="34" s="1"/>
  <c r="M784" i="3"/>
  <c r="M80" i="34" s="1"/>
  <c r="M783" i="3"/>
  <c r="M79" i="34" s="1"/>
  <c r="M782" i="3"/>
  <c r="M78" i="34" s="1"/>
  <c r="M781" i="3"/>
  <c r="M77" i="34" s="1"/>
  <c r="M780" i="3"/>
  <c r="M76" i="34" s="1"/>
  <c r="M779" i="3"/>
  <c r="M75" i="34" s="1"/>
  <c r="M778" i="3"/>
  <c r="M74" i="34" s="1"/>
  <c r="M777" i="3"/>
  <c r="M73" i="34" s="1"/>
  <c r="M776" i="3"/>
  <c r="M72" i="34" s="1"/>
  <c r="M775" i="3"/>
  <c r="M71" i="34" s="1"/>
  <c r="M774" i="3"/>
  <c r="M70" i="34" s="1"/>
  <c r="M773" i="3"/>
  <c r="M69" i="34" s="1"/>
  <c r="M772" i="3"/>
  <c r="M68" i="34" s="1"/>
  <c r="M771" i="3"/>
  <c r="M67" i="34" s="1"/>
  <c r="M770" i="3"/>
  <c r="M66" i="34" s="1"/>
  <c r="M769" i="3"/>
  <c r="M65" i="34" s="1"/>
  <c r="M768" i="3"/>
  <c r="M64" i="34" s="1"/>
  <c r="M767" i="3"/>
  <c r="M63" i="34" s="1"/>
  <c r="M766" i="3"/>
  <c r="M62" i="34" s="1"/>
  <c r="M765" i="3"/>
  <c r="M61" i="34" s="1"/>
  <c r="M764" i="3"/>
  <c r="M60" i="34" s="1"/>
  <c r="M763" i="3"/>
  <c r="M59" i="34" s="1"/>
  <c r="M762" i="3"/>
  <c r="M58" i="34" s="1"/>
  <c r="M761" i="3"/>
  <c r="M57" i="34" s="1"/>
  <c r="M760" i="3"/>
  <c r="M56" i="34" s="1"/>
  <c r="M759" i="3"/>
  <c r="M55" i="34" s="1"/>
  <c r="M758" i="3"/>
  <c r="M54" i="34" s="1"/>
  <c r="M757" i="3"/>
  <c r="M53" i="34" s="1"/>
  <c r="M756" i="3"/>
  <c r="M52" i="34" s="1"/>
  <c r="M755" i="3"/>
  <c r="M51" i="34" s="1"/>
  <c r="M754" i="3"/>
  <c r="M50" i="34" s="1"/>
  <c r="M753" i="3"/>
  <c r="M49" i="34" s="1"/>
  <c r="M752" i="3"/>
  <c r="M48" i="34" s="1"/>
  <c r="M751" i="3"/>
  <c r="M47" i="34" s="1"/>
  <c r="M750" i="3"/>
  <c r="M46" i="34" s="1"/>
  <c r="M749" i="3"/>
  <c r="M45" i="34" s="1"/>
  <c r="M748" i="3"/>
  <c r="M44" i="34" s="1"/>
  <c r="M747" i="3"/>
  <c r="M43" i="34" s="1"/>
  <c r="M746" i="3"/>
  <c r="M42" i="34" s="1"/>
  <c r="M745" i="3"/>
  <c r="M41" i="34" s="1"/>
  <c r="M744" i="3"/>
  <c r="M40" i="34" s="1"/>
  <c r="M743" i="3"/>
  <c r="M39" i="34" s="1"/>
  <c r="M742" i="3"/>
  <c r="M38" i="34" s="1"/>
  <c r="M741" i="3"/>
  <c r="M37" i="34" s="1"/>
  <c r="M740" i="3"/>
  <c r="M36" i="34" s="1"/>
  <c r="M739" i="3"/>
  <c r="M35" i="34" s="1"/>
  <c r="M738" i="3"/>
  <c r="M34" i="34" s="1"/>
  <c r="M737" i="3"/>
  <c r="M33" i="34" s="1"/>
  <c r="M736" i="3"/>
  <c r="M32" i="34" s="1"/>
  <c r="M735" i="3"/>
  <c r="M31" i="34" s="1"/>
  <c r="M734" i="3"/>
  <c r="M30" i="34" s="1"/>
  <c r="M733" i="3"/>
  <c r="M29" i="34" s="1"/>
  <c r="M732" i="3"/>
  <c r="M28" i="34" s="1"/>
  <c r="M731" i="3"/>
  <c r="M27" i="34" s="1"/>
  <c r="M730" i="3"/>
  <c r="M26" i="34" s="1"/>
  <c r="M729" i="3"/>
  <c r="M25" i="34" s="1"/>
  <c r="M728" i="3"/>
  <c r="M24" i="34" s="1"/>
  <c r="M727" i="3"/>
  <c r="M23" i="34" s="1"/>
  <c r="M726" i="3"/>
  <c r="M22" i="34" s="1"/>
  <c r="M725" i="3"/>
  <c r="M21" i="34" s="1"/>
  <c r="M724" i="3"/>
  <c r="M20" i="34" s="1"/>
  <c r="M723" i="3"/>
  <c r="M19" i="34" s="1"/>
  <c r="M722" i="3"/>
  <c r="M18" i="34" s="1"/>
  <c r="M721" i="3"/>
  <c r="M17" i="34" s="1"/>
  <c r="M720" i="3"/>
  <c r="M16" i="34" s="1"/>
  <c r="M719" i="3"/>
  <c r="M15" i="34" s="1"/>
  <c r="M718" i="3"/>
  <c r="M14" i="34" s="1"/>
  <c r="M717" i="3"/>
  <c r="M13" i="34" s="1"/>
  <c r="M716" i="3"/>
  <c r="M12" i="34" s="1"/>
  <c r="M715" i="3"/>
  <c r="M11" i="34" s="1"/>
  <c r="M714" i="3"/>
  <c r="M10" i="34" s="1"/>
  <c r="M713" i="3"/>
  <c r="M9" i="34" s="1"/>
  <c r="M712" i="3"/>
  <c r="M8" i="34" s="1"/>
  <c r="M711" i="3"/>
  <c r="M7" i="34" s="1"/>
  <c r="M710" i="3"/>
  <c r="M6" i="34" s="1"/>
  <c r="S807" i="3"/>
  <c r="S103" i="34" s="1"/>
  <c r="K807" i="3"/>
  <c r="K103" i="34" s="1"/>
  <c r="G807" i="3"/>
  <c r="G103" i="34" s="1"/>
  <c r="F807" i="3"/>
  <c r="F103" i="34" s="1"/>
  <c r="E807" i="3"/>
  <c r="E103" i="34" s="1"/>
  <c r="D807" i="3"/>
  <c r="D103" i="34" s="1"/>
  <c r="C807" i="3"/>
  <c r="C103" i="34" s="1"/>
  <c r="B807" i="3"/>
  <c r="B103" i="34" s="1"/>
  <c r="A807" i="3"/>
  <c r="B3265" i="44" s="1"/>
  <c r="F3265" i="44" s="1"/>
  <c r="S806" i="3"/>
  <c r="S102" i="34" s="1"/>
  <c r="K806" i="3"/>
  <c r="K102" i="34" s="1"/>
  <c r="G806" i="3"/>
  <c r="G102" i="34" s="1"/>
  <c r="F806" i="3"/>
  <c r="F102" i="34" s="1"/>
  <c r="E806" i="3"/>
  <c r="E102" i="34" s="1"/>
  <c r="D806" i="3"/>
  <c r="D102" i="34" s="1"/>
  <c r="C806" i="3"/>
  <c r="C102" i="34" s="1"/>
  <c r="B806" i="3"/>
  <c r="B102" i="34" s="1"/>
  <c r="A806" i="3"/>
  <c r="B3264" i="44" s="1"/>
  <c r="F3264" i="44" s="1"/>
  <c r="S805" i="3"/>
  <c r="S101" i="34" s="1"/>
  <c r="K805" i="3"/>
  <c r="K101" i="34" s="1"/>
  <c r="G805" i="3"/>
  <c r="G101" i="34" s="1"/>
  <c r="F805" i="3"/>
  <c r="E805" i="3"/>
  <c r="E101" i="34" s="1"/>
  <c r="D805" i="3"/>
  <c r="D101" i="34" s="1"/>
  <c r="C805" i="3"/>
  <c r="C101" i="34" s="1"/>
  <c r="B805" i="3"/>
  <c r="B101" i="34" s="1"/>
  <c r="A805" i="3"/>
  <c r="B3362" i="44" s="1"/>
  <c r="F3362" i="44" s="1"/>
  <c r="S804" i="3"/>
  <c r="S100" i="34" s="1"/>
  <c r="K804" i="3"/>
  <c r="K100" i="34" s="1"/>
  <c r="G804" i="3"/>
  <c r="G100" i="34" s="1"/>
  <c r="F804" i="3"/>
  <c r="F100" i="34" s="1"/>
  <c r="E804" i="3"/>
  <c r="E100" i="34" s="1"/>
  <c r="D804" i="3"/>
  <c r="D100" i="34" s="1"/>
  <c r="C804" i="3"/>
  <c r="C100" i="34" s="1"/>
  <c r="B804" i="3"/>
  <c r="B100" i="34" s="1"/>
  <c r="A804" i="3"/>
  <c r="B3262" i="44" s="1"/>
  <c r="F3262" i="44" s="1"/>
  <c r="S803" i="3"/>
  <c r="S99" i="34" s="1"/>
  <c r="K803" i="3"/>
  <c r="K99" i="34" s="1"/>
  <c r="G803" i="3"/>
  <c r="G99" i="34" s="1"/>
  <c r="F803" i="3"/>
  <c r="F99" i="34" s="1"/>
  <c r="E803" i="3"/>
  <c r="E99" i="34" s="1"/>
  <c r="D803" i="3"/>
  <c r="D99" i="34" s="1"/>
  <c r="C803" i="3"/>
  <c r="C99" i="34" s="1"/>
  <c r="B803" i="3"/>
  <c r="A803" i="3"/>
  <c r="B3360" i="44" s="1"/>
  <c r="F3360" i="44" s="1"/>
  <c r="S802" i="3"/>
  <c r="S98" i="34" s="1"/>
  <c r="K802" i="3"/>
  <c r="K98" i="34" s="1"/>
  <c r="G802" i="3"/>
  <c r="G98" i="34" s="1"/>
  <c r="F802" i="3"/>
  <c r="E802" i="3"/>
  <c r="E98" i="34" s="1"/>
  <c r="D802" i="3"/>
  <c r="D98" i="34" s="1"/>
  <c r="C802" i="3"/>
  <c r="C98" i="34" s="1"/>
  <c r="B802" i="3"/>
  <c r="A802" i="3"/>
  <c r="B3359" i="44" s="1"/>
  <c r="F3359" i="44" s="1"/>
  <c r="S801" i="3"/>
  <c r="S97" i="34" s="1"/>
  <c r="K801" i="3"/>
  <c r="K97" i="34" s="1"/>
  <c r="G801" i="3"/>
  <c r="G97" i="34" s="1"/>
  <c r="F801" i="3"/>
  <c r="F97" i="34" s="1"/>
  <c r="E801" i="3"/>
  <c r="E97" i="34" s="1"/>
  <c r="D801" i="3"/>
  <c r="D97" i="34" s="1"/>
  <c r="C801" i="3"/>
  <c r="C97" i="34" s="1"/>
  <c r="B801" i="3"/>
  <c r="B97" i="34" s="1"/>
  <c r="A801" i="3"/>
  <c r="A97" i="34" s="1"/>
  <c r="S800" i="3"/>
  <c r="S96" i="34" s="1"/>
  <c r="K800" i="3"/>
  <c r="K96" i="34" s="1"/>
  <c r="G800" i="3"/>
  <c r="G96" i="34" s="1"/>
  <c r="F800" i="3"/>
  <c r="F96" i="34" s="1"/>
  <c r="E800" i="3"/>
  <c r="E96" i="34" s="1"/>
  <c r="D800" i="3"/>
  <c r="D96" i="34" s="1"/>
  <c r="C800" i="3"/>
  <c r="C96" i="34" s="1"/>
  <c r="B800" i="3"/>
  <c r="B96" i="34" s="1"/>
  <c r="A800" i="3"/>
  <c r="B3258" i="44" s="1"/>
  <c r="F3258" i="44" s="1"/>
  <c r="S799" i="3"/>
  <c r="S95" i="34" s="1"/>
  <c r="K799" i="3"/>
  <c r="K95" i="34" s="1"/>
  <c r="G799" i="3"/>
  <c r="G95" i="34" s="1"/>
  <c r="F799" i="3"/>
  <c r="E799" i="3"/>
  <c r="E95" i="34" s="1"/>
  <c r="D799" i="3"/>
  <c r="D95" i="34" s="1"/>
  <c r="C799" i="3"/>
  <c r="C95" i="34" s="1"/>
  <c r="B799" i="3"/>
  <c r="B95" i="34" s="1"/>
  <c r="A799" i="3"/>
  <c r="S798" i="3"/>
  <c r="S94" i="34" s="1"/>
  <c r="K798" i="3"/>
  <c r="K94" i="34" s="1"/>
  <c r="G798" i="3"/>
  <c r="G94" i="34" s="1"/>
  <c r="F798" i="3"/>
  <c r="F94" i="34" s="1"/>
  <c r="E798" i="3"/>
  <c r="E94" i="34" s="1"/>
  <c r="D798" i="3"/>
  <c r="D94" i="34" s="1"/>
  <c r="C798" i="3"/>
  <c r="C94" i="34" s="1"/>
  <c r="B798" i="3"/>
  <c r="A798" i="3"/>
  <c r="B3256" i="44" s="1"/>
  <c r="F3256" i="44" s="1"/>
  <c r="S797" i="3"/>
  <c r="S93" i="34" s="1"/>
  <c r="K797" i="3"/>
  <c r="K93" i="34" s="1"/>
  <c r="G797" i="3"/>
  <c r="G93" i="34" s="1"/>
  <c r="F797" i="3"/>
  <c r="F93" i="34" s="1"/>
  <c r="E797" i="3"/>
  <c r="E93" i="34" s="1"/>
  <c r="D797" i="3"/>
  <c r="D93" i="34" s="1"/>
  <c r="C797" i="3"/>
  <c r="B797" i="3"/>
  <c r="B93" i="34" s="1"/>
  <c r="A797" i="3"/>
  <c r="B3354" i="44" s="1"/>
  <c r="F3354" i="44" s="1"/>
  <c r="S796" i="3"/>
  <c r="S92" i="34" s="1"/>
  <c r="K796" i="3"/>
  <c r="K92" i="34" s="1"/>
  <c r="G796" i="3"/>
  <c r="G92" i="34" s="1"/>
  <c r="F796" i="3"/>
  <c r="F92" i="34" s="1"/>
  <c r="E796" i="3"/>
  <c r="E92" i="34" s="1"/>
  <c r="D796" i="3"/>
  <c r="D92" i="34" s="1"/>
  <c r="C796" i="3"/>
  <c r="C92" i="34" s="1"/>
  <c r="B796" i="3"/>
  <c r="B92" i="34" s="1"/>
  <c r="A796" i="3"/>
  <c r="B3353" i="44" s="1"/>
  <c r="F3353" i="44" s="1"/>
  <c r="S795" i="3"/>
  <c r="S91" i="34" s="1"/>
  <c r="K795" i="3"/>
  <c r="K91" i="34" s="1"/>
  <c r="G795" i="3"/>
  <c r="G91" i="34" s="1"/>
  <c r="F795" i="3"/>
  <c r="F91" i="34" s="1"/>
  <c r="E795" i="3"/>
  <c r="E91" i="34" s="1"/>
  <c r="D795" i="3"/>
  <c r="D91" i="34" s="1"/>
  <c r="C795" i="3"/>
  <c r="C91" i="34" s="1"/>
  <c r="B795" i="3"/>
  <c r="B91" i="34" s="1"/>
  <c r="A795" i="3"/>
  <c r="B3352" i="44" s="1"/>
  <c r="F3352" i="44" s="1"/>
  <c r="S794" i="3"/>
  <c r="S90" i="34" s="1"/>
  <c r="K794" i="3"/>
  <c r="K90" i="34" s="1"/>
  <c r="G794" i="3"/>
  <c r="G90" i="34" s="1"/>
  <c r="F794" i="3"/>
  <c r="F90" i="34" s="1"/>
  <c r="E794" i="3"/>
  <c r="E90" i="34" s="1"/>
  <c r="D794" i="3"/>
  <c r="D90" i="34" s="1"/>
  <c r="C794" i="3"/>
  <c r="C90" i="34" s="1"/>
  <c r="B794" i="3"/>
  <c r="B90" i="34" s="1"/>
  <c r="A794" i="3"/>
  <c r="A90" i="34" s="1"/>
  <c r="S793" i="3"/>
  <c r="S89" i="34" s="1"/>
  <c r="K793" i="3"/>
  <c r="K89" i="34" s="1"/>
  <c r="G793" i="3"/>
  <c r="G89" i="34" s="1"/>
  <c r="F793" i="3"/>
  <c r="F89" i="34" s="1"/>
  <c r="E793" i="3"/>
  <c r="E89" i="34" s="1"/>
  <c r="D793" i="3"/>
  <c r="D89" i="34" s="1"/>
  <c r="C793" i="3"/>
  <c r="B793" i="3"/>
  <c r="B89" i="34" s="1"/>
  <c r="A793" i="3"/>
  <c r="A89" i="34" s="1"/>
  <c r="S792" i="3"/>
  <c r="S88" i="34" s="1"/>
  <c r="K792" i="3"/>
  <c r="K88" i="34" s="1"/>
  <c r="G792" i="3"/>
  <c r="G88" i="34" s="1"/>
  <c r="F792" i="3"/>
  <c r="E792" i="3"/>
  <c r="E88" i="34" s="1"/>
  <c r="D792" i="3"/>
  <c r="D88" i="34" s="1"/>
  <c r="C792" i="3"/>
  <c r="C88" i="34" s="1"/>
  <c r="B792" i="3"/>
  <c r="B88" i="34" s="1"/>
  <c r="A792" i="3"/>
  <c r="B3349" i="44" s="1"/>
  <c r="F3349" i="44" s="1"/>
  <c r="S791" i="3"/>
  <c r="S87" i="34" s="1"/>
  <c r="K791" i="3"/>
  <c r="K87" i="34" s="1"/>
  <c r="G791" i="3"/>
  <c r="G87" i="34" s="1"/>
  <c r="F791" i="3"/>
  <c r="F87" i="34" s="1"/>
  <c r="E791" i="3"/>
  <c r="E87" i="34" s="1"/>
  <c r="D791" i="3"/>
  <c r="D87" i="34" s="1"/>
  <c r="C791" i="3"/>
  <c r="B791" i="3"/>
  <c r="B87" i="34" s="1"/>
  <c r="A791" i="3"/>
  <c r="B3348" i="44" s="1"/>
  <c r="F3348" i="44" s="1"/>
  <c r="S790" i="3"/>
  <c r="S86" i="34" s="1"/>
  <c r="K790" i="3"/>
  <c r="K86" i="34" s="1"/>
  <c r="G790" i="3"/>
  <c r="G86" i="34" s="1"/>
  <c r="F790" i="3"/>
  <c r="F86" i="34" s="1"/>
  <c r="E790" i="3"/>
  <c r="E86" i="34" s="1"/>
  <c r="D790" i="3"/>
  <c r="D86" i="34" s="1"/>
  <c r="C790" i="3"/>
  <c r="C86" i="34" s="1"/>
  <c r="B790" i="3"/>
  <c r="B86" i="34" s="1"/>
  <c r="A790" i="3"/>
  <c r="B3248" i="44" s="1"/>
  <c r="F3248" i="44" s="1"/>
  <c r="S789" i="3"/>
  <c r="S85" i="34" s="1"/>
  <c r="K789" i="3"/>
  <c r="K85" i="34" s="1"/>
  <c r="G789" i="3"/>
  <c r="G85" i="34" s="1"/>
  <c r="F789" i="3"/>
  <c r="F85" i="34" s="1"/>
  <c r="E789" i="3"/>
  <c r="E85" i="34" s="1"/>
  <c r="D789" i="3"/>
  <c r="D85" i="34" s="1"/>
  <c r="C789" i="3"/>
  <c r="B789" i="3"/>
  <c r="B85" i="34" s="1"/>
  <c r="A789" i="3"/>
  <c r="B3247" i="44" s="1"/>
  <c r="F3247" i="44" s="1"/>
  <c r="S788" i="3"/>
  <c r="S84" i="34" s="1"/>
  <c r="K788" i="3"/>
  <c r="K84" i="34" s="1"/>
  <c r="G788" i="3"/>
  <c r="G84" i="34" s="1"/>
  <c r="F788" i="3"/>
  <c r="F84" i="34" s="1"/>
  <c r="E788" i="3"/>
  <c r="E84" i="34" s="1"/>
  <c r="D788" i="3"/>
  <c r="D84" i="34" s="1"/>
  <c r="C788" i="3"/>
  <c r="B788" i="3"/>
  <c r="B84" i="34" s="1"/>
  <c r="A788" i="3"/>
  <c r="S787" i="3"/>
  <c r="S83" i="34" s="1"/>
  <c r="K787" i="3"/>
  <c r="K83" i="34" s="1"/>
  <c r="G787" i="3"/>
  <c r="G83" i="34" s="1"/>
  <c r="F787" i="3"/>
  <c r="F83" i="34" s="1"/>
  <c r="E787" i="3"/>
  <c r="E83" i="34" s="1"/>
  <c r="D787" i="3"/>
  <c r="D83" i="34" s="1"/>
  <c r="C787" i="3"/>
  <c r="C83" i="34" s="1"/>
  <c r="B787" i="3"/>
  <c r="B83" i="34" s="1"/>
  <c r="A787" i="3"/>
  <c r="B3344" i="44" s="1"/>
  <c r="F3344" i="44" s="1"/>
  <c r="S786" i="3"/>
  <c r="S82" i="34" s="1"/>
  <c r="K786" i="3"/>
  <c r="K82" i="34" s="1"/>
  <c r="G786" i="3"/>
  <c r="G82" i="34" s="1"/>
  <c r="F786" i="3"/>
  <c r="F82" i="34" s="1"/>
  <c r="E786" i="3"/>
  <c r="E82" i="34" s="1"/>
  <c r="D786" i="3"/>
  <c r="D82" i="34" s="1"/>
  <c r="C786" i="3"/>
  <c r="B786" i="3"/>
  <c r="B82" i="34" s="1"/>
  <c r="A786" i="3"/>
  <c r="B3244" i="44" s="1"/>
  <c r="F3244" i="44" s="1"/>
  <c r="S785" i="3"/>
  <c r="S81" i="34" s="1"/>
  <c r="K785" i="3"/>
  <c r="K81" i="34" s="1"/>
  <c r="G785" i="3"/>
  <c r="G81" i="34" s="1"/>
  <c r="F785" i="3"/>
  <c r="F81" i="34" s="1"/>
  <c r="E785" i="3"/>
  <c r="E81" i="34" s="1"/>
  <c r="D785" i="3"/>
  <c r="D81" i="34" s="1"/>
  <c r="C785" i="3"/>
  <c r="C81" i="34" s="1"/>
  <c r="B785" i="3"/>
  <c r="B81" i="34" s="1"/>
  <c r="A785" i="3"/>
  <c r="B3342" i="44" s="1"/>
  <c r="F3342" i="44" s="1"/>
  <c r="S784" i="3"/>
  <c r="S80" i="34" s="1"/>
  <c r="K784" i="3"/>
  <c r="K80" i="34" s="1"/>
  <c r="G784" i="3"/>
  <c r="G80" i="34" s="1"/>
  <c r="F784" i="3"/>
  <c r="F80" i="34" s="1"/>
  <c r="E784" i="3"/>
  <c r="E80" i="34" s="1"/>
  <c r="D784" i="3"/>
  <c r="D80" i="34" s="1"/>
  <c r="C784" i="3"/>
  <c r="C80" i="34" s="1"/>
  <c r="B784" i="3"/>
  <c r="B80" i="34" s="1"/>
  <c r="A784" i="3"/>
  <c r="B3242" i="44" s="1"/>
  <c r="F3242" i="44" s="1"/>
  <c r="S783" i="3"/>
  <c r="S79" i="34" s="1"/>
  <c r="K783" i="3"/>
  <c r="K79" i="34" s="1"/>
  <c r="G783" i="3"/>
  <c r="G79" i="34" s="1"/>
  <c r="F783" i="3"/>
  <c r="F79" i="34" s="1"/>
  <c r="E783" i="3"/>
  <c r="E79" i="34" s="1"/>
  <c r="D783" i="3"/>
  <c r="D79" i="34" s="1"/>
  <c r="C783" i="3"/>
  <c r="C79" i="34" s="1"/>
  <c r="B783" i="3"/>
  <c r="A783" i="3"/>
  <c r="B3241" i="44" s="1"/>
  <c r="F3241" i="44" s="1"/>
  <c r="S782" i="3"/>
  <c r="S78" i="34" s="1"/>
  <c r="K782" i="3"/>
  <c r="K78" i="34" s="1"/>
  <c r="G782" i="3"/>
  <c r="G78" i="34" s="1"/>
  <c r="F782" i="3"/>
  <c r="F78" i="34" s="1"/>
  <c r="E782" i="3"/>
  <c r="E78" i="34" s="1"/>
  <c r="D782" i="3"/>
  <c r="D78" i="34" s="1"/>
  <c r="C782" i="3"/>
  <c r="C78" i="34" s="1"/>
  <c r="B782" i="3"/>
  <c r="B78" i="34" s="1"/>
  <c r="A782" i="3"/>
  <c r="B3339" i="44" s="1"/>
  <c r="F3339" i="44" s="1"/>
  <c r="S781" i="3"/>
  <c r="S77" i="34" s="1"/>
  <c r="K781" i="3"/>
  <c r="K77" i="34" s="1"/>
  <c r="G781" i="3"/>
  <c r="G77" i="34" s="1"/>
  <c r="F781" i="3"/>
  <c r="F77" i="34" s="1"/>
  <c r="E781" i="3"/>
  <c r="E77" i="34" s="1"/>
  <c r="D781" i="3"/>
  <c r="D77" i="34" s="1"/>
  <c r="C781" i="3"/>
  <c r="C77" i="34" s="1"/>
  <c r="B781" i="3"/>
  <c r="B77" i="34" s="1"/>
  <c r="A781" i="3"/>
  <c r="B3239" i="44" s="1"/>
  <c r="F3239" i="44" s="1"/>
  <c r="S780" i="3"/>
  <c r="S76" i="34" s="1"/>
  <c r="K780" i="3"/>
  <c r="K76" i="34" s="1"/>
  <c r="G780" i="3"/>
  <c r="G76" i="34" s="1"/>
  <c r="F780" i="3"/>
  <c r="F76" i="34" s="1"/>
  <c r="E780" i="3"/>
  <c r="D780" i="3"/>
  <c r="D76" i="34" s="1"/>
  <c r="C780" i="3"/>
  <c r="B780" i="3"/>
  <c r="B76" i="34" s="1"/>
  <c r="A780" i="3"/>
  <c r="B3238" i="44" s="1"/>
  <c r="F3238" i="44" s="1"/>
  <c r="S779" i="3"/>
  <c r="S75" i="34" s="1"/>
  <c r="K779" i="3"/>
  <c r="K75" i="34" s="1"/>
  <c r="G779" i="3"/>
  <c r="G75" i="34" s="1"/>
  <c r="F779" i="3"/>
  <c r="F75" i="34" s="1"/>
  <c r="E779" i="3"/>
  <c r="E75" i="34" s="1"/>
  <c r="D779" i="3"/>
  <c r="D75" i="34" s="1"/>
  <c r="C779" i="3"/>
  <c r="C75" i="34" s="1"/>
  <c r="B779" i="3"/>
  <c r="B75" i="34" s="1"/>
  <c r="A779" i="3"/>
  <c r="B3237" i="44" s="1"/>
  <c r="F3237" i="44" s="1"/>
  <c r="S778" i="3"/>
  <c r="K778" i="3"/>
  <c r="K74" i="34" s="1"/>
  <c r="G778" i="3"/>
  <c r="G74" i="34" s="1"/>
  <c r="F778" i="3"/>
  <c r="F74" i="34" s="1"/>
  <c r="E778" i="3"/>
  <c r="E74" i="34" s="1"/>
  <c r="D778" i="3"/>
  <c r="D74" i="34" s="1"/>
  <c r="C778" i="3"/>
  <c r="C74" i="34" s="1"/>
  <c r="B778" i="3"/>
  <c r="B74" i="34" s="1"/>
  <c r="A778" i="3"/>
  <c r="B3335" i="44" s="1"/>
  <c r="F3335" i="44" s="1"/>
  <c r="S777" i="3"/>
  <c r="S73" i="34" s="1"/>
  <c r="K777" i="3"/>
  <c r="K73" i="34" s="1"/>
  <c r="G777" i="3"/>
  <c r="G73" i="34" s="1"/>
  <c r="F777" i="3"/>
  <c r="F73" i="34" s="1"/>
  <c r="E777" i="3"/>
  <c r="D777" i="3"/>
  <c r="D73" i="34" s="1"/>
  <c r="C777" i="3"/>
  <c r="B777" i="3"/>
  <c r="B73" i="34" s="1"/>
  <c r="A777" i="3"/>
  <c r="A73" i="34" s="1"/>
  <c r="S776" i="3"/>
  <c r="S72" i="34" s="1"/>
  <c r="K776" i="3"/>
  <c r="K72" i="34" s="1"/>
  <c r="G776" i="3"/>
  <c r="G72" i="34" s="1"/>
  <c r="F776" i="3"/>
  <c r="F72" i="34" s="1"/>
  <c r="E776" i="3"/>
  <c r="E72" i="34" s="1"/>
  <c r="D776" i="3"/>
  <c r="D72" i="34" s="1"/>
  <c r="C776" i="3"/>
  <c r="C72" i="34" s="1"/>
  <c r="B776" i="3"/>
  <c r="B72" i="34" s="1"/>
  <c r="A776" i="3"/>
  <c r="A72" i="34" s="1"/>
  <c r="S775" i="3"/>
  <c r="S71" i="34" s="1"/>
  <c r="K775" i="3"/>
  <c r="K71" i="34" s="1"/>
  <c r="G775" i="3"/>
  <c r="G71" i="34" s="1"/>
  <c r="F775" i="3"/>
  <c r="F71" i="34" s="1"/>
  <c r="E775" i="3"/>
  <c r="E71" i="34" s="1"/>
  <c r="D775" i="3"/>
  <c r="D71" i="34" s="1"/>
  <c r="C775" i="3"/>
  <c r="C71" i="34" s="1"/>
  <c r="B775" i="3"/>
  <c r="B71" i="34" s="1"/>
  <c r="A775" i="3"/>
  <c r="B3332" i="44" s="1"/>
  <c r="F3332" i="44" s="1"/>
  <c r="S774" i="3"/>
  <c r="S70" i="34" s="1"/>
  <c r="K774" i="3"/>
  <c r="K70" i="34" s="1"/>
  <c r="G774" i="3"/>
  <c r="G70" i="34" s="1"/>
  <c r="F774" i="3"/>
  <c r="F70" i="34" s="1"/>
  <c r="E774" i="3"/>
  <c r="E70" i="34" s="1"/>
  <c r="D774" i="3"/>
  <c r="D70" i="34" s="1"/>
  <c r="C774" i="3"/>
  <c r="C70" i="34" s="1"/>
  <c r="B774" i="3"/>
  <c r="B70" i="34" s="1"/>
  <c r="A774" i="3"/>
  <c r="B3331" i="44" s="1"/>
  <c r="F3331" i="44" s="1"/>
  <c r="S773" i="3"/>
  <c r="S69" i="34" s="1"/>
  <c r="K773" i="3"/>
  <c r="K69" i="34" s="1"/>
  <c r="G773" i="3"/>
  <c r="G69" i="34" s="1"/>
  <c r="F773" i="3"/>
  <c r="F69" i="34" s="1"/>
  <c r="E773" i="3"/>
  <c r="E69" i="34" s="1"/>
  <c r="D773" i="3"/>
  <c r="D69" i="34" s="1"/>
  <c r="C773" i="3"/>
  <c r="C69" i="34" s="1"/>
  <c r="B773" i="3"/>
  <c r="B69" i="34" s="1"/>
  <c r="A773" i="3"/>
  <c r="A69" i="34" s="1"/>
  <c r="S772" i="3"/>
  <c r="S68" i="34" s="1"/>
  <c r="K772" i="3"/>
  <c r="K68" i="34" s="1"/>
  <c r="G772" i="3"/>
  <c r="G68" i="34" s="1"/>
  <c r="F772" i="3"/>
  <c r="F68" i="34" s="1"/>
  <c r="E772" i="3"/>
  <c r="D772" i="3"/>
  <c r="D68" i="34" s="1"/>
  <c r="C772" i="3"/>
  <c r="C68" i="34" s="1"/>
  <c r="B772" i="3"/>
  <c r="B68" i="34" s="1"/>
  <c r="A772" i="3"/>
  <c r="A68" i="34" s="1"/>
  <c r="S771" i="3"/>
  <c r="S67" i="34" s="1"/>
  <c r="K771" i="3"/>
  <c r="K67" i="34" s="1"/>
  <c r="G771" i="3"/>
  <c r="G67" i="34" s="1"/>
  <c r="F771" i="3"/>
  <c r="F67" i="34" s="1"/>
  <c r="E771" i="3"/>
  <c r="E67" i="34" s="1"/>
  <c r="D771" i="3"/>
  <c r="D67" i="34" s="1"/>
  <c r="C771" i="3"/>
  <c r="C67" i="34" s="1"/>
  <c r="B771" i="3"/>
  <c r="A771" i="3"/>
  <c r="B3328" i="44" s="1"/>
  <c r="F3328" i="44" s="1"/>
  <c r="S770" i="3"/>
  <c r="K770" i="3"/>
  <c r="K66" i="34" s="1"/>
  <c r="G770" i="3"/>
  <c r="G66" i="34" s="1"/>
  <c r="F770" i="3"/>
  <c r="E770" i="3"/>
  <c r="E66" i="34" s="1"/>
  <c r="D770" i="3"/>
  <c r="D66" i="34" s="1"/>
  <c r="C770" i="3"/>
  <c r="C66" i="34" s="1"/>
  <c r="B770" i="3"/>
  <c r="B66" i="34" s="1"/>
  <c r="A770" i="3"/>
  <c r="B3228" i="44" s="1"/>
  <c r="F3228" i="44" s="1"/>
  <c r="S769" i="3"/>
  <c r="S65" i="34" s="1"/>
  <c r="K769" i="3"/>
  <c r="K65" i="34" s="1"/>
  <c r="G769" i="3"/>
  <c r="G65" i="34" s="1"/>
  <c r="F769" i="3"/>
  <c r="F65" i="34" s="1"/>
  <c r="E769" i="3"/>
  <c r="E65" i="34" s="1"/>
  <c r="D769" i="3"/>
  <c r="D65" i="34" s="1"/>
  <c r="C769" i="3"/>
  <c r="B769" i="3"/>
  <c r="B65" i="34" s="1"/>
  <c r="A769" i="3"/>
  <c r="B3326" i="44" s="1"/>
  <c r="F3326" i="44" s="1"/>
  <c r="S768" i="3"/>
  <c r="S64" i="34" s="1"/>
  <c r="K768" i="3"/>
  <c r="K64" i="34" s="1"/>
  <c r="G768" i="3"/>
  <c r="G64" i="34" s="1"/>
  <c r="F768" i="3"/>
  <c r="F64" i="34" s="1"/>
  <c r="E768" i="3"/>
  <c r="E64" i="34" s="1"/>
  <c r="D768" i="3"/>
  <c r="D64" i="34" s="1"/>
  <c r="C768" i="3"/>
  <c r="B768" i="3"/>
  <c r="B64" i="34" s="1"/>
  <c r="A768" i="3"/>
  <c r="B3226" i="44" s="1"/>
  <c r="F3226" i="44" s="1"/>
  <c r="S767" i="3"/>
  <c r="S63" i="34" s="1"/>
  <c r="K767" i="3"/>
  <c r="K63" i="34" s="1"/>
  <c r="G767" i="3"/>
  <c r="G63" i="34" s="1"/>
  <c r="F767" i="3"/>
  <c r="E767" i="3"/>
  <c r="E63" i="34" s="1"/>
  <c r="D767" i="3"/>
  <c r="D63" i="34" s="1"/>
  <c r="C767" i="3"/>
  <c r="C63" i="34" s="1"/>
  <c r="B767" i="3"/>
  <c r="B63" i="34" s="1"/>
  <c r="A767" i="3"/>
  <c r="B3324" i="44" s="1"/>
  <c r="F3324" i="44" s="1"/>
  <c r="S766" i="3"/>
  <c r="S62" i="34" s="1"/>
  <c r="K766" i="3"/>
  <c r="K62" i="34" s="1"/>
  <c r="G766" i="3"/>
  <c r="G62" i="34" s="1"/>
  <c r="F766" i="3"/>
  <c r="F62" i="34" s="1"/>
  <c r="E766" i="3"/>
  <c r="E62" i="34" s="1"/>
  <c r="D766" i="3"/>
  <c r="D62" i="34" s="1"/>
  <c r="C766" i="3"/>
  <c r="C62" i="34" s="1"/>
  <c r="B766" i="3"/>
  <c r="S765" i="3"/>
  <c r="S61" i="34" s="1"/>
  <c r="K765" i="3"/>
  <c r="K61" i="34" s="1"/>
  <c r="G765" i="3"/>
  <c r="G61" i="34" s="1"/>
  <c r="F765" i="3"/>
  <c r="F61" i="34" s="1"/>
  <c r="E765" i="3"/>
  <c r="E61" i="34" s="1"/>
  <c r="D765" i="3"/>
  <c r="D61" i="34" s="1"/>
  <c r="C765" i="3"/>
  <c r="C61" i="34" s="1"/>
  <c r="B765" i="3"/>
  <c r="B61" i="34" s="1"/>
  <c r="A765" i="3"/>
  <c r="B3223" i="44" s="1"/>
  <c r="F3223" i="44" s="1"/>
  <c r="S764" i="3"/>
  <c r="K764" i="3"/>
  <c r="K60" i="34" s="1"/>
  <c r="G764" i="3"/>
  <c r="G60" i="34" s="1"/>
  <c r="F764" i="3"/>
  <c r="F60" i="34" s="1"/>
  <c r="E764" i="3"/>
  <c r="D764" i="3"/>
  <c r="D60" i="34" s="1"/>
  <c r="C764" i="3"/>
  <c r="C60" i="34" s="1"/>
  <c r="B764" i="3"/>
  <c r="B60" i="34" s="1"/>
  <c r="S763" i="3"/>
  <c r="S59" i="34" s="1"/>
  <c r="K763" i="3"/>
  <c r="K59" i="34" s="1"/>
  <c r="G763" i="3"/>
  <c r="G59" i="34" s="1"/>
  <c r="F763" i="3"/>
  <c r="F59" i="34" s="1"/>
  <c r="E763" i="3"/>
  <c r="E59" i="34" s="1"/>
  <c r="D763" i="3"/>
  <c r="D59" i="34" s="1"/>
  <c r="C763" i="3"/>
  <c r="C59" i="34" s="1"/>
  <c r="B763" i="3"/>
  <c r="B59" i="34" s="1"/>
  <c r="A763" i="3"/>
  <c r="A59" i="34" s="1"/>
  <c r="S762" i="3"/>
  <c r="S58" i="34" s="1"/>
  <c r="K762" i="3"/>
  <c r="K58" i="34" s="1"/>
  <c r="G762" i="3"/>
  <c r="G58" i="34" s="1"/>
  <c r="F762" i="3"/>
  <c r="F58" i="34" s="1"/>
  <c r="E762" i="3"/>
  <c r="E58" i="34" s="1"/>
  <c r="D762" i="3"/>
  <c r="D58" i="34" s="1"/>
  <c r="C762" i="3"/>
  <c r="C58" i="34" s="1"/>
  <c r="B762" i="3"/>
  <c r="B58" i="34" s="1"/>
  <c r="A762" i="3"/>
  <c r="B3220" i="44" s="1"/>
  <c r="F3220" i="44" s="1"/>
  <c r="S761" i="3"/>
  <c r="S57" i="34" s="1"/>
  <c r="K761" i="3"/>
  <c r="K57" i="34" s="1"/>
  <c r="G761" i="3"/>
  <c r="G57" i="34" s="1"/>
  <c r="F761" i="3"/>
  <c r="F57" i="34" s="1"/>
  <c r="E761" i="3"/>
  <c r="E57" i="34" s="1"/>
  <c r="D761" i="3"/>
  <c r="D57" i="34" s="1"/>
  <c r="C761" i="3"/>
  <c r="C57" i="34" s="1"/>
  <c r="B761" i="3"/>
  <c r="B57" i="34" s="1"/>
  <c r="A761" i="3"/>
  <c r="B3318" i="44" s="1"/>
  <c r="F3318" i="44" s="1"/>
  <c r="S760" i="3"/>
  <c r="S56" i="34" s="1"/>
  <c r="K760" i="3"/>
  <c r="K56" i="34" s="1"/>
  <c r="G760" i="3"/>
  <c r="G56" i="34" s="1"/>
  <c r="F760" i="3"/>
  <c r="F56" i="34" s="1"/>
  <c r="E760" i="3"/>
  <c r="E56" i="34" s="1"/>
  <c r="D760" i="3"/>
  <c r="D56" i="34" s="1"/>
  <c r="C760" i="3"/>
  <c r="C56" i="34" s="1"/>
  <c r="B760" i="3"/>
  <c r="B56" i="34" s="1"/>
  <c r="A760" i="3"/>
  <c r="S759" i="3"/>
  <c r="S55" i="34" s="1"/>
  <c r="K759" i="3"/>
  <c r="K55" i="34" s="1"/>
  <c r="G759" i="3"/>
  <c r="G55" i="34" s="1"/>
  <c r="F759" i="3"/>
  <c r="E759" i="3"/>
  <c r="E55" i="34" s="1"/>
  <c r="D759" i="3"/>
  <c r="D55" i="34" s="1"/>
  <c r="C759" i="3"/>
  <c r="C55" i="34" s="1"/>
  <c r="B759" i="3"/>
  <c r="B55" i="34" s="1"/>
  <c r="A759" i="3"/>
  <c r="S758" i="3"/>
  <c r="S54" i="34" s="1"/>
  <c r="K758" i="3"/>
  <c r="K54" i="34" s="1"/>
  <c r="G758" i="3"/>
  <c r="G54" i="34" s="1"/>
  <c r="F758" i="3"/>
  <c r="F54" i="34" s="1"/>
  <c r="E758" i="3"/>
  <c r="E54" i="34" s="1"/>
  <c r="D758" i="3"/>
  <c r="D54" i="34" s="1"/>
  <c r="C758" i="3"/>
  <c r="C54" i="34" s="1"/>
  <c r="B758" i="3"/>
  <c r="B54" i="34" s="1"/>
  <c r="A758" i="3"/>
  <c r="B3315" i="44" s="1"/>
  <c r="F3315" i="44" s="1"/>
  <c r="S757" i="3"/>
  <c r="S53" i="34" s="1"/>
  <c r="K757" i="3"/>
  <c r="K53" i="34" s="1"/>
  <c r="G757" i="3"/>
  <c r="G53" i="34" s="1"/>
  <c r="F757" i="3"/>
  <c r="F53" i="34" s="1"/>
  <c r="E757" i="3"/>
  <c r="E53" i="34" s="1"/>
  <c r="D757" i="3"/>
  <c r="D53" i="34" s="1"/>
  <c r="C757" i="3"/>
  <c r="C53" i="34" s="1"/>
  <c r="B757" i="3"/>
  <c r="B53" i="34" s="1"/>
  <c r="A757" i="3"/>
  <c r="B3314" i="44" s="1"/>
  <c r="F3314" i="44" s="1"/>
  <c r="S756" i="3"/>
  <c r="S52" i="34" s="1"/>
  <c r="K756" i="3"/>
  <c r="K52" i="34" s="1"/>
  <c r="G756" i="3"/>
  <c r="G52" i="34" s="1"/>
  <c r="F756" i="3"/>
  <c r="F52" i="34" s="1"/>
  <c r="E756" i="3"/>
  <c r="E52" i="34" s="1"/>
  <c r="D756" i="3"/>
  <c r="D52" i="34" s="1"/>
  <c r="C756" i="3"/>
  <c r="C52" i="34" s="1"/>
  <c r="B756" i="3"/>
  <c r="B52" i="34" s="1"/>
  <c r="A756" i="3"/>
  <c r="S755" i="3"/>
  <c r="S51" i="34" s="1"/>
  <c r="K755" i="3"/>
  <c r="K51" i="34" s="1"/>
  <c r="G755" i="3"/>
  <c r="G51" i="34" s="1"/>
  <c r="F755" i="3"/>
  <c r="F51" i="34" s="1"/>
  <c r="E755" i="3"/>
  <c r="E51" i="34" s="1"/>
  <c r="D755" i="3"/>
  <c r="D51" i="34" s="1"/>
  <c r="C755" i="3"/>
  <c r="C51" i="34" s="1"/>
  <c r="B755" i="3"/>
  <c r="B51" i="34" s="1"/>
  <c r="A755" i="3"/>
  <c r="B3213" i="44" s="1"/>
  <c r="F3213" i="44" s="1"/>
  <c r="S754" i="3"/>
  <c r="S50" i="34" s="1"/>
  <c r="K754" i="3"/>
  <c r="K50" i="34" s="1"/>
  <c r="G754" i="3"/>
  <c r="G50" i="34" s="1"/>
  <c r="F754" i="3"/>
  <c r="E754" i="3"/>
  <c r="E50" i="34" s="1"/>
  <c r="D754" i="3"/>
  <c r="D50" i="34" s="1"/>
  <c r="C754" i="3"/>
  <c r="C50" i="34" s="1"/>
  <c r="B754" i="3"/>
  <c r="B50" i="34" s="1"/>
  <c r="A754" i="3"/>
  <c r="S753" i="3"/>
  <c r="K753" i="3"/>
  <c r="K49" i="34" s="1"/>
  <c r="G753" i="3"/>
  <c r="G49" i="34" s="1"/>
  <c r="F753" i="3"/>
  <c r="E753" i="3"/>
  <c r="E49" i="34" s="1"/>
  <c r="D753" i="3"/>
  <c r="D49" i="34" s="1"/>
  <c r="C753" i="3"/>
  <c r="C49" i="34" s="1"/>
  <c r="B753" i="3"/>
  <c r="B49" i="34" s="1"/>
  <c r="A753" i="3"/>
  <c r="B3211" i="44" s="1"/>
  <c r="F3211" i="44" s="1"/>
  <c r="S752" i="3"/>
  <c r="S48" i="34" s="1"/>
  <c r="K752" i="3"/>
  <c r="K48" i="34" s="1"/>
  <c r="G752" i="3"/>
  <c r="G48" i="34" s="1"/>
  <c r="F752" i="3"/>
  <c r="E752" i="3"/>
  <c r="E48" i="34" s="1"/>
  <c r="D752" i="3"/>
  <c r="D48" i="34" s="1"/>
  <c r="C752" i="3"/>
  <c r="C48" i="34" s="1"/>
  <c r="B752" i="3"/>
  <c r="B48" i="34" s="1"/>
  <c r="A752" i="3"/>
  <c r="A48" i="34" s="1"/>
  <c r="S751" i="3"/>
  <c r="S47" i="34" s="1"/>
  <c r="K751" i="3"/>
  <c r="K47" i="34" s="1"/>
  <c r="G751" i="3"/>
  <c r="G47" i="34" s="1"/>
  <c r="F751" i="3"/>
  <c r="F47" i="34" s="1"/>
  <c r="E751" i="3"/>
  <c r="E47" i="34" s="1"/>
  <c r="D751" i="3"/>
  <c r="D47" i="34" s="1"/>
  <c r="C751" i="3"/>
  <c r="C47" i="34" s="1"/>
  <c r="B751" i="3"/>
  <c r="B47" i="34" s="1"/>
  <c r="A751" i="3"/>
  <c r="B3308" i="44" s="1"/>
  <c r="F3308" i="44" s="1"/>
  <c r="S750" i="3"/>
  <c r="S46" i="34" s="1"/>
  <c r="K750" i="3"/>
  <c r="K46" i="34" s="1"/>
  <c r="G750" i="3"/>
  <c r="G46" i="34" s="1"/>
  <c r="F750" i="3"/>
  <c r="F46" i="34" s="1"/>
  <c r="E750" i="3"/>
  <c r="E46" i="34" s="1"/>
  <c r="D750" i="3"/>
  <c r="D46" i="34" s="1"/>
  <c r="C750" i="3"/>
  <c r="B750" i="3"/>
  <c r="B46" i="34" s="1"/>
  <c r="A750" i="3"/>
  <c r="B3208" i="44" s="1"/>
  <c r="F3208" i="44" s="1"/>
  <c r="S749" i="3"/>
  <c r="S45" i="34" s="1"/>
  <c r="K749" i="3"/>
  <c r="K45" i="34" s="1"/>
  <c r="G749" i="3"/>
  <c r="G45" i="34" s="1"/>
  <c r="F749" i="3"/>
  <c r="E749" i="3"/>
  <c r="E45" i="34" s="1"/>
  <c r="D749" i="3"/>
  <c r="D45" i="34" s="1"/>
  <c r="C749" i="3"/>
  <c r="C45" i="34" s="1"/>
  <c r="B749" i="3"/>
  <c r="B45" i="34" s="1"/>
  <c r="A749" i="3"/>
  <c r="S748" i="3"/>
  <c r="S44" i="34" s="1"/>
  <c r="K748" i="3"/>
  <c r="K44" i="34" s="1"/>
  <c r="G748" i="3"/>
  <c r="G44" i="34" s="1"/>
  <c r="F748" i="3"/>
  <c r="F44" i="34" s="1"/>
  <c r="E748" i="3"/>
  <c r="E44" i="34" s="1"/>
  <c r="D748" i="3"/>
  <c r="D44" i="34" s="1"/>
  <c r="C748" i="3"/>
  <c r="C44" i="34" s="1"/>
  <c r="B748" i="3"/>
  <c r="A748" i="3"/>
  <c r="B3206" i="44" s="1"/>
  <c r="F3206" i="44" s="1"/>
  <c r="S747" i="3"/>
  <c r="S43" i="34" s="1"/>
  <c r="K747" i="3"/>
  <c r="K43" i="34" s="1"/>
  <c r="G747" i="3"/>
  <c r="G43" i="34" s="1"/>
  <c r="F747" i="3"/>
  <c r="F43" i="34" s="1"/>
  <c r="E747" i="3"/>
  <c r="D747" i="3"/>
  <c r="D43" i="34" s="1"/>
  <c r="C747" i="3"/>
  <c r="C43" i="34" s="1"/>
  <c r="B747" i="3"/>
  <c r="B43" i="34" s="1"/>
  <c r="A747" i="3"/>
  <c r="B3304" i="44" s="1"/>
  <c r="F3304" i="44" s="1"/>
  <c r="S746" i="3"/>
  <c r="S42" i="34" s="1"/>
  <c r="K746" i="3"/>
  <c r="K42" i="34" s="1"/>
  <c r="G746" i="3"/>
  <c r="G42" i="34" s="1"/>
  <c r="F746" i="3"/>
  <c r="F42" i="34" s="1"/>
  <c r="E746" i="3"/>
  <c r="E42" i="34" s="1"/>
  <c r="D746" i="3"/>
  <c r="D42" i="34" s="1"/>
  <c r="C746" i="3"/>
  <c r="C42" i="34" s="1"/>
  <c r="B746" i="3"/>
  <c r="B42" i="34" s="1"/>
  <c r="A746" i="3"/>
  <c r="B3303" i="44" s="1"/>
  <c r="F3303" i="44" s="1"/>
  <c r="S745" i="3"/>
  <c r="S41" i="34" s="1"/>
  <c r="K745" i="3"/>
  <c r="K41" i="34" s="1"/>
  <c r="G745" i="3"/>
  <c r="G41" i="34" s="1"/>
  <c r="F745" i="3"/>
  <c r="F41" i="34" s="1"/>
  <c r="E745" i="3"/>
  <c r="E41" i="34" s="1"/>
  <c r="D745" i="3"/>
  <c r="D41" i="34" s="1"/>
  <c r="C745" i="3"/>
  <c r="C41" i="34" s="1"/>
  <c r="B745" i="3"/>
  <c r="B41" i="34" s="1"/>
  <c r="A745" i="3"/>
  <c r="S744" i="3"/>
  <c r="K744" i="3"/>
  <c r="K40" i="34" s="1"/>
  <c r="G744" i="3"/>
  <c r="G40" i="34" s="1"/>
  <c r="F744" i="3"/>
  <c r="E744" i="3"/>
  <c r="E40" i="34" s="1"/>
  <c r="D744" i="3"/>
  <c r="D40" i="34" s="1"/>
  <c r="C744" i="3"/>
  <c r="C40" i="34" s="1"/>
  <c r="B744" i="3"/>
  <c r="B40" i="34" s="1"/>
  <c r="A744" i="3"/>
  <c r="A40" i="34" s="1"/>
  <c r="S743" i="3"/>
  <c r="S39" i="34" s="1"/>
  <c r="K743" i="3"/>
  <c r="K39" i="34" s="1"/>
  <c r="G743" i="3"/>
  <c r="G39" i="34" s="1"/>
  <c r="F743" i="3"/>
  <c r="E743" i="3"/>
  <c r="E39" i="34" s="1"/>
  <c r="D743" i="3"/>
  <c r="D39" i="34" s="1"/>
  <c r="C743" i="3"/>
  <c r="C39" i="34" s="1"/>
  <c r="B743" i="3"/>
  <c r="B39" i="34" s="1"/>
  <c r="A743" i="3"/>
  <c r="B3201" i="44" s="1"/>
  <c r="F3201" i="44" s="1"/>
  <c r="S742" i="3"/>
  <c r="S38" i="34" s="1"/>
  <c r="K742" i="3"/>
  <c r="K38" i="34" s="1"/>
  <c r="G742" i="3"/>
  <c r="G38" i="34" s="1"/>
  <c r="F742" i="3"/>
  <c r="F38" i="34" s="1"/>
  <c r="E742" i="3"/>
  <c r="E38" i="34" s="1"/>
  <c r="D742" i="3"/>
  <c r="D38" i="34" s="1"/>
  <c r="C742" i="3"/>
  <c r="C38" i="34" s="1"/>
  <c r="B742" i="3"/>
  <c r="A742" i="3"/>
  <c r="S741" i="3"/>
  <c r="S37" i="34" s="1"/>
  <c r="K741" i="3"/>
  <c r="K37" i="34" s="1"/>
  <c r="G741" i="3"/>
  <c r="G37" i="34" s="1"/>
  <c r="F741" i="3"/>
  <c r="F37" i="34" s="1"/>
  <c r="E741" i="3"/>
  <c r="D741" i="3"/>
  <c r="D37" i="34" s="1"/>
  <c r="C741" i="3"/>
  <c r="C37" i="34" s="1"/>
  <c r="B741" i="3"/>
  <c r="B37" i="34" s="1"/>
  <c r="A741" i="3"/>
  <c r="B3199" i="44" s="1"/>
  <c r="F3199" i="44" s="1"/>
  <c r="S740" i="3"/>
  <c r="K740" i="3"/>
  <c r="K36" i="34" s="1"/>
  <c r="G740" i="3"/>
  <c r="G36" i="34" s="1"/>
  <c r="F740" i="3"/>
  <c r="F36" i="34" s="1"/>
  <c r="E740" i="3"/>
  <c r="E36" i="34" s="1"/>
  <c r="D740" i="3"/>
  <c r="D36" i="34" s="1"/>
  <c r="C740" i="3"/>
  <c r="C36" i="34" s="1"/>
  <c r="B740" i="3"/>
  <c r="B36" i="34" s="1"/>
  <c r="A740" i="3"/>
  <c r="A36" i="34" s="1"/>
  <c r="S739" i="3"/>
  <c r="S35" i="34" s="1"/>
  <c r="K739" i="3"/>
  <c r="K35" i="34" s="1"/>
  <c r="G739" i="3"/>
  <c r="G35" i="34" s="1"/>
  <c r="F739" i="3"/>
  <c r="F35" i="34" s="1"/>
  <c r="E739" i="3"/>
  <c r="E35" i="34" s="1"/>
  <c r="D739" i="3"/>
  <c r="D35" i="34" s="1"/>
  <c r="C739" i="3"/>
  <c r="C35" i="34" s="1"/>
  <c r="B739" i="3"/>
  <c r="B35" i="34" s="1"/>
  <c r="A739" i="3"/>
  <c r="A35" i="34" s="1"/>
  <c r="S738" i="3"/>
  <c r="S34" i="34" s="1"/>
  <c r="K738" i="3"/>
  <c r="K34" i="34" s="1"/>
  <c r="G738" i="3"/>
  <c r="G34" i="34" s="1"/>
  <c r="F738" i="3"/>
  <c r="F34" i="34" s="1"/>
  <c r="E738" i="3"/>
  <c r="E34" i="34" s="1"/>
  <c r="D738" i="3"/>
  <c r="D34" i="34" s="1"/>
  <c r="C738" i="3"/>
  <c r="C34" i="34" s="1"/>
  <c r="B738" i="3"/>
  <c r="A738" i="3"/>
  <c r="A34" i="34" s="1"/>
  <c r="S737" i="3"/>
  <c r="K737" i="3"/>
  <c r="K33" i="34" s="1"/>
  <c r="G737" i="3"/>
  <c r="G33" i="34" s="1"/>
  <c r="F737" i="3"/>
  <c r="F33" i="34" s="1"/>
  <c r="E737" i="3"/>
  <c r="E33" i="34" s="1"/>
  <c r="D737" i="3"/>
  <c r="D33" i="34" s="1"/>
  <c r="C737" i="3"/>
  <c r="C33" i="34" s="1"/>
  <c r="B737" i="3"/>
  <c r="B33" i="34" s="1"/>
  <c r="A737" i="3"/>
  <c r="B3294" i="44" s="1"/>
  <c r="F3294" i="44" s="1"/>
  <c r="S736" i="3"/>
  <c r="S32" i="34" s="1"/>
  <c r="K736" i="3"/>
  <c r="K32" i="34" s="1"/>
  <c r="G736" i="3"/>
  <c r="G32" i="34" s="1"/>
  <c r="F736" i="3"/>
  <c r="E736" i="3"/>
  <c r="E32" i="34" s="1"/>
  <c r="D736" i="3"/>
  <c r="D32" i="34" s="1"/>
  <c r="C736" i="3"/>
  <c r="B736" i="3"/>
  <c r="B32" i="34" s="1"/>
  <c r="A736" i="3"/>
  <c r="B3293" i="44" s="1"/>
  <c r="F3293" i="44" s="1"/>
  <c r="S735" i="3"/>
  <c r="K735" i="3"/>
  <c r="K31" i="34" s="1"/>
  <c r="G735" i="3"/>
  <c r="G31" i="34" s="1"/>
  <c r="F735" i="3"/>
  <c r="F31" i="34" s="1"/>
  <c r="E735" i="3"/>
  <c r="D735" i="3"/>
  <c r="D31" i="34" s="1"/>
  <c r="C735" i="3"/>
  <c r="B735" i="3"/>
  <c r="B31" i="34" s="1"/>
  <c r="A735" i="3"/>
  <c r="S734" i="3"/>
  <c r="S30" i="34" s="1"/>
  <c r="K734" i="3"/>
  <c r="K30" i="34" s="1"/>
  <c r="G734" i="3"/>
  <c r="G30" i="34" s="1"/>
  <c r="F734" i="3"/>
  <c r="E734" i="3"/>
  <c r="E30" i="34" s="1"/>
  <c r="D734" i="3"/>
  <c r="D30" i="34" s="1"/>
  <c r="C734" i="3"/>
  <c r="C30" i="34" s="1"/>
  <c r="B734" i="3"/>
  <c r="B30" i="34" s="1"/>
  <c r="A734" i="3"/>
  <c r="B3192" i="44" s="1"/>
  <c r="F3192" i="44" s="1"/>
  <c r="S733" i="3"/>
  <c r="S29" i="34" s="1"/>
  <c r="K733" i="3"/>
  <c r="K29" i="34" s="1"/>
  <c r="G733" i="3"/>
  <c r="G29" i="34" s="1"/>
  <c r="F733" i="3"/>
  <c r="F29" i="34" s="1"/>
  <c r="E733" i="3"/>
  <c r="E29" i="34" s="1"/>
  <c r="D733" i="3"/>
  <c r="D29" i="34" s="1"/>
  <c r="C733" i="3"/>
  <c r="C29" i="34" s="1"/>
  <c r="B733" i="3"/>
  <c r="A733" i="3"/>
  <c r="B3191" i="44" s="1"/>
  <c r="F3191" i="44" s="1"/>
  <c r="S732" i="3"/>
  <c r="S28" i="34" s="1"/>
  <c r="K732" i="3"/>
  <c r="K28" i="34" s="1"/>
  <c r="G732" i="3"/>
  <c r="G28" i="34" s="1"/>
  <c r="F732" i="3"/>
  <c r="F28" i="34" s="1"/>
  <c r="E732" i="3"/>
  <c r="E28" i="34" s="1"/>
  <c r="D732" i="3"/>
  <c r="D28" i="34" s="1"/>
  <c r="C732" i="3"/>
  <c r="C28" i="34" s="1"/>
  <c r="B732" i="3"/>
  <c r="B28" i="34" s="1"/>
  <c r="A732" i="3"/>
  <c r="A28" i="34" s="1"/>
  <c r="S731" i="3"/>
  <c r="S27" i="34" s="1"/>
  <c r="K731" i="3"/>
  <c r="K27" i="34" s="1"/>
  <c r="G731" i="3"/>
  <c r="G27" i="34" s="1"/>
  <c r="F731" i="3"/>
  <c r="F27" i="34" s="1"/>
  <c r="E731" i="3"/>
  <c r="E27" i="34" s="1"/>
  <c r="D731" i="3"/>
  <c r="D27" i="34" s="1"/>
  <c r="C731" i="3"/>
  <c r="C27" i="34" s="1"/>
  <c r="B731" i="3"/>
  <c r="B27" i="34" s="1"/>
  <c r="A731" i="3"/>
  <c r="S730" i="3"/>
  <c r="S26" i="34" s="1"/>
  <c r="K730" i="3"/>
  <c r="K26" i="34" s="1"/>
  <c r="G730" i="3"/>
  <c r="G26" i="34" s="1"/>
  <c r="F730" i="3"/>
  <c r="F26" i="34" s="1"/>
  <c r="E730" i="3"/>
  <c r="E26" i="34" s="1"/>
  <c r="D730" i="3"/>
  <c r="D26" i="34" s="1"/>
  <c r="C730" i="3"/>
  <c r="C26" i="34" s="1"/>
  <c r="B730" i="3"/>
  <c r="A730" i="3"/>
  <c r="B3287" i="44" s="1"/>
  <c r="F3287" i="44" s="1"/>
  <c r="S729" i="3"/>
  <c r="S25" i="34" s="1"/>
  <c r="K729" i="3"/>
  <c r="K25" i="34" s="1"/>
  <c r="G729" i="3"/>
  <c r="G25" i="34" s="1"/>
  <c r="F729" i="3"/>
  <c r="F25" i="34" s="1"/>
  <c r="E729" i="3"/>
  <c r="E25" i="34" s="1"/>
  <c r="D729" i="3"/>
  <c r="D25" i="34" s="1"/>
  <c r="C729" i="3"/>
  <c r="C25" i="34" s="1"/>
  <c r="B729" i="3"/>
  <c r="B25" i="34" s="1"/>
  <c r="A729" i="3"/>
  <c r="S728" i="3"/>
  <c r="S24" i="34" s="1"/>
  <c r="K728" i="3"/>
  <c r="K24" i="34" s="1"/>
  <c r="G728" i="3"/>
  <c r="G24" i="34" s="1"/>
  <c r="F728" i="3"/>
  <c r="F24" i="34" s="1"/>
  <c r="E728" i="3"/>
  <c r="E24" i="34" s="1"/>
  <c r="D728" i="3"/>
  <c r="D24" i="34" s="1"/>
  <c r="C728" i="3"/>
  <c r="C24" i="34" s="1"/>
  <c r="B728" i="3"/>
  <c r="B24" i="34" s="1"/>
  <c r="A728" i="3"/>
  <c r="B3285" i="44" s="1"/>
  <c r="F3285" i="44" s="1"/>
  <c r="S727" i="3"/>
  <c r="S23" i="34" s="1"/>
  <c r="K727" i="3"/>
  <c r="K23" i="34" s="1"/>
  <c r="G727" i="3"/>
  <c r="G23" i="34" s="1"/>
  <c r="F727" i="3"/>
  <c r="F23" i="34" s="1"/>
  <c r="E727" i="3"/>
  <c r="E23" i="34" s="1"/>
  <c r="D727" i="3"/>
  <c r="D23" i="34" s="1"/>
  <c r="C727" i="3"/>
  <c r="C23" i="34" s="1"/>
  <c r="B727" i="3"/>
  <c r="B23" i="34" s="1"/>
  <c r="A727" i="3"/>
  <c r="A23" i="34" s="1"/>
  <c r="S726" i="3"/>
  <c r="S22" i="34" s="1"/>
  <c r="K726" i="3"/>
  <c r="K22" i="34" s="1"/>
  <c r="G726" i="3"/>
  <c r="G22" i="34" s="1"/>
  <c r="F726" i="3"/>
  <c r="F22" i="34" s="1"/>
  <c r="E726" i="3"/>
  <c r="E22" i="34" s="1"/>
  <c r="D726" i="3"/>
  <c r="D22" i="34" s="1"/>
  <c r="C726" i="3"/>
  <c r="C22" i="34" s="1"/>
  <c r="B726" i="3"/>
  <c r="B22" i="34" s="1"/>
  <c r="A726" i="3"/>
  <c r="B3283" i="44" s="1"/>
  <c r="F3283" i="44" s="1"/>
  <c r="S725" i="3"/>
  <c r="K725" i="3"/>
  <c r="K21" i="34" s="1"/>
  <c r="G725" i="3"/>
  <c r="G21" i="34" s="1"/>
  <c r="F725" i="3"/>
  <c r="F21" i="34" s="1"/>
  <c r="E725" i="3"/>
  <c r="E21" i="34" s="1"/>
  <c r="D725" i="3"/>
  <c r="D21" i="34" s="1"/>
  <c r="C725" i="3"/>
  <c r="C21" i="34" s="1"/>
  <c r="B725" i="3"/>
  <c r="A725" i="3"/>
  <c r="S724" i="3"/>
  <c r="S20" i="34" s="1"/>
  <c r="K724" i="3"/>
  <c r="K20" i="34" s="1"/>
  <c r="G724" i="3"/>
  <c r="G20" i="34" s="1"/>
  <c r="F724" i="3"/>
  <c r="E724" i="3"/>
  <c r="E20" i="34" s="1"/>
  <c r="D724" i="3"/>
  <c r="D20" i="34" s="1"/>
  <c r="C724" i="3"/>
  <c r="C20" i="34" s="1"/>
  <c r="B724" i="3"/>
  <c r="B20" i="34" s="1"/>
  <c r="A724" i="3"/>
  <c r="B3182" i="44" s="1"/>
  <c r="F3182" i="44" s="1"/>
  <c r="S723" i="3"/>
  <c r="S19" i="34" s="1"/>
  <c r="K723" i="3"/>
  <c r="K19" i="34" s="1"/>
  <c r="G723" i="3"/>
  <c r="G19" i="34" s="1"/>
  <c r="F723" i="3"/>
  <c r="F19" i="34" s="1"/>
  <c r="E723" i="3"/>
  <c r="E19" i="34" s="1"/>
  <c r="D723" i="3"/>
  <c r="D19" i="34" s="1"/>
  <c r="C723" i="3"/>
  <c r="C19" i="34" s="1"/>
  <c r="B723" i="3"/>
  <c r="B19" i="34" s="1"/>
  <c r="A723" i="3"/>
  <c r="A19" i="34" s="1"/>
  <c r="S722" i="3"/>
  <c r="K722" i="3"/>
  <c r="K18" i="34" s="1"/>
  <c r="G722" i="3"/>
  <c r="G18" i="34" s="1"/>
  <c r="F722" i="3"/>
  <c r="F18" i="34" s="1"/>
  <c r="E722" i="3"/>
  <c r="E18" i="34" s="1"/>
  <c r="D722" i="3"/>
  <c r="D18" i="34" s="1"/>
  <c r="C722" i="3"/>
  <c r="C18" i="34" s="1"/>
  <c r="B722" i="3"/>
  <c r="B18" i="34" s="1"/>
  <c r="A722" i="3"/>
  <c r="A18" i="34" s="1"/>
  <c r="S721" i="3"/>
  <c r="S17" i="34" s="1"/>
  <c r="K721" i="3"/>
  <c r="K17" i="34" s="1"/>
  <c r="G721" i="3"/>
  <c r="G17" i="34" s="1"/>
  <c r="F721" i="3"/>
  <c r="F17" i="34" s="1"/>
  <c r="E721" i="3"/>
  <c r="E17" i="34" s="1"/>
  <c r="D721" i="3"/>
  <c r="D17" i="34" s="1"/>
  <c r="C721" i="3"/>
  <c r="B721" i="3"/>
  <c r="B17" i="34" s="1"/>
  <c r="A721" i="3"/>
  <c r="B3278" i="44" s="1"/>
  <c r="F3278" i="44" s="1"/>
  <c r="S720" i="3"/>
  <c r="S16" i="34" s="1"/>
  <c r="K720" i="3"/>
  <c r="K16" i="34" s="1"/>
  <c r="G720" i="3"/>
  <c r="G16" i="34" s="1"/>
  <c r="F720" i="3"/>
  <c r="F16" i="34" s="1"/>
  <c r="E720" i="3"/>
  <c r="E16" i="34" s="1"/>
  <c r="D720" i="3"/>
  <c r="D16" i="34" s="1"/>
  <c r="C720" i="3"/>
  <c r="B720" i="3"/>
  <c r="B16" i="34" s="1"/>
  <c r="A720" i="3"/>
  <c r="B3178" i="44" s="1"/>
  <c r="F3178" i="44" s="1"/>
  <c r="S719" i="3"/>
  <c r="S15" i="34" s="1"/>
  <c r="K719" i="3"/>
  <c r="K15" i="34" s="1"/>
  <c r="G719" i="3"/>
  <c r="G15" i="34" s="1"/>
  <c r="F719" i="3"/>
  <c r="F15" i="34" s="1"/>
  <c r="E719" i="3"/>
  <c r="E15" i="34" s="1"/>
  <c r="D719" i="3"/>
  <c r="D15" i="34" s="1"/>
  <c r="C719" i="3"/>
  <c r="C15" i="34" s="1"/>
  <c r="B719" i="3"/>
  <c r="B15" i="34" s="1"/>
  <c r="A719" i="3"/>
  <c r="B3276" i="44" s="1"/>
  <c r="F3276" i="44" s="1"/>
  <c r="S718" i="3"/>
  <c r="K718" i="3"/>
  <c r="K14" i="34" s="1"/>
  <c r="G718" i="3"/>
  <c r="G14" i="34" s="1"/>
  <c r="F718" i="3"/>
  <c r="F14" i="34" s="1"/>
  <c r="E718" i="3"/>
  <c r="E14" i="34" s="1"/>
  <c r="D718" i="3"/>
  <c r="D14" i="34" s="1"/>
  <c r="C718" i="3"/>
  <c r="B718" i="3"/>
  <c r="B14" i="34" s="1"/>
  <c r="A718" i="3"/>
  <c r="B3275" i="44" s="1"/>
  <c r="F3275" i="44" s="1"/>
  <c r="S717" i="3"/>
  <c r="S13" i="34" s="1"/>
  <c r="K717" i="3"/>
  <c r="K13" i="34" s="1"/>
  <c r="G717" i="3"/>
  <c r="G13" i="34" s="1"/>
  <c r="F717" i="3"/>
  <c r="F13" i="34" s="1"/>
  <c r="E717" i="3"/>
  <c r="E13" i="34" s="1"/>
  <c r="D717" i="3"/>
  <c r="D13" i="34" s="1"/>
  <c r="C717" i="3"/>
  <c r="C13" i="34" s="1"/>
  <c r="B717" i="3"/>
  <c r="B13" i="34" s="1"/>
  <c r="A717" i="3"/>
  <c r="B3175" i="44" s="1"/>
  <c r="F3175" i="44" s="1"/>
  <c r="S716" i="3"/>
  <c r="S12" i="34" s="1"/>
  <c r="K716" i="3"/>
  <c r="K12" i="34" s="1"/>
  <c r="G716" i="3"/>
  <c r="G12" i="34" s="1"/>
  <c r="E716" i="3"/>
  <c r="E12" i="34" s="1"/>
  <c r="D716" i="3"/>
  <c r="D12" i="34" s="1"/>
  <c r="C716" i="3"/>
  <c r="C12" i="34" s="1"/>
  <c r="B716" i="3"/>
  <c r="B12" i="34" s="1"/>
  <c r="A716" i="3"/>
  <c r="B3174" i="44" s="1"/>
  <c r="F3174" i="44" s="1"/>
  <c r="S715" i="3"/>
  <c r="S11" i="34" s="1"/>
  <c r="K715" i="3"/>
  <c r="K11" i="34" s="1"/>
  <c r="G715" i="3"/>
  <c r="G11" i="34" s="1"/>
  <c r="F715" i="3"/>
  <c r="F11" i="34" s="1"/>
  <c r="E715" i="3"/>
  <c r="E11" i="34" s="1"/>
  <c r="D715" i="3"/>
  <c r="D11" i="34" s="1"/>
  <c r="C715" i="3"/>
  <c r="C11" i="34" s="1"/>
  <c r="B715" i="3"/>
  <c r="A715" i="3"/>
  <c r="B3272" i="44" s="1"/>
  <c r="F3272" i="44" s="1"/>
  <c r="S714" i="3"/>
  <c r="S10" i="34" s="1"/>
  <c r="K714" i="3"/>
  <c r="K10" i="34" s="1"/>
  <c r="G714" i="3"/>
  <c r="G10" i="34" s="1"/>
  <c r="F714" i="3"/>
  <c r="F10" i="34" s="1"/>
  <c r="E714" i="3"/>
  <c r="D714" i="3"/>
  <c r="D10" i="34" s="1"/>
  <c r="C714" i="3"/>
  <c r="C10" i="34" s="1"/>
  <c r="B714" i="3"/>
  <c r="B10" i="34" s="1"/>
  <c r="A714" i="3"/>
  <c r="S713" i="3"/>
  <c r="S9" i="34" s="1"/>
  <c r="K713" i="3"/>
  <c r="K9" i="34" s="1"/>
  <c r="G713" i="3"/>
  <c r="G9" i="34" s="1"/>
  <c r="F713" i="3"/>
  <c r="F9" i="34" s="1"/>
  <c r="E713" i="3"/>
  <c r="E9" i="34" s="1"/>
  <c r="D713" i="3"/>
  <c r="D9" i="34" s="1"/>
  <c r="C713" i="3"/>
  <c r="C9" i="34" s="1"/>
  <c r="B713" i="3"/>
  <c r="B9" i="34" s="1"/>
  <c r="A713" i="3"/>
  <c r="A9" i="34" s="1"/>
  <c r="S712" i="3"/>
  <c r="S8" i="34" s="1"/>
  <c r="K712" i="3"/>
  <c r="K8" i="34" s="1"/>
  <c r="G712" i="3"/>
  <c r="G8" i="34" s="1"/>
  <c r="F712" i="3"/>
  <c r="E712" i="3"/>
  <c r="E8" i="34" s="1"/>
  <c r="D712" i="3"/>
  <c r="D8" i="34" s="1"/>
  <c r="C712" i="3"/>
  <c r="C8" i="34" s="1"/>
  <c r="B712" i="3"/>
  <c r="A712" i="3"/>
  <c r="B3269" i="44" s="1"/>
  <c r="F3269" i="44" s="1"/>
  <c r="S711" i="3"/>
  <c r="S7" i="34" s="1"/>
  <c r="K711" i="3"/>
  <c r="K7" i="34" s="1"/>
  <c r="G711" i="3"/>
  <c r="G7" i="34" s="1"/>
  <c r="F711" i="3"/>
  <c r="F7" i="34" s="1"/>
  <c r="E711" i="3"/>
  <c r="E7" i="34" s="1"/>
  <c r="D711" i="3"/>
  <c r="D7" i="34" s="1"/>
  <c r="C711" i="3"/>
  <c r="C7" i="34" s="1"/>
  <c r="B711" i="3"/>
  <c r="A711" i="3"/>
  <c r="B3169" i="44" s="1"/>
  <c r="F3169" i="44" s="1"/>
  <c r="A710" i="3"/>
  <c r="B3168" i="44" s="1"/>
  <c r="F3168" i="44" s="1"/>
  <c r="A709" i="3"/>
  <c r="A5" i="34" s="1"/>
  <c r="S710" i="3"/>
  <c r="S6" i="34" s="1"/>
  <c r="K710" i="3"/>
  <c r="K6" i="34" s="1"/>
  <c r="G710" i="3"/>
  <c r="G6" i="34" s="1"/>
  <c r="F710" i="3"/>
  <c r="E710" i="3"/>
  <c r="E6" i="34" s="1"/>
  <c r="D710" i="3"/>
  <c r="D6" i="34" s="1"/>
  <c r="C710" i="3"/>
  <c r="B710" i="3"/>
  <c r="B6" i="34" s="1"/>
  <c r="S709" i="3"/>
  <c r="S5" i="34" s="1"/>
  <c r="M709" i="3"/>
  <c r="M5" i="34" s="1"/>
  <c r="G709" i="3"/>
  <c r="G5" i="34" s="1"/>
  <c r="F709" i="3"/>
  <c r="F5" i="34" s="1"/>
  <c r="E709" i="3"/>
  <c r="E5" i="34" s="1"/>
  <c r="D709" i="3"/>
  <c r="D5" i="34" s="1"/>
  <c r="C709" i="3"/>
  <c r="C5" i="34" s="1"/>
  <c r="B709" i="3"/>
  <c r="B5" i="34" s="1"/>
  <c r="B868" i="3"/>
  <c r="B867" i="3"/>
  <c r="B558" i="3"/>
  <c r="C558" i="3" s="1"/>
  <c r="B618" i="3"/>
  <c r="E70" i="24" s="1"/>
  <c r="B655" i="3"/>
  <c r="L64" i="3"/>
  <c r="D104" i="25" s="1"/>
  <c r="L65" i="3"/>
  <c r="D105" i="25" s="1"/>
  <c r="L66" i="3"/>
  <c r="D106" i="25" s="1"/>
  <c r="L67" i="3"/>
  <c r="D107" i="25" s="1"/>
  <c r="L68" i="3"/>
  <c r="D108" i="25" s="1"/>
  <c r="B540" i="3"/>
  <c r="C540" i="3" s="1"/>
  <c r="B534" i="3"/>
  <c r="B360" i="3"/>
  <c r="G15" i="52" s="1"/>
  <c r="B110" i="3" a="1"/>
  <c r="B110" i="3" s="1"/>
  <c r="B342" i="3"/>
  <c r="B165" i="3"/>
  <c r="B163" i="3"/>
  <c r="A165" i="3"/>
  <c r="B160" i="3"/>
  <c r="A160" i="3"/>
  <c r="B159" i="3"/>
  <c r="A159" i="3"/>
  <c r="B158" i="3"/>
  <c r="A158" i="3"/>
  <c r="B157" i="3"/>
  <c r="A157" i="3"/>
  <c r="B156" i="3"/>
  <c r="A156" i="3"/>
  <c r="B155" i="3"/>
  <c r="A155" i="3"/>
  <c r="A154" i="3"/>
  <c r="D151" i="3"/>
  <c r="E151" i="3" s="1"/>
  <c r="C151" i="3"/>
  <c r="B151" i="3"/>
  <c r="A151" i="3"/>
  <c r="D150" i="3"/>
  <c r="E150" i="3" s="1"/>
  <c r="C150" i="3"/>
  <c r="B150" i="3"/>
  <c r="A150" i="3"/>
  <c r="D149" i="3"/>
  <c r="C149" i="3"/>
  <c r="B149" i="3"/>
  <c r="A149" i="3"/>
  <c r="A148" i="3"/>
  <c r="A128" i="3"/>
  <c r="A134" i="3"/>
  <c r="A133" i="3"/>
  <c r="A132" i="3"/>
  <c r="A131" i="3"/>
  <c r="A130" i="3"/>
  <c r="A129" i="3"/>
  <c r="A122" i="3"/>
  <c r="C331" i="3"/>
  <c r="B59" i="6"/>
  <c r="B49" i="6"/>
  <c r="B34" i="6"/>
  <c r="C267" i="5" s="1"/>
  <c r="B22" i="6"/>
  <c r="B12" i="6"/>
  <c r="C330" i="3"/>
  <c r="B355" i="3"/>
  <c r="D106" i="24" s="1"/>
  <c r="B347" i="3"/>
  <c r="B368" i="3" s="1"/>
  <c r="C7" i="5"/>
  <c r="B362" i="3"/>
  <c r="D88" i="24" s="1"/>
  <c r="B352" i="3"/>
  <c r="D125" i="3"/>
  <c r="C125" i="3"/>
  <c r="A125" i="3"/>
  <c r="D124" i="3"/>
  <c r="C124" i="3"/>
  <c r="A124" i="3"/>
  <c r="D123" i="3"/>
  <c r="C123" i="3"/>
  <c r="A123" i="3"/>
  <c r="D302" i="3"/>
  <c r="F18" i="25" s="1"/>
  <c r="D301" i="3"/>
  <c r="D300" i="3"/>
  <c r="F16" i="25" s="1"/>
  <c r="B99" i="3" a="1"/>
  <c r="B99" i="3" s="1"/>
  <c r="A71" i="12"/>
  <c r="A190" i="5" s="1"/>
  <c r="A70" i="12"/>
  <c r="A189" i="5" s="1"/>
  <c r="A62" i="12"/>
  <c r="A61" i="12"/>
  <c r="A182" i="5" s="1"/>
  <c r="A60" i="12"/>
  <c r="A181" i="5" s="1"/>
  <c r="A48" i="12"/>
  <c r="A171" i="5" s="1"/>
  <c r="A47" i="12"/>
  <c r="A170" i="5" s="1"/>
  <c r="A46" i="12"/>
  <c r="A169" i="5" s="1"/>
  <c r="A45" i="12"/>
  <c r="A168" i="5" s="1"/>
  <c r="A15" i="12"/>
  <c r="A14" i="12"/>
  <c r="A34" i="12"/>
  <c r="A33" i="12"/>
  <c r="A158" i="5" s="1"/>
  <c r="A32" i="12"/>
  <c r="A157" i="5" s="1"/>
  <c r="B48" i="9"/>
  <c r="B41" i="9"/>
  <c r="C842" i="5" s="1"/>
  <c r="B40" i="9"/>
  <c r="C841" i="5" s="1"/>
  <c r="B39" i="9"/>
  <c r="C840" i="5" s="1"/>
  <c r="K99" i="3"/>
  <c r="J99" i="3"/>
  <c r="I99" i="3"/>
  <c r="H99" i="3"/>
  <c r="G99" i="3"/>
  <c r="C87" i="3"/>
  <c r="B87" i="3"/>
  <c r="M104" i="16"/>
  <c r="L104" i="16"/>
  <c r="I104" i="16"/>
  <c r="H104" i="16"/>
  <c r="G104" i="16"/>
  <c r="F104" i="16"/>
  <c r="E104" i="16"/>
  <c r="D104" i="16"/>
  <c r="A23" i="11"/>
  <c r="K191" i="3" s="1"/>
  <c r="A151" i="30" s="1"/>
  <c r="A32" i="11"/>
  <c r="K200" i="3" s="1"/>
  <c r="A160" i="30" s="1"/>
  <c r="A31" i="11"/>
  <c r="K199" i="3" s="1"/>
  <c r="A159" i="30" s="1"/>
  <c r="A89" i="11"/>
  <c r="K258" i="3" s="1"/>
  <c r="A217" i="30" s="1"/>
  <c r="A121" i="10"/>
  <c r="A442" i="5" s="1"/>
  <c r="A105" i="10"/>
  <c r="A430" i="5" s="1"/>
  <c r="A104" i="10"/>
  <c r="A103" i="10"/>
  <c r="A97" i="10"/>
  <c r="A424" i="5" s="1"/>
  <c r="A76" i="10"/>
  <c r="A62" i="10"/>
  <c r="A61" i="10"/>
  <c r="A42" i="10"/>
  <c r="A41" i="10"/>
  <c r="A40" i="10"/>
  <c r="A373" i="5" s="1"/>
  <c r="A26" i="10"/>
  <c r="A361" i="5" s="1"/>
  <c r="A25" i="10"/>
  <c r="A24" i="10"/>
  <c r="A359" i="5" s="1"/>
  <c r="C57" i="9"/>
  <c r="C58" i="9"/>
  <c r="C49" i="9"/>
  <c r="C42" i="9"/>
  <c r="C36" i="9"/>
  <c r="B72" i="12"/>
  <c r="B63" i="12"/>
  <c r="B49" i="12"/>
  <c r="C35" i="12"/>
  <c r="C49" i="12"/>
  <c r="C63" i="12"/>
  <c r="B35" i="12"/>
  <c r="C34" i="11"/>
  <c r="M202" i="3" s="1"/>
  <c r="E162" i="30" s="1"/>
  <c r="B34" i="11"/>
  <c r="L202" i="3" s="1"/>
  <c r="B162" i="30" s="1"/>
  <c r="C64" i="11"/>
  <c r="M233" i="3" s="1"/>
  <c r="E192" i="30" s="1"/>
  <c r="B64" i="11"/>
  <c r="L233" i="3" s="1"/>
  <c r="B192" i="30" s="1"/>
  <c r="B687" i="3"/>
  <c r="B686" i="3"/>
  <c r="B685" i="3"/>
  <c r="B683" i="3"/>
  <c r="B684" i="3"/>
  <c r="B682" i="3"/>
  <c r="B681" i="3"/>
  <c r="B680" i="3"/>
  <c r="B678" i="3"/>
  <c r="C97" i="11"/>
  <c r="M266" i="3" s="1"/>
  <c r="E225" i="30" s="1"/>
  <c r="C98" i="11"/>
  <c r="M267" i="3" s="1"/>
  <c r="E226" i="30" s="1"/>
  <c r="B98" i="11"/>
  <c r="L267" i="3" s="1"/>
  <c r="C770" i="5" s="1"/>
  <c r="B97" i="11"/>
  <c r="L266" i="3" s="1"/>
  <c r="B225" i="30" s="1"/>
  <c r="C90" i="11"/>
  <c r="M259" i="3" s="1"/>
  <c r="E218" i="30" s="1"/>
  <c r="B90" i="11"/>
  <c r="L259" i="3" s="1"/>
  <c r="B218" i="30" s="1"/>
  <c r="C84" i="11"/>
  <c r="M253" i="3" s="1"/>
  <c r="E212" i="30" s="1"/>
  <c r="B84" i="11"/>
  <c r="L253" i="3" s="1"/>
  <c r="B212" i="30" s="1"/>
  <c r="C76" i="11"/>
  <c r="M245" i="3" s="1"/>
  <c r="E204" i="30" s="1"/>
  <c r="B76" i="11"/>
  <c r="L245" i="3" s="1"/>
  <c r="B204" i="30" s="1"/>
  <c r="C51" i="11"/>
  <c r="M219" i="3" s="1"/>
  <c r="E179" i="30" s="1"/>
  <c r="B51" i="11"/>
  <c r="L219" i="3" s="1"/>
  <c r="B179" i="30" s="1"/>
  <c r="C24" i="11"/>
  <c r="M192" i="3" s="1"/>
  <c r="E152" i="30" s="1"/>
  <c r="B24" i="11"/>
  <c r="L192" i="3" s="1"/>
  <c r="B152" i="30" s="1"/>
  <c r="C11" i="11"/>
  <c r="M179" i="3" s="1"/>
  <c r="E139" i="30" s="1"/>
  <c r="B11" i="11"/>
  <c r="L179" i="3" s="1"/>
  <c r="B139" i="30" s="1"/>
  <c r="C7" i="11"/>
  <c r="M175" i="3" s="1"/>
  <c r="E135" i="30" s="1"/>
  <c r="B7" i="11"/>
  <c r="L175" i="3" s="1"/>
  <c r="B135" i="30" s="1"/>
  <c r="E124" i="10"/>
  <c r="D124" i="10"/>
  <c r="C124" i="10"/>
  <c r="B124" i="10"/>
  <c r="F27" i="10"/>
  <c r="E27" i="10"/>
  <c r="D27" i="10"/>
  <c r="C27" i="10"/>
  <c r="B27" i="10"/>
  <c r="F43" i="10"/>
  <c r="E43" i="10"/>
  <c r="D43" i="10"/>
  <c r="C43" i="10"/>
  <c r="B43" i="10"/>
  <c r="F63" i="10"/>
  <c r="E63" i="10"/>
  <c r="D63" i="10"/>
  <c r="C63" i="10"/>
  <c r="B63" i="10"/>
  <c r="E79" i="10"/>
  <c r="B79" i="10"/>
  <c r="F98" i="10"/>
  <c r="E98" i="10"/>
  <c r="D98" i="10"/>
  <c r="C98" i="10"/>
  <c r="B98" i="10"/>
  <c r="E106" i="10"/>
  <c r="B106" i="10"/>
  <c r="F115" i="10"/>
  <c r="E115" i="10"/>
  <c r="D115" i="10"/>
  <c r="C115" i="10"/>
  <c r="B115" i="10"/>
  <c r="E123" i="10"/>
  <c r="E291" i="3" s="1"/>
  <c r="B123" i="10"/>
  <c r="E11" i="10"/>
  <c r="E179" i="3" s="1"/>
  <c r="E13" i="30" s="1"/>
  <c r="D11" i="10"/>
  <c r="D346" i="5" s="1"/>
  <c r="C11" i="10"/>
  <c r="B11" i="10"/>
  <c r="D7" i="10"/>
  <c r="F7" i="10"/>
  <c r="E7" i="10"/>
  <c r="E175" i="3" s="1"/>
  <c r="E9" i="30" s="1"/>
  <c r="C7" i="10"/>
  <c r="B7" i="10"/>
  <c r="B695" i="3"/>
  <c r="B694" i="3"/>
  <c r="B693" i="3"/>
  <c r="B692" i="3"/>
  <c r="B679" i="3"/>
  <c r="B27" i="3"/>
  <c r="B119" i="30"/>
  <c r="C255" i="24"/>
  <c r="C248" i="24"/>
  <c r="C244" i="24"/>
  <c r="C242" i="24"/>
  <c r="C240" i="24"/>
  <c r="C236" i="24"/>
  <c r="C232" i="24"/>
  <c r="C228" i="24"/>
  <c r="C224" i="24"/>
  <c r="E211" i="32"/>
  <c r="D269" i="24"/>
  <c r="E207" i="32"/>
  <c r="D267" i="24"/>
  <c r="D265" i="24"/>
  <c r="E203" i="32"/>
  <c r="D261" i="24"/>
  <c r="E199" i="32"/>
  <c r="D257" i="24"/>
  <c r="E195" i="32"/>
  <c r="D253" i="24"/>
  <c r="E191" i="32"/>
  <c r="D249" i="24"/>
  <c r="E187" i="32"/>
  <c r="D245" i="24"/>
  <c r="E183" i="32"/>
  <c r="D241" i="24"/>
  <c r="E179" i="32"/>
  <c r="D237" i="24"/>
  <c r="E175" i="32"/>
  <c r="D235" i="24"/>
  <c r="D233" i="24"/>
  <c r="D229" i="24"/>
  <c r="E167" i="32"/>
  <c r="D225" i="24"/>
  <c r="E163" i="32"/>
  <c r="D221" i="24"/>
  <c r="E159" i="32"/>
  <c r="G173" i="32"/>
  <c r="B205" i="32"/>
  <c r="B200" i="32"/>
  <c r="B251" i="24"/>
  <c r="B188" i="32"/>
  <c r="B185" i="32"/>
  <c r="B181" i="32"/>
  <c r="B227" i="24"/>
  <c r="B164" i="32"/>
  <c r="B225" i="24"/>
  <c r="B223" i="24"/>
  <c r="F264" i="24"/>
  <c r="F227" i="24"/>
  <c r="F249" i="24"/>
  <c r="E247" i="24"/>
  <c r="E234" i="24"/>
  <c r="E273" i="24"/>
  <c r="E265" i="24"/>
  <c r="E261" i="24"/>
  <c r="E257" i="24"/>
  <c r="E249" i="24"/>
  <c r="G913" i="3"/>
  <c r="H237" i="24" s="1"/>
  <c r="C220" i="24"/>
  <c r="D217" i="24"/>
  <c r="B219" i="24"/>
  <c r="E236" i="24"/>
  <c r="B208" i="30"/>
  <c r="E211" i="30"/>
  <c r="B32" i="30"/>
  <c r="C175" i="3"/>
  <c r="C9" i="30" s="1"/>
  <c r="B109" i="30"/>
  <c r="B410" i="3"/>
  <c r="D162" i="24" s="1"/>
  <c r="E64" i="44"/>
  <c r="H192" i="3" l="1"/>
  <c r="H26" i="30" s="1"/>
  <c r="I227" i="3"/>
  <c r="H227" i="3"/>
  <c r="C5" i="53"/>
  <c r="C5" i="50"/>
  <c r="D5" i="52"/>
  <c r="C5" i="51"/>
  <c r="C4" i="49"/>
  <c r="K30" i="49"/>
  <c r="J34" i="51"/>
  <c r="C34" i="51"/>
  <c r="J30" i="49"/>
  <c r="B854" i="3"/>
  <c r="G844" i="3" s="1"/>
  <c r="D119" i="25" s="1"/>
  <c r="K29" i="49"/>
  <c r="J33" i="51"/>
  <c r="C33" i="51"/>
  <c r="J29" i="49"/>
  <c r="G841" i="3"/>
  <c r="B25" i="19"/>
  <c r="B144" i="3" s="1"/>
  <c r="B24" i="19"/>
  <c r="B143" i="3" s="1"/>
  <c r="F625" i="3"/>
  <c r="E68" i="24"/>
  <c r="B22" i="19"/>
  <c r="B298" i="3"/>
  <c r="E269" i="24"/>
  <c r="F270" i="24"/>
  <c r="F363" i="3"/>
  <c r="D95" i="24" s="1"/>
  <c r="C491" i="3"/>
  <c r="C596" i="3"/>
  <c r="C597" i="3"/>
  <c r="C595" i="3"/>
  <c r="C594" i="3"/>
  <c r="C593" i="3"/>
  <c r="C598" i="3"/>
  <c r="B24" i="25"/>
  <c r="E253" i="24"/>
  <c r="G941" i="3"/>
  <c r="H265" i="24" s="1"/>
  <c r="B183" i="32"/>
  <c r="H110" i="44"/>
  <c r="A110" i="44" s="1"/>
  <c r="H109" i="44"/>
  <c r="A109" i="44" s="1"/>
  <c r="D96" i="24"/>
  <c r="A245" i="3"/>
  <c r="A78" i="30" s="1"/>
  <c r="J1823" i="44"/>
  <c r="H236" i="44"/>
  <c r="F181" i="32"/>
  <c r="B182" i="32"/>
  <c r="B240" i="24"/>
  <c r="B236" i="24"/>
  <c r="A822" i="5"/>
  <c r="C839" i="5"/>
  <c r="H1400" i="44"/>
  <c r="A1400" i="44" s="1"/>
  <c r="H1408" i="44"/>
  <c r="A1408" i="44" s="1"/>
  <c r="H1407" i="44"/>
  <c r="A1407" i="44" s="1"/>
  <c r="H1401" i="44"/>
  <c r="A1401" i="44" s="1"/>
  <c r="H1403" i="44"/>
  <c r="A1403" i="44" s="1"/>
  <c r="H1402" i="44"/>
  <c r="A1402" i="44" s="1"/>
  <c r="H1404" i="44"/>
  <c r="A1404" i="44" s="1"/>
  <c r="H1405" i="44"/>
  <c r="A1405" i="44" s="1"/>
  <c r="H1406" i="44"/>
  <c r="A1406" i="44" s="1"/>
  <c r="F180" i="32"/>
  <c r="C181" i="32"/>
  <c r="C177" i="32"/>
  <c r="A821" i="5"/>
  <c r="C838" i="5"/>
  <c r="A831" i="5"/>
  <c r="C843" i="5"/>
  <c r="F178" i="32"/>
  <c r="C180" i="32"/>
  <c r="C176" i="32"/>
  <c r="C234" i="24"/>
  <c r="C230" i="24"/>
  <c r="F177" i="32"/>
  <c r="B242" i="24"/>
  <c r="B176" i="32"/>
  <c r="C183" i="32"/>
  <c r="C179" i="32"/>
  <c r="C175" i="32"/>
  <c r="F182" i="32"/>
  <c r="C182" i="32"/>
  <c r="C178" i="32"/>
  <c r="D953" i="44"/>
  <c r="D957" i="44"/>
  <c r="D961" i="44"/>
  <c r="D965" i="44"/>
  <c r="D958" i="44"/>
  <c r="D967" i="44"/>
  <c r="D960" i="44"/>
  <c r="D954" i="44"/>
  <c r="D962" i="44"/>
  <c r="D966" i="44"/>
  <c r="D963" i="44"/>
  <c r="D956" i="44"/>
  <c r="D955" i="44"/>
  <c r="D959" i="44"/>
  <c r="D964" i="44"/>
  <c r="D977" i="44"/>
  <c r="A147" i="44"/>
  <c r="C142" i="5"/>
  <c r="R397" i="3"/>
  <c r="B210" i="32"/>
  <c r="B244" i="24"/>
  <c r="G898" i="3"/>
  <c r="H222" i="24" s="1"/>
  <c r="F189" i="32"/>
  <c r="D1083" i="44"/>
  <c r="D945" i="44"/>
  <c r="A953" i="5"/>
  <c r="F268" i="24"/>
  <c r="E144" i="24"/>
  <c r="F143" i="24"/>
  <c r="D144" i="24"/>
  <c r="F144" i="24"/>
  <c r="B152" i="3"/>
  <c r="D63" i="24"/>
  <c r="A93" i="34"/>
  <c r="C144" i="24"/>
  <c r="H143" i="24"/>
  <c r="E172" i="32"/>
  <c r="B123" i="30"/>
  <c r="B291" i="3"/>
  <c r="I71" i="24" s="1"/>
  <c r="A159" i="5"/>
  <c r="A183" i="5"/>
  <c r="C246" i="24"/>
  <c r="G921" i="3"/>
  <c r="H245" i="24" s="1"/>
  <c r="F257" i="3"/>
  <c r="F90" i="30" s="1"/>
  <c r="C238" i="24"/>
  <c r="G916" i="3"/>
  <c r="H240" i="24" s="1"/>
  <c r="F260" i="24"/>
  <c r="G254" i="3"/>
  <c r="G87" i="30" s="1"/>
  <c r="G235" i="3"/>
  <c r="G68" i="30" s="1"/>
  <c r="G224" i="3"/>
  <c r="G58" i="30" s="1"/>
  <c r="G216" i="3"/>
  <c r="G50" i="30" s="1"/>
  <c r="G198" i="3"/>
  <c r="G32" i="30" s="1"/>
  <c r="G188" i="3"/>
  <c r="G22" i="30" s="1"/>
  <c r="G177" i="3"/>
  <c r="G11" i="30" s="1"/>
  <c r="G253" i="3"/>
  <c r="G86" i="30" s="1"/>
  <c r="G223" i="3"/>
  <c r="G57" i="30" s="1"/>
  <c r="G215" i="3"/>
  <c r="G49" i="30" s="1"/>
  <c r="G205" i="3"/>
  <c r="G39" i="30" s="1"/>
  <c r="G197" i="3"/>
  <c r="G31" i="30" s="1"/>
  <c r="B406" i="3"/>
  <c r="D157" i="24" s="1"/>
  <c r="G187" i="3"/>
  <c r="G21" i="30" s="1"/>
  <c r="G174" i="3"/>
  <c r="G8" i="30" s="1"/>
  <c r="B69" i="30"/>
  <c r="G236" i="3"/>
  <c r="G69" i="30" s="1"/>
  <c r="G260" i="3"/>
  <c r="G93" i="30" s="1"/>
  <c r="G233" i="3"/>
  <c r="G66" i="30" s="1"/>
  <c r="G222" i="3"/>
  <c r="G56" i="30" s="1"/>
  <c r="G214" i="3"/>
  <c r="G48" i="30" s="1"/>
  <c r="G204" i="3"/>
  <c r="G38" i="30" s="1"/>
  <c r="G186" i="3"/>
  <c r="G20" i="30" s="1"/>
  <c r="A13" i="34"/>
  <c r="G259" i="3"/>
  <c r="G92" i="30" s="1"/>
  <c r="G251" i="3"/>
  <c r="G84" i="30" s="1"/>
  <c r="B74" i="30"/>
  <c r="G241" i="3"/>
  <c r="G74" i="30" s="1"/>
  <c r="G221" i="3"/>
  <c r="G55" i="30" s="1"/>
  <c r="G203" i="3"/>
  <c r="G37" i="30" s="1"/>
  <c r="G185" i="3"/>
  <c r="G19" i="30" s="1"/>
  <c r="G813" i="3"/>
  <c r="A1568" i="44"/>
  <c r="G268" i="3"/>
  <c r="G101" i="30" s="1"/>
  <c r="G258" i="3"/>
  <c r="G91" i="30" s="1"/>
  <c r="G250" i="3"/>
  <c r="G83" i="30" s="1"/>
  <c r="G240" i="3"/>
  <c r="G73" i="30" s="1"/>
  <c r="G220" i="3"/>
  <c r="G54" i="30" s="1"/>
  <c r="B36" i="30"/>
  <c r="G202" i="3"/>
  <c r="G36" i="30" s="1"/>
  <c r="B18" i="30"/>
  <c r="G184" i="3"/>
  <c r="G18" i="30" s="1"/>
  <c r="G285" i="3"/>
  <c r="G118" i="30" s="1"/>
  <c r="B90" i="30"/>
  <c r="G257" i="3"/>
  <c r="G90" i="30" s="1"/>
  <c r="G249" i="3"/>
  <c r="G82" i="30" s="1"/>
  <c r="G239" i="3"/>
  <c r="G72" i="30" s="1"/>
  <c r="G219" i="3"/>
  <c r="G53" i="30" s="1"/>
  <c r="B35" i="30"/>
  <c r="G201" i="3"/>
  <c r="G35" i="30" s="1"/>
  <c r="G183" i="3"/>
  <c r="G17" i="30" s="1"/>
  <c r="G256" i="3"/>
  <c r="G89" i="30" s="1"/>
  <c r="B71" i="30"/>
  <c r="G238" i="3"/>
  <c r="G71" i="30" s="1"/>
  <c r="G218" i="3"/>
  <c r="G52" i="30" s="1"/>
  <c r="G255" i="3"/>
  <c r="G88" i="30" s="1"/>
  <c r="B70" i="30"/>
  <c r="G237" i="3"/>
  <c r="G70" i="30" s="1"/>
  <c r="G217" i="3"/>
  <c r="G51" i="30" s="1"/>
  <c r="B33" i="30"/>
  <c r="G199" i="3"/>
  <c r="G33" i="30" s="1"/>
  <c r="G189" i="3"/>
  <c r="G23" i="30" s="1"/>
  <c r="G178" i="3"/>
  <c r="G276" i="3"/>
  <c r="G109" i="30" s="1"/>
  <c r="D315" i="44"/>
  <c r="G173" i="3"/>
  <c r="G7" i="30" s="1"/>
  <c r="B111" i="30"/>
  <c r="B104" i="30"/>
  <c r="G252" i="3"/>
  <c r="G85" i="30" s="1"/>
  <c r="B67" i="30"/>
  <c r="G234" i="3"/>
  <c r="G67" i="30" s="1"/>
  <c r="G200" i="3"/>
  <c r="G34" i="30" s="1"/>
  <c r="G182" i="3"/>
  <c r="G16" i="30" s="1"/>
  <c r="G172" i="3"/>
  <c r="G6" i="30" s="1"/>
  <c r="B102" i="30"/>
  <c r="B92" i="30"/>
  <c r="B84" i="30"/>
  <c r="B66" i="30"/>
  <c r="B56" i="30"/>
  <c r="B48" i="30"/>
  <c r="B38" i="30"/>
  <c r="B20" i="30"/>
  <c r="B121" i="30"/>
  <c r="B89" i="30"/>
  <c r="B25" i="30"/>
  <c r="B412" i="3"/>
  <c r="D164" i="24" s="1"/>
  <c r="C267" i="24"/>
  <c r="E16" i="30"/>
  <c r="F182" i="3"/>
  <c r="F16" i="30" s="1"/>
  <c r="E34" i="30"/>
  <c r="F200" i="3"/>
  <c r="F34" i="30" s="1"/>
  <c r="E52" i="30"/>
  <c r="F218" i="3"/>
  <c r="F52" i="30" s="1"/>
  <c r="E85" i="30"/>
  <c r="F252" i="3"/>
  <c r="F85" i="30" s="1"/>
  <c r="E91" i="30"/>
  <c r="F258" i="3"/>
  <c r="F91" i="30" s="1"/>
  <c r="E118" i="30"/>
  <c r="F285" i="3"/>
  <c r="F118" i="30" s="1"/>
  <c r="B120" i="30"/>
  <c r="B96" i="30"/>
  <c r="B88" i="30"/>
  <c r="B60" i="30"/>
  <c r="B52" i="30"/>
  <c r="B42" i="30"/>
  <c r="B34" i="30"/>
  <c r="B24" i="30"/>
  <c r="B16" i="30"/>
  <c r="E38" i="30"/>
  <c r="F204" i="3"/>
  <c r="F38" i="30" s="1"/>
  <c r="E48" i="30"/>
  <c r="F214" i="3"/>
  <c r="F48" i="30" s="1"/>
  <c r="B114" i="30"/>
  <c r="E21" i="30"/>
  <c r="F187" i="3"/>
  <c r="F21" i="30" s="1"/>
  <c r="E31" i="30"/>
  <c r="F197" i="3"/>
  <c r="F31" i="30" s="1"/>
  <c r="E39" i="30"/>
  <c r="F205" i="3"/>
  <c r="F39" i="30" s="1"/>
  <c r="E49" i="30"/>
  <c r="F215" i="3"/>
  <c r="F49" i="30" s="1"/>
  <c r="E57" i="30"/>
  <c r="F223" i="3"/>
  <c r="F57" i="30" s="1"/>
  <c r="E68" i="30"/>
  <c r="F235" i="3"/>
  <c r="F68" i="30" s="1"/>
  <c r="E72" i="30"/>
  <c r="F239" i="3"/>
  <c r="F72" i="30" s="1"/>
  <c r="E82" i="30"/>
  <c r="F249" i="3"/>
  <c r="F82" i="30" s="1"/>
  <c r="E101" i="30"/>
  <c r="F268" i="3"/>
  <c r="F101" i="30" s="1"/>
  <c r="B3364" i="44"/>
  <c r="F3364" i="44" s="1"/>
  <c r="C271" i="24"/>
  <c r="E125" i="3"/>
  <c r="B384" i="3" s="1"/>
  <c r="C384" i="3" s="1"/>
  <c r="B3270" i="44"/>
  <c r="F3270" i="44" s="1"/>
  <c r="F222" i="24"/>
  <c r="G160" i="32"/>
  <c r="C12" i="32"/>
  <c r="D12" i="32" s="1"/>
  <c r="E12" i="32" s="1"/>
  <c r="F12" i="32" s="1"/>
  <c r="G12" i="32" s="1"/>
  <c r="H12" i="32" s="1"/>
  <c r="I12" i="32" s="1"/>
  <c r="J12" i="32" s="1"/>
  <c r="K12" i="32" s="1"/>
  <c r="L12" i="32" s="1"/>
  <c r="C21" i="32" s="1"/>
  <c r="D21" i="32" s="1"/>
  <c r="E21" i="32" s="1"/>
  <c r="F21" i="32" s="1"/>
  <c r="G21" i="32" s="1"/>
  <c r="E7" i="30"/>
  <c r="F173" i="3"/>
  <c r="F7" i="30" s="1"/>
  <c r="E12" i="30"/>
  <c r="F178" i="3"/>
  <c r="F12" i="30" s="1"/>
  <c r="E19" i="30"/>
  <c r="F185" i="3"/>
  <c r="F19" i="30" s="1"/>
  <c r="E37" i="30"/>
  <c r="F203" i="3"/>
  <c r="F37" i="30" s="1"/>
  <c r="E47" i="30"/>
  <c r="F213" i="3"/>
  <c r="F47" i="30" s="1"/>
  <c r="E55" i="30"/>
  <c r="F221" i="3"/>
  <c r="F55" i="30" s="1"/>
  <c r="E69" i="30"/>
  <c r="F236" i="3"/>
  <c r="F69" i="30" s="1"/>
  <c r="E73" i="30"/>
  <c r="F240" i="3"/>
  <c r="F73" i="30" s="1"/>
  <c r="E88" i="30"/>
  <c r="F255" i="3"/>
  <c r="F88" i="30" s="1"/>
  <c r="B95" i="30"/>
  <c r="B87" i="30"/>
  <c r="B77" i="30"/>
  <c r="B59" i="30"/>
  <c r="B51" i="30"/>
  <c r="B41" i="30"/>
  <c r="B23" i="30"/>
  <c r="B12" i="30"/>
  <c r="C263" i="24"/>
  <c r="F238" i="24"/>
  <c r="E22" i="30"/>
  <c r="F188" i="3"/>
  <c r="F22" i="30" s="1"/>
  <c r="E32" i="30"/>
  <c r="F198" i="3"/>
  <c r="F32" i="30" s="1"/>
  <c r="E50" i="30"/>
  <c r="F216" i="3"/>
  <c r="F50" i="30" s="1"/>
  <c r="E58" i="30"/>
  <c r="F224" i="3"/>
  <c r="F58" i="30" s="1"/>
  <c r="E83" i="30"/>
  <c r="F250" i="3"/>
  <c r="F83" i="30" s="1"/>
  <c r="B94" i="30"/>
  <c r="B86" i="30"/>
  <c r="B68" i="30"/>
  <c r="B58" i="30"/>
  <c r="B50" i="30"/>
  <c r="B411" i="3"/>
  <c r="D163" i="24" s="1"/>
  <c r="B11" i="30"/>
  <c r="E56" i="30"/>
  <c r="F222" i="3"/>
  <c r="F56" i="30" s="1"/>
  <c r="E109" i="30"/>
  <c r="F276" i="3"/>
  <c r="F109" i="30" s="1"/>
  <c r="F254" i="24"/>
  <c r="C251" i="24"/>
  <c r="E8" i="30"/>
  <c r="F174" i="3"/>
  <c r="F8" i="30" s="1"/>
  <c r="E17" i="30"/>
  <c r="F183" i="3"/>
  <c r="F17" i="30" s="1"/>
  <c r="E35" i="30"/>
  <c r="F201" i="3"/>
  <c r="F35" i="30" s="1"/>
  <c r="E53" i="30"/>
  <c r="F219" i="3"/>
  <c r="F53" i="30" s="1"/>
  <c r="E66" i="30"/>
  <c r="F233" i="3"/>
  <c r="F66" i="30" s="1"/>
  <c r="E70" i="30"/>
  <c r="F237" i="3"/>
  <c r="F70" i="30" s="1"/>
  <c r="E74" i="30"/>
  <c r="F241" i="3"/>
  <c r="F74" i="30" s="1"/>
  <c r="E86" i="30"/>
  <c r="F253" i="3"/>
  <c r="F86" i="30" s="1"/>
  <c r="E89" i="30"/>
  <c r="F256" i="3"/>
  <c r="F89" i="30" s="1"/>
  <c r="E92" i="30"/>
  <c r="F259" i="3"/>
  <c r="F92" i="30" s="1"/>
  <c r="B115" i="30"/>
  <c r="B103" i="30"/>
  <c r="B93" i="30"/>
  <c r="B85" i="30"/>
  <c r="B57" i="30"/>
  <c r="B49" i="30"/>
  <c r="B39" i="30"/>
  <c r="B31" i="30"/>
  <c r="B8" i="30"/>
  <c r="E20" i="30"/>
  <c r="F186" i="3"/>
  <c r="F20" i="30" s="1"/>
  <c r="C259" i="24"/>
  <c r="E15" i="30"/>
  <c r="F181" i="3"/>
  <c r="F15" i="30" s="1"/>
  <c r="E23" i="30"/>
  <c r="F189" i="3"/>
  <c r="F23" i="30" s="1"/>
  <c r="E33" i="30"/>
  <c r="F199" i="3"/>
  <c r="F33" i="30" s="1"/>
  <c r="E51" i="30"/>
  <c r="F217" i="3"/>
  <c r="F51" i="30" s="1"/>
  <c r="E67" i="30"/>
  <c r="F234" i="3"/>
  <c r="F67" i="30" s="1"/>
  <c r="E71" i="30"/>
  <c r="F238" i="3"/>
  <c r="F71" i="30" s="1"/>
  <c r="E84" i="30"/>
  <c r="F251" i="3"/>
  <c r="F84" i="30" s="1"/>
  <c r="D55" i="32"/>
  <c r="B101" i="30"/>
  <c r="B91" i="30"/>
  <c r="B83" i="30"/>
  <c r="B73" i="30"/>
  <c r="B55" i="30"/>
  <c r="B37" i="30"/>
  <c r="B19" i="30"/>
  <c r="B429" i="3"/>
  <c r="E11" i="30"/>
  <c r="F177" i="3"/>
  <c r="F11" i="30" s="1"/>
  <c r="E18" i="30"/>
  <c r="F184" i="3"/>
  <c r="F18" i="30" s="1"/>
  <c r="E36" i="30"/>
  <c r="F202" i="3"/>
  <c r="F36" i="30" s="1"/>
  <c r="E54" i="30"/>
  <c r="F220" i="3"/>
  <c r="F54" i="30" s="1"/>
  <c r="E87" i="30"/>
  <c r="F254" i="3"/>
  <c r="F87" i="30" s="1"/>
  <c r="E93" i="30"/>
  <c r="F260" i="3"/>
  <c r="F93" i="30" s="1"/>
  <c r="B122" i="30"/>
  <c r="B82" i="30"/>
  <c r="B72" i="30"/>
  <c r="B54" i="30"/>
  <c r="D396" i="44"/>
  <c r="D397" i="44"/>
  <c r="D398" i="44"/>
  <c r="B862" i="44"/>
  <c r="D863" i="44" s="1"/>
  <c r="D394" i="44"/>
  <c r="D860" i="44"/>
  <c r="D1073" i="44"/>
  <c r="G15" i="30"/>
  <c r="G47" i="30"/>
  <c r="F172" i="3"/>
  <c r="F6" i="30" s="1"/>
  <c r="E255" i="24"/>
  <c r="F243" i="24"/>
  <c r="B226" i="24"/>
  <c r="B238" i="24"/>
  <c r="G189" i="32"/>
  <c r="E165" i="32"/>
  <c r="E197" i="32"/>
  <c r="E152" i="32"/>
  <c r="D234" i="24"/>
  <c r="E164" i="32"/>
  <c r="F168" i="32"/>
  <c r="F160" i="32"/>
  <c r="G152" i="32"/>
  <c r="G172" i="32"/>
  <c r="G164" i="32"/>
  <c r="G156" i="32"/>
  <c r="C171" i="32"/>
  <c r="C167" i="32"/>
  <c r="C163" i="32"/>
  <c r="C159" i="32"/>
  <c r="C155" i="32"/>
  <c r="E263" i="24"/>
  <c r="F259" i="24"/>
  <c r="B180" i="32"/>
  <c r="B266" i="24"/>
  <c r="D227" i="24"/>
  <c r="E155" i="32"/>
  <c r="G905" i="3"/>
  <c r="H229" i="24" s="1"/>
  <c r="G897" i="3"/>
  <c r="H221" i="24" s="1"/>
  <c r="G171" i="32"/>
  <c r="G163" i="32"/>
  <c r="B155" i="32"/>
  <c r="F169" i="32"/>
  <c r="F153" i="32"/>
  <c r="B153" i="32"/>
  <c r="B234" i="24"/>
  <c r="B156" i="32"/>
  <c r="E215" i="24"/>
  <c r="F219" i="24"/>
  <c r="E271" i="24"/>
  <c r="B168" i="32"/>
  <c r="B192" i="32"/>
  <c r="E189" i="32"/>
  <c r="D224" i="24"/>
  <c r="E154" i="32"/>
  <c r="F174" i="32"/>
  <c r="F166" i="32"/>
  <c r="F158" i="32"/>
  <c r="G170" i="32"/>
  <c r="G162" i="32"/>
  <c r="G154" i="32"/>
  <c r="C174" i="32"/>
  <c r="C170" i="32"/>
  <c r="C166" i="32"/>
  <c r="C162" i="32"/>
  <c r="C158" i="32"/>
  <c r="C154" i="32"/>
  <c r="G895" i="3"/>
  <c r="I157" i="32" s="1"/>
  <c r="B160" i="32"/>
  <c r="D231" i="24"/>
  <c r="D223" i="24"/>
  <c r="E153" i="32"/>
  <c r="F173" i="32"/>
  <c r="E227" i="24"/>
  <c r="F157" i="32"/>
  <c r="G169" i="32"/>
  <c r="G161" i="32"/>
  <c r="F215" i="24"/>
  <c r="B174" i="32"/>
  <c r="B232" i="24"/>
  <c r="B166" i="32"/>
  <c r="B224" i="24"/>
  <c r="B220" i="24"/>
  <c r="B154" i="32"/>
  <c r="B230" i="24"/>
  <c r="F172" i="32"/>
  <c r="F164" i="32"/>
  <c r="F156" i="32"/>
  <c r="G168" i="32"/>
  <c r="B214" i="24"/>
  <c r="C173" i="32"/>
  <c r="C169" i="32"/>
  <c r="C165" i="32"/>
  <c r="C161" i="32"/>
  <c r="C157" i="32"/>
  <c r="E239" i="24"/>
  <c r="B222" i="24"/>
  <c r="B196" i="32"/>
  <c r="E181" i="32"/>
  <c r="E231" i="24"/>
  <c r="B172" i="32"/>
  <c r="B246" i="24"/>
  <c r="G157" i="32"/>
  <c r="F171" i="32"/>
  <c r="F155" i="32"/>
  <c r="F221" i="24"/>
  <c r="C214" i="24"/>
  <c r="B235" i="24"/>
  <c r="E157" i="32"/>
  <c r="F161" i="32"/>
  <c r="F235" i="24"/>
  <c r="G165" i="32"/>
  <c r="E173" i="32"/>
  <c r="D236" i="24"/>
  <c r="D228" i="24"/>
  <c r="F170" i="32"/>
  <c r="F162" i="32"/>
  <c r="F154" i="32"/>
  <c r="G174" i="32"/>
  <c r="G166" i="32"/>
  <c r="G158" i="32"/>
  <c r="C153" i="32"/>
  <c r="C172" i="32"/>
  <c r="C168" i="32"/>
  <c r="C164" i="32"/>
  <c r="C160" i="32"/>
  <c r="C156" i="32"/>
  <c r="B3363" i="44"/>
  <c r="F3363" i="44" s="1"/>
  <c r="B161" i="3"/>
  <c r="H1459" i="44"/>
  <c r="A1459" i="44" s="1"/>
  <c r="H1451" i="44"/>
  <c r="A1451" i="44" s="1"/>
  <c r="H1443" i="44"/>
  <c r="A1443" i="44" s="1"/>
  <c r="H1435" i="44"/>
  <c r="A1435" i="44" s="1"/>
  <c r="H1427" i="44"/>
  <c r="A1427" i="44" s="1"/>
  <c r="H1410" i="44"/>
  <c r="A1410" i="44" s="1"/>
  <c r="H1394" i="44"/>
  <c r="A1394" i="44" s="1"/>
  <c r="H1386" i="44"/>
  <c r="A1386" i="44" s="1"/>
  <c r="H1378" i="44"/>
  <c r="A1378" i="44" s="1"/>
  <c r="H1351" i="44"/>
  <c r="A1351" i="44" s="1"/>
  <c r="H1343" i="44"/>
  <c r="A1343" i="44" s="1"/>
  <c r="H1335" i="44"/>
  <c r="A1335" i="44" s="1"/>
  <c r="H1327" i="44"/>
  <c r="A1327" i="44" s="1"/>
  <c r="H1265" i="44"/>
  <c r="A1265" i="44" s="1"/>
  <c r="H1257" i="44"/>
  <c r="A1257" i="44" s="1"/>
  <c r="H1240" i="44"/>
  <c r="A1240" i="44" s="1"/>
  <c r="H1205" i="44"/>
  <c r="A1205" i="44" s="1"/>
  <c r="H1137" i="44"/>
  <c r="H1129" i="44"/>
  <c r="A1129" i="44" s="1"/>
  <c r="H1457" i="44"/>
  <c r="A1457" i="44" s="1"/>
  <c r="H1416" i="44"/>
  <c r="A1416" i="44" s="1"/>
  <c r="H1392" i="44"/>
  <c r="A1392" i="44" s="1"/>
  <c r="H1341" i="44"/>
  <c r="A1341" i="44" s="1"/>
  <c r="H1255" i="44"/>
  <c r="A1255" i="44" s="1"/>
  <c r="H1432" i="44"/>
  <c r="A1432" i="44" s="1"/>
  <c r="H1348" i="44"/>
  <c r="A1348" i="44" s="1"/>
  <c r="H1262" i="44"/>
  <c r="A1262" i="44" s="1"/>
  <c r="H1134" i="44"/>
  <c r="H1458" i="44"/>
  <c r="A1458" i="44" s="1"/>
  <c r="H1450" i="44"/>
  <c r="A1450" i="44" s="1"/>
  <c r="H1442" i="44"/>
  <c r="A1442" i="44" s="1"/>
  <c r="H1434" i="44"/>
  <c r="A1434" i="44" s="1"/>
  <c r="H1417" i="44"/>
  <c r="A1417" i="44" s="1"/>
  <c r="H1409" i="44"/>
  <c r="A1409" i="44" s="1"/>
  <c r="H1393" i="44"/>
  <c r="A1393" i="44" s="1"/>
  <c r="H1385" i="44"/>
  <c r="A1385" i="44" s="1"/>
  <c r="H1377" i="44"/>
  <c r="A1377" i="44" s="1"/>
  <c r="H1350" i="44"/>
  <c r="A1350" i="44" s="1"/>
  <c r="H1342" i="44"/>
  <c r="A1342" i="44" s="1"/>
  <c r="H1334" i="44"/>
  <c r="A1334" i="44" s="1"/>
  <c r="H1272" i="44"/>
  <c r="A1272" i="44" s="1"/>
  <c r="H1264" i="44"/>
  <c r="A1264" i="44" s="1"/>
  <c r="H1256" i="44"/>
  <c r="A1256" i="44" s="1"/>
  <c r="H1239" i="44"/>
  <c r="A1239" i="44" s="1"/>
  <c r="H1204" i="44"/>
  <c r="A1204" i="44" s="1"/>
  <c r="H1136" i="44"/>
  <c r="H1126" i="44"/>
  <c r="A1126" i="44" s="1"/>
  <c r="H1449" i="44"/>
  <c r="A1449" i="44" s="1"/>
  <c r="H1433" i="44"/>
  <c r="A1433" i="44" s="1"/>
  <c r="H1376" i="44"/>
  <c r="A1376" i="44" s="1"/>
  <c r="H1333" i="44"/>
  <c r="A1333" i="44" s="1"/>
  <c r="H1263" i="44"/>
  <c r="A1263" i="44" s="1"/>
  <c r="H1203" i="44"/>
  <c r="A1203" i="44" s="1"/>
  <c r="H1135" i="44"/>
  <c r="H1448" i="44"/>
  <c r="A1448" i="44" s="1"/>
  <c r="H1415" i="44"/>
  <c r="A1415" i="44" s="1"/>
  <c r="H1383" i="44"/>
  <c r="A1383" i="44" s="1"/>
  <c r="H1340" i="44"/>
  <c r="A1340" i="44" s="1"/>
  <c r="H1245" i="44"/>
  <c r="A1245" i="44" s="1"/>
  <c r="H1455" i="44"/>
  <c r="A1455" i="44" s="1"/>
  <c r="H1447" i="44"/>
  <c r="A1447" i="44" s="1"/>
  <c r="H1439" i="44"/>
  <c r="A1439" i="44" s="1"/>
  <c r="H1431" i="44"/>
  <c r="A1431" i="44" s="1"/>
  <c r="H1414" i="44"/>
  <c r="A1414" i="44" s="1"/>
  <c r="H1398" i="44"/>
  <c r="A1398" i="44" s="1"/>
  <c r="H1390" i="44"/>
  <c r="A1390" i="44" s="1"/>
  <c r="H1382" i="44"/>
  <c r="A1382" i="44" s="1"/>
  <c r="H1374" i="44"/>
  <c r="A1374" i="44" s="1"/>
  <c r="H1347" i="44"/>
  <c r="A1347" i="44" s="1"/>
  <c r="H1339" i="44"/>
  <c r="A1339" i="44" s="1"/>
  <c r="H1331" i="44"/>
  <c r="A1331" i="44" s="1"/>
  <c r="H1269" i="44"/>
  <c r="A1269" i="44" s="1"/>
  <c r="H1261" i="44"/>
  <c r="A1261" i="44" s="1"/>
  <c r="H1244" i="44"/>
  <c r="A1244" i="44" s="1"/>
  <c r="H1209" i="44"/>
  <c r="A1209" i="44" s="1"/>
  <c r="H1201" i="44"/>
  <c r="A1201" i="44" s="1"/>
  <c r="H1132" i="44"/>
  <c r="A1132" i="44" s="1"/>
  <c r="H1117" i="44"/>
  <c r="A1117" i="44" s="1"/>
  <c r="H1237" i="44"/>
  <c r="A1237" i="44" s="1"/>
  <c r="H1462" i="44"/>
  <c r="A1462" i="44" s="1"/>
  <c r="H1454" i="44"/>
  <c r="A1454" i="44" s="1"/>
  <c r="H1446" i="44"/>
  <c r="A1446" i="44" s="1"/>
  <c r="H1438" i="44"/>
  <c r="A1438" i="44" s="1"/>
  <c r="H1430" i="44"/>
  <c r="A1430" i="44" s="1"/>
  <c r="H1413" i="44"/>
  <c r="A1413" i="44" s="1"/>
  <c r="H1397" i="44"/>
  <c r="A1397" i="44" s="1"/>
  <c r="H1389" i="44"/>
  <c r="A1389" i="44" s="1"/>
  <c r="H1381" i="44"/>
  <c r="A1381" i="44" s="1"/>
  <c r="H1373" i="44"/>
  <c r="A1373" i="44" s="1"/>
  <c r="H1346" i="44"/>
  <c r="A1346" i="44" s="1"/>
  <c r="H1338" i="44"/>
  <c r="A1338" i="44" s="1"/>
  <c r="H1330" i="44"/>
  <c r="A1330" i="44" s="1"/>
  <c r="H1268" i="44"/>
  <c r="A1268" i="44" s="1"/>
  <c r="H1260" i="44"/>
  <c r="A1260" i="44" s="1"/>
  <c r="H1243" i="44"/>
  <c r="A1243" i="44" s="1"/>
  <c r="H1208" i="44"/>
  <c r="A1208" i="44" s="1"/>
  <c r="H1116" i="44"/>
  <c r="A1116" i="44" s="1"/>
  <c r="H1399" i="44"/>
  <c r="A1399" i="44" s="1"/>
  <c r="H1461" i="44"/>
  <c r="A1461" i="44" s="1"/>
  <c r="H1453" i="44"/>
  <c r="A1453" i="44" s="1"/>
  <c r="H1445" i="44"/>
  <c r="A1445" i="44" s="1"/>
  <c r="H1437" i="44"/>
  <c r="A1437" i="44" s="1"/>
  <c r="H1429" i="44"/>
  <c r="A1429" i="44" s="1"/>
  <c r="H1412" i="44"/>
  <c r="A1412" i="44" s="1"/>
  <c r="H1396" i="44"/>
  <c r="A1396" i="44" s="1"/>
  <c r="H1388" i="44"/>
  <c r="A1388" i="44" s="1"/>
  <c r="H1380" i="44"/>
  <c r="A1380" i="44" s="1"/>
  <c r="H1353" i="44"/>
  <c r="A1353" i="44" s="1"/>
  <c r="H1345" i="44"/>
  <c r="A1345" i="44" s="1"/>
  <c r="H1337" i="44"/>
  <c r="A1337" i="44" s="1"/>
  <c r="H1329" i="44"/>
  <c r="A1329" i="44" s="1"/>
  <c r="H1267" i="44"/>
  <c r="A1267" i="44" s="1"/>
  <c r="H1259" i="44"/>
  <c r="A1259" i="44" s="1"/>
  <c r="H1242" i="44"/>
  <c r="A1242" i="44" s="1"/>
  <c r="H1207" i="44"/>
  <c r="A1207" i="44" s="1"/>
  <c r="H1131" i="44"/>
  <c r="A1131" i="44" s="1"/>
  <c r="H1114" i="44"/>
  <c r="A1114" i="44" s="1"/>
  <c r="H1349" i="44"/>
  <c r="A1349" i="44" s="1"/>
  <c r="H1456" i="44"/>
  <c r="A1456" i="44" s="1"/>
  <c r="H1391" i="44"/>
  <c r="A1391" i="44" s="1"/>
  <c r="H1332" i="44"/>
  <c r="A1332" i="44" s="1"/>
  <c r="H1202" i="44"/>
  <c r="A1202" i="44" s="1"/>
  <c r="H1460" i="44"/>
  <c r="A1460" i="44" s="1"/>
  <c r="H1452" i="44"/>
  <c r="A1452" i="44" s="1"/>
  <c r="H1444" i="44"/>
  <c r="A1444" i="44" s="1"/>
  <c r="H1436" i="44"/>
  <c r="A1436" i="44" s="1"/>
  <c r="H1428" i="44"/>
  <c r="A1428" i="44" s="1"/>
  <c r="H1411" i="44"/>
  <c r="A1411" i="44" s="1"/>
  <c r="H1395" i="44"/>
  <c r="A1395" i="44" s="1"/>
  <c r="H1387" i="44"/>
  <c r="A1387" i="44" s="1"/>
  <c r="H1379" i="44"/>
  <c r="A1379" i="44" s="1"/>
  <c r="H1352" i="44"/>
  <c r="A1352" i="44" s="1"/>
  <c r="H1344" i="44"/>
  <c r="A1344" i="44" s="1"/>
  <c r="H1336" i="44"/>
  <c r="A1336" i="44" s="1"/>
  <c r="H1328" i="44"/>
  <c r="A1328" i="44" s="1"/>
  <c r="H1266" i="44"/>
  <c r="A1266" i="44" s="1"/>
  <c r="H1258" i="44"/>
  <c r="A1258" i="44" s="1"/>
  <c r="H1241" i="44"/>
  <c r="A1241" i="44" s="1"/>
  <c r="H1206" i="44"/>
  <c r="A1206" i="44" s="1"/>
  <c r="H1130" i="44"/>
  <c r="A1130" i="44" s="1"/>
  <c r="H1110" i="44"/>
  <c r="A1110" i="44" s="1"/>
  <c r="H1441" i="44"/>
  <c r="A1441" i="44" s="1"/>
  <c r="H1384" i="44"/>
  <c r="A1384" i="44" s="1"/>
  <c r="H1271" i="44"/>
  <c r="A1271" i="44" s="1"/>
  <c r="H1238" i="44"/>
  <c r="A1238" i="44" s="1"/>
  <c r="H1125" i="44"/>
  <c r="A1125" i="44" s="1"/>
  <c r="H1440" i="44"/>
  <c r="A1440" i="44" s="1"/>
  <c r="H1375" i="44"/>
  <c r="A1375" i="44" s="1"/>
  <c r="H1270" i="44"/>
  <c r="A1270" i="44" s="1"/>
  <c r="H1124" i="44"/>
  <c r="A1124" i="44" s="1"/>
  <c r="C353" i="3"/>
  <c r="F353" i="3" s="1"/>
  <c r="E124" i="3"/>
  <c r="B383" i="3" s="1"/>
  <c r="P383" i="3" s="1"/>
  <c r="I134" i="24" s="1"/>
  <c r="G935" i="3"/>
  <c r="H259" i="24" s="1"/>
  <c r="G927" i="3"/>
  <c r="H251" i="24" s="1"/>
  <c r="G942" i="3"/>
  <c r="H266" i="24" s="1"/>
  <c r="G948" i="3"/>
  <c r="H272" i="24" s="1"/>
  <c r="G940" i="3"/>
  <c r="H264" i="24" s="1"/>
  <c r="G932" i="3"/>
  <c r="H256" i="24" s="1"/>
  <c r="G924" i="3"/>
  <c r="H248" i="24" s="1"/>
  <c r="F843" i="3"/>
  <c r="C117" i="25" s="1"/>
  <c r="S1128" i="44"/>
  <c r="G855" i="5"/>
  <c r="B216" i="24"/>
  <c r="G899" i="3"/>
  <c r="H223" i="24" s="1"/>
  <c r="E219" i="24"/>
  <c r="B248" i="24"/>
  <c r="F231" i="24"/>
  <c r="G177" i="32"/>
  <c r="G915" i="3"/>
  <c r="H239" i="24" s="1"/>
  <c r="E161" i="32"/>
  <c r="E169" i="32"/>
  <c r="E177" i="32"/>
  <c r="E185" i="32"/>
  <c r="E193" i="32"/>
  <c r="E201" i="32"/>
  <c r="E209" i="32"/>
  <c r="B178" i="32"/>
  <c r="G911" i="3"/>
  <c r="H235" i="24" s="1"/>
  <c r="H759" i="3"/>
  <c r="E3217" i="44" s="1"/>
  <c r="A3217" i="44" s="1"/>
  <c r="E235" i="24"/>
  <c r="G891" i="3"/>
  <c r="I153" i="32" s="1"/>
  <c r="G923" i="3"/>
  <c r="H247" i="24" s="1"/>
  <c r="G919" i="3"/>
  <c r="H243" i="24" s="1"/>
  <c r="F247" i="24"/>
  <c r="B228" i="24"/>
  <c r="B422" i="3"/>
  <c r="D175" i="24" s="1"/>
  <c r="B3351" i="44"/>
  <c r="F3351" i="44" s="1"/>
  <c r="E243" i="24"/>
  <c r="D215" i="24"/>
  <c r="B190" i="32"/>
  <c r="B198" i="32"/>
  <c r="E259" i="24"/>
  <c r="B21" i="30"/>
  <c r="G939" i="3"/>
  <c r="H263" i="24" s="1"/>
  <c r="G153" i="32"/>
  <c r="G209" i="32"/>
  <c r="F197" i="32"/>
  <c r="A60" i="34"/>
  <c r="E267" i="24"/>
  <c r="F223" i="24"/>
  <c r="F263" i="24"/>
  <c r="B162" i="32"/>
  <c r="B264" i="24"/>
  <c r="G907" i="3"/>
  <c r="H231" i="24" s="1"/>
  <c r="B3222" i="44"/>
  <c r="F3222" i="44" s="1"/>
  <c r="G947" i="3"/>
  <c r="H271" i="24" s="1"/>
  <c r="B170" i="32"/>
  <c r="B256" i="24"/>
  <c r="G946" i="3"/>
  <c r="H270" i="24" s="1"/>
  <c r="D946" i="44"/>
  <c r="D978" i="44"/>
  <c r="D924" i="44"/>
  <c r="D927" i="44"/>
  <c r="D1009" i="44"/>
  <c r="D980" i="44"/>
  <c r="B1032" i="44"/>
  <c r="D939" i="44"/>
  <c r="D973" i="44"/>
  <c r="F142" i="24"/>
  <c r="E272" i="24"/>
  <c r="J1919" i="44"/>
  <c r="H142" i="24"/>
  <c r="B22" i="30"/>
  <c r="B3327" i="44"/>
  <c r="F3327" i="44" s="1"/>
  <c r="E228" i="24"/>
  <c r="E256" i="24"/>
  <c r="E244" i="24"/>
  <c r="G896" i="3"/>
  <c r="F214" i="24"/>
  <c r="C215" i="24"/>
  <c r="F220" i="24"/>
  <c r="E250" i="24"/>
  <c r="F230" i="24"/>
  <c r="F246" i="24"/>
  <c r="F262" i="24"/>
  <c r="F240" i="24"/>
  <c r="F236" i="24"/>
  <c r="F228" i="24"/>
  <c r="E226" i="24"/>
  <c r="C221" i="24"/>
  <c r="C223" i="24"/>
  <c r="C225" i="24"/>
  <c r="C227" i="24"/>
  <c r="C229" i="24"/>
  <c r="C231" i="24"/>
  <c r="C233" i="24"/>
  <c r="C235" i="24"/>
  <c r="C237" i="24"/>
  <c r="C239" i="24"/>
  <c r="C241" i="24"/>
  <c r="C243" i="24"/>
  <c r="C245" i="24"/>
  <c r="C247" i="24"/>
  <c r="C249" i="24"/>
  <c r="C253" i="24"/>
  <c r="C257" i="24"/>
  <c r="C261" i="24"/>
  <c r="C265" i="24"/>
  <c r="C269" i="24"/>
  <c r="C273" i="24"/>
  <c r="G906" i="3"/>
  <c r="H230" i="24" s="1"/>
  <c r="D262" i="24"/>
  <c r="B3185" i="44"/>
  <c r="F3185" i="44" s="1"/>
  <c r="H713" i="3"/>
  <c r="A17" i="34"/>
  <c r="A29" i="34"/>
  <c r="D2591" i="44"/>
  <c r="D947" i="44"/>
  <c r="B924" i="44"/>
  <c r="B925" i="44" s="1"/>
  <c r="B926" i="44" s="1"/>
  <c r="B927" i="44" s="1"/>
  <c r="B928" i="44" s="1"/>
  <c r="B929" i="44" s="1"/>
  <c r="B930" i="44" s="1"/>
  <c r="B931" i="44" s="1"/>
  <c r="B932" i="44" s="1"/>
  <c r="B933" i="44" s="1"/>
  <c r="B934" i="44" s="1"/>
  <c r="B935" i="44" s="1"/>
  <c r="B936" i="44" s="1"/>
  <c r="B937" i="44" s="1"/>
  <c r="D968" i="44"/>
  <c r="D976" i="44"/>
  <c r="B1028" i="44"/>
  <c r="D981" i="44"/>
  <c r="D952" i="44"/>
  <c r="D926" i="44"/>
  <c r="B1696" i="44"/>
  <c r="D1696" i="44" s="1"/>
  <c r="D2463" i="44"/>
  <c r="D3103" i="44"/>
  <c r="B1083" i="44"/>
  <c r="D969" i="44"/>
  <c r="D979" i="44"/>
  <c r="D950" i="44"/>
  <c r="D2785" i="44"/>
  <c r="D1759" i="44"/>
  <c r="D997" i="44"/>
  <c r="D474" i="44"/>
  <c r="B111" i="3" a="1"/>
  <c r="B111" i="3" s="1"/>
  <c r="B113" i="3" s="1"/>
  <c r="B116" i="3" s="1"/>
  <c r="B100" i="3" a="1"/>
  <c r="B100" i="3" s="1"/>
  <c r="B15" i="3"/>
  <c r="B588" i="3" s="1"/>
  <c r="B3274" i="44"/>
  <c r="F3274" i="44" s="1"/>
  <c r="A53" i="34"/>
  <c r="J2847" i="44"/>
  <c r="B3179" i="44"/>
  <c r="F3179" i="44" s="1"/>
  <c r="D1727" i="44"/>
  <c r="B3104" i="44"/>
  <c r="B3105" i="44" s="1"/>
  <c r="B3106" i="44" s="1"/>
  <c r="B3107" i="44" s="1"/>
  <c r="J3039" i="44"/>
  <c r="B2528" i="44"/>
  <c r="D2528" i="44" s="1"/>
  <c r="B1761" i="44"/>
  <c r="B1762" i="44" s="1"/>
  <c r="B1763" i="44" s="1"/>
  <c r="A15" i="34"/>
  <c r="A103" i="34"/>
  <c r="B3290" i="44"/>
  <c r="F3290" i="44" s="1"/>
  <c r="B3227" i="44"/>
  <c r="F3227" i="44" s="1"/>
  <c r="B1600" i="44"/>
  <c r="D1600" i="44" s="1"/>
  <c r="D2784" i="44"/>
  <c r="B2656" i="44"/>
  <c r="B2657" i="44" s="1"/>
  <c r="D2657" i="44" s="1"/>
  <c r="J2463" i="44"/>
  <c r="J1887" i="44"/>
  <c r="G902" i="3"/>
  <c r="G912" i="3"/>
  <c r="H236" i="24" s="1"/>
  <c r="G920" i="3"/>
  <c r="E186" i="32"/>
  <c r="B7" i="30"/>
  <c r="A11" i="34"/>
  <c r="A46" i="34"/>
  <c r="B3167" i="44"/>
  <c r="F3167" i="44" s="1"/>
  <c r="B3171" i="44"/>
  <c r="F3171" i="44" s="1"/>
  <c r="B3266" i="44"/>
  <c r="F3266" i="44" s="1"/>
  <c r="C195" i="5"/>
  <c r="B78" i="6"/>
  <c r="F41" i="3"/>
  <c r="E196" i="32"/>
  <c r="D258" i="24"/>
  <c r="D246" i="24"/>
  <c r="E184" i="32"/>
  <c r="E168" i="32"/>
  <c r="D230" i="24"/>
  <c r="G938" i="3"/>
  <c r="H262" i="24" s="1"/>
  <c r="F200" i="32"/>
  <c r="D266" i="24"/>
  <c r="E204" i="32"/>
  <c r="E188" i="32"/>
  <c r="D250" i="24"/>
  <c r="D238" i="24"/>
  <c r="E176" i="32"/>
  <c r="E160" i="32"/>
  <c r="D222" i="24"/>
  <c r="G930" i="3"/>
  <c r="H254" i="24" s="1"/>
  <c r="F192" i="32"/>
  <c r="E238" i="24"/>
  <c r="F176" i="32"/>
  <c r="B405" i="3"/>
  <c r="D156" i="24" s="1"/>
  <c r="J1695" i="44"/>
  <c r="D231" i="3"/>
  <c r="D64" i="30" s="1"/>
  <c r="B468" i="3"/>
  <c r="F813" i="3" s="1"/>
  <c r="B2976" i="44"/>
  <c r="D2976" i="44" s="1"/>
  <c r="D2911" i="44"/>
  <c r="B2816" i="44"/>
  <c r="D2816" i="44" s="1"/>
  <c r="B3040" i="44"/>
  <c r="D3040" i="44" s="1"/>
  <c r="B2913" i="44"/>
  <c r="D2913" i="44" s="1"/>
  <c r="B2336" i="44"/>
  <c r="D2336" i="44" s="1"/>
  <c r="B2720" i="44"/>
  <c r="B2721" i="44" s="1"/>
  <c r="D2721" i="44" s="1"/>
  <c r="J2527" i="44"/>
  <c r="D266" i="3"/>
  <c r="D99" i="30" s="1"/>
  <c r="B3355" i="44"/>
  <c r="F3355" i="44" s="1"/>
  <c r="E220" i="24"/>
  <c r="E232" i="24"/>
  <c r="E240" i="24"/>
  <c r="E264" i="24"/>
  <c r="E224" i="24"/>
  <c r="D179" i="3"/>
  <c r="D13" i="30" s="1"/>
  <c r="F216" i="24"/>
  <c r="C217" i="24"/>
  <c r="F218" i="24"/>
  <c r="G894" i="3"/>
  <c r="C216" i="24"/>
  <c r="G892" i="3"/>
  <c r="I154" i="32" s="1"/>
  <c r="C218" i="24"/>
  <c r="G910" i="3"/>
  <c r="H234" i="24" s="1"/>
  <c r="G926" i="3"/>
  <c r="H250" i="24" s="1"/>
  <c r="J1663" i="44"/>
  <c r="B2433" i="44"/>
  <c r="B2434" i="44" s="1"/>
  <c r="D2434" i="44" s="1"/>
  <c r="D2719" i="44"/>
  <c r="F252" i="24"/>
  <c r="F226" i="24"/>
  <c r="F234" i="24"/>
  <c r="F242" i="24"/>
  <c r="F250" i="24"/>
  <c r="F258" i="24"/>
  <c r="F266" i="24"/>
  <c r="F232" i="24"/>
  <c r="F256" i="24"/>
  <c r="F224" i="24"/>
  <c r="F244" i="24"/>
  <c r="F272" i="24"/>
  <c r="F248" i="24"/>
  <c r="A290" i="3"/>
  <c r="A123" i="30" s="1"/>
  <c r="J2783" i="44"/>
  <c r="E246" i="24"/>
  <c r="E262" i="24"/>
  <c r="E222" i="24"/>
  <c r="E230" i="24"/>
  <c r="B1952" i="44"/>
  <c r="D1952" i="44" s="1"/>
  <c r="C250" i="24"/>
  <c r="C252" i="24"/>
  <c r="C254" i="24"/>
  <c r="C256" i="24"/>
  <c r="C258" i="24"/>
  <c r="C260" i="24"/>
  <c r="C262" i="24"/>
  <c r="C264" i="24"/>
  <c r="C266" i="24"/>
  <c r="C268" i="24"/>
  <c r="C270" i="24"/>
  <c r="C272" i="24"/>
  <c r="G900" i="3"/>
  <c r="H224" i="24" s="1"/>
  <c r="G904" i="3"/>
  <c r="H228" i="24" s="1"/>
  <c r="G908" i="3"/>
  <c r="H232" i="24" s="1"/>
  <c r="G914" i="3"/>
  <c r="H238" i="24" s="1"/>
  <c r="G918" i="3"/>
  <c r="H242" i="24" s="1"/>
  <c r="G922" i="3"/>
  <c r="F204" i="32"/>
  <c r="D226" i="24"/>
  <c r="E180" i="32"/>
  <c r="D254" i="24"/>
  <c r="E208" i="32"/>
  <c r="A246" i="3"/>
  <c r="A79" i="30" s="1"/>
  <c r="A264" i="3"/>
  <c r="A97" i="30" s="1"/>
  <c r="H843" i="3"/>
  <c r="E117" i="25" s="1"/>
  <c r="J195" i="24"/>
  <c r="J131" i="32"/>
  <c r="J193" i="24"/>
  <c r="J129" i="32"/>
  <c r="J191" i="24"/>
  <c r="J127" i="32"/>
  <c r="I196" i="24"/>
  <c r="I132" i="32"/>
  <c r="I194" i="24"/>
  <c r="I130" i="32"/>
  <c r="I192" i="24"/>
  <c r="I128" i="32"/>
  <c r="I190" i="24"/>
  <c r="I126" i="32"/>
  <c r="H195" i="24"/>
  <c r="H131" i="32"/>
  <c r="H193" i="24"/>
  <c r="H129" i="32"/>
  <c r="H191" i="24"/>
  <c r="H127" i="32"/>
  <c r="G196" i="24"/>
  <c r="G132" i="32"/>
  <c r="G194" i="24"/>
  <c r="G130" i="32"/>
  <c r="G192" i="24"/>
  <c r="G128" i="32"/>
  <c r="G190" i="24"/>
  <c r="G126" i="32"/>
  <c r="F195" i="24"/>
  <c r="F131" i="32"/>
  <c r="F193" i="24"/>
  <c r="F129" i="32"/>
  <c r="F191" i="24"/>
  <c r="F127" i="32"/>
  <c r="E196" i="24"/>
  <c r="E132" i="32"/>
  <c r="E194" i="24"/>
  <c r="E130" i="32"/>
  <c r="E192" i="24"/>
  <c r="E128" i="32"/>
  <c r="E190" i="24"/>
  <c r="E126" i="32"/>
  <c r="J196" i="24"/>
  <c r="J132" i="32"/>
  <c r="J194" i="24"/>
  <c r="J130" i="32"/>
  <c r="J192" i="24"/>
  <c r="J128" i="32"/>
  <c r="J190" i="24"/>
  <c r="J126" i="32"/>
  <c r="I195" i="24"/>
  <c r="I131" i="32"/>
  <c r="I193" i="24"/>
  <c r="I129" i="32"/>
  <c r="I191" i="24"/>
  <c r="I127" i="32"/>
  <c r="H196" i="24"/>
  <c r="H132" i="32"/>
  <c r="H194" i="24"/>
  <c r="H130" i="32"/>
  <c r="H192" i="24"/>
  <c r="H128" i="32"/>
  <c r="H190" i="24"/>
  <c r="H126" i="32"/>
  <c r="G195" i="24"/>
  <c r="G131" i="32"/>
  <c r="G193" i="24"/>
  <c r="G129" i="32"/>
  <c r="G191" i="24"/>
  <c r="G127" i="32"/>
  <c r="F196" i="24"/>
  <c r="F132" i="32"/>
  <c r="F194" i="24"/>
  <c r="F130" i="32"/>
  <c r="F192" i="24"/>
  <c r="F128" i="32"/>
  <c r="F190" i="24"/>
  <c r="F126" i="32"/>
  <c r="E195" i="24"/>
  <c r="E131" i="32"/>
  <c r="E193" i="24"/>
  <c r="E129" i="32"/>
  <c r="E191" i="24"/>
  <c r="E127" i="32"/>
  <c r="J122" i="24"/>
  <c r="F302" i="3"/>
  <c r="I18" i="25" s="1"/>
  <c r="H710" i="3"/>
  <c r="H6" i="34" s="1"/>
  <c r="B3198" i="44"/>
  <c r="F3198" i="44" s="1"/>
  <c r="B3307" i="44"/>
  <c r="F3307" i="44" s="1"/>
  <c r="B3301" i="44"/>
  <c r="F3301" i="44" s="1"/>
  <c r="H736" i="3"/>
  <c r="E3194" i="44" s="1"/>
  <c r="A3194" i="44" s="1"/>
  <c r="D122" i="24"/>
  <c r="A44" i="34"/>
  <c r="B135" i="3"/>
  <c r="B883" i="3"/>
  <c r="B886" i="3" s="1"/>
  <c r="D82" i="24" s="1"/>
  <c r="A194" i="3"/>
  <c r="A28" i="30" s="1"/>
  <c r="H743" i="3"/>
  <c r="H39" i="34" s="1"/>
  <c r="B3188" i="44"/>
  <c r="F3188" i="44" s="1"/>
  <c r="I787" i="3"/>
  <c r="E3344" i="44" s="1"/>
  <c r="A3344" i="44" s="1"/>
  <c r="B3297" i="44"/>
  <c r="F3297" i="44" s="1"/>
  <c r="B3221" i="44"/>
  <c r="F3221" i="44" s="1"/>
  <c r="H724" i="3"/>
  <c r="H20" i="34" s="1"/>
  <c r="B3251" i="44"/>
  <c r="F3251" i="44" s="1"/>
  <c r="D94" i="24"/>
  <c r="B3197" i="44"/>
  <c r="F3197" i="44" s="1"/>
  <c r="G142" i="24"/>
  <c r="A33" i="34"/>
  <c r="B3195" i="44"/>
  <c r="F3195" i="44" s="1"/>
  <c r="B3305" i="44"/>
  <c r="F3305" i="44" s="1"/>
  <c r="B3202" i="44"/>
  <c r="F3202" i="44" s="1"/>
  <c r="A65" i="34"/>
  <c r="A228" i="3"/>
  <c r="A61" i="30" s="1"/>
  <c r="A263" i="3"/>
  <c r="A96" i="30" s="1"/>
  <c r="H739" i="3"/>
  <c r="H35" i="34" s="1"/>
  <c r="H742" i="3"/>
  <c r="H38" i="34" s="1"/>
  <c r="I785" i="3"/>
  <c r="E3342" i="44" s="1"/>
  <c r="A3342" i="44" s="1"/>
  <c r="H796" i="3"/>
  <c r="H92" i="34" s="1"/>
  <c r="H126" i="3"/>
  <c r="H129" i="3" s="1"/>
  <c r="F179" i="32"/>
  <c r="G917" i="3"/>
  <c r="F163" i="32"/>
  <c r="E225" i="24"/>
  <c r="F269" i="24"/>
  <c r="G207" i="32"/>
  <c r="G945" i="3"/>
  <c r="H269" i="24" s="1"/>
  <c r="G199" i="32"/>
  <c r="G937" i="3"/>
  <c r="H261" i="24" s="1"/>
  <c r="G195" i="32"/>
  <c r="F257" i="24"/>
  <c r="F253" i="24"/>
  <c r="G929" i="3"/>
  <c r="H253" i="24" s="1"/>
  <c r="B249" i="24"/>
  <c r="B247" i="24"/>
  <c r="B179" i="32"/>
  <c r="B177" i="32"/>
  <c r="B239" i="24"/>
  <c r="B231" i="24"/>
  <c r="B169" i="32"/>
  <c r="B229" i="24"/>
  <c r="I774" i="3"/>
  <c r="I70" i="34" s="1"/>
  <c r="A102" i="34"/>
  <c r="A61" i="34"/>
  <c r="A78" i="34"/>
  <c r="B247" i="3"/>
  <c r="D283" i="3"/>
  <c r="D116" i="30" s="1"/>
  <c r="H792" i="3"/>
  <c r="I794" i="3"/>
  <c r="I90" i="34" s="1"/>
  <c r="B3347" i="44"/>
  <c r="F3347" i="44" s="1"/>
  <c r="A70" i="34"/>
  <c r="E241" i="24"/>
  <c r="F261" i="24"/>
  <c r="B173" i="32"/>
  <c r="B241" i="24"/>
  <c r="B243" i="24"/>
  <c r="B245" i="24"/>
  <c r="B201" i="32"/>
  <c r="A10" i="34"/>
  <c r="B3172" i="44"/>
  <c r="F3172" i="44" s="1"/>
  <c r="D264" i="24"/>
  <c r="E202" i="32"/>
  <c r="D232" i="24"/>
  <c r="E170" i="32"/>
  <c r="G936" i="3"/>
  <c r="H260" i="24" s="1"/>
  <c r="E260" i="24"/>
  <c r="D120" i="32"/>
  <c r="D64" i="24"/>
  <c r="B423" i="3"/>
  <c r="D177" i="24" s="1"/>
  <c r="B175" i="3"/>
  <c r="B6" i="30"/>
  <c r="F237" i="24"/>
  <c r="G175" i="32"/>
  <c r="G167" i="32"/>
  <c r="F229" i="24"/>
  <c r="G155" i="32"/>
  <c r="F217" i="24"/>
  <c r="B211" i="32"/>
  <c r="B209" i="32"/>
  <c r="B271" i="24"/>
  <c r="B197" i="32"/>
  <c r="B257" i="24"/>
  <c r="B161" i="32"/>
  <c r="B159" i="32"/>
  <c r="B266" i="3"/>
  <c r="A66" i="34"/>
  <c r="A94" i="34"/>
  <c r="B3236" i="44"/>
  <c r="F3236" i="44" s="1"/>
  <c r="G893" i="3"/>
  <c r="G933" i="3"/>
  <c r="H257" i="24" s="1"/>
  <c r="B199" i="32"/>
  <c r="B265" i="24"/>
  <c r="B267" i="24"/>
  <c r="G183" i="32"/>
  <c r="B231" i="3"/>
  <c r="A12" i="34"/>
  <c r="B3322" i="44"/>
  <c r="F3322" i="44" s="1"/>
  <c r="F122" i="24"/>
  <c r="B3240" i="44"/>
  <c r="F3240" i="44" s="1"/>
  <c r="D195" i="3"/>
  <c r="D29" i="30" s="1"/>
  <c r="B195" i="3"/>
  <c r="I64" i="24" s="1"/>
  <c r="B274" i="3"/>
  <c r="D292" i="3"/>
  <c r="K289" i="3" s="1"/>
  <c r="H127" i="30" s="1"/>
  <c r="B424" i="3"/>
  <c r="D178" i="24" s="1"/>
  <c r="D211" i="3"/>
  <c r="D45" i="30" s="1"/>
  <c r="I781" i="3"/>
  <c r="E3338" i="44" s="1"/>
  <c r="A3338" i="44" s="1"/>
  <c r="B211" i="3"/>
  <c r="B3252" i="44"/>
  <c r="F3252" i="44" s="1"/>
  <c r="A8" i="34"/>
  <c r="C193" i="5"/>
  <c r="A86" i="34"/>
  <c r="A74" i="34"/>
  <c r="B3232" i="44"/>
  <c r="F3232" i="44" s="1"/>
  <c r="D65" i="24"/>
  <c r="A98" i="34"/>
  <c r="G925" i="3"/>
  <c r="H249" i="24" s="1"/>
  <c r="F233" i="24"/>
  <c r="F273" i="24"/>
  <c r="B233" i="24"/>
  <c r="B175" i="32"/>
  <c r="B195" i="32"/>
  <c r="B259" i="24"/>
  <c r="B261" i="24"/>
  <c r="B3306" i="44"/>
  <c r="F3306" i="44" s="1"/>
  <c r="A45" i="34"/>
  <c r="B3337" i="44"/>
  <c r="F3337" i="44" s="1"/>
  <c r="A76" i="34"/>
  <c r="F165" i="32"/>
  <c r="G903" i="3"/>
  <c r="F267" i="24"/>
  <c r="G943" i="3"/>
  <c r="H267" i="24" s="1"/>
  <c r="G193" i="32"/>
  <c r="G931" i="3"/>
  <c r="B270" i="24"/>
  <c r="B208" i="32"/>
  <c r="B268" i="24"/>
  <c r="B206" i="32"/>
  <c r="B179" i="3"/>
  <c r="B283" i="3"/>
  <c r="A43" i="34"/>
  <c r="H807" i="3"/>
  <c r="H103" i="34" s="1"/>
  <c r="B3260" i="44"/>
  <c r="F3260" i="44" s="1"/>
  <c r="G909" i="3"/>
  <c r="G949" i="3"/>
  <c r="H273" i="24" s="1"/>
  <c r="F241" i="24"/>
  <c r="B163" i="32"/>
  <c r="B165" i="32"/>
  <c r="B167" i="32"/>
  <c r="B191" i="32"/>
  <c r="B255" i="24"/>
  <c r="B207" i="32"/>
  <c r="E156" i="32"/>
  <c r="D218" i="24"/>
  <c r="F208" i="32"/>
  <c r="E270" i="24"/>
  <c r="E258" i="24"/>
  <c r="G934" i="3"/>
  <c r="I749" i="3"/>
  <c r="I45" i="34" s="1"/>
  <c r="H754" i="3"/>
  <c r="H50" i="34" s="1"/>
  <c r="I760" i="3"/>
  <c r="E3317" i="44" s="1"/>
  <c r="A3317" i="44" s="1"/>
  <c r="H789" i="3"/>
  <c r="H85" i="34" s="1"/>
  <c r="H122" i="24"/>
  <c r="B3177" i="44"/>
  <c r="F3177" i="44" s="1"/>
  <c r="B3296" i="44"/>
  <c r="F3296" i="44" s="1"/>
  <c r="A96" i="34"/>
  <c r="B3323" i="44"/>
  <c r="F3323" i="44" s="1"/>
  <c r="B273" i="24"/>
  <c r="F202" i="32"/>
  <c r="E166" i="32"/>
  <c r="A62" i="34"/>
  <c r="H711" i="3"/>
  <c r="B7" i="34"/>
  <c r="D104" i="24"/>
  <c r="B340" i="3"/>
  <c r="B371" i="3"/>
  <c r="B3268" i="44"/>
  <c r="F3268" i="44" s="1"/>
  <c r="A7" i="34"/>
  <c r="B3212" i="44"/>
  <c r="F3212" i="44" s="1"/>
  <c r="B3311" i="44"/>
  <c r="F3311" i="44" s="1"/>
  <c r="B79" i="34"/>
  <c r="H783" i="3"/>
  <c r="E3241" i="44" s="1"/>
  <c r="A3241" i="44" s="1"/>
  <c r="H767" i="3"/>
  <c r="E3225" i="44" s="1"/>
  <c r="A3225" i="44" s="1"/>
  <c r="I758" i="3"/>
  <c r="I54" i="34" s="1"/>
  <c r="I784" i="3"/>
  <c r="A58" i="34"/>
  <c r="H714" i="3"/>
  <c r="H10" i="34" s="1"/>
  <c r="A80" i="34"/>
  <c r="G159" i="32"/>
  <c r="E182" i="32"/>
  <c r="E198" i="32"/>
  <c r="B3216" i="44"/>
  <c r="F3216" i="44" s="1"/>
  <c r="B3181" i="44"/>
  <c r="F3181" i="44" s="1"/>
  <c r="I762" i="3"/>
  <c r="E3319" i="44" s="1"/>
  <c r="A3319" i="44" s="1"/>
  <c r="B3329" i="44"/>
  <c r="F3329" i="44" s="1"/>
  <c r="B3319" i="44"/>
  <c r="F3319" i="44" s="1"/>
  <c r="B3250" i="44"/>
  <c r="F3250" i="44" s="1"/>
  <c r="H734" i="3"/>
  <c r="E3192" i="44" s="1"/>
  <c r="A3192" i="44" s="1"/>
  <c r="H749" i="3"/>
  <c r="E3207" i="44" s="1"/>
  <c r="A3207" i="44" s="1"/>
  <c r="B3234" i="44"/>
  <c r="F3234" i="44" s="1"/>
  <c r="A42" i="34"/>
  <c r="E248" i="24"/>
  <c r="I795" i="3"/>
  <c r="I91" i="34" s="1"/>
  <c r="B3341" i="44"/>
  <c r="F3341" i="44" s="1"/>
  <c r="A50" i="34"/>
  <c r="E217" i="24"/>
  <c r="D216" i="24"/>
  <c r="G901" i="3"/>
  <c r="H225" i="24" s="1"/>
  <c r="E233" i="24"/>
  <c r="F225" i="24"/>
  <c r="F265" i="24"/>
  <c r="B3357" i="44"/>
  <c r="F3357" i="44" s="1"/>
  <c r="B157" i="32"/>
  <c r="B221" i="24"/>
  <c r="B171" i="32"/>
  <c r="B237" i="24"/>
  <c r="B187" i="32"/>
  <c r="B253" i="24"/>
  <c r="B203" i="32"/>
  <c r="B269" i="24"/>
  <c r="G191" i="32"/>
  <c r="F186" i="32"/>
  <c r="F198" i="32"/>
  <c r="E162" i="32"/>
  <c r="E178" i="32"/>
  <c r="E194" i="32"/>
  <c r="E210" i="32"/>
  <c r="E68" i="34"/>
  <c r="I772" i="3"/>
  <c r="E3329" i="44" s="1"/>
  <c r="A3329" i="44" s="1"/>
  <c r="B3345" i="44"/>
  <c r="F3345" i="44" s="1"/>
  <c r="A84" i="34"/>
  <c r="A54" i="34"/>
  <c r="B3280" i="44"/>
  <c r="F3280" i="44" s="1"/>
  <c r="I750" i="3"/>
  <c r="B3284" i="44"/>
  <c r="F3284" i="44" s="1"/>
  <c r="B3230" i="44"/>
  <c r="F3230" i="44" s="1"/>
  <c r="A88" i="34"/>
  <c r="D140" i="24"/>
  <c r="B3173" i="44"/>
  <c r="F3173" i="44" s="1"/>
  <c r="B3333" i="44"/>
  <c r="F3333" i="44" s="1"/>
  <c r="B3204" i="44"/>
  <c r="F3204" i="44" s="1"/>
  <c r="B3246" i="44"/>
  <c r="F3246" i="44" s="1"/>
  <c r="F194" i="32"/>
  <c r="F210" i="32"/>
  <c r="E174" i="32"/>
  <c r="E190" i="32"/>
  <c r="E206" i="32"/>
  <c r="C16" i="34"/>
  <c r="H720" i="3"/>
  <c r="E3178" i="44" s="1"/>
  <c r="A3178" i="44" s="1"/>
  <c r="H725" i="3"/>
  <c r="E3183" i="44" s="1"/>
  <c r="A3183" i="44" s="1"/>
  <c r="C32" i="34"/>
  <c r="F45" i="34"/>
  <c r="B3325" i="44"/>
  <c r="F3325" i="44" s="1"/>
  <c r="A64" i="34"/>
  <c r="B3361" i="44"/>
  <c r="F3361" i="44" s="1"/>
  <c r="A100" i="34"/>
  <c r="E158" i="32"/>
  <c r="D220" i="24"/>
  <c r="G944" i="3"/>
  <c r="E268" i="24"/>
  <c r="G928" i="3"/>
  <c r="H252" i="24" s="1"/>
  <c r="E252" i="24"/>
  <c r="F183" i="32"/>
  <c r="E245" i="24"/>
  <c r="F175" i="32"/>
  <c r="E237" i="24"/>
  <c r="F167" i="32"/>
  <c r="E229" i="24"/>
  <c r="F159" i="32"/>
  <c r="E221" i="24"/>
  <c r="B217" i="24"/>
  <c r="B425" i="3"/>
  <c r="D179" i="24" s="1"/>
  <c r="B113" i="30"/>
  <c r="B428" i="3"/>
  <c r="D183" i="24" s="1"/>
  <c r="H745" i="3"/>
  <c r="E3203" i="44" s="1"/>
  <c r="A3203" i="44" s="1"/>
  <c r="H791" i="3"/>
  <c r="I804" i="3"/>
  <c r="I100" i="34" s="1"/>
  <c r="C143" i="24"/>
  <c r="I803" i="3"/>
  <c r="I99" i="34" s="1"/>
  <c r="B126" i="3"/>
  <c r="E123" i="3"/>
  <c r="B382" i="3" s="1"/>
  <c r="C283" i="3"/>
  <c r="C116" i="30" s="1"/>
  <c r="I796" i="3"/>
  <c r="E3353" i="44" s="1"/>
  <c r="A3353" i="44" s="1"/>
  <c r="A57" i="34"/>
  <c r="B3215" i="44"/>
  <c r="F3215" i="44" s="1"/>
  <c r="B3267" i="44"/>
  <c r="F3267" i="44" s="1"/>
  <c r="I771" i="3"/>
  <c r="B3291" i="44"/>
  <c r="F3291" i="44" s="1"/>
  <c r="H784" i="3"/>
  <c r="H80" i="34" s="1"/>
  <c r="A81" i="34"/>
  <c r="A77" i="34"/>
  <c r="H770" i="3"/>
  <c r="E3228" i="44" s="1"/>
  <c r="A3228" i="44" s="1"/>
  <c r="H764" i="3"/>
  <c r="I798" i="3"/>
  <c r="I769" i="3"/>
  <c r="E3326" i="44" s="1"/>
  <c r="A3326" i="44" s="1"/>
  <c r="B3330" i="44"/>
  <c r="F3330" i="44" s="1"/>
  <c r="I766" i="3"/>
  <c r="I62" i="34" s="1"/>
  <c r="H762" i="3"/>
  <c r="H58" i="34" s="1"/>
  <c r="I740" i="3"/>
  <c r="I806" i="3"/>
  <c r="E3363" i="44" s="1"/>
  <c r="A3363" i="44" s="1"/>
  <c r="C85" i="34"/>
  <c r="I782" i="3"/>
  <c r="I78" i="34" s="1"/>
  <c r="H744" i="3"/>
  <c r="E3202" i="44" s="1"/>
  <c r="A3202" i="44" s="1"/>
  <c r="A14" i="34"/>
  <c r="A67" i="34"/>
  <c r="B3194" i="44"/>
  <c r="F3194" i="44" s="1"/>
  <c r="B3261" i="44"/>
  <c r="F3261" i="44" s="1"/>
  <c r="B3350" i="44"/>
  <c r="F3350" i="44" s="1"/>
  <c r="B3209" i="44"/>
  <c r="F3209" i="44" s="1"/>
  <c r="I739" i="3"/>
  <c r="E3296" i="44" s="1"/>
  <c r="A3296" i="44" s="1"/>
  <c r="B3279" i="44"/>
  <c r="F3279" i="44" s="1"/>
  <c r="I807" i="3"/>
  <c r="A49" i="34"/>
  <c r="I786" i="3"/>
  <c r="E3343" i="44" s="1"/>
  <c r="A3343" i="44" s="1"/>
  <c r="H795" i="3"/>
  <c r="E3253" i="44" s="1"/>
  <c r="A3253" i="44" s="1"/>
  <c r="I788" i="3"/>
  <c r="H801" i="3"/>
  <c r="H97" i="34" s="1"/>
  <c r="B3312" i="44"/>
  <c r="F3312" i="44" s="1"/>
  <c r="C179" i="3"/>
  <c r="C13" i="30" s="1"/>
  <c r="A193" i="3"/>
  <c r="A27" i="30" s="1"/>
  <c r="A360" i="5"/>
  <c r="A210" i="3"/>
  <c r="A44" i="30" s="1"/>
  <c r="A375" i="5"/>
  <c r="A230" i="3"/>
  <c r="A63" i="30" s="1"/>
  <c r="A393" i="5"/>
  <c r="A271" i="3"/>
  <c r="A104" i="30" s="1"/>
  <c r="A428" i="5"/>
  <c r="A824" i="5"/>
  <c r="A826" i="5"/>
  <c r="B3219" i="44"/>
  <c r="F3219" i="44" s="1"/>
  <c r="B3295" i="44"/>
  <c r="F3295" i="44" s="1"/>
  <c r="A24" i="34"/>
  <c r="B21" i="34"/>
  <c r="C266" i="3"/>
  <c r="C99" i="30" s="1"/>
  <c r="A6" i="34"/>
  <c r="C211" i="3"/>
  <c r="C45" i="30" s="1"/>
  <c r="M808" i="3"/>
  <c r="M104" i="34" s="1"/>
  <c r="H804" i="3"/>
  <c r="H100" i="34" s="1"/>
  <c r="I790" i="3"/>
  <c r="I86" i="34" s="1"/>
  <c r="H760" i="3"/>
  <c r="C808" i="3"/>
  <c r="I1576" i="44" s="1"/>
  <c r="H785" i="3"/>
  <c r="E3243" i="44" s="1"/>
  <c r="A3243" i="44" s="1"/>
  <c r="I746" i="3"/>
  <c r="H740" i="3"/>
  <c r="C6" i="34"/>
  <c r="H799" i="3"/>
  <c r="H751" i="3"/>
  <c r="E3209" i="44" s="1"/>
  <c r="A3209" i="44" s="1"/>
  <c r="C781" i="5"/>
  <c r="H794" i="3"/>
  <c r="B3243" i="44"/>
  <c r="F3243" i="44" s="1"/>
  <c r="B3338" i="44"/>
  <c r="F3338" i="44" s="1"/>
  <c r="H787" i="3"/>
  <c r="H83" i="34" s="1"/>
  <c r="I775" i="3"/>
  <c r="I738" i="3"/>
  <c r="I778" i="3"/>
  <c r="I74" i="34" s="1"/>
  <c r="B3231" i="44"/>
  <c r="F3231" i="44" s="1"/>
  <c r="B3281" i="44"/>
  <c r="F3281" i="44" s="1"/>
  <c r="I797" i="3"/>
  <c r="B3320" i="44"/>
  <c r="F3320" i="44" s="1"/>
  <c r="I711" i="3"/>
  <c r="I7" i="34" s="1"/>
  <c r="A75" i="34"/>
  <c r="B38" i="34"/>
  <c r="B3170" i="44"/>
  <c r="F3170" i="44" s="1"/>
  <c r="H717" i="3"/>
  <c r="A71" i="34"/>
  <c r="B3229" i="44"/>
  <c r="F3229" i="44" s="1"/>
  <c r="B3186" i="44"/>
  <c r="F3186" i="44" s="1"/>
  <c r="A99" i="34"/>
  <c r="B3255" i="44"/>
  <c r="F3255" i="44" s="1"/>
  <c r="H719" i="3"/>
  <c r="H15" i="34" s="1"/>
  <c r="I768" i="3"/>
  <c r="E3325" i="44" s="1"/>
  <c r="A3325" i="44" s="1"/>
  <c r="A47" i="34"/>
  <c r="B3205" i="44"/>
  <c r="F3205" i="44" s="1"/>
  <c r="B3300" i="44"/>
  <c r="F3300" i="44" s="1"/>
  <c r="H732" i="3"/>
  <c r="E3190" i="44" s="1"/>
  <c r="A3190" i="44" s="1"/>
  <c r="H731" i="3"/>
  <c r="I729" i="3"/>
  <c r="I25" i="34" s="1"/>
  <c r="I722" i="3"/>
  <c r="E3279" i="44" s="1"/>
  <c r="A3279" i="44" s="1"/>
  <c r="B3180" i="44"/>
  <c r="F3180" i="44" s="1"/>
  <c r="I717" i="3"/>
  <c r="H779" i="3"/>
  <c r="H75" i="34" s="1"/>
  <c r="A63" i="34"/>
  <c r="A101" i="34"/>
  <c r="B3271" i="44"/>
  <c r="F3271" i="44" s="1"/>
  <c r="H773" i="3"/>
  <c r="E3231" i="44" s="1"/>
  <c r="A3231" i="44" s="1"/>
  <c r="H761" i="3"/>
  <c r="H57" i="34" s="1"/>
  <c r="H716" i="3"/>
  <c r="B3310" i="44"/>
  <c r="F3310" i="44" s="1"/>
  <c r="H728" i="3"/>
  <c r="B3225" i="44"/>
  <c r="F3225" i="44" s="1"/>
  <c r="B3298" i="44"/>
  <c r="F3298" i="44" s="1"/>
  <c r="I773" i="3"/>
  <c r="E3330" i="44" s="1"/>
  <c r="A3330" i="44" s="1"/>
  <c r="B3259" i="44"/>
  <c r="F3259" i="44" s="1"/>
  <c r="A91" i="34"/>
  <c r="B3184" i="44"/>
  <c r="F3184" i="44" s="1"/>
  <c r="B3334" i="44"/>
  <c r="F3334" i="44" s="1"/>
  <c r="A51" i="34"/>
  <c r="B3263" i="44"/>
  <c r="F3263" i="44" s="1"/>
  <c r="B688" i="3"/>
  <c r="A209" i="3"/>
  <c r="A43" i="30" s="1"/>
  <c r="A374" i="5"/>
  <c r="A229" i="3"/>
  <c r="A62" i="30" s="1"/>
  <c r="A392" i="5"/>
  <c r="A244" i="3"/>
  <c r="A77" i="30" s="1"/>
  <c r="A405" i="5"/>
  <c r="A272" i="3"/>
  <c r="A105" i="30" s="1"/>
  <c r="A429" i="5"/>
  <c r="A825" i="5"/>
  <c r="B42" i="6"/>
  <c r="G890" i="3"/>
  <c r="I152" i="32" s="1"/>
  <c r="B1206" i="5"/>
  <c r="A1102" i="5"/>
  <c r="A1104" i="5"/>
  <c r="B1104" i="5" s="1"/>
  <c r="F1104" i="5" s="1"/>
  <c r="A1106" i="5"/>
  <c r="B1106" i="5" s="1"/>
  <c r="M1106" i="5" s="1"/>
  <c r="A1108" i="5"/>
  <c r="B1108" i="5" s="1"/>
  <c r="K1108" i="5" s="1"/>
  <c r="A1110" i="5"/>
  <c r="B1110" i="5" s="1"/>
  <c r="P1110" i="5" s="1"/>
  <c r="A1112" i="5"/>
  <c r="B1112" i="5" s="1"/>
  <c r="F1112" i="5" s="1"/>
  <c r="A1114" i="5"/>
  <c r="B1114" i="5" s="1"/>
  <c r="R1114" i="5" s="1"/>
  <c r="A1116" i="5"/>
  <c r="B1116" i="5" s="1"/>
  <c r="J1116" i="5" s="1"/>
  <c r="A1118" i="5"/>
  <c r="B1118" i="5" s="1"/>
  <c r="R1118" i="5" s="1"/>
  <c r="A1120" i="5"/>
  <c r="B1120" i="5" s="1"/>
  <c r="N1120" i="5" s="1"/>
  <c r="A1122" i="5"/>
  <c r="B1122" i="5" s="1"/>
  <c r="P1122" i="5" s="1"/>
  <c r="A1124" i="5"/>
  <c r="B1124" i="5" s="1"/>
  <c r="M1124" i="5" s="1"/>
  <c r="A1126" i="5"/>
  <c r="B1126" i="5" s="1"/>
  <c r="O1126" i="5" s="1"/>
  <c r="A1128" i="5"/>
  <c r="B1128" i="5" s="1"/>
  <c r="P1128" i="5" s="1"/>
  <c r="A1130" i="5"/>
  <c r="B1130" i="5" s="1"/>
  <c r="N1130" i="5" s="1"/>
  <c r="A1132" i="5"/>
  <c r="B1132" i="5" s="1"/>
  <c r="H1132" i="5" s="1"/>
  <c r="A1134" i="5"/>
  <c r="B1134" i="5" s="1"/>
  <c r="Q1134" i="5" s="1"/>
  <c r="A1136" i="5"/>
  <c r="B1136" i="5" s="1"/>
  <c r="I1136" i="5" s="1"/>
  <c r="A1138" i="5"/>
  <c r="B1138" i="5" s="1"/>
  <c r="R1138" i="5" s="1"/>
  <c r="A1140" i="5"/>
  <c r="B1140" i="5" s="1"/>
  <c r="H1140" i="5" s="1"/>
  <c r="A1142" i="5"/>
  <c r="B1142" i="5" s="1"/>
  <c r="G1142" i="5" s="1"/>
  <c r="A1144" i="5"/>
  <c r="B1144" i="5" s="1"/>
  <c r="L1144" i="5" s="1"/>
  <c r="A1146" i="5"/>
  <c r="B1146" i="5" s="1"/>
  <c r="L1146" i="5" s="1"/>
  <c r="A1148" i="5"/>
  <c r="B1148" i="5" s="1"/>
  <c r="P1148" i="5" s="1"/>
  <c r="A1150" i="5"/>
  <c r="B1150" i="5" s="1"/>
  <c r="S1150" i="5" s="1"/>
  <c r="A1152" i="5"/>
  <c r="B1152" i="5" s="1"/>
  <c r="M1152" i="5" s="1"/>
  <c r="A1154" i="5"/>
  <c r="B1154" i="5" s="1"/>
  <c r="Q1154" i="5" s="1"/>
  <c r="A1156" i="5"/>
  <c r="B1156" i="5" s="1"/>
  <c r="M1156" i="5" s="1"/>
  <c r="A1158" i="5"/>
  <c r="B1158" i="5" s="1"/>
  <c r="K1158" i="5" s="1"/>
  <c r="A1160" i="5"/>
  <c r="B1160" i="5" s="1"/>
  <c r="G1160" i="5" s="1"/>
  <c r="A1162" i="5"/>
  <c r="B1162" i="5" s="1"/>
  <c r="G1162" i="5" s="1"/>
  <c r="A1164" i="5"/>
  <c r="B1164" i="5" s="1"/>
  <c r="O1164" i="5" s="1"/>
  <c r="A1166" i="5"/>
  <c r="B1166" i="5" s="1"/>
  <c r="Q1166" i="5" s="1"/>
  <c r="A1168" i="5"/>
  <c r="B1168" i="5" s="1"/>
  <c r="I1168" i="5" s="1"/>
  <c r="A1170" i="5"/>
  <c r="B1170" i="5" s="1"/>
  <c r="L1170" i="5" s="1"/>
  <c r="A1172" i="5"/>
  <c r="B1172" i="5" s="1"/>
  <c r="P1172" i="5" s="1"/>
  <c r="A1174" i="5"/>
  <c r="B1174" i="5" s="1"/>
  <c r="N1174" i="5" s="1"/>
  <c r="A1176" i="5"/>
  <c r="B1176" i="5" s="1"/>
  <c r="M1176" i="5" s="1"/>
  <c r="A1179" i="5"/>
  <c r="B1179" i="5" s="1"/>
  <c r="R1179" i="5" s="1"/>
  <c r="A1181" i="5"/>
  <c r="B1181" i="5" s="1"/>
  <c r="L1181" i="5" s="1"/>
  <c r="A1183" i="5"/>
  <c r="B1183" i="5" s="1"/>
  <c r="K1183" i="5" s="1"/>
  <c r="A1185" i="5"/>
  <c r="B1185" i="5" s="1"/>
  <c r="Q1185" i="5" s="1"/>
  <c r="A1187" i="5"/>
  <c r="B1187" i="5" s="1"/>
  <c r="M1187" i="5" s="1"/>
  <c r="A1189" i="5"/>
  <c r="B1189" i="5" s="1"/>
  <c r="M1189" i="5" s="1"/>
  <c r="A1191" i="5"/>
  <c r="B1191" i="5" s="1"/>
  <c r="S1191" i="5" s="1"/>
  <c r="A1193" i="5"/>
  <c r="B1193" i="5" s="1"/>
  <c r="O1193" i="5" s="1"/>
  <c r="A1195" i="5"/>
  <c r="B1195" i="5" s="1"/>
  <c r="T1195" i="5" s="1"/>
  <c r="A1197" i="5"/>
  <c r="B1197" i="5" s="1"/>
  <c r="H1197" i="5" s="1"/>
  <c r="A1198" i="5"/>
  <c r="B1198" i="5" s="1"/>
  <c r="S1198" i="5" s="1"/>
  <c r="H860" i="5"/>
  <c r="A860" i="5"/>
  <c r="H861" i="5"/>
  <c r="A861" i="5"/>
  <c r="G862" i="5"/>
  <c r="A862" i="5"/>
  <c r="D879" i="5"/>
  <c r="A879" i="5"/>
  <c r="D883" i="5"/>
  <c r="A883" i="5"/>
  <c r="D884" i="5"/>
  <c r="A884" i="5"/>
  <c r="A1103" i="5"/>
  <c r="B1103" i="5" s="1"/>
  <c r="I1103" i="5" s="1"/>
  <c r="A1105" i="5"/>
  <c r="B1105" i="5" s="1"/>
  <c r="P1105" i="5" s="1"/>
  <c r="A1107" i="5"/>
  <c r="B1107" i="5" s="1"/>
  <c r="N1107" i="5" s="1"/>
  <c r="A1109" i="5"/>
  <c r="B1109" i="5" s="1"/>
  <c r="I1109" i="5" s="1"/>
  <c r="A1111" i="5"/>
  <c r="B1111" i="5" s="1"/>
  <c r="J1111" i="5" s="1"/>
  <c r="A1113" i="5"/>
  <c r="B1113" i="5" s="1"/>
  <c r="G1113" i="5" s="1"/>
  <c r="A1115" i="5"/>
  <c r="B1115" i="5" s="1"/>
  <c r="J1115" i="5" s="1"/>
  <c r="A1117" i="5"/>
  <c r="B1117" i="5" s="1"/>
  <c r="Q1117" i="5" s="1"/>
  <c r="A1119" i="5"/>
  <c r="B1119" i="5" s="1"/>
  <c r="R1119" i="5" s="1"/>
  <c r="A1121" i="5"/>
  <c r="B1121" i="5" s="1"/>
  <c r="N1121" i="5" s="1"/>
  <c r="A1123" i="5"/>
  <c r="B1123" i="5" s="1"/>
  <c r="S1123" i="5" s="1"/>
  <c r="A1125" i="5"/>
  <c r="B1125" i="5" s="1"/>
  <c r="R1125" i="5" s="1"/>
  <c r="A1127" i="5"/>
  <c r="B1127" i="5" s="1"/>
  <c r="S1127" i="5" s="1"/>
  <c r="A1129" i="5"/>
  <c r="B1129" i="5" s="1"/>
  <c r="I1129" i="5" s="1"/>
  <c r="A1131" i="5"/>
  <c r="B1131" i="5" s="1"/>
  <c r="L1131" i="5" s="1"/>
  <c r="A1133" i="5"/>
  <c r="B1133" i="5" s="1"/>
  <c r="K1133" i="5" s="1"/>
  <c r="A1135" i="5"/>
  <c r="B1135" i="5" s="1"/>
  <c r="N1135" i="5" s="1"/>
  <c r="A1137" i="5"/>
  <c r="B1137" i="5" s="1"/>
  <c r="P1137" i="5" s="1"/>
  <c r="A1139" i="5"/>
  <c r="B1139" i="5" s="1"/>
  <c r="G1139" i="5" s="1"/>
  <c r="A1141" i="5"/>
  <c r="B1141" i="5" s="1"/>
  <c r="G1141" i="5" s="1"/>
  <c r="A1143" i="5"/>
  <c r="B1143" i="5" s="1"/>
  <c r="H1143" i="5" s="1"/>
  <c r="A1145" i="5"/>
  <c r="B1145" i="5" s="1"/>
  <c r="O1145" i="5" s="1"/>
  <c r="A1147" i="5"/>
  <c r="B1147" i="5" s="1"/>
  <c r="J1147" i="5" s="1"/>
  <c r="A1149" i="5"/>
  <c r="B1149" i="5" s="1"/>
  <c r="G1149" i="5" s="1"/>
  <c r="A1151" i="5"/>
  <c r="B1151" i="5" s="1"/>
  <c r="F1151" i="5" s="1"/>
  <c r="A1153" i="5"/>
  <c r="B1153" i="5" s="1"/>
  <c r="F1153" i="5" s="1"/>
  <c r="A1155" i="5"/>
  <c r="B1155" i="5" s="1"/>
  <c r="T1155" i="5" s="1"/>
  <c r="A1157" i="5"/>
  <c r="B1157" i="5" s="1"/>
  <c r="L1157" i="5" s="1"/>
  <c r="A1159" i="5"/>
  <c r="B1159" i="5" s="1"/>
  <c r="O1159" i="5" s="1"/>
  <c r="A1161" i="5"/>
  <c r="B1161" i="5" s="1"/>
  <c r="N1161" i="5" s="1"/>
  <c r="A1163" i="5"/>
  <c r="B1163" i="5" s="1"/>
  <c r="Q1163" i="5" s="1"/>
  <c r="A1165" i="5"/>
  <c r="B1165" i="5" s="1"/>
  <c r="I1165" i="5" s="1"/>
  <c r="A1167" i="5"/>
  <c r="B1167" i="5" s="1"/>
  <c r="T1167" i="5" s="1"/>
  <c r="A1169" i="5"/>
  <c r="B1169" i="5" s="1"/>
  <c r="N1169" i="5" s="1"/>
  <c r="A1171" i="5"/>
  <c r="B1171" i="5" s="1"/>
  <c r="T1171" i="5" s="1"/>
  <c r="A1173" i="5"/>
  <c r="B1173" i="5" s="1"/>
  <c r="O1173" i="5" s="1"/>
  <c r="A1175" i="5"/>
  <c r="B1175" i="5" s="1"/>
  <c r="S1175" i="5" s="1"/>
  <c r="A1177" i="5"/>
  <c r="B1177" i="5" s="1"/>
  <c r="R1177" i="5" s="1"/>
  <c r="A1178" i="5"/>
  <c r="B1178" i="5" s="1"/>
  <c r="N1178" i="5" s="1"/>
  <c r="A1180" i="5"/>
  <c r="B1180" i="5" s="1"/>
  <c r="P1180" i="5" s="1"/>
  <c r="A1182" i="5"/>
  <c r="B1182" i="5" s="1"/>
  <c r="T1182" i="5" s="1"/>
  <c r="A1184" i="5"/>
  <c r="B1184" i="5" s="1"/>
  <c r="G1184" i="5" s="1"/>
  <c r="A1186" i="5"/>
  <c r="B1186" i="5" s="1"/>
  <c r="P1186" i="5" s="1"/>
  <c r="A1188" i="5"/>
  <c r="B1188" i="5" s="1"/>
  <c r="H1188" i="5" s="1"/>
  <c r="A1190" i="5"/>
  <c r="B1190" i="5" s="1"/>
  <c r="J1190" i="5" s="1"/>
  <c r="A1192" i="5"/>
  <c r="B1192" i="5" s="1"/>
  <c r="S1192" i="5" s="1"/>
  <c r="A1194" i="5"/>
  <c r="B1194" i="5" s="1"/>
  <c r="S1194" i="5" s="1"/>
  <c r="A1196" i="5"/>
  <c r="B1196" i="5" s="1"/>
  <c r="P1196" i="5" s="1"/>
  <c r="A1199" i="5"/>
  <c r="B1199" i="5" s="1"/>
  <c r="T1199" i="5" s="1"/>
  <c r="H855" i="5"/>
  <c r="A855" i="5"/>
  <c r="I183" i="32"/>
  <c r="I721" i="3"/>
  <c r="B3176" i="44"/>
  <c r="F3176" i="44" s="1"/>
  <c r="B3273" i="44"/>
  <c r="F3273" i="44" s="1"/>
  <c r="H709" i="3"/>
  <c r="H5" i="34" s="1"/>
  <c r="A30" i="34"/>
  <c r="A26" i="34"/>
  <c r="H746" i="3"/>
  <c r="H723" i="3"/>
  <c r="H753" i="3"/>
  <c r="I727" i="3"/>
  <c r="I726" i="3"/>
  <c r="E3283" i="44" s="1"/>
  <c r="A3283" i="44" s="1"/>
  <c r="A20" i="34"/>
  <c r="I723" i="3"/>
  <c r="I719" i="3"/>
  <c r="I720" i="3"/>
  <c r="B3336" i="44"/>
  <c r="F3336" i="44" s="1"/>
  <c r="B3233" i="44"/>
  <c r="F3233" i="44" s="1"/>
  <c r="H752" i="3"/>
  <c r="E3210" i="44" s="1"/>
  <c r="A3210" i="44" s="1"/>
  <c r="A32" i="34"/>
  <c r="I142" i="24"/>
  <c r="I789" i="3"/>
  <c r="H776" i="3"/>
  <c r="E3234" i="44" s="1"/>
  <c r="A3234" i="44" s="1"/>
  <c r="H772" i="3"/>
  <c r="A39" i="34"/>
  <c r="I122" i="24"/>
  <c r="I791" i="3"/>
  <c r="B3249" i="44"/>
  <c r="F3249" i="44" s="1"/>
  <c r="H775" i="3"/>
  <c r="H781" i="3"/>
  <c r="H77" i="34" s="1"/>
  <c r="I800" i="3"/>
  <c r="I96" i="34" s="1"/>
  <c r="A16" i="34"/>
  <c r="C87" i="34"/>
  <c r="A37" i="34"/>
  <c r="H790" i="3"/>
  <c r="B3277" i="44"/>
  <c r="F3277" i="44" s="1"/>
  <c r="B3358" i="44"/>
  <c r="F3358" i="44" s="1"/>
  <c r="H722" i="3"/>
  <c r="I725" i="3"/>
  <c r="B3207" i="44"/>
  <c r="F3207" i="44" s="1"/>
  <c r="A87" i="34"/>
  <c r="B3253" i="44"/>
  <c r="F3253" i="44" s="1"/>
  <c r="B3196" i="44"/>
  <c r="F3196" i="44" s="1"/>
  <c r="H757" i="3"/>
  <c r="A22" i="34"/>
  <c r="B3235" i="44"/>
  <c r="F3235" i="44" s="1"/>
  <c r="B3346" i="44"/>
  <c r="F3346" i="44" s="1"/>
  <c r="A85" i="34"/>
  <c r="A192" i="3"/>
  <c r="A26" i="30" s="1"/>
  <c r="B696" i="3"/>
  <c r="E1508" i="44" s="1"/>
  <c r="A1508" i="44" s="1"/>
  <c r="G143" i="24"/>
  <c r="B112" i="30"/>
  <c r="E143" i="24"/>
  <c r="I143" i="24"/>
  <c r="E149" i="3"/>
  <c r="I175" i="32"/>
  <c r="B226" i="30"/>
  <c r="G144" i="24"/>
  <c r="C122" i="24"/>
  <c r="G122" i="24"/>
  <c r="H144" i="24"/>
  <c r="A208" i="3"/>
  <c r="A42" i="30" s="1"/>
  <c r="I144" i="24"/>
  <c r="G854" i="5"/>
  <c r="D261" i="44"/>
  <c r="D274" i="44"/>
  <c r="B124" i="30"/>
  <c r="B884" i="3"/>
  <c r="A265" i="3"/>
  <c r="A98" i="30" s="1"/>
  <c r="F300" i="3"/>
  <c r="I16" i="25" s="1"/>
  <c r="A289" i="3"/>
  <c r="A122" i="30" s="1"/>
  <c r="C140" i="24"/>
  <c r="E140" i="24"/>
  <c r="I714" i="3"/>
  <c r="E3271" i="44" s="1"/>
  <c r="A3271" i="44" s="1"/>
  <c r="I730" i="3"/>
  <c r="I733" i="3"/>
  <c r="I29" i="34" s="1"/>
  <c r="H741" i="3"/>
  <c r="E3199" i="44" s="1"/>
  <c r="A3199" i="44" s="1"/>
  <c r="I761" i="3"/>
  <c r="E3318" i="44" s="1"/>
  <c r="A3318" i="44" s="1"/>
  <c r="I764" i="3"/>
  <c r="E3321" i="44" s="1"/>
  <c r="A3321" i="44" s="1"/>
  <c r="H765" i="3"/>
  <c r="H788" i="3"/>
  <c r="H798" i="3"/>
  <c r="H800" i="3"/>
  <c r="H96" i="34" s="1"/>
  <c r="H384" i="3"/>
  <c r="E384" i="3"/>
  <c r="M384" i="3"/>
  <c r="G384" i="3"/>
  <c r="A273" i="3"/>
  <c r="A106" i="30" s="1"/>
  <c r="F17" i="25"/>
  <c r="F301" i="3"/>
  <c r="I17" i="25" s="1"/>
  <c r="D142" i="24"/>
  <c r="F6" i="34"/>
  <c r="I710" i="3"/>
  <c r="B8" i="34"/>
  <c r="H712" i="3"/>
  <c r="F8" i="34"/>
  <c r="I712" i="3"/>
  <c r="I8" i="34" s="1"/>
  <c r="B11" i="34"/>
  <c r="H715" i="3"/>
  <c r="F12" i="34"/>
  <c r="I716" i="3"/>
  <c r="C17" i="34"/>
  <c r="H721" i="3"/>
  <c r="B3187" i="44"/>
  <c r="F3187" i="44" s="1"/>
  <c r="A25" i="34"/>
  <c r="A31" i="34"/>
  <c r="B3292" i="44"/>
  <c r="F3292" i="44" s="1"/>
  <c r="E31" i="34"/>
  <c r="I735" i="3"/>
  <c r="H738" i="3"/>
  <c r="B34" i="34"/>
  <c r="B3299" i="44"/>
  <c r="F3299" i="44" s="1"/>
  <c r="A38" i="34"/>
  <c r="F40" i="34"/>
  <c r="I744" i="3"/>
  <c r="F49" i="34"/>
  <c r="I753" i="3"/>
  <c r="B3214" i="44"/>
  <c r="F3214" i="44" s="1"/>
  <c r="B3313" i="44"/>
  <c r="F3313" i="44" s="1"/>
  <c r="F55" i="34"/>
  <c r="I759" i="3"/>
  <c r="A56" i="34"/>
  <c r="B3218" i="44"/>
  <c r="F3218" i="44" s="1"/>
  <c r="S60" i="34"/>
  <c r="B62" i="34"/>
  <c r="H766" i="3"/>
  <c r="F63" i="34"/>
  <c r="I767" i="3"/>
  <c r="C64" i="34"/>
  <c r="H768" i="3"/>
  <c r="C65" i="34"/>
  <c r="H769" i="3"/>
  <c r="F66" i="34"/>
  <c r="I770" i="3"/>
  <c r="B67" i="34"/>
  <c r="H771" i="3"/>
  <c r="S74" i="34"/>
  <c r="A79" i="34"/>
  <c r="B3340" i="44"/>
  <c r="F3340" i="44" s="1"/>
  <c r="A82" i="34"/>
  <c r="B3343" i="44"/>
  <c r="F3343" i="44" s="1"/>
  <c r="C82" i="34"/>
  <c r="H786" i="3"/>
  <c r="A83" i="34"/>
  <c r="B3245" i="44"/>
  <c r="F3245" i="44" s="1"/>
  <c r="C89" i="34"/>
  <c r="H793" i="3"/>
  <c r="C93" i="34"/>
  <c r="H797" i="3"/>
  <c r="F95" i="34"/>
  <c r="I799" i="3"/>
  <c r="F98" i="34"/>
  <c r="I802" i="3"/>
  <c r="B99" i="34"/>
  <c r="H803" i="3"/>
  <c r="C50" i="30"/>
  <c r="C231" i="3"/>
  <c r="C64" i="30" s="1"/>
  <c r="E122" i="24"/>
  <c r="C14" i="34"/>
  <c r="H718" i="3"/>
  <c r="F20" i="34"/>
  <c r="I724" i="3"/>
  <c r="B3183" i="44"/>
  <c r="F3183" i="44" s="1"/>
  <c r="B3282" i="44"/>
  <c r="F3282" i="44" s="1"/>
  <c r="B26" i="34"/>
  <c r="H730" i="3"/>
  <c r="B3288" i="44"/>
  <c r="F3288" i="44" s="1"/>
  <c r="B3189" i="44"/>
  <c r="F3189" i="44" s="1"/>
  <c r="B3289" i="44"/>
  <c r="F3289" i="44" s="1"/>
  <c r="B3190" i="44"/>
  <c r="F3190" i="44" s="1"/>
  <c r="B29" i="34"/>
  <c r="H733" i="3"/>
  <c r="C31" i="34"/>
  <c r="H735" i="3"/>
  <c r="F32" i="34"/>
  <c r="I736" i="3"/>
  <c r="E3293" i="44" s="1"/>
  <c r="A3293" i="44" s="1"/>
  <c r="E37" i="34"/>
  <c r="I741" i="3"/>
  <c r="B3302" i="44"/>
  <c r="F3302" i="44" s="1"/>
  <c r="A41" i="34"/>
  <c r="E43" i="34"/>
  <c r="I747" i="3"/>
  <c r="B44" i="34"/>
  <c r="H748" i="3"/>
  <c r="C46" i="34"/>
  <c r="H750" i="3"/>
  <c r="B3217" i="44"/>
  <c r="F3217" i="44" s="1"/>
  <c r="B3316" i="44"/>
  <c r="F3316" i="44" s="1"/>
  <c r="S66" i="34"/>
  <c r="C73" i="34"/>
  <c r="H777" i="3"/>
  <c r="E73" i="34"/>
  <c r="I777" i="3"/>
  <c r="C76" i="34"/>
  <c r="H780" i="3"/>
  <c r="E76" i="34"/>
  <c r="I780" i="3"/>
  <c r="I76" i="34" s="1"/>
  <c r="B3254" i="44"/>
  <c r="F3254" i="44" s="1"/>
  <c r="A92" i="34"/>
  <c r="B3356" i="44"/>
  <c r="F3356" i="44" s="1"/>
  <c r="B3257" i="44"/>
  <c r="F3257" i="44" s="1"/>
  <c r="B98" i="34"/>
  <c r="H802" i="3"/>
  <c r="I192" i="32"/>
  <c r="I203" i="32"/>
  <c r="D808" i="3"/>
  <c r="I1577" i="44" s="1"/>
  <c r="H756" i="3"/>
  <c r="H747" i="3"/>
  <c r="B3286" i="44"/>
  <c r="F3286" i="44" s="1"/>
  <c r="B808" i="3"/>
  <c r="I1575" i="44" s="1"/>
  <c r="C292" i="3"/>
  <c r="H805" i="3"/>
  <c r="I801" i="3"/>
  <c r="H763" i="3"/>
  <c r="A55" i="34"/>
  <c r="H758" i="3"/>
  <c r="E10" i="34"/>
  <c r="C195" i="3"/>
  <c r="C29" i="30" s="1"/>
  <c r="I755" i="3"/>
  <c r="A21" i="34"/>
  <c r="H774" i="3"/>
  <c r="C84" i="34"/>
  <c r="H729" i="3"/>
  <c r="I737" i="3"/>
  <c r="H140" i="24"/>
  <c r="H806" i="3"/>
  <c r="I745" i="3"/>
  <c r="B3203" i="44"/>
  <c r="F3203" i="44" s="1"/>
  <c r="A95" i="34"/>
  <c r="B94" i="34"/>
  <c r="H727" i="3"/>
  <c r="I793" i="3"/>
  <c r="A27" i="34"/>
  <c r="H782" i="3"/>
  <c r="H737" i="3"/>
  <c r="B3193" i="44"/>
  <c r="F3193" i="44" s="1"/>
  <c r="I731" i="3"/>
  <c r="E3288" i="44" s="1"/>
  <c r="A3288" i="44" s="1"/>
  <c r="H726" i="3"/>
  <c r="B3317" i="44"/>
  <c r="F3317" i="44" s="1"/>
  <c r="H755" i="3"/>
  <c r="I763" i="3"/>
  <c r="H778" i="3"/>
  <c r="A52" i="34"/>
  <c r="B3200" i="44"/>
  <c r="F3200" i="44" s="1"/>
  <c r="I732" i="3"/>
  <c r="E3289" i="44" s="1"/>
  <c r="A3289" i="44" s="1"/>
  <c r="F140" i="24"/>
  <c r="E60" i="34"/>
  <c r="I765" i="3"/>
  <c r="B3210" i="44"/>
  <c r="F3210" i="44" s="1"/>
  <c r="B3309" i="44"/>
  <c r="F3309" i="44" s="1"/>
  <c r="I779" i="3"/>
  <c r="G140" i="24"/>
  <c r="I140" i="24"/>
  <c r="C142" i="24"/>
  <c r="E142" i="24"/>
  <c r="E808" i="3"/>
  <c r="I1578" i="44" s="1"/>
  <c r="I718" i="3"/>
  <c r="I756" i="3"/>
  <c r="D143" i="24"/>
  <c r="D182" i="24"/>
  <c r="G93" i="25"/>
  <c r="D936" i="44"/>
  <c r="B2562" i="44"/>
  <c r="B2563" i="44" s="1"/>
  <c r="B2564" i="44" s="1"/>
  <c r="B2848" i="44"/>
  <c r="B2849" i="44" s="1"/>
  <c r="D1028" i="44"/>
  <c r="B1073" i="44"/>
  <c r="D1074" i="44" s="1"/>
  <c r="B698" i="44"/>
  <c r="D476" i="44"/>
  <c r="D1855" i="44"/>
  <c r="D989" i="44"/>
  <c r="D949" i="44"/>
  <c r="D931" i="44"/>
  <c r="D937" i="44"/>
  <c r="D928" i="44"/>
  <c r="D932" i="44"/>
  <c r="D935" i="44"/>
  <c r="D930" i="44"/>
  <c r="D970" i="44"/>
  <c r="D929" i="44"/>
  <c r="D971" i="44"/>
  <c r="D944" i="44"/>
  <c r="B2017" i="44"/>
  <c r="B2018" i="44" s="1"/>
  <c r="D2018" i="44" s="1"/>
  <c r="D1024" i="44"/>
  <c r="D1032" i="44"/>
  <c r="D941" i="44"/>
  <c r="D943" i="44"/>
  <c r="D948" i="44"/>
  <c r="D940" i="44"/>
  <c r="D951" i="44"/>
  <c r="D925" i="44"/>
  <c r="J2911" i="44"/>
  <c r="D2975" i="44"/>
  <c r="D934" i="44"/>
  <c r="J2239" i="44"/>
  <c r="D2303" i="44"/>
  <c r="D2465" i="44"/>
  <c r="D1079" i="44"/>
  <c r="B2592" i="44"/>
  <c r="D2592" i="44" s="1"/>
  <c r="J2335" i="44"/>
  <c r="J2207" i="44"/>
  <c r="D2783" i="44"/>
  <c r="J2655" i="44"/>
  <c r="D2271" i="44"/>
  <c r="D1544" i="44"/>
  <c r="D1537" i="44"/>
  <c r="B3008" i="44"/>
  <c r="D3008" i="44" s="1"/>
  <c r="D757" i="44"/>
  <c r="J2879" i="44"/>
  <c r="D597" i="44"/>
  <c r="B599" i="44"/>
  <c r="B604" i="44" s="1"/>
  <c r="D606" i="44" s="1"/>
  <c r="D800" i="44"/>
  <c r="D801" i="44"/>
  <c r="D1008" i="44"/>
  <c r="D2464" i="44"/>
  <c r="B1824" i="44"/>
  <c r="B1825" i="44" s="1"/>
  <c r="D1825" i="44" s="1"/>
  <c r="J1759" i="44"/>
  <c r="B1888" i="44"/>
  <c r="D1888" i="44" s="1"/>
  <c r="B2272" i="44"/>
  <c r="D1951" i="44"/>
  <c r="N255" i="3"/>
  <c r="G214" i="30" s="1"/>
  <c r="N267" i="3"/>
  <c r="G226" i="30" s="1"/>
  <c r="N261" i="3"/>
  <c r="G220" i="30" s="1"/>
  <c r="N235" i="3"/>
  <c r="G194" i="30" s="1"/>
  <c r="N224" i="3"/>
  <c r="G184" i="30" s="1"/>
  <c r="N216" i="3"/>
  <c r="G176" i="30" s="1"/>
  <c r="N256" i="3"/>
  <c r="G215" i="30" s="1"/>
  <c r="N191" i="3"/>
  <c r="G151" i="30" s="1"/>
  <c r="N197" i="3"/>
  <c r="G157" i="30" s="1"/>
  <c r="C534" i="5"/>
  <c r="J41" i="25"/>
  <c r="G75" i="32"/>
  <c r="D10" i="25"/>
  <c r="I16" i="24"/>
  <c r="D139" i="32"/>
  <c r="L70" i="3"/>
  <c r="B2369" i="44"/>
  <c r="B2370" i="44" s="1"/>
  <c r="D2370" i="44" s="1"/>
  <c r="D694" i="44"/>
  <c r="B477" i="44"/>
  <c r="D481" i="44" s="1"/>
  <c r="F183" i="44"/>
  <c r="D1919" i="44"/>
  <c r="B1005" i="44"/>
  <c r="D996" i="44"/>
  <c r="B1792" i="44"/>
  <c r="D1792" i="44" s="1"/>
  <c r="D1052" i="44"/>
  <c r="D3136" i="44"/>
  <c r="J1599" i="44"/>
  <c r="D2623" i="44"/>
  <c r="D2239" i="44"/>
  <c r="J2559" i="44"/>
  <c r="D2559" i="44"/>
  <c r="J2495" i="44"/>
  <c r="J3135" i="44"/>
  <c r="D2943" i="44"/>
  <c r="B3072" i="44"/>
  <c r="B3073" i="44" s="1"/>
  <c r="D3071" i="44"/>
  <c r="D695" i="44"/>
  <c r="D472" i="44"/>
  <c r="J1855" i="44"/>
  <c r="D1005" i="44"/>
  <c r="D988" i="44"/>
  <c r="B2945" i="44"/>
  <c r="B2946" i="44" s="1"/>
  <c r="B2947" i="44" s="1"/>
  <c r="D2947" i="44" s="1"/>
  <c r="B1024" i="44"/>
  <c r="B2624" i="44"/>
  <c r="D2624" i="44" s="1"/>
  <c r="D2431" i="44"/>
  <c r="J2303" i="44"/>
  <c r="D1539" i="44"/>
  <c r="D2560" i="44"/>
  <c r="D2688" i="44"/>
  <c r="D696" i="44"/>
  <c r="D2687" i="44"/>
  <c r="J1727" i="44"/>
  <c r="J2431" i="44"/>
  <c r="B2752" i="44"/>
  <c r="D2304" i="44"/>
  <c r="D697" i="44"/>
  <c r="D475" i="44"/>
  <c r="J2367" i="44"/>
  <c r="B988" i="44"/>
  <c r="B1052" i="44"/>
  <c r="B1665" i="44"/>
  <c r="B1666" i="44" s="1"/>
  <c r="B2880" i="44"/>
  <c r="B2881" i="44" s="1"/>
  <c r="D2881" i="44" s="1"/>
  <c r="D2495" i="44"/>
  <c r="D1078" i="44"/>
  <c r="B2497" i="44"/>
  <c r="D2497" i="44" s="1"/>
  <c r="J2687" i="44"/>
  <c r="J2815" i="44"/>
  <c r="D1663" i="44"/>
  <c r="J3007" i="44"/>
  <c r="B759" i="44"/>
  <c r="B761" i="44" s="1"/>
  <c r="D762" i="44" s="1"/>
  <c r="J2751" i="44"/>
  <c r="D2240" i="44"/>
  <c r="D3135" i="44"/>
  <c r="J1791" i="44"/>
  <c r="J2943" i="44"/>
  <c r="S14" i="34"/>
  <c r="S18" i="34"/>
  <c r="S31" i="34"/>
  <c r="S36" i="34"/>
  <c r="S808" i="3"/>
  <c r="S21" i="34"/>
  <c r="S33" i="34"/>
  <c r="S40" i="34"/>
  <c r="S49" i="34"/>
  <c r="K808" i="3"/>
  <c r="I709" i="3"/>
  <c r="F30" i="34"/>
  <c r="I734" i="3"/>
  <c r="F39" i="34"/>
  <c r="I743" i="3"/>
  <c r="F48" i="34"/>
  <c r="I752" i="3"/>
  <c r="F50" i="34"/>
  <c r="I754" i="3"/>
  <c r="F101" i="34"/>
  <c r="I805" i="3"/>
  <c r="F808" i="3"/>
  <c r="I1579" i="44" s="1"/>
  <c r="I751" i="3"/>
  <c r="G808" i="3"/>
  <c r="I1580" i="44" s="1"/>
  <c r="I742" i="3"/>
  <c r="I748" i="3"/>
  <c r="I728" i="3"/>
  <c r="I713" i="3"/>
  <c r="I715" i="3"/>
  <c r="I776" i="3"/>
  <c r="I783" i="3"/>
  <c r="I757" i="3"/>
  <c r="F88" i="34"/>
  <c r="I792" i="3"/>
  <c r="N218" i="3"/>
  <c r="G178" i="30" s="1"/>
  <c r="N187" i="3"/>
  <c r="G147" i="30" s="1"/>
  <c r="N264" i="3"/>
  <c r="G223" i="30" s="1"/>
  <c r="N238" i="3"/>
  <c r="G197" i="30" s="1"/>
  <c r="N172" i="3"/>
  <c r="G132" i="30" s="1"/>
  <c r="N226" i="3"/>
  <c r="G186" i="30" s="1"/>
  <c r="N251" i="3"/>
  <c r="G210" i="30" s="1"/>
  <c r="N182" i="3"/>
  <c r="G142" i="30" s="1"/>
  <c r="G271" i="3"/>
  <c r="F259" i="44"/>
  <c r="J2959" i="44"/>
  <c r="D2671" i="44"/>
  <c r="D276" i="44"/>
  <c r="D257" i="44"/>
  <c r="D145" i="44"/>
  <c r="F145" i="44" s="1"/>
  <c r="F271" i="44"/>
  <c r="G811" i="3"/>
  <c r="E298" i="44"/>
  <c r="A298" i="44" s="1"/>
  <c r="E745" i="44"/>
  <c r="A745" i="44" s="1"/>
  <c r="F1575" i="44"/>
  <c r="F1578" i="44"/>
  <c r="D1542" i="44"/>
  <c r="B1066" i="44"/>
  <c r="D3119" i="44"/>
  <c r="D1859" i="44"/>
  <c r="F247" i="44"/>
  <c r="B2000" i="44"/>
  <c r="B2001" i="44" s="1"/>
  <c r="B3121" i="44"/>
  <c r="J2415" i="44"/>
  <c r="B206" i="44"/>
  <c r="D206" i="44" s="1"/>
  <c r="D1088" i="44"/>
  <c r="J3119" i="44"/>
  <c r="F248" i="44"/>
  <c r="D1065" i="44"/>
  <c r="D2063" i="44"/>
  <c r="D2064" i="44"/>
  <c r="D2799" i="44"/>
  <c r="J2159" i="44"/>
  <c r="F281" i="44"/>
  <c r="D2095" i="44"/>
  <c r="H291" i="3"/>
  <c r="H124" i="30" s="1"/>
  <c r="H283" i="3"/>
  <c r="H116" i="30" s="1"/>
  <c r="D2384" i="44"/>
  <c r="B2385" i="44"/>
  <c r="D2385" i="44" s="1"/>
  <c r="D2737" i="44"/>
  <c r="B2738" i="44"/>
  <c r="D2738" i="44" s="1"/>
  <c r="B3025" i="44"/>
  <c r="B3026" i="44" s="1"/>
  <c r="D3024" i="44"/>
  <c r="D1550" i="44"/>
  <c r="D1746" i="44"/>
  <c r="B1778" i="44"/>
  <c r="B1779" i="44" s="1"/>
  <c r="D1779" i="44" s="1"/>
  <c r="F249" i="44"/>
  <c r="F256" i="44"/>
  <c r="B2960" i="44"/>
  <c r="D2960" i="44" s="1"/>
  <c r="J2543" i="44"/>
  <c r="D2415" i="44"/>
  <c r="F199" i="44"/>
  <c r="D144" i="44"/>
  <c r="D1711" i="44"/>
  <c r="F275" i="44"/>
  <c r="B1712" i="44"/>
  <c r="D1712" i="44" s="1"/>
  <c r="B2160" i="44"/>
  <c r="B2161" i="44" s="1"/>
  <c r="J2095" i="44"/>
  <c r="B2800" i="44"/>
  <c r="B2801" i="44" s="1"/>
  <c r="D2801" i="44" s="1"/>
  <c r="D1026" i="44"/>
  <c r="B1062" i="44"/>
  <c r="D1999" i="44"/>
  <c r="J1871" i="44"/>
  <c r="J2063" i="44"/>
  <c r="F175" i="44"/>
  <c r="B174" i="44"/>
  <c r="D174" i="44" s="1"/>
  <c r="F193" i="44"/>
  <c r="B192" i="44"/>
  <c r="D192" i="44" s="1"/>
  <c r="B194" i="44"/>
  <c r="D194" i="44" s="1"/>
  <c r="F195" i="44"/>
  <c r="F203" i="44"/>
  <c r="B202" i="44"/>
  <c r="D202" i="44" s="1"/>
  <c r="F205" i="44"/>
  <c r="B204" i="44"/>
  <c r="D204" i="44" s="1"/>
  <c r="F279" i="44"/>
  <c r="D279" i="44"/>
  <c r="D302" i="44"/>
  <c r="D300" i="44"/>
  <c r="D320" i="44"/>
  <c r="B321" i="44"/>
  <c r="D321" i="44" s="1"/>
  <c r="D678" i="44"/>
  <c r="D679" i="44"/>
  <c r="D724" i="44"/>
  <c r="B725" i="44"/>
  <c r="D725" i="44" s="1"/>
  <c r="B835" i="44"/>
  <c r="D835" i="44" s="1"/>
  <c r="D834" i="44"/>
  <c r="B883" i="44"/>
  <c r="D881" i="44"/>
  <c r="D985" i="44"/>
  <c r="B986" i="44"/>
  <c r="D1020" i="44"/>
  <c r="D1021" i="44"/>
  <c r="B1034" i="44"/>
  <c r="D1034" i="44"/>
  <c r="D1038" i="44"/>
  <c r="D1037" i="44"/>
  <c r="D1043" i="44"/>
  <c r="B1043" i="44"/>
  <c r="D1044" i="44" s="1"/>
  <c r="D1048" i="44"/>
  <c r="D1049" i="44"/>
  <c r="B1049" i="44"/>
  <c r="D1050" i="44" s="1"/>
  <c r="D1058" i="44"/>
  <c r="B1058" i="44"/>
  <c r="B1616" i="44"/>
  <c r="D1616" i="44" s="1"/>
  <c r="J1615" i="44"/>
  <c r="B1648" i="44"/>
  <c r="B1649" i="44" s="1"/>
  <c r="B1650" i="44" s="1"/>
  <c r="J1647" i="44"/>
  <c r="J1743" i="44"/>
  <c r="D1743" i="44"/>
  <c r="J1903" i="44"/>
  <c r="D1903" i="44"/>
  <c r="D1935" i="44"/>
  <c r="J1935" i="44"/>
  <c r="B1968" i="44"/>
  <c r="D1967" i="44"/>
  <c r="J2031" i="44"/>
  <c r="B2032" i="44"/>
  <c r="B2033" i="44" s="1"/>
  <c r="B2034" i="44" s="1"/>
  <c r="B2035" i="44" s="1"/>
  <c r="D2035" i="44" s="1"/>
  <c r="D2096" i="44"/>
  <c r="B2097" i="44"/>
  <c r="J2127" i="44"/>
  <c r="D2127" i="44"/>
  <c r="J2191" i="44"/>
  <c r="B2192" i="44"/>
  <c r="B2193" i="44" s="1"/>
  <c r="D2193" i="44" s="1"/>
  <c r="J2223" i="44"/>
  <c r="B2224" i="44"/>
  <c r="B2225" i="44" s="1"/>
  <c r="D2223" i="44"/>
  <c r="B2256" i="44"/>
  <c r="D2256" i="44" s="1"/>
  <c r="D2255" i="44"/>
  <c r="J2287" i="44"/>
  <c r="B2288" i="44"/>
  <c r="D2287" i="44"/>
  <c r="J2319" i="44"/>
  <c r="B2320" i="44"/>
  <c r="B2321" i="44" s="1"/>
  <c r="D2321" i="44" s="1"/>
  <c r="B2352" i="44"/>
  <c r="D2352" i="44" s="1"/>
  <c r="D2351" i="44"/>
  <c r="D2383" i="44"/>
  <c r="J2383" i="44"/>
  <c r="B2480" i="44"/>
  <c r="D2480" i="44" s="1"/>
  <c r="D2479" i="44"/>
  <c r="J2575" i="44"/>
  <c r="D2575" i="44"/>
  <c r="B2608" i="44"/>
  <c r="B2609" i="44" s="1"/>
  <c r="D2607" i="44"/>
  <c r="B2704" i="44"/>
  <c r="B2705" i="44" s="1"/>
  <c r="D2703" i="44"/>
  <c r="D2735" i="44"/>
  <c r="J2735" i="44"/>
  <c r="D2767" i="44"/>
  <c r="B2768" i="44"/>
  <c r="D3023" i="44"/>
  <c r="J3023" i="44"/>
  <c r="J3087" i="44"/>
  <c r="B3088" i="44"/>
  <c r="B3152" i="44"/>
  <c r="D3151" i="44"/>
  <c r="D1856" i="44"/>
  <c r="B1905" i="44"/>
  <c r="D1905" i="44" s="1"/>
  <c r="B200" i="44"/>
  <c r="D200" i="44" s="1"/>
  <c r="B1054" i="44"/>
  <c r="D1053" i="44"/>
  <c r="D1062" i="44"/>
  <c r="D723" i="44"/>
  <c r="D1025" i="44"/>
  <c r="D1615" i="44"/>
  <c r="D1871" i="44"/>
  <c r="B1936" i="44"/>
  <c r="B1937" i="44" s="1"/>
  <c r="N214" i="3"/>
  <c r="G174" i="30" s="1"/>
  <c r="N233" i="3"/>
  <c r="G192" i="30" s="1"/>
  <c r="N266" i="3"/>
  <c r="G225" i="30" s="1"/>
  <c r="N211" i="3"/>
  <c r="G171" i="30" s="1"/>
  <c r="N241" i="3"/>
  <c r="G200" i="30" s="1"/>
  <c r="N183" i="3"/>
  <c r="G143" i="30" s="1"/>
  <c r="N243" i="3"/>
  <c r="G202" i="30" s="1"/>
  <c r="N208" i="3"/>
  <c r="G168" i="30" s="1"/>
  <c r="N225" i="3"/>
  <c r="G185" i="30" s="1"/>
  <c r="N179" i="3"/>
  <c r="G139" i="30" s="1"/>
  <c r="N217" i="3"/>
  <c r="G177" i="30" s="1"/>
  <c r="N189" i="3"/>
  <c r="G149" i="30" s="1"/>
  <c r="N222" i="3"/>
  <c r="G182" i="30" s="1"/>
  <c r="N248" i="3"/>
  <c r="G207" i="30" s="1"/>
  <c r="N229" i="3"/>
  <c r="G188" i="30" s="1"/>
  <c r="N250" i="3"/>
  <c r="G209" i="30" s="1"/>
  <c r="N207" i="3"/>
  <c r="G167" i="30" s="1"/>
  <c r="N221" i="3"/>
  <c r="G181" i="30" s="1"/>
  <c r="N230" i="3"/>
  <c r="G189" i="30" s="1"/>
  <c r="N253" i="3"/>
  <c r="G212" i="30" s="1"/>
  <c r="H269" i="3"/>
  <c r="H102" i="30" s="1"/>
  <c r="H273" i="3"/>
  <c r="H106" i="30" s="1"/>
  <c r="H286" i="3"/>
  <c r="H119" i="30" s="1"/>
  <c r="H245" i="3"/>
  <c r="H78" i="30" s="1"/>
  <c r="H249" i="3"/>
  <c r="H82" i="30" s="1"/>
  <c r="C543" i="3"/>
  <c r="B501" i="3"/>
  <c r="F93" i="25" s="1"/>
  <c r="H290" i="3"/>
  <c r="H123" i="30" s="1"/>
  <c r="H211" i="3"/>
  <c r="H45" i="30" s="1"/>
  <c r="H175" i="3"/>
  <c r="H9" i="30" s="1"/>
  <c r="H287" i="3"/>
  <c r="H120" i="30" s="1"/>
  <c r="H289" i="3"/>
  <c r="H122" i="30" s="1"/>
  <c r="H239" i="3"/>
  <c r="H72" i="30" s="1"/>
  <c r="H243" i="3"/>
  <c r="H76" i="30" s="1"/>
  <c r="C17" i="3"/>
  <c r="D203" i="24"/>
  <c r="F841" i="3"/>
  <c r="C115" i="25" s="1"/>
  <c r="B636" i="3"/>
  <c r="H237" i="3"/>
  <c r="H70" i="30" s="1"/>
  <c r="H231" i="3"/>
  <c r="H64" i="30" s="1"/>
  <c r="H270" i="3"/>
  <c r="H103" i="30" s="1"/>
  <c r="H244" i="3"/>
  <c r="H77" i="30" s="1"/>
  <c r="H179" i="3"/>
  <c r="H13" i="30" s="1"/>
  <c r="H288" i="3"/>
  <c r="H241" i="3"/>
  <c r="H74" i="30" s="1"/>
  <c r="H195" i="3"/>
  <c r="H29" i="30" s="1"/>
  <c r="H235" i="3"/>
  <c r="H68" i="30" s="1"/>
  <c r="H240" i="3"/>
  <c r="H73" i="30" s="1"/>
  <c r="H234" i="3"/>
  <c r="H67" i="30" s="1"/>
  <c r="H238" i="3"/>
  <c r="H71" i="30" s="1"/>
  <c r="H242" i="3"/>
  <c r="H75" i="30" s="1"/>
  <c r="H178" i="3"/>
  <c r="H12" i="30" s="1"/>
  <c r="H285" i="3"/>
  <c r="H118" i="30" s="1"/>
  <c r="C546" i="3"/>
  <c r="H239" i="5"/>
  <c r="B436" i="3"/>
  <c r="M55" i="3"/>
  <c r="D920" i="5"/>
  <c r="C14" i="3"/>
  <c r="C493" i="3"/>
  <c r="C489" i="3"/>
  <c r="C494" i="3"/>
  <c r="C545" i="3"/>
  <c r="D18" i="24"/>
  <c r="F842" i="3"/>
  <c r="C116" i="25" s="1"/>
  <c r="H842" i="3"/>
  <c r="E116" i="25" s="1"/>
  <c r="D148" i="24"/>
  <c r="D54" i="32"/>
  <c r="F267" i="44"/>
  <c r="F270" i="44"/>
  <c r="F273" i="44"/>
  <c r="E294" i="44"/>
  <c r="A294" i="44" s="1"/>
  <c r="G294" i="44" s="1"/>
  <c r="B409" i="3"/>
  <c r="B292" i="3"/>
  <c r="B580" i="3" s="1"/>
  <c r="B1861" i="44"/>
  <c r="D1858" i="44"/>
  <c r="D1857" i="44"/>
  <c r="F157" i="44"/>
  <c r="B184" i="44"/>
  <c r="D184" i="44" s="1"/>
  <c r="B196" i="44"/>
  <c r="D196" i="44" s="1"/>
  <c r="F179" i="44"/>
  <c r="B154" i="44"/>
  <c r="D154" i="44" s="1"/>
  <c r="F173" i="44"/>
  <c r="B680" i="44"/>
  <c r="D681" i="44" s="1"/>
  <c r="F277" i="44"/>
  <c r="D301" i="44"/>
  <c r="F209" i="44"/>
  <c r="B303" i="44"/>
  <c r="D306" i="44" s="1"/>
  <c r="D2576" i="44"/>
  <c r="F265" i="44"/>
  <c r="F266" i="44"/>
  <c r="B1729" i="44"/>
  <c r="D1728" i="44"/>
  <c r="B1921" i="44"/>
  <c r="D1920" i="44"/>
  <c r="D2241" i="44"/>
  <c r="B2242" i="44"/>
  <c r="D2305" i="44"/>
  <c r="B2306" i="44"/>
  <c r="D2306" i="44" s="1"/>
  <c r="F246" i="44"/>
  <c r="F250" i="44"/>
  <c r="E296" i="44"/>
  <c r="A296" i="44" s="1"/>
  <c r="E297" i="44"/>
  <c r="A297" i="44" s="1"/>
  <c r="H264" i="3"/>
  <c r="H97" i="30" s="1"/>
  <c r="G815" i="3"/>
  <c r="G810" i="3"/>
  <c r="H238" i="5"/>
  <c r="C548" i="3"/>
  <c r="C544" i="3"/>
  <c r="C547" i="3"/>
  <c r="C490" i="3"/>
  <c r="C492" i="3"/>
  <c r="N252" i="3"/>
  <c r="G211" i="30" s="1"/>
  <c r="N196" i="3"/>
  <c r="G156" i="30" s="1"/>
  <c r="N223" i="3"/>
  <c r="G183" i="30" s="1"/>
  <c r="N257" i="3"/>
  <c r="G216" i="30" s="1"/>
  <c r="N259" i="3"/>
  <c r="G218" i="30" s="1"/>
  <c r="N175" i="3"/>
  <c r="G135" i="30" s="1"/>
  <c r="N190" i="3"/>
  <c r="G150" i="30" s="1"/>
  <c r="E124" i="30"/>
  <c r="N177" i="3"/>
  <c r="G137" i="30" s="1"/>
  <c r="N198" i="3"/>
  <c r="G158" i="30" s="1"/>
  <c r="N232" i="3"/>
  <c r="G191" i="30" s="1"/>
  <c r="N247" i="3"/>
  <c r="G206" i="30" s="1"/>
  <c r="N186" i="3"/>
  <c r="G146" i="30" s="1"/>
  <c r="N213" i="3"/>
  <c r="G173" i="30" s="1"/>
  <c r="N173" i="3"/>
  <c r="G133" i="30" s="1"/>
  <c r="N204" i="3"/>
  <c r="G164" i="30" s="1"/>
  <c r="N228" i="3"/>
  <c r="G187" i="30" s="1"/>
  <c r="N239" i="3"/>
  <c r="G198" i="30" s="1"/>
  <c r="N174" i="3"/>
  <c r="G134" i="30" s="1"/>
  <c r="N209" i="3"/>
  <c r="G169" i="30" s="1"/>
  <c r="N258" i="3"/>
  <c r="G217" i="30" s="1"/>
  <c r="N200" i="3"/>
  <c r="G160" i="30" s="1"/>
  <c r="N181" i="3"/>
  <c r="G141" i="30" s="1"/>
  <c r="N237" i="3"/>
  <c r="G196" i="30" s="1"/>
  <c r="N245" i="3"/>
  <c r="G204" i="30" s="1"/>
  <c r="N185" i="3"/>
  <c r="G145" i="30" s="1"/>
  <c r="N206" i="3"/>
  <c r="G166" i="30" s="1"/>
  <c r="N240" i="3"/>
  <c r="G199" i="30" s="1"/>
  <c r="N202" i="3"/>
  <c r="G162" i="30" s="1"/>
  <c r="N194" i="3"/>
  <c r="G154" i="30" s="1"/>
  <c r="N244" i="3"/>
  <c r="G203" i="30" s="1"/>
  <c r="N199" i="3"/>
  <c r="G159" i="30" s="1"/>
  <c r="N184" i="3"/>
  <c r="G144" i="30" s="1"/>
  <c r="N201" i="3"/>
  <c r="G161" i="30" s="1"/>
  <c r="N231" i="3"/>
  <c r="G190" i="30" s="1"/>
  <c r="N265" i="3"/>
  <c r="G224" i="30" s="1"/>
  <c r="N215" i="3"/>
  <c r="G175" i="30" s="1"/>
  <c r="N192" i="3"/>
  <c r="G152" i="30" s="1"/>
  <c r="H210" i="3"/>
  <c r="H44" i="30" s="1"/>
  <c r="B438" i="3"/>
  <c r="H229" i="3"/>
  <c r="H62" i="30" s="1"/>
  <c r="J50" i="25"/>
  <c r="C541" i="5"/>
  <c r="C542" i="5"/>
  <c r="J56" i="25"/>
  <c r="J44" i="25"/>
  <c r="J27" i="25"/>
  <c r="C530" i="5"/>
  <c r="C529" i="5"/>
  <c r="J53" i="25"/>
  <c r="C528" i="5"/>
  <c r="C525" i="5"/>
  <c r="C524" i="5"/>
  <c r="B305" i="3"/>
  <c r="J24" i="25" s="1"/>
  <c r="J40" i="25"/>
  <c r="C533" i="5"/>
  <c r="C523" i="5"/>
  <c r="C522" i="5"/>
  <c r="B304" i="3"/>
  <c r="J20" i="25" s="1"/>
  <c r="C521" i="5"/>
  <c r="C535" i="5"/>
  <c r="J42" i="25"/>
  <c r="J36" i="25"/>
  <c r="E311" i="3"/>
  <c r="J43" i="25"/>
  <c r="H862" i="5"/>
  <c r="G860" i="5"/>
  <c r="H857" i="5"/>
  <c r="G857" i="5"/>
  <c r="G858" i="5"/>
  <c r="F858" i="5"/>
  <c r="H859" i="5"/>
  <c r="G859" i="5"/>
  <c r="F861" i="5"/>
  <c r="G861" i="5"/>
  <c r="D881" i="5"/>
  <c r="D886" i="5"/>
  <c r="H856" i="5"/>
  <c r="D882" i="5"/>
  <c r="D885" i="5"/>
  <c r="F862" i="5"/>
  <c r="F860" i="5"/>
  <c r="F859" i="5"/>
  <c r="H858" i="5"/>
  <c r="F857" i="5"/>
  <c r="D880" i="5"/>
  <c r="D2577" i="44"/>
  <c r="B2578" i="44"/>
  <c r="D2578" i="44" s="1"/>
  <c r="B164" i="44"/>
  <c r="D164" i="44" s="1"/>
  <c r="F165" i="44"/>
  <c r="B176" i="44"/>
  <c r="D176" i="44" s="1"/>
  <c r="F177" i="44"/>
  <c r="B180" i="44"/>
  <c r="D180" i="44" s="1"/>
  <c r="F181" i="44"/>
  <c r="D253" i="44"/>
  <c r="F253" i="44"/>
  <c r="F254" i="44"/>
  <c r="D254" i="44"/>
  <c r="D1534" i="44"/>
  <c r="B1748" i="44"/>
  <c r="B1749" i="44" s="1"/>
  <c r="B1750" i="44" s="1"/>
  <c r="D1745" i="44"/>
  <c r="D2736" i="44"/>
  <c r="D1776" i="44"/>
  <c r="B166" i="44"/>
  <c r="D166" i="44" s="1"/>
  <c r="B170" i="44"/>
  <c r="D170" i="44" s="1"/>
  <c r="F260" i="44"/>
  <c r="F151" i="44"/>
  <c r="D1089" i="44"/>
  <c r="F161" i="44"/>
  <c r="F252" i="44"/>
  <c r="D269" i="44"/>
  <c r="F269" i="44"/>
  <c r="D280" i="44"/>
  <c r="F280" i="44"/>
  <c r="D311" i="44"/>
  <c r="D313" i="44"/>
  <c r="D748" i="44"/>
  <c r="B749" i="44"/>
  <c r="D747" i="44"/>
  <c r="D895" i="44"/>
  <c r="B897" i="44"/>
  <c r="D897" i="44" s="1"/>
  <c r="D938" i="44"/>
  <c r="D933" i="44"/>
  <c r="D974" i="44"/>
  <c r="D975" i="44"/>
  <c r="D923" i="44"/>
  <c r="D982" i="44"/>
  <c r="D942" i="44"/>
  <c r="B984" i="44"/>
  <c r="D984" i="44"/>
  <c r="D983" i="44"/>
  <c r="D1013" i="44"/>
  <c r="D1012" i="44"/>
  <c r="D1045" i="44"/>
  <c r="B1046" i="44"/>
  <c r="D1047" i="44" s="1"/>
  <c r="D1055" i="44"/>
  <c r="D1056" i="44"/>
  <c r="B1060" i="44"/>
  <c r="D1060" i="44"/>
  <c r="D1067" i="44"/>
  <c r="D1068" i="44"/>
  <c r="B1087" i="44"/>
  <c r="D1087" i="44"/>
  <c r="D1092" i="44"/>
  <c r="D1091" i="44"/>
  <c r="B1092" i="44"/>
  <c r="D1093" i="44" s="1"/>
  <c r="J2047" i="44"/>
  <c r="B2048" i="44"/>
  <c r="B2080" i="44"/>
  <c r="D2079" i="44"/>
  <c r="D2111" i="44"/>
  <c r="B2112" i="44"/>
  <c r="D2112" i="44" s="1"/>
  <c r="D2143" i="44"/>
  <c r="B2144" i="44"/>
  <c r="B2145" i="44" s="1"/>
  <c r="D2175" i="44"/>
  <c r="J2175" i="44"/>
  <c r="B2176" i="44"/>
  <c r="B2177" i="44" s="1"/>
  <c r="B2512" i="44"/>
  <c r="D2511" i="44"/>
  <c r="B2788" i="44"/>
  <c r="D2787" i="44"/>
  <c r="B2832" i="44"/>
  <c r="B2833" i="44" s="1"/>
  <c r="J2831" i="44"/>
  <c r="J2863" i="44"/>
  <c r="D2863" i="44"/>
  <c r="B2864" i="44"/>
  <c r="D2864" i="44" s="1"/>
  <c r="J2895" i="44"/>
  <c r="D2895" i="44"/>
  <c r="J2991" i="44"/>
  <c r="B2992" i="44"/>
  <c r="D3055" i="44"/>
  <c r="B3056" i="44"/>
  <c r="J3055" i="44"/>
  <c r="F251" i="44"/>
  <c r="E295" i="44"/>
  <c r="A295" i="44" s="1"/>
  <c r="E744" i="44"/>
  <c r="A744" i="44" s="1"/>
  <c r="G744" i="44" s="1"/>
  <c r="D255" i="44"/>
  <c r="B152" i="44"/>
  <c r="D152" i="44" s="1"/>
  <c r="F153" i="44"/>
  <c r="B158" i="44"/>
  <c r="D158" i="44" s="1"/>
  <c r="F159" i="44"/>
  <c r="B162" i="44"/>
  <c r="D162" i="44" s="1"/>
  <c r="F163" i="44"/>
  <c r="B168" i="44"/>
  <c r="D168" i="44" s="1"/>
  <c r="F169" i="44"/>
  <c r="B186" i="44"/>
  <c r="D186" i="44" s="1"/>
  <c r="F187" i="44"/>
  <c r="F189" i="44"/>
  <c r="B188" i="44"/>
  <c r="D188" i="44" s="1"/>
  <c r="B190" i="44"/>
  <c r="D190" i="44" s="1"/>
  <c r="F191" i="44"/>
  <c r="D268" i="44"/>
  <c r="F268" i="44"/>
  <c r="D318" i="44"/>
  <c r="D319" i="44"/>
  <c r="D317" i="44"/>
  <c r="D316" i="44"/>
  <c r="B404" i="44"/>
  <c r="B409" i="44" s="1"/>
  <c r="D401" i="44"/>
  <c r="D403" i="44"/>
  <c r="D399" i="44"/>
  <c r="D400" i="44"/>
  <c r="B567" i="44"/>
  <c r="B569" i="44" s="1"/>
  <c r="D565" i="44"/>
  <c r="D753" i="44"/>
  <c r="B755" i="44"/>
  <c r="D782" i="44"/>
  <c r="B784" i="44"/>
  <c r="D783" i="44"/>
  <c r="D992" i="44"/>
  <c r="B991" i="44"/>
  <c r="D990" i="44"/>
  <c r="D991" i="44"/>
  <c r="D994" i="44"/>
  <c r="D995" i="44"/>
  <c r="D999" i="44"/>
  <c r="B999" i="44"/>
  <c r="D998" i="44"/>
  <c r="B1003" i="44"/>
  <c r="D1002" i="44"/>
  <c r="D1006" i="44"/>
  <c r="D1007" i="44"/>
  <c r="B1007" i="44"/>
  <c r="B1011" i="44"/>
  <c r="D1011" i="44"/>
  <c r="D1014" i="44"/>
  <c r="B1015" i="44"/>
  <c r="D1016" i="44" s="1"/>
  <c r="D1015" i="44"/>
  <c r="D1030" i="44"/>
  <c r="B1030" i="44"/>
  <c r="B1070" i="44"/>
  <c r="D1071" i="44" s="1"/>
  <c r="D1070" i="44"/>
  <c r="D1076" i="44"/>
  <c r="D1075" i="44"/>
  <c r="B1076" i="44"/>
  <c r="D1077" i="44" s="1"/>
  <c r="D1081" i="44"/>
  <c r="B1081" i="44"/>
  <c r="D1084" i="44"/>
  <c r="B1085" i="44"/>
  <c r="D1094" i="44"/>
  <c r="B1584" i="44"/>
  <c r="J1583" i="44"/>
  <c r="D1583" i="44"/>
  <c r="B1632" i="44"/>
  <c r="J1631" i="44"/>
  <c r="D1631" i="44"/>
  <c r="J1679" i="44"/>
  <c r="B1680" i="44"/>
  <c r="D1679" i="44"/>
  <c r="J1775" i="44"/>
  <c r="D1775" i="44"/>
  <c r="J1807" i="44"/>
  <c r="B1808" i="44"/>
  <c r="D1807" i="44"/>
  <c r="D1839" i="44"/>
  <c r="J1839" i="44"/>
  <c r="B2690" i="44"/>
  <c r="B2418" i="44"/>
  <c r="D2417" i="44"/>
  <c r="B2129" i="44"/>
  <c r="D2128" i="44"/>
  <c r="D1840" i="44"/>
  <c r="B1841" i="44"/>
  <c r="B2066" i="44"/>
  <c r="D2065" i="44"/>
  <c r="D314" i="44"/>
  <c r="D1983" i="44"/>
  <c r="J1983" i="44"/>
  <c r="B2209" i="44"/>
  <c r="D2208" i="44"/>
  <c r="J2399" i="44"/>
  <c r="B2400" i="44"/>
  <c r="D2447" i="44"/>
  <c r="B2448" i="44"/>
  <c r="J2447" i="44"/>
  <c r="D2639" i="44"/>
  <c r="B2640" i="44"/>
  <c r="D2927" i="44"/>
  <c r="J2927" i="44"/>
  <c r="B2672" i="44"/>
  <c r="J2607" i="44"/>
  <c r="D2543" i="44"/>
  <c r="J2479" i="44"/>
  <c r="D2367" i="44"/>
  <c r="B2928" i="44"/>
  <c r="D2319" i="44"/>
  <c r="J2111" i="44"/>
  <c r="D2015" i="44"/>
  <c r="D2786" i="44"/>
  <c r="J2079" i="44"/>
  <c r="B2896" i="44"/>
  <c r="J2143" i="44"/>
  <c r="B2545" i="44"/>
  <c r="D2207" i="44"/>
  <c r="J2639" i="44"/>
  <c r="B1873" i="44"/>
  <c r="D2047" i="44"/>
  <c r="B1984" i="44"/>
  <c r="J2015" i="44"/>
  <c r="D245" i="44"/>
  <c r="F245" i="44"/>
  <c r="D258" i="44"/>
  <c r="F258" i="44"/>
  <c r="D272" i="44"/>
  <c r="F272" i="44"/>
  <c r="D312" i="44"/>
  <c r="D309" i="44"/>
  <c r="D310" i="44"/>
  <c r="D803" i="44"/>
  <c r="D802" i="44"/>
  <c r="B804" i="44"/>
  <c r="D905" i="44"/>
  <c r="D904" i="44"/>
  <c r="B906" i="44"/>
  <c r="B1001" i="44"/>
  <c r="D1000" i="44"/>
  <c r="D1001" i="44"/>
  <c r="D1017" i="44"/>
  <c r="D1018" i="44"/>
  <c r="B1018" i="44"/>
  <c r="D1019" i="44" s="1"/>
  <c r="B1036" i="44"/>
  <c r="D1035" i="44"/>
  <c r="D1036" i="44"/>
  <c r="D1040" i="44"/>
  <c r="D1039" i="44"/>
  <c r="D1063" i="44"/>
  <c r="B1064" i="44"/>
  <c r="D1064" i="44"/>
  <c r="H172" i="3"/>
  <c r="H177" i="3"/>
  <c r="H188" i="3"/>
  <c r="H198" i="3"/>
  <c r="H206" i="3"/>
  <c r="H216" i="3"/>
  <c r="H50" i="30" s="1"/>
  <c r="H224" i="3"/>
  <c r="H252" i="3"/>
  <c r="H260" i="3"/>
  <c r="H278" i="3"/>
  <c r="H184" i="3"/>
  <c r="H202" i="3"/>
  <c r="H220" i="3"/>
  <c r="H256" i="3"/>
  <c r="H282" i="3"/>
  <c r="H115" i="30" s="1"/>
  <c r="H233" i="3"/>
  <c r="H268" i="3"/>
  <c r="H101" i="30" s="1"/>
  <c r="H236" i="3"/>
  <c r="I282" i="3"/>
  <c r="I115" i="30" s="1"/>
  <c r="I216" i="3"/>
  <c r="I50" i="30" s="1"/>
  <c r="I275" i="3"/>
  <c r="I239" i="3"/>
  <c r="I72" i="30" s="1"/>
  <c r="H271" i="3"/>
  <c r="H246" i="3"/>
  <c r="I232" i="3"/>
  <c r="I65" i="30" s="1"/>
  <c r="H274" i="3"/>
  <c r="H107" i="30" s="1"/>
  <c r="H266" i="3"/>
  <c r="H247" i="3"/>
  <c r="H272" i="3"/>
  <c r="J3434" i="44"/>
  <c r="D17" i="24"/>
  <c r="D138" i="32"/>
  <c r="D202" i="24"/>
  <c r="G12" i="30"/>
  <c r="N210" i="3"/>
  <c r="G170" i="30" s="1"/>
  <c r="N249" i="3"/>
  <c r="G208" i="30" s="1"/>
  <c r="N236" i="3"/>
  <c r="G195" i="30" s="1"/>
  <c r="N178" i="3"/>
  <c r="G138" i="30" s="1"/>
  <c r="N205" i="3"/>
  <c r="G165" i="30" s="1"/>
  <c r="N263" i="3"/>
  <c r="G222" i="30" s="1"/>
  <c r="N188" i="3"/>
  <c r="G148" i="30" s="1"/>
  <c r="N219" i="3"/>
  <c r="G179" i="30" s="1"/>
  <c r="N195" i="3"/>
  <c r="G155" i="30" s="1"/>
  <c r="N242" i="3"/>
  <c r="G201" i="30" s="1"/>
  <c r="N262" i="3"/>
  <c r="G221" i="30" s="1"/>
  <c r="N212" i="3"/>
  <c r="G172" i="30" s="1"/>
  <c r="G64" i="25"/>
  <c r="B437" i="3"/>
  <c r="B850" i="3"/>
  <c r="B464" i="3"/>
  <c r="F69" i="25" s="1"/>
  <c r="C297" i="5"/>
  <c r="C296" i="5"/>
  <c r="C19" i="3"/>
  <c r="H280" i="3"/>
  <c r="H276" i="3"/>
  <c r="H262" i="3"/>
  <c r="H258" i="3"/>
  <c r="H254" i="3"/>
  <c r="H250" i="3"/>
  <c r="H226" i="3"/>
  <c r="H222" i="3"/>
  <c r="H218" i="3"/>
  <c r="H214" i="3"/>
  <c r="H208" i="3"/>
  <c r="H204" i="3"/>
  <c r="H200" i="3"/>
  <c r="H194" i="3"/>
  <c r="H190" i="3"/>
  <c r="H186" i="3"/>
  <c r="H182" i="3"/>
  <c r="H173" i="3"/>
  <c r="C360" i="3"/>
  <c r="F90" i="24" s="1"/>
  <c r="C332" i="3"/>
  <c r="D352" i="3" s="1"/>
  <c r="F104" i="24" s="1"/>
  <c r="G812" i="3"/>
  <c r="G814" i="3"/>
  <c r="H281" i="3"/>
  <c r="H114" i="30" s="1"/>
  <c r="H279" i="3"/>
  <c r="H112" i="30" s="1"/>
  <c r="H277" i="3"/>
  <c r="H265" i="3"/>
  <c r="H263" i="3"/>
  <c r="H261" i="3"/>
  <c r="H94" i="30" s="1"/>
  <c r="H259" i="3"/>
  <c r="H92" i="30" s="1"/>
  <c r="H257" i="3"/>
  <c r="H255" i="3"/>
  <c r="H253" i="3"/>
  <c r="H251" i="3"/>
  <c r="H230" i="3"/>
  <c r="H228" i="3"/>
  <c r="H225" i="3"/>
  <c r="H223" i="3"/>
  <c r="H221" i="3"/>
  <c r="H219" i="3"/>
  <c r="H217" i="3"/>
  <c r="H215" i="3"/>
  <c r="H213" i="3"/>
  <c r="H209" i="3"/>
  <c r="H207" i="3"/>
  <c r="H205" i="3"/>
  <c r="H203" i="3"/>
  <c r="H37" i="30" s="1"/>
  <c r="H201" i="3"/>
  <c r="H199" i="3"/>
  <c r="H197" i="3"/>
  <c r="H193" i="3"/>
  <c r="H191" i="3"/>
  <c r="H189" i="3"/>
  <c r="H187" i="3"/>
  <c r="H185" i="3"/>
  <c r="H183" i="3"/>
  <c r="H181" i="3"/>
  <c r="H174" i="3"/>
  <c r="D1744" i="44"/>
  <c r="D2416" i="44"/>
  <c r="D2466" i="44"/>
  <c r="B2467" i="44"/>
  <c r="B3138" i="44"/>
  <c r="D3137" i="44"/>
  <c r="F1577" i="44"/>
  <c r="D278" i="44"/>
  <c r="D972" i="44"/>
  <c r="F1579" i="44"/>
  <c r="A146" i="44"/>
  <c r="F1576" i="44"/>
  <c r="F1580" i="44"/>
  <c r="F58" i="32"/>
  <c r="D214" i="24"/>
  <c r="F60" i="32"/>
  <c r="F152" i="32"/>
  <c r="E214" i="24"/>
  <c r="C152" i="32"/>
  <c r="C788" i="5"/>
  <c r="H854" i="5"/>
  <c r="B1101" i="5"/>
  <c r="P1101" i="5" s="1"/>
  <c r="H304" i="5"/>
  <c r="C304" i="5" s="1"/>
  <c r="H300" i="3"/>
  <c r="B869" i="3"/>
  <c r="F105" i="24"/>
  <c r="B215" i="24"/>
  <c r="H68" i="3"/>
  <c r="B148" i="44"/>
  <c r="D148" i="44" s="1"/>
  <c r="H66" i="3"/>
  <c r="B152" i="32"/>
  <c r="H64" i="3"/>
  <c r="E70" i="3"/>
  <c r="E74" i="3" s="1"/>
  <c r="H69" i="3"/>
  <c r="H40" i="3"/>
  <c r="H36" i="3"/>
  <c r="D70" i="3"/>
  <c r="D74" i="3" s="1"/>
  <c r="H43" i="3"/>
  <c r="C198" i="24" s="1"/>
  <c r="H72" i="3"/>
  <c r="H73" i="3"/>
  <c r="H58" i="3"/>
  <c r="C501" i="5" s="1"/>
  <c r="F56" i="3"/>
  <c r="F60" i="3" s="1"/>
  <c r="E56" i="3"/>
  <c r="E60" i="3" s="1"/>
  <c r="H55" i="3"/>
  <c r="I69" i="3" s="1"/>
  <c r="C41" i="3"/>
  <c r="G41" i="3"/>
  <c r="J133" i="32" s="1"/>
  <c r="H59" i="3"/>
  <c r="C506" i="5" s="1"/>
  <c r="G70" i="3"/>
  <c r="G74" i="3" s="1"/>
  <c r="H63" i="3"/>
  <c r="H35" i="3"/>
  <c r="E304" i="3" s="1"/>
  <c r="H54" i="3"/>
  <c r="H39" i="3"/>
  <c r="H38" i="3"/>
  <c r="H34" i="3"/>
  <c r="H53" i="3"/>
  <c r="C56" i="3"/>
  <c r="C60" i="3" s="1"/>
  <c r="H51" i="3"/>
  <c r="H65" i="3"/>
  <c r="H67" i="3"/>
  <c r="D56" i="3"/>
  <c r="D60" i="3" s="1"/>
  <c r="H52" i="3"/>
  <c r="H50" i="3"/>
  <c r="H37" i="3"/>
  <c r="K129" i="32" s="1"/>
  <c r="H49" i="3"/>
  <c r="B56" i="3"/>
  <c r="B60" i="3" s="1"/>
  <c r="B70" i="3"/>
  <c r="B74" i="3" s="1"/>
  <c r="C70" i="3"/>
  <c r="C74" i="3" s="1"/>
  <c r="F70" i="3"/>
  <c r="F74" i="3" s="1"/>
  <c r="D41" i="3"/>
  <c r="H44" i="3"/>
  <c r="B41" i="3"/>
  <c r="G56" i="3"/>
  <c r="G60" i="3" s="1"/>
  <c r="E41" i="3"/>
  <c r="E966" i="44"/>
  <c r="E953" i="44"/>
  <c r="E965" i="44"/>
  <c r="E958" i="44"/>
  <c r="E957" i="44"/>
  <c r="E964" i="44"/>
  <c r="E960" i="44"/>
  <c r="E959" i="44"/>
  <c r="E961" i="44"/>
  <c r="E962" i="44"/>
  <c r="E967" i="44"/>
  <c r="E955" i="44"/>
  <c r="E954" i="44"/>
  <c r="E963" i="44"/>
  <c r="E956" i="44"/>
  <c r="J39" i="51" l="1"/>
  <c r="C39" i="51"/>
  <c r="J34" i="49"/>
  <c r="D927" i="5"/>
  <c r="L1119" i="5"/>
  <c r="J384" i="3"/>
  <c r="H219" i="24"/>
  <c r="L384" i="3"/>
  <c r="C117" i="24"/>
  <c r="F384" i="3"/>
  <c r="I384" i="3"/>
  <c r="K384" i="3"/>
  <c r="G528" i="3"/>
  <c r="C529" i="3"/>
  <c r="B589" i="3"/>
  <c r="C589" i="3" s="1"/>
  <c r="C588" i="3"/>
  <c r="C92" i="32"/>
  <c r="I169" i="32"/>
  <c r="F365" i="3"/>
  <c r="D97" i="24" s="1"/>
  <c r="B166" i="3"/>
  <c r="D72" i="24" s="1"/>
  <c r="I209" i="32"/>
  <c r="B20" i="3"/>
  <c r="C20" i="3" s="1"/>
  <c r="F383" i="3"/>
  <c r="J383" i="3"/>
  <c r="C108" i="32" s="1"/>
  <c r="M383" i="3"/>
  <c r="C116" i="24"/>
  <c r="O383" i="3"/>
  <c r="H134" i="24" s="1"/>
  <c r="I178" i="32"/>
  <c r="H383" i="3"/>
  <c r="I91" i="32" s="1"/>
  <c r="P384" i="3"/>
  <c r="I109" i="32" s="1"/>
  <c r="I181" i="32"/>
  <c r="I204" i="32"/>
  <c r="D384" i="3"/>
  <c r="H55" i="34"/>
  <c r="N384" i="3"/>
  <c r="I167" i="32"/>
  <c r="O384" i="3"/>
  <c r="H109" i="32" s="1"/>
  <c r="A954" i="5"/>
  <c r="D862" i="44"/>
  <c r="B864" i="44"/>
  <c r="I66" i="3"/>
  <c r="L45" i="3"/>
  <c r="E235" i="44" s="1"/>
  <c r="A235" i="44" s="1"/>
  <c r="I189" i="32"/>
  <c r="I173" i="32"/>
  <c r="E3361" i="44"/>
  <c r="A3361" i="44" s="1"/>
  <c r="I208" i="32"/>
  <c r="E3197" i="44"/>
  <c r="A3197" i="44" s="1"/>
  <c r="H45" i="34"/>
  <c r="I108" i="32"/>
  <c r="L383" i="3"/>
  <c r="E134" i="24" s="1"/>
  <c r="N383" i="3"/>
  <c r="G134" i="24" s="1"/>
  <c r="C91" i="32"/>
  <c r="H81" i="34"/>
  <c r="G383" i="3"/>
  <c r="I168" i="32"/>
  <c r="D383" i="3"/>
  <c r="E91" i="32" s="1"/>
  <c r="C383" i="3"/>
  <c r="I383" i="3"/>
  <c r="E383" i="3"/>
  <c r="F91" i="32" s="1"/>
  <c r="K383" i="3"/>
  <c r="D134" i="24" s="1"/>
  <c r="I68" i="3"/>
  <c r="H214" i="24"/>
  <c r="I177" i="32"/>
  <c r="I160" i="32"/>
  <c r="H216" i="24"/>
  <c r="I195" i="32"/>
  <c r="I64" i="34"/>
  <c r="I197" i="32"/>
  <c r="M1132" i="5"/>
  <c r="K1127" i="5"/>
  <c r="F1190" i="5"/>
  <c r="Q1159" i="5"/>
  <c r="L1190" i="5"/>
  <c r="Q1127" i="5"/>
  <c r="E302" i="3"/>
  <c r="G18" i="25" s="1"/>
  <c r="A964" i="44"/>
  <c r="A960" i="44"/>
  <c r="A959" i="44"/>
  <c r="A967" i="44"/>
  <c r="A955" i="44"/>
  <c r="A958" i="44"/>
  <c r="A956" i="44"/>
  <c r="A965" i="44"/>
  <c r="A963" i="44"/>
  <c r="A961" i="44"/>
  <c r="A954" i="44"/>
  <c r="A966" i="44"/>
  <c r="A957" i="44"/>
  <c r="A962" i="44"/>
  <c r="A953" i="44"/>
  <c r="F964" i="44"/>
  <c r="F960" i="44"/>
  <c r="F959" i="44"/>
  <c r="F967" i="44"/>
  <c r="F955" i="44"/>
  <c r="F958" i="44"/>
  <c r="F956" i="44"/>
  <c r="F965" i="44"/>
  <c r="F963" i="44"/>
  <c r="F961" i="44"/>
  <c r="F954" i="44"/>
  <c r="F966" i="44"/>
  <c r="F957" i="44"/>
  <c r="F962" i="44"/>
  <c r="F953" i="44"/>
  <c r="I1144" i="5"/>
  <c r="J1144" i="5"/>
  <c r="R1176" i="5"/>
  <c r="F1144" i="5"/>
  <c r="P1144" i="5"/>
  <c r="P1112" i="5"/>
  <c r="T1176" i="5"/>
  <c r="T1144" i="5"/>
  <c r="O1104" i="5"/>
  <c r="K1144" i="5"/>
  <c r="S1144" i="5"/>
  <c r="Q1144" i="5"/>
  <c r="N1160" i="5"/>
  <c r="F1171" i="5"/>
  <c r="H1144" i="5"/>
  <c r="G1144" i="5"/>
  <c r="F1176" i="5"/>
  <c r="O1172" i="5"/>
  <c r="L1199" i="5"/>
  <c r="T1135" i="5"/>
  <c r="P1103" i="5"/>
  <c r="M1140" i="5"/>
  <c r="L1108" i="5"/>
  <c r="M1123" i="5"/>
  <c r="K1172" i="5"/>
  <c r="F1108" i="5"/>
  <c r="S1107" i="5"/>
  <c r="K1107" i="5"/>
  <c r="I1140" i="5"/>
  <c r="R1139" i="5"/>
  <c r="J1123" i="5"/>
  <c r="K1156" i="5"/>
  <c r="L1174" i="5"/>
  <c r="I210" i="32"/>
  <c r="I161" i="32"/>
  <c r="H41" i="34"/>
  <c r="E3351" i="44"/>
  <c r="A3351" i="44" s="1"/>
  <c r="E3360" i="44"/>
  <c r="A3360" i="44" s="1"/>
  <c r="M1135" i="5"/>
  <c r="G1119" i="5"/>
  <c r="S1152" i="5"/>
  <c r="F1103" i="5"/>
  <c r="F1135" i="5"/>
  <c r="S1135" i="5"/>
  <c r="K1104" i="5"/>
  <c r="Q1119" i="5"/>
  <c r="N1139" i="5"/>
  <c r="T1120" i="5"/>
  <c r="F1152" i="5"/>
  <c r="J1103" i="5"/>
  <c r="M1104" i="5"/>
  <c r="O1120" i="5"/>
  <c r="H1136" i="5"/>
  <c r="S1139" i="5"/>
  <c r="I1135" i="5"/>
  <c r="R1136" i="5"/>
  <c r="R1120" i="5"/>
  <c r="M1182" i="5"/>
  <c r="J1104" i="5"/>
  <c r="S1199" i="5"/>
  <c r="L1103" i="5"/>
  <c r="F1136" i="5"/>
  <c r="P1155" i="5"/>
  <c r="N1136" i="5"/>
  <c r="P1199" i="5"/>
  <c r="S1104" i="5"/>
  <c r="O1136" i="5"/>
  <c r="S1120" i="5"/>
  <c r="I1185" i="5"/>
  <c r="G1103" i="5"/>
  <c r="J1119" i="5"/>
  <c r="G1182" i="5"/>
  <c r="N1167" i="5"/>
  <c r="R1103" i="5"/>
  <c r="O1119" i="5"/>
  <c r="M1186" i="5"/>
  <c r="S1186" i="5"/>
  <c r="P1107" i="5"/>
  <c r="R1107" i="5"/>
  <c r="G1171" i="5"/>
  <c r="R1123" i="5"/>
  <c r="H1189" i="5"/>
  <c r="R1108" i="5"/>
  <c r="F1140" i="5"/>
  <c r="R1155" i="5"/>
  <c r="M1139" i="5"/>
  <c r="N1186" i="5"/>
  <c r="P1123" i="5"/>
  <c r="Q1140" i="5"/>
  <c r="Q1172" i="5"/>
  <c r="G1189" i="5"/>
  <c r="L1156" i="5"/>
  <c r="L1107" i="5"/>
  <c r="F1107" i="5"/>
  <c r="P1171" i="5"/>
  <c r="I1171" i="5"/>
  <c r="L1123" i="5"/>
  <c r="I1189" i="5"/>
  <c r="J1139" i="5"/>
  <c r="L1140" i="5"/>
  <c r="K1155" i="5"/>
  <c r="K1123" i="5"/>
  <c r="G1186" i="5"/>
  <c r="T1139" i="5"/>
  <c r="Q1124" i="5"/>
  <c r="T1156" i="5"/>
  <c r="R1172" i="5"/>
  <c r="P1156" i="5"/>
  <c r="M1107" i="5"/>
  <c r="I1107" i="5"/>
  <c r="S1171" i="5"/>
  <c r="H1171" i="5"/>
  <c r="F1123" i="5"/>
  <c r="N1189" i="5"/>
  <c r="Q1155" i="5"/>
  <c r="R1140" i="5"/>
  <c r="K1186" i="5"/>
  <c r="M1155" i="5"/>
  <c r="H1155" i="5"/>
  <c r="Q1108" i="5"/>
  <c r="H1124" i="5"/>
  <c r="F1156" i="5"/>
  <c r="T1107" i="5"/>
  <c r="Q1171" i="5"/>
  <c r="I1123" i="5"/>
  <c r="G1123" i="5"/>
  <c r="K1140" i="5"/>
  <c r="H1186" i="5"/>
  <c r="L1155" i="5"/>
  <c r="J1186" i="5"/>
  <c r="Q1139" i="5"/>
  <c r="J1189" i="5"/>
  <c r="O1156" i="5"/>
  <c r="S1140" i="5"/>
  <c r="M1171" i="5"/>
  <c r="Q1189" i="5"/>
  <c r="T1140" i="5"/>
  <c r="J1107" i="5"/>
  <c r="R1171" i="5"/>
  <c r="L1171" i="5"/>
  <c r="T1123" i="5"/>
  <c r="J1108" i="5"/>
  <c r="J1140" i="5"/>
  <c r="L1139" i="5"/>
  <c r="T1186" i="5"/>
  <c r="Q1123" i="5"/>
  <c r="G1140" i="5"/>
  <c r="N1155" i="5"/>
  <c r="Q1186" i="5"/>
  <c r="P1139" i="5"/>
  <c r="K1189" i="5"/>
  <c r="R1156" i="5"/>
  <c r="O1108" i="5"/>
  <c r="J1172" i="5"/>
  <c r="L1124" i="5"/>
  <c r="O1107" i="5"/>
  <c r="H1107" i="5"/>
  <c r="O1171" i="5"/>
  <c r="I1108" i="5"/>
  <c r="O1140" i="5"/>
  <c r="I1139" i="5"/>
  <c r="O1123" i="5"/>
  <c r="I1155" i="5"/>
  <c r="F1155" i="5"/>
  <c r="N1140" i="5"/>
  <c r="L1172" i="5"/>
  <c r="O1124" i="5"/>
  <c r="O1189" i="5"/>
  <c r="F1172" i="5"/>
  <c r="J1124" i="5"/>
  <c r="G1107" i="5"/>
  <c r="Q1107" i="5"/>
  <c r="N1171" i="5"/>
  <c r="H1123" i="5"/>
  <c r="H1108" i="5"/>
  <c r="P1140" i="5"/>
  <c r="H1139" i="5"/>
  <c r="F1139" i="5"/>
  <c r="N1123" i="5"/>
  <c r="O1139" i="5"/>
  <c r="K1139" i="5"/>
  <c r="T1172" i="5"/>
  <c r="H215" i="24"/>
  <c r="G353" i="3"/>
  <c r="G105" i="24" s="1"/>
  <c r="J1185" i="5"/>
  <c r="P1168" i="5"/>
  <c r="S1103" i="5"/>
  <c r="Q1104" i="5"/>
  <c r="F1167" i="5"/>
  <c r="L1135" i="5"/>
  <c r="R1135" i="5"/>
  <c r="G1120" i="5"/>
  <c r="H1103" i="5"/>
  <c r="S1136" i="5"/>
  <c r="S1119" i="5"/>
  <c r="I1119" i="5"/>
  <c r="H1135" i="5"/>
  <c r="T1104" i="5"/>
  <c r="G1185" i="5"/>
  <c r="N1168" i="5"/>
  <c r="K1120" i="5"/>
  <c r="H1104" i="5"/>
  <c r="J1135" i="5"/>
  <c r="Q1103" i="5"/>
  <c r="P1104" i="5"/>
  <c r="P1136" i="5"/>
  <c r="N1119" i="5"/>
  <c r="S1185" i="5"/>
  <c r="H1182" i="5"/>
  <c r="I1152" i="5"/>
  <c r="J1168" i="5"/>
  <c r="K1136" i="5"/>
  <c r="R1152" i="5"/>
  <c r="G1104" i="5"/>
  <c r="Q1120" i="5"/>
  <c r="N1103" i="5"/>
  <c r="L1104" i="5"/>
  <c r="P1119" i="5"/>
  <c r="F1119" i="5"/>
  <c r="M1185" i="5"/>
  <c r="L1167" i="5"/>
  <c r="K1103" i="5"/>
  <c r="N1152" i="5"/>
  <c r="Q1168" i="5"/>
  <c r="T1185" i="5"/>
  <c r="S1168" i="5"/>
  <c r="N1185" i="5"/>
  <c r="P1135" i="5"/>
  <c r="T1103" i="5"/>
  <c r="G1136" i="5"/>
  <c r="H1119" i="5"/>
  <c r="Q1135" i="5"/>
  <c r="H1152" i="5"/>
  <c r="K1168" i="5"/>
  <c r="P1185" i="5"/>
  <c r="E3306" i="44"/>
  <c r="A3306" i="44" s="1"/>
  <c r="H1151" i="5"/>
  <c r="P1120" i="5"/>
  <c r="M1119" i="5"/>
  <c r="J1167" i="5"/>
  <c r="I1104" i="5"/>
  <c r="N1104" i="5"/>
  <c r="F1185" i="5"/>
  <c r="H1120" i="5"/>
  <c r="K1119" i="5"/>
  <c r="T1119" i="5"/>
  <c r="R1104" i="5"/>
  <c r="P1182" i="5"/>
  <c r="H1185" i="5"/>
  <c r="J1120" i="5"/>
  <c r="M1120" i="5"/>
  <c r="G1115" i="5"/>
  <c r="L1147" i="5"/>
  <c r="L1194" i="5"/>
  <c r="I1131" i="5"/>
  <c r="T1127" i="5"/>
  <c r="I1175" i="5"/>
  <c r="S1159" i="5"/>
  <c r="K1190" i="5"/>
  <c r="P1159" i="5"/>
  <c r="G1127" i="5"/>
  <c r="G1159" i="5"/>
  <c r="N1127" i="5"/>
  <c r="G1190" i="5"/>
  <c r="S1190" i="5"/>
  <c r="J1159" i="5"/>
  <c r="P1127" i="5"/>
  <c r="R1159" i="5"/>
  <c r="H1190" i="5"/>
  <c r="P1190" i="5"/>
  <c r="J1127" i="5"/>
  <c r="F1127" i="5"/>
  <c r="I1127" i="5"/>
  <c r="L1127" i="5"/>
  <c r="R1127" i="5"/>
  <c r="H1159" i="5"/>
  <c r="I1197" i="5"/>
  <c r="T1181" i="5"/>
  <c r="J1181" i="5"/>
  <c r="O1197" i="5"/>
  <c r="H1131" i="5"/>
  <c r="S1197" i="5"/>
  <c r="R1178" i="5"/>
  <c r="M1148" i="5"/>
  <c r="T1194" i="5"/>
  <c r="T1116" i="5"/>
  <c r="G1148" i="5"/>
  <c r="M1115" i="5"/>
  <c r="K1147" i="5"/>
  <c r="L1151" i="5"/>
  <c r="M1151" i="5"/>
  <c r="N1151" i="5"/>
  <c r="S1151" i="5"/>
  <c r="I1151" i="5"/>
  <c r="K1167" i="5"/>
  <c r="H1199" i="5"/>
  <c r="S1167" i="5"/>
  <c r="F1182" i="5"/>
  <c r="K1182" i="5"/>
  <c r="R1199" i="5"/>
  <c r="K1151" i="5"/>
  <c r="F1199" i="5"/>
  <c r="I1167" i="5"/>
  <c r="J1182" i="5"/>
  <c r="P1151" i="5"/>
  <c r="O1199" i="5"/>
  <c r="O1167" i="5"/>
  <c r="Q1182" i="5"/>
  <c r="O1182" i="5"/>
  <c r="Q1151" i="5"/>
  <c r="O1151" i="5"/>
  <c r="T1151" i="5"/>
  <c r="K1199" i="5"/>
  <c r="I1182" i="5"/>
  <c r="G1167" i="5"/>
  <c r="I1199" i="5"/>
  <c r="M1167" i="5"/>
  <c r="J1151" i="5"/>
  <c r="G1151" i="5"/>
  <c r="N1199" i="5"/>
  <c r="Q1199" i="5"/>
  <c r="S1182" i="5"/>
  <c r="P1167" i="5"/>
  <c r="R1167" i="5"/>
  <c r="R1151" i="5"/>
  <c r="H1167" i="5"/>
  <c r="M1199" i="5"/>
  <c r="Q1167" i="5"/>
  <c r="K1131" i="5"/>
  <c r="N1197" i="5"/>
  <c r="K1116" i="5"/>
  <c r="M1178" i="5"/>
  <c r="T1131" i="5"/>
  <c r="R1115" i="5"/>
  <c r="T1197" i="5"/>
  <c r="M1181" i="5"/>
  <c r="O1131" i="5"/>
  <c r="K1148" i="5"/>
  <c r="N1148" i="5"/>
  <c r="J1131" i="5"/>
  <c r="N1115" i="5"/>
  <c r="G1164" i="5"/>
  <c r="J1197" i="5"/>
  <c r="G1197" i="5"/>
  <c r="R1116" i="5"/>
  <c r="H1115" i="5"/>
  <c r="P1163" i="5"/>
  <c r="M1164" i="5"/>
  <c r="H1147" i="5"/>
  <c r="O1178" i="5"/>
  <c r="T1147" i="5"/>
  <c r="H1163" i="5"/>
  <c r="S1178" i="5"/>
  <c r="I1181" i="5"/>
  <c r="J1148" i="5"/>
  <c r="H1164" i="5"/>
  <c r="L1197" i="5"/>
  <c r="R1132" i="5"/>
  <c r="F1115" i="5"/>
  <c r="S1115" i="5"/>
  <c r="I1163" i="5"/>
  <c r="F1147" i="5"/>
  <c r="G1163" i="5"/>
  <c r="H1148" i="5"/>
  <c r="S1131" i="5"/>
  <c r="I1164" i="5"/>
  <c r="O1194" i="5"/>
  <c r="I1194" i="5"/>
  <c r="H1116" i="5"/>
  <c r="P1115" i="5"/>
  <c r="G1178" i="5"/>
  <c r="L1163" i="5"/>
  <c r="S1147" i="5"/>
  <c r="F1163" i="5"/>
  <c r="G1181" i="5"/>
  <c r="F1197" i="5"/>
  <c r="G1132" i="5"/>
  <c r="R1148" i="5"/>
  <c r="G1131" i="5"/>
  <c r="J1194" i="5"/>
  <c r="P1164" i="5"/>
  <c r="K1178" i="5"/>
  <c r="I1147" i="5"/>
  <c r="S1148" i="5"/>
  <c r="I1148" i="5"/>
  <c r="N1131" i="5"/>
  <c r="R1164" i="5"/>
  <c r="R1197" i="5"/>
  <c r="H1194" i="5"/>
  <c r="I1116" i="5"/>
  <c r="Q1115" i="5"/>
  <c r="O1163" i="5"/>
  <c r="T1163" i="5"/>
  <c r="P1131" i="5"/>
  <c r="Q1164" i="5"/>
  <c r="Q1116" i="5"/>
  <c r="K1132" i="5"/>
  <c r="L1116" i="5"/>
  <c r="S1164" i="5"/>
  <c r="R1181" i="5"/>
  <c r="L1148" i="5"/>
  <c r="Q1148" i="5"/>
  <c r="L1115" i="5"/>
  <c r="T1164" i="5"/>
  <c r="M1194" i="5"/>
  <c r="S1116" i="5"/>
  <c r="Q1178" i="5"/>
  <c r="T1148" i="5"/>
  <c r="L1164" i="5"/>
  <c r="K1197" i="5"/>
  <c r="F1194" i="5"/>
  <c r="T1115" i="5"/>
  <c r="K1115" i="5"/>
  <c r="Q1194" i="5"/>
  <c r="K1164" i="5"/>
  <c r="Q1131" i="5"/>
  <c r="I1115" i="5"/>
  <c r="O1148" i="5"/>
  <c r="M1131" i="5"/>
  <c r="F1131" i="5"/>
  <c r="F1148" i="5"/>
  <c r="R1131" i="5"/>
  <c r="R1146" i="5"/>
  <c r="P1197" i="5"/>
  <c r="G1194" i="5"/>
  <c r="O1115" i="5"/>
  <c r="P1194" i="5"/>
  <c r="J1163" i="5"/>
  <c r="S1132" i="5"/>
  <c r="E105" i="24"/>
  <c r="I159" i="32"/>
  <c r="C31" i="32"/>
  <c r="D31" i="32" s="1"/>
  <c r="E31" i="32" s="1"/>
  <c r="F31" i="32" s="1"/>
  <c r="G31" i="32" s="1"/>
  <c r="H31" i="32" s="1"/>
  <c r="I31" i="32" s="1"/>
  <c r="J31" i="32" s="1"/>
  <c r="K31" i="32" s="1"/>
  <c r="L31" i="32" s="1"/>
  <c r="C41" i="32" s="1"/>
  <c r="D41" i="32" s="1"/>
  <c r="E41" i="32" s="1"/>
  <c r="F41" i="32" s="1"/>
  <c r="G41" i="32" s="1"/>
  <c r="I207" i="32"/>
  <c r="E3242" i="44"/>
  <c r="A3242" i="44" s="1"/>
  <c r="I186" i="32"/>
  <c r="K54" i="32"/>
  <c r="B13" i="30"/>
  <c r="G179" i="3"/>
  <c r="G13" i="30" s="1"/>
  <c r="I211" i="32"/>
  <c r="I202" i="32"/>
  <c r="D1761" i="44"/>
  <c r="F60" i="30"/>
  <c r="G60" i="30"/>
  <c r="F245" i="3"/>
  <c r="F78" i="30" s="1"/>
  <c r="G245" i="3"/>
  <c r="G78" i="30" s="1"/>
  <c r="G230" i="3"/>
  <c r="G63" i="30" s="1"/>
  <c r="G191" i="3"/>
  <c r="G25" i="30" s="1"/>
  <c r="G269" i="3"/>
  <c r="G102" i="30" s="1"/>
  <c r="F208" i="3"/>
  <c r="F42" i="30" s="1"/>
  <c r="G208" i="3"/>
  <c r="G42" i="30" s="1"/>
  <c r="F264" i="3"/>
  <c r="F97" i="30" s="1"/>
  <c r="G264" i="3"/>
  <c r="G97" i="30" s="1"/>
  <c r="G228" i="3"/>
  <c r="G61" i="30" s="1"/>
  <c r="G289" i="3"/>
  <c r="G122" i="30" s="1"/>
  <c r="F263" i="3"/>
  <c r="F96" i="30" s="1"/>
  <c r="G263" i="3"/>
  <c r="G96" i="30" s="1"/>
  <c r="F244" i="3"/>
  <c r="F77" i="30" s="1"/>
  <c r="G244" i="3"/>
  <c r="G77" i="30" s="1"/>
  <c r="F246" i="3"/>
  <c r="F79" i="30" s="1"/>
  <c r="G246" i="3"/>
  <c r="G79" i="30" s="1"/>
  <c r="G272" i="3"/>
  <c r="G105" i="30" s="1"/>
  <c r="F279" i="3"/>
  <c r="F112" i="30" s="1"/>
  <c r="G279" i="3"/>
  <c r="G112" i="30" s="1"/>
  <c r="G206" i="3"/>
  <c r="G40" i="30" s="1"/>
  <c r="F273" i="3"/>
  <c r="F106" i="30" s="1"/>
  <c r="G273" i="3"/>
  <c r="G106" i="30" s="1"/>
  <c r="G261" i="3"/>
  <c r="G94" i="30" s="1"/>
  <c r="F192" i="3"/>
  <c r="F26" i="30" s="1"/>
  <c r="G192" i="3"/>
  <c r="G26" i="30" s="1"/>
  <c r="F262" i="3"/>
  <c r="F95" i="30" s="1"/>
  <c r="G262" i="3"/>
  <c r="G95" i="30" s="1"/>
  <c r="G207" i="3"/>
  <c r="G41" i="30" s="1"/>
  <c r="G287" i="3"/>
  <c r="G120" i="30" s="1"/>
  <c r="G229" i="3"/>
  <c r="G62" i="30" s="1"/>
  <c r="G190" i="3"/>
  <c r="G24" i="30" s="1"/>
  <c r="G194" i="3"/>
  <c r="G28" i="30" s="1"/>
  <c r="G193" i="3"/>
  <c r="G27" i="30" s="1"/>
  <c r="G280" i="3"/>
  <c r="G113" i="30" s="1"/>
  <c r="G209" i="3"/>
  <c r="G43" i="30" s="1"/>
  <c r="G282" i="3"/>
  <c r="G115" i="30" s="1"/>
  <c r="F288" i="3"/>
  <c r="F121" i="30" s="1"/>
  <c r="G288" i="3"/>
  <c r="G121" i="30" s="1"/>
  <c r="F281" i="3"/>
  <c r="F114" i="30" s="1"/>
  <c r="G281" i="3"/>
  <c r="G114" i="30" s="1"/>
  <c r="F210" i="3"/>
  <c r="F44" i="30" s="1"/>
  <c r="G210" i="3"/>
  <c r="G44" i="30" s="1"/>
  <c r="F243" i="3"/>
  <c r="F76" i="30" s="1"/>
  <c r="G243" i="3"/>
  <c r="G76" i="30" s="1"/>
  <c r="F270" i="3"/>
  <c r="F103" i="30" s="1"/>
  <c r="G270" i="3"/>
  <c r="G103" i="30" s="1"/>
  <c r="G242" i="3"/>
  <c r="G75" i="30" s="1"/>
  <c r="G265" i="3"/>
  <c r="G98" i="30" s="1"/>
  <c r="G277" i="3"/>
  <c r="G110" i="30" s="1"/>
  <c r="F290" i="3"/>
  <c r="F123" i="30" s="1"/>
  <c r="G290" i="3"/>
  <c r="G123" i="30" s="1"/>
  <c r="G291" i="3"/>
  <c r="G286" i="3"/>
  <c r="F286" i="3" s="1"/>
  <c r="F119" i="30" s="1"/>
  <c r="G278" i="3"/>
  <c r="F278" i="3" s="1"/>
  <c r="F111" i="30" s="1"/>
  <c r="B116" i="30"/>
  <c r="G104" i="30"/>
  <c r="I69" i="24"/>
  <c r="B80" i="30"/>
  <c r="G225" i="3"/>
  <c r="G59" i="30" s="1"/>
  <c r="B64" i="30"/>
  <c r="B29" i="30"/>
  <c r="I62" i="24"/>
  <c r="G175" i="3"/>
  <c r="G9" i="30" s="1"/>
  <c r="I283" i="3"/>
  <c r="I116" i="30" s="1"/>
  <c r="F1105" i="5"/>
  <c r="F1184" i="5"/>
  <c r="O1138" i="5"/>
  <c r="M1153" i="5"/>
  <c r="J1121" i="5"/>
  <c r="J1154" i="5"/>
  <c r="I1122" i="5"/>
  <c r="L1153" i="5"/>
  <c r="Q1138" i="5"/>
  <c r="N1187" i="5"/>
  <c r="H1106" i="5"/>
  <c r="R1153" i="5"/>
  <c r="N1105" i="5"/>
  <c r="M1137" i="5"/>
  <c r="H1154" i="5"/>
  <c r="P1106" i="5"/>
  <c r="N1153" i="5"/>
  <c r="H1105" i="5"/>
  <c r="K1106" i="5"/>
  <c r="N1190" i="5"/>
  <c r="T1190" i="5"/>
  <c r="L1176" i="5"/>
  <c r="I191" i="32"/>
  <c r="B138" i="3"/>
  <c r="D62" i="24" s="1"/>
  <c r="Q1176" i="5"/>
  <c r="G1112" i="5"/>
  <c r="R1112" i="5"/>
  <c r="O1176" i="5"/>
  <c r="S1112" i="5"/>
  <c r="L1112" i="5"/>
  <c r="I188" i="32"/>
  <c r="I81" i="34"/>
  <c r="I170" i="32"/>
  <c r="N1176" i="5"/>
  <c r="I1112" i="5"/>
  <c r="J765" i="3"/>
  <c r="J61" i="34" s="1"/>
  <c r="E3315" i="44"/>
  <c r="A3315" i="44" s="1"/>
  <c r="I176" i="32"/>
  <c r="H91" i="34"/>
  <c r="D3104" i="44"/>
  <c r="E59" i="30"/>
  <c r="F225" i="3"/>
  <c r="F59" i="30" s="1"/>
  <c r="E40" i="30"/>
  <c r="F206" i="3"/>
  <c r="F40" i="30" s="1"/>
  <c r="E104" i="30"/>
  <c r="F271" i="3"/>
  <c r="F104" i="30" s="1"/>
  <c r="E41" i="30"/>
  <c r="F207" i="3"/>
  <c r="F41" i="30" s="1"/>
  <c r="E75" i="30"/>
  <c r="F242" i="3"/>
  <c r="E120" i="30"/>
  <c r="F287" i="3"/>
  <c r="E94" i="30"/>
  <c r="F261" i="3"/>
  <c r="F94" i="30" s="1"/>
  <c r="E24" i="30"/>
  <c r="F190" i="3"/>
  <c r="E28" i="30"/>
  <c r="F194" i="3"/>
  <c r="F28" i="30" s="1"/>
  <c r="E27" i="30"/>
  <c r="F193" i="3"/>
  <c r="F27" i="30" s="1"/>
  <c r="E62" i="30"/>
  <c r="F229" i="3"/>
  <c r="F62" i="30" s="1"/>
  <c r="F280" i="3"/>
  <c r="F113" i="30" s="1"/>
  <c r="E43" i="30"/>
  <c r="F209" i="3"/>
  <c r="F43" i="30" s="1"/>
  <c r="E115" i="30"/>
  <c r="F282" i="3"/>
  <c r="F115" i="30" s="1"/>
  <c r="E61" i="30"/>
  <c r="F228" i="3"/>
  <c r="F61" i="30" s="1"/>
  <c r="E122" i="30"/>
  <c r="F289" i="3"/>
  <c r="F122" i="30" s="1"/>
  <c r="E105" i="30"/>
  <c r="F272" i="3"/>
  <c r="F105" i="30" s="1"/>
  <c r="E98" i="30"/>
  <c r="F265" i="3"/>
  <c r="F98" i="30" s="1"/>
  <c r="E63" i="30"/>
  <c r="F230" i="3"/>
  <c r="F63" i="30" s="1"/>
  <c r="F191" i="3"/>
  <c r="F25" i="30" s="1"/>
  <c r="F269" i="3"/>
  <c r="F102" i="30" s="1"/>
  <c r="E110" i="30"/>
  <c r="F277" i="3"/>
  <c r="F110" i="30" s="1"/>
  <c r="I194" i="32"/>
  <c r="I185" i="32"/>
  <c r="I201" i="32"/>
  <c r="I175" i="3"/>
  <c r="I9" i="30" s="1"/>
  <c r="I212" i="3"/>
  <c r="I289" i="3"/>
  <c r="I122" i="30" s="1"/>
  <c r="I273" i="3"/>
  <c r="I106" i="30" s="1"/>
  <c r="I267" i="3"/>
  <c r="I237" i="3"/>
  <c r="I70" i="30" s="1"/>
  <c r="I195" i="3"/>
  <c r="I29" i="30" s="1"/>
  <c r="I245" i="3"/>
  <c r="I78" i="30" s="1"/>
  <c r="I192" i="3"/>
  <c r="I26" i="30" s="1"/>
  <c r="I291" i="3"/>
  <c r="I124" i="30" s="1"/>
  <c r="I179" i="3"/>
  <c r="I13" i="30" s="1"/>
  <c r="I287" i="3"/>
  <c r="I120" i="30" s="1"/>
  <c r="I284" i="3"/>
  <c r="I290" i="3"/>
  <c r="I123" i="30" s="1"/>
  <c r="I269" i="3"/>
  <c r="I102" i="30" s="1"/>
  <c r="I248" i="3"/>
  <c r="L1150" i="5"/>
  <c r="S1117" i="5"/>
  <c r="I178" i="3"/>
  <c r="I12" i="30" s="1"/>
  <c r="I234" i="3"/>
  <c r="I67" i="30" s="1"/>
  <c r="I211" i="3"/>
  <c r="I45" i="30" s="1"/>
  <c r="I229" i="3"/>
  <c r="I62" i="30" s="1"/>
  <c r="I242" i="3"/>
  <c r="I75" i="30" s="1"/>
  <c r="I285" i="3"/>
  <c r="I118" i="30" s="1"/>
  <c r="I243" i="3"/>
  <c r="I76" i="30" s="1"/>
  <c r="I286" i="3"/>
  <c r="I119" i="30" s="1"/>
  <c r="I231" i="3"/>
  <c r="I64" i="30" s="1"/>
  <c r="I270" i="3"/>
  <c r="I103" i="30" s="1"/>
  <c r="I268" i="3"/>
  <c r="I101" i="30" s="1"/>
  <c r="I240" i="3"/>
  <c r="I73" i="30" s="1"/>
  <c r="I238" i="3"/>
  <c r="I71" i="30" s="1"/>
  <c r="I235" i="3"/>
  <c r="I68" i="30" s="1"/>
  <c r="I249" i="3"/>
  <c r="I82" i="30" s="1"/>
  <c r="I274" i="3"/>
  <c r="I107" i="30" s="1"/>
  <c r="I210" i="3"/>
  <c r="I44" i="30" s="1"/>
  <c r="I241" i="3"/>
  <c r="I74" i="30" s="1"/>
  <c r="I264" i="3"/>
  <c r="I97" i="30" s="1"/>
  <c r="I244" i="3"/>
  <c r="I77" i="30" s="1"/>
  <c r="G1166" i="5"/>
  <c r="J787" i="3"/>
  <c r="J83" i="34" s="1"/>
  <c r="O1133" i="5"/>
  <c r="M1197" i="5"/>
  <c r="S1181" i="5"/>
  <c r="F1132" i="5"/>
  <c r="N1132" i="5"/>
  <c r="F1181" i="5"/>
  <c r="E3268" i="44"/>
  <c r="A3268" i="44" s="1"/>
  <c r="M1198" i="5"/>
  <c r="R1134" i="5"/>
  <c r="S1196" i="5"/>
  <c r="T1196" i="5"/>
  <c r="N1164" i="5"/>
  <c r="T1133" i="5"/>
  <c r="G1150" i="5"/>
  <c r="Q1197" i="5"/>
  <c r="K1150" i="5"/>
  <c r="J1175" i="5"/>
  <c r="G1143" i="5"/>
  <c r="J1160" i="5"/>
  <c r="P1111" i="5"/>
  <c r="K1175" i="5"/>
  <c r="Q1175" i="5"/>
  <c r="J1143" i="5"/>
  <c r="H1160" i="5"/>
  <c r="M1160" i="5"/>
  <c r="F1111" i="5"/>
  <c r="K1160" i="5"/>
  <c r="M1111" i="5"/>
  <c r="L1175" i="5"/>
  <c r="T1160" i="5"/>
  <c r="S1111" i="5"/>
  <c r="K1143" i="5"/>
  <c r="T1175" i="5"/>
  <c r="O1111" i="5"/>
  <c r="O1160" i="5"/>
  <c r="F1175" i="5"/>
  <c r="K1111" i="5"/>
  <c r="R1143" i="5"/>
  <c r="L1143" i="5"/>
  <c r="G1175" i="5"/>
  <c r="T1111" i="5"/>
  <c r="P1143" i="5"/>
  <c r="N1111" i="5"/>
  <c r="O1175" i="5"/>
  <c r="Q1193" i="5"/>
  <c r="I1111" i="5"/>
  <c r="R1128" i="5"/>
  <c r="N1143" i="5"/>
  <c r="O1143" i="5"/>
  <c r="K1193" i="5"/>
  <c r="M1175" i="5"/>
  <c r="F1193" i="5"/>
  <c r="P1193" i="5"/>
  <c r="Q1111" i="5"/>
  <c r="G1128" i="5"/>
  <c r="H1193" i="5"/>
  <c r="R1193" i="5"/>
  <c r="J1193" i="5"/>
  <c r="G1111" i="5"/>
  <c r="J1128" i="5"/>
  <c r="I1193" i="5"/>
  <c r="T1128" i="5"/>
  <c r="L1111" i="5"/>
  <c r="N1193" i="5"/>
  <c r="H1111" i="5"/>
  <c r="N1128" i="5"/>
  <c r="F1128" i="5"/>
  <c r="L1193" i="5"/>
  <c r="H1175" i="5"/>
  <c r="K1128" i="5"/>
  <c r="Q1128" i="5"/>
  <c r="N1175" i="5"/>
  <c r="R1111" i="5"/>
  <c r="R1160" i="5"/>
  <c r="L1128" i="5"/>
  <c r="S1160" i="5"/>
  <c r="B2722" i="44"/>
  <c r="D2722" i="44" s="1"/>
  <c r="H32" i="34"/>
  <c r="I63" i="24"/>
  <c r="J804" i="3"/>
  <c r="T804" i="3" s="1"/>
  <c r="I66" i="24"/>
  <c r="B107" i="30"/>
  <c r="I56" i="34"/>
  <c r="I174" i="32"/>
  <c r="E3352" i="44"/>
  <c r="A3352" i="44" s="1"/>
  <c r="I68" i="34"/>
  <c r="P1141" i="5"/>
  <c r="S1142" i="5"/>
  <c r="M1174" i="5"/>
  <c r="L1142" i="5"/>
  <c r="O1125" i="5"/>
  <c r="G1173" i="5"/>
  <c r="N1158" i="5"/>
  <c r="K1125" i="5"/>
  <c r="O1146" i="5"/>
  <c r="N1129" i="5"/>
  <c r="I1192" i="5"/>
  <c r="S1179" i="5"/>
  <c r="T1114" i="5"/>
  <c r="R1129" i="5"/>
  <c r="M1192" i="5"/>
  <c r="D2848" i="44"/>
  <c r="F1106" i="5"/>
  <c r="M1179" i="5"/>
  <c r="M1118" i="5"/>
  <c r="K1153" i="5"/>
  <c r="J1153" i="5"/>
  <c r="N1150" i="5"/>
  <c r="P1150" i="5"/>
  <c r="Q1133" i="5"/>
  <c r="N1133" i="5"/>
  <c r="Q1105" i="5"/>
  <c r="K1105" i="5"/>
  <c r="M1105" i="5"/>
  <c r="P1114" i="5"/>
  <c r="I1174" i="5"/>
  <c r="T1173" i="5"/>
  <c r="N1173" i="5"/>
  <c r="H1146" i="5"/>
  <c r="P1142" i="5"/>
  <c r="G1138" i="5"/>
  <c r="P1138" i="5"/>
  <c r="F1125" i="5"/>
  <c r="P1121" i="5"/>
  <c r="J1191" i="5"/>
  <c r="J1196" i="5"/>
  <c r="T1109" i="5"/>
  <c r="O1191" i="5"/>
  <c r="H1137" i="5"/>
  <c r="S1118" i="5"/>
  <c r="J1117" i="5"/>
  <c r="T1162" i="5"/>
  <c r="F1157" i="5"/>
  <c r="R1161" i="5"/>
  <c r="S1177" i="5"/>
  <c r="F1117" i="5"/>
  <c r="G1188" i="5"/>
  <c r="J1145" i="5"/>
  <c r="Q1109" i="5"/>
  <c r="R1198" i="5"/>
  <c r="E106" i="30"/>
  <c r="E123" i="30"/>
  <c r="I84" i="34"/>
  <c r="E3345" i="44"/>
  <c r="A3345" i="44" s="1"/>
  <c r="H382" i="3"/>
  <c r="I90" i="32" s="1"/>
  <c r="G382" i="3"/>
  <c r="H115" i="24" s="1"/>
  <c r="H268" i="24"/>
  <c r="I206" i="32"/>
  <c r="H233" i="24"/>
  <c r="I171" i="32"/>
  <c r="H246" i="24"/>
  <c r="I184" i="32"/>
  <c r="I156" i="32"/>
  <c r="H218" i="24"/>
  <c r="H244" i="24"/>
  <c r="I182" i="32"/>
  <c r="H226" i="24"/>
  <c r="I164" i="32"/>
  <c r="B1764" i="44"/>
  <c r="D1763" i="44"/>
  <c r="B18" i="3" a="1"/>
  <c r="B18" i="3" s="1"/>
  <c r="C309" i="3"/>
  <c r="B307" i="3"/>
  <c r="C526" i="5" s="1"/>
  <c r="B309" i="3"/>
  <c r="B310" i="3" s="1"/>
  <c r="C527" i="5" s="1"/>
  <c r="H9" i="34"/>
  <c r="E3171" i="44"/>
  <c r="A3171" i="44" s="1"/>
  <c r="I158" i="32"/>
  <c r="H220" i="24"/>
  <c r="B303" i="3"/>
  <c r="J21" i="25" s="1"/>
  <c r="B1697" i="44"/>
  <c r="B1698" i="44" s="1"/>
  <c r="B538" i="3"/>
  <c r="K1582" i="44"/>
  <c r="F1582" i="44" s="1"/>
  <c r="B824" i="3"/>
  <c r="J788" i="3"/>
  <c r="J84" i="34" s="1"/>
  <c r="E126" i="3"/>
  <c r="C14" i="32" s="1"/>
  <c r="D14" i="32" s="1"/>
  <c r="D32" i="32" s="1"/>
  <c r="B407" i="3"/>
  <c r="D158" i="24" s="1"/>
  <c r="I172" i="32"/>
  <c r="I190" i="32"/>
  <c r="L1180" i="5"/>
  <c r="M1180" i="5"/>
  <c r="K1169" i="5"/>
  <c r="I1169" i="5"/>
  <c r="N1165" i="5"/>
  <c r="P1165" i="5"/>
  <c r="O1165" i="5"/>
  <c r="S1161" i="5"/>
  <c r="F1161" i="5"/>
  <c r="M1149" i="5"/>
  <c r="Q1149" i="5"/>
  <c r="G1133" i="5"/>
  <c r="R1133" i="5"/>
  <c r="I1133" i="5"/>
  <c r="K1129" i="5"/>
  <c r="H1129" i="5"/>
  <c r="L1113" i="5"/>
  <c r="P1113" i="5"/>
  <c r="I1166" i="5"/>
  <c r="N1166" i="5"/>
  <c r="G1134" i="5"/>
  <c r="T1134" i="5"/>
  <c r="I1134" i="5"/>
  <c r="I93" i="34"/>
  <c r="E3354" i="44"/>
  <c r="A3354" i="44" s="1"/>
  <c r="I34" i="34"/>
  <c r="E3295" i="44"/>
  <c r="A3295" i="44" s="1"/>
  <c r="I166" i="32"/>
  <c r="J720" i="3"/>
  <c r="J16" i="34" s="1"/>
  <c r="B2371" i="44"/>
  <c r="B2372" i="44" s="1"/>
  <c r="B484" i="3"/>
  <c r="B485" i="3" s="1"/>
  <c r="D598" i="3" s="1"/>
  <c r="B1826" i="44"/>
  <c r="D1826" i="44" s="1"/>
  <c r="B3041" i="44"/>
  <c r="B3042" i="44" s="1"/>
  <c r="D1762" i="44"/>
  <c r="B2019" i="44"/>
  <c r="D2019" i="44" s="1"/>
  <c r="B2498" i="44"/>
  <c r="D2498" i="44" s="1"/>
  <c r="B1601" i="44"/>
  <c r="B1602" i="44" s="1"/>
  <c r="B2817" i="44"/>
  <c r="B2818" i="44" s="1"/>
  <c r="B2819" i="44" s="1"/>
  <c r="B2337" i="44"/>
  <c r="B2338" i="44" s="1"/>
  <c r="B2339" i="44" s="1"/>
  <c r="B2340" i="44" s="1"/>
  <c r="B1953" i="44"/>
  <c r="B1954" i="44" s="1"/>
  <c r="D1954" i="44" s="1"/>
  <c r="B2307" i="44"/>
  <c r="B2308" i="44" s="1"/>
  <c r="B2529" i="44"/>
  <c r="B2530" i="44" s="1"/>
  <c r="B2531" i="44" s="1"/>
  <c r="B2435" i="44"/>
  <c r="D2435" i="44" s="1"/>
  <c r="D2433" i="44"/>
  <c r="B2658" i="44"/>
  <c r="D2658" i="44" s="1"/>
  <c r="D2656" i="44"/>
  <c r="B2977" i="44"/>
  <c r="B2978" i="44" s="1"/>
  <c r="B102" i="3"/>
  <c r="B105" i="3" s="1"/>
  <c r="N1101" i="5"/>
  <c r="H28" i="34"/>
  <c r="H16" i="34"/>
  <c r="B9" i="30"/>
  <c r="D698" i="44"/>
  <c r="D701" i="44"/>
  <c r="J712" i="3"/>
  <c r="T712" i="3" s="1"/>
  <c r="E3180" i="44"/>
  <c r="A3180" i="44" s="1"/>
  <c r="H18" i="34"/>
  <c r="E3230" i="44"/>
  <c r="A3230" i="44" s="1"/>
  <c r="H68" i="34"/>
  <c r="E121" i="30"/>
  <c r="E114" i="30"/>
  <c r="S1193" i="5"/>
  <c r="T1193" i="5"/>
  <c r="M1193" i="5"/>
  <c r="F1189" i="5"/>
  <c r="P1189" i="5"/>
  <c r="L1189" i="5"/>
  <c r="R1189" i="5"/>
  <c r="R1185" i="5"/>
  <c r="O1185" i="5"/>
  <c r="K1185" i="5"/>
  <c r="L1185" i="5"/>
  <c r="Q1181" i="5"/>
  <c r="N1181" i="5"/>
  <c r="P1181" i="5"/>
  <c r="H1181" i="5"/>
  <c r="O1181" i="5"/>
  <c r="K1176" i="5"/>
  <c r="I1176" i="5"/>
  <c r="P1176" i="5"/>
  <c r="S1176" i="5"/>
  <c r="G1176" i="5"/>
  <c r="H1172" i="5"/>
  <c r="M1172" i="5"/>
  <c r="N1172" i="5"/>
  <c r="S1172" i="5"/>
  <c r="G1172" i="5"/>
  <c r="T1168" i="5"/>
  <c r="G1168" i="5"/>
  <c r="J1164" i="5"/>
  <c r="F1164" i="5"/>
  <c r="Q1156" i="5"/>
  <c r="N1156" i="5"/>
  <c r="J1156" i="5"/>
  <c r="S1156" i="5"/>
  <c r="G1156" i="5"/>
  <c r="I1156" i="5"/>
  <c r="T1152" i="5"/>
  <c r="L1152" i="5"/>
  <c r="J1152" i="5"/>
  <c r="P1152" i="5"/>
  <c r="O1152" i="5"/>
  <c r="G1152" i="5"/>
  <c r="K1152" i="5"/>
  <c r="N1144" i="5"/>
  <c r="M1144" i="5"/>
  <c r="M1136" i="5"/>
  <c r="L1136" i="5"/>
  <c r="J1132" i="5"/>
  <c r="T1132" i="5"/>
  <c r="I1132" i="5"/>
  <c r="Q1132" i="5"/>
  <c r="H1128" i="5"/>
  <c r="S1128" i="5"/>
  <c r="S1124" i="5"/>
  <c r="P1124" i="5"/>
  <c r="T1124" i="5"/>
  <c r="O1116" i="5"/>
  <c r="N1116" i="5"/>
  <c r="M1116" i="5"/>
  <c r="Q1112" i="5"/>
  <c r="M1112" i="5"/>
  <c r="S1108" i="5"/>
  <c r="G1108" i="5"/>
  <c r="D2720" i="44"/>
  <c r="B2914" i="44"/>
  <c r="I200" i="32"/>
  <c r="E3254" i="44"/>
  <c r="A3254" i="44" s="1"/>
  <c r="E3201" i="44"/>
  <c r="A3201" i="44" s="1"/>
  <c r="E3168" i="44"/>
  <c r="A3168" i="44" s="1"/>
  <c r="J773" i="3"/>
  <c r="T773" i="3" s="1"/>
  <c r="I162" i="32"/>
  <c r="I180" i="32"/>
  <c r="I198" i="32"/>
  <c r="I77" i="34"/>
  <c r="L1196" i="5"/>
  <c r="Q1196" i="5"/>
  <c r="R1196" i="5"/>
  <c r="K1196" i="5"/>
  <c r="H1196" i="5"/>
  <c r="I1196" i="5"/>
  <c r="O1196" i="5"/>
  <c r="J1192" i="5"/>
  <c r="L1192" i="5"/>
  <c r="Q1192" i="5"/>
  <c r="R1192" i="5"/>
  <c r="H1192" i="5"/>
  <c r="P1192" i="5"/>
  <c r="L1188" i="5"/>
  <c r="P1188" i="5"/>
  <c r="Q1188" i="5"/>
  <c r="T1188" i="5"/>
  <c r="F1188" i="5"/>
  <c r="R1188" i="5"/>
  <c r="M1188" i="5"/>
  <c r="S1184" i="5"/>
  <c r="L1184" i="5"/>
  <c r="J1184" i="5"/>
  <c r="O1184" i="5"/>
  <c r="H1180" i="5"/>
  <c r="F1180" i="5"/>
  <c r="G1180" i="5"/>
  <c r="S1180" i="5"/>
  <c r="N1180" i="5"/>
  <c r="K1180" i="5"/>
  <c r="I1180" i="5"/>
  <c r="N1177" i="5"/>
  <c r="J1177" i="5"/>
  <c r="K1177" i="5"/>
  <c r="T1177" i="5"/>
  <c r="H1173" i="5"/>
  <c r="I1173" i="5"/>
  <c r="F1173" i="5"/>
  <c r="M1173" i="5"/>
  <c r="R1173" i="5"/>
  <c r="J1173" i="5"/>
  <c r="P1169" i="5"/>
  <c r="O1169" i="5"/>
  <c r="J1169" i="5"/>
  <c r="S1169" i="5"/>
  <c r="H1169" i="5"/>
  <c r="M1169" i="5"/>
  <c r="F1169" i="5"/>
  <c r="R1169" i="5"/>
  <c r="K1165" i="5"/>
  <c r="T1165" i="5"/>
  <c r="R1165" i="5"/>
  <c r="G1165" i="5"/>
  <c r="J1165" i="5"/>
  <c r="Q1165" i="5"/>
  <c r="P1161" i="5"/>
  <c r="G1161" i="5"/>
  <c r="O1161" i="5"/>
  <c r="H1161" i="5"/>
  <c r="G1157" i="5"/>
  <c r="O1157" i="5"/>
  <c r="N1157" i="5"/>
  <c r="K1157" i="5"/>
  <c r="T1157" i="5"/>
  <c r="J1157" i="5"/>
  <c r="I1157" i="5"/>
  <c r="S1153" i="5"/>
  <c r="Q1153" i="5"/>
  <c r="O1153" i="5"/>
  <c r="N1149" i="5"/>
  <c r="S1149" i="5"/>
  <c r="R1149" i="5"/>
  <c r="T1149" i="5"/>
  <c r="I1149" i="5"/>
  <c r="G1145" i="5"/>
  <c r="M1145" i="5"/>
  <c r="P1145" i="5"/>
  <c r="H1145" i="5"/>
  <c r="F1145" i="5"/>
  <c r="K1145" i="5"/>
  <c r="L1145" i="5"/>
  <c r="Q1141" i="5"/>
  <c r="N1141" i="5"/>
  <c r="O1141" i="5"/>
  <c r="S1141" i="5"/>
  <c r="T1141" i="5"/>
  <c r="R1137" i="5"/>
  <c r="G1137" i="5"/>
  <c r="L1137" i="5"/>
  <c r="N1137" i="5"/>
  <c r="O1137" i="5"/>
  <c r="J1137" i="5"/>
  <c r="P1129" i="5"/>
  <c r="O1129" i="5"/>
  <c r="M1125" i="5"/>
  <c r="G1125" i="5"/>
  <c r="P1125" i="5"/>
  <c r="I1125" i="5"/>
  <c r="G1121" i="5"/>
  <c r="L1121" i="5"/>
  <c r="M1121" i="5"/>
  <c r="P1117" i="5"/>
  <c r="M1117" i="5"/>
  <c r="H1117" i="5"/>
  <c r="R1117" i="5"/>
  <c r="T1117" i="5"/>
  <c r="I1117" i="5"/>
  <c r="O1117" i="5"/>
  <c r="G1117" i="5"/>
  <c r="H1113" i="5"/>
  <c r="N1113" i="5"/>
  <c r="F1113" i="5"/>
  <c r="O1113" i="5"/>
  <c r="M1113" i="5"/>
  <c r="K1113" i="5"/>
  <c r="J1109" i="5"/>
  <c r="R1109" i="5"/>
  <c r="F1109" i="5"/>
  <c r="N1109" i="5"/>
  <c r="G1109" i="5"/>
  <c r="P1198" i="5"/>
  <c r="G1198" i="5"/>
  <c r="J1198" i="5"/>
  <c r="I1198" i="5"/>
  <c r="F1198" i="5"/>
  <c r="K1198" i="5"/>
  <c r="O1187" i="5"/>
  <c r="S1187" i="5"/>
  <c r="P1187" i="5"/>
  <c r="R1187" i="5"/>
  <c r="K1187" i="5"/>
  <c r="J1187" i="5"/>
  <c r="H1187" i="5"/>
  <c r="T1187" i="5"/>
  <c r="G1187" i="5"/>
  <c r="T1146" i="5"/>
  <c r="N1146" i="5"/>
  <c r="Q1146" i="5"/>
  <c r="L1195" i="5"/>
  <c r="N1195" i="5"/>
  <c r="O1195" i="5"/>
  <c r="P1195" i="5"/>
  <c r="I1195" i="5"/>
  <c r="K1195" i="5"/>
  <c r="G1195" i="5"/>
  <c r="Q1195" i="5"/>
  <c r="M1195" i="5"/>
  <c r="Q1191" i="5"/>
  <c r="T1191" i="5"/>
  <c r="L1191" i="5"/>
  <c r="G1191" i="5"/>
  <c r="F1191" i="5"/>
  <c r="P1191" i="5"/>
  <c r="R1191" i="5"/>
  <c r="N1191" i="5"/>
  <c r="H1191" i="5"/>
  <c r="H1183" i="5"/>
  <c r="M1183" i="5"/>
  <c r="P1183" i="5"/>
  <c r="Q1183" i="5"/>
  <c r="I1183" i="5"/>
  <c r="S1183" i="5"/>
  <c r="F1183" i="5"/>
  <c r="N1183" i="5"/>
  <c r="J1183" i="5"/>
  <c r="T1183" i="5"/>
  <c r="G1183" i="5"/>
  <c r="K1179" i="5"/>
  <c r="O1179" i="5"/>
  <c r="P1179" i="5"/>
  <c r="H1179" i="5"/>
  <c r="I1179" i="5"/>
  <c r="Q1179" i="5"/>
  <c r="J1179" i="5"/>
  <c r="T1179" i="5"/>
  <c r="H1174" i="5"/>
  <c r="K1174" i="5"/>
  <c r="Q1174" i="5"/>
  <c r="O1174" i="5"/>
  <c r="S1170" i="5"/>
  <c r="K1170" i="5"/>
  <c r="J1170" i="5"/>
  <c r="M1170" i="5"/>
  <c r="F1170" i="5"/>
  <c r="R1170" i="5"/>
  <c r="P1170" i="5"/>
  <c r="T1170" i="5"/>
  <c r="G1170" i="5"/>
  <c r="O1170" i="5"/>
  <c r="H1170" i="5"/>
  <c r="Q1170" i="5"/>
  <c r="R1166" i="5"/>
  <c r="K1166" i="5"/>
  <c r="L1166" i="5"/>
  <c r="F1166" i="5"/>
  <c r="S1166" i="5"/>
  <c r="I1162" i="5"/>
  <c r="H1162" i="5"/>
  <c r="R1162" i="5"/>
  <c r="J1162" i="5"/>
  <c r="Q1162" i="5"/>
  <c r="M1162" i="5"/>
  <c r="F1158" i="5"/>
  <c r="L1158" i="5"/>
  <c r="Q1158" i="5"/>
  <c r="O1158" i="5"/>
  <c r="P1158" i="5"/>
  <c r="N1154" i="5"/>
  <c r="S1154" i="5"/>
  <c r="F1154" i="5"/>
  <c r="O1154" i="5"/>
  <c r="R1150" i="5"/>
  <c r="O1150" i="5"/>
  <c r="T1150" i="5"/>
  <c r="I1142" i="5"/>
  <c r="K1142" i="5"/>
  <c r="H1142" i="5"/>
  <c r="T1138" i="5"/>
  <c r="L1138" i="5"/>
  <c r="J1138" i="5"/>
  <c r="M1138" i="5"/>
  <c r="S1138" i="5"/>
  <c r="N1134" i="5"/>
  <c r="O1134" i="5"/>
  <c r="M1134" i="5"/>
  <c r="S1134" i="5"/>
  <c r="Q1130" i="5"/>
  <c r="R1130" i="5"/>
  <c r="P1130" i="5"/>
  <c r="H1130" i="5"/>
  <c r="T1130" i="5"/>
  <c r="F1130" i="5"/>
  <c r="S1130" i="5"/>
  <c r="M1126" i="5"/>
  <c r="R1126" i="5"/>
  <c r="Q1126" i="5"/>
  <c r="T1126" i="5"/>
  <c r="H1126" i="5"/>
  <c r="K1122" i="5"/>
  <c r="O1122" i="5"/>
  <c r="R1122" i="5"/>
  <c r="G1122" i="5"/>
  <c r="T1122" i="5"/>
  <c r="N1118" i="5"/>
  <c r="Q1118" i="5"/>
  <c r="H1118" i="5"/>
  <c r="G1118" i="5"/>
  <c r="I1118" i="5"/>
  <c r="K1118" i="5"/>
  <c r="O1114" i="5"/>
  <c r="S1114" i="5"/>
  <c r="G1114" i="5"/>
  <c r="F1114" i="5"/>
  <c r="Q1114" i="5"/>
  <c r="N1114" i="5"/>
  <c r="K1114" i="5"/>
  <c r="S1110" i="5"/>
  <c r="F1110" i="5"/>
  <c r="M1110" i="5"/>
  <c r="I1110" i="5"/>
  <c r="Q1110" i="5"/>
  <c r="G1106" i="5"/>
  <c r="Q1106" i="5"/>
  <c r="T1106" i="5"/>
  <c r="S1106" i="5"/>
  <c r="L1154" i="5"/>
  <c r="I1106" i="5"/>
  <c r="J1106" i="5"/>
  <c r="F1179" i="5"/>
  <c r="I1126" i="5"/>
  <c r="F1118" i="5"/>
  <c r="P1126" i="5"/>
  <c r="N1179" i="5"/>
  <c r="L1118" i="5"/>
  <c r="G1153" i="5"/>
  <c r="I1153" i="5"/>
  <c r="H1153" i="5"/>
  <c r="P1153" i="5"/>
  <c r="Q1150" i="5"/>
  <c r="H1150" i="5"/>
  <c r="F1150" i="5"/>
  <c r="I1150" i="5"/>
  <c r="J1133" i="5"/>
  <c r="P1133" i="5"/>
  <c r="L1133" i="5"/>
  <c r="H1133" i="5"/>
  <c r="S1133" i="5"/>
  <c r="R1105" i="5"/>
  <c r="S1105" i="5"/>
  <c r="T1105" i="5"/>
  <c r="I1105" i="5"/>
  <c r="L1105" i="5"/>
  <c r="J1105" i="5"/>
  <c r="J1114" i="5"/>
  <c r="T1174" i="5"/>
  <c r="G1174" i="5"/>
  <c r="F1174" i="5"/>
  <c r="S1173" i="5"/>
  <c r="K1173" i="5"/>
  <c r="P1173" i="5"/>
  <c r="P1166" i="5"/>
  <c r="P1146" i="5"/>
  <c r="F1146" i="5"/>
  <c r="K1146" i="5"/>
  <c r="M1142" i="5"/>
  <c r="T1142" i="5"/>
  <c r="O1142" i="5"/>
  <c r="Q1142" i="5"/>
  <c r="I1138" i="5"/>
  <c r="F1138" i="5"/>
  <c r="H1138" i="5"/>
  <c r="Q1137" i="5"/>
  <c r="K1137" i="5"/>
  <c r="I1137" i="5"/>
  <c r="H1134" i="5"/>
  <c r="L1134" i="5"/>
  <c r="F1134" i="5"/>
  <c r="J1134" i="5"/>
  <c r="S1129" i="5"/>
  <c r="F1129" i="5"/>
  <c r="J1129" i="5"/>
  <c r="L1125" i="5"/>
  <c r="Q1125" i="5"/>
  <c r="H1125" i="5"/>
  <c r="R1121" i="5"/>
  <c r="H1121" i="5"/>
  <c r="G1196" i="5"/>
  <c r="Q1198" i="5"/>
  <c r="Q1187" i="5"/>
  <c r="K1191" i="5"/>
  <c r="M1191" i="5"/>
  <c r="L1198" i="5"/>
  <c r="N1198" i="5"/>
  <c r="N1196" i="5"/>
  <c r="F1187" i="5"/>
  <c r="R1113" i="5"/>
  <c r="T1113" i="5"/>
  <c r="K1109" i="5"/>
  <c r="S1109" i="5"/>
  <c r="R1106" i="5"/>
  <c r="L1106" i="5"/>
  <c r="I1191" i="5"/>
  <c r="T1137" i="5"/>
  <c r="J1118" i="5"/>
  <c r="H1114" i="5"/>
  <c r="M1114" i="5"/>
  <c r="I1114" i="5"/>
  <c r="Q1173" i="5"/>
  <c r="L1173" i="5"/>
  <c r="N1138" i="5"/>
  <c r="K1138" i="5"/>
  <c r="P1134" i="5"/>
  <c r="K1134" i="5"/>
  <c r="L1117" i="5"/>
  <c r="K1117" i="5"/>
  <c r="N1117" i="5"/>
  <c r="G1179" i="5"/>
  <c r="I1141" i="5"/>
  <c r="M1196" i="5"/>
  <c r="T1192" i="5"/>
  <c r="O1162" i="5"/>
  <c r="P1154" i="5"/>
  <c r="F1142" i="5"/>
  <c r="O1192" i="5"/>
  <c r="J1180" i="5"/>
  <c r="T1180" i="5"/>
  <c r="G1169" i="5"/>
  <c r="P1157" i="5"/>
  <c r="T1153" i="5"/>
  <c r="S1113" i="5"/>
  <c r="J1161" i="5"/>
  <c r="Q1113" i="5"/>
  <c r="R1157" i="5"/>
  <c r="M1165" i="5"/>
  <c r="H1157" i="5"/>
  <c r="S1125" i="5"/>
  <c r="G1177" i="5"/>
  <c r="M1109" i="5"/>
  <c r="M1129" i="5"/>
  <c r="Q1129" i="5"/>
  <c r="Q1180" i="5"/>
  <c r="O1149" i="5"/>
  <c r="P1149" i="5"/>
  <c r="K1188" i="5"/>
  <c r="I1184" i="5"/>
  <c r="P1184" i="5"/>
  <c r="S1145" i="5"/>
  <c r="F1196" i="5"/>
  <c r="K1192" i="5"/>
  <c r="I1177" i="5"/>
  <c r="Q1157" i="5"/>
  <c r="R1141" i="5"/>
  <c r="G1129" i="5"/>
  <c r="K1184" i="5"/>
  <c r="F1177" i="5"/>
  <c r="T1121" i="5"/>
  <c r="F1126" i="5"/>
  <c r="K1154" i="5"/>
  <c r="H1158" i="5"/>
  <c r="M1166" i="5"/>
  <c r="J1122" i="5"/>
  <c r="O1198" i="5"/>
  <c r="H1195" i="5"/>
  <c r="I1187" i="5"/>
  <c r="L1183" i="5"/>
  <c r="L1179" i="5"/>
  <c r="S1174" i="5"/>
  <c r="N1170" i="5"/>
  <c r="I1170" i="5"/>
  <c r="P1162" i="5"/>
  <c r="I1146" i="5"/>
  <c r="G1130" i="5"/>
  <c r="K1126" i="5"/>
  <c r="F1122" i="5"/>
  <c r="L1114" i="5"/>
  <c r="D2880" i="44"/>
  <c r="E3290" i="44"/>
  <c r="A3290" i="44" s="1"/>
  <c r="I187" i="32"/>
  <c r="J749" i="3"/>
  <c r="J45" i="34" s="1"/>
  <c r="I57" i="34"/>
  <c r="I65" i="34"/>
  <c r="I10" i="34"/>
  <c r="E430" i="3"/>
  <c r="K53" i="32" s="1"/>
  <c r="H72" i="34"/>
  <c r="E3323" i="44"/>
  <c r="A3323" i="44" s="1"/>
  <c r="B881" i="3"/>
  <c r="E3247" i="44"/>
  <c r="A3247" i="44" s="1"/>
  <c r="E3182" i="44"/>
  <c r="A3182" i="44" s="1"/>
  <c r="I197" i="24"/>
  <c r="I133" i="32"/>
  <c r="C194" i="24"/>
  <c r="K130" i="32"/>
  <c r="F197" i="24"/>
  <c r="F133" i="32"/>
  <c r="C473" i="5"/>
  <c r="K128" i="32"/>
  <c r="H197" i="24"/>
  <c r="H133" i="32"/>
  <c r="E197" i="24"/>
  <c r="E133" i="32"/>
  <c r="G197" i="24"/>
  <c r="G133" i="32"/>
  <c r="C467" i="5"/>
  <c r="K126" i="32"/>
  <c r="C131" i="32"/>
  <c r="K131" i="32"/>
  <c r="G20" i="25"/>
  <c r="K127" i="32"/>
  <c r="C485" i="5"/>
  <c r="K132" i="32"/>
  <c r="D1666" i="44"/>
  <c r="B1667" i="44"/>
  <c r="B1668" i="44" s="1"/>
  <c r="D1668" i="44" s="1"/>
  <c r="B2753" i="44"/>
  <c r="B2754" i="44" s="1"/>
  <c r="B2755" i="44" s="1"/>
  <c r="D2755" i="44" s="1"/>
  <c r="D2752" i="44"/>
  <c r="B2273" i="44"/>
  <c r="D2273" i="44" s="1"/>
  <c r="D2272" i="44"/>
  <c r="E3248" i="44"/>
  <c r="A3248" i="44" s="1"/>
  <c r="J790" i="3"/>
  <c r="T790" i="3" s="1"/>
  <c r="I19" i="34"/>
  <c r="E3280" i="44"/>
  <c r="A3280" i="44" s="1"/>
  <c r="H49" i="34"/>
  <c r="E3211" i="44"/>
  <c r="A3211" i="44" s="1"/>
  <c r="I94" i="34"/>
  <c r="J798" i="3"/>
  <c r="T798" i="3" s="1"/>
  <c r="D2945" i="44"/>
  <c r="D600" i="44"/>
  <c r="D604" i="44"/>
  <c r="D608" i="44"/>
  <c r="B763" i="44"/>
  <c r="D764" i="44" s="1"/>
  <c r="I22" i="34"/>
  <c r="E3339" i="44"/>
  <c r="A3339" i="44" s="1"/>
  <c r="E3355" i="44"/>
  <c r="A3355" i="44" s="1"/>
  <c r="R1195" i="5"/>
  <c r="F1195" i="5"/>
  <c r="T1166" i="5"/>
  <c r="H1166" i="5"/>
  <c r="O1166" i="5"/>
  <c r="J1166" i="5"/>
  <c r="F1162" i="5"/>
  <c r="K1162" i="5"/>
  <c r="L1162" i="5"/>
  <c r="S1162" i="5"/>
  <c r="N1162" i="5"/>
  <c r="M1158" i="5"/>
  <c r="T1158" i="5"/>
  <c r="G1158" i="5"/>
  <c r="J1158" i="5"/>
  <c r="I1158" i="5"/>
  <c r="R1158" i="5"/>
  <c r="S1158" i="5"/>
  <c r="M1154" i="5"/>
  <c r="I1154" i="5"/>
  <c r="R1154" i="5"/>
  <c r="G1154" i="5"/>
  <c r="M1150" i="5"/>
  <c r="J1150" i="5"/>
  <c r="J1146" i="5"/>
  <c r="G1146" i="5"/>
  <c r="S1146" i="5"/>
  <c r="M1146" i="5"/>
  <c r="N1142" i="5"/>
  <c r="R1142" i="5"/>
  <c r="J1142" i="5"/>
  <c r="O1130" i="5"/>
  <c r="K1130" i="5"/>
  <c r="L1130" i="5"/>
  <c r="J1130" i="5"/>
  <c r="N1126" i="5"/>
  <c r="L1126" i="5"/>
  <c r="H1122" i="5"/>
  <c r="N1122" i="5"/>
  <c r="L1110" i="5"/>
  <c r="O1110" i="5"/>
  <c r="O1106" i="5"/>
  <c r="N1106" i="5"/>
  <c r="E746" i="44"/>
  <c r="A746" i="44" s="1"/>
  <c r="I74" i="24"/>
  <c r="H12" i="34"/>
  <c r="E3174" i="44"/>
  <c r="A3174" i="44" s="1"/>
  <c r="E3274" i="44"/>
  <c r="A3274" i="44" s="1"/>
  <c r="I13" i="34"/>
  <c r="H27" i="34"/>
  <c r="E3189" i="44"/>
  <c r="A3189" i="44" s="1"/>
  <c r="J717" i="3"/>
  <c r="T717" i="3" s="1"/>
  <c r="H36" i="34"/>
  <c r="J740" i="3"/>
  <c r="J36" i="34" s="1"/>
  <c r="N382" i="3"/>
  <c r="G133" i="24" s="1"/>
  <c r="C382" i="3"/>
  <c r="E3249" i="44"/>
  <c r="A3249" i="44" s="1"/>
  <c r="H87" i="34"/>
  <c r="H7" i="34"/>
  <c r="E3169" i="44"/>
  <c r="A3169" i="44" s="1"/>
  <c r="H258" i="24"/>
  <c r="I196" i="32"/>
  <c r="H227" i="24"/>
  <c r="I165" i="32"/>
  <c r="E3250" i="44"/>
  <c r="A3250" i="44" s="1"/>
  <c r="H88" i="34"/>
  <c r="H241" i="24"/>
  <c r="I179" i="32"/>
  <c r="J724" i="3"/>
  <c r="T724" i="3" s="1"/>
  <c r="J789" i="3"/>
  <c r="J85" i="34" s="1"/>
  <c r="J719" i="3"/>
  <c r="J15" i="34" s="1"/>
  <c r="J762" i="3"/>
  <c r="T762" i="3" s="1"/>
  <c r="C115" i="24"/>
  <c r="I58" i="34"/>
  <c r="H63" i="34"/>
  <c r="M382" i="3"/>
  <c r="F133" i="24" s="1"/>
  <c r="D382" i="3"/>
  <c r="E90" i="32" s="1"/>
  <c r="K382" i="3"/>
  <c r="D107" i="32" s="1"/>
  <c r="J791" i="3"/>
  <c r="J87" i="34" s="1"/>
  <c r="E3212" i="44"/>
  <c r="A3212" i="44" s="1"/>
  <c r="I61" i="34"/>
  <c r="E3286" i="44"/>
  <c r="A3286" i="44" s="1"/>
  <c r="I382" i="3"/>
  <c r="E3219" i="44"/>
  <c r="A3219" i="44" s="1"/>
  <c r="O382" i="3"/>
  <c r="J722" i="3"/>
  <c r="J18" i="34" s="1"/>
  <c r="E382" i="3"/>
  <c r="F90" i="32" s="1"/>
  <c r="E3200" i="44"/>
  <c r="A3200" i="44" s="1"/>
  <c r="F382" i="3"/>
  <c r="G90" i="32" s="1"/>
  <c r="C90" i="32"/>
  <c r="E3331" i="44"/>
  <c r="A3331" i="44" s="1"/>
  <c r="J382" i="3"/>
  <c r="P382" i="3"/>
  <c r="I133" i="24" s="1"/>
  <c r="L382" i="3"/>
  <c r="E133" i="24" s="1"/>
  <c r="E3167" i="44"/>
  <c r="A3167" i="44" s="1"/>
  <c r="E284" i="44"/>
  <c r="A284" i="44" s="1"/>
  <c r="J794" i="3"/>
  <c r="J90" i="34" s="1"/>
  <c r="J746" i="3"/>
  <c r="J42" i="34" s="1"/>
  <c r="E3220" i="44"/>
  <c r="A3220" i="44" s="1"/>
  <c r="I199" i="32"/>
  <c r="I83" i="34"/>
  <c r="E3337" i="44"/>
  <c r="A3337" i="44" s="1"/>
  <c r="E3347" i="44"/>
  <c r="A3347" i="44" s="1"/>
  <c r="H30" i="34"/>
  <c r="E3357" i="44"/>
  <c r="A3357" i="44" s="1"/>
  <c r="H48" i="34"/>
  <c r="I67" i="24"/>
  <c r="C446" i="5"/>
  <c r="E30" i="24"/>
  <c r="I68" i="24"/>
  <c r="B99" i="30"/>
  <c r="H66" i="34"/>
  <c r="C463" i="5"/>
  <c r="H37" i="34"/>
  <c r="H47" i="34"/>
  <c r="I205" i="32"/>
  <c r="E3237" i="44"/>
  <c r="A3237" i="44" s="1"/>
  <c r="D125" i="30"/>
  <c r="I102" i="34"/>
  <c r="J761" i="3"/>
  <c r="T761" i="3" s="1"/>
  <c r="E3265" i="44"/>
  <c r="A3265" i="44" s="1"/>
  <c r="I70" i="24"/>
  <c r="D184" i="24"/>
  <c r="H255" i="24"/>
  <c r="I193" i="32"/>
  <c r="I65" i="24"/>
  <c r="B45" i="30"/>
  <c r="I155" i="32"/>
  <c r="H217" i="24"/>
  <c r="E3335" i="44"/>
  <c r="A3335" i="44" s="1"/>
  <c r="J741" i="3"/>
  <c r="J37" i="34" s="1"/>
  <c r="J770" i="3"/>
  <c r="J66" i="34" s="1"/>
  <c r="H69" i="34"/>
  <c r="I69" i="34"/>
  <c r="E3341" i="44"/>
  <c r="A3341" i="44" s="1"/>
  <c r="I80" i="34"/>
  <c r="J725" i="3"/>
  <c r="J21" i="34" s="1"/>
  <c r="J714" i="3"/>
  <c r="H86" i="34"/>
  <c r="I92" i="34"/>
  <c r="J723" i="3"/>
  <c r="T723" i="3" s="1"/>
  <c r="E3307" i="44"/>
  <c r="A3307" i="44" s="1"/>
  <c r="I46" i="34"/>
  <c r="H40" i="34"/>
  <c r="J784" i="3"/>
  <c r="J80" i="34" s="1"/>
  <c r="J753" i="3"/>
  <c r="J49" i="34" s="1"/>
  <c r="H79" i="34"/>
  <c r="H21" i="34"/>
  <c r="E3172" i="44"/>
  <c r="A3172" i="44" s="1"/>
  <c r="I28" i="34"/>
  <c r="E3259" i="44"/>
  <c r="A3259" i="44" s="1"/>
  <c r="I163" i="32"/>
  <c r="J800" i="3"/>
  <c r="T800" i="3" s="1"/>
  <c r="T1189" i="5"/>
  <c r="M1168" i="5"/>
  <c r="S1189" i="5"/>
  <c r="Q1152" i="5"/>
  <c r="H1156" i="5"/>
  <c r="F1160" i="5"/>
  <c r="G1193" i="5"/>
  <c r="I1172" i="5"/>
  <c r="K1181" i="5"/>
  <c r="D66" i="32"/>
  <c r="J130" i="3"/>
  <c r="K130" i="3" s="1"/>
  <c r="E78" i="24" s="1"/>
  <c r="E3364" i="44"/>
  <c r="A3364" i="44" s="1"/>
  <c r="J807" i="3"/>
  <c r="I36" i="34"/>
  <c r="E3297" i="44"/>
  <c r="A3297" i="44" s="1"/>
  <c r="H60" i="34"/>
  <c r="E3222" i="44"/>
  <c r="A3222" i="44" s="1"/>
  <c r="E3328" i="44"/>
  <c r="A3328" i="44" s="1"/>
  <c r="I67" i="34"/>
  <c r="D3072" i="44"/>
  <c r="D607" i="44"/>
  <c r="D599" i="44"/>
  <c r="D2017" i="44"/>
  <c r="J1195" i="5"/>
  <c r="L1187" i="5"/>
  <c r="S1195" i="5"/>
  <c r="T1154" i="5"/>
  <c r="D602" i="44"/>
  <c r="B2882" i="44"/>
  <c r="D2882" i="44" s="1"/>
  <c r="B1793" i="44"/>
  <c r="B1794" i="44" s="1"/>
  <c r="E3298" i="44"/>
  <c r="A3298" i="44" s="1"/>
  <c r="I32" i="34"/>
  <c r="J801" i="3"/>
  <c r="J97" i="34" s="1"/>
  <c r="E3177" i="44"/>
  <c r="A3177" i="44" s="1"/>
  <c r="J731" i="3"/>
  <c r="J27" i="34" s="1"/>
  <c r="J795" i="3"/>
  <c r="T795" i="3" s="1"/>
  <c r="I82" i="34"/>
  <c r="I60" i="34"/>
  <c r="J785" i="3"/>
  <c r="J81" i="34" s="1"/>
  <c r="E3262" i="44"/>
  <c r="A3262" i="44" s="1"/>
  <c r="J796" i="3"/>
  <c r="J92" i="34" s="1"/>
  <c r="E3258" i="44"/>
  <c r="A3258" i="44" s="1"/>
  <c r="J711" i="3"/>
  <c r="J7" i="34" s="1"/>
  <c r="E3198" i="44"/>
  <c r="A3198" i="44" s="1"/>
  <c r="I103" i="34"/>
  <c r="J772" i="3"/>
  <c r="I18" i="34"/>
  <c r="E3245" i="44"/>
  <c r="A3245" i="44" s="1"/>
  <c r="J739" i="3"/>
  <c r="T739" i="3" s="1"/>
  <c r="A873" i="5"/>
  <c r="E873" i="5" s="1"/>
  <c r="I35" i="34"/>
  <c r="F1192" i="5"/>
  <c r="G1192" i="5"/>
  <c r="N1192" i="5"/>
  <c r="N1188" i="5"/>
  <c r="I1188" i="5"/>
  <c r="J1188" i="5"/>
  <c r="S1188" i="5"/>
  <c r="O1188" i="5"/>
  <c r="N1184" i="5"/>
  <c r="R1184" i="5"/>
  <c r="Q1184" i="5"/>
  <c r="M1184" i="5"/>
  <c r="H1184" i="5"/>
  <c r="T1184" i="5"/>
  <c r="O1180" i="5"/>
  <c r="R1180" i="5"/>
  <c r="L1177" i="5"/>
  <c r="Q1177" i="5"/>
  <c r="M1177" i="5"/>
  <c r="P1177" i="5"/>
  <c r="O1177" i="5"/>
  <c r="H1177" i="5"/>
  <c r="Q1169" i="5"/>
  <c r="T1169" i="5"/>
  <c r="L1169" i="5"/>
  <c r="F1165" i="5"/>
  <c r="H1165" i="5"/>
  <c r="S1165" i="5"/>
  <c r="L1165" i="5"/>
  <c r="M1161" i="5"/>
  <c r="T1161" i="5"/>
  <c r="Q1161" i="5"/>
  <c r="L1161" i="5"/>
  <c r="I1161" i="5"/>
  <c r="K1161" i="5"/>
  <c r="M1157" i="5"/>
  <c r="S1157" i="5"/>
  <c r="K1149" i="5"/>
  <c r="F1149" i="5"/>
  <c r="L1149" i="5"/>
  <c r="H1149" i="5"/>
  <c r="J1149" i="5"/>
  <c r="Q1145" i="5"/>
  <c r="T1145" i="5"/>
  <c r="I1145" i="5"/>
  <c r="R1145" i="5"/>
  <c r="N1145" i="5"/>
  <c r="M1141" i="5"/>
  <c r="J1141" i="5"/>
  <c r="K1141" i="5"/>
  <c r="L1141" i="5"/>
  <c r="H1141" i="5"/>
  <c r="F1141" i="5"/>
  <c r="S1137" i="5"/>
  <c r="F1137" i="5"/>
  <c r="M1133" i="5"/>
  <c r="F1133" i="5"/>
  <c r="L1129" i="5"/>
  <c r="T1129" i="5"/>
  <c r="T1125" i="5"/>
  <c r="J1125" i="5"/>
  <c r="N1125" i="5"/>
  <c r="O1121" i="5"/>
  <c r="S1121" i="5"/>
  <c r="Q1121" i="5"/>
  <c r="I1121" i="5"/>
  <c r="F1121" i="5"/>
  <c r="K1121" i="5"/>
  <c r="J1113" i="5"/>
  <c r="I1113" i="5"/>
  <c r="P1109" i="5"/>
  <c r="H1109" i="5"/>
  <c r="O1109" i="5"/>
  <c r="L1109" i="5"/>
  <c r="O1105" i="5"/>
  <c r="G1105" i="5"/>
  <c r="G1199" i="5"/>
  <c r="J1199" i="5"/>
  <c r="R1194" i="5"/>
  <c r="K1194" i="5"/>
  <c r="N1194" i="5"/>
  <c r="O1190" i="5"/>
  <c r="Q1190" i="5"/>
  <c r="R1190" i="5"/>
  <c r="I1190" i="5"/>
  <c r="M1190" i="5"/>
  <c r="L1186" i="5"/>
  <c r="R1186" i="5"/>
  <c r="O1186" i="5"/>
  <c r="F1186" i="5"/>
  <c r="I1186" i="5"/>
  <c r="N1182" i="5"/>
  <c r="R1182" i="5"/>
  <c r="L1182" i="5"/>
  <c r="J1178" i="5"/>
  <c r="T1178" i="5"/>
  <c r="I1178" i="5"/>
  <c r="H1178" i="5"/>
  <c r="L1178" i="5"/>
  <c r="P1178" i="5"/>
  <c r="F1178" i="5"/>
  <c r="R1175" i="5"/>
  <c r="P1175" i="5"/>
  <c r="K1171" i="5"/>
  <c r="J1171" i="5"/>
  <c r="M1163" i="5"/>
  <c r="S1163" i="5"/>
  <c r="N1163" i="5"/>
  <c r="K1163" i="5"/>
  <c r="R1163" i="5"/>
  <c r="T1159" i="5"/>
  <c r="I1159" i="5"/>
  <c r="F1159" i="5"/>
  <c r="L1159" i="5"/>
  <c r="M1159" i="5"/>
  <c r="N1159" i="5"/>
  <c r="K1159" i="5"/>
  <c r="O1155" i="5"/>
  <c r="G1155" i="5"/>
  <c r="S1155" i="5"/>
  <c r="J1155" i="5"/>
  <c r="M1147" i="5"/>
  <c r="P1147" i="5"/>
  <c r="O1147" i="5"/>
  <c r="Q1147" i="5"/>
  <c r="N1147" i="5"/>
  <c r="R1147" i="5"/>
  <c r="G1147" i="5"/>
  <c r="Q1143" i="5"/>
  <c r="F1143" i="5"/>
  <c r="M1143" i="5"/>
  <c r="S1143" i="5"/>
  <c r="T1143" i="5"/>
  <c r="I1143" i="5"/>
  <c r="O1135" i="5"/>
  <c r="K1135" i="5"/>
  <c r="G1135" i="5"/>
  <c r="O1127" i="5"/>
  <c r="H1127" i="5"/>
  <c r="M1127" i="5"/>
  <c r="O1103" i="5"/>
  <c r="M1103" i="5"/>
  <c r="E3186" i="44"/>
  <c r="A3186" i="44" s="1"/>
  <c r="H24" i="34"/>
  <c r="E3175" i="44"/>
  <c r="A3175" i="44" s="1"/>
  <c r="H13" i="34"/>
  <c r="E3257" i="44"/>
  <c r="A3257" i="44" s="1"/>
  <c r="H95" i="34"/>
  <c r="E3218" i="44"/>
  <c r="A3218" i="44" s="1"/>
  <c r="J760" i="3"/>
  <c r="H56" i="34"/>
  <c r="E3332" i="44"/>
  <c r="A3332" i="44" s="1"/>
  <c r="I71" i="34"/>
  <c r="H90" i="34"/>
  <c r="E3252" i="44"/>
  <c r="A3252" i="44" s="1"/>
  <c r="E3303" i="44"/>
  <c r="A3303" i="44" s="1"/>
  <c r="I42" i="34"/>
  <c r="B441" i="3"/>
  <c r="A866" i="5"/>
  <c r="E866" i="5" s="1"/>
  <c r="H1176" i="5"/>
  <c r="J1176" i="5"/>
  <c r="F1168" i="5"/>
  <c r="L1168" i="5"/>
  <c r="O1168" i="5"/>
  <c r="R1168" i="5"/>
  <c r="H1168" i="5"/>
  <c r="I1160" i="5"/>
  <c r="L1160" i="5"/>
  <c r="Q1160" i="5"/>
  <c r="P1160" i="5"/>
  <c r="O1144" i="5"/>
  <c r="R1144" i="5"/>
  <c r="J1136" i="5"/>
  <c r="T1136" i="5"/>
  <c r="Q1136" i="5"/>
  <c r="P1132" i="5"/>
  <c r="O1132" i="5"/>
  <c r="L1132" i="5"/>
  <c r="I1128" i="5"/>
  <c r="M1128" i="5"/>
  <c r="O1128" i="5"/>
  <c r="G1124" i="5"/>
  <c r="N1124" i="5"/>
  <c r="I1124" i="5"/>
  <c r="K1124" i="5"/>
  <c r="R1124" i="5"/>
  <c r="F1124" i="5"/>
  <c r="F1120" i="5"/>
  <c r="L1120" i="5"/>
  <c r="I1120" i="5"/>
  <c r="F1116" i="5"/>
  <c r="G1116" i="5"/>
  <c r="P1116" i="5"/>
  <c r="O1112" i="5"/>
  <c r="N1112" i="5"/>
  <c r="H1112" i="5"/>
  <c r="K1112" i="5"/>
  <c r="T1112" i="5"/>
  <c r="J1112" i="5"/>
  <c r="M1108" i="5"/>
  <c r="T1108" i="5"/>
  <c r="N1108" i="5"/>
  <c r="P1108" i="5"/>
  <c r="T1198" i="5"/>
  <c r="H1198" i="5"/>
  <c r="R1183" i="5"/>
  <c r="O1183" i="5"/>
  <c r="P1174" i="5"/>
  <c r="R1174" i="5"/>
  <c r="J1174" i="5"/>
  <c r="I1130" i="5"/>
  <c r="M1130" i="5"/>
  <c r="G1126" i="5"/>
  <c r="J1126" i="5"/>
  <c r="S1126" i="5"/>
  <c r="M1122" i="5"/>
  <c r="S1122" i="5"/>
  <c r="L1122" i="5"/>
  <c r="Q1122" i="5"/>
  <c r="T1118" i="5"/>
  <c r="O1118" i="5"/>
  <c r="P1118" i="5"/>
  <c r="R1110" i="5"/>
  <c r="K1110" i="5"/>
  <c r="J1110" i="5"/>
  <c r="G1110" i="5"/>
  <c r="T1110" i="5"/>
  <c r="N1110" i="5"/>
  <c r="H1110" i="5"/>
  <c r="A1205" i="5"/>
  <c r="R1205" i="5" s="1"/>
  <c r="B1102" i="5"/>
  <c r="A892" i="5"/>
  <c r="E892" i="5" s="1"/>
  <c r="A896" i="5"/>
  <c r="C896" i="5" s="1"/>
  <c r="A894" i="5"/>
  <c r="D894" i="5" s="1"/>
  <c r="A890" i="5"/>
  <c r="C890" i="5" s="1"/>
  <c r="A893" i="5"/>
  <c r="C893" i="5" s="1"/>
  <c r="A897" i="5"/>
  <c r="C897" i="5" s="1"/>
  <c r="A891" i="5"/>
  <c r="D891" i="5" s="1"/>
  <c r="A895" i="5"/>
  <c r="C895" i="5" s="1"/>
  <c r="A1204" i="5"/>
  <c r="C1204" i="5" s="1"/>
  <c r="A872" i="5"/>
  <c r="E872" i="5" s="1"/>
  <c r="A867" i="5"/>
  <c r="F867" i="5" s="1"/>
  <c r="A870" i="5"/>
  <c r="H870" i="5" s="1"/>
  <c r="A869" i="5"/>
  <c r="C869" i="5" s="1"/>
  <c r="A871" i="5"/>
  <c r="G871" i="5" s="1"/>
  <c r="A868" i="5"/>
  <c r="C868" i="5" s="1"/>
  <c r="A874" i="5"/>
  <c r="H874" i="5" s="1"/>
  <c r="B1207" i="5"/>
  <c r="A1206" i="5"/>
  <c r="L1206" i="5" s="1"/>
  <c r="F1101" i="5"/>
  <c r="H53" i="34"/>
  <c r="E3215" i="44"/>
  <c r="A3215" i="44" s="1"/>
  <c r="E3282" i="44"/>
  <c r="A3282" i="44" s="1"/>
  <c r="I21" i="34"/>
  <c r="E3239" i="44"/>
  <c r="A3239" i="44" s="1"/>
  <c r="J781" i="3"/>
  <c r="E3233" i="44"/>
  <c r="A3233" i="44" s="1"/>
  <c r="J775" i="3"/>
  <c r="H71" i="34"/>
  <c r="I87" i="34"/>
  <c r="E3348" i="44"/>
  <c r="A3348" i="44" s="1"/>
  <c r="E3277" i="44"/>
  <c r="A3277" i="44" s="1"/>
  <c r="I16" i="34"/>
  <c r="H42" i="34"/>
  <c r="E3204" i="44"/>
  <c r="A3204" i="44" s="1"/>
  <c r="L1101" i="5"/>
  <c r="I85" i="34"/>
  <c r="E3346" i="44"/>
  <c r="A3346" i="44" s="1"/>
  <c r="I15" i="34"/>
  <c r="E3276" i="44"/>
  <c r="A3276" i="44" s="1"/>
  <c r="I23" i="34"/>
  <c r="E3284" i="44"/>
  <c r="A3284" i="44" s="1"/>
  <c r="E3181" i="44"/>
  <c r="A3181" i="44" s="1"/>
  <c r="H19" i="34"/>
  <c r="I17" i="34"/>
  <c r="E3278" i="44"/>
  <c r="A3278" i="44" s="1"/>
  <c r="O1101" i="5"/>
  <c r="J1101" i="5"/>
  <c r="S1101" i="5"/>
  <c r="T1101" i="5"/>
  <c r="R1101" i="5"/>
  <c r="D836" i="44"/>
  <c r="B2948" i="44"/>
  <c r="D2948" i="44" s="1"/>
  <c r="B2194" i="44"/>
  <c r="D2194" i="44" s="1"/>
  <c r="D479" i="44"/>
  <c r="D700" i="44"/>
  <c r="B1889" i="44"/>
  <c r="D1889" i="44" s="1"/>
  <c r="E3269" i="44"/>
  <c r="A3269" i="44" s="1"/>
  <c r="C944" i="5"/>
  <c r="J197" i="24"/>
  <c r="I67" i="3"/>
  <c r="D77" i="24"/>
  <c r="D2800" i="44"/>
  <c r="D2946" i="44"/>
  <c r="D2160" i="44"/>
  <c r="D477" i="44"/>
  <c r="D699" i="44"/>
  <c r="D761" i="44"/>
  <c r="D2562" i="44"/>
  <c r="D1665" i="44"/>
  <c r="E3246" i="44"/>
  <c r="A3246" i="44" s="1"/>
  <c r="H84" i="34"/>
  <c r="I26" i="34"/>
  <c r="E3287" i="44"/>
  <c r="A3287" i="44" s="1"/>
  <c r="B1906" i="44"/>
  <c r="B1907" i="44" s="1"/>
  <c r="D1907" i="44" s="1"/>
  <c r="B609" i="44"/>
  <c r="D612" i="44" s="1"/>
  <c r="D601" i="44"/>
  <c r="D605" i="44"/>
  <c r="B2593" i="44"/>
  <c r="D2593" i="44" s="1"/>
  <c r="D603" i="44"/>
  <c r="B3009" i="44"/>
  <c r="D3009" i="44" s="1"/>
  <c r="J732" i="3"/>
  <c r="J28" i="34" s="1"/>
  <c r="I37" i="34"/>
  <c r="E3322" i="44"/>
  <c r="A3322" i="44" s="1"/>
  <c r="J736" i="3"/>
  <c r="T736" i="3" s="1"/>
  <c r="I27" i="34"/>
  <c r="E3256" i="44"/>
  <c r="A3256" i="44" s="1"/>
  <c r="H94" i="34"/>
  <c r="E3223" i="44"/>
  <c r="A3223" i="44" s="1"/>
  <c r="H61" i="34"/>
  <c r="F134" i="24"/>
  <c r="F108" i="32"/>
  <c r="J764" i="3"/>
  <c r="G1101" i="5"/>
  <c r="I1101" i="5"/>
  <c r="Q1101" i="5"/>
  <c r="H1101" i="5"/>
  <c r="K1101" i="5"/>
  <c r="M1101" i="5"/>
  <c r="I14" i="34"/>
  <c r="E3275" i="44"/>
  <c r="A3275" i="44" s="1"/>
  <c r="H74" i="34"/>
  <c r="J778" i="3"/>
  <c r="E3236" i="44"/>
  <c r="A3236" i="44" s="1"/>
  <c r="E3213" i="44"/>
  <c r="A3213" i="44" s="1"/>
  <c r="J755" i="3"/>
  <c r="H51" i="34"/>
  <c r="E3184" i="44"/>
  <c r="A3184" i="44" s="1"/>
  <c r="J726" i="3"/>
  <c r="H22" i="34"/>
  <c r="H78" i="34"/>
  <c r="E3240" i="44"/>
  <c r="A3240" i="44" s="1"/>
  <c r="J782" i="3"/>
  <c r="I89" i="34"/>
  <c r="E3350" i="44"/>
  <c r="A3350" i="44" s="1"/>
  <c r="H102" i="34"/>
  <c r="E3264" i="44"/>
  <c r="A3264" i="44" s="1"/>
  <c r="J806" i="3"/>
  <c r="H25" i="34"/>
  <c r="E3187" i="44"/>
  <c r="A3187" i="44" s="1"/>
  <c r="J729" i="3"/>
  <c r="H70" i="34"/>
  <c r="J774" i="3"/>
  <c r="E3232" i="44"/>
  <c r="A3232" i="44" s="1"/>
  <c r="E3312" i="44"/>
  <c r="A3312" i="44" s="1"/>
  <c r="I51" i="34"/>
  <c r="J758" i="3"/>
  <c r="H54" i="34"/>
  <c r="E3216" i="44"/>
  <c r="A3216" i="44" s="1"/>
  <c r="J763" i="3"/>
  <c r="H59" i="34"/>
  <c r="E3221" i="44"/>
  <c r="A3221" i="44" s="1"/>
  <c r="H101" i="34"/>
  <c r="E3263" i="44"/>
  <c r="A3263" i="44" s="1"/>
  <c r="H43" i="34"/>
  <c r="E3205" i="44"/>
  <c r="A3205" i="44" s="1"/>
  <c r="J747" i="3"/>
  <c r="E3214" i="44"/>
  <c r="A3214" i="44" s="1"/>
  <c r="J756" i="3"/>
  <c r="H52" i="34"/>
  <c r="H91" i="32"/>
  <c r="H116" i="24"/>
  <c r="G116" i="24"/>
  <c r="G91" i="32"/>
  <c r="J802" i="3"/>
  <c r="H98" i="34"/>
  <c r="E3260" i="44"/>
  <c r="A3260" i="44" s="1"/>
  <c r="J780" i="3"/>
  <c r="E3238" i="44"/>
  <c r="A3238" i="44" s="1"/>
  <c r="H76" i="34"/>
  <c r="J777" i="3"/>
  <c r="E3334" i="44"/>
  <c r="A3334" i="44" s="1"/>
  <c r="I73" i="34"/>
  <c r="H73" i="34"/>
  <c r="E3235" i="44"/>
  <c r="A3235" i="44" s="1"/>
  <c r="H46" i="34"/>
  <c r="E3208" i="44"/>
  <c r="A3208" i="44" s="1"/>
  <c r="J750" i="3"/>
  <c r="H44" i="34"/>
  <c r="E3206" i="44"/>
  <c r="A3206" i="44" s="1"/>
  <c r="I43" i="34"/>
  <c r="E3304" i="44"/>
  <c r="A3304" i="44" s="1"/>
  <c r="E3193" i="44"/>
  <c r="A3193" i="44" s="1"/>
  <c r="J735" i="3"/>
  <c r="H31" i="34"/>
  <c r="H29" i="34"/>
  <c r="E3191" i="44"/>
  <c r="A3191" i="44" s="1"/>
  <c r="J733" i="3"/>
  <c r="J730" i="3"/>
  <c r="H26" i="34"/>
  <c r="E3188" i="44"/>
  <c r="A3188" i="44" s="1"/>
  <c r="E3281" i="44"/>
  <c r="A3281" i="44" s="1"/>
  <c r="I20" i="34"/>
  <c r="H14" i="34"/>
  <c r="E3176" i="44"/>
  <c r="A3176" i="44" s="1"/>
  <c r="J718" i="3"/>
  <c r="H99" i="34"/>
  <c r="E3261" i="44"/>
  <c r="A3261" i="44" s="1"/>
  <c r="J803" i="3"/>
  <c r="I98" i="34"/>
  <c r="E3359" i="44"/>
  <c r="A3359" i="44" s="1"/>
  <c r="E3356" i="44"/>
  <c r="A3356" i="44" s="1"/>
  <c r="I95" i="34"/>
  <c r="J799" i="3"/>
  <c r="E3255" i="44"/>
  <c r="A3255" i="44" s="1"/>
  <c r="J797" i="3"/>
  <c r="H93" i="34"/>
  <c r="H89" i="34"/>
  <c r="E3251" i="44"/>
  <c r="A3251" i="44" s="1"/>
  <c r="J793" i="3"/>
  <c r="H82" i="34"/>
  <c r="J786" i="3"/>
  <c r="E3244" i="44"/>
  <c r="A3244" i="44" s="1"/>
  <c r="E3229" i="44"/>
  <c r="A3229" i="44" s="1"/>
  <c r="J771" i="3"/>
  <c r="H67" i="34"/>
  <c r="I66" i="34"/>
  <c r="E3327" i="44"/>
  <c r="A3327" i="44" s="1"/>
  <c r="H65" i="34"/>
  <c r="E3227" i="44"/>
  <c r="A3227" i="44" s="1"/>
  <c r="J769" i="3"/>
  <c r="H64" i="34"/>
  <c r="E3226" i="44"/>
  <c r="A3226" i="44" s="1"/>
  <c r="J768" i="3"/>
  <c r="I63" i="34"/>
  <c r="J767" i="3"/>
  <c r="E3324" i="44"/>
  <c r="A3324" i="44" s="1"/>
  <c r="H62" i="34"/>
  <c r="J766" i="3"/>
  <c r="E3224" i="44"/>
  <c r="A3224" i="44" s="1"/>
  <c r="J759" i="3"/>
  <c r="E3316" i="44"/>
  <c r="A3316" i="44" s="1"/>
  <c r="I55" i="34"/>
  <c r="I49" i="34"/>
  <c r="E3310" i="44"/>
  <c r="A3310" i="44" s="1"/>
  <c r="I40" i="34"/>
  <c r="E3301" i="44"/>
  <c r="A3301" i="44" s="1"/>
  <c r="J744" i="3"/>
  <c r="E3292" i="44"/>
  <c r="A3292" i="44" s="1"/>
  <c r="I31" i="34"/>
  <c r="J721" i="3"/>
  <c r="H17" i="34"/>
  <c r="E3179" i="44"/>
  <c r="A3179" i="44" s="1"/>
  <c r="E3273" i="44"/>
  <c r="A3273" i="44" s="1"/>
  <c r="I12" i="34"/>
  <c r="J716" i="3"/>
  <c r="E3173" i="44"/>
  <c r="A3173" i="44" s="1"/>
  <c r="H11" i="34"/>
  <c r="E3170" i="44"/>
  <c r="A3170" i="44" s="1"/>
  <c r="H8" i="34"/>
  <c r="E3267" i="44"/>
  <c r="A3267" i="44" s="1"/>
  <c r="I6" i="34"/>
  <c r="E116" i="24"/>
  <c r="J710" i="3"/>
  <c r="D117" i="24"/>
  <c r="D92" i="32"/>
  <c r="H92" i="32"/>
  <c r="H117" i="24"/>
  <c r="J92" i="32"/>
  <c r="J117" i="24"/>
  <c r="G135" i="24"/>
  <c r="G109" i="32"/>
  <c r="F92" i="32"/>
  <c r="F117" i="24"/>
  <c r="C135" i="24"/>
  <c r="C109" i="32"/>
  <c r="E3313" i="44"/>
  <c r="A3313" i="44" s="1"/>
  <c r="I52" i="34"/>
  <c r="E3336" i="44"/>
  <c r="A3336" i="44" s="1"/>
  <c r="I75" i="34"/>
  <c r="J779" i="3"/>
  <c r="I59" i="34"/>
  <c r="E3320" i="44"/>
  <c r="A3320" i="44" s="1"/>
  <c r="H33" i="34"/>
  <c r="J737" i="3"/>
  <c r="E3195" i="44"/>
  <c r="A3195" i="44" s="1"/>
  <c r="H23" i="34"/>
  <c r="J727" i="3"/>
  <c r="E3185" i="44"/>
  <c r="A3185" i="44" s="1"/>
  <c r="E3302" i="44"/>
  <c r="A3302" i="44" s="1"/>
  <c r="J745" i="3"/>
  <c r="I41" i="34"/>
  <c r="E3294" i="44"/>
  <c r="A3294" i="44" s="1"/>
  <c r="I33" i="34"/>
  <c r="E3358" i="44"/>
  <c r="A3358" i="44" s="1"/>
  <c r="I97" i="34"/>
  <c r="D30" i="24"/>
  <c r="C125" i="30"/>
  <c r="B877" i="3"/>
  <c r="C445" i="5"/>
  <c r="D116" i="24"/>
  <c r="D91" i="32"/>
  <c r="H808" i="3"/>
  <c r="E3196" i="44"/>
  <c r="A3196" i="44" s="1"/>
  <c r="H34" i="34"/>
  <c r="H108" i="32"/>
  <c r="J91" i="32"/>
  <c r="J116" i="24"/>
  <c r="J738" i="3"/>
  <c r="E109" i="32"/>
  <c r="E135" i="24"/>
  <c r="F135" i="24"/>
  <c r="F109" i="32"/>
  <c r="G117" i="24"/>
  <c r="G92" i="32"/>
  <c r="E117" i="24"/>
  <c r="E92" i="32"/>
  <c r="D109" i="32"/>
  <c r="D135" i="24"/>
  <c r="I92" i="32"/>
  <c r="I117" i="24"/>
  <c r="B482" i="44"/>
  <c r="D484" i="44" s="1"/>
  <c r="D478" i="44"/>
  <c r="B703" i="44"/>
  <c r="D707" i="44" s="1"/>
  <c r="D702" i="44"/>
  <c r="D2369" i="44"/>
  <c r="D480" i="44"/>
  <c r="D1824" i="44"/>
  <c r="E102" i="30"/>
  <c r="D760" i="44"/>
  <c r="D759" i="44"/>
  <c r="B2625" i="44"/>
  <c r="D2625" i="44" s="1"/>
  <c r="D3025" i="44"/>
  <c r="C192" i="24"/>
  <c r="S104" i="34"/>
  <c r="C813" i="3"/>
  <c r="E1572" i="44" s="1"/>
  <c r="A1572" i="44" s="1"/>
  <c r="I1582" i="44"/>
  <c r="I1581" i="44"/>
  <c r="K104" i="34"/>
  <c r="I5" i="34"/>
  <c r="J709" i="3"/>
  <c r="E3266" i="44"/>
  <c r="A3266" i="44" s="1"/>
  <c r="I88" i="34"/>
  <c r="E3349" i="44"/>
  <c r="A3349" i="44" s="1"/>
  <c r="J792" i="3"/>
  <c r="E3314" i="44"/>
  <c r="A3314" i="44" s="1"/>
  <c r="I53" i="34"/>
  <c r="J757" i="3"/>
  <c r="I72" i="34"/>
  <c r="J776" i="3"/>
  <c r="E3333" i="44"/>
  <c r="A3333" i="44" s="1"/>
  <c r="J713" i="3"/>
  <c r="E3270" i="44"/>
  <c r="A3270" i="44" s="1"/>
  <c r="I9" i="34"/>
  <c r="I808" i="3"/>
  <c r="E3305" i="44"/>
  <c r="A3305" i="44" s="1"/>
  <c r="I44" i="34"/>
  <c r="J748" i="3"/>
  <c r="I79" i="34"/>
  <c r="J783" i="3"/>
  <c r="E3340" i="44"/>
  <c r="A3340" i="44" s="1"/>
  <c r="I11" i="34"/>
  <c r="E3272" i="44"/>
  <c r="A3272" i="44" s="1"/>
  <c r="J715" i="3"/>
  <c r="E3285" i="44"/>
  <c r="A3285" i="44" s="1"/>
  <c r="I24" i="34"/>
  <c r="J728" i="3"/>
  <c r="I38" i="34"/>
  <c r="E3299" i="44"/>
  <c r="A3299" i="44" s="1"/>
  <c r="J742" i="3"/>
  <c r="E3308" i="44"/>
  <c r="A3308" i="44" s="1"/>
  <c r="I47" i="34"/>
  <c r="J751" i="3"/>
  <c r="E3362" i="44"/>
  <c r="A3362" i="44" s="1"/>
  <c r="I101" i="34"/>
  <c r="J805" i="3"/>
  <c r="I50" i="34"/>
  <c r="E3311" i="44"/>
  <c r="A3311" i="44" s="1"/>
  <c r="J754" i="3"/>
  <c r="I48" i="34"/>
  <c r="E3309" i="44"/>
  <c r="A3309" i="44" s="1"/>
  <c r="J752" i="3"/>
  <c r="E3300" i="44"/>
  <c r="A3300" i="44" s="1"/>
  <c r="I39" i="34"/>
  <c r="J743" i="3"/>
  <c r="I30" i="34"/>
  <c r="E3291" i="44"/>
  <c r="A3291" i="44" s="1"/>
  <c r="J734" i="3"/>
  <c r="D407" i="44"/>
  <c r="D2608" i="44"/>
  <c r="B2802" i="44"/>
  <c r="D2802" i="44" s="1"/>
  <c r="B1713" i="44"/>
  <c r="D1713" i="44" s="1"/>
  <c r="G745" i="44"/>
  <c r="D568" i="44"/>
  <c r="D2176" i="44"/>
  <c r="D2320" i="44"/>
  <c r="B2322" i="44"/>
  <c r="D2322" i="44" s="1"/>
  <c r="D2032" i="44"/>
  <c r="D2033" i="44"/>
  <c r="B727" i="44"/>
  <c r="B729" i="44" s="1"/>
  <c r="D325" i="44"/>
  <c r="D2000" i="44"/>
  <c r="D324" i="44"/>
  <c r="D1649" i="44"/>
  <c r="D1648" i="44"/>
  <c r="E274" i="3"/>
  <c r="G274" i="3" s="1"/>
  <c r="B2353" i="44"/>
  <c r="B2354" i="44" s="1"/>
  <c r="B682" i="44"/>
  <c r="D683" i="44" s="1"/>
  <c r="B2579" i="44"/>
  <c r="B2580" i="44" s="1"/>
  <c r="B1617" i="44"/>
  <c r="D1617" i="44" s="1"/>
  <c r="D323" i="44"/>
  <c r="B1780" i="44"/>
  <c r="D1780" i="44" s="1"/>
  <c r="B2481" i="44"/>
  <c r="B2482" i="44" s="1"/>
  <c r="D2704" i="44"/>
  <c r="B2961" i="44"/>
  <c r="B2962" i="44" s="1"/>
  <c r="B2963" i="44" s="1"/>
  <c r="D2963" i="44" s="1"/>
  <c r="D1778" i="44"/>
  <c r="D726" i="44"/>
  <c r="D322" i="44"/>
  <c r="B326" i="44"/>
  <c r="B331" i="44" s="1"/>
  <c r="D2144" i="44"/>
  <c r="D2563" i="44"/>
  <c r="B2257" i="44"/>
  <c r="B2258" i="44" s="1"/>
  <c r="D3106" i="44"/>
  <c r="E195" i="3"/>
  <c r="G195" i="3" s="1"/>
  <c r="E25" i="30"/>
  <c r="B837" i="44"/>
  <c r="B839" i="44" s="1"/>
  <c r="D3105" i="44"/>
  <c r="D1748" i="44"/>
  <c r="D2832" i="44"/>
  <c r="B2386" i="44"/>
  <c r="B2387" i="44" s="1"/>
  <c r="B2739" i="44"/>
  <c r="B2740" i="44" s="1"/>
  <c r="D2224" i="44"/>
  <c r="D1936" i="44"/>
  <c r="D2192" i="44"/>
  <c r="D2034" i="44"/>
  <c r="B2036" i="44"/>
  <c r="D3121" i="44"/>
  <c r="B3122" i="44"/>
  <c r="D898" i="44"/>
  <c r="D567" i="44"/>
  <c r="D680" i="44"/>
  <c r="B2113" i="44"/>
  <c r="D2113" i="44" s="1"/>
  <c r="B2865" i="44"/>
  <c r="B2866" i="44" s="1"/>
  <c r="G295" i="44"/>
  <c r="G296" i="44" s="1"/>
  <c r="G297" i="44" s="1"/>
  <c r="G298" i="44" s="1"/>
  <c r="B3027" i="44"/>
  <c r="D3026" i="44"/>
  <c r="D3152" i="44"/>
  <c r="B3153" i="44"/>
  <c r="B2610" i="44"/>
  <c r="D2609" i="44"/>
  <c r="D2288" i="44"/>
  <c r="B2289" i="44"/>
  <c r="B1969" i="44"/>
  <c r="D1968" i="44"/>
  <c r="D3088" i="44"/>
  <c r="B3089" i="44"/>
  <c r="B2769" i="44"/>
  <c r="D2768" i="44"/>
  <c r="B2226" i="44"/>
  <c r="D2225" i="44"/>
  <c r="D2097" i="44"/>
  <c r="B2098" i="44"/>
  <c r="D883" i="44"/>
  <c r="D884" i="44"/>
  <c r="B885" i="44"/>
  <c r="D865" i="44"/>
  <c r="B866" i="44"/>
  <c r="D864" i="44"/>
  <c r="D2564" i="44"/>
  <c r="B2565" i="44"/>
  <c r="B1938" i="44"/>
  <c r="D1937" i="44"/>
  <c r="E103" i="30"/>
  <c r="C442" i="3"/>
  <c r="B442" i="3"/>
  <c r="C441" i="3"/>
  <c r="D204" i="24"/>
  <c r="D140" i="32"/>
  <c r="B420" i="3"/>
  <c r="D174" i="24" s="1"/>
  <c r="B624" i="3"/>
  <c r="B477" i="3"/>
  <c r="I72" i="24"/>
  <c r="C444" i="5"/>
  <c r="B530" i="3"/>
  <c r="B880" i="3"/>
  <c r="B647" i="3"/>
  <c r="I19" i="24"/>
  <c r="E299" i="44"/>
  <c r="A299" i="44" s="1"/>
  <c r="B125" i="30"/>
  <c r="B413" i="3"/>
  <c r="D161" i="24"/>
  <c r="D305" i="44"/>
  <c r="D304" i="44"/>
  <c r="B307" i="44"/>
  <c r="D307" i="44" s="1"/>
  <c r="D303" i="44"/>
  <c r="B1862" i="44"/>
  <c r="D1861" i="44"/>
  <c r="D2242" i="44"/>
  <c r="B2243" i="44"/>
  <c r="B2706" i="44"/>
  <c r="D2705" i="44"/>
  <c r="D408" i="44"/>
  <c r="D405" i="44"/>
  <c r="D1921" i="44"/>
  <c r="B1922" i="44"/>
  <c r="B1730" i="44"/>
  <c r="D1729" i="44"/>
  <c r="E113" i="30"/>
  <c r="E76" i="30"/>
  <c r="E97" i="30"/>
  <c r="E95" i="30"/>
  <c r="C443" i="3"/>
  <c r="B443" i="3"/>
  <c r="E211" i="3"/>
  <c r="E45" i="30" s="1"/>
  <c r="H8" i="30"/>
  <c r="I174" i="3"/>
  <c r="I8" i="30" s="1"/>
  <c r="H17" i="30"/>
  <c r="I183" i="3"/>
  <c r="I17" i="30" s="1"/>
  <c r="H21" i="30"/>
  <c r="I187" i="3"/>
  <c r="I21" i="30" s="1"/>
  <c r="H25" i="30"/>
  <c r="I191" i="3"/>
  <c r="I25" i="30" s="1"/>
  <c r="H31" i="30"/>
  <c r="I197" i="3"/>
  <c r="I31" i="30" s="1"/>
  <c r="H35" i="30"/>
  <c r="I201" i="3"/>
  <c r="I35" i="30" s="1"/>
  <c r="H39" i="30"/>
  <c r="I205" i="3"/>
  <c r="I39" i="30" s="1"/>
  <c r="H43" i="30"/>
  <c r="I209" i="3"/>
  <c r="I43" i="30" s="1"/>
  <c r="H53" i="30"/>
  <c r="I219" i="3"/>
  <c r="I53" i="30" s="1"/>
  <c r="H57" i="30"/>
  <c r="I223" i="3"/>
  <c r="I57" i="30" s="1"/>
  <c r="H61" i="30"/>
  <c r="I228" i="3"/>
  <c r="I61" i="30" s="1"/>
  <c r="H84" i="30"/>
  <c r="I251" i="3"/>
  <c r="I84" i="30" s="1"/>
  <c r="H88" i="30"/>
  <c r="I255" i="3"/>
  <c r="I88" i="30" s="1"/>
  <c r="H96" i="30"/>
  <c r="I263" i="3"/>
  <c r="I96" i="30" s="1"/>
  <c r="H110" i="30"/>
  <c r="I277" i="3"/>
  <c r="I110" i="30" s="1"/>
  <c r="H16" i="30"/>
  <c r="I182" i="3"/>
  <c r="I16" i="30" s="1"/>
  <c r="H24" i="30"/>
  <c r="I190" i="3"/>
  <c r="I24" i="30" s="1"/>
  <c r="H34" i="30"/>
  <c r="I200" i="3"/>
  <c r="I34" i="30" s="1"/>
  <c r="H42" i="30"/>
  <c r="I208" i="3"/>
  <c r="I42" i="30" s="1"/>
  <c r="H52" i="30"/>
  <c r="I218" i="3"/>
  <c r="I52" i="30" s="1"/>
  <c r="H60" i="30"/>
  <c r="I226" i="3"/>
  <c r="I60" i="30" s="1"/>
  <c r="H87" i="30"/>
  <c r="I254" i="3"/>
  <c r="I87" i="30" s="1"/>
  <c r="H95" i="30"/>
  <c r="I262" i="3"/>
  <c r="I95" i="30" s="1"/>
  <c r="H113" i="30"/>
  <c r="I280" i="3"/>
  <c r="I113" i="30" s="1"/>
  <c r="H80" i="30"/>
  <c r="I247" i="3"/>
  <c r="I80" i="30" s="1"/>
  <c r="H99" i="30"/>
  <c r="I266" i="3"/>
  <c r="I99" i="30" s="1"/>
  <c r="H104" i="30"/>
  <c r="I271" i="3"/>
  <c r="I104" i="30" s="1"/>
  <c r="I203" i="3"/>
  <c r="I37" i="30" s="1"/>
  <c r="H54" i="30"/>
  <c r="I220" i="3"/>
  <c r="I54" i="30" s="1"/>
  <c r="H18" i="30"/>
  <c r="I184" i="3"/>
  <c r="I18" i="30" s="1"/>
  <c r="H93" i="30"/>
  <c r="I260" i="3"/>
  <c r="I93" i="30" s="1"/>
  <c r="H58" i="30"/>
  <c r="I224" i="3"/>
  <c r="I58" i="30" s="1"/>
  <c r="H40" i="30"/>
  <c r="I206" i="3"/>
  <c r="I40" i="30" s="1"/>
  <c r="H22" i="30"/>
  <c r="I188" i="3"/>
  <c r="I22" i="30" s="1"/>
  <c r="H6" i="30"/>
  <c r="I172" i="3"/>
  <c r="I6" i="30" s="1"/>
  <c r="H49" i="30"/>
  <c r="I215" i="3"/>
  <c r="I49" i="30" s="1"/>
  <c r="H15" i="30"/>
  <c r="I181" i="3"/>
  <c r="I15" i="30" s="1"/>
  <c r="H19" i="30"/>
  <c r="I185" i="3"/>
  <c r="I19" i="30" s="1"/>
  <c r="H23" i="30"/>
  <c r="I189" i="3"/>
  <c r="I23" i="30" s="1"/>
  <c r="H27" i="30"/>
  <c r="I193" i="3"/>
  <c r="I27" i="30" s="1"/>
  <c r="H33" i="30"/>
  <c r="I199" i="3"/>
  <c r="I33" i="30" s="1"/>
  <c r="H41" i="30"/>
  <c r="I207" i="3"/>
  <c r="I41" i="30" s="1"/>
  <c r="H47" i="30"/>
  <c r="I213" i="3"/>
  <c r="I47" i="30" s="1"/>
  <c r="H51" i="30"/>
  <c r="I217" i="3"/>
  <c r="I51" i="30" s="1"/>
  <c r="H55" i="30"/>
  <c r="I221" i="3"/>
  <c r="I55" i="30" s="1"/>
  <c r="H59" i="30"/>
  <c r="I225" i="3"/>
  <c r="I59" i="30" s="1"/>
  <c r="H63" i="30"/>
  <c r="I230" i="3"/>
  <c r="I63" i="30" s="1"/>
  <c r="H86" i="30"/>
  <c r="I253" i="3"/>
  <c r="I86" i="30" s="1"/>
  <c r="H90" i="30"/>
  <c r="I257" i="3"/>
  <c r="I90" i="30" s="1"/>
  <c r="H98" i="30"/>
  <c r="I265" i="3"/>
  <c r="I98" i="30" s="1"/>
  <c r="H7" i="30"/>
  <c r="I173" i="3"/>
  <c r="I7" i="30" s="1"/>
  <c r="H20" i="30"/>
  <c r="I186" i="3"/>
  <c r="I20" i="30" s="1"/>
  <c r="H28" i="30"/>
  <c r="I194" i="3"/>
  <c r="I28" i="30" s="1"/>
  <c r="H38" i="30"/>
  <c r="I204" i="3"/>
  <c r="I38" i="30" s="1"/>
  <c r="H48" i="30"/>
  <c r="I214" i="3"/>
  <c r="I48" i="30" s="1"/>
  <c r="H56" i="30"/>
  <c r="I222" i="3"/>
  <c r="I56" i="30" s="1"/>
  <c r="H83" i="30"/>
  <c r="I250" i="3"/>
  <c r="I83" i="30" s="1"/>
  <c r="H91" i="30"/>
  <c r="I258" i="3"/>
  <c r="I91" i="30" s="1"/>
  <c r="H109" i="30"/>
  <c r="I276" i="3"/>
  <c r="I109" i="30" s="1"/>
  <c r="H105" i="30"/>
  <c r="I272" i="3"/>
  <c r="I105" i="30" s="1"/>
  <c r="I281" i="3"/>
  <c r="I114" i="30" s="1"/>
  <c r="H79" i="30"/>
  <c r="I246" i="3"/>
  <c r="I79" i="30" s="1"/>
  <c r="I261" i="3"/>
  <c r="I94" i="30" s="1"/>
  <c r="I259" i="3"/>
  <c r="I92" i="30" s="1"/>
  <c r="H69" i="30"/>
  <c r="I236" i="3"/>
  <c r="I69" i="30" s="1"/>
  <c r="H66" i="30"/>
  <c r="I233" i="3"/>
  <c r="I66" i="30" s="1"/>
  <c r="H89" i="30"/>
  <c r="I256" i="3"/>
  <c r="I89" i="30" s="1"/>
  <c r="H36" i="30"/>
  <c r="I202" i="3"/>
  <c r="I36" i="30" s="1"/>
  <c r="H111" i="30"/>
  <c r="I278" i="3"/>
  <c r="I111" i="30" s="1"/>
  <c r="H85" i="30"/>
  <c r="I252" i="3"/>
  <c r="I85" i="30" s="1"/>
  <c r="H32" i="30"/>
  <c r="I198" i="3"/>
  <c r="I32" i="30" s="1"/>
  <c r="H11" i="30"/>
  <c r="I177" i="3"/>
  <c r="I11" i="30" s="1"/>
  <c r="D2080" i="44"/>
  <c r="B2081" i="44"/>
  <c r="D1750" i="44"/>
  <c r="B1751" i="44"/>
  <c r="B1651" i="44"/>
  <c r="D1650" i="44"/>
  <c r="D406" i="44"/>
  <c r="D404" i="44"/>
  <c r="D1749" i="44"/>
  <c r="B899" i="44"/>
  <c r="D899" i="44" s="1"/>
  <c r="B3057" i="44"/>
  <c r="D3056" i="44"/>
  <c r="D2992" i="44"/>
  <c r="B2993" i="44"/>
  <c r="B2789" i="44"/>
  <c r="D2788" i="44"/>
  <c r="D2512" i="44"/>
  <c r="B2513" i="44"/>
  <c r="B2049" i="44"/>
  <c r="D2048" i="44"/>
  <c r="D749" i="44"/>
  <c r="B751" i="44"/>
  <c r="D750" i="44"/>
  <c r="D907" i="44"/>
  <c r="D906" i="44"/>
  <c r="B908" i="44"/>
  <c r="D1984" i="44"/>
  <c r="B1985" i="44"/>
  <c r="B1874" i="44"/>
  <c r="D1873" i="44"/>
  <c r="B2673" i="44"/>
  <c r="D2672" i="44"/>
  <c r="D2640" i="44"/>
  <c r="B2641" i="44"/>
  <c r="D2209" i="44"/>
  <c r="B2210" i="44"/>
  <c r="B1842" i="44"/>
  <c r="D1841" i="44"/>
  <c r="D1698" i="44"/>
  <c r="B1699" i="44"/>
  <c r="B2691" i="44"/>
  <c r="D2690" i="44"/>
  <c r="D2371" i="44"/>
  <c r="B1681" i="44"/>
  <c r="D1680" i="44"/>
  <c r="D1632" i="44"/>
  <c r="B1633" i="44"/>
  <c r="B2162" i="44"/>
  <c r="D2161" i="44"/>
  <c r="D2145" i="44"/>
  <c r="B2146" i="44"/>
  <c r="D805" i="44"/>
  <c r="B806" i="44"/>
  <c r="D804" i="44"/>
  <c r="B2546" i="44"/>
  <c r="D2545" i="44"/>
  <c r="B2897" i="44"/>
  <c r="D2896" i="44"/>
  <c r="B2929" i="44"/>
  <c r="D2928" i="44"/>
  <c r="B2834" i="44"/>
  <c r="D2833" i="44"/>
  <c r="D2448" i="44"/>
  <c r="B2449" i="44"/>
  <c r="D2400" i="44"/>
  <c r="B2401" i="44"/>
  <c r="B2067" i="44"/>
  <c r="D2066" i="44"/>
  <c r="D2129" i="44"/>
  <c r="B2130" i="44"/>
  <c r="B2419" i="44"/>
  <c r="D2418" i="44"/>
  <c r="D2849" i="44"/>
  <c r="B2850" i="44"/>
  <c r="B1809" i="44"/>
  <c r="D1808" i="44"/>
  <c r="D1584" i="44"/>
  <c r="B1585" i="44"/>
  <c r="D785" i="44"/>
  <c r="B786" i="44"/>
  <c r="D784" i="44"/>
  <c r="D756" i="44"/>
  <c r="D755" i="44"/>
  <c r="B571" i="44"/>
  <c r="D569" i="44"/>
  <c r="D570" i="44"/>
  <c r="B3074" i="44"/>
  <c r="D3073" i="44"/>
  <c r="B2002" i="44"/>
  <c r="D2001" i="44"/>
  <c r="D2177" i="44"/>
  <c r="B2178" i="44"/>
  <c r="D3107" i="44"/>
  <c r="B3108" i="44"/>
  <c r="E111" i="30"/>
  <c r="E283" i="3"/>
  <c r="G283" i="3" s="1"/>
  <c r="E60" i="30"/>
  <c r="E231" i="3"/>
  <c r="G231" i="3" s="1"/>
  <c r="E96" i="30"/>
  <c r="E78" i="30"/>
  <c r="E77" i="30"/>
  <c r="E26" i="30"/>
  <c r="E292" i="3"/>
  <c r="G292" i="3" s="1"/>
  <c r="E79" i="30"/>
  <c r="E266" i="3"/>
  <c r="G266" i="3" s="1"/>
  <c r="I233" i="44"/>
  <c r="F233" i="44" s="1"/>
  <c r="C41" i="24"/>
  <c r="D921" i="5"/>
  <c r="E44" i="30"/>
  <c r="E119" i="30"/>
  <c r="E42" i="30"/>
  <c r="E112" i="30"/>
  <c r="E247" i="3"/>
  <c r="G247" i="3" s="1"/>
  <c r="H292" i="3"/>
  <c r="I292" i="3" s="1"/>
  <c r="I125" i="30" s="1"/>
  <c r="B3139" i="44"/>
  <c r="D3138" i="44"/>
  <c r="D411" i="44"/>
  <c r="D410" i="44"/>
  <c r="D409" i="44"/>
  <c r="D413" i="44"/>
  <c r="D412" i="44"/>
  <c r="B414" i="44"/>
  <c r="D2467" i="44"/>
  <c r="B2468" i="44"/>
  <c r="I64" i="3"/>
  <c r="I65" i="3"/>
  <c r="C127" i="32"/>
  <c r="C470" i="5"/>
  <c r="G45" i="3"/>
  <c r="C191" i="24"/>
  <c r="C134" i="32"/>
  <c r="K1579" i="44"/>
  <c r="E1579" i="44" s="1"/>
  <c r="A1579" i="44" s="1"/>
  <c r="C128" i="32"/>
  <c r="K1576" i="44"/>
  <c r="E1576" i="44" s="1"/>
  <c r="A1576" i="44" s="1"/>
  <c r="M69" i="3"/>
  <c r="E109" i="25" s="1"/>
  <c r="M68" i="3"/>
  <c r="M65" i="3"/>
  <c r="E105" i="25" s="1"/>
  <c r="D110" i="25"/>
  <c r="M67" i="3"/>
  <c r="E107" i="25" s="1"/>
  <c r="M62" i="3"/>
  <c r="M64" i="3"/>
  <c r="E104" i="25" s="1"/>
  <c r="M66" i="3"/>
  <c r="E106" i="25" s="1"/>
  <c r="I72" i="3"/>
  <c r="C132" i="32"/>
  <c r="C490" i="5"/>
  <c r="C195" i="24"/>
  <c r="C196" i="24"/>
  <c r="C482" i="5"/>
  <c r="C126" i="32"/>
  <c r="C190" i="24"/>
  <c r="E300" i="3"/>
  <c r="G16" i="25" s="1"/>
  <c r="I73" i="3"/>
  <c r="C45" i="3"/>
  <c r="B594" i="3" s="1"/>
  <c r="C940" i="5"/>
  <c r="C479" i="5"/>
  <c r="C130" i="32"/>
  <c r="H70" i="3"/>
  <c r="C135" i="32"/>
  <c r="C199" i="24"/>
  <c r="C488" i="5"/>
  <c r="H212" i="44"/>
  <c r="E212" i="44" s="1"/>
  <c r="A212" i="44" s="1"/>
  <c r="I63" i="3"/>
  <c r="H56" i="3"/>
  <c r="E45" i="3"/>
  <c r="B596" i="3" s="1"/>
  <c r="C942" i="5"/>
  <c r="D45" i="3"/>
  <c r="B595" i="3" s="1"/>
  <c r="C941" i="5"/>
  <c r="C943" i="5"/>
  <c r="F45" i="3"/>
  <c r="B597" i="3" s="1"/>
  <c r="H74" i="3"/>
  <c r="B363" i="3" s="1"/>
  <c r="H13" i="52" s="1"/>
  <c r="C193" i="24"/>
  <c r="C476" i="5"/>
  <c r="E301" i="3"/>
  <c r="G17" i="25" s="1"/>
  <c r="C129" i="32"/>
  <c r="H41" i="3"/>
  <c r="H519" i="3" s="1"/>
  <c r="H521" i="3" s="1"/>
  <c r="H523" i="3" s="1"/>
  <c r="C939" i="5"/>
  <c r="B45" i="3"/>
  <c r="B593" i="3" s="1"/>
  <c r="H60" i="3"/>
  <c r="D103" i="49" s="1"/>
  <c r="D105" i="49" s="1"/>
  <c r="E88" i="49" l="1"/>
  <c r="E16" i="49"/>
  <c r="E77" i="49"/>
  <c r="E40" i="49"/>
  <c r="E52" i="49"/>
  <c r="E70" i="49"/>
  <c r="E24" i="49"/>
  <c r="E49" i="49"/>
  <c r="E55" i="49"/>
  <c r="E11" i="49"/>
  <c r="E64" i="49"/>
  <c r="E76" i="49"/>
  <c r="E83" i="49"/>
  <c r="D107" i="49"/>
  <c r="E35" i="49"/>
  <c r="E91" i="49"/>
  <c r="E68" i="49"/>
  <c r="E92" i="49"/>
  <c r="E36" i="49"/>
  <c r="D99" i="49"/>
  <c r="E89" i="49"/>
  <c r="E71" i="49"/>
  <c r="E59" i="49"/>
  <c r="E42" i="49"/>
  <c r="E20" i="49"/>
  <c r="E45" i="49"/>
  <c r="E10" i="49"/>
  <c r="E58" i="49"/>
  <c r="E41" i="49"/>
  <c r="E43" i="49"/>
  <c r="D97" i="49"/>
  <c r="E33" i="49"/>
  <c r="E31" i="49"/>
  <c r="E37" i="49"/>
  <c r="E56" i="49"/>
  <c r="E54" i="49"/>
  <c r="E19" i="49"/>
  <c r="E90" i="49"/>
  <c r="E66" i="49"/>
  <c r="E65" i="49"/>
  <c r="E63" i="49"/>
  <c r="E48" i="49"/>
  <c r="E81" i="49"/>
  <c r="E44" i="49"/>
  <c r="E46" i="49"/>
  <c r="E21" i="49"/>
  <c r="E74" i="49"/>
  <c r="E62" i="49"/>
  <c r="E57" i="49"/>
  <c r="E82" i="49"/>
  <c r="E23" i="49"/>
  <c r="E27" i="49"/>
  <c r="E30" i="49"/>
  <c r="E73" i="49"/>
  <c r="E72" i="49"/>
  <c r="E22" i="49"/>
  <c r="E75" i="49"/>
  <c r="E14" i="49"/>
  <c r="E67" i="49"/>
  <c r="E34" i="49"/>
  <c r="E15" i="49"/>
  <c r="D98" i="49"/>
  <c r="E84" i="49"/>
  <c r="E85" i="49"/>
  <c r="E26" i="49"/>
  <c r="E32" i="49"/>
  <c r="E53" i="49"/>
  <c r="E78" i="49"/>
  <c r="E25" i="49"/>
  <c r="E47" i="49"/>
  <c r="E69" i="49"/>
  <c r="I13" i="52"/>
  <c r="H15" i="52"/>
  <c r="H16" i="52" s="1"/>
  <c r="K42" i="49"/>
  <c r="K41" i="49"/>
  <c r="M36" i="49"/>
  <c r="K43" i="49"/>
  <c r="C294" i="5"/>
  <c r="B21" i="3"/>
  <c r="B566" i="3" s="1"/>
  <c r="E283" i="44"/>
  <c r="A283" i="44" s="1"/>
  <c r="J86" i="34"/>
  <c r="B145" i="3"/>
  <c r="B23" i="19"/>
  <c r="C579" i="3" s="1"/>
  <c r="C23" i="19"/>
  <c r="C530" i="3"/>
  <c r="G73" i="25" s="1"/>
  <c r="C534" i="3"/>
  <c r="G78" i="25" s="1"/>
  <c r="B539" i="3"/>
  <c r="C539" i="3" s="1"/>
  <c r="C538" i="3"/>
  <c r="C134" i="24"/>
  <c r="B882" i="3"/>
  <c r="D52" i="32"/>
  <c r="D108" i="32"/>
  <c r="H90" i="32"/>
  <c r="T765" i="3"/>
  <c r="J58" i="34"/>
  <c r="B548" i="3"/>
  <c r="B598" i="3"/>
  <c r="E598" i="3" s="1"/>
  <c r="H88" i="25" s="1"/>
  <c r="D596" i="3"/>
  <c r="E596" i="3" s="1"/>
  <c r="H86" i="25" s="1"/>
  <c r="D597" i="3"/>
  <c r="E597" i="3" s="1"/>
  <c r="H87" i="25" s="1"/>
  <c r="D595" i="3"/>
  <c r="E595" i="3" s="1"/>
  <c r="H85" i="25" s="1"/>
  <c r="D594" i="3"/>
  <c r="E594" i="3" s="1"/>
  <c r="H84" i="25" s="1"/>
  <c r="D593" i="3"/>
  <c r="E593" i="3" s="1"/>
  <c r="I115" i="24"/>
  <c r="T787" i="3"/>
  <c r="T83" i="34" s="1"/>
  <c r="A955" i="5"/>
  <c r="I116" i="24"/>
  <c r="T788" i="3"/>
  <c r="V788" i="3" s="1"/>
  <c r="V84" i="34" s="1"/>
  <c r="G108" i="32"/>
  <c r="T720" i="3"/>
  <c r="V720" i="3" s="1"/>
  <c r="V16" i="34" s="1"/>
  <c r="H135" i="24"/>
  <c r="T753" i="3"/>
  <c r="T49" i="34" s="1"/>
  <c r="I135" i="24"/>
  <c r="F116" i="24"/>
  <c r="T785" i="3"/>
  <c r="V785" i="3" s="1"/>
  <c r="V81" i="34" s="1"/>
  <c r="J13" i="34"/>
  <c r="T794" i="3"/>
  <c r="V794" i="3" s="1"/>
  <c r="V90" i="34" s="1"/>
  <c r="G523" i="3"/>
  <c r="G519" i="3"/>
  <c r="J69" i="34"/>
  <c r="E108" i="32"/>
  <c r="F107" i="32"/>
  <c r="J20" i="34"/>
  <c r="F878" i="3"/>
  <c r="E1582" i="44"/>
  <c r="A1582" i="44" s="1"/>
  <c r="T784" i="3"/>
  <c r="V784" i="3" s="1"/>
  <c r="V80" i="34" s="1"/>
  <c r="J96" i="34"/>
  <c r="J94" i="34"/>
  <c r="J90" i="32"/>
  <c r="C138" i="3"/>
  <c r="E52" i="32" s="1"/>
  <c r="J32" i="25"/>
  <c r="B341" i="3"/>
  <c r="B343" i="3" s="1"/>
  <c r="D355" i="3" s="1"/>
  <c r="F106" i="24" s="1"/>
  <c r="T749" i="3"/>
  <c r="V749" i="3" s="1"/>
  <c r="V45" i="34" s="1"/>
  <c r="J8" i="34"/>
  <c r="T731" i="3"/>
  <c r="T27" i="34" s="1"/>
  <c r="G119" i="30"/>
  <c r="T719" i="3"/>
  <c r="V719" i="3" s="1"/>
  <c r="V15" i="34" s="1"/>
  <c r="T741" i="3"/>
  <c r="V741" i="3" s="1"/>
  <c r="V37" i="34" s="1"/>
  <c r="F115" i="24"/>
  <c r="D547" i="3"/>
  <c r="D490" i="3"/>
  <c r="R1206" i="5"/>
  <c r="F872" i="5"/>
  <c r="I1206" i="5"/>
  <c r="J1206" i="5"/>
  <c r="N1206" i="5"/>
  <c r="J115" i="24"/>
  <c r="D115" i="24"/>
  <c r="H107" i="32"/>
  <c r="J91" i="34"/>
  <c r="D90" i="32"/>
  <c r="D81" i="24"/>
  <c r="D166" i="24"/>
  <c r="J33" i="25"/>
  <c r="T791" i="3"/>
  <c r="T87" i="34" s="1"/>
  <c r="J100" i="34"/>
  <c r="D133" i="24"/>
  <c r="I107" i="32"/>
  <c r="T789" i="3"/>
  <c r="V789" i="3" s="1"/>
  <c r="V85" i="34" s="1"/>
  <c r="J35" i="34"/>
  <c r="B2020" i="44"/>
  <c r="D2020" i="44" s="1"/>
  <c r="G111" i="30"/>
  <c r="G211" i="3"/>
  <c r="G45" i="30" s="1"/>
  <c r="B2499" i="44"/>
  <c r="D2499" i="44" s="1"/>
  <c r="F120" i="30"/>
  <c r="F75" i="30"/>
  <c r="G29" i="30"/>
  <c r="F24" i="30"/>
  <c r="G124" i="30"/>
  <c r="G107" i="30"/>
  <c r="K1206" i="5"/>
  <c r="H1206" i="5"/>
  <c r="D1206" i="5"/>
  <c r="D896" i="5"/>
  <c r="G1206" i="5"/>
  <c r="B2723" i="44"/>
  <c r="D2723" i="44" s="1"/>
  <c r="J1205" i="5"/>
  <c r="F1205" i="5"/>
  <c r="L1205" i="5"/>
  <c r="C870" i="5"/>
  <c r="J32" i="34"/>
  <c r="F870" i="5"/>
  <c r="D870" i="5"/>
  <c r="C872" i="5"/>
  <c r="E1206" i="5"/>
  <c r="M1206" i="5"/>
  <c r="Q1206" i="5"/>
  <c r="D890" i="5"/>
  <c r="S1206" i="5"/>
  <c r="D2530" i="44"/>
  <c r="D1953" i="44"/>
  <c r="E874" i="5"/>
  <c r="R1204" i="5"/>
  <c r="O1204" i="5"/>
  <c r="D895" i="5"/>
  <c r="M1204" i="5"/>
  <c r="Q1205" i="5"/>
  <c r="T1206" i="5"/>
  <c r="E894" i="5"/>
  <c r="E890" i="5"/>
  <c r="P1205" i="5"/>
  <c r="E1205" i="5"/>
  <c r="T1205" i="5"/>
  <c r="F874" i="5"/>
  <c r="I870" i="5"/>
  <c r="H1205" i="5"/>
  <c r="D874" i="5"/>
  <c r="C874" i="5"/>
  <c r="S1205" i="5"/>
  <c r="G874" i="5"/>
  <c r="E895" i="5"/>
  <c r="J870" i="5"/>
  <c r="C1205" i="5"/>
  <c r="J874" i="5"/>
  <c r="G870" i="5"/>
  <c r="I1205" i="5"/>
  <c r="B1827" i="44"/>
  <c r="B1828" i="44" s="1"/>
  <c r="B1669" i="44"/>
  <c r="B1670" i="44" s="1"/>
  <c r="D1670" i="44" s="1"/>
  <c r="D1667" i="44"/>
  <c r="B1955" i="44"/>
  <c r="D1955" i="44" s="1"/>
  <c r="D1697" i="44"/>
  <c r="D543" i="3"/>
  <c r="D544" i="3"/>
  <c r="D545" i="3"/>
  <c r="D494" i="3"/>
  <c r="D88" i="25" s="1"/>
  <c r="D548" i="3"/>
  <c r="D491" i="3"/>
  <c r="D85" i="25" s="1"/>
  <c r="D493" i="3"/>
  <c r="D87" i="25" s="1"/>
  <c r="D115" i="25"/>
  <c r="C295" i="5"/>
  <c r="C18" i="3"/>
  <c r="D57" i="24" s="1"/>
  <c r="C867" i="5"/>
  <c r="D893" i="5"/>
  <c r="H869" i="5"/>
  <c r="G1204" i="5"/>
  <c r="H1204" i="5"/>
  <c r="D3041" i="44"/>
  <c r="E891" i="5"/>
  <c r="D492" i="3"/>
  <c r="D86" i="25" s="1"/>
  <c r="D546" i="3"/>
  <c r="D489" i="3"/>
  <c r="D83" i="25" s="1"/>
  <c r="T711" i="3"/>
  <c r="T7" i="34" s="1"/>
  <c r="E115" i="24"/>
  <c r="H133" i="24"/>
  <c r="C32" i="32"/>
  <c r="C42" i="32" s="1"/>
  <c r="D42" i="32" s="1"/>
  <c r="E42" i="32" s="1"/>
  <c r="F42" i="32" s="1"/>
  <c r="G42" i="32" s="1"/>
  <c r="T740" i="3"/>
  <c r="T36" i="34" s="1"/>
  <c r="E14" i="32"/>
  <c r="E32" i="32" s="1"/>
  <c r="B1765" i="44"/>
  <c r="D1764" i="44"/>
  <c r="D485" i="44"/>
  <c r="D1601" i="44"/>
  <c r="D1793" i="44"/>
  <c r="D2307" i="44"/>
  <c r="D613" i="44"/>
  <c r="D2337" i="44"/>
  <c r="B2659" i="44"/>
  <c r="D2659" i="44" s="1"/>
  <c r="B1890" i="44"/>
  <c r="D1890" i="44" s="1"/>
  <c r="D2754" i="44"/>
  <c r="D704" i="44"/>
  <c r="F1206" i="5"/>
  <c r="D1205" i="5"/>
  <c r="N1205" i="5"/>
  <c r="O1205" i="5"/>
  <c r="E897" i="5"/>
  <c r="O1206" i="5"/>
  <c r="D610" i="44"/>
  <c r="D483" i="44"/>
  <c r="D2818" i="44"/>
  <c r="D2817" i="44"/>
  <c r="D2753" i="44"/>
  <c r="B614" i="44"/>
  <c r="D616" i="44" s="1"/>
  <c r="D482" i="44"/>
  <c r="B2756" i="44"/>
  <c r="B2757" i="44" s="1"/>
  <c r="D2757" i="44" s="1"/>
  <c r="G746" i="44"/>
  <c r="B2883" i="44"/>
  <c r="B2884" i="44" s="1"/>
  <c r="D2338" i="44"/>
  <c r="B708" i="44"/>
  <c r="D711" i="44" s="1"/>
  <c r="D763" i="44"/>
  <c r="B2949" i="44"/>
  <c r="D2949" i="44" s="1"/>
  <c r="D2339" i="44"/>
  <c r="D611" i="44"/>
  <c r="B2803" i="44"/>
  <c r="B2804" i="44" s="1"/>
  <c r="D609" i="44"/>
  <c r="D2529" i="44"/>
  <c r="D2977" i="44"/>
  <c r="B2195" i="44"/>
  <c r="D2195" i="44" s="1"/>
  <c r="D705" i="44"/>
  <c r="D2481" i="44"/>
  <c r="B2323" i="44"/>
  <c r="B2324" i="44" s="1"/>
  <c r="B2325" i="44" s="1"/>
  <c r="B765" i="44"/>
  <c r="D766" i="44" s="1"/>
  <c r="B2436" i="44"/>
  <c r="D2436" i="44" s="1"/>
  <c r="B2594" i="44"/>
  <c r="B2595" i="44" s="1"/>
  <c r="D2595" i="44" s="1"/>
  <c r="B2274" i="44"/>
  <c r="D2274" i="44" s="1"/>
  <c r="B2915" i="44"/>
  <c r="D2914" i="44"/>
  <c r="K1205" i="5"/>
  <c r="C894" i="5"/>
  <c r="J867" i="5"/>
  <c r="D869" i="5"/>
  <c r="J868" i="5"/>
  <c r="F866" i="5"/>
  <c r="Q1204" i="5"/>
  <c r="J1204" i="5"/>
  <c r="H868" i="5"/>
  <c r="F1204" i="5"/>
  <c r="E868" i="5"/>
  <c r="E107" i="30"/>
  <c r="G304" i="3"/>
  <c r="H20" i="25" s="1"/>
  <c r="K133" i="32"/>
  <c r="G107" i="32"/>
  <c r="E107" i="32"/>
  <c r="J19" i="34"/>
  <c r="C133" i="24"/>
  <c r="J57" i="34"/>
  <c r="C107" i="32"/>
  <c r="T746" i="3"/>
  <c r="V746" i="3" s="1"/>
  <c r="V42" i="34" s="1"/>
  <c r="G115" i="24"/>
  <c r="T801" i="3"/>
  <c r="T97" i="34" s="1"/>
  <c r="T722" i="3"/>
  <c r="G46" i="3"/>
  <c r="P1206" i="5"/>
  <c r="T732" i="3"/>
  <c r="T28" i="34" s="1"/>
  <c r="T770" i="3"/>
  <c r="T796" i="3"/>
  <c r="V796" i="3" s="1"/>
  <c r="V92" i="34" s="1"/>
  <c r="T725" i="3"/>
  <c r="J10" i="34"/>
  <c r="T714" i="3"/>
  <c r="H872" i="5"/>
  <c r="J872" i="5"/>
  <c r="G872" i="5"/>
  <c r="I872" i="5"/>
  <c r="D873" i="5"/>
  <c r="I874" i="5"/>
  <c r="D872" i="5"/>
  <c r="E870" i="5"/>
  <c r="H873" i="5"/>
  <c r="I869" i="5"/>
  <c r="E871" i="5"/>
  <c r="H871" i="5"/>
  <c r="J103" i="34"/>
  <c r="T807" i="3"/>
  <c r="E893" i="5"/>
  <c r="D892" i="5"/>
  <c r="E867" i="5"/>
  <c r="H867" i="5"/>
  <c r="G869" i="5"/>
  <c r="I868" i="5"/>
  <c r="S1204" i="5"/>
  <c r="C866" i="5"/>
  <c r="G868" i="5"/>
  <c r="P1204" i="5"/>
  <c r="T1204" i="5"/>
  <c r="I1204" i="5"/>
  <c r="K1204" i="5"/>
  <c r="D866" i="5"/>
  <c r="D838" i="44"/>
  <c r="D682" i="44"/>
  <c r="D330" i="44"/>
  <c r="D1204" i="5"/>
  <c r="F868" i="5"/>
  <c r="H866" i="5"/>
  <c r="N1204" i="5"/>
  <c r="E1204" i="5"/>
  <c r="F67" i="32"/>
  <c r="D868" i="5"/>
  <c r="T772" i="3"/>
  <c r="J68" i="34"/>
  <c r="C1206" i="5"/>
  <c r="T760" i="3"/>
  <c r="J56" i="34"/>
  <c r="L1204" i="5"/>
  <c r="G1205" i="5"/>
  <c r="M1205" i="5"/>
  <c r="J1102" i="5"/>
  <c r="S1102" i="5"/>
  <c r="G1102" i="5"/>
  <c r="I1102" i="5"/>
  <c r="L1102" i="5"/>
  <c r="T1102" i="5"/>
  <c r="F1102" i="5"/>
  <c r="K1102" i="5"/>
  <c r="O1102" i="5"/>
  <c r="M1102" i="5"/>
  <c r="R1102" i="5"/>
  <c r="P1102" i="5"/>
  <c r="Q1102" i="5"/>
  <c r="N1102" i="5"/>
  <c r="H1102" i="5"/>
  <c r="B1208" i="5"/>
  <c r="A1207" i="5"/>
  <c r="E896" i="5"/>
  <c r="I866" i="5"/>
  <c r="G866" i="5"/>
  <c r="C892" i="5"/>
  <c r="F873" i="5"/>
  <c r="I873" i="5"/>
  <c r="J871" i="5"/>
  <c r="B494" i="3"/>
  <c r="C88" i="25" s="1"/>
  <c r="C891" i="5"/>
  <c r="G867" i="5"/>
  <c r="I867" i="5"/>
  <c r="D867" i="5"/>
  <c r="F869" i="5"/>
  <c r="J869" i="5"/>
  <c r="E869" i="5"/>
  <c r="I871" i="5"/>
  <c r="C873" i="5"/>
  <c r="G873" i="5"/>
  <c r="J873" i="5"/>
  <c r="C871" i="5"/>
  <c r="D329" i="44"/>
  <c r="T775" i="3"/>
  <c r="J71" i="34"/>
  <c r="J77" i="34"/>
  <c r="T781" i="3"/>
  <c r="V739" i="3"/>
  <c r="V35" i="34" s="1"/>
  <c r="T35" i="34"/>
  <c r="J866" i="5"/>
  <c r="D727" i="44"/>
  <c r="D328" i="44"/>
  <c r="B1618" i="44"/>
  <c r="D1618" i="44" s="1"/>
  <c r="D706" i="44"/>
  <c r="B1908" i="44"/>
  <c r="B1909" i="44" s="1"/>
  <c r="B1910" i="44" s="1"/>
  <c r="D486" i="44"/>
  <c r="D703" i="44"/>
  <c r="B487" i="44"/>
  <c r="D489" i="44" s="1"/>
  <c r="B1714" i="44"/>
  <c r="D1714" i="44" s="1"/>
  <c r="B3010" i="44"/>
  <c r="B3011" i="44" s="1"/>
  <c r="D3011" i="44" s="1"/>
  <c r="D1906" i="44"/>
  <c r="J808" i="3"/>
  <c r="J60" i="34"/>
  <c r="T764" i="3"/>
  <c r="T69" i="34"/>
  <c r="V773" i="3"/>
  <c r="V69" i="34" s="1"/>
  <c r="F871" i="5"/>
  <c r="D871" i="5"/>
  <c r="T738" i="3"/>
  <c r="J34" i="34"/>
  <c r="V798" i="3"/>
  <c r="V94" i="34" s="1"/>
  <c r="T94" i="34"/>
  <c r="D34" i="24"/>
  <c r="C447" i="5"/>
  <c r="B878" i="3"/>
  <c r="I878" i="3" s="1"/>
  <c r="J41" i="34"/>
  <c r="T745" i="3"/>
  <c r="J33" i="34"/>
  <c r="T737" i="3"/>
  <c r="T61" i="34"/>
  <c r="V765" i="3"/>
  <c r="V61" i="34" s="1"/>
  <c r="T779" i="3"/>
  <c r="J75" i="34"/>
  <c r="J6" i="34"/>
  <c r="T710" i="3"/>
  <c r="J12" i="34"/>
  <c r="T716" i="3"/>
  <c r="J40" i="34"/>
  <c r="T744" i="3"/>
  <c r="T767" i="3"/>
  <c r="J63" i="34"/>
  <c r="T768" i="3"/>
  <c r="J64" i="34"/>
  <c r="J82" i="34"/>
  <c r="T786" i="3"/>
  <c r="J89" i="34"/>
  <c r="T793" i="3"/>
  <c r="J93" i="34"/>
  <c r="T797" i="3"/>
  <c r="T799" i="3"/>
  <c r="J95" i="34"/>
  <c r="V800" i="3"/>
  <c r="V96" i="34" s="1"/>
  <c r="T96" i="34"/>
  <c r="T57" i="34"/>
  <c r="V761" i="3"/>
  <c r="V57" i="34" s="1"/>
  <c r="J14" i="34"/>
  <c r="T718" i="3"/>
  <c r="J29" i="34"/>
  <c r="T733" i="3"/>
  <c r="J31" i="34"/>
  <c r="T735" i="3"/>
  <c r="J46" i="34"/>
  <c r="T750" i="3"/>
  <c r="T780" i="3"/>
  <c r="J76" i="34"/>
  <c r="V795" i="3"/>
  <c r="V91" i="34" s="1"/>
  <c r="T91" i="34"/>
  <c r="J59" i="34"/>
  <c r="T763" i="3"/>
  <c r="T806" i="3"/>
  <c r="J102" i="34"/>
  <c r="T755" i="3"/>
  <c r="J51" i="34"/>
  <c r="T100" i="34"/>
  <c r="V804" i="3"/>
  <c r="V100" i="34" s="1"/>
  <c r="V790" i="3"/>
  <c r="V86" i="34" s="1"/>
  <c r="T86" i="34"/>
  <c r="T727" i="3"/>
  <c r="J23" i="34"/>
  <c r="T13" i="34"/>
  <c r="V717" i="3"/>
  <c r="V13" i="34" s="1"/>
  <c r="T721" i="3"/>
  <c r="J17" i="34"/>
  <c r="T759" i="3"/>
  <c r="J55" i="34"/>
  <c r="J62" i="34"/>
  <c r="T766" i="3"/>
  <c r="T769" i="3"/>
  <c r="J65" i="34"/>
  <c r="T771" i="3"/>
  <c r="J67" i="34"/>
  <c r="J99" i="34"/>
  <c r="T803" i="3"/>
  <c r="J26" i="34"/>
  <c r="T730" i="3"/>
  <c r="J73" i="34"/>
  <c r="T777" i="3"/>
  <c r="J98" i="34"/>
  <c r="T802" i="3"/>
  <c r="T20" i="34"/>
  <c r="V724" i="3"/>
  <c r="V20" i="34" s="1"/>
  <c r="J52" i="34"/>
  <c r="T756" i="3"/>
  <c r="J43" i="34"/>
  <c r="T747" i="3"/>
  <c r="J54" i="34"/>
  <c r="T758" i="3"/>
  <c r="T774" i="3"/>
  <c r="J70" i="34"/>
  <c r="J25" i="34"/>
  <c r="T729" i="3"/>
  <c r="T782" i="3"/>
  <c r="J78" i="34"/>
  <c r="J22" i="34"/>
  <c r="T726" i="3"/>
  <c r="J74" i="34"/>
  <c r="T778" i="3"/>
  <c r="E29" i="30"/>
  <c r="D308" i="44"/>
  <c r="B2964" i="44"/>
  <c r="B2965" i="44" s="1"/>
  <c r="B2626" i="44"/>
  <c r="M70" i="3"/>
  <c r="E110" i="25" s="1"/>
  <c r="J5" i="34"/>
  <c r="T709" i="3"/>
  <c r="T19" i="34"/>
  <c r="V723" i="3"/>
  <c r="V19" i="34" s="1"/>
  <c r="V712" i="3"/>
  <c r="T8" i="34"/>
  <c r="J30" i="34"/>
  <c r="T734" i="3"/>
  <c r="T752" i="3"/>
  <c r="J48" i="34"/>
  <c r="J101" i="34"/>
  <c r="T805" i="3"/>
  <c r="T742" i="3"/>
  <c r="J38" i="34"/>
  <c r="T715" i="3"/>
  <c r="J11" i="34"/>
  <c r="J79" i="34"/>
  <c r="T783" i="3"/>
  <c r="T32" i="34"/>
  <c r="V736" i="3"/>
  <c r="V32" i="34" s="1"/>
  <c r="V762" i="3"/>
  <c r="V58" i="34" s="1"/>
  <c r="T58" i="34"/>
  <c r="T748" i="3"/>
  <c r="J44" i="34"/>
  <c r="T713" i="3"/>
  <c r="J9" i="34"/>
  <c r="J72" i="34"/>
  <c r="T776" i="3"/>
  <c r="J53" i="34"/>
  <c r="T757" i="3"/>
  <c r="J39" i="34"/>
  <c r="T743" i="3"/>
  <c r="T754" i="3"/>
  <c r="J50" i="34"/>
  <c r="J47" i="34"/>
  <c r="T751" i="3"/>
  <c r="J24" i="34"/>
  <c r="T728" i="3"/>
  <c r="T792" i="3"/>
  <c r="J88" i="34"/>
  <c r="D2579" i="44"/>
  <c r="D2353" i="44"/>
  <c r="D2257" i="44"/>
  <c r="B1781" i="44"/>
  <c r="D1781" i="44" s="1"/>
  <c r="D2865" i="44"/>
  <c r="D728" i="44"/>
  <c r="D2386" i="44"/>
  <c r="D900" i="44"/>
  <c r="D837" i="44"/>
  <c r="B684" i="44"/>
  <c r="B687" i="44" s="1"/>
  <c r="D327" i="44"/>
  <c r="D326" i="44"/>
  <c r="D2961" i="44"/>
  <c r="D2962" i="44"/>
  <c r="D2739" i="44"/>
  <c r="B2114" i="44"/>
  <c r="D2114" i="44" s="1"/>
  <c r="G299" i="44"/>
  <c r="B2037" i="44"/>
  <c r="D2036" i="44"/>
  <c r="D3122" i="44"/>
  <c r="B3123" i="44"/>
  <c r="B3028" i="44"/>
  <c r="D3027" i="44"/>
  <c r="B2566" i="44"/>
  <c r="D2565" i="44"/>
  <c r="D2098" i="44"/>
  <c r="B2099" i="44"/>
  <c r="B3090" i="44"/>
  <c r="D3089" i="44"/>
  <c r="D2289" i="44"/>
  <c r="B2290" i="44"/>
  <c r="D3153" i="44"/>
  <c r="B3154" i="44"/>
  <c r="B868" i="44"/>
  <c r="D867" i="44"/>
  <c r="D866" i="44"/>
  <c r="D885" i="44"/>
  <c r="D886" i="44"/>
  <c r="B887" i="44"/>
  <c r="B2227" i="44"/>
  <c r="D2226" i="44"/>
  <c r="B2770" i="44"/>
  <c r="D2769" i="44"/>
  <c r="B1795" i="44"/>
  <c r="D1794" i="44"/>
  <c r="D1969" i="44"/>
  <c r="B1970" i="44"/>
  <c r="B2611" i="44"/>
  <c r="D2610" i="44"/>
  <c r="B1939" i="44"/>
  <c r="D1938" i="44"/>
  <c r="B445" i="3"/>
  <c r="F62" i="25" s="1"/>
  <c r="C445" i="3"/>
  <c r="E414" i="3"/>
  <c r="D167" i="24" s="1"/>
  <c r="D165" i="24"/>
  <c r="F73" i="25"/>
  <c r="E622" i="3"/>
  <c r="D63" i="32" s="1"/>
  <c r="B2820" i="44"/>
  <c r="D2819" i="44"/>
  <c r="D1862" i="44"/>
  <c r="B1863" i="44"/>
  <c r="B1603" i="44"/>
  <c r="D1602" i="44"/>
  <c r="D1730" i="44"/>
  <c r="B1731" i="44"/>
  <c r="B2244" i="44"/>
  <c r="D2243" i="44"/>
  <c r="B1923" i="44"/>
  <c r="D1922" i="44"/>
  <c r="D2978" i="44"/>
  <c r="B2979" i="44"/>
  <c r="B2707" i="44"/>
  <c r="D2706" i="44"/>
  <c r="D897" i="5"/>
  <c r="B2388" i="44"/>
  <c r="D2387" i="44"/>
  <c r="D2049" i="44"/>
  <c r="B2050" i="44"/>
  <c r="B2483" i="44"/>
  <c r="D2482" i="44"/>
  <c r="B2790" i="44"/>
  <c r="D2789" i="44"/>
  <c r="B3058" i="44"/>
  <c r="D3057" i="44"/>
  <c r="D1651" i="44"/>
  <c r="B1652" i="44"/>
  <c r="D2081" i="44"/>
  <c r="B2082" i="44"/>
  <c r="B901" i="44"/>
  <c r="D901" i="44" s="1"/>
  <c r="D2740" i="44"/>
  <c r="B2741" i="44"/>
  <c r="D752" i="44"/>
  <c r="D751" i="44"/>
  <c r="B2514" i="44"/>
  <c r="D2513" i="44"/>
  <c r="D2993" i="44"/>
  <c r="B2994" i="44"/>
  <c r="D1751" i="44"/>
  <c r="B1752" i="44"/>
  <c r="B3109" i="44"/>
  <c r="D3108" i="44"/>
  <c r="B2532" i="44"/>
  <c r="D2531" i="44"/>
  <c r="D2178" i="44"/>
  <c r="B2179" i="44"/>
  <c r="D3074" i="44"/>
  <c r="B3075" i="44"/>
  <c r="B1810" i="44"/>
  <c r="D1809" i="44"/>
  <c r="D2580" i="44"/>
  <c r="B2581" i="44"/>
  <c r="B2420" i="44"/>
  <c r="D2419" i="44"/>
  <c r="D729" i="44"/>
  <c r="B731" i="44"/>
  <c r="D730" i="44"/>
  <c r="B2355" i="44"/>
  <c r="D2354" i="44"/>
  <c r="B2835" i="44"/>
  <c r="D2834" i="44"/>
  <c r="D2929" i="44"/>
  <c r="B2930" i="44"/>
  <c r="D2897" i="44"/>
  <c r="B2898" i="44"/>
  <c r="B2547" i="44"/>
  <c r="D2546" i="44"/>
  <c r="D806" i="44"/>
  <c r="B808" i="44"/>
  <c r="D807" i="44"/>
  <c r="B2147" i="44"/>
  <c r="D2146" i="44"/>
  <c r="B1634" i="44"/>
  <c r="D1633" i="44"/>
  <c r="B2341" i="44"/>
  <c r="D2340" i="44"/>
  <c r="B2692" i="44"/>
  <c r="D2691" i="44"/>
  <c r="D1842" i="44"/>
  <c r="B1843" i="44"/>
  <c r="B2674" i="44"/>
  <c r="D2673" i="44"/>
  <c r="B2259" i="44"/>
  <c r="D2258" i="44"/>
  <c r="D1874" i="44"/>
  <c r="B1875" i="44"/>
  <c r="D2866" i="44"/>
  <c r="B2867" i="44"/>
  <c r="D2002" i="44"/>
  <c r="B2003" i="44"/>
  <c r="D573" i="44"/>
  <c r="B574" i="44"/>
  <c r="D571" i="44"/>
  <c r="D572" i="44"/>
  <c r="D786" i="44"/>
  <c r="D787" i="44"/>
  <c r="B788" i="44"/>
  <c r="B1586" i="44"/>
  <c r="D1585" i="44"/>
  <c r="B2851" i="44"/>
  <c r="D2850" i="44"/>
  <c r="B2131" i="44"/>
  <c r="D2130" i="44"/>
  <c r="B2068" i="44"/>
  <c r="D2067" i="44"/>
  <c r="D2401" i="44"/>
  <c r="B2402" i="44"/>
  <c r="D2449" i="44"/>
  <c r="B2450" i="44"/>
  <c r="D2162" i="44"/>
  <c r="B2163" i="44"/>
  <c r="D332" i="44"/>
  <c r="B336" i="44"/>
  <c r="D333" i="44"/>
  <c r="D334" i="44"/>
  <c r="D331" i="44"/>
  <c r="D335" i="44"/>
  <c r="B1682" i="44"/>
  <c r="D1681" i="44"/>
  <c r="D3042" i="44"/>
  <c r="B3043" i="44"/>
  <c r="B2373" i="44"/>
  <c r="D2372" i="44"/>
  <c r="B1700" i="44"/>
  <c r="D1699" i="44"/>
  <c r="D2308" i="44"/>
  <c r="B2309" i="44"/>
  <c r="D2210" i="44"/>
  <c r="B2211" i="44"/>
  <c r="B2642" i="44"/>
  <c r="D2641" i="44"/>
  <c r="B1986" i="44"/>
  <c r="D1985" i="44"/>
  <c r="D908" i="44"/>
  <c r="B910" i="44"/>
  <c r="D909" i="44"/>
  <c r="E80" i="30"/>
  <c r="G80" i="30"/>
  <c r="G99" i="30"/>
  <c r="E99" i="30"/>
  <c r="E64" i="30"/>
  <c r="G64" i="30"/>
  <c r="E125" i="30"/>
  <c r="G116" i="30"/>
  <c r="E116" i="30"/>
  <c r="C462" i="5"/>
  <c r="H125" i="30"/>
  <c r="B2469" i="44"/>
  <c r="D2468" i="44"/>
  <c r="D418" i="44"/>
  <c r="B419" i="44"/>
  <c r="D415" i="44"/>
  <c r="D416" i="44"/>
  <c r="D414" i="44"/>
  <c r="D417" i="44"/>
  <c r="D840" i="44"/>
  <c r="D839" i="44"/>
  <c r="B841" i="44"/>
  <c r="D3139" i="44"/>
  <c r="B3140" i="44"/>
  <c r="E108" i="25"/>
  <c r="B490" i="3"/>
  <c r="C46" i="3"/>
  <c r="B544" i="3"/>
  <c r="E46" i="3"/>
  <c r="B492" i="3"/>
  <c r="B546" i="3"/>
  <c r="B831" i="3"/>
  <c r="B860" i="3" s="1"/>
  <c r="H47" i="3"/>
  <c r="K1577" i="44"/>
  <c r="E1577" i="44" s="1"/>
  <c r="A1577" i="44" s="1"/>
  <c r="G301" i="3"/>
  <c r="G302" i="3"/>
  <c r="C197" i="24"/>
  <c r="C133" i="32"/>
  <c r="G300" i="3"/>
  <c r="G298" i="3"/>
  <c r="B702" i="3"/>
  <c r="C503" i="5"/>
  <c r="L41" i="3"/>
  <c r="B701" i="3"/>
  <c r="C505" i="5"/>
  <c r="K1580" i="44"/>
  <c r="E1580" i="44" s="1"/>
  <c r="A1580" i="44" s="1"/>
  <c r="I70" i="3"/>
  <c r="C782" i="5"/>
  <c r="B364" i="3"/>
  <c r="C11" i="32"/>
  <c r="D87" i="24"/>
  <c r="B491" i="3"/>
  <c r="B545" i="3"/>
  <c r="D46" i="3"/>
  <c r="K1578" i="44"/>
  <c r="E1578" i="44" s="1"/>
  <c r="A1578" i="44" s="1"/>
  <c r="L73" i="3"/>
  <c r="D141" i="32"/>
  <c r="N49" i="3"/>
  <c r="C500" i="5"/>
  <c r="D16" i="24"/>
  <c r="M56" i="3"/>
  <c r="G878" i="3" s="1"/>
  <c r="D205" i="24"/>
  <c r="I74" i="3"/>
  <c r="N50" i="3"/>
  <c r="O54" i="3" s="1"/>
  <c r="B489" i="3"/>
  <c r="B46" i="3"/>
  <c r="H45" i="3"/>
  <c r="B543" i="3"/>
  <c r="B547" i="3"/>
  <c r="B493" i="3"/>
  <c r="F46" i="3"/>
  <c r="E38" i="49" l="1"/>
  <c r="E60" i="49"/>
  <c r="E17" i="49"/>
  <c r="E50" i="49"/>
  <c r="E12" i="49"/>
  <c r="E79" i="49"/>
  <c r="E86" i="49"/>
  <c r="E28" i="49"/>
  <c r="E93" i="49"/>
  <c r="E94" i="49" s="1"/>
  <c r="J13" i="52"/>
  <c r="I15" i="52"/>
  <c r="I16" i="52" s="1"/>
  <c r="C11" i="51"/>
  <c r="G11" i="51" s="1"/>
  <c r="J11" i="51"/>
  <c r="N11" i="51" s="1"/>
  <c r="J21" i="51"/>
  <c r="N21" i="51" s="1"/>
  <c r="C21" i="51"/>
  <c r="G21" i="51" s="1"/>
  <c r="D106" i="49"/>
  <c r="G24" i="51"/>
  <c r="N24" i="51"/>
  <c r="J12" i="51"/>
  <c r="N12" i="51" s="1"/>
  <c r="C12" i="51"/>
  <c r="G12" i="51" s="1"/>
  <c r="M42" i="3"/>
  <c r="J33" i="24" s="1"/>
  <c r="J38" i="51"/>
  <c r="C38" i="51"/>
  <c r="C13" i="51"/>
  <c r="G13" i="51" s="1"/>
  <c r="J13" i="51"/>
  <c r="N13" i="51" s="1"/>
  <c r="C30" i="51"/>
  <c r="J30" i="51"/>
  <c r="A11" i="44"/>
  <c r="B516" i="3"/>
  <c r="B520" i="3" s="1"/>
  <c r="C520" i="3" s="1"/>
  <c r="B453" i="3"/>
  <c r="B460" i="3" s="1"/>
  <c r="F67" i="25" s="1"/>
  <c r="B637" i="3"/>
  <c r="B639" i="3" s="1"/>
  <c r="B669" i="3" s="1"/>
  <c r="B508" i="3" s="1"/>
  <c r="C580" i="3"/>
  <c r="H73" i="25" s="1"/>
  <c r="C583" i="3"/>
  <c r="C584" i="3"/>
  <c r="H78" i="25" s="1"/>
  <c r="C582" i="3"/>
  <c r="C581" i="3"/>
  <c r="V753" i="3"/>
  <c r="V49" i="34" s="1"/>
  <c r="T81" i="34"/>
  <c r="V787" i="3"/>
  <c r="V83" i="34" s="1"/>
  <c r="T16" i="34"/>
  <c r="T37" i="34"/>
  <c r="E548" i="3"/>
  <c r="V731" i="3"/>
  <c r="V27" i="34" s="1"/>
  <c r="E599" i="3"/>
  <c r="H89" i="25" s="1"/>
  <c r="T84" i="34"/>
  <c r="T80" i="34"/>
  <c r="A956" i="5"/>
  <c r="T15" i="34"/>
  <c r="F14" i="32"/>
  <c r="F32" i="32" s="1"/>
  <c r="T45" i="34"/>
  <c r="T90" i="34"/>
  <c r="F4" i="3"/>
  <c r="D11" i="25" s="1"/>
  <c r="D445" i="3"/>
  <c r="V791" i="3"/>
  <c r="V87" i="34" s="1"/>
  <c r="V732" i="3"/>
  <c r="V28" i="34" s="1"/>
  <c r="E547" i="3"/>
  <c r="D615" i="44"/>
  <c r="B2500" i="44"/>
  <c r="D2500" i="44" s="1"/>
  <c r="O43" i="3"/>
  <c r="N43" i="3"/>
  <c r="K236" i="44"/>
  <c r="J236" i="44"/>
  <c r="B2724" i="44"/>
  <c r="B2725" i="44" s="1"/>
  <c r="B2021" i="44"/>
  <c r="D2021" i="44" s="1"/>
  <c r="F355" i="3"/>
  <c r="G355" i="3" s="1"/>
  <c r="G106" i="24" s="1"/>
  <c r="E62" i="24"/>
  <c r="C196" i="5"/>
  <c r="T92" i="34"/>
  <c r="T85" i="34"/>
  <c r="E490" i="3"/>
  <c r="F84" i="25" s="1"/>
  <c r="D84" i="25"/>
  <c r="E544" i="3"/>
  <c r="F544" i="3" s="1"/>
  <c r="D82" i="32"/>
  <c r="E545" i="3"/>
  <c r="G125" i="30"/>
  <c r="D1827" i="44"/>
  <c r="V801" i="3"/>
  <c r="V97" i="34" s="1"/>
  <c r="B1671" i="44"/>
  <c r="D1671" i="44" s="1"/>
  <c r="D1669" i="44"/>
  <c r="B2196" i="44"/>
  <c r="B2197" i="44" s="1"/>
  <c r="B767" i="44"/>
  <c r="B769" i="44" s="1"/>
  <c r="D769" i="44" s="1"/>
  <c r="V711" i="3"/>
  <c r="V7" i="34" s="1"/>
  <c r="V740" i="3"/>
  <c r="V36" i="34" s="1"/>
  <c r="D708" i="44"/>
  <c r="E543" i="3"/>
  <c r="B1956" i="44"/>
  <c r="D1956" i="44" s="1"/>
  <c r="D2594" i="44"/>
  <c r="D710" i="44"/>
  <c r="D618" i="44"/>
  <c r="D617" i="44"/>
  <c r="B2758" i="44"/>
  <c r="D2758" i="44" s="1"/>
  <c r="D1765" i="44"/>
  <c r="B1766" i="44"/>
  <c r="E546" i="3"/>
  <c r="D2803" i="44"/>
  <c r="B619" i="44"/>
  <c r="D619" i="44" s="1"/>
  <c r="D614" i="44"/>
  <c r="T42" i="34"/>
  <c r="B1891" i="44"/>
  <c r="B1892" i="44" s="1"/>
  <c r="D1892" i="44" s="1"/>
  <c r="D2756" i="44"/>
  <c r="B2660" i="44"/>
  <c r="D491" i="44"/>
  <c r="B2437" i="44"/>
  <c r="B2438" i="44" s="1"/>
  <c r="D2438" i="44" s="1"/>
  <c r="B2950" i="44"/>
  <c r="D2950" i="44" s="1"/>
  <c r="D2883" i="44"/>
  <c r="B1619" i="44"/>
  <c r="D1619" i="44" s="1"/>
  <c r="D712" i="44"/>
  <c r="D2323" i="44"/>
  <c r="D765" i="44"/>
  <c r="B2275" i="44"/>
  <c r="D2275" i="44" s="1"/>
  <c r="D2324" i="44"/>
  <c r="D709" i="44"/>
  <c r="D1909" i="44"/>
  <c r="B713" i="44"/>
  <c r="D717" i="44" s="1"/>
  <c r="B2596" i="44"/>
  <c r="D2596" i="44" s="1"/>
  <c r="D487" i="44"/>
  <c r="D488" i="44"/>
  <c r="D2915" i="44"/>
  <c r="B2916" i="44"/>
  <c r="T18" i="34"/>
  <c r="V722" i="3"/>
  <c r="V18" i="34" s="1"/>
  <c r="E494" i="3"/>
  <c r="F88" i="25" s="1"/>
  <c r="V725" i="3"/>
  <c r="V21" i="34" s="1"/>
  <c r="T21" i="34"/>
  <c r="V770" i="3"/>
  <c r="V66" i="34" s="1"/>
  <c r="T66" i="34"/>
  <c r="V714" i="3"/>
  <c r="V10" i="34" s="1"/>
  <c r="T10" i="34"/>
  <c r="V807" i="3"/>
  <c r="V103" i="34" s="1"/>
  <c r="T103" i="34"/>
  <c r="B492" i="44"/>
  <c r="D496" i="44" s="1"/>
  <c r="D490" i="44"/>
  <c r="B3012" i="44"/>
  <c r="D3010" i="44"/>
  <c r="T68" i="34"/>
  <c r="V772" i="3"/>
  <c r="V68" i="34" s="1"/>
  <c r="V760" i="3"/>
  <c r="V56" i="34" s="1"/>
  <c r="T56" i="34"/>
  <c r="M1207" i="5"/>
  <c r="F1207" i="5"/>
  <c r="K1207" i="5"/>
  <c r="J1207" i="5"/>
  <c r="Q1207" i="5"/>
  <c r="R1207" i="5"/>
  <c r="N1207" i="5"/>
  <c r="C1207" i="5"/>
  <c r="D1207" i="5"/>
  <c r="O1207" i="5"/>
  <c r="I1207" i="5"/>
  <c r="L1207" i="5"/>
  <c r="E1207" i="5"/>
  <c r="P1207" i="5"/>
  <c r="G1207" i="5"/>
  <c r="S1207" i="5"/>
  <c r="H1207" i="5"/>
  <c r="T1207" i="5"/>
  <c r="B1209" i="5"/>
  <c r="A1208" i="5"/>
  <c r="V781" i="3"/>
  <c r="V77" i="34" s="1"/>
  <c r="T77" i="34"/>
  <c r="D1908" i="44"/>
  <c r="V775" i="3"/>
  <c r="V71" i="34" s="1"/>
  <c r="T71" i="34"/>
  <c r="D74" i="24"/>
  <c r="I75" i="24"/>
  <c r="D2964" i="44"/>
  <c r="B1715" i="44"/>
  <c r="T60" i="34"/>
  <c r="V764" i="3"/>
  <c r="V60" i="34" s="1"/>
  <c r="V782" i="3"/>
  <c r="V78" i="34" s="1"/>
  <c r="T78" i="34"/>
  <c r="V774" i="3"/>
  <c r="V70" i="34" s="1"/>
  <c r="T70" i="34"/>
  <c r="T54" i="34"/>
  <c r="V758" i="3"/>
  <c r="V54" i="34" s="1"/>
  <c r="V747" i="3"/>
  <c r="V43" i="34" s="1"/>
  <c r="T43" i="34"/>
  <c r="T52" i="34"/>
  <c r="V756" i="3"/>
  <c r="V52" i="34" s="1"/>
  <c r="T98" i="34"/>
  <c r="V802" i="3"/>
  <c r="V98" i="34" s="1"/>
  <c r="V777" i="3"/>
  <c r="V73" i="34" s="1"/>
  <c r="T73" i="34"/>
  <c r="T26" i="34"/>
  <c r="V730" i="3"/>
  <c r="V26" i="34" s="1"/>
  <c r="V803" i="3"/>
  <c r="V99" i="34" s="1"/>
  <c r="T99" i="34"/>
  <c r="T62" i="34"/>
  <c r="V766" i="3"/>
  <c r="V62" i="34" s="1"/>
  <c r="V755" i="3"/>
  <c r="V51" i="34" s="1"/>
  <c r="T51" i="34"/>
  <c r="V806" i="3"/>
  <c r="V102" i="34" s="1"/>
  <c r="T102" i="34"/>
  <c r="T76" i="34"/>
  <c r="V780" i="3"/>
  <c r="V76" i="34" s="1"/>
  <c r="T95" i="34"/>
  <c r="V799" i="3"/>
  <c r="V95" i="34" s="1"/>
  <c r="T64" i="34"/>
  <c r="V768" i="3"/>
  <c r="V64" i="34" s="1"/>
  <c r="V767" i="3"/>
  <c r="V63" i="34" s="1"/>
  <c r="T63" i="34"/>
  <c r="V779" i="3"/>
  <c r="V75" i="34" s="1"/>
  <c r="T75" i="34"/>
  <c r="V778" i="3"/>
  <c r="V74" i="34" s="1"/>
  <c r="T74" i="34"/>
  <c r="V726" i="3"/>
  <c r="V22" i="34" s="1"/>
  <c r="T22" i="34"/>
  <c r="T25" i="34"/>
  <c r="V729" i="3"/>
  <c r="V25" i="34" s="1"/>
  <c r="V771" i="3"/>
  <c r="V67" i="34" s="1"/>
  <c r="T67" i="34"/>
  <c r="T65" i="34"/>
  <c r="V769" i="3"/>
  <c r="V65" i="34" s="1"/>
  <c r="V759" i="3"/>
  <c r="V55" i="34" s="1"/>
  <c r="T55" i="34"/>
  <c r="T17" i="34"/>
  <c r="V721" i="3"/>
  <c r="V17" i="34" s="1"/>
  <c r="T23" i="34"/>
  <c r="V727" i="3"/>
  <c r="V23" i="34" s="1"/>
  <c r="T59" i="34"/>
  <c r="V763" i="3"/>
  <c r="V59" i="34" s="1"/>
  <c r="V750" i="3"/>
  <c r="V46" i="34" s="1"/>
  <c r="T46" i="34"/>
  <c r="V735" i="3"/>
  <c r="V31" i="34" s="1"/>
  <c r="T31" i="34"/>
  <c r="V733" i="3"/>
  <c r="V29" i="34" s="1"/>
  <c r="T29" i="34"/>
  <c r="V718" i="3"/>
  <c r="V14" i="34" s="1"/>
  <c r="T14" i="34"/>
  <c r="T93" i="34"/>
  <c r="V797" i="3"/>
  <c r="V93" i="34" s="1"/>
  <c r="T89" i="34"/>
  <c r="V793" i="3"/>
  <c r="V89" i="34" s="1"/>
  <c r="T82" i="34"/>
  <c r="V786" i="3"/>
  <c r="V82" i="34" s="1"/>
  <c r="T40" i="34"/>
  <c r="V744" i="3"/>
  <c r="V40" i="34" s="1"/>
  <c r="V716" i="3"/>
  <c r="V12" i="34" s="1"/>
  <c r="T12" i="34"/>
  <c r="V710" i="3"/>
  <c r="V6" i="34" s="1"/>
  <c r="T6" i="34"/>
  <c r="V737" i="3"/>
  <c r="V33" i="34" s="1"/>
  <c r="T33" i="34"/>
  <c r="V745" i="3"/>
  <c r="V41" i="34" s="1"/>
  <c r="T41" i="34"/>
  <c r="C449" i="5"/>
  <c r="C228" i="5"/>
  <c r="D33" i="24"/>
  <c r="V738" i="3"/>
  <c r="V34" i="34" s="1"/>
  <c r="T34" i="34"/>
  <c r="D684" i="44"/>
  <c r="B1782" i="44"/>
  <c r="D1782" i="44" s="1"/>
  <c r="B2627" i="44"/>
  <c r="D2626" i="44"/>
  <c r="V709" i="3"/>
  <c r="V5" i="34" s="1"/>
  <c r="T5" i="34"/>
  <c r="V792" i="3"/>
  <c r="V88" i="34" s="1"/>
  <c r="T88" i="34"/>
  <c r="V754" i="3"/>
  <c r="V50" i="34" s="1"/>
  <c r="T50" i="34"/>
  <c r="V713" i="3"/>
  <c r="V9" i="34" s="1"/>
  <c r="T9" i="34"/>
  <c r="T44" i="34"/>
  <c r="V748" i="3"/>
  <c r="V44" i="34" s="1"/>
  <c r="T11" i="34"/>
  <c r="V715" i="3"/>
  <c r="V11" i="34" s="1"/>
  <c r="V742" i="3"/>
  <c r="V38" i="34" s="1"/>
  <c r="T38" i="34"/>
  <c r="T48" i="34"/>
  <c r="V752" i="3"/>
  <c r="V48" i="34" s="1"/>
  <c r="V728" i="3"/>
  <c r="V24" i="34" s="1"/>
  <c r="T24" i="34"/>
  <c r="V751" i="3"/>
  <c r="V47" i="34" s="1"/>
  <c r="T47" i="34"/>
  <c r="V743" i="3"/>
  <c r="V39" i="34" s="1"/>
  <c r="T39" i="34"/>
  <c r="T53" i="34"/>
  <c r="V757" i="3"/>
  <c r="V53" i="34" s="1"/>
  <c r="V776" i="3"/>
  <c r="V72" i="34" s="1"/>
  <c r="T72" i="34"/>
  <c r="T79" i="34"/>
  <c r="V783" i="3"/>
  <c r="V79" i="34" s="1"/>
  <c r="T101" i="34"/>
  <c r="V805" i="3"/>
  <c r="V101" i="34" s="1"/>
  <c r="T30" i="34"/>
  <c r="V734" i="3"/>
  <c r="V30" i="34" s="1"/>
  <c r="T808" i="3"/>
  <c r="V8" i="34"/>
  <c r="D685" i="44"/>
  <c r="D686" i="44"/>
  <c r="B2115" i="44"/>
  <c r="D2115" i="44" s="1"/>
  <c r="D903" i="44"/>
  <c r="D2037" i="44"/>
  <c r="B2038" i="44"/>
  <c r="B3124" i="44"/>
  <c r="D3123" i="44"/>
  <c r="D902" i="44"/>
  <c r="D3028" i="44"/>
  <c r="B3029" i="44"/>
  <c r="B1971" i="44"/>
  <c r="D1970" i="44"/>
  <c r="B890" i="44"/>
  <c r="D889" i="44"/>
  <c r="D887" i="44"/>
  <c r="D888" i="44"/>
  <c r="D3154" i="44"/>
  <c r="B3155" i="44"/>
  <c r="B2291" i="44"/>
  <c r="D2290" i="44"/>
  <c r="D2099" i="44"/>
  <c r="B2100" i="44"/>
  <c r="B2612" i="44"/>
  <c r="D2611" i="44"/>
  <c r="B1796" i="44"/>
  <c r="D1795" i="44"/>
  <c r="B2771" i="44"/>
  <c r="D2770" i="44"/>
  <c r="B2228" i="44"/>
  <c r="D2227" i="44"/>
  <c r="D869" i="44"/>
  <c r="D868" i="44"/>
  <c r="B870" i="44"/>
  <c r="D3090" i="44"/>
  <c r="B3091" i="44"/>
  <c r="B2567" i="44"/>
  <c r="D2566" i="44"/>
  <c r="B1940" i="44"/>
  <c r="D1939" i="44"/>
  <c r="C789" i="5"/>
  <c r="D404" i="3" a="1"/>
  <c r="D404" i="3" s="1"/>
  <c r="B404" i="3" s="1"/>
  <c r="C790" i="5" s="1"/>
  <c r="B1864" i="44"/>
  <c r="D1863" i="44"/>
  <c r="B2821" i="44"/>
  <c r="D2820" i="44"/>
  <c r="B1604" i="44"/>
  <c r="D1603" i="44"/>
  <c r="D2884" i="44"/>
  <c r="B2885" i="44"/>
  <c r="D2979" i="44"/>
  <c r="B2980" i="44"/>
  <c r="D1731" i="44"/>
  <c r="B1732" i="44"/>
  <c r="B2708" i="44"/>
  <c r="D2707" i="44"/>
  <c r="D1923" i="44"/>
  <c r="B1924" i="44"/>
  <c r="B2245" i="44"/>
  <c r="D2244" i="44"/>
  <c r="D2514" i="44"/>
  <c r="B2515" i="44"/>
  <c r="D2082" i="44"/>
  <c r="B2083" i="44"/>
  <c r="D1652" i="44"/>
  <c r="B1653" i="44"/>
  <c r="B2051" i="44"/>
  <c r="D2050" i="44"/>
  <c r="D1752" i="44"/>
  <c r="B1753" i="44"/>
  <c r="B2995" i="44"/>
  <c r="D2994" i="44"/>
  <c r="B2742" i="44"/>
  <c r="D2741" i="44"/>
  <c r="D2965" i="44"/>
  <c r="B2966" i="44"/>
  <c r="B3059" i="44"/>
  <c r="D3058" i="44"/>
  <c r="D2790" i="44"/>
  <c r="B2791" i="44"/>
  <c r="B2484" i="44"/>
  <c r="D2483" i="44"/>
  <c r="B2389" i="44"/>
  <c r="D2388" i="44"/>
  <c r="B1987" i="44"/>
  <c r="D1986" i="44"/>
  <c r="B2643" i="44"/>
  <c r="D2642" i="44"/>
  <c r="D1700" i="44"/>
  <c r="B1701" i="44"/>
  <c r="B2374" i="44"/>
  <c r="D2373" i="44"/>
  <c r="D1682" i="44"/>
  <c r="B1683" i="44"/>
  <c r="D1828" i="44"/>
  <c r="B1829" i="44"/>
  <c r="B2069" i="44"/>
  <c r="D2068" i="44"/>
  <c r="B2132" i="44"/>
  <c r="D2131" i="44"/>
  <c r="B2852" i="44"/>
  <c r="D2851" i="44"/>
  <c r="B1587" i="44"/>
  <c r="D1586" i="44"/>
  <c r="D575" i="44"/>
  <c r="D574" i="44"/>
  <c r="B576" i="44"/>
  <c r="D2003" i="44"/>
  <c r="B2004" i="44"/>
  <c r="B2868" i="44"/>
  <c r="D2867" i="44"/>
  <c r="B1876" i="44"/>
  <c r="D1875" i="44"/>
  <c r="B1844" i="44"/>
  <c r="D1843" i="44"/>
  <c r="D2547" i="44"/>
  <c r="B2548" i="44"/>
  <c r="D2835" i="44"/>
  <c r="B2836" i="44"/>
  <c r="B2356" i="44"/>
  <c r="D2355" i="44"/>
  <c r="D733" i="44"/>
  <c r="D732" i="44"/>
  <c r="D731" i="44"/>
  <c r="B734" i="44"/>
  <c r="D1810" i="44"/>
  <c r="B1811" i="44"/>
  <c r="D2804" i="44"/>
  <c r="B2805" i="44"/>
  <c r="B2180" i="44"/>
  <c r="D2179" i="44"/>
  <c r="D911" i="44"/>
  <c r="D910" i="44"/>
  <c r="B912" i="44"/>
  <c r="B2212" i="44"/>
  <c r="D2211" i="44"/>
  <c r="D2309" i="44"/>
  <c r="B2310" i="44"/>
  <c r="D3043" i="44"/>
  <c r="B3044" i="44"/>
  <c r="D340" i="44"/>
  <c r="D337" i="44"/>
  <c r="D336" i="44"/>
  <c r="D339" i="44"/>
  <c r="D338" i="44"/>
  <c r="B341" i="44"/>
  <c r="D2163" i="44"/>
  <c r="B2164" i="44"/>
  <c r="D2450" i="44"/>
  <c r="B2451" i="44"/>
  <c r="B2403" i="44"/>
  <c r="D2402" i="44"/>
  <c r="B690" i="44"/>
  <c r="D687" i="44"/>
  <c r="D688" i="44"/>
  <c r="D689" i="44"/>
  <c r="B790" i="44"/>
  <c r="D789" i="44"/>
  <c r="D788" i="44"/>
  <c r="D2259" i="44"/>
  <c r="B2260" i="44"/>
  <c r="B2675" i="44"/>
  <c r="D2674" i="44"/>
  <c r="D2692" i="44"/>
  <c r="B2693" i="44"/>
  <c r="D2341" i="44"/>
  <c r="B2342" i="44"/>
  <c r="D1634" i="44"/>
  <c r="B1635" i="44"/>
  <c r="B2148" i="44"/>
  <c r="D2147" i="44"/>
  <c r="D809" i="44"/>
  <c r="B810" i="44"/>
  <c r="D808" i="44"/>
  <c r="B2899" i="44"/>
  <c r="D2898" i="44"/>
  <c r="D2930" i="44"/>
  <c r="B2931" i="44"/>
  <c r="D2420" i="44"/>
  <c r="B2421" i="44"/>
  <c r="B2582" i="44"/>
  <c r="D2581" i="44"/>
  <c r="D3075" i="44"/>
  <c r="B3076" i="44"/>
  <c r="B2533" i="44"/>
  <c r="D2532" i="44"/>
  <c r="D3109" i="44"/>
  <c r="B3110" i="44"/>
  <c r="D3140" i="44"/>
  <c r="B3141" i="44"/>
  <c r="D1910" i="44"/>
  <c r="B1911" i="44"/>
  <c r="B843" i="44"/>
  <c r="D842" i="44"/>
  <c r="D841" i="44"/>
  <c r="D419" i="44"/>
  <c r="B424" i="44"/>
  <c r="D423" i="44"/>
  <c r="D421" i="44"/>
  <c r="D422" i="44"/>
  <c r="D420" i="44"/>
  <c r="D2469" i="44"/>
  <c r="B2470" i="44"/>
  <c r="D2325" i="44"/>
  <c r="B2326" i="44"/>
  <c r="H16" i="25"/>
  <c r="B300" i="3"/>
  <c r="O49" i="3"/>
  <c r="E141" i="32" s="1"/>
  <c r="C84" i="25"/>
  <c r="C87" i="25"/>
  <c r="E493" i="3"/>
  <c r="F87" i="25" s="1"/>
  <c r="H46" i="3"/>
  <c r="C508" i="5" s="1"/>
  <c r="D89" i="24"/>
  <c r="C783" i="5"/>
  <c r="B365" i="3"/>
  <c r="B366" i="3" s="1"/>
  <c r="Y790" i="3"/>
  <c r="Y721" i="3"/>
  <c r="Y772" i="3"/>
  <c r="Y766" i="3"/>
  <c r="Y769" i="3"/>
  <c r="Y737" i="3"/>
  <c r="Y763" i="3"/>
  <c r="Y738" i="3"/>
  <c r="Y767" i="3"/>
  <c r="Y736" i="3"/>
  <c r="Y727" i="3"/>
  <c r="Y743" i="3"/>
  <c r="Y713" i="3"/>
  <c r="Y788" i="3"/>
  <c r="Y768" i="3"/>
  <c r="Y740" i="3"/>
  <c r="Y751" i="3"/>
  <c r="Y726" i="3"/>
  <c r="Y725" i="3"/>
  <c r="Y761" i="3"/>
  <c r="Y765" i="3"/>
  <c r="Y787" i="3"/>
  <c r="Y739" i="3"/>
  <c r="Y796" i="3"/>
  <c r="Y807" i="3"/>
  <c r="Y716" i="3"/>
  <c r="Y797" i="3"/>
  <c r="Y753" i="3"/>
  <c r="Y747" i="3"/>
  <c r="Y789" i="3"/>
  <c r="Y709" i="3"/>
  <c r="Y720" i="3"/>
  <c r="Y771" i="3"/>
  <c r="Y783" i="3"/>
  <c r="Y798" i="3"/>
  <c r="Y717" i="3"/>
  <c r="Y733" i="3"/>
  <c r="Y742" i="3"/>
  <c r="Y741" i="3"/>
  <c r="Y781" i="3"/>
  <c r="Y776" i="3"/>
  <c r="Y730" i="3"/>
  <c r="Y758" i="3"/>
  <c r="Y795" i="3"/>
  <c r="Y732" i="3"/>
  <c r="Y778" i="3"/>
  <c r="Y804" i="3"/>
  <c r="Y773" i="3"/>
  <c r="Y714" i="3"/>
  <c r="Y799" i="3"/>
  <c r="Y715" i="3"/>
  <c r="Y775" i="3"/>
  <c r="Y749" i="3"/>
  <c r="Y719" i="3"/>
  <c r="Y774" i="3"/>
  <c r="Y745" i="3"/>
  <c r="Y728" i="3"/>
  <c r="Y791" i="3"/>
  <c r="Y760" i="3"/>
  <c r="Y752" i="3"/>
  <c r="Y762" i="3"/>
  <c r="Y770" i="3"/>
  <c r="Y786" i="3"/>
  <c r="Y806" i="3"/>
  <c r="Y800" i="3"/>
  <c r="Y780" i="3"/>
  <c r="Y710" i="3"/>
  <c r="Y756" i="3"/>
  <c r="Y734" i="3"/>
  <c r="Y779" i="3"/>
  <c r="Y746" i="3"/>
  <c r="Y735" i="3"/>
  <c r="Y782" i="3"/>
  <c r="Y777" i="3"/>
  <c r="Y759" i="3"/>
  <c r="Y723" i="3"/>
  <c r="Y793" i="3"/>
  <c r="Y748" i="3"/>
  <c r="Y764" i="3"/>
  <c r="Y754" i="3"/>
  <c r="Y744" i="3"/>
  <c r="Y784" i="3"/>
  <c r="Y794" i="3"/>
  <c r="Y718" i="3"/>
  <c r="Y724" i="3"/>
  <c r="Y750" i="3"/>
  <c r="Y803" i="3"/>
  <c r="Y805" i="3"/>
  <c r="Y785" i="3"/>
  <c r="Y729" i="3"/>
  <c r="Y711" i="3"/>
  <c r="Y755" i="3"/>
  <c r="Y801" i="3"/>
  <c r="Y722" i="3"/>
  <c r="Y792" i="3"/>
  <c r="Y731" i="3"/>
  <c r="Y802" i="3"/>
  <c r="Y712" i="3"/>
  <c r="Y757" i="3"/>
  <c r="B302" i="3"/>
  <c r="C520" i="5" s="1"/>
  <c r="H18" i="25"/>
  <c r="G846" i="3"/>
  <c r="D121" i="25" s="1"/>
  <c r="D926" i="5"/>
  <c r="C86" i="25"/>
  <c r="E492" i="3"/>
  <c r="F86" i="25" s="1"/>
  <c r="C83" i="25"/>
  <c r="E489" i="3"/>
  <c r="D206" i="24"/>
  <c r="D142" i="32"/>
  <c r="C491" i="5"/>
  <c r="D19" i="24"/>
  <c r="C85" i="25"/>
  <c r="E491" i="3"/>
  <c r="F85" i="25" s="1"/>
  <c r="I146" i="32"/>
  <c r="C515" i="5"/>
  <c r="I32" i="24"/>
  <c r="L42" i="3"/>
  <c r="E211" i="44" s="1"/>
  <c r="A211" i="44" s="1"/>
  <c r="B301" i="3"/>
  <c r="H17" i="25"/>
  <c r="O55" i="3"/>
  <c r="O53" i="3"/>
  <c r="D209" i="24"/>
  <c r="C507" i="5"/>
  <c r="D145" i="32"/>
  <c r="B418" i="3" a="1"/>
  <c r="B418" i="3" s="1"/>
  <c r="C492" i="5"/>
  <c r="K73" i="3"/>
  <c r="C136" i="32"/>
  <c r="B353" i="3"/>
  <c r="D105" i="24" s="1"/>
  <c r="B369" i="3"/>
  <c r="B370" i="3" s="1"/>
  <c r="B372" i="3" s="1"/>
  <c r="K1575" i="44"/>
  <c r="E1575" i="44" s="1"/>
  <c r="A1575" i="44" s="1"/>
  <c r="E878" i="3"/>
  <c r="E145" i="44"/>
  <c r="B346" i="3"/>
  <c r="C200" i="24"/>
  <c r="F885" i="3"/>
  <c r="F23" i="24" s="1"/>
  <c r="F880" i="3"/>
  <c r="F884" i="3"/>
  <c r="F27" i="24" s="1"/>
  <c r="F881" i="3"/>
  <c r="F24" i="24" s="1"/>
  <c r="F883" i="3"/>
  <c r="F26" i="24" s="1"/>
  <c r="C13" i="32"/>
  <c r="C15" i="32" s="1"/>
  <c r="C17" i="32" s="1"/>
  <c r="D11" i="32"/>
  <c r="Z726" i="3"/>
  <c r="Z22" i="34" s="1"/>
  <c r="Z789" i="3"/>
  <c r="Z85" i="34" s="1"/>
  <c r="Z792" i="3"/>
  <c r="Z88" i="34" s="1"/>
  <c r="Z737" i="3"/>
  <c r="Z33" i="34" s="1"/>
  <c r="Z777" i="3"/>
  <c r="Z73" i="34" s="1"/>
  <c r="Z781" i="3"/>
  <c r="Z77" i="34" s="1"/>
  <c r="Z765" i="3"/>
  <c r="Z61" i="34" s="1"/>
  <c r="Z793" i="3"/>
  <c r="Z89" i="34" s="1"/>
  <c r="Z774" i="3"/>
  <c r="Z70" i="34" s="1"/>
  <c r="Z722" i="3"/>
  <c r="Z18" i="34" s="1"/>
  <c r="Z711" i="3"/>
  <c r="Z7" i="34" s="1"/>
  <c r="Z740" i="3"/>
  <c r="Z36" i="34" s="1"/>
  <c r="Z743" i="3"/>
  <c r="Z39" i="34" s="1"/>
  <c r="Z713" i="3"/>
  <c r="Z9" i="34" s="1"/>
  <c r="Z728" i="3"/>
  <c r="Z24" i="34" s="1"/>
  <c r="Z746" i="3"/>
  <c r="Z42" i="34" s="1"/>
  <c r="Z784" i="3"/>
  <c r="Z80" i="34" s="1"/>
  <c r="Z731" i="3"/>
  <c r="Z27" i="34" s="1"/>
  <c r="Z804" i="3"/>
  <c r="Z100" i="34" s="1"/>
  <c r="Z750" i="3"/>
  <c r="Z46" i="34" s="1"/>
  <c r="Z730" i="3"/>
  <c r="Z26" i="34" s="1"/>
  <c r="Z801" i="3"/>
  <c r="Z97" i="34" s="1"/>
  <c r="Z796" i="3"/>
  <c r="Z92" i="34" s="1"/>
  <c r="Z805" i="3"/>
  <c r="Z101" i="34" s="1"/>
  <c r="Z770" i="3"/>
  <c r="Z66" i="34" s="1"/>
  <c r="Z806" i="3"/>
  <c r="Z102" i="34" s="1"/>
  <c r="Z710" i="3"/>
  <c r="Z6" i="34" s="1"/>
  <c r="Z744" i="3"/>
  <c r="Z40" i="34" s="1"/>
  <c r="Z787" i="3"/>
  <c r="Z83" i="34" s="1"/>
  <c r="Z716" i="3"/>
  <c r="Z12" i="34" s="1"/>
  <c r="Z800" i="3"/>
  <c r="Z96" i="34" s="1"/>
  <c r="Z775" i="3"/>
  <c r="Z71" i="34" s="1"/>
  <c r="Z725" i="3"/>
  <c r="Z21" i="34" s="1"/>
  <c r="Z738" i="3"/>
  <c r="Z34" i="34" s="1"/>
  <c r="Z797" i="3"/>
  <c r="Z93" i="34" s="1"/>
  <c r="Z760" i="3"/>
  <c r="Z56" i="34" s="1"/>
  <c r="Z783" i="3"/>
  <c r="Z79" i="34" s="1"/>
  <c r="Z776" i="3"/>
  <c r="Z72" i="34" s="1"/>
  <c r="Z794" i="3"/>
  <c r="Z90" i="34" s="1"/>
  <c r="Z769" i="3"/>
  <c r="Z65" i="34" s="1"/>
  <c r="Z717" i="3"/>
  <c r="Z13" i="34" s="1"/>
  <c r="Z756" i="3"/>
  <c r="Z52" i="34" s="1"/>
  <c r="Z748" i="3"/>
  <c r="Z44" i="34" s="1"/>
  <c r="Z778" i="3"/>
  <c r="Z74" i="34" s="1"/>
  <c r="Z712" i="3"/>
  <c r="Z8" i="34" s="1"/>
  <c r="Z773" i="3"/>
  <c r="Z69" i="34" s="1"/>
  <c r="Z753" i="3"/>
  <c r="Z49" i="34" s="1"/>
  <c r="Z751" i="3"/>
  <c r="Z47" i="34" s="1"/>
  <c r="Z795" i="3"/>
  <c r="Z91" i="34" s="1"/>
  <c r="Z734" i="3"/>
  <c r="Z30" i="34" s="1"/>
  <c r="Z719" i="3"/>
  <c r="Z15" i="34" s="1"/>
  <c r="Z727" i="3"/>
  <c r="Z23" i="34" s="1"/>
  <c r="Z759" i="3"/>
  <c r="Z55" i="34" s="1"/>
  <c r="Z739" i="3"/>
  <c r="Z35" i="34" s="1"/>
  <c r="Z754" i="3"/>
  <c r="Z50" i="34" s="1"/>
  <c r="Z733" i="3"/>
  <c r="Z29" i="34" s="1"/>
  <c r="Z780" i="3"/>
  <c r="Z76" i="34" s="1"/>
  <c r="Z771" i="3"/>
  <c r="Z67" i="34" s="1"/>
  <c r="Z802" i="3"/>
  <c r="Z98" i="34" s="1"/>
  <c r="Z755" i="3"/>
  <c r="Z51" i="34" s="1"/>
  <c r="Z763" i="3"/>
  <c r="Z59" i="34" s="1"/>
  <c r="Z724" i="3"/>
  <c r="Z20" i="34" s="1"/>
  <c r="Z741" i="3"/>
  <c r="Z37" i="34" s="1"/>
  <c r="Z718" i="3"/>
  <c r="Z14" i="34" s="1"/>
  <c r="Z749" i="3"/>
  <c r="Z45" i="34" s="1"/>
  <c r="Z732" i="3"/>
  <c r="Z28" i="34" s="1"/>
  <c r="Z798" i="3"/>
  <c r="Z94" i="34" s="1"/>
  <c r="Z772" i="3"/>
  <c r="Z68" i="34" s="1"/>
  <c r="Z766" i="3"/>
  <c r="Z62" i="34" s="1"/>
  <c r="Z758" i="3"/>
  <c r="Z54" i="34" s="1"/>
  <c r="Z782" i="3"/>
  <c r="Z78" i="34" s="1"/>
  <c r="Z764" i="3"/>
  <c r="Z60" i="34" s="1"/>
  <c r="Z742" i="3"/>
  <c r="Z38" i="34" s="1"/>
  <c r="Z788" i="3"/>
  <c r="Z84" i="34" s="1"/>
  <c r="Z714" i="3"/>
  <c r="Z10" i="34" s="1"/>
  <c r="Z709" i="3"/>
  <c r="Z790" i="3"/>
  <c r="Z86" i="34" s="1"/>
  <c r="Z761" i="3"/>
  <c r="Z57" i="34" s="1"/>
  <c r="Z720" i="3"/>
  <c r="Z16" i="34" s="1"/>
  <c r="Z757" i="3"/>
  <c r="Z53" i="34" s="1"/>
  <c r="Z803" i="3"/>
  <c r="Z99" i="34" s="1"/>
  <c r="Z767" i="3"/>
  <c r="Z63" i="34" s="1"/>
  <c r="Z762" i="3"/>
  <c r="Z58" i="34" s="1"/>
  <c r="Z779" i="3"/>
  <c r="Z75" i="34" s="1"/>
  <c r="Z785" i="3"/>
  <c r="Z81" i="34" s="1"/>
  <c r="Z736" i="3"/>
  <c r="Z32" i="34" s="1"/>
  <c r="Z786" i="3"/>
  <c r="Z82" i="34" s="1"/>
  <c r="Z723" i="3"/>
  <c r="Z19" i="34" s="1"/>
  <c r="Z807" i="3"/>
  <c r="Z103" i="34" s="1"/>
  <c r="Z752" i="3"/>
  <c r="Z48" i="34" s="1"/>
  <c r="Z768" i="3"/>
  <c r="Z64" i="34" s="1"/>
  <c r="Z799" i="3"/>
  <c r="Z95" i="34" s="1"/>
  <c r="Z745" i="3"/>
  <c r="Z41" i="34" s="1"/>
  <c r="Z729" i="3"/>
  <c r="Z25" i="34" s="1"/>
  <c r="Z715" i="3"/>
  <c r="Z11" i="34" s="1"/>
  <c r="Z791" i="3"/>
  <c r="Z87" i="34" s="1"/>
  <c r="Z747" i="3"/>
  <c r="Z43" i="34" s="1"/>
  <c r="Z721" i="3"/>
  <c r="Z17" i="34" s="1"/>
  <c r="Z735" i="3"/>
  <c r="Z31" i="34" s="1"/>
  <c r="D14" i="49" l="1"/>
  <c r="D27" i="49"/>
  <c r="D45" i="49"/>
  <c r="D65" i="49"/>
  <c r="D66" i="49"/>
  <c r="D75" i="49"/>
  <c r="D82" i="49"/>
  <c r="D56" i="49"/>
  <c r="D44" i="49"/>
  <c r="D67" i="49"/>
  <c r="D32" i="49"/>
  <c r="D43" i="49"/>
  <c r="D59" i="49"/>
  <c r="D84" i="49"/>
  <c r="D24" i="49"/>
  <c r="D23" i="49"/>
  <c r="D54" i="49"/>
  <c r="D26" i="49"/>
  <c r="D15" i="49"/>
  <c r="D76" i="49"/>
  <c r="D64" i="49"/>
  <c r="D31" i="49"/>
  <c r="D52" i="49"/>
  <c r="D74" i="49"/>
  <c r="D55" i="49"/>
  <c r="D46" i="49"/>
  <c r="D72" i="49"/>
  <c r="D81" i="49"/>
  <c r="D85" i="49"/>
  <c r="D71" i="49"/>
  <c r="D48" i="49"/>
  <c r="D35" i="49"/>
  <c r="D10" i="49"/>
  <c r="D12" i="49" s="1"/>
  <c r="D40" i="49"/>
  <c r="D50" i="49" s="1"/>
  <c r="D58" i="49"/>
  <c r="D89" i="49"/>
  <c r="D16" i="49"/>
  <c r="D42" i="49"/>
  <c r="D62" i="49"/>
  <c r="D25" i="49"/>
  <c r="D53" i="49"/>
  <c r="D70" i="49"/>
  <c r="D41" i="49"/>
  <c r="D30" i="49"/>
  <c r="D19" i="49"/>
  <c r="D90" i="49"/>
  <c r="D92" i="49"/>
  <c r="D21" i="49"/>
  <c r="D22" i="49"/>
  <c r="D73" i="49"/>
  <c r="D36" i="49"/>
  <c r="C99" i="49"/>
  <c r="D91" i="49"/>
  <c r="D88" i="49"/>
  <c r="D11" i="49"/>
  <c r="D57" i="49"/>
  <c r="D34" i="49"/>
  <c r="D78" i="49"/>
  <c r="D83" i="49"/>
  <c r="D68" i="49"/>
  <c r="D37" i="49"/>
  <c r="D49" i="49"/>
  <c r="D69" i="49"/>
  <c r="D33" i="49"/>
  <c r="D77" i="49"/>
  <c r="D20" i="49"/>
  <c r="D47" i="49"/>
  <c r="D63" i="49"/>
  <c r="C97" i="49"/>
  <c r="C98" i="49"/>
  <c r="M43" i="49"/>
  <c r="J10" i="51"/>
  <c r="N10" i="51" s="1"/>
  <c r="C10" i="51"/>
  <c r="G10" i="51" s="1"/>
  <c r="B380" i="3"/>
  <c r="H17" i="52"/>
  <c r="C352" i="3"/>
  <c r="F352" i="3" s="1"/>
  <c r="J40" i="51"/>
  <c r="C40" i="51"/>
  <c r="K13" i="52"/>
  <c r="J15" i="52"/>
  <c r="J16" i="52" s="1"/>
  <c r="B498" i="3"/>
  <c r="F91" i="25" s="1"/>
  <c r="B602" i="3"/>
  <c r="C602" i="3" s="1"/>
  <c r="B552" i="3"/>
  <c r="B570" i="3"/>
  <c r="C570" i="3" s="1"/>
  <c r="C229" i="5"/>
  <c r="B660" i="3"/>
  <c r="C230" i="5" s="1"/>
  <c r="H91" i="25"/>
  <c r="C552" i="3"/>
  <c r="G91" i="25" s="1"/>
  <c r="F543" i="3"/>
  <c r="G83" i="25" s="1"/>
  <c r="F547" i="3"/>
  <c r="G87" i="25" s="1"/>
  <c r="F545" i="3"/>
  <c r="G85" i="25" s="1"/>
  <c r="F548" i="3"/>
  <c r="G88" i="25" s="1"/>
  <c r="F546" i="3"/>
  <c r="G86" i="25" s="1"/>
  <c r="G62" i="25"/>
  <c r="G67" i="25"/>
  <c r="G14" i="32"/>
  <c r="G32" i="32" s="1"/>
  <c r="B2501" i="44"/>
  <c r="G84" i="25"/>
  <c r="A957" i="5"/>
  <c r="D2724" i="44"/>
  <c r="L43" i="3"/>
  <c r="L44" i="3" s="1"/>
  <c r="B16" i="25" s="1"/>
  <c r="A236" i="44"/>
  <c r="B2022" i="44"/>
  <c r="D2022" i="44" s="1"/>
  <c r="C517" i="5"/>
  <c r="C519" i="5"/>
  <c r="H14" i="32"/>
  <c r="H32" i="32" s="1"/>
  <c r="D767" i="44"/>
  <c r="D770" i="44"/>
  <c r="B771" i="44"/>
  <c r="D772" i="44" s="1"/>
  <c r="D768" i="44"/>
  <c r="B1672" i="44"/>
  <c r="B1673" i="44" s="1"/>
  <c r="B1674" i="44" s="1"/>
  <c r="B2439" i="44"/>
  <c r="D2439" i="44" s="1"/>
  <c r="D2196" i="44"/>
  <c r="B2951" i="44"/>
  <c r="B2952" i="44" s="1"/>
  <c r="B1957" i="44"/>
  <c r="D1957" i="44" s="1"/>
  <c r="D621" i="44"/>
  <c r="B2759" i="44"/>
  <c r="B2760" i="44" s="1"/>
  <c r="D623" i="44"/>
  <c r="B1893" i="44"/>
  <c r="B1894" i="44" s="1"/>
  <c r="B1895" i="44" s="1"/>
  <c r="D622" i="44"/>
  <c r="D620" i="44"/>
  <c r="D2437" i="44"/>
  <c r="B2597" i="44"/>
  <c r="B2598" i="44" s="1"/>
  <c r="B624" i="44"/>
  <c r="D628" i="44" s="1"/>
  <c r="D1891" i="44"/>
  <c r="E549" i="3"/>
  <c r="F549" i="3" s="1"/>
  <c r="G89" i="25" s="1"/>
  <c r="D1766" i="44"/>
  <c r="B1767" i="44"/>
  <c r="B1620" i="44"/>
  <c r="B1621" i="44" s="1"/>
  <c r="D715" i="44"/>
  <c r="B2661" i="44"/>
  <c r="D2660" i="44"/>
  <c r="B718" i="44"/>
  <c r="D720" i="44" s="1"/>
  <c r="D713" i="44"/>
  <c r="D493" i="44"/>
  <c r="D716" i="44"/>
  <c r="D714" i="44"/>
  <c r="B2276" i="44"/>
  <c r="D495" i="44"/>
  <c r="D494" i="44"/>
  <c r="D2916" i="44"/>
  <c r="B2917" i="44"/>
  <c r="B497" i="44"/>
  <c r="D497" i="44" s="1"/>
  <c r="D492" i="44"/>
  <c r="D3012" i="44"/>
  <c r="B3013" i="44"/>
  <c r="L1208" i="5"/>
  <c r="M1208" i="5"/>
  <c r="E1208" i="5"/>
  <c r="P1208" i="5"/>
  <c r="F1208" i="5"/>
  <c r="I1208" i="5"/>
  <c r="D1208" i="5"/>
  <c r="J1208" i="5"/>
  <c r="S1208" i="5"/>
  <c r="K1208" i="5"/>
  <c r="Q1208" i="5"/>
  <c r="T1208" i="5"/>
  <c r="N1208" i="5"/>
  <c r="H1208" i="5"/>
  <c r="C1208" i="5"/>
  <c r="O1208" i="5"/>
  <c r="R1208" i="5"/>
  <c r="G1208" i="5"/>
  <c r="B1210" i="5"/>
  <c r="A1209" i="5"/>
  <c r="J878" i="3"/>
  <c r="D1715" i="44"/>
  <c r="B1716" i="44"/>
  <c r="B1783" i="44"/>
  <c r="D1783" i="44" s="1"/>
  <c r="B2116" i="44"/>
  <c r="B2117" i="44" s="1"/>
  <c r="D2627" i="44"/>
  <c r="B2628" i="44"/>
  <c r="V808" i="3"/>
  <c r="C1091" i="5"/>
  <c r="X727" i="3"/>
  <c r="X23" i="34" s="1"/>
  <c r="X800" i="3"/>
  <c r="X96" i="34" s="1"/>
  <c r="X750" i="3"/>
  <c r="X46" i="34" s="1"/>
  <c r="X799" i="3"/>
  <c r="X95" i="34" s="1"/>
  <c r="X758" i="3"/>
  <c r="X54" i="34" s="1"/>
  <c r="X715" i="3"/>
  <c r="X11" i="34" s="1"/>
  <c r="X804" i="3"/>
  <c r="X100" i="34" s="1"/>
  <c r="X772" i="3"/>
  <c r="X68" i="34" s="1"/>
  <c r="X740" i="3"/>
  <c r="X36" i="34" s="1"/>
  <c r="X805" i="3"/>
  <c r="X101" i="34" s="1"/>
  <c r="X801" i="3"/>
  <c r="X97" i="34" s="1"/>
  <c r="X717" i="3"/>
  <c r="X13" i="34" s="1"/>
  <c r="X741" i="3"/>
  <c r="X37" i="34" s="1"/>
  <c r="X775" i="3"/>
  <c r="X71" i="34" s="1"/>
  <c r="X735" i="3"/>
  <c r="X31" i="34" s="1"/>
  <c r="X766" i="3"/>
  <c r="X62" i="34" s="1"/>
  <c r="X795" i="3"/>
  <c r="X91" i="34" s="1"/>
  <c r="X753" i="3"/>
  <c r="X49" i="34" s="1"/>
  <c r="X762" i="3"/>
  <c r="X58" i="34" s="1"/>
  <c r="X787" i="3"/>
  <c r="X83" i="34" s="1"/>
  <c r="X737" i="3"/>
  <c r="X33" i="34" s="1"/>
  <c r="X774" i="3"/>
  <c r="X70" i="34" s="1"/>
  <c r="X710" i="3"/>
  <c r="X6" i="34" s="1"/>
  <c r="X721" i="3"/>
  <c r="X17" i="34" s="1"/>
  <c r="C814" i="3"/>
  <c r="X744" i="3"/>
  <c r="X40" i="34" s="1"/>
  <c r="X759" i="3"/>
  <c r="X55" i="34" s="1"/>
  <c r="X711" i="3"/>
  <c r="X7" i="34" s="1"/>
  <c r="X782" i="3"/>
  <c r="X78" i="34" s="1"/>
  <c r="X747" i="3"/>
  <c r="X43" i="34" s="1"/>
  <c r="X714" i="3"/>
  <c r="X10" i="34" s="1"/>
  <c r="X790" i="3"/>
  <c r="X86" i="34" s="1"/>
  <c r="X765" i="3"/>
  <c r="X61" i="34" s="1"/>
  <c r="X773" i="3"/>
  <c r="X69" i="34" s="1"/>
  <c r="X733" i="3"/>
  <c r="X29" i="34" s="1"/>
  <c r="X779" i="3"/>
  <c r="X75" i="34" s="1"/>
  <c r="X736" i="3"/>
  <c r="X32" i="34" s="1"/>
  <c r="X802" i="3"/>
  <c r="X98" i="34" s="1"/>
  <c r="X763" i="3"/>
  <c r="X59" i="34" s="1"/>
  <c r="X768" i="3"/>
  <c r="X64" i="34" s="1"/>
  <c r="X709" i="3"/>
  <c r="X784" i="3"/>
  <c r="X80" i="34" s="1"/>
  <c r="X755" i="3"/>
  <c r="X51" i="34" s="1"/>
  <c r="X716" i="3"/>
  <c r="X12" i="34" s="1"/>
  <c r="X739" i="3"/>
  <c r="X35" i="34" s="1"/>
  <c r="X722" i="3"/>
  <c r="X18" i="34" s="1"/>
  <c r="X789" i="3"/>
  <c r="X85" i="34" s="1"/>
  <c r="X806" i="3"/>
  <c r="X102" i="34" s="1"/>
  <c r="X792" i="3"/>
  <c r="X88" i="34" s="1"/>
  <c r="X771" i="3"/>
  <c r="X67" i="34" s="1"/>
  <c r="X718" i="3"/>
  <c r="X14" i="34" s="1"/>
  <c r="T104" i="34"/>
  <c r="X791" i="3"/>
  <c r="X87" i="34" s="1"/>
  <c r="X757" i="3"/>
  <c r="X53" i="34" s="1"/>
  <c r="X752" i="3"/>
  <c r="X48" i="34" s="1"/>
  <c r="X793" i="3"/>
  <c r="X89" i="34" s="1"/>
  <c r="X797" i="3"/>
  <c r="X93" i="34" s="1"/>
  <c r="X738" i="3"/>
  <c r="X34" i="34" s="1"/>
  <c r="X756" i="3"/>
  <c r="X52" i="34" s="1"/>
  <c r="X777" i="3"/>
  <c r="X73" i="34" s="1"/>
  <c r="X743" i="3"/>
  <c r="X39" i="34" s="1"/>
  <c r="X712" i="3"/>
  <c r="X8" i="34" s="1"/>
  <c r="X803" i="3"/>
  <c r="X99" i="34" s="1"/>
  <c r="X720" i="3"/>
  <c r="X16" i="34" s="1"/>
  <c r="X764" i="3"/>
  <c r="X60" i="34" s="1"/>
  <c r="X794" i="3"/>
  <c r="X90" i="34" s="1"/>
  <c r="X760" i="3"/>
  <c r="X56" i="34" s="1"/>
  <c r="X778" i="3"/>
  <c r="X74" i="34" s="1"/>
  <c r="X767" i="3"/>
  <c r="X63" i="34" s="1"/>
  <c r="X746" i="3"/>
  <c r="X42" i="34" s="1"/>
  <c r="X751" i="3"/>
  <c r="X47" i="34" s="1"/>
  <c r="X769" i="3"/>
  <c r="X65" i="34" s="1"/>
  <c r="X788" i="3"/>
  <c r="X84" i="34" s="1"/>
  <c r="X724" i="3"/>
  <c r="X20" i="34" s="1"/>
  <c r="X761" i="3"/>
  <c r="X57" i="34" s="1"/>
  <c r="X754" i="3"/>
  <c r="X50" i="34" s="1"/>
  <c r="X776" i="3"/>
  <c r="X72" i="34" s="1"/>
  <c r="X725" i="3"/>
  <c r="X21" i="34" s="1"/>
  <c r="X723" i="3"/>
  <c r="X19" i="34" s="1"/>
  <c r="X780" i="3"/>
  <c r="X76" i="34" s="1"/>
  <c r="X745" i="3"/>
  <c r="X41" i="34" s="1"/>
  <c r="X742" i="3"/>
  <c r="X38" i="34" s="1"/>
  <c r="X729" i="3"/>
  <c r="X25" i="34" s="1"/>
  <c r="X748" i="3"/>
  <c r="X44" i="34" s="1"/>
  <c r="X719" i="3"/>
  <c r="X15" i="34" s="1"/>
  <c r="X798" i="3"/>
  <c r="X94" i="34" s="1"/>
  <c r="X730" i="3"/>
  <c r="X26" i="34" s="1"/>
  <c r="X807" i="3"/>
  <c r="X103" i="34" s="1"/>
  <c r="X728" i="3"/>
  <c r="X24" i="34" s="1"/>
  <c r="X770" i="3"/>
  <c r="X66" i="34" s="1"/>
  <c r="X731" i="3"/>
  <c r="X27" i="34" s="1"/>
  <c r="X796" i="3"/>
  <c r="X92" i="34" s="1"/>
  <c r="X732" i="3"/>
  <c r="X28" i="34" s="1"/>
  <c r="X785" i="3"/>
  <c r="X81" i="34" s="1"/>
  <c r="X786" i="3"/>
  <c r="X82" i="34" s="1"/>
  <c r="X734" i="3"/>
  <c r="X30" i="34" s="1"/>
  <c r="X781" i="3"/>
  <c r="X77" i="34" s="1"/>
  <c r="X749" i="3"/>
  <c r="X45" i="34" s="1"/>
  <c r="X783" i="3"/>
  <c r="X79" i="34" s="1"/>
  <c r="X713" i="3"/>
  <c r="X9" i="34" s="1"/>
  <c r="X726" i="3"/>
  <c r="X22" i="34" s="1"/>
  <c r="B2039" i="44"/>
  <c r="D2038" i="44"/>
  <c r="B3125" i="44"/>
  <c r="D3124" i="44"/>
  <c r="D3029" i="44"/>
  <c r="B3030" i="44"/>
  <c r="B2568" i="44"/>
  <c r="D2567" i="44"/>
  <c r="D2100" i="44"/>
  <c r="B2101" i="44"/>
  <c r="B3156" i="44"/>
  <c r="D3155" i="44"/>
  <c r="D3091" i="44"/>
  <c r="B3092" i="44"/>
  <c r="B872" i="44"/>
  <c r="D871" i="44"/>
  <c r="D870" i="44"/>
  <c r="B2229" i="44"/>
  <c r="D2228" i="44"/>
  <c r="B2772" i="44"/>
  <c r="D2771" i="44"/>
  <c r="D1796" i="44"/>
  <c r="B1797" i="44"/>
  <c r="B2613" i="44"/>
  <c r="D2612" i="44"/>
  <c r="B2292" i="44"/>
  <c r="D2291" i="44"/>
  <c r="D891" i="44"/>
  <c r="D892" i="44"/>
  <c r="B893" i="44"/>
  <c r="D890" i="44"/>
  <c r="B1972" i="44"/>
  <c r="D1971" i="44"/>
  <c r="D1940" i="44"/>
  <c r="B1941" i="44"/>
  <c r="D2821" i="44"/>
  <c r="B2822" i="44"/>
  <c r="B1865" i="44"/>
  <c r="D1864" i="44"/>
  <c r="B2886" i="44"/>
  <c r="D2885" i="44"/>
  <c r="B1605" i="44"/>
  <c r="D1604" i="44"/>
  <c r="D1924" i="44"/>
  <c r="B1925" i="44"/>
  <c r="B1733" i="44"/>
  <c r="D1732" i="44"/>
  <c r="D2980" i="44"/>
  <c r="B2981" i="44"/>
  <c r="D2245" i="44"/>
  <c r="B2246" i="44"/>
  <c r="D2708" i="44"/>
  <c r="B2709" i="44"/>
  <c r="E79" i="32"/>
  <c r="E54" i="24"/>
  <c r="F98" i="25"/>
  <c r="B2792" i="44"/>
  <c r="D2791" i="44"/>
  <c r="D2966" i="44"/>
  <c r="B2967" i="44"/>
  <c r="D1753" i="44"/>
  <c r="B1754" i="44"/>
  <c r="D1653" i="44"/>
  <c r="B1654" i="44"/>
  <c r="D2083" i="44"/>
  <c r="B2084" i="44"/>
  <c r="D2515" i="44"/>
  <c r="B2516" i="44"/>
  <c r="D2389" i="44"/>
  <c r="B2390" i="44"/>
  <c r="B2485" i="44"/>
  <c r="D2484" i="44"/>
  <c r="D3059" i="44"/>
  <c r="B3060" i="44"/>
  <c r="D2742" i="44"/>
  <c r="B2743" i="44"/>
  <c r="B2996" i="44"/>
  <c r="D2995" i="44"/>
  <c r="B2052" i="44"/>
  <c r="D2051" i="44"/>
  <c r="B2198" i="44"/>
  <c r="D2197" i="44"/>
  <c r="D2533" i="44"/>
  <c r="B2534" i="44"/>
  <c r="B2583" i="44"/>
  <c r="D2582" i="44"/>
  <c r="B2422" i="44"/>
  <c r="D2421" i="44"/>
  <c r="B2932" i="44"/>
  <c r="D2931" i="44"/>
  <c r="B2149" i="44"/>
  <c r="D2148" i="44"/>
  <c r="B2676" i="44"/>
  <c r="D2675" i="44"/>
  <c r="B2452" i="44"/>
  <c r="D2451" i="44"/>
  <c r="B2165" i="44"/>
  <c r="D2164" i="44"/>
  <c r="D342" i="44"/>
  <c r="B346" i="44"/>
  <c r="D341" i="44"/>
  <c r="D343" i="44"/>
  <c r="D345" i="44"/>
  <c r="D344" i="44"/>
  <c r="B3045" i="44"/>
  <c r="D3044" i="44"/>
  <c r="D2310" i="44"/>
  <c r="B2311" i="44"/>
  <c r="D914" i="44"/>
  <c r="D913" i="44"/>
  <c r="D912" i="44"/>
  <c r="B2181" i="44"/>
  <c r="D2180" i="44"/>
  <c r="D2725" i="44"/>
  <c r="B2726" i="44"/>
  <c r="B2357" i="44"/>
  <c r="D2356" i="44"/>
  <c r="B1845" i="44"/>
  <c r="D1844" i="44"/>
  <c r="B1877" i="44"/>
  <c r="D1876" i="44"/>
  <c r="B2869" i="44"/>
  <c r="D2868" i="44"/>
  <c r="B1830" i="44"/>
  <c r="D1829" i="44"/>
  <c r="D1683" i="44"/>
  <c r="B1684" i="44"/>
  <c r="B1702" i="44"/>
  <c r="D1701" i="44"/>
  <c r="D3110" i="44"/>
  <c r="B3111" i="44"/>
  <c r="B3077" i="44"/>
  <c r="D3076" i="44"/>
  <c r="B2900" i="44"/>
  <c r="D2899" i="44"/>
  <c r="D810" i="44"/>
  <c r="D811" i="44"/>
  <c r="B812" i="44"/>
  <c r="D1635" i="44"/>
  <c r="B1636" i="44"/>
  <c r="D2342" i="44"/>
  <c r="B2343" i="44"/>
  <c r="D2693" i="44"/>
  <c r="B2694" i="44"/>
  <c r="D2260" i="44"/>
  <c r="B2261" i="44"/>
  <c r="D790" i="44"/>
  <c r="D791" i="44"/>
  <c r="B792" i="44"/>
  <c r="D690" i="44"/>
  <c r="D692" i="44"/>
  <c r="D691" i="44"/>
  <c r="D2403" i="44"/>
  <c r="B2404" i="44"/>
  <c r="B2213" i="44"/>
  <c r="D2212" i="44"/>
  <c r="B2806" i="44"/>
  <c r="D2805" i="44"/>
  <c r="B1812" i="44"/>
  <c r="D1811" i="44"/>
  <c r="D736" i="44"/>
  <c r="D735" i="44"/>
  <c r="D734" i="44"/>
  <c r="D2836" i="44"/>
  <c r="B2837" i="44"/>
  <c r="B2549" i="44"/>
  <c r="D2548" i="44"/>
  <c r="D2501" i="44"/>
  <c r="B2502" i="44"/>
  <c r="B2005" i="44"/>
  <c r="D2004" i="44"/>
  <c r="B578" i="44"/>
  <c r="D576" i="44"/>
  <c r="D577" i="44"/>
  <c r="D1587" i="44"/>
  <c r="B1588" i="44"/>
  <c r="D2852" i="44"/>
  <c r="B2853" i="44"/>
  <c r="B2133" i="44"/>
  <c r="D2132" i="44"/>
  <c r="D2069" i="44"/>
  <c r="B2070" i="44"/>
  <c r="D2116" i="44"/>
  <c r="B2375" i="44"/>
  <c r="D2374" i="44"/>
  <c r="D2643" i="44"/>
  <c r="B2644" i="44"/>
  <c r="B1988" i="44"/>
  <c r="D1987" i="44"/>
  <c r="B2327" i="44"/>
  <c r="D2326" i="44"/>
  <c r="B2471" i="44"/>
  <c r="D2470" i="44"/>
  <c r="B1912" i="44"/>
  <c r="D1911" i="44"/>
  <c r="D3141" i="44"/>
  <c r="B3142" i="44"/>
  <c r="B429" i="44"/>
  <c r="D428" i="44"/>
  <c r="D427" i="44"/>
  <c r="D425" i="44"/>
  <c r="D424" i="44"/>
  <c r="D426" i="44"/>
  <c r="D843" i="44"/>
  <c r="D844" i="44"/>
  <c r="B845" i="44"/>
  <c r="E205" i="24"/>
  <c r="E16" i="24"/>
  <c r="J18" i="25"/>
  <c r="C518" i="5"/>
  <c r="J16" i="25"/>
  <c r="C516" i="5"/>
  <c r="C209" i="24"/>
  <c r="K74" i="3"/>
  <c r="C145" i="32"/>
  <c r="B414" i="3"/>
  <c r="E167" i="24"/>
  <c r="E139" i="32"/>
  <c r="E203" i="24"/>
  <c r="E18" i="24"/>
  <c r="G885" i="3"/>
  <c r="D23" i="24" s="1"/>
  <c r="G883" i="3"/>
  <c r="G881" i="3"/>
  <c r="G880" i="3"/>
  <c r="G884" i="3"/>
  <c r="Y98" i="34"/>
  <c r="AA802" i="3"/>
  <c r="AA98" i="34" s="1"/>
  <c r="AA801" i="3"/>
  <c r="AA97" i="34" s="1"/>
  <c r="Y97" i="34"/>
  <c r="Y81" i="34"/>
  <c r="AA785" i="3"/>
  <c r="AA81" i="34" s="1"/>
  <c r="AA724" i="3"/>
  <c r="AA20" i="34" s="1"/>
  <c r="Y20" i="34"/>
  <c r="Y40" i="34"/>
  <c r="AA744" i="3"/>
  <c r="AA40" i="34" s="1"/>
  <c r="AA793" i="3"/>
  <c r="AA89" i="34" s="1"/>
  <c r="Y89" i="34"/>
  <c r="AA782" i="3"/>
  <c r="AA78" i="34" s="1"/>
  <c r="Y78" i="34"/>
  <c r="Y30" i="34"/>
  <c r="AA734" i="3"/>
  <c r="AA30" i="34" s="1"/>
  <c r="Y96" i="34"/>
  <c r="AA800" i="3"/>
  <c r="AA96" i="34" s="1"/>
  <c r="Y58" i="34"/>
  <c r="AA762" i="3"/>
  <c r="AA58" i="34" s="1"/>
  <c r="AA728" i="3"/>
  <c r="AA24" i="34" s="1"/>
  <c r="Y24" i="34"/>
  <c r="AA749" i="3"/>
  <c r="AA45" i="34" s="1"/>
  <c r="Y45" i="34"/>
  <c r="AA714" i="3"/>
  <c r="AA10" i="34" s="1"/>
  <c r="Y10" i="34"/>
  <c r="AA732" i="3"/>
  <c r="AA28" i="34" s="1"/>
  <c r="Y28" i="34"/>
  <c r="Y72" i="34"/>
  <c r="AA776" i="3"/>
  <c r="AA72" i="34" s="1"/>
  <c r="AA733" i="3"/>
  <c r="AA29" i="34" s="1"/>
  <c r="Y29" i="34"/>
  <c r="AA771" i="3"/>
  <c r="AA67" i="34" s="1"/>
  <c r="Y67" i="34"/>
  <c r="Y43" i="34"/>
  <c r="AA747" i="3"/>
  <c r="AA43" i="34" s="1"/>
  <c r="AA807" i="3"/>
  <c r="AA103" i="34" s="1"/>
  <c r="Y103" i="34"/>
  <c r="AA765" i="3"/>
  <c r="AA61" i="34" s="1"/>
  <c r="Y61" i="34"/>
  <c r="AA751" i="3"/>
  <c r="AA47" i="34" s="1"/>
  <c r="Y47" i="34"/>
  <c r="Y9" i="34"/>
  <c r="AA713" i="3"/>
  <c r="AA9" i="34" s="1"/>
  <c r="Y63" i="34"/>
  <c r="AA767" i="3"/>
  <c r="AA63" i="34" s="1"/>
  <c r="AA769" i="3"/>
  <c r="AA65" i="34" s="1"/>
  <c r="Y65" i="34"/>
  <c r="Y86" i="34"/>
  <c r="AA790" i="3"/>
  <c r="AA86" i="34" s="1"/>
  <c r="C489" i="5"/>
  <c r="Z5" i="34"/>
  <c r="Z808" i="3"/>
  <c r="E11" i="32"/>
  <c r="D13" i="32"/>
  <c r="D15" i="32" s="1"/>
  <c r="D17" i="32" s="1"/>
  <c r="E104" i="24"/>
  <c r="G352" i="3"/>
  <c r="G104" i="24" s="1"/>
  <c r="C113" i="24"/>
  <c r="C380" i="3"/>
  <c r="C88" i="32"/>
  <c r="L74" i="3"/>
  <c r="B324" i="3"/>
  <c r="J17" i="25"/>
  <c r="AA731" i="3"/>
  <c r="AA27" i="34" s="1"/>
  <c r="Y27" i="34"/>
  <c r="Y51" i="34"/>
  <c r="AA755" i="3"/>
  <c r="AA51" i="34" s="1"/>
  <c r="Y101" i="34"/>
  <c r="AA805" i="3"/>
  <c r="AA101" i="34" s="1"/>
  <c r="Y14" i="34"/>
  <c r="AA718" i="3"/>
  <c r="AA14" i="34" s="1"/>
  <c r="Y50" i="34"/>
  <c r="AA754" i="3"/>
  <c r="AA50" i="34" s="1"/>
  <c r="AA723" i="3"/>
  <c r="AA19" i="34" s="1"/>
  <c r="Y19" i="34"/>
  <c r="Y31" i="34"/>
  <c r="AA735" i="3"/>
  <c r="AA31" i="34" s="1"/>
  <c r="Y52" i="34"/>
  <c r="AA756" i="3"/>
  <c r="AA52" i="34" s="1"/>
  <c r="AA806" i="3"/>
  <c r="AA102" i="34" s="1"/>
  <c r="Y102" i="34"/>
  <c r="Y48" i="34"/>
  <c r="AA752" i="3"/>
  <c r="AA48" i="34" s="1"/>
  <c r="Y41" i="34"/>
  <c r="AA745" i="3"/>
  <c r="AA41" i="34" s="1"/>
  <c r="Y71" i="34"/>
  <c r="AA775" i="3"/>
  <c r="AA71" i="34" s="1"/>
  <c r="Y69" i="34"/>
  <c r="AA773" i="3"/>
  <c r="AA69" i="34" s="1"/>
  <c r="Y91" i="34"/>
  <c r="AA795" i="3"/>
  <c r="AA91" i="34" s="1"/>
  <c r="Y77" i="34"/>
  <c r="AA781" i="3"/>
  <c r="AA77" i="34" s="1"/>
  <c r="Y13" i="34"/>
  <c r="AA717" i="3"/>
  <c r="AA13" i="34" s="1"/>
  <c r="Y16" i="34"/>
  <c r="AA720" i="3"/>
  <c r="AA16" i="34" s="1"/>
  <c r="Y49" i="34"/>
  <c r="AA753" i="3"/>
  <c r="AA49" i="34" s="1"/>
  <c r="Y92" i="34"/>
  <c r="AA796" i="3"/>
  <c r="AA92" i="34" s="1"/>
  <c r="Y57" i="34"/>
  <c r="AA761" i="3"/>
  <c r="AA57" i="34" s="1"/>
  <c r="Y36" i="34"/>
  <c r="AA740" i="3"/>
  <c r="AA36" i="34" s="1"/>
  <c r="AA743" i="3"/>
  <c r="AA39" i="34" s="1"/>
  <c r="Y39" i="34"/>
  <c r="AA738" i="3"/>
  <c r="AA34" i="34" s="1"/>
  <c r="Y34" i="34"/>
  <c r="Y62" i="34"/>
  <c r="AA766" i="3"/>
  <c r="AA62" i="34" s="1"/>
  <c r="C2" i="5"/>
  <c r="D90" i="24"/>
  <c r="F22" i="24"/>
  <c r="F882" i="3"/>
  <c r="F25" i="24" s="1"/>
  <c r="I17" i="24"/>
  <c r="E138" i="32"/>
  <c r="E202" i="24"/>
  <c r="E17" i="24"/>
  <c r="E495" i="3"/>
  <c r="F83" i="25"/>
  <c r="Y53" i="34"/>
  <c r="AA757" i="3"/>
  <c r="AA53" i="34" s="1"/>
  <c r="AA792" i="3"/>
  <c r="AA88" i="34" s="1"/>
  <c r="Y88" i="34"/>
  <c r="AA711" i="3"/>
  <c r="AA7" i="34" s="1"/>
  <c r="Y7" i="34"/>
  <c r="Y99" i="34"/>
  <c r="AA803" i="3"/>
  <c r="AA99" i="34" s="1"/>
  <c r="Y90" i="34"/>
  <c r="AA794" i="3"/>
  <c r="AA90" i="34" s="1"/>
  <c r="Y60" i="34"/>
  <c r="AA764" i="3"/>
  <c r="AA60" i="34" s="1"/>
  <c r="Y55" i="34"/>
  <c r="AA759" i="3"/>
  <c r="AA55" i="34" s="1"/>
  <c r="AA746" i="3"/>
  <c r="AA42" i="34" s="1"/>
  <c r="Y42" i="34"/>
  <c r="Y6" i="34"/>
  <c r="AA710" i="3"/>
  <c r="AA6" i="34" s="1"/>
  <c r="Y82" i="34"/>
  <c r="AA786" i="3"/>
  <c r="AA82" i="34" s="1"/>
  <c r="Y56" i="34"/>
  <c r="AA760" i="3"/>
  <c r="AA56" i="34" s="1"/>
  <c r="Y70" i="34"/>
  <c r="AA774" i="3"/>
  <c r="AA70" i="34" s="1"/>
  <c r="AA715" i="3"/>
  <c r="AA11" i="34" s="1"/>
  <c r="Y11" i="34"/>
  <c r="AA804" i="3"/>
  <c r="AA100" i="34" s="1"/>
  <c r="Y100" i="34"/>
  <c r="AA758" i="3"/>
  <c r="AA54" i="34" s="1"/>
  <c r="Y54" i="34"/>
  <c r="AA741" i="3"/>
  <c r="AA37" i="34" s="1"/>
  <c r="Y37" i="34"/>
  <c r="AA798" i="3"/>
  <c r="AA94" i="34" s="1"/>
  <c r="Y94" i="34"/>
  <c r="AA709" i="3"/>
  <c r="Y808" i="3"/>
  <c r="Y5" i="34"/>
  <c r="Y93" i="34"/>
  <c r="AA797" i="3"/>
  <c r="AA93" i="34" s="1"/>
  <c r="Y35" i="34"/>
  <c r="AA739" i="3"/>
  <c r="AA35" i="34" s="1"/>
  <c r="AA725" i="3"/>
  <c r="AA21" i="34" s="1"/>
  <c r="Y21" i="34"/>
  <c r="AA768" i="3"/>
  <c r="AA64" i="34" s="1"/>
  <c r="Y64" i="34"/>
  <c r="Y23" i="34"/>
  <c r="AA727" i="3"/>
  <c r="AA23" i="34" s="1"/>
  <c r="AA763" i="3"/>
  <c r="AA59" i="34" s="1"/>
  <c r="Y59" i="34"/>
  <c r="AA772" i="3"/>
  <c r="AA68" i="34" s="1"/>
  <c r="Y68" i="34"/>
  <c r="B379" i="3"/>
  <c r="F366" i="3"/>
  <c r="C3" i="5"/>
  <c r="C30" i="32"/>
  <c r="D91" i="24"/>
  <c r="E885" i="3"/>
  <c r="E23" i="24" s="1"/>
  <c r="E883" i="3"/>
  <c r="E880" i="3"/>
  <c r="E881" i="3"/>
  <c r="E884" i="3"/>
  <c r="B432" i="3"/>
  <c r="E204" i="24"/>
  <c r="E140" i="32"/>
  <c r="Y8" i="34"/>
  <c r="AA712" i="3"/>
  <c r="AA8" i="34" s="1"/>
  <c r="Y18" i="34"/>
  <c r="AA722" i="3"/>
  <c r="AA18" i="34" s="1"/>
  <c r="AA729" i="3"/>
  <c r="AA25" i="34" s="1"/>
  <c r="Y25" i="34"/>
  <c r="Y46" i="34"/>
  <c r="AA750" i="3"/>
  <c r="AA46" i="34" s="1"/>
  <c r="Y80" i="34"/>
  <c r="AA784" i="3"/>
  <c r="AA80" i="34" s="1"/>
  <c r="Y44" i="34"/>
  <c r="AA748" i="3"/>
  <c r="AA44" i="34" s="1"/>
  <c r="Y73" i="34"/>
  <c r="AA777" i="3"/>
  <c r="AA73" i="34" s="1"/>
  <c r="Y75" i="34"/>
  <c r="AA779" i="3"/>
  <c r="AA75" i="34" s="1"/>
  <c r="AA780" i="3"/>
  <c r="AA76" i="34" s="1"/>
  <c r="Y76" i="34"/>
  <c r="Y66" i="34"/>
  <c r="AA770" i="3"/>
  <c r="AA66" i="34" s="1"/>
  <c r="Y87" i="34"/>
  <c r="AA791" i="3"/>
  <c r="AA87" i="34" s="1"/>
  <c r="Y15" i="34"/>
  <c r="AA719" i="3"/>
  <c r="AA15" i="34" s="1"/>
  <c r="AA799" i="3"/>
  <c r="AA95" i="34" s="1"/>
  <c r="Y95" i="34"/>
  <c r="Y74" i="34"/>
  <c r="AA778" i="3"/>
  <c r="AA74" i="34" s="1"/>
  <c r="AA730" i="3"/>
  <c r="AA26" i="34" s="1"/>
  <c r="Y26" i="34"/>
  <c r="Y38" i="34"/>
  <c r="AA742" i="3"/>
  <c r="AA38" i="34" s="1"/>
  <c r="Y79" i="34"/>
  <c r="AA783" i="3"/>
  <c r="AA79" i="34" s="1"/>
  <c r="Y85" i="34"/>
  <c r="AA789" i="3"/>
  <c r="AA85" i="34" s="1"/>
  <c r="AA716" i="3"/>
  <c r="AA12" i="34" s="1"/>
  <c r="Y12" i="34"/>
  <c r="AA787" i="3"/>
  <c r="AA83" i="34" s="1"/>
  <c r="Y83" i="34"/>
  <c r="Y22" i="34"/>
  <c r="AA726" i="3"/>
  <c r="AA22" i="34" s="1"/>
  <c r="Y84" i="34"/>
  <c r="AA788" i="3"/>
  <c r="AA84" i="34" s="1"/>
  <c r="Y32" i="34"/>
  <c r="AA736" i="3"/>
  <c r="AA32" i="34" s="1"/>
  <c r="Y33" i="34"/>
  <c r="AA737" i="3"/>
  <c r="AA33" i="34" s="1"/>
  <c r="Y17" i="34"/>
  <c r="AA721" i="3"/>
  <c r="AA17" i="34" s="1"/>
  <c r="C192" i="5" l="1"/>
  <c r="D93" i="49"/>
  <c r="D28" i="49"/>
  <c r="D38" i="49"/>
  <c r="D60" i="49"/>
  <c r="D79" i="49"/>
  <c r="D86" i="49"/>
  <c r="D17" i="49"/>
  <c r="J15" i="51"/>
  <c r="N15" i="51" s="1"/>
  <c r="C15" i="51"/>
  <c r="G15" i="51" s="1"/>
  <c r="J17" i="51"/>
  <c r="N17" i="51" s="1"/>
  <c r="C17" i="51"/>
  <c r="G17" i="51" s="1"/>
  <c r="L13" i="52"/>
  <c r="K15" i="52"/>
  <c r="K16" i="52" s="1"/>
  <c r="J28" i="51"/>
  <c r="C28" i="51"/>
  <c r="J16" i="51"/>
  <c r="N16" i="51" s="1"/>
  <c r="C16" i="51"/>
  <c r="G16" i="51" s="1"/>
  <c r="I17" i="52"/>
  <c r="H18" i="52"/>
  <c r="B700" i="3"/>
  <c r="N742" i="3" s="1"/>
  <c r="N38" i="34" s="1"/>
  <c r="J54" i="24"/>
  <c r="B671" i="3"/>
  <c r="B2023" i="44"/>
  <c r="B551" i="3"/>
  <c r="C551" i="3" s="1"/>
  <c r="B601" i="3"/>
  <c r="C601" i="3" s="1"/>
  <c r="B603" i="3"/>
  <c r="C603" i="3" s="1"/>
  <c r="B572" i="3"/>
  <c r="C572" i="3" s="1"/>
  <c r="I14" i="32"/>
  <c r="I32" i="32" s="1"/>
  <c r="A958" i="5"/>
  <c r="B773" i="44"/>
  <c r="D773" i="44" s="1"/>
  <c r="D1673" i="44"/>
  <c r="D1672" i="44"/>
  <c r="B2440" i="44"/>
  <c r="D2951" i="44"/>
  <c r="D771" i="44"/>
  <c r="D2759" i="44"/>
  <c r="D625" i="44"/>
  <c r="D626" i="44"/>
  <c r="B1958" i="44"/>
  <c r="B1959" i="44" s="1"/>
  <c r="D1959" i="44" s="1"/>
  <c r="D1893" i="44"/>
  <c r="D719" i="44"/>
  <c r="D1894" i="44"/>
  <c r="D722" i="44"/>
  <c r="D2597" i="44"/>
  <c r="D1620" i="44"/>
  <c r="B629" i="44"/>
  <c r="B632" i="44" s="1"/>
  <c r="D627" i="44"/>
  <c r="D624" i="44"/>
  <c r="D718" i="44"/>
  <c r="D1767" i="44"/>
  <c r="B1768" i="44"/>
  <c r="D500" i="44"/>
  <c r="D721" i="44"/>
  <c r="B2662" i="44"/>
  <c r="D2661" i="44"/>
  <c r="D501" i="44"/>
  <c r="D498" i="44"/>
  <c r="D2276" i="44"/>
  <c r="B2277" i="44"/>
  <c r="D499" i="44"/>
  <c r="B1784" i="44"/>
  <c r="D1784" i="44" s="1"/>
  <c r="B502" i="44"/>
  <c r="D502" i="44" s="1"/>
  <c r="B2918" i="44"/>
  <c r="D2917" i="44"/>
  <c r="D3013" i="44"/>
  <c r="B3014" i="44"/>
  <c r="K1209" i="5"/>
  <c r="F1209" i="5"/>
  <c r="P1209" i="5"/>
  <c r="M1209" i="5"/>
  <c r="S1209" i="5"/>
  <c r="E1209" i="5"/>
  <c r="C1209" i="5"/>
  <c r="Q1209" i="5"/>
  <c r="D1209" i="5"/>
  <c r="O1209" i="5"/>
  <c r="N1209" i="5"/>
  <c r="R1209" i="5"/>
  <c r="H1209" i="5"/>
  <c r="J1209" i="5"/>
  <c r="I1209" i="5"/>
  <c r="L1209" i="5"/>
  <c r="T1209" i="5"/>
  <c r="G1209" i="5"/>
  <c r="A1210" i="5"/>
  <c r="B1211" i="5"/>
  <c r="B1717" i="44"/>
  <c r="D1716" i="44"/>
  <c r="B2629" i="44"/>
  <c r="D2628" i="44"/>
  <c r="X808" i="3"/>
  <c r="C1094" i="5" s="1"/>
  <c r="X5" i="34"/>
  <c r="V104" i="34"/>
  <c r="C815" i="3"/>
  <c r="C1092" i="5"/>
  <c r="B2040" i="44"/>
  <c r="D2039" i="44"/>
  <c r="D3125" i="44"/>
  <c r="B3126" i="44"/>
  <c r="D3030" i="44"/>
  <c r="B3031" i="44"/>
  <c r="B1973" i="44"/>
  <c r="D1972" i="44"/>
  <c r="D894" i="44"/>
  <c r="D893" i="44"/>
  <c r="D2292" i="44"/>
  <c r="B2293" i="44"/>
  <c r="D2613" i="44"/>
  <c r="B2614" i="44"/>
  <c r="D2772" i="44"/>
  <c r="B2773" i="44"/>
  <c r="B2230" i="44"/>
  <c r="D2229" i="44"/>
  <c r="B3093" i="44"/>
  <c r="D3092" i="44"/>
  <c r="B2102" i="44"/>
  <c r="D2101" i="44"/>
  <c r="D1797" i="44"/>
  <c r="B1798" i="44"/>
  <c r="D874" i="44"/>
  <c r="B875" i="44"/>
  <c r="D872" i="44"/>
  <c r="D873" i="44"/>
  <c r="D3156" i="44"/>
  <c r="B3157" i="44"/>
  <c r="D2568" i="44"/>
  <c r="B2569" i="44"/>
  <c r="D1941" i="44"/>
  <c r="B1942" i="44"/>
  <c r="B2823" i="44"/>
  <c r="D2822" i="44"/>
  <c r="B1866" i="44"/>
  <c r="D1865" i="44"/>
  <c r="D1605" i="44"/>
  <c r="B1606" i="44"/>
  <c r="B2887" i="44"/>
  <c r="D2886" i="44"/>
  <c r="D2709" i="44"/>
  <c r="B2710" i="44"/>
  <c r="D2246" i="44"/>
  <c r="B2247" i="44"/>
  <c r="D2981" i="44"/>
  <c r="B2982" i="44"/>
  <c r="D1925" i="44"/>
  <c r="B1926" i="44"/>
  <c r="D1733" i="44"/>
  <c r="B1734" i="44"/>
  <c r="B2744" i="44"/>
  <c r="D2743" i="44"/>
  <c r="B3061" i="44"/>
  <c r="D3060" i="44"/>
  <c r="B2391" i="44"/>
  <c r="D2390" i="44"/>
  <c r="D2516" i="44"/>
  <c r="B2517" i="44"/>
  <c r="B2085" i="44"/>
  <c r="D2084" i="44"/>
  <c r="B1655" i="44"/>
  <c r="D1654" i="44"/>
  <c r="B1755" i="44"/>
  <c r="D1754" i="44"/>
  <c r="D2967" i="44"/>
  <c r="B2968" i="44"/>
  <c r="B2053" i="44"/>
  <c r="D2052" i="44"/>
  <c r="B2997" i="44"/>
  <c r="D2996" i="44"/>
  <c r="D2485" i="44"/>
  <c r="B2486" i="44"/>
  <c r="B2793" i="44"/>
  <c r="D2792" i="44"/>
  <c r="B1675" i="44"/>
  <c r="D1674" i="44"/>
  <c r="B2199" i="44"/>
  <c r="D2198" i="44"/>
  <c r="B2645" i="44"/>
  <c r="D2644" i="44"/>
  <c r="D2070" i="44"/>
  <c r="B2071" i="44"/>
  <c r="D2853" i="44"/>
  <c r="B2854" i="44"/>
  <c r="D1588" i="44"/>
  <c r="B1589" i="44"/>
  <c r="D579" i="44"/>
  <c r="B580" i="44"/>
  <c r="D578" i="44"/>
  <c r="D2005" i="44"/>
  <c r="B2006" i="44"/>
  <c r="D2549" i="44"/>
  <c r="B2550" i="44"/>
  <c r="B2405" i="44"/>
  <c r="D2404" i="44"/>
  <c r="D2598" i="44"/>
  <c r="B2599" i="44"/>
  <c r="B2262" i="44"/>
  <c r="D2261" i="44"/>
  <c r="D2694" i="44"/>
  <c r="B2695" i="44"/>
  <c r="D2343" i="44"/>
  <c r="B2344" i="44"/>
  <c r="B1637" i="44"/>
  <c r="D1636" i="44"/>
  <c r="D1621" i="44"/>
  <c r="B1622" i="44"/>
  <c r="D812" i="44"/>
  <c r="B814" i="44"/>
  <c r="D813" i="44"/>
  <c r="D2900" i="44"/>
  <c r="B2901" i="44"/>
  <c r="D3111" i="44"/>
  <c r="B3112" i="44"/>
  <c r="B1685" i="44"/>
  <c r="D1684" i="44"/>
  <c r="B2727" i="44"/>
  <c r="D2726" i="44"/>
  <c r="D3045" i="44"/>
  <c r="B3046" i="44"/>
  <c r="D2165" i="44"/>
  <c r="B2166" i="44"/>
  <c r="B2453" i="44"/>
  <c r="D2452" i="44"/>
  <c r="B2677" i="44"/>
  <c r="D2676" i="44"/>
  <c r="B2150" i="44"/>
  <c r="D2149" i="44"/>
  <c r="B2933" i="44"/>
  <c r="D2932" i="44"/>
  <c r="D2422" i="44"/>
  <c r="B2423" i="44"/>
  <c r="D2952" i="44"/>
  <c r="B2953" i="44"/>
  <c r="D2534" i="44"/>
  <c r="B2535" i="44"/>
  <c r="D1988" i="44"/>
  <c r="B1989" i="44"/>
  <c r="B2376" i="44"/>
  <c r="D2375" i="44"/>
  <c r="D2117" i="44"/>
  <c r="B2118" i="44"/>
  <c r="D2133" i="44"/>
  <c r="B2134" i="44"/>
  <c r="B2024" i="44"/>
  <c r="D2023" i="44"/>
  <c r="B2503" i="44"/>
  <c r="D2502" i="44"/>
  <c r="B2838" i="44"/>
  <c r="D2837" i="44"/>
  <c r="B1813" i="44"/>
  <c r="D1812" i="44"/>
  <c r="D2806" i="44"/>
  <c r="B2807" i="44"/>
  <c r="B2214" i="44"/>
  <c r="D2213" i="44"/>
  <c r="D794" i="44"/>
  <c r="B795" i="44"/>
  <c r="D793" i="44"/>
  <c r="D792" i="44"/>
  <c r="D3077" i="44"/>
  <c r="B3078" i="44"/>
  <c r="D1702" i="44"/>
  <c r="B1703" i="44"/>
  <c r="D1830" i="44"/>
  <c r="B1831" i="44"/>
  <c r="B2761" i="44"/>
  <c r="D2760" i="44"/>
  <c r="D2869" i="44"/>
  <c r="B2870" i="44"/>
  <c r="D1877" i="44"/>
  <c r="B1878" i="44"/>
  <c r="B1846" i="44"/>
  <c r="D1845" i="44"/>
  <c r="B2358" i="44"/>
  <c r="D2357" i="44"/>
  <c r="D2181" i="44"/>
  <c r="B2182" i="44"/>
  <c r="B2312" i="44"/>
  <c r="D2311" i="44"/>
  <c r="B351" i="44"/>
  <c r="D348" i="44"/>
  <c r="D347" i="44"/>
  <c r="D350" i="44"/>
  <c r="D346" i="44"/>
  <c r="D349" i="44"/>
  <c r="D2583" i="44"/>
  <c r="B2584" i="44"/>
  <c r="D1895" i="44"/>
  <c r="B1896" i="44"/>
  <c r="D2440" i="44"/>
  <c r="B2441" i="44"/>
  <c r="B847" i="44"/>
  <c r="D846" i="44"/>
  <c r="D845" i="44"/>
  <c r="B434" i="44"/>
  <c r="D431" i="44"/>
  <c r="D433" i="44"/>
  <c r="D430" i="44"/>
  <c r="D432" i="44"/>
  <c r="D429" i="44"/>
  <c r="B3143" i="44"/>
  <c r="D3142" i="44"/>
  <c r="B1913" i="44"/>
  <c r="D1912" i="44"/>
  <c r="B2472" i="44"/>
  <c r="D2471" i="44"/>
  <c r="B2328" i="44"/>
  <c r="D2327" i="44"/>
  <c r="C455" i="5"/>
  <c r="E882" i="3"/>
  <c r="E22" i="24"/>
  <c r="C87" i="32"/>
  <c r="B381" i="3"/>
  <c r="B386" i="3" s="1"/>
  <c r="F399" i="3" s="1"/>
  <c r="C112" i="24"/>
  <c r="C379" i="3"/>
  <c r="E233" i="44"/>
  <c r="A233" i="44" s="1"/>
  <c r="D324" i="3"/>
  <c r="E324" i="3" s="1"/>
  <c r="F41" i="24" s="1"/>
  <c r="C511" i="5"/>
  <c r="J58" i="25"/>
  <c r="C42" i="24"/>
  <c r="F11" i="32"/>
  <c r="E13" i="32"/>
  <c r="E15" i="32" s="1"/>
  <c r="E17" i="32" s="1"/>
  <c r="C454" i="5"/>
  <c r="G882" i="3"/>
  <c r="D22" i="24"/>
  <c r="B415" i="3"/>
  <c r="E166" i="24"/>
  <c r="C459" i="5"/>
  <c r="E26" i="24"/>
  <c r="D30" i="32"/>
  <c r="C33" i="32"/>
  <c r="C36" i="32" s="1"/>
  <c r="C37" i="32" s="1"/>
  <c r="AA5" i="34"/>
  <c r="AA808" i="3"/>
  <c r="C1095" i="5" s="1"/>
  <c r="B497" i="3"/>
  <c r="F89" i="25"/>
  <c r="D113" i="24"/>
  <c r="D380" i="3"/>
  <c r="D88" i="32"/>
  <c r="C450" i="5"/>
  <c r="D24" i="24"/>
  <c r="C457" i="5"/>
  <c r="E27" i="24"/>
  <c r="D26" i="24"/>
  <c r="C458" i="5"/>
  <c r="D146" i="32"/>
  <c r="B522" i="3"/>
  <c r="B553" i="3"/>
  <c r="J75" i="32"/>
  <c r="D210" i="24"/>
  <c r="B469" i="3"/>
  <c r="B470" i="3" s="1"/>
  <c r="B462" i="3"/>
  <c r="F68" i="25" s="1"/>
  <c r="J50" i="24"/>
  <c r="B499" i="3"/>
  <c r="F92" i="25" s="1"/>
  <c r="E24" i="24"/>
  <c r="C451" i="5"/>
  <c r="C456" i="5"/>
  <c r="D27" i="24"/>
  <c r="D94" i="49" l="1"/>
  <c r="F96" i="49" s="1"/>
  <c r="E97" i="49"/>
  <c r="J17" i="52"/>
  <c r="I18" i="52"/>
  <c r="M13" i="52"/>
  <c r="L15" i="52"/>
  <c r="L16" i="52" s="1"/>
  <c r="C14" i="51"/>
  <c r="G14" i="51" s="1"/>
  <c r="J14" i="51"/>
  <c r="N14" i="51" s="1"/>
  <c r="H50" i="52"/>
  <c r="H22" i="52"/>
  <c r="H23" i="52"/>
  <c r="N794" i="3"/>
  <c r="N90" i="34" s="1"/>
  <c r="L718" i="3"/>
  <c r="L14" i="34" s="1"/>
  <c r="L782" i="3"/>
  <c r="L78" i="34" s="1"/>
  <c r="L807" i="3"/>
  <c r="L103" i="34" s="1"/>
  <c r="N737" i="3"/>
  <c r="N33" i="34" s="1"/>
  <c r="N775" i="3"/>
  <c r="N71" i="34" s="1"/>
  <c r="L785" i="3"/>
  <c r="L81" i="34" s="1"/>
  <c r="N741" i="3"/>
  <c r="N37" i="34" s="1"/>
  <c r="N709" i="3"/>
  <c r="N5" i="34" s="1"/>
  <c r="N717" i="3"/>
  <c r="N13" i="34" s="1"/>
  <c r="L746" i="3"/>
  <c r="L42" i="34" s="1"/>
  <c r="L780" i="3"/>
  <c r="L76" i="34" s="1"/>
  <c r="L760" i="3"/>
  <c r="L56" i="34" s="1"/>
  <c r="N720" i="3"/>
  <c r="N16" i="34" s="1"/>
  <c r="N745" i="3"/>
  <c r="N41" i="34" s="1"/>
  <c r="N774" i="3"/>
  <c r="N70" i="34" s="1"/>
  <c r="L792" i="3"/>
  <c r="L88" i="34" s="1"/>
  <c r="N719" i="3"/>
  <c r="N15" i="34" s="1"/>
  <c r="L752" i="3"/>
  <c r="L48" i="34" s="1"/>
  <c r="N785" i="3"/>
  <c r="N81" i="34" s="1"/>
  <c r="L753" i="3"/>
  <c r="L49" i="34" s="1"/>
  <c r="N724" i="3"/>
  <c r="N20" i="34" s="1"/>
  <c r="N710" i="3"/>
  <c r="N6" i="34" s="1"/>
  <c r="L795" i="3"/>
  <c r="L91" i="34" s="1"/>
  <c r="L751" i="3"/>
  <c r="L47" i="34" s="1"/>
  <c r="L769" i="3"/>
  <c r="L65" i="34" s="1"/>
  <c r="L734" i="3"/>
  <c r="L30" i="34" s="1"/>
  <c r="L784" i="3"/>
  <c r="L80" i="34" s="1"/>
  <c r="L711" i="3"/>
  <c r="L7" i="34" s="1"/>
  <c r="L794" i="3"/>
  <c r="L90" i="34" s="1"/>
  <c r="L729" i="3"/>
  <c r="L25" i="34" s="1"/>
  <c r="N800" i="3"/>
  <c r="N96" i="34" s="1"/>
  <c r="N784" i="3"/>
  <c r="N80" i="34" s="1"/>
  <c r="N773" i="3"/>
  <c r="N69" i="34" s="1"/>
  <c r="N739" i="3"/>
  <c r="N35" i="34" s="1"/>
  <c r="L709" i="3"/>
  <c r="L5" i="34" s="1"/>
  <c r="N806" i="3"/>
  <c r="N102" i="34" s="1"/>
  <c r="N779" i="3"/>
  <c r="N75" i="34" s="1"/>
  <c r="N771" i="3"/>
  <c r="N67" i="34" s="1"/>
  <c r="N762" i="3"/>
  <c r="N58" i="34" s="1"/>
  <c r="L720" i="3"/>
  <c r="L779" i="3"/>
  <c r="L75" i="34" s="1"/>
  <c r="L775" i="3"/>
  <c r="L71" i="34" s="1"/>
  <c r="L776" i="3"/>
  <c r="L72" i="34" s="1"/>
  <c r="N746" i="3"/>
  <c r="N42" i="34" s="1"/>
  <c r="N763" i="3"/>
  <c r="N59" i="34" s="1"/>
  <c r="N727" i="3"/>
  <c r="N23" i="34" s="1"/>
  <c r="N793" i="3"/>
  <c r="N89" i="34" s="1"/>
  <c r="N711" i="3"/>
  <c r="N7" i="34" s="1"/>
  <c r="L804" i="3"/>
  <c r="L100" i="34" s="1"/>
  <c r="N751" i="3"/>
  <c r="N47" i="34" s="1"/>
  <c r="L722" i="3"/>
  <c r="L18" i="34" s="1"/>
  <c r="L739" i="3"/>
  <c r="L35" i="34" s="1"/>
  <c r="N801" i="3"/>
  <c r="N97" i="34" s="1"/>
  <c r="L735" i="3"/>
  <c r="L31" i="34" s="1"/>
  <c r="N795" i="3"/>
  <c r="N91" i="34" s="1"/>
  <c r="L740" i="3"/>
  <c r="L36" i="34" s="1"/>
  <c r="N772" i="3"/>
  <c r="N68" i="34" s="1"/>
  <c r="L761" i="3"/>
  <c r="L57" i="34" s="1"/>
  <c r="L778" i="3"/>
  <c r="L74" i="34" s="1"/>
  <c r="L733" i="3"/>
  <c r="L29" i="34" s="1"/>
  <c r="N770" i="3"/>
  <c r="N66" i="34" s="1"/>
  <c r="N729" i="3"/>
  <c r="N25" i="34" s="1"/>
  <c r="L755" i="3"/>
  <c r="L51" i="34" s="1"/>
  <c r="L768" i="3"/>
  <c r="L64" i="34" s="1"/>
  <c r="N765" i="3"/>
  <c r="N61" i="34" s="1"/>
  <c r="L723" i="3"/>
  <c r="L19" i="34" s="1"/>
  <c r="L736" i="3"/>
  <c r="L32" i="34" s="1"/>
  <c r="N802" i="3"/>
  <c r="N98" i="34" s="1"/>
  <c r="N744" i="3"/>
  <c r="N40" i="34" s="1"/>
  <c r="L716" i="3"/>
  <c r="L12" i="34" s="1"/>
  <c r="L802" i="3"/>
  <c r="L98" i="34" s="1"/>
  <c r="N783" i="3"/>
  <c r="N79" i="34" s="1"/>
  <c r="L774" i="3"/>
  <c r="L70" i="34" s="1"/>
  <c r="N728" i="3"/>
  <c r="N24" i="34" s="1"/>
  <c r="L757" i="3"/>
  <c r="L53" i="34" s="1"/>
  <c r="L798" i="3"/>
  <c r="L94" i="34" s="1"/>
  <c r="N712" i="3"/>
  <c r="N8" i="34" s="1"/>
  <c r="L744" i="3"/>
  <c r="L40" i="34" s="1"/>
  <c r="N796" i="3"/>
  <c r="N92" i="34" s="1"/>
  <c r="N738" i="3"/>
  <c r="N34" i="34" s="1"/>
  <c r="L791" i="3"/>
  <c r="L87" i="34" s="1"/>
  <c r="L783" i="3"/>
  <c r="L79" i="34" s="1"/>
  <c r="L765" i="3"/>
  <c r="L61" i="34" s="1"/>
  <c r="L732" i="3"/>
  <c r="L28" i="34" s="1"/>
  <c r="N734" i="3"/>
  <c r="N30" i="34" s="1"/>
  <c r="N786" i="3"/>
  <c r="N82" i="34" s="1"/>
  <c r="N805" i="3"/>
  <c r="N101" i="34" s="1"/>
  <c r="L772" i="3"/>
  <c r="L68" i="34" s="1"/>
  <c r="N733" i="3"/>
  <c r="N29" i="34" s="1"/>
  <c r="L750" i="3"/>
  <c r="L46" i="34" s="1"/>
  <c r="L764" i="3"/>
  <c r="L60" i="34" s="1"/>
  <c r="L717" i="3"/>
  <c r="L13" i="34" s="1"/>
  <c r="N731" i="3"/>
  <c r="N27" i="34" s="1"/>
  <c r="L793" i="3"/>
  <c r="L89" i="34" s="1"/>
  <c r="L713" i="3"/>
  <c r="L9" i="34" s="1"/>
  <c r="L799" i="3"/>
  <c r="L95" i="34" s="1"/>
  <c r="N735" i="3"/>
  <c r="N31" i="34" s="1"/>
  <c r="N750" i="3"/>
  <c r="N46" i="34" s="1"/>
  <c r="N716" i="3"/>
  <c r="N12" i="34" s="1"/>
  <c r="L758" i="3"/>
  <c r="L54" i="34" s="1"/>
  <c r="N780" i="3"/>
  <c r="N76" i="34" s="1"/>
  <c r="L787" i="3"/>
  <c r="L83" i="34" s="1"/>
  <c r="L788" i="3"/>
  <c r="L84" i="34" s="1"/>
  <c r="N787" i="3"/>
  <c r="N83" i="34" s="1"/>
  <c r="L747" i="3"/>
  <c r="L43" i="34" s="1"/>
  <c r="L738" i="3"/>
  <c r="L34" i="34" s="1"/>
  <c r="N761" i="3"/>
  <c r="N57" i="34" s="1"/>
  <c r="N730" i="3"/>
  <c r="N26" i="34" s="1"/>
  <c r="N758" i="3"/>
  <c r="N54" i="34" s="1"/>
  <c r="L781" i="3"/>
  <c r="L77" i="34" s="1"/>
  <c r="L763" i="3"/>
  <c r="L59" i="34" s="1"/>
  <c r="N791" i="3"/>
  <c r="N87" i="34" s="1"/>
  <c r="N759" i="3"/>
  <c r="N55" i="34" s="1"/>
  <c r="N799" i="3"/>
  <c r="N95" i="34" s="1"/>
  <c r="N782" i="3"/>
  <c r="N78" i="34" s="1"/>
  <c r="N754" i="3"/>
  <c r="N50" i="34" s="1"/>
  <c r="L805" i="3"/>
  <c r="L101" i="34" s="1"/>
  <c r="N788" i="3"/>
  <c r="N84" i="34" s="1"/>
  <c r="N747" i="3"/>
  <c r="N43" i="34" s="1"/>
  <c r="N769" i="3"/>
  <c r="N65" i="34" s="1"/>
  <c r="L756" i="3"/>
  <c r="L52" i="34" s="1"/>
  <c r="L800" i="3"/>
  <c r="L96" i="34" s="1"/>
  <c r="L801" i="3"/>
  <c r="L97" i="34" s="1"/>
  <c r="N807" i="3"/>
  <c r="N103" i="34" s="1"/>
  <c r="L724" i="3"/>
  <c r="L20" i="34" s="1"/>
  <c r="L803" i="3"/>
  <c r="L99" i="34" s="1"/>
  <c r="N792" i="3"/>
  <c r="N88" i="34" s="1"/>
  <c r="N753" i="3"/>
  <c r="N49" i="34" s="1"/>
  <c r="L790" i="3"/>
  <c r="L86" i="34" s="1"/>
  <c r="N797" i="3"/>
  <c r="N93" i="34" s="1"/>
  <c r="N778" i="3"/>
  <c r="N74" i="34" s="1"/>
  <c r="L748" i="3"/>
  <c r="L44" i="34" s="1"/>
  <c r="N748" i="3"/>
  <c r="N44" i="34" s="1"/>
  <c r="L770" i="3"/>
  <c r="L66" i="34" s="1"/>
  <c r="N776" i="3"/>
  <c r="N72" i="34" s="1"/>
  <c r="N777" i="3"/>
  <c r="N73" i="34" s="1"/>
  <c r="L742" i="3"/>
  <c r="O742" i="3" s="1"/>
  <c r="O38" i="34" s="1"/>
  <c r="L767" i="3"/>
  <c r="L63" i="34" s="1"/>
  <c r="N781" i="3"/>
  <c r="N77" i="34" s="1"/>
  <c r="N790" i="3"/>
  <c r="N86" i="34" s="1"/>
  <c r="N715" i="3"/>
  <c r="N11" i="34" s="1"/>
  <c r="N760" i="3"/>
  <c r="N56" i="34" s="1"/>
  <c r="N804" i="3"/>
  <c r="N100" i="34" s="1"/>
  <c r="N721" i="3"/>
  <c r="N17" i="34" s="1"/>
  <c r="N798" i="3"/>
  <c r="N94" i="34" s="1"/>
  <c r="N789" i="3"/>
  <c r="N85" i="34" s="1"/>
  <c r="N766" i="3"/>
  <c r="N62" i="34" s="1"/>
  <c r="N740" i="3"/>
  <c r="N36" i="34" s="1"/>
  <c r="L796" i="3"/>
  <c r="L92" i="34" s="1"/>
  <c r="L743" i="3"/>
  <c r="L39" i="34" s="1"/>
  <c r="L721" i="3"/>
  <c r="L17" i="34" s="1"/>
  <c r="N743" i="3"/>
  <c r="N39" i="34" s="1"/>
  <c r="L762" i="3"/>
  <c r="L58" i="34" s="1"/>
  <c r="L773" i="3"/>
  <c r="L69" i="34" s="1"/>
  <c r="N803" i="3"/>
  <c r="N99" i="34" s="1"/>
  <c r="L727" i="3"/>
  <c r="L23" i="34" s="1"/>
  <c r="L741" i="3"/>
  <c r="L37" i="34" s="1"/>
  <c r="L806" i="3"/>
  <c r="L102" i="34" s="1"/>
  <c r="N755" i="3"/>
  <c r="N51" i="34" s="1"/>
  <c r="N713" i="3"/>
  <c r="N9" i="34" s="1"/>
  <c r="N723" i="3"/>
  <c r="N19" i="34" s="1"/>
  <c r="N732" i="3"/>
  <c r="N28" i="34" s="1"/>
  <c r="L730" i="3"/>
  <c r="L26" i="34" s="1"/>
  <c r="L710" i="3"/>
  <c r="L6" i="34" s="1"/>
  <c r="L797" i="3"/>
  <c r="L93" i="34" s="1"/>
  <c r="L749" i="3"/>
  <c r="L45" i="34" s="1"/>
  <c r="L789" i="3"/>
  <c r="L85" i="34" s="1"/>
  <c r="L726" i="3"/>
  <c r="L22" i="34" s="1"/>
  <c r="L737" i="3"/>
  <c r="L33" i="34" s="1"/>
  <c r="L745" i="3"/>
  <c r="L41" i="34" s="1"/>
  <c r="L728" i="3"/>
  <c r="L24" i="34" s="1"/>
  <c r="L719" i="3"/>
  <c r="L15" i="34" s="1"/>
  <c r="N726" i="3"/>
  <c r="N22" i="34" s="1"/>
  <c r="N756" i="3"/>
  <c r="N52" i="34" s="1"/>
  <c r="L714" i="3"/>
  <c r="L10" i="34" s="1"/>
  <c r="N757" i="3"/>
  <c r="N53" i="34" s="1"/>
  <c r="L766" i="3"/>
  <c r="L62" i="34" s="1"/>
  <c r="L731" i="3"/>
  <c r="N722" i="3"/>
  <c r="N18" i="34" s="1"/>
  <c r="N718" i="3"/>
  <c r="N14" i="34" s="1"/>
  <c r="L771" i="3"/>
  <c r="L67" i="34" s="1"/>
  <c r="N736" i="3"/>
  <c r="N32" i="34" s="1"/>
  <c r="N768" i="3"/>
  <c r="N64" i="34" s="1"/>
  <c r="L725" i="3"/>
  <c r="L21" i="34" s="1"/>
  <c r="N714" i="3"/>
  <c r="N10" i="34" s="1"/>
  <c r="L715" i="3"/>
  <c r="L11" i="34" s="1"/>
  <c r="N749" i="3"/>
  <c r="N45" i="34" s="1"/>
  <c r="L777" i="3"/>
  <c r="L73" i="34" s="1"/>
  <c r="L759" i="3"/>
  <c r="L55" i="34" s="1"/>
  <c r="N725" i="3"/>
  <c r="N21" i="34" s="1"/>
  <c r="L786" i="3"/>
  <c r="L82" i="34" s="1"/>
  <c r="N752" i="3"/>
  <c r="N48" i="34" s="1"/>
  <c r="L712" i="3"/>
  <c r="L8" i="34" s="1"/>
  <c r="N764" i="3"/>
  <c r="N60" i="34" s="1"/>
  <c r="N767" i="3"/>
  <c r="N63" i="34" s="1"/>
  <c r="L754" i="3"/>
  <c r="L50" i="34" s="1"/>
  <c r="H92" i="25"/>
  <c r="C553" i="3"/>
  <c r="G92" i="25" s="1"/>
  <c r="B776" i="44"/>
  <c r="D775" i="44"/>
  <c r="D774" i="44"/>
  <c r="B604" i="3"/>
  <c r="B606" i="3" s="1"/>
  <c r="J14" i="32"/>
  <c r="K14" i="32" s="1"/>
  <c r="A959" i="5"/>
  <c r="C522" i="3"/>
  <c r="B1960" i="44"/>
  <c r="D1958" i="44"/>
  <c r="D505" i="44"/>
  <c r="B1785" i="44"/>
  <c r="D1785" i="44" s="1"/>
  <c r="D629" i="44"/>
  <c r="D630" i="44"/>
  <c r="D631" i="44"/>
  <c r="D25" i="24"/>
  <c r="C452" i="5"/>
  <c r="D1768" i="44"/>
  <c r="B1769" i="44"/>
  <c r="D2662" i="44"/>
  <c r="B2663" i="44"/>
  <c r="B507" i="44"/>
  <c r="D509" i="44" s="1"/>
  <c r="D503" i="44"/>
  <c r="D504" i="44"/>
  <c r="D506" i="44"/>
  <c r="B2278" i="44"/>
  <c r="D2277" i="44"/>
  <c r="B2919" i="44"/>
  <c r="D2918" i="44"/>
  <c r="B554" i="3"/>
  <c r="C554" i="3" s="1"/>
  <c r="D3014" i="44"/>
  <c r="B3015" i="44"/>
  <c r="B1212" i="5"/>
  <c r="A1211" i="5"/>
  <c r="T1210" i="5"/>
  <c r="H1210" i="5"/>
  <c r="M1210" i="5"/>
  <c r="R1210" i="5"/>
  <c r="P1210" i="5"/>
  <c r="E1210" i="5"/>
  <c r="S1210" i="5"/>
  <c r="G1210" i="5"/>
  <c r="J1210" i="5"/>
  <c r="Q1210" i="5"/>
  <c r="C1210" i="5"/>
  <c r="I1210" i="5"/>
  <c r="N1210" i="5"/>
  <c r="K1210" i="5"/>
  <c r="L1210" i="5"/>
  <c r="D1210" i="5"/>
  <c r="F1210" i="5"/>
  <c r="O1210" i="5"/>
  <c r="G399" i="3"/>
  <c r="F37" i="24" s="1"/>
  <c r="C119" i="24"/>
  <c r="C94" i="32"/>
  <c r="D37" i="24"/>
  <c r="C4" i="5"/>
  <c r="B1718" i="44"/>
  <c r="D1717" i="44"/>
  <c r="B2630" i="44"/>
  <c r="D2629" i="44"/>
  <c r="B2041" i="44"/>
  <c r="D2040" i="44"/>
  <c r="B3127" i="44"/>
  <c r="D3126" i="44"/>
  <c r="B3032" i="44"/>
  <c r="D3031" i="44"/>
  <c r="D2569" i="44"/>
  <c r="B2570" i="44"/>
  <c r="B3158" i="44"/>
  <c r="D3157" i="44"/>
  <c r="D875" i="44"/>
  <c r="B878" i="44"/>
  <c r="D876" i="44"/>
  <c r="D877" i="44"/>
  <c r="D1798" i="44"/>
  <c r="B1799" i="44"/>
  <c r="D2773" i="44"/>
  <c r="B2774" i="44"/>
  <c r="D2614" i="44"/>
  <c r="B2615" i="44"/>
  <c r="D2293" i="44"/>
  <c r="B2294" i="44"/>
  <c r="D2102" i="44"/>
  <c r="B2103" i="44"/>
  <c r="D3093" i="44"/>
  <c r="B3094" i="44"/>
  <c r="D2230" i="44"/>
  <c r="B2231" i="44"/>
  <c r="B1974" i="44"/>
  <c r="D1973" i="44"/>
  <c r="B1943" i="44"/>
  <c r="D1942" i="44"/>
  <c r="D1866" i="44"/>
  <c r="B1867" i="44"/>
  <c r="B2824" i="44"/>
  <c r="D2823" i="44"/>
  <c r="D1606" i="44"/>
  <c r="B1607" i="44"/>
  <c r="D2887" i="44"/>
  <c r="B2888" i="44"/>
  <c r="B1735" i="44"/>
  <c r="D1734" i="44"/>
  <c r="D1926" i="44"/>
  <c r="B1927" i="44"/>
  <c r="D2982" i="44"/>
  <c r="B2983" i="44"/>
  <c r="D2247" i="44"/>
  <c r="B2248" i="44"/>
  <c r="D2710" i="44"/>
  <c r="B2711" i="44"/>
  <c r="B2487" i="44"/>
  <c r="D2486" i="44"/>
  <c r="D1960" i="44"/>
  <c r="B1961" i="44"/>
  <c r="B2969" i="44"/>
  <c r="D2968" i="44"/>
  <c r="D2517" i="44"/>
  <c r="B2518" i="44"/>
  <c r="D2793" i="44"/>
  <c r="B2794" i="44"/>
  <c r="B2998" i="44"/>
  <c r="D2997" i="44"/>
  <c r="D2053" i="44"/>
  <c r="B2054" i="44"/>
  <c r="B635" i="44"/>
  <c r="D632" i="44"/>
  <c r="D633" i="44"/>
  <c r="D634" i="44"/>
  <c r="D1755" i="44"/>
  <c r="B1756" i="44"/>
  <c r="B1656" i="44"/>
  <c r="D1655" i="44"/>
  <c r="B2086" i="44"/>
  <c r="D2085" i="44"/>
  <c r="D2391" i="44"/>
  <c r="B2392" i="44"/>
  <c r="D3061" i="44"/>
  <c r="B3062" i="44"/>
  <c r="D2744" i="44"/>
  <c r="B2745" i="44"/>
  <c r="B2200" i="44"/>
  <c r="D2199" i="44"/>
  <c r="D1675" i="44"/>
  <c r="B1676" i="44"/>
  <c r="D2584" i="44"/>
  <c r="B2585" i="44"/>
  <c r="B779" i="44"/>
  <c r="D776" i="44"/>
  <c r="D777" i="44"/>
  <c r="D778" i="44"/>
  <c r="D2182" i="44"/>
  <c r="B2183" i="44"/>
  <c r="B1879" i="44"/>
  <c r="D1878" i="44"/>
  <c r="B2871" i="44"/>
  <c r="D2870" i="44"/>
  <c r="D1831" i="44"/>
  <c r="B1832" i="44"/>
  <c r="D1703" i="44"/>
  <c r="B1704" i="44"/>
  <c r="D3078" i="44"/>
  <c r="B3079" i="44"/>
  <c r="B798" i="44"/>
  <c r="D795" i="44"/>
  <c r="D796" i="44"/>
  <c r="D797" i="44"/>
  <c r="D2807" i="44"/>
  <c r="B2808" i="44"/>
  <c r="B2135" i="44"/>
  <c r="D2134" i="44"/>
  <c r="D2118" i="44"/>
  <c r="B2119" i="44"/>
  <c r="B1990" i="44"/>
  <c r="D1989" i="44"/>
  <c r="D2535" i="44"/>
  <c r="B2536" i="44"/>
  <c r="B2954" i="44"/>
  <c r="D2953" i="44"/>
  <c r="D2423" i="44"/>
  <c r="B2424" i="44"/>
  <c r="D2166" i="44"/>
  <c r="B2167" i="44"/>
  <c r="D3046" i="44"/>
  <c r="B3047" i="44"/>
  <c r="B3113" i="44"/>
  <c r="D3112" i="44"/>
  <c r="B2902" i="44"/>
  <c r="D2901" i="44"/>
  <c r="D1637" i="44"/>
  <c r="B1638" i="44"/>
  <c r="D2262" i="44"/>
  <c r="B2263" i="44"/>
  <c r="D2405" i="44"/>
  <c r="B2406" i="44"/>
  <c r="B582" i="44"/>
  <c r="D581" i="44"/>
  <c r="D580" i="44"/>
  <c r="D1589" i="44"/>
  <c r="B1590" i="44"/>
  <c r="B2855" i="44"/>
  <c r="D2854" i="44"/>
  <c r="B2072" i="44"/>
  <c r="D2071" i="44"/>
  <c r="D353" i="44"/>
  <c r="D351" i="44"/>
  <c r="D354" i="44"/>
  <c r="D355" i="44"/>
  <c r="B356" i="44"/>
  <c r="D352" i="44"/>
  <c r="D2312" i="44"/>
  <c r="B2313" i="44"/>
  <c r="D2358" i="44"/>
  <c r="B2359" i="44"/>
  <c r="B1847" i="44"/>
  <c r="D1846" i="44"/>
  <c r="D2761" i="44"/>
  <c r="B2762" i="44"/>
  <c r="D2214" i="44"/>
  <c r="B2215" i="44"/>
  <c r="D1813" i="44"/>
  <c r="B1814" i="44"/>
  <c r="B2839" i="44"/>
  <c r="D2838" i="44"/>
  <c r="B2504" i="44"/>
  <c r="D2503" i="44"/>
  <c r="D2024" i="44"/>
  <c r="B2025" i="44"/>
  <c r="B2377" i="44"/>
  <c r="D2376" i="44"/>
  <c r="B2934" i="44"/>
  <c r="D2933" i="44"/>
  <c r="D2150" i="44"/>
  <c r="B2151" i="44"/>
  <c r="D2677" i="44"/>
  <c r="B2678" i="44"/>
  <c r="D2453" i="44"/>
  <c r="B2454" i="44"/>
  <c r="B2728" i="44"/>
  <c r="D2727" i="44"/>
  <c r="D1685" i="44"/>
  <c r="B1686" i="44"/>
  <c r="B816" i="44"/>
  <c r="D815" i="44"/>
  <c r="D814" i="44"/>
  <c r="D1622" i="44"/>
  <c r="B1623" i="44"/>
  <c r="D2344" i="44"/>
  <c r="B2345" i="44"/>
  <c r="D2695" i="44"/>
  <c r="B2696" i="44"/>
  <c r="B2600" i="44"/>
  <c r="D2599" i="44"/>
  <c r="B2551" i="44"/>
  <c r="D2550" i="44"/>
  <c r="B2007" i="44"/>
  <c r="D2006" i="44"/>
  <c r="D2645" i="44"/>
  <c r="B2646" i="44"/>
  <c r="B2329" i="44"/>
  <c r="D2328" i="44"/>
  <c r="D2472" i="44"/>
  <c r="B2473" i="44"/>
  <c r="D1913" i="44"/>
  <c r="B1914" i="44"/>
  <c r="B3144" i="44"/>
  <c r="D3143" i="44"/>
  <c r="D437" i="44"/>
  <c r="B439" i="44"/>
  <c r="D438" i="44"/>
  <c r="D436" i="44"/>
  <c r="D434" i="44"/>
  <c r="D435" i="44"/>
  <c r="D2441" i="44"/>
  <c r="B2442" i="44"/>
  <c r="B1897" i="44"/>
  <c r="D1896" i="44"/>
  <c r="B849" i="44"/>
  <c r="D848" i="44"/>
  <c r="D847" i="44"/>
  <c r="B421" i="3"/>
  <c r="B426" i="3" s="1"/>
  <c r="D169" i="24"/>
  <c r="B472" i="3"/>
  <c r="F815" i="3" s="1"/>
  <c r="E1574" i="44" s="1"/>
  <c r="A1574" i="44" s="1"/>
  <c r="F814" i="3"/>
  <c r="E1573" i="44" s="1"/>
  <c r="A1573" i="44" s="1"/>
  <c r="G11" i="32"/>
  <c r="F13" i="32"/>
  <c r="F15" i="32" s="1"/>
  <c r="F17" i="32" s="1"/>
  <c r="C453" i="5"/>
  <c r="E25" i="24"/>
  <c r="B385" i="3"/>
  <c r="C114" i="24"/>
  <c r="C89" i="32"/>
  <c r="E380" i="3"/>
  <c r="E113" i="24"/>
  <c r="E88" i="32"/>
  <c r="B500" i="3"/>
  <c r="B502" i="3" s="1"/>
  <c r="D33" i="32"/>
  <c r="D36" i="32" s="1"/>
  <c r="D37" i="32" s="1"/>
  <c r="E30" i="32"/>
  <c r="D87" i="32"/>
  <c r="C381" i="3"/>
  <c r="C386" i="3" s="1"/>
  <c r="D112" i="24"/>
  <c r="D379" i="3"/>
  <c r="F97" i="49" l="1"/>
  <c r="E99" i="49"/>
  <c r="F98" i="49"/>
  <c r="E98" i="49"/>
  <c r="J23" i="51"/>
  <c r="N23" i="51" s="1"/>
  <c r="C23" i="51"/>
  <c r="G23" i="51" s="1"/>
  <c r="H28" i="52"/>
  <c r="H32" i="52" s="1"/>
  <c r="H58" i="52"/>
  <c r="H60" i="52" s="1"/>
  <c r="H52" i="52"/>
  <c r="H55" i="52" s="1"/>
  <c r="N13" i="52"/>
  <c r="M15" i="52"/>
  <c r="M16" i="52" s="1"/>
  <c r="I22" i="52"/>
  <c r="I23" i="52"/>
  <c r="I50" i="52"/>
  <c r="K17" i="52"/>
  <c r="J18" i="52"/>
  <c r="O782" i="3"/>
  <c r="P782" i="3" s="1"/>
  <c r="R782" i="3" s="1"/>
  <c r="R78" i="34" s="1"/>
  <c r="O720" i="3"/>
  <c r="O16" i="34" s="1"/>
  <c r="O785" i="3"/>
  <c r="O81" i="34" s="1"/>
  <c r="O794" i="3"/>
  <c r="O90" i="34" s="1"/>
  <c r="O784" i="3"/>
  <c r="P784" i="3" s="1"/>
  <c r="R784" i="3" s="1"/>
  <c r="R80" i="34" s="1"/>
  <c r="L16" i="34"/>
  <c r="O775" i="3"/>
  <c r="O71" i="34" s="1"/>
  <c r="O709" i="3"/>
  <c r="O5" i="34" s="1"/>
  <c r="O737" i="3"/>
  <c r="P737" i="3" s="1"/>
  <c r="R737" i="3" s="1"/>
  <c r="R33" i="34" s="1"/>
  <c r="O779" i="3"/>
  <c r="P779" i="3" s="1"/>
  <c r="R779" i="3" s="1"/>
  <c r="R75" i="34" s="1"/>
  <c r="O729" i="3"/>
  <c r="P729" i="3" s="1"/>
  <c r="P25" i="34" s="1"/>
  <c r="P742" i="3"/>
  <c r="P38" i="34" s="1"/>
  <c r="O727" i="3"/>
  <c r="P727" i="3" s="1"/>
  <c r="R727" i="3" s="1"/>
  <c r="R23" i="34" s="1"/>
  <c r="O746" i="3"/>
  <c r="O42" i="34" s="1"/>
  <c r="O711" i="3"/>
  <c r="O7" i="34" s="1"/>
  <c r="O752" i="3"/>
  <c r="O48" i="34" s="1"/>
  <c r="O770" i="3"/>
  <c r="O66" i="34" s="1"/>
  <c r="O793" i="3"/>
  <c r="P793" i="3" s="1"/>
  <c r="P89" i="34" s="1"/>
  <c r="O772" i="3"/>
  <c r="O68" i="34" s="1"/>
  <c r="O739" i="3"/>
  <c r="O35" i="34" s="1"/>
  <c r="O778" i="3"/>
  <c r="O74" i="34" s="1"/>
  <c r="O799" i="3"/>
  <c r="P799" i="3" s="1"/>
  <c r="P95" i="34" s="1"/>
  <c r="O795" i="3"/>
  <c r="P795" i="3" s="1"/>
  <c r="R795" i="3" s="1"/>
  <c r="R91" i="34" s="1"/>
  <c r="O719" i="3"/>
  <c r="O15" i="34" s="1"/>
  <c r="O773" i="3"/>
  <c r="O69" i="34" s="1"/>
  <c r="O751" i="3"/>
  <c r="O47" i="34" s="1"/>
  <c r="O748" i="3"/>
  <c r="O44" i="34" s="1"/>
  <c r="O734" i="3"/>
  <c r="P734" i="3" s="1"/>
  <c r="P30" i="34" s="1"/>
  <c r="O745" i="3"/>
  <c r="P745" i="3" s="1"/>
  <c r="P41" i="34" s="1"/>
  <c r="O735" i="3"/>
  <c r="P735" i="3" s="1"/>
  <c r="P31" i="34" s="1"/>
  <c r="L38" i="34"/>
  <c r="O762" i="3"/>
  <c r="P762" i="3" s="1"/>
  <c r="R762" i="3" s="1"/>
  <c r="R58" i="34" s="1"/>
  <c r="O731" i="3"/>
  <c r="O27" i="34" s="1"/>
  <c r="O777" i="3"/>
  <c r="P777" i="3" s="1"/>
  <c r="P73" i="34" s="1"/>
  <c r="O798" i="3"/>
  <c r="O94" i="34" s="1"/>
  <c r="O796" i="3"/>
  <c r="O92" i="34" s="1"/>
  <c r="O750" i="3"/>
  <c r="O46" i="34" s="1"/>
  <c r="O717" i="3"/>
  <c r="O13" i="34" s="1"/>
  <c r="O783" i="3"/>
  <c r="O79" i="34" s="1"/>
  <c r="O713" i="3"/>
  <c r="P713" i="3" s="1"/>
  <c r="P9" i="34" s="1"/>
  <c r="O733" i="3"/>
  <c r="O29" i="34" s="1"/>
  <c r="O805" i="3"/>
  <c r="O101" i="34" s="1"/>
  <c r="O792" i="3"/>
  <c r="P792" i="3" s="1"/>
  <c r="P88" i="34" s="1"/>
  <c r="O774" i="3"/>
  <c r="O70" i="34" s="1"/>
  <c r="O716" i="3"/>
  <c r="P716" i="3" s="1"/>
  <c r="R716" i="3" s="1"/>
  <c r="R12" i="34" s="1"/>
  <c r="O802" i="3"/>
  <c r="O98" i="34" s="1"/>
  <c r="O781" i="3"/>
  <c r="O77" i="34" s="1"/>
  <c r="O744" i="3"/>
  <c r="O40" i="34" s="1"/>
  <c r="O789" i="3"/>
  <c r="P789" i="3" s="1"/>
  <c r="P85" i="34" s="1"/>
  <c r="O753" i="3"/>
  <c r="O49" i="34" s="1"/>
  <c r="O728" i="3"/>
  <c r="O24" i="34" s="1"/>
  <c r="O800" i="3"/>
  <c r="O96" i="34" s="1"/>
  <c r="O710" i="3"/>
  <c r="O6" i="34" s="1"/>
  <c r="O743" i="3"/>
  <c r="O39" i="34" s="1"/>
  <c r="O765" i="3"/>
  <c r="O61" i="34" s="1"/>
  <c r="O755" i="3"/>
  <c r="P755" i="3" s="1"/>
  <c r="P51" i="34" s="1"/>
  <c r="O790" i="3"/>
  <c r="P790" i="3" s="1"/>
  <c r="R790" i="3" s="1"/>
  <c r="R86" i="34" s="1"/>
  <c r="O760" i="3"/>
  <c r="O56" i="34" s="1"/>
  <c r="O804" i="3"/>
  <c r="O100" i="34" s="1"/>
  <c r="O741" i="3"/>
  <c r="P741" i="3" s="1"/>
  <c r="P37" i="34" s="1"/>
  <c r="O803" i="3"/>
  <c r="O99" i="34" s="1"/>
  <c r="O763" i="3"/>
  <c r="P763" i="3" s="1"/>
  <c r="P59" i="34" s="1"/>
  <c r="O797" i="3"/>
  <c r="P797" i="3" s="1"/>
  <c r="R797" i="3" s="1"/>
  <c r="R93" i="34" s="1"/>
  <c r="O761" i="3"/>
  <c r="P761" i="3" s="1"/>
  <c r="P57" i="34" s="1"/>
  <c r="O788" i="3"/>
  <c r="P788" i="3" s="1"/>
  <c r="P84" i="34" s="1"/>
  <c r="O780" i="3"/>
  <c r="P780" i="3" s="1"/>
  <c r="R780" i="3" s="1"/>
  <c r="R76" i="34" s="1"/>
  <c r="O721" i="3"/>
  <c r="P721" i="3" s="1"/>
  <c r="R721" i="3" s="1"/>
  <c r="R17" i="34" s="1"/>
  <c r="O723" i="3"/>
  <c r="O19" i="34" s="1"/>
  <c r="O732" i="3"/>
  <c r="P732" i="3" s="1"/>
  <c r="P28" i="34" s="1"/>
  <c r="O787" i="3"/>
  <c r="O83" i="34" s="1"/>
  <c r="O806" i="3"/>
  <c r="P806" i="3" s="1"/>
  <c r="R806" i="3" s="1"/>
  <c r="R102" i="34" s="1"/>
  <c r="O724" i="3"/>
  <c r="P724" i="3" s="1"/>
  <c r="R724" i="3" s="1"/>
  <c r="R20" i="34" s="1"/>
  <c r="O758" i="3"/>
  <c r="P758" i="3" s="1"/>
  <c r="R758" i="3" s="1"/>
  <c r="R54" i="34" s="1"/>
  <c r="O738" i="3"/>
  <c r="O34" i="34" s="1"/>
  <c r="O769" i="3"/>
  <c r="O65" i="34" s="1"/>
  <c r="O740" i="3"/>
  <c r="O36" i="34" s="1"/>
  <c r="O791" i="3"/>
  <c r="P791" i="3" s="1"/>
  <c r="R791" i="3" s="1"/>
  <c r="R87" i="34" s="1"/>
  <c r="O726" i="3"/>
  <c r="P726" i="3" s="1"/>
  <c r="R726" i="3" s="1"/>
  <c r="R22" i="34" s="1"/>
  <c r="O759" i="3"/>
  <c r="P759" i="3" s="1"/>
  <c r="R759" i="3" s="1"/>
  <c r="R55" i="34" s="1"/>
  <c r="O801" i="3"/>
  <c r="P801" i="3" s="1"/>
  <c r="R801" i="3" s="1"/>
  <c r="R97" i="34" s="1"/>
  <c r="O776" i="3"/>
  <c r="O72" i="34" s="1"/>
  <c r="O807" i="3"/>
  <c r="O103" i="34" s="1"/>
  <c r="O747" i="3"/>
  <c r="P747" i="3" s="1"/>
  <c r="P43" i="34" s="1"/>
  <c r="O730" i="3"/>
  <c r="O26" i="34" s="1"/>
  <c r="O749" i="3"/>
  <c r="P749" i="3" s="1"/>
  <c r="P45" i="34" s="1"/>
  <c r="L27" i="34"/>
  <c r="O756" i="3"/>
  <c r="P756" i="3" s="1"/>
  <c r="R756" i="3" s="1"/>
  <c r="R52" i="34" s="1"/>
  <c r="O757" i="3"/>
  <c r="P757" i="3" s="1"/>
  <c r="P53" i="34" s="1"/>
  <c r="O786" i="3"/>
  <c r="P786" i="3" s="1"/>
  <c r="P82" i="34" s="1"/>
  <c r="O712" i="3"/>
  <c r="P712" i="3" s="1"/>
  <c r="P8" i="34" s="1"/>
  <c r="L808" i="3"/>
  <c r="O718" i="3"/>
  <c r="O14" i="34" s="1"/>
  <c r="O722" i="3"/>
  <c r="O18" i="34" s="1"/>
  <c r="O767" i="3"/>
  <c r="P767" i="3" s="1"/>
  <c r="P63" i="34" s="1"/>
  <c r="O754" i="3"/>
  <c r="P754" i="3" s="1"/>
  <c r="P50" i="34" s="1"/>
  <c r="O725" i="3"/>
  <c r="O21" i="34" s="1"/>
  <c r="N808" i="3"/>
  <c r="O766" i="3"/>
  <c r="P766" i="3" s="1"/>
  <c r="P62" i="34" s="1"/>
  <c r="O768" i="3"/>
  <c r="O64" i="34" s="1"/>
  <c r="O771" i="3"/>
  <c r="P771" i="3" s="1"/>
  <c r="R771" i="3" s="1"/>
  <c r="R67" i="34" s="1"/>
  <c r="O715" i="3"/>
  <c r="O11" i="34" s="1"/>
  <c r="O736" i="3"/>
  <c r="O32" i="34" s="1"/>
  <c r="O714" i="3"/>
  <c r="P714" i="3" s="1"/>
  <c r="P10" i="34" s="1"/>
  <c r="O764" i="3"/>
  <c r="P764" i="3" s="1"/>
  <c r="P60" i="34" s="1"/>
  <c r="J32" i="32"/>
  <c r="C606" i="3"/>
  <c r="C604" i="3"/>
  <c r="G68" i="25"/>
  <c r="A960" i="5"/>
  <c r="A1033" i="5" s="1"/>
  <c r="B1786" i="44"/>
  <c r="D1786" i="44" s="1"/>
  <c r="D510" i="44"/>
  <c r="B512" i="44"/>
  <c r="D514" i="44" s="1"/>
  <c r="D507" i="44"/>
  <c r="D511" i="44"/>
  <c r="D508" i="44"/>
  <c r="B1770" i="44"/>
  <c r="D1769" i="44"/>
  <c r="B2664" i="44"/>
  <c r="D2663" i="44"/>
  <c r="B2279" i="44"/>
  <c r="D2278" i="44"/>
  <c r="D2919" i="44"/>
  <c r="B2920" i="44"/>
  <c r="B556" i="3"/>
  <c r="B3016" i="44"/>
  <c r="D3015" i="44"/>
  <c r="L1211" i="5"/>
  <c r="Q1211" i="5"/>
  <c r="S1211" i="5"/>
  <c r="R1211" i="5"/>
  <c r="C1211" i="5"/>
  <c r="O1211" i="5"/>
  <c r="K1211" i="5"/>
  <c r="T1211" i="5"/>
  <c r="F1211" i="5"/>
  <c r="E1211" i="5"/>
  <c r="N1211" i="5"/>
  <c r="D1211" i="5"/>
  <c r="P1211" i="5"/>
  <c r="H1211" i="5"/>
  <c r="I1211" i="5"/>
  <c r="M1211" i="5"/>
  <c r="J1211" i="5"/>
  <c r="G1211" i="5"/>
  <c r="A1212" i="5"/>
  <c r="B1213" i="5"/>
  <c r="D119" i="24"/>
  <c r="D94" i="32"/>
  <c r="C5" i="5"/>
  <c r="D1718" i="44"/>
  <c r="B1719" i="44"/>
  <c r="L14" i="32"/>
  <c r="K32" i="32"/>
  <c r="B2631" i="44"/>
  <c r="D2630" i="44"/>
  <c r="B2042" i="44"/>
  <c r="D2041" i="44"/>
  <c r="D3127" i="44"/>
  <c r="B3128" i="44"/>
  <c r="D3032" i="44"/>
  <c r="B3033" i="44"/>
  <c r="B2232" i="44"/>
  <c r="D2231" i="44"/>
  <c r="D3094" i="44"/>
  <c r="B3095" i="44"/>
  <c r="B2104" i="44"/>
  <c r="D2103" i="44"/>
  <c r="B2295" i="44"/>
  <c r="D2294" i="44"/>
  <c r="D2615" i="44"/>
  <c r="B2616" i="44"/>
  <c r="D2774" i="44"/>
  <c r="B2775" i="44"/>
  <c r="D1799" i="44"/>
  <c r="B1800" i="44"/>
  <c r="D879" i="44"/>
  <c r="D880" i="44"/>
  <c r="D878" i="44"/>
  <c r="D2570" i="44"/>
  <c r="B2571" i="44"/>
  <c r="D1974" i="44"/>
  <c r="B1975" i="44"/>
  <c r="B3159" i="44"/>
  <c r="D3158" i="44"/>
  <c r="D1943" i="44"/>
  <c r="B1944" i="44"/>
  <c r="B1868" i="44"/>
  <c r="D1867" i="44"/>
  <c r="D2824" i="44"/>
  <c r="B2825" i="44"/>
  <c r="B2889" i="44"/>
  <c r="D2888" i="44"/>
  <c r="D1607" i="44"/>
  <c r="B1608" i="44"/>
  <c r="B2712" i="44"/>
  <c r="D2711" i="44"/>
  <c r="B2249" i="44"/>
  <c r="D2248" i="44"/>
  <c r="B2984" i="44"/>
  <c r="D2983" i="44"/>
  <c r="B1928" i="44"/>
  <c r="D1927" i="44"/>
  <c r="B1736" i="44"/>
  <c r="D1735" i="44"/>
  <c r="D2745" i="44"/>
  <c r="B2746" i="44"/>
  <c r="D3062" i="44"/>
  <c r="B3063" i="44"/>
  <c r="B2393" i="44"/>
  <c r="D2392" i="44"/>
  <c r="B1757" i="44"/>
  <c r="D1756" i="44"/>
  <c r="B2055" i="44"/>
  <c r="D2054" i="44"/>
  <c r="D2794" i="44"/>
  <c r="B2795" i="44"/>
  <c r="B2519" i="44"/>
  <c r="D2518" i="44"/>
  <c r="D1961" i="44"/>
  <c r="B1962" i="44"/>
  <c r="D516" i="44"/>
  <c r="B2087" i="44"/>
  <c r="D2086" i="44"/>
  <c r="D1656" i="44"/>
  <c r="B1657" i="44"/>
  <c r="D639" i="44"/>
  <c r="B640" i="44"/>
  <c r="D638" i="44"/>
  <c r="D637" i="44"/>
  <c r="D636" i="44"/>
  <c r="D635" i="44"/>
  <c r="B2999" i="44"/>
  <c r="D2998" i="44"/>
  <c r="B2970" i="44"/>
  <c r="D2969" i="44"/>
  <c r="D2487" i="44"/>
  <c r="B2488" i="44"/>
  <c r="B1677" i="44"/>
  <c r="D1676" i="44"/>
  <c r="D2200" i="44"/>
  <c r="B2201" i="44"/>
  <c r="B2647" i="44"/>
  <c r="D2646" i="44"/>
  <c r="D2696" i="44"/>
  <c r="B2697" i="44"/>
  <c r="B2346" i="44"/>
  <c r="D2345" i="44"/>
  <c r="D1623" i="44"/>
  <c r="B1624" i="44"/>
  <c r="D816" i="44"/>
  <c r="D817" i="44"/>
  <c r="B818" i="44"/>
  <c r="D2728" i="44"/>
  <c r="B2729" i="44"/>
  <c r="D2934" i="44"/>
  <c r="B2935" i="44"/>
  <c r="D2377" i="44"/>
  <c r="B2378" i="44"/>
  <c r="B2505" i="44"/>
  <c r="D2504" i="44"/>
  <c r="B2840" i="44"/>
  <c r="D2839" i="44"/>
  <c r="D1847" i="44"/>
  <c r="B1848" i="44"/>
  <c r="D359" i="44"/>
  <c r="D357" i="44"/>
  <c r="D360" i="44"/>
  <c r="D356" i="44"/>
  <c r="D358" i="44"/>
  <c r="B361" i="44"/>
  <c r="B2073" i="44"/>
  <c r="D2072" i="44"/>
  <c r="B2856" i="44"/>
  <c r="D2855" i="44"/>
  <c r="B2407" i="44"/>
  <c r="D2406" i="44"/>
  <c r="D2263" i="44"/>
  <c r="B2264" i="44"/>
  <c r="D1638" i="44"/>
  <c r="B1639" i="44"/>
  <c r="B3048" i="44"/>
  <c r="D3047" i="44"/>
  <c r="B2168" i="44"/>
  <c r="D2167" i="44"/>
  <c r="B2425" i="44"/>
  <c r="D2424" i="44"/>
  <c r="D2536" i="44"/>
  <c r="B2537" i="44"/>
  <c r="D2119" i="44"/>
  <c r="B2120" i="44"/>
  <c r="B2809" i="44"/>
  <c r="D2808" i="44"/>
  <c r="B3080" i="44"/>
  <c r="D3079" i="44"/>
  <c r="B1705" i="44"/>
  <c r="D1704" i="44"/>
  <c r="B1833" i="44"/>
  <c r="D1832" i="44"/>
  <c r="B2184" i="44"/>
  <c r="D2183" i="44"/>
  <c r="D2585" i="44"/>
  <c r="B2586" i="44"/>
  <c r="D2007" i="44"/>
  <c r="B2008" i="44"/>
  <c r="B2552" i="44"/>
  <c r="D2551" i="44"/>
  <c r="B2601" i="44"/>
  <c r="D2600" i="44"/>
  <c r="D1686" i="44"/>
  <c r="B1687" i="44"/>
  <c r="B2455" i="44"/>
  <c r="D2454" i="44"/>
  <c r="B2679" i="44"/>
  <c r="D2678" i="44"/>
  <c r="D2151" i="44"/>
  <c r="B2152" i="44"/>
  <c r="D2025" i="44"/>
  <c r="B2026" i="44"/>
  <c r="B1815" i="44"/>
  <c r="D1814" i="44"/>
  <c r="B2216" i="44"/>
  <c r="D2215" i="44"/>
  <c r="D2762" i="44"/>
  <c r="B2763" i="44"/>
  <c r="B2360" i="44"/>
  <c r="D2359" i="44"/>
  <c r="B2314" i="44"/>
  <c r="D2313" i="44"/>
  <c r="D1590" i="44"/>
  <c r="B1591" i="44"/>
  <c r="D582" i="44"/>
  <c r="D583" i="44"/>
  <c r="B584" i="44"/>
  <c r="D2902" i="44"/>
  <c r="B2903" i="44"/>
  <c r="D3113" i="44"/>
  <c r="B3114" i="44"/>
  <c r="D2954" i="44"/>
  <c r="B2955" i="44"/>
  <c r="D1990" i="44"/>
  <c r="B1991" i="44"/>
  <c r="D2135" i="44"/>
  <c r="B2136" i="44"/>
  <c r="D798" i="44"/>
  <c r="D799" i="44"/>
  <c r="B2872" i="44"/>
  <c r="D2871" i="44"/>
  <c r="D1879" i="44"/>
  <c r="B1880" i="44"/>
  <c r="D781" i="44"/>
  <c r="D779" i="44"/>
  <c r="D780" i="44"/>
  <c r="D849" i="44"/>
  <c r="D851" i="44"/>
  <c r="D850" i="44"/>
  <c r="B852" i="44"/>
  <c r="B1898" i="44"/>
  <c r="D1897" i="44"/>
  <c r="B2443" i="44"/>
  <c r="D2442" i="44"/>
  <c r="D443" i="44"/>
  <c r="D440" i="44"/>
  <c r="D442" i="44"/>
  <c r="D439" i="44"/>
  <c r="B444" i="44"/>
  <c r="D441" i="44"/>
  <c r="B1915" i="44"/>
  <c r="D1914" i="44"/>
  <c r="D2473" i="44"/>
  <c r="B2474" i="44"/>
  <c r="D3144" i="44"/>
  <c r="B3145" i="44"/>
  <c r="D2329" i="44"/>
  <c r="B2330" i="44"/>
  <c r="E112" i="24"/>
  <c r="E87" i="32"/>
  <c r="E379" i="3"/>
  <c r="D381" i="3"/>
  <c r="D386" i="3" s="1"/>
  <c r="F30" i="32"/>
  <c r="E33" i="32"/>
  <c r="E36" i="32" s="1"/>
  <c r="E37" i="32" s="1"/>
  <c r="D114" i="24"/>
  <c r="D89" i="32"/>
  <c r="C385" i="3"/>
  <c r="E50" i="24"/>
  <c r="C201" i="5"/>
  <c r="F94" i="25"/>
  <c r="E75" i="32"/>
  <c r="F380" i="3"/>
  <c r="F88" i="32"/>
  <c r="F113" i="24"/>
  <c r="B388" i="3"/>
  <c r="C118" i="24"/>
  <c r="C93" i="32"/>
  <c r="H11" i="32"/>
  <c r="G13" i="32"/>
  <c r="G15" i="32" s="1"/>
  <c r="G17" i="32" s="1"/>
  <c r="D176" i="24"/>
  <c r="H29" i="52" l="1"/>
  <c r="H30" i="52"/>
  <c r="H33" i="52"/>
  <c r="H31" i="52"/>
  <c r="L17" i="52"/>
  <c r="K18" i="52"/>
  <c r="I58" i="52"/>
  <c r="I60" i="52" s="1"/>
  <c r="I52" i="52"/>
  <c r="I55" i="52" s="1"/>
  <c r="I28" i="52"/>
  <c r="I70" i="52" s="1"/>
  <c r="O13" i="52"/>
  <c r="N15" i="52"/>
  <c r="N16" i="52" s="1"/>
  <c r="H62" i="52"/>
  <c r="H95" i="52"/>
  <c r="H96" i="52" s="1"/>
  <c r="H75" i="52"/>
  <c r="H76" i="52" s="1"/>
  <c r="H80" i="52"/>
  <c r="H81" i="52" s="1"/>
  <c r="H85" i="52"/>
  <c r="H86" i="52" s="1"/>
  <c r="H90" i="52"/>
  <c r="H91" i="52" s="1"/>
  <c r="H34" i="52"/>
  <c r="H70" i="52"/>
  <c r="H71" i="52" s="1"/>
  <c r="J23" i="52"/>
  <c r="J50" i="52"/>
  <c r="J22" i="52"/>
  <c r="O78" i="34"/>
  <c r="P78" i="34"/>
  <c r="P770" i="3"/>
  <c r="P66" i="34" s="1"/>
  <c r="R799" i="3"/>
  <c r="R95" i="34" s="1"/>
  <c r="P720" i="3"/>
  <c r="P16" i="34" s="1"/>
  <c r="O33" i="34"/>
  <c r="P80" i="34"/>
  <c r="P794" i="3"/>
  <c r="R794" i="3" s="1"/>
  <c r="R90" i="34" s="1"/>
  <c r="O80" i="34"/>
  <c r="R742" i="3"/>
  <c r="R38" i="34" s="1"/>
  <c r="R729" i="3"/>
  <c r="R25" i="34" s="1"/>
  <c r="P785" i="3"/>
  <c r="P81" i="34" s="1"/>
  <c r="P709" i="3"/>
  <c r="R709" i="3" s="1"/>
  <c r="R5" i="34" s="1"/>
  <c r="P752" i="3"/>
  <c r="P48" i="34" s="1"/>
  <c r="P33" i="34"/>
  <c r="O23" i="34"/>
  <c r="P23" i="34"/>
  <c r="P775" i="3"/>
  <c r="R775" i="3" s="1"/>
  <c r="R71" i="34" s="1"/>
  <c r="P75" i="34"/>
  <c r="O25" i="34"/>
  <c r="P772" i="3"/>
  <c r="P68" i="34" s="1"/>
  <c r="R793" i="3"/>
  <c r="R89" i="34" s="1"/>
  <c r="P711" i="3"/>
  <c r="P7" i="34" s="1"/>
  <c r="P746" i="3"/>
  <c r="P42" i="34" s="1"/>
  <c r="P76" i="34"/>
  <c r="O75" i="34"/>
  <c r="P733" i="3"/>
  <c r="P29" i="34" s="1"/>
  <c r="O89" i="34"/>
  <c r="P739" i="3"/>
  <c r="P35" i="34" s="1"/>
  <c r="P773" i="3"/>
  <c r="R773" i="3" s="1"/>
  <c r="R69" i="34" s="1"/>
  <c r="P778" i="3"/>
  <c r="R778" i="3" s="1"/>
  <c r="R74" i="34" s="1"/>
  <c r="O95" i="34"/>
  <c r="P87" i="34"/>
  <c r="P91" i="34"/>
  <c r="P796" i="3"/>
  <c r="R796" i="3" s="1"/>
  <c r="R92" i="34" s="1"/>
  <c r="R745" i="3"/>
  <c r="R41" i="34" s="1"/>
  <c r="P748" i="3"/>
  <c r="P44" i="34" s="1"/>
  <c r="P93" i="34"/>
  <c r="R741" i="3"/>
  <c r="R37" i="34" s="1"/>
  <c r="R735" i="3"/>
  <c r="R31" i="34" s="1"/>
  <c r="R788" i="3"/>
  <c r="R84" i="34" s="1"/>
  <c r="O91" i="34"/>
  <c r="R732" i="3"/>
  <c r="R28" i="34" s="1"/>
  <c r="O31" i="34"/>
  <c r="P751" i="3"/>
  <c r="P47" i="34" s="1"/>
  <c r="O12" i="34"/>
  <c r="O45" i="34"/>
  <c r="P719" i="3"/>
  <c r="R719" i="3" s="1"/>
  <c r="R15" i="34" s="1"/>
  <c r="O22" i="34"/>
  <c r="P731" i="3"/>
  <c r="R731" i="3" s="1"/>
  <c r="R27" i="34" s="1"/>
  <c r="R777" i="3"/>
  <c r="R73" i="34" s="1"/>
  <c r="O57" i="34"/>
  <c r="P58" i="34"/>
  <c r="R734" i="3"/>
  <c r="R30" i="34" s="1"/>
  <c r="O58" i="34"/>
  <c r="P12" i="34"/>
  <c r="O73" i="34"/>
  <c r="O30" i="34"/>
  <c r="P743" i="3"/>
  <c r="P39" i="34" s="1"/>
  <c r="O41" i="34"/>
  <c r="P765" i="3"/>
  <c r="R765" i="3" s="1"/>
  <c r="R61" i="34" s="1"/>
  <c r="O9" i="34"/>
  <c r="O37" i="34"/>
  <c r="O55" i="34"/>
  <c r="O63" i="34"/>
  <c r="P86" i="34"/>
  <c r="P769" i="3"/>
  <c r="R769" i="3" s="1"/>
  <c r="R65" i="34" s="1"/>
  <c r="P798" i="3"/>
  <c r="P94" i="34" s="1"/>
  <c r="P717" i="3"/>
  <c r="R717" i="3" s="1"/>
  <c r="R13" i="34" s="1"/>
  <c r="P805" i="3"/>
  <c r="R805" i="3" s="1"/>
  <c r="R101" i="34" s="1"/>
  <c r="P774" i="3"/>
  <c r="P70" i="34" s="1"/>
  <c r="R755" i="3"/>
  <c r="R51" i="34" s="1"/>
  <c r="P97" i="34"/>
  <c r="R763" i="3"/>
  <c r="R59" i="34" s="1"/>
  <c r="O51" i="34"/>
  <c r="P750" i="3"/>
  <c r="R750" i="3" s="1"/>
  <c r="R46" i="34" s="1"/>
  <c r="P55" i="34"/>
  <c r="P783" i="3"/>
  <c r="P79" i="34" s="1"/>
  <c r="P718" i="3"/>
  <c r="P14" i="34" s="1"/>
  <c r="P710" i="3"/>
  <c r="R710" i="3" s="1"/>
  <c r="R6" i="34" s="1"/>
  <c r="P728" i="3"/>
  <c r="P24" i="34" s="1"/>
  <c r="R747" i="3"/>
  <c r="R43" i="34" s="1"/>
  <c r="O28" i="34"/>
  <c r="P17" i="34"/>
  <c r="P800" i="3"/>
  <c r="P96" i="34" s="1"/>
  <c r="P802" i="3"/>
  <c r="R802" i="3" s="1"/>
  <c r="R98" i="34" s="1"/>
  <c r="P22" i="34"/>
  <c r="P52" i="34"/>
  <c r="P723" i="3"/>
  <c r="R723" i="3" s="1"/>
  <c r="R19" i="34" s="1"/>
  <c r="P753" i="3"/>
  <c r="R753" i="3" s="1"/>
  <c r="R49" i="34" s="1"/>
  <c r="R764" i="3"/>
  <c r="R60" i="34" s="1"/>
  <c r="P781" i="3"/>
  <c r="P77" i="34" s="1"/>
  <c r="R713" i="3"/>
  <c r="R9" i="34" s="1"/>
  <c r="P738" i="3"/>
  <c r="P34" i="34" s="1"/>
  <c r="O88" i="34"/>
  <c r="P740" i="3"/>
  <c r="R740" i="3" s="1"/>
  <c r="R36" i="34" s="1"/>
  <c r="R792" i="3"/>
  <c r="R88" i="34" s="1"/>
  <c r="P803" i="3"/>
  <c r="R803" i="3" s="1"/>
  <c r="R99" i="34" s="1"/>
  <c r="P744" i="3"/>
  <c r="P40" i="34" s="1"/>
  <c r="P804" i="3"/>
  <c r="P100" i="34" s="1"/>
  <c r="O85" i="34"/>
  <c r="P760" i="3"/>
  <c r="R760" i="3" s="1"/>
  <c r="R56" i="34" s="1"/>
  <c r="R767" i="3"/>
  <c r="R63" i="34" s="1"/>
  <c r="O17" i="34"/>
  <c r="O76" i="34"/>
  <c r="R789" i="3"/>
  <c r="R85" i="34" s="1"/>
  <c r="P787" i="3"/>
  <c r="R787" i="3" s="1"/>
  <c r="R83" i="34" s="1"/>
  <c r="O86" i="34"/>
  <c r="O87" i="34"/>
  <c r="P807" i="3"/>
  <c r="R807" i="3" s="1"/>
  <c r="R103" i="34" s="1"/>
  <c r="O8" i="34"/>
  <c r="R749" i="3"/>
  <c r="R45" i="34" s="1"/>
  <c r="O43" i="34"/>
  <c r="R761" i="3"/>
  <c r="R57" i="34" s="1"/>
  <c r="O53" i="34"/>
  <c r="O84" i="34"/>
  <c r="O52" i="34"/>
  <c r="R712" i="3"/>
  <c r="R8" i="34" s="1"/>
  <c r="P102" i="34"/>
  <c r="P776" i="3"/>
  <c r="P72" i="34" s="1"/>
  <c r="O20" i="34"/>
  <c r="R757" i="3"/>
  <c r="R53" i="34" s="1"/>
  <c r="P54" i="34"/>
  <c r="R786" i="3"/>
  <c r="R82" i="34" s="1"/>
  <c r="O102" i="34"/>
  <c r="O93" i="34"/>
  <c r="O97" i="34"/>
  <c r="P730" i="3"/>
  <c r="P26" i="34" s="1"/>
  <c r="P20" i="34"/>
  <c r="O82" i="34"/>
  <c r="O59" i="34"/>
  <c r="O54" i="34"/>
  <c r="P725" i="3"/>
  <c r="R725" i="3" s="1"/>
  <c r="R21" i="34" s="1"/>
  <c r="P736" i="3"/>
  <c r="R736" i="3" s="1"/>
  <c r="R32" i="34" s="1"/>
  <c r="R714" i="3"/>
  <c r="R10" i="34" s="1"/>
  <c r="R754" i="3"/>
  <c r="R50" i="34" s="1"/>
  <c r="P67" i="34"/>
  <c r="P768" i="3"/>
  <c r="R768" i="3" s="1"/>
  <c r="R64" i="34" s="1"/>
  <c r="R766" i="3"/>
  <c r="R62" i="34" s="1"/>
  <c r="O808" i="3"/>
  <c r="O104" i="34" s="1"/>
  <c r="O50" i="34"/>
  <c r="O62" i="34"/>
  <c r="P722" i="3"/>
  <c r="P18" i="34" s="1"/>
  <c r="P715" i="3"/>
  <c r="P11" i="34" s="1"/>
  <c r="O60" i="34"/>
  <c r="O10" i="34"/>
  <c r="O67" i="34"/>
  <c r="C556" i="3"/>
  <c r="A1065" i="5"/>
  <c r="C1065" i="5" s="1" a="1"/>
  <c r="C1065" i="5" s="1"/>
  <c r="A1017" i="5"/>
  <c r="C1017" i="5" s="1" a="1"/>
  <c r="C1017" i="5" s="1"/>
  <c r="A1048" i="5"/>
  <c r="E1048" i="5" s="1"/>
  <c r="A1059" i="5"/>
  <c r="G1059" i="5" s="1"/>
  <c r="A1028" i="5"/>
  <c r="C1028" i="5" s="1" a="1"/>
  <c r="C1028" i="5" s="1"/>
  <c r="A1045" i="5"/>
  <c r="F1045" i="5" s="1"/>
  <c r="A1055" i="5"/>
  <c r="G1055" i="5" s="1"/>
  <c r="A1016" i="5"/>
  <c r="A1049" i="5"/>
  <c r="D1049" i="5" s="1"/>
  <c r="A1018" i="5"/>
  <c r="A1039" i="5"/>
  <c r="F1039" i="5" s="1"/>
  <c r="A1019" i="5"/>
  <c r="D1019" i="5" s="1"/>
  <c r="A1075" i="5"/>
  <c r="C1075" i="5" s="1" a="1"/>
  <c r="C1075" i="5" s="1"/>
  <c r="A1024" i="5"/>
  <c r="D1024" i="5" s="1"/>
  <c r="A1043" i="5"/>
  <c r="F1043" i="5" s="1"/>
  <c r="A1034" i="5"/>
  <c r="C1034" i="5" s="1" a="1"/>
  <c r="C1034" i="5" s="1"/>
  <c r="A1050" i="5"/>
  <c r="D1050" i="5" s="1"/>
  <c r="A1057" i="5"/>
  <c r="C1057" i="5" s="1" a="1"/>
  <c r="C1057" i="5" s="1"/>
  <c r="A1029" i="5"/>
  <c r="D1029" i="5" s="1"/>
  <c r="A1035" i="5"/>
  <c r="F1035" i="5" s="1"/>
  <c r="A1031" i="5"/>
  <c r="C1031" i="5" s="1" a="1"/>
  <c r="C1031" i="5" s="1"/>
  <c r="A1042" i="5"/>
  <c r="G1042" i="5" s="1"/>
  <c r="A1051" i="5"/>
  <c r="C1051" i="5" s="1" a="1"/>
  <c r="C1051" i="5" s="1"/>
  <c r="A1027" i="5"/>
  <c r="C1027" i="5" s="1" a="1"/>
  <c r="C1027" i="5" s="1"/>
  <c r="A1020" i="5"/>
  <c r="A1052" i="5"/>
  <c r="E1052" i="5" s="1"/>
  <c r="A1021" i="5"/>
  <c r="A1058" i="5"/>
  <c r="C1058" i="5" s="1" a="1"/>
  <c r="C1058" i="5" s="1"/>
  <c r="A1046" i="5"/>
  <c r="F1046" i="5" s="1"/>
  <c r="A1022" i="5"/>
  <c r="D1022" i="5" s="1"/>
  <c r="A1040" i="5"/>
  <c r="F1040" i="5" s="1"/>
  <c r="C1033" i="5" a="1"/>
  <c r="C1033" i="5" s="1"/>
  <c r="G1033" i="5"/>
  <c r="D1033" i="5"/>
  <c r="E1033" i="5"/>
  <c r="F1033" i="5"/>
  <c r="A1067" i="5"/>
  <c r="A1071" i="5"/>
  <c r="A1066" i="5"/>
  <c r="A1036" i="5"/>
  <c r="A1064" i="5"/>
  <c r="A1032" i="5"/>
  <c r="A1038" i="5"/>
  <c r="A1056" i="5"/>
  <c r="A1025" i="5"/>
  <c r="A1041" i="5"/>
  <c r="A1074" i="5"/>
  <c r="A1060" i="5"/>
  <c r="A1069" i="5"/>
  <c r="A1044" i="5"/>
  <c r="A1053" i="5"/>
  <c r="A1068" i="5"/>
  <c r="A1073" i="5"/>
  <c r="A1047" i="5"/>
  <c r="A1062" i="5"/>
  <c r="A1023" i="5"/>
  <c r="A1063" i="5"/>
  <c r="A1030" i="5"/>
  <c r="A1061" i="5"/>
  <c r="A1026" i="5"/>
  <c r="A1072" i="5"/>
  <c r="A1037" i="5"/>
  <c r="A1054" i="5"/>
  <c r="A1070" i="5"/>
  <c r="B1787" i="44"/>
  <c r="B1788" i="44" s="1"/>
  <c r="R398" i="3"/>
  <c r="R399" i="3" s="1"/>
  <c r="Q395" i="3" s="1"/>
  <c r="D396" i="3" s="1"/>
  <c r="B394" i="3"/>
  <c r="C127" i="24" s="1"/>
  <c r="C112" i="5"/>
  <c r="D513" i="44"/>
  <c r="B517" i="44"/>
  <c r="D517" i="44" s="1"/>
  <c r="D515" i="44"/>
  <c r="D512" i="44"/>
  <c r="D1770" i="44"/>
  <c r="B1771" i="44"/>
  <c r="B2665" i="44"/>
  <c r="D2664" i="44"/>
  <c r="D2279" i="44"/>
  <c r="B2280" i="44"/>
  <c r="B2921" i="44"/>
  <c r="D2920" i="44"/>
  <c r="C202" i="5"/>
  <c r="D3016" i="44"/>
  <c r="B3017" i="44"/>
  <c r="A1213" i="5"/>
  <c r="B1214" i="5"/>
  <c r="D1212" i="5"/>
  <c r="O1212" i="5"/>
  <c r="S1212" i="5"/>
  <c r="P1212" i="5"/>
  <c r="K1212" i="5"/>
  <c r="L1212" i="5"/>
  <c r="T1212" i="5"/>
  <c r="E1212" i="5"/>
  <c r="H1212" i="5"/>
  <c r="G1212" i="5"/>
  <c r="J1212" i="5"/>
  <c r="C1212" i="5"/>
  <c r="Q1212" i="5"/>
  <c r="N1212" i="5"/>
  <c r="M1212" i="5"/>
  <c r="R1212" i="5"/>
  <c r="F1212" i="5"/>
  <c r="I1212" i="5"/>
  <c r="E94" i="32"/>
  <c r="E119" i="24"/>
  <c r="D1719" i="44"/>
  <c r="B1720" i="44"/>
  <c r="L32" i="32"/>
  <c r="C23" i="32"/>
  <c r="D23" i="32" s="1"/>
  <c r="E23" i="32" s="1"/>
  <c r="F23" i="32" s="1"/>
  <c r="G23" i="32" s="1"/>
  <c r="B2632" i="44"/>
  <c r="D2631" i="44"/>
  <c r="D2042" i="44"/>
  <c r="B2043" i="44"/>
  <c r="D3128" i="44"/>
  <c r="B3129" i="44"/>
  <c r="B3034" i="44"/>
  <c r="D3033" i="44"/>
  <c r="D3159" i="44"/>
  <c r="B3160" i="44"/>
  <c r="B1801" i="44"/>
  <c r="D1800" i="44"/>
  <c r="D2775" i="44"/>
  <c r="B2776" i="44"/>
  <c r="D2616" i="44"/>
  <c r="B2617" i="44"/>
  <c r="B3096" i="44"/>
  <c r="D3095" i="44"/>
  <c r="B1976" i="44"/>
  <c r="D1975" i="44"/>
  <c r="D2571" i="44"/>
  <c r="B2572" i="44"/>
  <c r="B2296" i="44"/>
  <c r="D2295" i="44"/>
  <c r="B2105" i="44"/>
  <c r="D2104" i="44"/>
  <c r="D2232" i="44"/>
  <c r="B2233" i="44"/>
  <c r="D1944" i="44"/>
  <c r="B1945" i="44"/>
  <c r="D2825" i="44"/>
  <c r="B2826" i="44"/>
  <c r="D1868" i="44"/>
  <c r="B1869" i="44"/>
  <c r="B1609" i="44"/>
  <c r="D1608" i="44"/>
  <c r="D2889" i="44"/>
  <c r="B2890" i="44"/>
  <c r="B1737" i="44"/>
  <c r="D1736" i="44"/>
  <c r="B1929" i="44"/>
  <c r="D1928" i="44"/>
  <c r="D2984" i="44"/>
  <c r="B2985" i="44"/>
  <c r="D2249" i="44"/>
  <c r="B2250" i="44"/>
  <c r="B2713" i="44"/>
  <c r="D2712" i="44"/>
  <c r="B2489" i="44"/>
  <c r="D2488" i="44"/>
  <c r="D641" i="44"/>
  <c r="D644" i="44"/>
  <c r="D640" i="44"/>
  <c r="B645" i="44"/>
  <c r="D642" i="44"/>
  <c r="D643" i="44"/>
  <c r="D1657" i="44"/>
  <c r="B1658" i="44"/>
  <c r="D1962" i="44"/>
  <c r="B1963" i="44"/>
  <c r="D2795" i="44"/>
  <c r="B2796" i="44"/>
  <c r="B3064" i="44"/>
  <c r="D3063" i="44"/>
  <c r="D2746" i="44"/>
  <c r="B2747" i="44"/>
  <c r="D2970" i="44"/>
  <c r="B2971" i="44"/>
  <c r="D2999" i="44"/>
  <c r="B3000" i="44"/>
  <c r="B2088" i="44"/>
  <c r="D2087" i="44"/>
  <c r="B2520" i="44"/>
  <c r="D2519" i="44"/>
  <c r="D2055" i="44"/>
  <c r="B2056" i="44"/>
  <c r="B1758" i="44"/>
  <c r="D1758" i="44" s="1"/>
  <c r="D1757" i="44"/>
  <c r="D2393" i="44"/>
  <c r="B2394" i="44"/>
  <c r="D2201" i="44"/>
  <c r="B2202" i="44"/>
  <c r="B1678" i="44"/>
  <c r="D1678" i="44" s="1"/>
  <c r="D1677" i="44"/>
  <c r="D1880" i="44"/>
  <c r="B1881" i="44"/>
  <c r="D2136" i="44"/>
  <c r="B2137" i="44"/>
  <c r="B1992" i="44"/>
  <c r="D1991" i="44"/>
  <c r="B2956" i="44"/>
  <c r="D2955" i="44"/>
  <c r="B3115" i="44"/>
  <c r="D3114" i="44"/>
  <c r="D2903" i="44"/>
  <c r="B2904" i="44"/>
  <c r="B586" i="44"/>
  <c r="D584" i="44"/>
  <c r="D585" i="44"/>
  <c r="D2314" i="44"/>
  <c r="B2315" i="44"/>
  <c r="B2361" i="44"/>
  <c r="D2360" i="44"/>
  <c r="D2216" i="44"/>
  <c r="B2217" i="44"/>
  <c r="B1816" i="44"/>
  <c r="D1815" i="44"/>
  <c r="D2679" i="44"/>
  <c r="B2680" i="44"/>
  <c r="B2456" i="44"/>
  <c r="D2455" i="44"/>
  <c r="D2601" i="44"/>
  <c r="B2602" i="44"/>
  <c r="D2552" i="44"/>
  <c r="B2553" i="44"/>
  <c r="B2185" i="44"/>
  <c r="D2184" i="44"/>
  <c r="D1833" i="44"/>
  <c r="B1834" i="44"/>
  <c r="D1705" i="44"/>
  <c r="B1706" i="44"/>
  <c r="D3080" i="44"/>
  <c r="B3081" i="44"/>
  <c r="D2809" i="44"/>
  <c r="B2810" i="44"/>
  <c r="B2426" i="44"/>
  <c r="D2425" i="44"/>
  <c r="D2168" i="44"/>
  <c r="B2169" i="44"/>
  <c r="D3048" i="44"/>
  <c r="B3049" i="44"/>
  <c r="D2407" i="44"/>
  <c r="B2408" i="44"/>
  <c r="D2856" i="44"/>
  <c r="B2857" i="44"/>
  <c r="D2073" i="44"/>
  <c r="B2074" i="44"/>
  <c r="B2841" i="44"/>
  <c r="D2840" i="44"/>
  <c r="B2506" i="44"/>
  <c r="D2505" i="44"/>
  <c r="D1624" i="44"/>
  <c r="B1625" i="44"/>
  <c r="B2698" i="44"/>
  <c r="D2697" i="44"/>
  <c r="B2873" i="44"/>
  <c r="D2872" i="44"/>
  <c r="B1592" i="44"/>
  <c r="D1591" i="44"/>
  <c r="B2764" i="44"/>
  <c r="D2763" i="44"/>
  <c r="B2027" i="44"/>
  <c r="D2026" i="44"/>
  <c r="B2153" i="44"/>
  <c r="D2152" i="44"/>
  <c r="D1687" i="44"/>
  <c r="B1688" i="44"/>
  <c r="B2009" i="44"/>
  <c r="D2008" i="44"/>
  <c r="D2586" i="44"/>
  <c r="B2587" i="44"/>
  <c r="D2120" i="44"/>
  <c r="B2121" i="44"/>
  <c r="B2538" i="44"/>
  <c r="D2537" i="44"/>
  <c r="D1639" i="44"/>
  <c r="B1640" i="44"/>
  <c r="D2264" i="44"/>
  <c r="B2265" i="44"/>
  <c r="D362" i="44"/>
  <c r="B366" i="44"/>
  <c r="D365" i="44"/>
  <c r="D364" i="44"/>
  <c r="D361" i="44"/>
  <c r="D363" i="44"/>
  <c r="D1848" i="44"/>
  <c r="B1849" i="44"/>
  <c r="B2379" i="44"/>
  <c r="D2378" i="44"/>
  <c r="D2935" i="44"/>
  <c r="B2936" i="44"/>
  <c r="B2730" i="44"/>
  <c r="D2729" i="44"/>
  <c r="D818" i="44"/>
  <c r="B820" i="44"/>
  <c r="D819" i="44"/>
  <c r="B2347" i="44"/>
  <c r="D2346" i="44"/>
  <c r="B2648" i="44"/>
  <c r="D2647" i="44"/>
  <c r="B2331" i="44"/>
  <c r="D2330" i="44"/>
  <c r="D2474" i="44"/>
  <c r="B2475" i="44"/>
  <c r="D852" i="44"/>
  <c r="D854" i="44"/>
  <c r="B855" i="44"/>
  <c r="D853" i="44"/>
  <c r="D3145" i="44"/>
  <c r="B3146" i="44"/>
  <c r="D1915" i="44"/>
  <c r="B1916" i="44"/>
  <c r="D444" i="44"/>
  <c r="D446" i="44"/>
  <c r="D447" i="44"/>
  <c r="B449" i="44"/>
  <c r="D445" i="44"/>
  <c r="D448" i="44"/>
  <c r="B2444" i="44"/>
  <c r="D2443" i="44"/>
  <c r="D1898" i="44"/>
  <c r="B1899" i="44"/>
  <c r="H13" i="32"/>
  <c r="H15" i="32" s="1"/>
  <c r="H17" i="32" s="1"/>
  <c r="I11" i="32"/>
  <c r="G113" i="24"/>
  <c r="G380" i="3"/>
  <c r="G88" i="32"/>
  <c r="F112" i="24"/>
  <c r="F87" i="32"/>
  <c r="F379" i="3"/>
  <c r="E381" i="3"/>
  <c r="E386" i="3" s="1"/>
  <c r="C388" i="3"/>
  <c r="D93" i="32"/>
  <c r="D118" i="24"/>
  <c r="B427" i="3"/>
  <c r="B430" i="3" s="1"/>
  <c r="B431" i="3"/>
  <c r="E184" i="24" s="1"/>
  <c r="E429" i="3"/>
  <c r="E428" i="3"/>
  <c r="D180" i="24"/>
  <c r="F33" i="32"/>
  <c r="F36" i="32" s="1"/>
  <c r="F37" i="32" s="1"/>
  <c r="G30" i="32"/>
  <c r="C121" i="24"/>
  <c r="C95" i="32"/>
  <c r="D385" i="3"/>
  <c r="E114" i="24"/>
  <c r="E89" i="32"/>
  <c r="I30" i="52" l="1"/>
  <c r="I80" i="52" s="1"/>
  <c r="I33" i="52"/>
  <c r="I95" i="52" s="1"/>
  <c r="I29" i="52"/>
  <c r="I75" i="52" s="1"/>
  <c r="I62" i="52"/>
  <c r="I34" i="52"/>
  <c r="I100" i="52" s="1"/>
  <c r="I32" i="52"/>
  <c r="I90" i="52" s="1"/>
  <c r="I31" i="52"/>
  <c r="I85" i="52" s="1"/>
  <c r="H46" i="52"/>
  <c r="I94" i="52"/>
  <c r="I96" i="52" s="1"/>
  <c r="J28" i="52"/>
  <c r="J29" i="52" s="1"/>
  <c r="J52" i="52"/>
  <c r="J55" i="52" s="1"/>
  <c r="J58" i="52"/>
  <c r="J60" i="52" s="1"/>
  <c r="P13" i="52"/>
  <c r="O15" i="52"/>
  <c r="O16" i="52" s="1"/>
  <c r="I69" i="52"/>
  <c r="I71" i="52" s="1"/>
  <c r="H41" i="52"/>
  <c r="H100" i="52"/>
  <c r="H101" i="52" s="1"/>
  <c r="H45" i="52"/>
  <c r="I89" i="52"/>
  <c r="I84" i="52"/>
  <c r="H44" i="52"/>
  <c r="I79" i="52"/>
  <c r="I81" i="52" s="1"/>
  <c r="H43" i="52"/>
  <c r="I74" i="52"/>
  <c r="I76" i="52" s="1"/>
  <c r="H42" i="52"/>
  <c r="K22" i="52"/>
  <c r="K50" i="52"/>
  <c r="K23" i="52"/>
  <c r="M17" i="52"/>
  <c r="L18" i="52"/>
  <c r="H35" i="52"/>
  <c r="D25" i="53" s="1"/>
  <c r="R770" i="3"/>
  <c r="R66" i="34" s="1"/>
  <c r="P90" i="34"/>
  <c r="R720" i="3"/>
  <c r="R16" i="34" s="1"/>
  <c r="R785" i="3"/>
  <c r="R81" i="34" s="1"/>
  <c r="P5" i="34"/>
  <c r="R752" i="3"/>
  <c r="R48" i="34" s="1"/>
  <c r="P71" i="34"/>
  <c r="R711" i="3"/>
  <c r="R7" i="34" s="1"/>
  <c r="P15" i="34"/>
  <c r="R743" i="3"/>
  <c r="R39" i="34" s="1"/>
  <c r="R772" i="3"/>
  <c r="R68" i="34" s="1"/>
  <c r="P92" i="34"/>
  <c r="R739" i="3"/>
  <c r="R35" i="34" s="1"/>
  <c r="R733" i="3"/>
  <c r="R29" i="34" s="1"/>
  <c r="P69" i="34"/>
  <c r="R746" i="3"/>
  <c r="R42" i="34" s="1"/>
  <c r="P74" i="34"/>
  <c r="R748" i="3"/>
  <c r="R44" i="34" s="1"/>
  <c r="R751" i="3"/>
  <c r="R47" i="34" s="1"/>
  <c r="P13" i="34"/>
  <c r="R774" i="3"/>
  <c r="R70" i="34" s="1"/>
  <c r="R798" i="3"/>
  <c r="R94" i="34" s="1"/>
  <c r="P101" i="34"/>
  <c r="P19" i="34"/>
  <c r="P27" i="34"/>
  <c r="R804" i="3"/>
  <c r="R100" i="34" s="1"/>
  <c r="R744" i="3"/>
  <c r="R40" i="34" s="1"/>
  <c r="R728" i="3"/>
  <c r="R24" i="34" s="1"/>
  <c r="R800" i="3"/>
  <c r="R96" i="34" s="1"/>
  <c r="P61" i="34"/>
  <c r="P56" i="34"/>
  <c r="P6" i="34"/>
  <c r="P21" i="34"/>
  <c r="P65" i="34"/>
  <c r="P46" i="34"/>
  <c r="R783" i="3"/>
  <c r="R79" i="34" s="1"/>
  <c r="R718" i="3"/>
  <c r="R14" i="34" s="1"/>
  <c r="P98" i="34"/>
  <c r="R781" i="3"/>
  <c r="R77" i="34" s="1"/>
  <c r="R722" i="3"/>
  <c r="R18" i="34" s="1"/>
  <c r="P49" i="34"/>
  <c r="R776" i="3"/>
  <c r="R72" i="34" s="1"/>
  <c r="R738" i="3"/>
  <c r="R34" i="34" s="1"/>
  <c r="P64" i="34"/>
  <c r="P36" i="34"/>
  <c r="P83" i="34"/>
  <c r="P99" i="34"/>
  <c r="P103" i="34"/>
  <c r="P32" i="34"/>
  <c r="R730" i="3"/>
  <c r="R26" i="34" s="1"/>
  <c r="C810" i="3"/>
  <c r="P808" i="3"/>
  <c r="W780" i="3" s="1"/>
  <c r="W76" i="34" s="1"/>
  <c r="R715" i="3"/>
  <c r="R11" i="34" s="1"/>
  <c r="D1065" i="5"/>
  <c r="G1065" i="5"/>
  <c r="C1050" i="5" a="1"/>
  <c r="C1050" i="5" s="1"/>
  <c r="D1016" i="5"/>
  <c r="C1016" i="5" a="1"/>
  <c r="C1016" i="5" s="1"/>
  <c r="C1048" i="5" a="1"/>
  <c r="C1048" i="5" s="1"/>
  <c r="F1050" i="5"/>
  <c r="C1049" i="5" a="1"/>
  <c r="C1049" i="5" s="1"/>
  <c r="D1057" i="5"/>
  <c r="C1052" i="5" a="1"/>
  <c r="C1052" i="5" s="1"/>
  <c r="E1051" i="5"/>
  <c r="E1055" i="5"/>
  <c r="G1028" i="5"/>
  <c r="D1055" i="5"/>
  <c r="C1059" i="5" a="1"/>
  <c r="C1059" i="5" s="1"/>
  <c r="E1035" i="5"/>
  <c r="E1059" i="5"/>
  <c r="D1058" i="5"/>
  <c r="E1065" i="5"/>
  <c r="F1057" i="5"/>
  <c r="F1065" i="5"/>
  <c r="G1050" i="5"/>
  <c r="E1050" i="5"/>
  <c r="G1049" i="5"/>
  <c r="C1042" i="5" a="1"/>
  <c r="C1042" i="5" s="1"/>
  <c r="C1024" i="5" a="1"/>
  <c r="C1024" i="5" s="1"/>
  <c r="F1024" i="5"/>
  <c r="D1052" i="5"/>
  <c r="E1042" i="5"/>
  <c r="F1048" i="5"/>
  <c r="D1048" i="5"/>
  <c r="G1048" i="5"/>
  <c r="F1055" i="5"/>
  <c r="C1055" i="5" a="1"/>
  <c r="C1055" i="5" s="1"/>
  <c r="F1059" i="5"/>
  <c r="D1059" i="5"/>
  <c r="E1034" i="5"/>
  <c r="D1034" i="5"/>
  <c r="E1022" i="5"/>
  <c r="E1024" i="5"/>
  <c r="D1042" i="5"/>
  <c r="F1034" i="5"/>
  <c r="F1022" i="5"/>
  <c r="G1024" i="5"/>
  <c r="G1034" i="5"/>
  <c r="C1022" i="5" a="1"/>
  <c r="C1022" i="5" s="1"/>
  <c r="G1022" i="5"/>
  <c r="E1027" i="5"/>
  <c r="F1042" i="5"/>
  <c r="C1045" i="5" a="1"/>
  <c r="C1045" i="5" s="1"/>
  <c r="E1040" i="5"/>
  <c r="D1051" i="5"/>
  <c r="D1040" i="5"/>
  <c r="F1051" i="5"/>
  <c r="G1040" i="5"/>
  <c r="G1051" i="5"/>
  <c r="C1040" i="5" a="1"/>
  <c r="C1040" i="5" s="1"/>
  <c r="C1043" i="5" a="1"/>
  <c r="C1043" i="5" s="1"/>
  <c r="F1017" i="5"/>
  <c r="E1017" i="5"/>
  <c r="F1019" i="5"/>
  <c r="F1027" i="5"/>
  <c r="G1052" i="5"/>
  <c r="F1049" i="5"/>
  <c r="D1039" i="5"/>
  <c r="F1052" i="5"/>
  <c r="E1049" i="5"/>
  <c r="G1039" i="5"/>
  <c r="E1029" i="5"/>
  <c r="G1045" i="5"/>
  <c r="D1027" i="5"/>
  <c r="E1039" i="5"/>
  <c r="C1029" i="5" a="1"/>
  <c r="C1029" i="5" s="1"/>
  <c r="D1045" i="5"/>
  <c r="G1027" i="5"/>
  <c r="C1039" i="5" a="1"/>
  <c r="C1039" i="5" s="1"/>
  <c r="E1057" i="5"/>
  <c r="E1028" i="5"/>
  <c r="F1029" i="5"/>
  <c r="G1057" i="5"/>
  <c r="D1028" i="5"/>
  <c r="G1029" i="5"/>
  <c r="E1045" i="5"/>
  <c r="F1028" i="5"/>
  <c r="F1016" i="5"/>
  <c r="G1016" i="5"/>
  <c r="E1016" i="5"/>
  <c r="D1017" i="5"/>
  <c r="G1017" i="5"/>
  <c r="D1035" i="5"/>
  <c r="G1035" i="5"/>
  <c r="G1075" i="5"/>
  <c r="C1035" i="5" a="1"/>
  <c r="C1035" i="5" s="1"/>
  <c r="F1075" i="5"/>
  <c r="D1075" i="5"/>
  <c r="E1075" i="5"/>
  <c r="C1046" i="5" a="1"/>
  <c r="C1046" i="5" s="1"/>
  <c r="E1046" i="5"/>
  <c r="G1043" i="5"/>
  <c r="D1043" i="5"/>
  <c r="D1046" i="5"/>
  <c r="F1018" i="5"/>
  <c r="D1018" i="5"/>
  <c r="E1018" i="5"/>
  <c r="C1018" i="5" a="1"/>
  <c r="C1018" i="5" s="1"/>
  <c r="G1018" i="5"/>
  <c r="E1043" i="5"/>
  <c r="G1046" i="5"/>
  <c r="E1019" i="5"/>
  <c r="G1019" i="5"/>
  <c r="C1019" i="5" a="1"/>
  <c r="C1019" i="5" s="1"/>
  <c r="E1058" i="5"/>
  <c r="G1058" i="5"/>
  <c r="G1031" i="5"/>
  <c r="F1058" i="5"/>
  <c r="F1031" i="5"/>
  <c r="F1020" i="5"/>
  <c r="G1020" i="5"/>
  <c r="D1020" i="5"/>
  <c r="E1020" i="5"/>
  <c r="C1020" i="5" a="1"/>
  <c r="C1020" i="5" s="1"/>
  <c r="D1031" i="5"/>
  <c r="E1031" i="5"/>
  <c r="C1021" i="5" a="1"/>
  <c r="C1021" i="5" s="1"/>
  <c r="E1021" i="5"/>
  <c r="F1021" i="5"/>
  <c r="G1021" i="5"/>
  <c r="D1021" i="5"/>
  <c r="F1061" i="5"/>
  <c r="E1061" i="5"/>
  <c r="G1061" i="5"/>
  <c r="D1061" i="5"/>
  <c r="C1061" i="5" a="1"/>
  <c r="C1061" i="5" s="1"/>
  <c r="G1044" i="5"/>
  <c r="E1044" i="5"/>
  <c r="F1044" i="5"/>
  <c r="C1044" i="5" a="1"/>
  <c r="C1044" i="5" s="1"/>
  <c r="D1044" i="5"/>
  <c r="C1038" i="5" a="1"/>
  <c r="C1038" i="5" s="1"/>
  <c r="G1038" i="5"/>
  <c r="F1038" i="5"/>
  <c r="D1038" i="5"/>
  <c r="E1038" i="5"/>
  <c r="C1030" i="5" a="1"/>
  <c r="C1030" i="5" s="1"/>
  <c r="D1030" i="5"/>
  <c r="G1030" i="5"/>
  <c r="E1030" i="5"/>
  <c r="F1030" i="5"/>
  <c r="C1062" i="5" a="1"/>
  <c r="C1062" i="5" s="1"/>
  <c r="G1062" i="5"/>
  <c r="F1062" i="5"/>
  <c r="E1062" i="5"/>
  <c r="D1062" i="5"/>
  <c r="C1069" i="5" a="1"/>
  <c r="C1069" i="5" s="1"/>
  <c r="D1069" i="5"/>
  <c r="F1069" i="5"/>
  <c r="E1069" i="5"/>
  <c r="G1069" i="5"/>
  <c r="C1032" i="5" a="1"/>
  <c r="C1032" i="5" s="1"/>
  <c r="F1032" i="5"/>
  <c r="G1032" i="5"/>
  <c r="D1032" i="5"/>
  <c r="E1032" i="5"/>
  <c r="C1070" i="5" a="1"/>
  <c r="C1070" i="5" s="1"/>
  <c r="E1070" i="5"/>
  <c r="F1070" i="5"/>
  <c r="G1070" i="5"/>
  <c r="D1070" i="5"/>
  <c r="C1063" i="5" a="1"/>
  <c r="C1063" i="5" s="1"/>
  <c r="D1063" i="5"/>
  <c r="G1063" i="5"/>
  <c r="F1063" i="5"/>
  <c r="E1063" i="5"/>
  <c r="C1047" i="5" a="1"/>
  <c r="C1047" i="5" s="1"/>
  <c r="D1047" i="5"/>
  <c r="G1047" i="5"/>
  <c r="F1047" i="5"/>
  <c r="E1047" i="5"/>
  <c r="C1060" i="5" a="1"/>
  <c r="C1060" i="5" s="1"/>
  <c r="F1060" i="5"/>
  <c r="D1060" i="5"/>
  <c r="G1060" i="5"/>
  <c r="E1060" i="5"/>
  <c r="C1064" i="5" a="1"/>
  <c r="C1064" i="5" s="1"/>
  <c r="D1064" i="5"/>
  <c r="E1064" i="5"/>
  <c r="F1064" i="5"/>
  <c r="G1064" i="5"/>
  <c r="C1054" i="5" a="1"/>
  <c r="C1054" i="5" s="1"/>
  <c r="D1054" i="5"/>
  <c r="E1054" i="5"/>
  <c r="G1054" i="5"/>
  <c r="F1054" i="5"/>
  <c r="C1023" i="5" a="1"/>
  <c r="C1023" i="5" s="1"/>
  <c r="D1023" i="5"/>
  <c r="G1023" i="5"/>
  <c r="F1023" i="5"/>
  <c r="E1023" i="5"/>
  <c r="C1073" i="5" a="1"/>
  <c r="C1073" i="5" s="1"/>
  <c r="E1073" i="5"/>
  <c r="F1073" i="5"/>
  <c r="G1073" i="5"/>
  <c r="D1073" i="5"/>
  <c r="C1036" i="5" a="1"/>
  <c r="C1036" i="5" s="1"/>
  <c r="G1036" i="5"/>
  <c r="E1036" i="5"/>
  <c r="F1036" i="5"/>
  <c r="D1036" i="5"/>
  <c r="C1066" i="5" a="1"/>
  <c r="C1066" i="5" s="1"/>
  <c r="E1066" i="5"/>
  <c r="G1066" i="5"/>
  <c r="D1066" i="5"/>
  <c r="F1066" i="5"/>
  <c r="C1037" i="5" a="1"/>
  <c r="C1037" i="5" s="1"/>
  <c r="E1037" i="5"/>
  <c r="G1037" i="5"/>
  <c r="D1037" i="5"/>
  <c r="F1037" i="5"/>
  <c r="F1068" i="5"/>
  <c r="E1068" i="5"/>
  <c r="D1068" i="5"/>
  <c r="G1068" i="5"/>
  <c r="C1068" i="5" a="1"/>
  <c r="C1068" i="5" s="1"/>
  <c r="C1071" i="5" a="1"/>
  <c r="C1071" i="5" s="1"/>
  <c r="E1071" i="5"/>
  <c r="F1071" i="5"/>
  <c r="D1071" i="5"/>
  <c r="G1071" i="5"/>
  <c r="C1067" i="5" a="1"/>
  <c r="C1067" i="5" s="1"/>
  <c r="G1067" i="5"/>
  <c r="D1067" i="5"/>
  <c r="E1067" i="5"/>
  <c r="F1067" i="5"/>
  <c r="C1074" i="5" a="1"/>
  <c r="C1074" i="5" s="1"/>
  <c r="F1074" i="5"/>
  <c r="D1074" i="5"/>
  <c r="E1074" i="5"/>
  <c r="G1074" i="5"/>
  <c r="E1072" i="5"/>
  <c r="F1072" i="5"/>
  <c r="G1072" i="5"/>
  <c r="C1072" i="5" a="1"/>
  <c r="C1072" i="5" s="1"/>
  <c r="D1072" i="5"/>
  <c r="C1041" i="5" a="1"/>
  <c r="C1041" i="5" s="1"/>
  <c r="F1041" i="5"/>
  <c r="D1041" i="5"/>
  <c r="G1041" i="5"/>
  <c r="E1041" i="5"/>
  <c r="C1026" i="5" a="1"/>
  <c r="C1026" i="5" s="1"/>
  <c r="E1026" i="5"/>
  <c r="G1026" i="5"/>
  <c r="D1026" i="5"/>
  <c r="F1026" i="5"/>
  <c r="E1053" i="5"/>
  <c r="D1053" i="5"/>
  <c r="C1053" i="5" a="1"/>
  <c r="C1053" i="5" s="1"/>
  <c r="G1053" i="5"/>
  <c r="F1053" i="5"/>
  <c r="F1025" i="5"/>
  <c r="D1025" i="5"/>
  <c r="E1025" i="5"/>
  <c r="G1025" i="5"/>
  <c r="C1025" i="5" a="1"/>
  <c r="C1025" i="5" s="1"/>
  <c r="C1056" i="5" a="1"/>
  <c r="C1056" i="5" s="1"/>
  <c r="D1056" i="5"/>
  <c r="E1056" i="5"/>
  <c r="F1056" i="5"/>
  <c r="G1056" i="5"/>
  <c r="D1787" i="44"/>
  <c r="C101" i="32"/>
  <c r="C13" i="5"/>
  <c r="C394" i="3"/>
  <c r="C127" i="5"/>
  <c r="D121" i="24"/>
  <c r="C113" i="5"/>
  <c r="D518" i="44"/>
  <c r="D519" i="44"/>
  <c r="D521" i="44"/>
  <c r="D520" i="44"/>
  <c r="B522" i="44"/>
  <c r="D523" i="44" s="1"/>
  <c r="B1772" i="44"/>
  <c r="D1771" i="44"/>
  <c r="B2666" i="44"/>
  <c r="D2665" i="44"/>
  <c r="D2280" i="44"/>
  <c r="B2281" i="44"/>
  <c r="D2921" i="44"/>
  <c r="B2922" i="44"/>
  <c r="F50" i="24"/>
  <c r="F75" i="32"/>
  <c r="G94" i="25"/>
  <c r="D3017" i="44"/>
  <c r="B3018" i="44"/>
  <c r="A1214" i="5"/>
  <c r="B1215" i="5"/>
  <c r="R1213" i="5"/>
  <c r="D1213" i="5"/>
  <c r="H1213" i="5"/>
  <c r="F1213" i="5"/>
  <c r="G1213" i="5"/>
  <c r="C1213" i="5"/>
  <c r="S1213" i="5"/>
  <c r="J1213" i="5"/>
  <c r="P1213" i="5"/>
  <c r="E1213" i="5"/>
  <c r="N1213" i="5"/>
  <c r="O1213" i="5"/>
  <c r="K1213" i="5"/>
  <c r="I1213" i="5"/>
  <c r="T1213" i="5"/>
  <c r="L1213" i="5"/>
  <c r="M1213" i="5"/>
  <c r="Q1213" i="5"/>
  <c r="F119" i="24"/>
  <c r="F94" i="32"/>
  <c r="B1721" i="44"/>
  <c r="D1720" i="44"/>
  <c r="D80" i="24"/>
  <c r="B2633" i="44"/>
  <c r="D2632" i="44"/>
  <c r="D2043" i="44"/>
  <c r="B2044" i="44"/>
  <c r="D3129" i="44"/>
  <c r="B3130" i="44"/>
  <c r="B3035" i="44"/>
  <c r="D3034" i="44"/>
  <c r="B2234" i="44"/>
  <c r="D2233" i="44"/>
  <c r="B2573" i="44"/>
  <c r="D2572" i="44"/>
  <c r="B2618" i="44"/>
  <c r="D2617" i="44"/>
  <c r="D2776" i="44"/>
  <c r="B2777" i="44"/>
  <c r="D3160" i="44"/>
  <c r="B3161" i="44"/>
  <c r="B2106" i="44"/>
  <c r="D2105" i="44"/>
  <c r="D2296" i="44"/>
  <c r="B2297" i="44"/>
  <c r="D1976" i="44"/>
  <c r="B1977" i="44"/>
  <c r="D3096" i="44"/>
  <c r="B3097" i="44"/>
  <c r="D1801" i="44"/>
  <c r="B1802" i="44"/>
  <c r="B1946" i="44"/>
  <c r="D1945" i="44"/>
  <c r="B1870" i="44"/>
  <c r="D1870" i="44" s="1"/>
  <c r="D1869" i="44"/>
  <c r="D2826" i="44"/>
  <c r="B2827" i="44"/>
  <c r="D2890" i="44"/>
  <c r="B2891" i="44"/>
  <c r="D1609" i="44"/>
  <c r="B1610" i="44"/>
  <c r="D2713" i="44"/>
  <c r="B2714" i="44"/>
  <c r="D1929" i="44"/>
  <c r="B1930" i="44"/>
  <c r="B1738" i="44"/>
  <c r="D1737" i="44"/>
  <c r="B2251" i="44"/>
  <c r="D2250" i="44"/>
  <c r="D2985" i="44"/>
  <c r="B2986" i="44"/>
  <c r="B2395" i="44"/>
  <c r="D2394" i="44"/>
  <c r="D2056" i="44"/>
  <c r="B2057" i="44"/>
  <c r="D3000" i="44"/>
  <c r="B3001" i="44"/>
  <c r="D2971" i="44"/>
  <c r="B2972" i="44"/>
  <c r="D2747" i="44"/>
  <c r="B2748" i="44"/>
  <c r="B2797" i="44"/>
  <c r="D2796" i="44"/>
  <c r="B1964" i="44"/>
  <c r="D1963" i="44"/>
  <c r="B1659" i="44"/>
  <c r="D1658" i="44"/>
  <c r="D649" i="44"/>
  <c r="D646" i="44"/>
  <c r="B650" i="44"/>
  <c r="D645" i="44"/>
  <c r="D648" i="44"/>
  <c r="D647" i="44"/>
  <c r="B2521" i="44"/>
  <c r="D2520" i="44"/>
  <c r="B2089" i="44"/>
  <c r="D2088" i="44"/>
  <c r="D3064" i="44"/>
  <c r="B3065" i="44"/>
  <c r="B2490" i="44"/>
  <c r="D2489" i="44"/>
  <c r="D2202" i="44"/>
  <c r="B2203" i="44"/>
  <c r="B1789" i="44"/>
  <c r="D1788" i="44"/>
  <c r="D2730" i="44"/>
  <c r="B2731" i="44"/>
  <c r="B2380" i="44"/>
  <c r="D2379" i="44"/>
  <c r="D2538" i="44"/>
  <c r="B2539" i="44"/>
  <c r="D2009" i="44"/>
  <c r="B2010" i="44"/>
  <c r="B2154" i="44"/>
  <c r="D2153" i="44"/>
  <c r="B2028" i="44"/>
  <c r="D2027" i="44"/>
  <c r="B2765" i="44"/>
  <c r="D2764" i="44"/>
  <c r="D1592" i="44"/>
  <c r="B1593" i="44"/>
  <c r="D2873" i="44"/>
  <c r="B2874" i="44"/>
  <c r="D2698" i="44"/>
  <c r="B2699" i="44"/>
  <c r="B2507" i="44"/>
  <c r="D2506" i="44"/>
  <c r="B2842" i="44"/>
  <c r="D2841" i="44"/>
  <c r="D2426" i="44"/>
  <c r="B2427" i="44"/>
  <c r="D2185" i="44"/>
  <c r="B2186" i="44"/>
  <c r="B2457" i="44"/>
  <c r="D2456" i="44"/>
  <c r="D1816" i="44"/>
  <c r="B1817" i="44"/>
  <c r="D2361" i="44"/>
  <c r="B2362" i="44"/>
  <c r="D2904" i="44"/>
  <c r="B2905" i="44"/>
  <c r="D2137" i="44"/>
  <c r="B2138" i="44"/>
  <c r="B1882" i="44"/>
  <c r="D1881" i="44"/>
  <c r="B2649" i="44"/>
  <c r="D2648" i="44"/>
  <c r="B2348" i="44"/>
  <c r="D2347" i="44"/>
  <c r="D821" i="44"/>
  <c r="D820" i="44"/>
  <c r="B822" i="44"/>
  <c r="D2936" i="44"/>
  <c r="B2937" i="44"/>
  <c r="B1850" i="44"/>
  <c r="D1849" i="44"/>
  <c r="D370" i="44"/>
  <c r="D366" i="44"/>
  <c r="D367" i="44"/>
  <c r="D369" i="44"/>
  <c r="D368" i="44"/>
  <c r="B371" i="44"/>
  <c r="B2266" i="44"/>
  <c r="D2265" i="44"/>
  <c r="B1641" i="44"/>
  <c r="D1640" i="44"/>
  <c r="D2121" i="44"/>
  <c r="B2122" i="44"/>
  <c r="B2588" i="44"/>
  <c r="D2587" i="44"/>
  <c r="B1689" i="44"/>
  <c r="D1688" i="44"/>
  <c r="B1626" i="44"/>
  <c r="D1625" i="44"/>
  <c r="B2075" i="44"/>
  <c r="D2074" i="44"/>
  <c r="D2857" i="44"/>
  <c r="B2858" i="44"/>
  <c r="B2409" i="44"/>
  <c r="D2408" i="44"/>
  <c r="B3050" i="44"/>
  <c r="D3049" i="44"/>
  <c r="B2170" i="44"/>
  <c r="D2169" i="44"/>
  <c r="D2810" i="44"/>
  <c r="B2811" i="44"/>
  <c r="D3081" i="44"/>
  <c r="B3082" i="44"/>
  <c r="D1706" i="44"/>
  <c r="B1707" i="44"/>
  <c r="B1835" i="44"/>
  <c r="D1834" i="44"/>
  <c r="D2553" i="44"/>
  <c r="B2554" i="44"/>
  <c r="D2602" i="44"/>
  <c r="B2603" i="44"/>
  <c r="D2680" i="44"/>
  <c r="B2681" i="44"/>
  <c r="B2218" i="44"/>
  <c r="D2217" i="44"/>
  <c r="D2315" i="44"/>
  <c r="B2316" i="44"/>
  <c r="D586" i="44"/>
  <c r="D587" i="44"/>
  <c r="B588" i="44"/>
  <c r="D3115" i="44"/>
  <c r="B3116" i="44"/>
  <c r="D2956" i="44"/>
  <c r="B2957" i="44"/>
  <c r="B1993" i="44"/>
  <c r="D1992" i="44"/>
  <c r="D1899" i="44"/>
  <c r="B1900" i="44"/>
  <c r="D453" i="44"/>
  <c r="B454" i="44"/>
  <c r="D450" i="44"/>
  <c r="D451" i="44"/>
  <c r="D449" i="44"/>
  <c r="D452" i="44"/>
  <c r="B1917" i="44"/>
  <c r="D1916" i="44"/>
  <c r="D3146" i="44"/>
  <c r="B3147" i="44"/>
  <c r="B2476" i="44"/>
  <c r="D2475" i="44"/>
  <c r="D2444" i="44"/>
  <c r="B2445" i="44"/>
  <c r="D855" i="44"/>
  <c r="D857" i="44"/>
  <c r="D856" i="44"/>
  <c r="B2332" i="44"/>
  <c r="D2331" i="44"/>
  <c r="K52" i="32"/>
  <c r="D95" i="32"/>
  <c r="D388" i="3"/>
  <c r="E118" i="24"/>
  <c r="E93" i="32"/>
  <c r="E183" i="24"/>
  <c r="F428" i="3"/>
  <c r="G428" i="3" s="1"/>
  <c r="F183" i="24" s="1"/>
  <c r="H30" i="32"/>
  <c r="G33" i="32"/>
  <c r="G36" i="32" s="1"/>
  <c r="G37" i="32" s="1"/>
  <c r="E182" i="24"/>
  <c r="F429" i="3"/>
  <c r="G429" i="3" s="1"/>
  <c r="F182" i="24" s="1"/>
  <c r="F114" i="24"/>
  <c r="E385" i="3"/>
  <c r="F89" i="32"/>
  <c r="J11" i="32"/>
  <c r="I13" i="32"/>
  <c r="I15" i="32" s="1"/>
  <c r="I17" i="32" s="1"/>
  <c r="G112" i="24"/>
  <c r="G87" i="32"/>
  <c r="F381" i="3"/>
  <c r="F386" i="3" s="1"/>
  <c r="G379" i="3"/>
  <c r="H88" i="32"/>
  <c r="H380" i="3"/>
  <c r="H113" i="24"/>
  <c r="I35" i="52" l="1"/>
  <c r="E25" i="53" s="1"/>
  <c r="I86" i="52"/>
  <c r="I91" i="52"/>
  <c r="J31" i="52"/>
  <c r="J85" i="52" s="1"/>
  <c r="J33" i="52"/>
  <c r="J95" i="52" s="1"/>
  <c r="J34" i="52"/>
  <c r="J100" i="52" s="1"/>
  <c r="J32" i="52"/>
  <c r="J90" i="52" s="1"/>
  <c r="J30" i="52"/>
  <c r="J80" i="52" s="1"/>
  <c r="J75" i="52"/>
  <c r="N17" i="52"/>
  <c r="M18" i="52"/>
  <c r="J69" i="52"/>
  <c r="I41" i="52"/>
  <c r="K28" i="52"/>
  <c r="K34" i="52" s="1"/>
  <c r="Q13" i="52"/>
  <c r="P15" i="52"/>
  <c r="P16" i="52" s="1"/>
  <c r="J74" i="52"/>
  <c r="J76" i="52" s="1"/>
  <c r="I42" i="52"/>
  <c r="J62" i="52"/>
  <c r="K52" i="52"/>
  <c r="K55" i="52" s="1"/>
  <c r="K58" i="52"/>
  <c r="K60" i="52" s="1"/>
  <c r="J79" i="52"/>
  <c r="I43" i="52"/>
  <c r="J84" i="52"/>
  <c r="I44" i="52"/>
  <c r="J89" i="52"/>
  <c r="I45" i="52"/>
  <c r="D26" i="53"/>
  <c r="D29" i="53"/>
  <c r="J70" i="52"/>
  <c r="I99" i="52"/>
  <c r="I101" i="52" s="1"/>
  <c r="H47" i="52"/>
  <c r="H48" i="52" s="1"/>
  <c r="H64" i="52" s="1"/>
  <c r="J94" i="52"/>
  <c r="J96" i="52" s="1"/>
  <c r="I46" i="52"/>
  <c r="L23" i="52"/>
  <c r="L22" i="52"/>
  <c r="L50" i="52"/>
  <c r="P104" i="34"/>
  <c r="W783" i="3"/>
  <c r="W79" i="34" s="1"/>
  <c r="W803" i="3"/>
  <c r="W99" i="34" s="1"/>
  <c r="W710" i="3"/>
  <c r="W6" i="34" s="1"/>
  <c r="W744" i="3"/>
  <c r="W40" i="34" s="1"/>
  <c r="W797" i="3"/>
  <c r="W93" i="34" s="1"/>
  <c r="W800" i="3"/>
  <c r="W96" i="34" s="1"/>
  <c r="W735" i="3"/>
  <c r="W31" i="34" s="1"/>
  <c r="W760" i="3"/>
  <c r="W56" i="34" s="1"/>
  <c r="W751" i="3"/>
  <c r="W47" i="34" s="1"/>
  <c r="W804" i="3"/>
  <c r="W100" i="34" s="1"/>
  <c r="W738" i="3"/>
  <c r="W34" i="34" s="1"/>
  <c r="W723" i="3"/>
  <c r="W19" i="34" s="1"/>
  <c r="W726" i="3"/>
  <c r="W22" i="34" s="1"/>
  <c r="W766" i="3"/>
  <c r="W62" i="34" s="1"/>
  <c r="W785" i="3"/>
  <c r="W81" i="34" s="1"/>
  <c r="W806" i="3"/>
  <c r="W102" i="34" s="1"/>
  <c r="W752" i="3"/>
  <c r="W48" i="34" s="1"/>
  <c r="W759" i="3"/>
  <c r="W55" i="34" s="1"/>
  <c r="W782" i="3"/>
  <c r="W78" i="34" s="1"/>
  <c r="W730" i="3"/>
  <c r="W26" i="34" s="1"/>
  <c r="W765" i="3"/>
  <c r="W61" i="34" s="1"/>
  <c r="W715" i="3"/>
  <c r="W11" i="34" s="1"/>
  <c r="W799" i="3"/>
  <c r="W95" i="34" s="1"/>
  <c r="W787" i="3"/>
  <c r="W83" i="34" s="1"/>
  <c r="W779" i="3"/>
  <c r="W75" i="34" s="1"/>
  <c r="W716" i="3"/>
  <c r="W12" i="34" s="1"/>
  <c r="W768" i="3"/>
  <c r="W64" i="34" s="1"/>
  <c r="W732" i="3"/>
  <c r="W28" i="34" s="1"/>
  <c r="W747" i="3"/>
  <c r="W43" i="34" s="1"/>
  <c r="W734" i="3"/>
  <c r="W30" i="34" s="1"/>
  <c r="W712" i="3"/>
  <c r="W8" i="34" s="1"/>
  <c r="W798" i="3"/>
  <c r="W94" i="34" s="1"/>
  <c r="W784" i="3"/>
  <c r="W80" i="34" s="1"/>
  <c r="W722" i="3"/>
  <c r="W18" i="34" s="1"/>
  <c r="C811" i="3"/>
  <c r="W741" i="3"/>
  <c r="W37" i="34" s="1"/>
  <c r="W788" i="3"/>
  <c r="W84" i="34" s="1"/>
  <c r="W724" i="3"/>
  <c r="W20" i="34" s="1"/>
  <c r="W755" i="3"/>
  <c r="W51" i="34" s="1"/>
  <c r="W791" i="3"/>
  <c r="W87" i="34" s="1"/>
  <c r="W772" i="3"/>
  <c r="W68" i="34" s="1"/>
  <c r="W777" i="3"/>
  <c r="W73" i="34" s="1"/>
  <c r="W807" i="3"/>
  <c r="W103" i="34" s="1"/>
  <c r="W717" i="3"/>
  <c r="W13" i="34" s="1"/>
  <c r="W733" i="3"/>
  <c r="W29" i="34" s="1"/>
  <c r="W719" i="3"/>
  <c r="W15" i="34" s="1"/>
  <c r="W750" i="3"/>
  <c r="W46" i="34" s="1"/>
  <c r="W721" i="3"/>
  <c r="W17" i="34" s="1"/>
  <c r="W802" i="3"/>
  <c r="W98" i="34" s="1"/>
  <c r="W746" i="3"/>
  <c r="W42" i="34" s="1"/>
  <c r="W718" i="3"/>
  <c r="W14" i="34" s="1"/>
  <c r="W739" i="3"/>
  <c r="W35" i="34" s="1"/>
  <c r="W801" i="3"/>
  <c r="W97" i="34" s="1"/>
  <c r="W729" i="3"/>
  <c r="W25" i="34" s="1"/>
  <c r="W790" i="3"/>
  <c r="W86" i="34" s="1"/>
  <c r="W727" i="3"/>
  <c r="W23" i="34" s="1"/>
  <c r="W794" i="3"/>
  <c r="W90" i="34" s="1"/>
  <c r="W789" i="3"/>
  <c r="W85" i="34" s="1"/>
  <c r="W793" i="3"/>
  <c r="W89" i="34" s="1"/>
  <c r="W770" i="3"/>
  <c r="W66" i="34" s="1"/>
  <c r="W737" i="3"/>
  <c r="W33" i="34" s="1"/>
  <c r="W714" i="3"/>
  <c r="W10" i="34" s="1"/>
  <c r="W761" i="3"/>
  <c r="W57" i="34" s="1"/>
  <c r="W775" i="3"/>
  <c r="W71" i="34" s="1"/>
  <c r="W771" i="3"/>
  <c r="W67" i="34" s="1"/>
  <c r="W713" i="3"/>
  <c r="W9" i="34" s="1"/>
  <c r="W792" i="3"/>
  <c r="W88" i="34" s="1"/>
  <c r="W757" i="3"/>
  <c r="W53" i="34" s="1"/>
  <c r="R808" i="3"/>
  <c r="C812" i="3" s="1"/>
  <c r="W795" i="3"/>
  <c r="W91" i="34" s="1"/>
  <c r="W711" i="3"/>
  <c r="W7" i="34" s="1"/>
  <c r="W745" i="3"/>
  <c r="W41" i="34" s="1"/>
  <c r="W769" i="3"/>
  <c r="W65" i="34" s="1"/>
  <c r="W736" i="3"/>
  <c r="W32" i="34" s="1"/>
  <c r="W763" i="3"/>
  <c r="W59" i="34" s="1"/>
  <c r="W764" i="3"/>
  <c r="W60" i="34" s="1"/>
  <c r="W758" i="3"/>
  <c r="W54" i="34" s="1"/>
  <c r="W740" i="3"/>
  <c r="W36" i="34" s="1"/>
  <c r="W754" i="3"/>
  <c r="W50" i="34" s="1"/>
  <c r="W786" i="3"/>
  <c r="W82" i="34" s="1"/>
  <c r="W776" i="3"/>
  <c r="W72" i="34" s="1"/>
  <c r="W731" i="3"/>
  <c r="W27" i="34" s="1"/>
  <c r="W753" i="3"/>
  <c r="W49" i="34" s="1"/>
  <c r="W742" i="3"/>
  <c r="W38" i="34" s="1"/>
  <c r="W781" i="3"/>
  <c r="W77" i="34" s="1"/>
  <c r="W778" i="3"/>
  <c r="W74" i="34" s="1"/>
  <c r="W749" i="3"/>
  <c r="W45" i="34" s="1"/>
  <c r="W774" i="3"/>
  <c r="W70" i="34" s="1"/>
  <c r="W748" i="3"/>
  <c r="W44" i="34" s="1"/>
  <c r="W720" i="3"/>
  <c r="W16" i="34" s="1"/>
  <c r="W743" i="3"/>
  <c r="W39" i="34" s="1"/>
  <c r="W805" i="3"/>
  <c r="W101" i="34" s="1"/>
  <c r="W709" i="3"/>
  <c r="W5" i="34" s="1"/>
  <c r="W773" i="3"/>
  <c r="W69" i="34" s="1"/>
  <c r="W767" i="3"/>
  <c r="W63" i="34" s="1"/>
  <c r="W762" i="3"/>
  <c r="W58" i="34" s="1"/>
  <c r="W756" i="3"/>
  <c r="W52" i="34" s="1"/>
  <c r="W796" i="3"/>
  <c r="W92" i="34" s="1"/>
  <c r="W725" i="3"/>
  <c r="W21" i="34" s="1"/>
  <c r="W728" i="3"/>
  <c r="W24" i="34" s="1"/>
  <c r="D525" i="44"/>
  <c r="D522" i="44"/>
  <c r="D524" i="44"/>
  <c r="D526" i="44"/>
  <c r="B527" i="44"/>
  <c r="D529" i="44" s="1"/>
  <c r="D394" i="3"/>
  <c r="C27" i="5" s="1"/>
  <c r="C20" i="5"/>
  <c r="D101" i="32"/>
  <c r="D127" i="24"/>
  <c r="C114" i="5"/>
  <c r="C128" i="5"/>
  <c r="B1773" i="44"/>
  <c r="D1772" i="44"/>
  <c r="D2666" i="44"/>
  <c r="B2667" i="44"/>
  <c r="B2282" i="44"/>
  <c r="D2281" i="44"/>
  <c r="B2923" i="44"/>
  <c r="D2922" i="44"/>
  <c r="D3018" i="44"/>
  <c r="B3019" i="44"/>
  <c r="A1215" i="5"/>
  <c r="B1216" i="5"/>
  <c r="S1214" i="5"/>
  <c r="M1214" i="5"/>
  <c r="L1214" i="5"/>
  <c r="F1214" i="5"/>
  <c r="H1214" i="5"/>
  <c r="O1214" i="5"/>
  <c r="E1214" i="5"/>
  <c r="G1214" i="5"/>
  <c r="J1214" i="5"/>
  <c r="K1214" i="5"/>
  <c r="T1214" i="5"/>
  <c r="C1214" i="5"/>
  <c r="R1214" i="5"/>
  <c r="D1214" i="5"/>
  <c r="Q1214" i="5"/>
  <c r="N1214" i="5"/>
  <c r="P1214" i="5"/>
  <c r="I1214" i="5"/>
  <c r="G94" i="32"/>
  <c r="G119" i="24"/>
  <c r="D1721" i="44"/>
  <c r="B1722" i="44"/>
  <c r="D2633" i="44"/>
  <c r="B2634" i="44"/>
  <c r="D2044" i="44"/>
  <c r="B2045" i="44"/>
  <c r="B3131" i="44"/>
  <c r="D3130" i="44"/>
  <c r="B3036" i="44"/>
  <c r="D3035" i="44"/>
  <c r="D1802" i="44"/>
  <c r="B1803" i="44"/>
  <c r="B3098" i="44"/>
  <c r="D3097" i="44"/>
  <c r="B1978" i="44"/>
  <c r="D1977" i="44"/>
  <c r="D2297" i="44"/>
  <c r="B2298" i="44"/>
  <c r="B3162" i="44"/>
  <c r="D3161" i="44"/>
  <c r="D2777" i="44"/>
  <c r="B2778" i="44"/>
  <c r="D2106" i="44"/>
  <c r="B2107" i="44"/>
  <c r="B2619" i="44"/>
  <c r="D2618" i="44"/>
  <c r="B2574" i="44"/>
  <c r="D2574" i="44" s="1"/>
  <c r="D2573" i="44"/>
  <c r="B2235" i="44"/>
  <c r="D2234" i="44"/>
  <c r="B1947" i="44"/>
  <c r="D1946" i="44"/>
  <c r="D2827" i="44"/>
  <c r="B2828" i="44"/>
  <c r="D1610" i="44"/>
  <c r="B1611" i="44"/>
  <c r="D2891" i="44"/>
  <c r="B2892" i="44"/>
  <c r="D2251" i="44"/>
  <c r="B2252" i="44"/>
  <c r="D1738" i="44"/>
  <c r="B1739" i="44"/>
  <c r="B2987" i="44"/>
  <c r="D2986" i="44"/>
  <c r="D1930" i="44"/>
  <c r="B1931" i="44"/>
  <c r="B2715" i="44"/>
  <c r="D2714" i="44"/>
  <c r="D3065" i="44"/>
  <c r="B3066" i="44"/>
  <c r="D2748" i="44"/>
  <c r="B2749" i="44"/>
  <c r="D2972" i="44"/>
  <c r="B2973" i="44"/>
  <c r="B3002" i="44"/>
  <c r="D3001" i="44"/>
  <c r="B2058" i="44"/>
  <c r="D2057" i="44"/>
  <c r="D2490" i="44"/>
  <c r="B2491" i="44"/>
  <c r="D2089" i="44"/>
  <c r="B2090" i="44"/>
  <c r="D2521" i="44"/>
  <c r="B2522" i="44"/>
  <c r="B655" i="44"/>
  <c r="D654" i="44"/>
  <c r="D651" i="44"/>
  <c r="D650" i="44"/>
  <c r="D652" i="44"/>
  <c r="D653" i="44"/>
  <c r="B1660" i="44"/>
  <c r="D1659" i="44"/>
  <c r="B532" i="44"/>
  <c r="D530" i="44"/>
  <c r="D528" i="44"/>
  <c r="B1965" i="44"/>
  <c r="D1964" i="44"/>
  <c r="B2798" i="44"/>
  <c r="D2798" i="44" s="1"/>
  <c r="D2797" i="44"/>
  <c r="D2395" i="44"/>
  <c r="B2396" i="44"/>
  <c r="D2203" i="44"/>
  <c r="B2204" i="44"/>
  <c r="D1789" i="44"/>
  <c r="B1790" i="44"/>
  <c r="D1790" i="44" s="1"/>
  <c r="B2958" i="44"/>
  <c r="D2958" i="44" s="1"/>
  <c r="D2957" i="44"/>
  <c r="D3116" i="44"/>
  <c r="B3117" i="44"/>
  <c r="D588" i="44"/>
  <c r="D589" i="44"/>
  <c r="D590" i="44"/>
  <c r="B591" i="44"/>
  <c r="D2218" i="44"/>
  <c r="B2219" i="44"/>
  <c r="D1835" i="44"/>
  <c r="B1836" i="44"/>
  <c r="B2171" i="44"/>
  <c r="D2170" i="44"/>
  <c r="D3050" i="44"/>
  <c r="B3051" i="44"/>
  <c r="D2409" i="44"/>
  <c r="B2410" i="44"/>
  <c r="B2076" i="44"/>
  <c r="D2075" i="44"/>
  <c r="B1627" i="44"/>
  <c r="D1626" i="44"/>
  <c r="D1689" i="44"/>
  <c r="B1690" i="44"/>
  <c r="D2588" i="44"/>
  <c r="B2589" i="44"/>
  <c r="D1641" i="44"/>
  <c r="B1642" i="44"/>
  <c r="B2267" i="44"/>
  <c r="D2266" i="44"/>
  <c r="B1851" i="44"/>
  <c r="D1850" i="44"/>
  <c r="D2138" i="44"/>
  <c r="B2139" i="44"/>
  <c r="D2905" i="44"/>
  <c r="B2906" i="44"/>
  <c r="D2362" i="44"/>
  <c r="B2363" i="44"/>
  <c r="D1817" i="44"/>
  <c r="B1818" i="44"/>
  <c r="D2186" i="44"/>
  <c r="B2187" i="44"/>
  <c r="B2428" i="44"/>
  <c r="D2427" i="44"/>
  <c r="B2700" i="44"/>
  <c r="D2699" i="44"/>
  <c r="B2875" i="44"/>
  <c r="D2874" i="44"/>
  <c r="B1594" i="44"/>
  <c r="D1593" i="44"/>
  <c r="D2010" i="44"/>
  <c r="B2011" i="44"/>
  <c r="B2540" i="44"/>
  <c r="D2539" i="44"/>
  <c r="B2732" i="44"/>
  <c r="D2731" i="44"/>
  <c r="B1994" i="44"/>
  <c r="D1993" i="44"/>
  <c r="D2316" i="44"/>
  <c r="B2317" i="44"/>
  <c r="B2682" i="44"/>
  <c r="D2681" i="44"/>
  <c r="D2603" i="44"/>
  <c r="B2604" i="44"/>
  <c r="B2555" i="44"/>
  <c r="D2554" i="44"/>
  <c r="D1707" i="44"/>
  <c r="B1708" i="44"/>
  <c r="B3083" i="44"/>
  <c r="D3082" i="44"/>
  <c r="B2812" i="44"/>
  <c r="D2811" i="44"/>
  <c r="D2858" i="44"/>
  <c r="B2859" i="44"/>
  <c r="B2123" i="44"/>
  <c r="D2122" i="44"/>
  <c r="D371" i="44"/>
  <c r="B377" i="44"/>
  <c r="D376" i="44"/>
  <c r="D372" i="44"/>
  <c r="D375" i="44"/>
  <c r="D373" i="44"/>
  <c r="D374" i="44"/>
  <c r="B2938" i="44"/>
  <c r="D2937" i="44"/>
  <c r="D822" i="44"/>
  <c r="D823" i="44"/>
  <c r="B824" i="44"/>
  <c r="D2348" i="44"/>
  <c r="B2349" i="44"/>
  <c r="D2649" i="44"/>
  <c r="B2650" i="44"/>
  <c r="B1883" i="44"/>
  <c r="D1882" i="44"/>
  <c r="B2458" i="44"/>
  <c r="D2457" i="44"/>
  <c r="D2842" i="44"/>
  <c r="B2843" i="44"/>
  <c r="B2508" i="44"/>
  <c r="D2507" i="44"/>
  <c r="D2765" i="44"/>
  <c r="B2766" i="44"/>
  <c r="D2766" i="44" s="1"/>
  <c r="B2029" i="44"/>
  <c r="D2028" i="44"/>
  <c r="D2154" i="44"/>
  <c r="B2155" i="44"/>
  <c r="D2380" i="44"/>
  <c r="B2381" i="44"/>
  <c r="B2333" i="44"/>
  <c r="D2332" i="44"/>
  <c r="D2445" i="44"/>
  <c r="B2446" i="44"/>
  <c r="D2446" i="44" s="1"/>
  <c r="D1917" i="44"/>
  <c r="B1918" i="44"/>
  <c r="D1918" i="44" s="1"/>
  <c r="B2477" i="44"/>
  <c r="D2476" i="44"/>
  <c r="B3148" i="44"/>
  <c r="D3147" i="44"/>
  <c r="D458" i="44"/>
  <c r="D459" i="44"/>
  <c r="D456" i="44"/>
  <c r="D457" i="44"/>
  <c r="D455" i="44"/>
  <c r="D454" i="44"/>
  <c r="B460" i="44"/>
  <c r="B1901" i="44"/>
  <c r="D1900" i="44"/>
  <c r="H112" i="24"/>
  <c r="H379" i="3"/>
  <c r="H87" i="32"/>
  <c r="G381" i="3"/>
  <c r="G386" i="3" s="1"/>
  <c r="E388" i="3"/>
  <c r="F93" i="32"/>
  <c r="F118" i="24"/>
  <c r="E95" i="32"/>
  <c r="E121" i="24"/>
  <c r="B446" i="3"/>
  <c r="D185" i="24"/>
  <c r="C446" i="3"/>
  <c r="D446" i="3" s="1"/>
  <c r="G114" i="24"/>
  <c r="G89" i="32"/>
  <c r="F385" i="3"/>
  <c r="I113" i="24"/>
  <c r="I380" i="3"/>
  <c r="I88" i="32"/>
  <c r="K11" i="32"/>
  <c r="J13" i="32"/>
  <c r="J15" i="32" s="1"/>
  <c r="J17" i="32" s="1"/>
  <c r="I30" i="32"/>
  <c r="H33" i="32"/>
  <c r="H36" i="32" s="1"/>
  <c r="H37" i="32" s="1"/>
  <c r="E29" i="53" l="1"/>
  <c r="E26" i="53"/>
  <c r="J86" i="52"/>
  <c r="J35" i="52"/>
  <c r="F25" i="53" s="1"/>
  <c r="F29" i="53" s="1"/>
  <c r="K62" i="52"/>
  <c r="K31" i="52"/>
  <c r="K85" i="52" s="1"/>
  <c r="K33" i="52"/>
  <c r="K95" i="52" s="1"/>
  <c r="J91" i="52"/>
  <c r="J45" i="52" s="1"/>
  <c r="J81" i="52"/>
  <c r="K79" i="52" s="1"/>
  <c r="K32" i="52"/>
  <c r="K90" i="52" s="1"/>
  <c r="K29" i="52"/>
  <c r="K75" i="52" s="1"/>
  <c r="K100" i="52"/>
  <c r="J42" i="52"/>
  <c r="K74" i="52"/>
  <c r="K76" i="52" s="1"/>
  <c r="R13" i="52"/>
  <c r="Q15" i="52"/>
  <c r="Q16" i="52" s="1"/>
  <c r="D27" i="53"/>
  <c r="E27" i="53" s="1"/>
  <c r="K89" i="52"/>
  <c r="K91" i="52" s="1"/>
  <c r="L52" i="52"/>
  <c r="L55" i="52" s="1"/>
  <c r="L58" i="52"/>
  <c r="L60" i="52" s="1"/>
  <c r="L28" i="52"/>
  <c r="L34" i="52" s="1"/>
  <c r="K30" i="52"/>
  <c r="K70" i="52"/>
  <c r="K84" i="52"/>
  <c r="K86" i="52" s="1"/>
  <c r="J44" i="52"/>
  <c r="K94" i="52"/>
  <c r="J46" i="52"/>
  <c r="J71" i="52"/>
  <c r="M22" i="52"/>
  <c r="M23" i="52"/>
  <c r="M50" i="52"/>
  <c r="J99" i="52"/>
  <c r="J101" i="52" s="1"/>
  <c r="I47" i="52"/>
  <c r="I48" i="52" s="1"/>
  <c r="I64" i="52" s="1"/>
  <c r="O17" i="52"/>
  <c r="N18" i="52"/>
  <c r="R104" i="34"/>
  <c r="V810" i="3"/>
  <c r="C1090" i="5"/>
  <c r="W808" i="3"/>
  <c r="C1093" i="5" s="1"/>
  <c r="D531" i="44"/>
  <c r="D527" i="44"/>
  <c r="E127" i="24"/>
  <c r="E101" i="32"/>
  <c r="E394" i="3"/>
  <c r="C34" i="5" s="1"/>
  <c r="C115" i="5"/>
  <c r="C129" i="5"/>
  <c r="B1774" i="44"/>
  <c r="D1774" i="44" s="1"/>
  <c r="D1773" i="44"/>
  <c r="D2667" i="44"/>
  <c r="B2668" i="44"/>
  <c r="D2282" i="44"/>
  <c r="B2283" i="44"/>
  <c r="D2923" i="44"/>
  <c r="B2924" i="44"/>
  <c r="C448" i="3"/>
  <c r="G63" i="25"/>
  <c r="B3020" i="44"/>
  <c r="D3019" i="44"/>
  <c r="A1216" i="5"/>
  <c r="B1217" i="5"/>
  <c r="C1215" i="5"/>
  <c r="S1215" i="5"/>
  <c r="N1215" i="5"/>
  <c r="F1215" i="5"/>
  <c r="J1215" i="5"/>
  <c r="T1215" i="5"/>
  <c r="P1215" i="5"/>
  <c r="I1215" i="5"/>
  <c r="O1215" i="5"/>
  <c r="K1215" i="5"/>
  <c r="Q1215" i="5"/>
  <c r="L1215" i="5"/>
  <c r="D1215" i="5"/>
  <c r="G1215" i="5"/>
  <c r="R1215" i="5"/>
  <c r="H1215" i="5"/>
  <c r="E1215" i="5"/>
  <c r="M1215" i="5"/>
  <c r="H94" i="32"/>
  <c r="H119" i="24"/>
  <c r="D1722" i="44"/>
  <c r="B1723" i="44"/>
  <c r="B2635" i="44"/>
  <c r="D2634" i="44"/>
  <c r="B2046" i="44"/>
  <c r="D2046" i="44" s="1"/>
  <c r="D2045" i="44"/>
  <c r="B3132" i="44"/>
  <c r="D3131" i="44"/>
  <c r="B3037" i="44"/>
  <c r="D3036" i="44"/>
  <c r="B2108" i="44"/>
  <c r="D2107" i="44"/>
  <c r="B2779" i="44"/>
  <c r="D2778" i="44"/>
  <c r="B2299" i="44"/>
  <c r="D2298" i="44"/>
  <c r="B1804" i="44"/>
  <c r="D1803" i="44"/>
  <c r="D2235" i="44"/>
  <c r="B2236" i="44"/>
  <c r="D2619" i="44"/>
  <c r="B2620" i="44"/>
  <c r="B3163" i="44"/>
  <c r="D3162" i="44"/>
  <c r="B1979" i="44"/>
  <c r="D1978" i="44"/>
  <c r="B3099" i="44"/>
  <c r="D3098" i="44"/>
  <c r="D1947" i="44"/>
  <c r="B1948" i="44"/>
  <c r="D2828" i="44"/>
  <c r="B2829" i="44"/>
  <c r="B2893" i="44"/>
  <c r="D2892" i="44"/>
  <c r="D1611" i="44"/>
  <c r="B1612" i="44"/>
  <c r="D1931" i="44"/>
  <c r="B1932" i="44"/>
  <c r="B1740" i="44"/>
  <c r="D1739" i="44"/>
  <c r="B2253" i="44"/>
  <c r="D2252" i="44"/>
  <c r="B2716" i="44"/>
  <c r="D2715" i="44"/>
  <c r="B2988" i="44"/>
  <c r="D2987" i="44"/>
  <c r="D2396" i="44"/>
  <c r="B2397" i="44"/>
  <c r="B2523" i="44"/>
  <c r="D2522" i="44"/>
  <c r="B2091" i="44"/>
  <c r="D2090" i="44"/>
  <c r="B2492" i="44"/>
  <c r="D2491" i="44"/>
  <c r="D2973" i="44"/>
  <c r="B2974" i="44"/>
  <c r="D2974" i="44" s="1"/>
  <c r="B2750" i="44"/>
  <c r="D2750" i="44" s="1"/>
  <c r="D2749" i="44"/>
  <c r="D3066" i="44"/>
  <c r="B3067" i="44"/>
  <c r="B1966" i="44"/>
  <c r="D1966" i="44" s="1"/>
  <c r="D1965" i="44"/>
  <c r="D532" i="44"/>
  <c r="D536" i="44"/>
  <c r="B537" i="44"/>
  <c r="B542" i="44" s="1"/>
  <c r="D535" i="44"/>
  <c r="D533" i="44"/>
  <c r="D534" i="44"/>
  <c r="D1660" i="44"/>
  <c r="B1661" i="44"/>
  <c r="D657" i="44"/>
  <c r="D656" i="44"/>
  <c r="D659" i="44"/>
  <c r="D658" i="44"/>
  <c r="D655" i="44"/>
  <c r="B660" i="44"/>
  <c r="B2059" i="44"/>
  <c r="D2058" i="44"/>
  <c r="D3002" i="44"/>
  <c r="B3003" i="44"/>
  <c r="D2204" i="44"/>
  <c r="B2205" i="44"/>
  <c r="B2382" i="44"/>
  <c r="D2382" i="44" s="1"/>
  <c r="D2381" i="44"/>
  <c r="D2155" i="44"/>
  <c r="B2156" i="44"/>
  <c r="D2843" i="44"/>
  <c r="B2844" i="44"/>
  <c r="B2651" i="44"/>
  <c r="D2650" i="44"/>
  <c r="D2349" i="44"/>
  <c r="B2350" i="44"/>
  <c r="D2350" i="44" s="1"/>
  <c r="B827" i="44"/>
  <c r="D826" i="44"/>
  <c r="D824" i="44"/>
  <c r="D825" i="44"/>
  <c r="B2939" i="44"/>
  <c r="D2938" i="44"/>
  <c r="D381" i="44"/>
  <c r="D378" i="44"/>
  <c r="D377" i="44"/>
  <c r="D380" i="44"/>
  <c r="D379" i="44"/>
  <c r="D382" i="44"/>
  <c r="B383" i="44"/>
  <c r="D2859" i="44"/>
  <c r="B2860" i="44"/>
  <c r="D1708" i="44"/>
  <c r="B1709" i="44"/>
  <c r="D2604" i="44"/>
  <c r="B2605" i="44"/>
  <c r="B2318" i="44"/>
  <c r="D2318" i="44" s="1"/>
  <c r="D2317" i="44"/>
  <c r="D2011" i="44"/>
  <c r="B2012" i="44"/>
  <c r="D2187" i="44"/>
  <c r="B2188" i="44"/>
  <c r="B1819" i="44"/>
  <c r="D1818" i="44"/>
  <c r="B2364" i="44"/>
  <c r="D2363" i="44"/>
  <c r="B2907" i="44"/>
  <c r="D2906" i="44"/>
  <c r="D2139" i="44"/>
  <c r="B2140" i="44"/>
  <c r="B1643" i="44"/>
  <c r="D1642" i="44"/>
  <c r="D2589" i="44"/>
  <c r="B2590" i="44"/>
  <c r="D2590" i="44" s="1"/>
  <c r="D1690" i="44"/>
  <c r="B1691" i="44"/>
  <c r="B2411" i="44"/>
  <c r="D2410" i="44"/>
  <c r="B3052" i="44"/>
  <c r="D3051" i="44"/>
  <c r="D1836" i="44"/>
  <c r="B1837" i="44"/>
  <c r="B2220" i="44"/>
  <c r="D2219" i="44"/>
  <c r="D593" i="44"/>
  <c r="B594" i="44"/>
  <c r="D591" i="44"/>
  <c r="D592" i="44"/>
  <c r="B3118" i="44"/>
  <c r="D3118" i="44" s="1"/>
  <c r="D3117" i="44"/>
  <c r="B2030" i="44"/>
  <c r="D2030" i="44" s="1"/>
  <c r="D2029" i="44"/>
  <c r="D2508" i="44"/>
  <c r="B2509" i="44"/>
  <c r="D2458" i="44"/>
  <c r="B2459" i="44"/>
  <c r="D1883" i="44"/>
  <c r="B1884" i="44"/>
  <c r="D2123" i="44"/>
  <c r="B2124" i="44"/>
  <c r="D2812" i="44"/>
  <c r="B2813" i="44"/>
  <c r="B3084" i="44"/>
  <c r="D3083" i="44"/>
  <c r="D2555" i="44"/>
  <c r="B2556" i="44"/>
  <c r="B2683" i="44"/>
  <c r="D2682" i="44"/>
  <c r="D1994" i="44"/>
  <c r="B1995" i="44"/>
  <c r="B2733" i="44"/>
  <c r="D2732" i="44"/>
  <c r="B2541" i="44"/>
  <c r="D2540" i="44"/>
  <c r="D1594" i="44"/>
  <c r="B1595" i="44"/>
  <c r="D2875" i="44"/>
  <c r="B2876" i="44"/>
  <c r="B2701" i="44"/>
  <c r="D2700" i="44"/>
  <c r="B2429" i="44"/>
  <c r="D2428" i="44"/>
  <c r="D1851" i="44"/>
  <c r="B1852" i="44"/>
  <c r="D2267" i="44"/>
  <c r="B2268" i="44"/>
  <c r="D1627" i="44"/>
  <c r="B1628" i="44"/>
  <c r="B2077" i="44"/>
  <c r="D2076" i="44"/>
  <c r="D2171" i="44"/>
  <c r="B2172" i="44"/>
  <c r="B1902" i="44"/>
  <c r="D1902" i="44" s="1"/>
  <c r="D1901" i="44"/>
  <c r="D460" i="44"/>
  <c r="D461" i="44"/>
  <c r="D464" i="44"/>
  <c r="D463" i="44"/>
  <c r="D465" i="44"/>
  <c r="D462" i="44"/>
  <c r="B466" i="44"/>
  <c r="B3149" i="44"/>
  <c r="D3148" i="44"/>
  <c r="D2477" i="44"/>
  <c r="B2478" i="44"/>
  <c r="D2478" i="44" s="1"/>
  <c r="B2334" i="44"/>
  <c r="D2334" i="44" s="1"/>
  <c r="D2333" i="44"/>
  <c r="G118" i="24"/>
  <c r="F388" i="3"/>
  <c r="G93" i="32"/>
  <c r="J30" i="32"/>
  <c r="I33" i="32"/>
  <c r="I36" i="32" s="1"/>
  <c r="I37" i="32" s="1"/>
  <c r="J88" i="32"/>
  <c r="J380" i="3"/>
  <c r="J113" i="24"/>
  <c r="I87" i="32"/>
  <c r="H381" i="3"/>
  <c r="H386" i="3" s="1"/>
  <c r="I112" i="24"/>
  <c r="I379" i="3"/>
  <c r="B448" i="3"/>
  <c r="B569" i="3" s="1"/>
  <c r="C569" i="3" s="1"/>
  <c r="F63" i="25"/>
  <c r="F95" i="32"/>
  <c r="F121" i="24"/>
  <c r="K13" i="32"/>
  <c r="K15" i="32" s="1"/>
  <c r="K17" i="32" s="1"/>
  <c r="L11" i="32"/>
  <c r="H114" i="24"/>
  <c r="H89" i="32"/>
  <c r="G385" i="3"/>
  <c r="C545" i="44"/>
  <c r="C542" i="44"/>
  <c r="C546" i="44"/>
  <c r="C543" i="44"/>
  <c r="C544" i="44"/>
  <c r="K96" i="52" l="1"/>
  <c r="F26" i="53"/>
  <c r="J43" i="52"/>
  <c r="K35" i="52"/>
  <c r="G25" i="53" s="1"/>
  <c r="G29" i="53" s="1"/>
  <c r="L29" i="52"/>
  <c r="L75" i="52" s="1"/>
  <c r="L100" i="52"/>
  <c r="K99" i="52"/>
  <c r="K101" i="52" s="1"/>
  <c r="J47" i="52"/>
  <c r="L30" i="52"/>
  <c r="L80" i="52" s="1"/>
  <c r="M28" i="52"/>
  <c r="M34" i="52" s="1"/>
  <c r="M52" i="52"/>
  <c r="M55" i="52" s="1"/>
  <c r="M58" i="52"/>
  <c r="M60" i="52" s="1"/>
  <c r="L70" i="52"/>
  <c r="L62" i="52"/>
  <c r="J41" i="52"/>
  <c r="K69" i="52"/>
  <c r="K71" i="52" s="1"/>
  <c r="L89" i="52"/>
  <c r="K45" i="52"/>
  <c r="L94" i="52"/>
  <c r="K46" i="52"/>
  <c r="F27" i="53"/>
  <c r="K44" i="52"/>
  <c r="L84" i="52"/>
  <c r="S13" i="52"/>
  <c r="R15" i="52"/>
  <c r="R16" i="52" s="1"/>
  <c r="K80" i="52"/>
  <c r="K81" i="52" s="1"/>
  <c r="L74" i="52"/>
  <c r="K42" i="52"/>
  <c r="N23" i="52"/>
  <c r="N22" i="52"/>
  <c r="N50" i="52"/>
  <c r="L31" i="52"/>
  <c r="P17" i="52"/>
  <c r="O18" i="52"/>
  <c r="L33" i="52"/>
  <c r="L32" i="52"/>
  <c r="B571" i="3"/>
  <c r="C571" i="3" s="1"/>
  <c r="D448" i="3"/>
  <c r="D545" i="44"/>
  <c r="F545" i="44" s="1"/>
  <c r="D544" i="44"/>
  <c r="F544" i="44" s="1"/>
  <c r="D546" i="44"/>
  <c r="F546" i="44" s="1"/>
  <c r="D543" i="44"/>
  <c r="F543" i="44" s="1"/>
  <c r="B547" i="44"/>
  <c r="D542" i="44"/>
  <c r="F542" i="44" s="1"/>
  <c r="F127" i="24"/>
  <c r="F101" i="32"/>
  <c r="F394" i="3"/>
  <c r="C41" i="5" s="1"/>
  <c r="C116" i="5"/>
  <c r="C130" i="5"/>
  <c r="B2669" i="44"/>
  <c r="D2668" i="44"/>
  <c r="B2284" i="44"/>
  <c r="D2283" i="44"/>
  <c r="D2924" i="44"/>
  <c r="B2925" i="44"/>
  <c r="D3020" i="44"/>
  <c r="B3021" i="44"/>
  <c r="A1217" i="5"/>
  <c r="B1218" i="5"/>
  <c r="N1216" i="5"/>
  <c r="D1216" i="5"/>
  <c r="R1216" i="5"/>
  <c r="O1216" i="5"/>
  <c r="K1216" i="5"/>
  <c r="Q1216" i="5"/>
  <c r="C1216" i="5"/>
  <c r="M1216" i="5"/>
  <c r="L1216" i="5"/>
  <c r="J1216" i="5"/>
  <c r="P1216" i="5"/>
  <c r="S1216" i="5"/>
  <c r="H1216" i="5"/>
  <c r="I1216" i="5"/>
  <c r="G1216" i="5"/>
  <c r="T1216" i="5"/>
  <c r="F1216" i="5"/>
  <c r="E1216" i="5"/>
  <c r="I94" i="32"/>
  <c r="I119" i="24"/>
  <c r="B1724" i="44"/>
  <c r="D1723" i="44"/>
  <c r="D2635" i="44"/>
  <c r="B2636" i="44"/>
  <c r="D3132" i="44"/>
  <c r="B3133" i="44"/>
  <c r="D3037" i="44"/>
  <c r="B3038" i="44"/>
  <c r="D3038" i="44" s="1"/>
  <c r="B2621" i="44"/>
  <c r="D2620" i="44"/>
  <c r="B2237" i="44"/>
  <c r="D2236" i="44"/>
  <c r="D3099" i="44"/>
  <c r="B3100" i="44"/>
  <c r="B1980" i="44"/>
  <c r="D1979" i="44"/>
  <c r="D3163" i="44"/>
  <c r="B3164" i="44"/>
  <c r="D1804" i="44"/>
  <c r="B1805" i="44"/>
  <c r="B2300" i="44"/>
  <c r="D2299" i="44"/>
  <c r="D2779" i="44"/>
  <c r="B2780" i="44"/>
  <c r="D2108" i="44"/>
  <c r="B2109" i="44"/>
  <c r="D1948" i="44"/>
  <c r="B1949" i="44"/>
  <c r="B2830" i="44"/>
  <c r="D2830" i="44" s="1"/>
  <c r="D2829" i="44"/>
  <c r="B1613" i="44"/>
  <c r="D1612" i="44"/>
  <c r="B2894" i="44"/>
  <c r="D2894" i="44" s="1"/>
  <c r="D2893" i="44"/>
  <c r="B1933" i="44"/>
  <c r="D1932" i="44"/>
  <c r="B2989" i="44"/>
  <c r="D2988" i="44"/>
  <c r="D2716" i="44"/>
  <c r="B2717" i="44"/>
  <c r="B2254" i="44"/>
  <c r="D2254" i="44" s="1"/>
  <c r="D2253" i="44"/>
  <c r="D1740" i="44"/>
  <c r="B1741" i="44"/>
  <c r="B3004" i="44"/>
  <c r="D3003" i="44"/>
  <c r="D664" i="44"/>
  <c r="D665" i="44"/>
  <c r="D661" i="44"/>
  <c r="D663" i="44"/>
  <c r="D662" i="44"/>
  <c r="B666" i="44"/>
  <c r="D660" i="44"/>
  <c r="D1661" i="44"/>
  <c r="B1662" i="44"/>
  <c r="D1662" i="44" s="1"/>
  <c r="D3067" i="44"/>
  <c r="B3068" i="44"/>
  <c r="D2397" i="44"/>
  <c r="B2398" i="44"/>
  <c r="D2398" i="44" s="1"/>
  <c r="D2059" i="44"/>
  <c r="B2060" i="44"/>
  <c r="D538" i="44"/>
  <c r="D539" i="44"/>
  <c r="D537" i="44"/>
  <c r="D540" i="44"/>
  <c r="D541" i="44"/>
  <c r="D2492" i="44"/>
  <c r="B2493" i="44"/>
  <c r="D2091" i="44"/>
  <c r="B2092" i="44"/>
  <c r="B2524" i="44"/>
  <c r="D2523" i="44"/>
  <c r="B2206" i="44"/>
  <c r="D2206" i="44" s="1"/>
  <c r="D2205" i="44"/>
  <c r="B2078" i="44"/>
  <c r="D2078" i="44" s="1"/>
  <c r="D2077" i="44"/>
  <c r="B2430" i="44"/>
  <c r="D2430" i="44" s="1"/>
  <c r="D2429" i="44"/>
  <c r="B2702" i="44"/>
  <c r="D2702" i="44" s="1"/>
  <c r="D2701" i="44"/>
  <c r="B2542" i="44"/>
  <c r="D2542" i="44" s="1"/>
  <c r="D2541" i="44"/>
  <c r="B2734" i="44"/>
  <c r="D2734" i="44" s="1"/>
  <c r="D2733" i="44"/>
  <c r="B2684" i="44"/>
  <c r="D2683" i="44"/>
  <c r="D3084" i="44"/>
  <c r="B3085" i="44"/>
  <c r="B2221" i="44"/>
  <c r="D2220" i="44"/>
  <c r="D3052" i="44"/>
  <c r="B3053" i="44"/>
  <c r="B2412" i="44"/>
  <c r="D2411" i="44"/>
  <c r="B1644" i="44"/>
  <c r="D1643" i="44"/>
  <c r="B2908" i="44"/>
  <c r="D2907" i="44"/>
  <c r="D2364" i="44"/>
  <c r="B2365" i="44"/>
  <c r="D1819" i="44"/>
  <c r="B1820" i="44"/>
  <c r="D2844" i="44"/>
  <c r="B2845" i="44"/>
  <c r="D2156" i="44"/>
  <c r="B2157" i="44"/>
  <c r="B2173" i="44"/>
  <c r="D2172" i="44"/>
  <c r="D1628" i="44"/>
  <c r="B1629" i="44"/>
  <c r="D2268" i="44"/>
  <c r="B2269" i="44"/>
  <c r="B1853" i="44"/>
  <c r="D1852" i="44"/>
  <c r="B2877" i="44"/>
  <c r="D2876" i="44"/>
  <c r="D1595" i="44"/>
  <c r="B1596" i="44"/>
  <c r="B1996" i="44"/>
  <c r="D1995" i="44"/>
  <c r="B2557" i="44"/>
  <c r="D2556" i="44"/>
  <c r="B2814" i="44"/>
  <c r="D2814" i="44" s="1"/>
  <c r="D2813" i="44"/>
  <c r="D2124" i="44"/>
  <c r="B2125" i="44"/>
  <c r="D1884" i="44"/>
  <c r="B1885" i="44"/>
  <c r="D2459" i="44"/>
  <c r="B2460" i="44"/>
  <c r="D2509" i="44"/>
  <c r="B2510" i="44"/>
  <c r="D2510" i="44" s="1"/>
  <c r="D595" i="44"/>
  <c r="D594" i="44"/>
  <c r="D596" i="44"/>
  <c r="B1838" i="44"/>
  <c r="D1838" i="44" s="1"/>
  <c r="D1837" i="44"/>
  <c r="D1691" i="44"/>
  <c r="B1692" i="44"/>
  <c r="D2140" i="44"/>
  <c r="B2141" i="44"/>
  <c r="B2189" i="44"/>
  <c r="D2188" i="44"/>
  <c r="D2012" i="44"/>
  <c r="B2013" i="44"/>
  <c r="B2606" i="44"/>
  <c r="D2606" i="44" s="1"/>
  <c r="D2605" i="44"/>
  <c r="D1709" i="44"/>
  <c r="B1710" i="44"/>
  <c r="D1710" i="44" s="1"/>
  <c r="B2861" i="44"/>
  <c r="D2860" i="44"/>
  <c r="D386" i="44"/>
  <c r="D385" i="44"/>
  <c r="D383" i="44"/>
  <c r="D388" i="44"/>
  <c r="D387" i="44"/>
  <c r="D384" i="44"/>
  <c r="D2939" i="44"/>
  <c r="B2940" i="44"/>
  <c r="D827" i="44"/>
  <c r="D828" i="44"/>
  <c r="D829" i="44"/>
  <c r="B830" i="44"/>
  <c r="D2651" i="44"/>
  <c r="B2652" i="44"/>
  <c r="D469" i="44"/>
  <c r="D468" i="44"/>
  <c r="D471" i="44"/>
  <c r="D466" i="44"/>
  <c r="D467" i="44"/>
  <c r="D470" i="44"/>
  <c r="D3149" i="44"/>
  <c r="B3150" i="44"/>
  <c r="D3150" i="44" s="1"/>
  <c r="G388" i="3"/>
  <c r="H93" i="32"/>
  <c r="H118" i="24"/>
  <c r="L13" i="32"/>
  <c r="L15" i="32" s="1"/>
  <c r="L17" i="32" s="1"/>
  <c r="C20" i="32"/>
  <c r="B457" i="3"/>
  <c r="F65" i="25"/>
  <c r="B519" i="3"/>
  <c r="C519" i="3" s="1"/>
  <c r="I114" i="24"/>
  <c r="I89" i="32"/>
  <c r="H385" i="3"/>
  <c r="C131" i="24"/>
  <c r="C105" i="32"/>
  <c r="K380" i="3"/>
  <c r="J379" i="3"/>
  <c r="C104" i="32" s="1"/>
  <c r="J112" i="24"/>
  <c r="I381" i="3"/>
  <c r="I386" i="3" s="1"/>
  <c r="J87" i="32"/>
  <c r="G95" i="32"/>
  <c r="G121" i="24"/>
  <c r="J33" i="32"/>
  <c r="J36" i="32" s="1"/>
  <c r="J37" i="32" s="1"/>
  <c r="K30" i="32"/>
  <c r="E543" i="44"/>
  <c r="E544" i="44"/>
  <c r="E545" i="44"/>
  <c r="E542" i="44"/>
  <c r="E546" i="44"/>
  <c r="L76" i="52" l="1"/>
  <c r="G26" i="53"/>
  <c r="M32" i="52"/>
  <c r="M90" i="52" s="1"/>
  <c r="M30" i="52"/>
  <c r="M80" i="52" s="1"/>
  <c r="M31" i="52"/>
  <c r="M85" i="52" s="1"/>
  <c r="G27" i="53"/>
  <c r="M100" i="52"/>
  <c r="L79" i="52"/>
  <c r="L81" i="52" s="1"/>
  <c r="K43" i="52"/>
  <c r="M62" i="52"/>
  <c r="T13" i="52"/>
  <c r="S15" i="52"/>
  <c r="S16" i="52" s="1"/>
  <c r="L90" i="52"/>
  <c r="L91" i="52" s="1"/>
  <c r="L95" i="52"/>
  <c r="L96" i="52" s="1"/>
  <c r="Q17" i="52"/>
  <c r="P18" i="52"/>
  <c r="L85" i="52"/>
  <c r="L86" i="52" s="1"/>
  <c r="M29" i="52"/>
  <c r="N52" i="52"/>
  <c r="N55" i="52" s="1"/>
  <c r="N58" i="52"/>
  <c r="N60" i="52" s="1"/>
  <c r="N28" i="52"/>
  <c r="N32" i="52" s="1"/>
  <c r="M33" i="52"/>
  <c r="M95" i="52" s="1"/>
  <c r="M70" i="52"/>
  <c r="O22" i="52"/>
  <c r="O23" i="52"/>
  <c r="O50" i="52"/>
  <c r="M74" i="52"/>
  <c r="L42" i="52"/>
  <c r="L99" i="52"/>
  <c r="L101" i="52" s="1"/>
  <c r="K47" i="52"/>
  <c r="L35" i="52"/>
  <c r="H25" i="53" s="1"/>
  <c r="L69" i="52"/>
  <c r="L71" i="52" s="1"/>
  <c r="K41" i="52"/>
  <c r="J48" i="52"/>
  <c r="J64" i="52" s="1"/>
  <c r="G65" i="25"/>
  <c r="B573" i="3"/>
  <c r="C573" i="3" s="1"/>
  <c r="G101" i="32"/>
  <c r="G127" i="24"/>
  <c r="G394" i="3"/>
  <c r="H101" i="32" s="1"/>
  <c r="C117" i="5"/>
  <c r="C131" i="5"/>
  <c r="D2669" i="44"/>
  <c r="B2670" i="44"/>
  <c r="D2670" i="44" s="1"/>
  <c r="B2285" i="44"/>
  <c r="D2284" i="44"/>
  <c r="D2925" i="44"/>
  <c r="B2926" i="44"/>
  <c r="D2926" i="44" s="1"/>
  <c r="B521" i="3"/>
  <c r="C521" i="3" s="1"/>
  <c r="D3021" i="44"/>
  <c r="B3022" i="44"/>
  <c r="D3022" i="44" s="1"/>
  <c r="A1218" i="5"/>
  <c r="B1219" i="5"/>
  <c r="O1217" i="5"/>
  <c r="T1217" i="5"/>
  <c r="G1217" i="5"/>
  <c r="K1217" i="5"/>
  <c r="L1217" i="5"/>
  <c r="I1217" i="5"/>
  <c r="H1217" i="5"/>
  <c r="E1217" i="5"/>
  <c r="P1217" i="5"/>
  <c r="J1217" i="5"/>
  <c r="N1217" i="5"/>
  <c r="M1217" i="5"/>
  <c r="C1217" i="5"/>
  <c r="D1217" i="5"/>
  <c r="Q1217" i="5"/>
  <c r="R1217" i="5"/>
  <c r="S1217" i="5"/>
  <c r="F1217" i="5"/>
  <c r="J119" i="24"/>
  <c r="J94" i="32"/>
  <c r="D1724" i="44"/>
  <c r="B1725" i="44"/>
  <c r="D2636" i="44"/>
  <c r="B2637" i="44"/>
  <c r="D3133" i="44"/>
  <c r="B3134" i="44"/>
  <c r="D3134" i="44" s="1"/>
  <c r="D2109" i="44"/>
  <c r="B2110" i="44"/>
  <c r="D2110" i="44" s="1"/>
  <c r="B2781" i="44"/>
  <c r="D2780" i="44"/>
  <c r="B1806" i="44"/>
  <c r="D1806" i="44" s="1"/>
  <c r="D1805" i="44"/>
  <c r="D3164" i="44"/>
  <c r="B3165" i="44"/>
  <c r="B3101" i="44"/>
  <c r="D3100" i="44"/>
  <c r="D2300" i="44"/>
  <c r="B2301" i="44"/>
  <c r="D1980" i="44"/>
  <c r="B1981" i="44"/>
  <c r="D2237" i="44"/>
  <c r="B2238" i="44"/>
  <c r="D2238" i="44" s="1"/>
  <c r="B2622" i="44"/>
  <c r="D2622" i="44" s="1"/>
  <c r="D2621" i="44"/>
  <c r="D1949" i="44"/>
  <c r="B1950" i="44"/>
  <c r="D1950" i="44" s="1"/>
  <c r="B1614" i="44"/>
  <c r="D1614" i="44" s="1"/>
  <c r="D1613" i="44"/>
  <c r="B1742" i="44"/>
  <c r="D1742" i="44" s="1"/>
  <c r="D1741" i="44"/>
  <c r="B2718" i="44"/>
  <c r="D2718" i="44" s="1"/>
  <c r="D2717" i="44"/>
  <c r="B2990" i="44"/>
  <c r="D2990" i="44" s="1"/>
  <c r="D2989" i="44"/>
  <c r="B1934" i="44"/>
  <c r="D1934" i="44" s="1"/>
  <c r="D1933" i="44"/>
  <c r="D2524" i="44"/>
  <c r="B2525" i="44"/>
  <c r="B672" i="44"/>
  <c r="D668" i="44"/>
  <c r="D669" i="44"/>
  <c r="D666" i="44"/>
  <c r="D671" i="44"/>
  <c r="D670" i="44"/>
  <c r="D667" i="44"/>
  <c r="D2092" i="44"/>
  <c r="B2093" i="44"/>
  <c r="D2493" i="44"/>
  <c r="B2494" i="44"/>
  <c r="D2494" i="44" s="1"/>
  <c r="B553" i="44"/>
  <c r="D551" i="44"/>
  <c r="D552" i="44"/>
  <c r="D549" i="44"/>
  <c r="D547" i="44"/>
  <c r="D548" i="44"/>
  <c r="D550" i="44"/>
  <c r="D2060" i="44"/>
  <c r="B2061" i="44"/>
  <c r="B3069" i="44"/>
  <c r="D3068" i="44"/>
  <c r="B3005" i="44"/>
  <c r="D3004" i="44"/>
  <c r="B2461" i="44"/>
  <c r="D2460" i="44"/>
  <c r="B2126" i="44"/>
  <c r="D2126" i="44" s="1"/>
  <c r="D2125" i="44"/>
  <c r="D2269" i="44"/>
  <c r="B2270" i="44"/>
  <c r="D2270" i="44" s="1"/>
  <c r="B1630" i="44"/>
  <c r="D1630" i="44" s="1"/>
  <c r="D1629" i="44"/>
  <c r="D2157" i="44"/>
  <c r="B2158" i="44"/>
  <c r="D2158" i="44" s="1"/>
  <c r="B1821" i="44"/>
  <c r="D1820" i="44"/>
  <c r="B2366" i="44"/>
  <c r="D2366" i="44" s="1"/>
  <c r="D2365" i="44"/>
  <c r="B3086" i="44"/>
  <c r="D3086" i="44" s="1"/>
  <c r="D3085" i="44"/>
  <c r="D2861" i="44"/>
  <c r="B2862" i="44"/>
  <c r="D2862" i="44" s="1"/>
  <c r="D2189" i="44"/>
  <c r="B2190" i="44"/>
  <c r="D2190" i="44" s="1"/>
  <c r="B1886" i="44"/>
  <c r="D1886" i="44" s="1"/>
  <c r="D1885" i="44"/>
  <c r="D1596" i="44"/>
  <c r="B1597" i="44"/>
  <c r="D2845" i="44"/>
  <c r="B2846" i="44"/>
  <c r="D2846" i="44" s="1"/>
  <c r="D3053" i="44"/>
  <c r="B3054" i="44"/>
  <c r="D3054" i="44" s="1"/>
  <c r="B2653" i="44"/>
  <c r="D2652" i="44"/>
  <c r="D832" i="44"/>
  <c r="D831" i="44"/>
  <c r="D830" i="44"/>
  <c r="D2940" i="44"/>
  <c r="B2941" i="44"/>
  <c r="D2013" i="44"/>
  <c r="B2014" i="44"/>
  <c r="D2014" i="44" s="1"/>
  <c r="B2142" i="44"/>
  <c r="D2142" i="44" s="1"/>
  <c r="D2141" i="44"/>
  <c r="D1692" i="44"/>
  <c r="B1693" i="44"/>
  <c r="D2557" i="44"/>
  <c r="B2558" i="44"/>
  <c r="D2558" i="44" s="1"/>
  <c r="D1996" i="44"/>
  <c r="B1997" i="44"/>
  <c r="B2878" i="44"/>
  <c r="D2878" i="44" s="1"/>
  <c r="D2877" i="44"/>
  <c r="D1853" i="44"/>
  <c r="B1854" i="44"/>
  <c r="D1854" i="44" s="1"/>
  <c r="B2174" i="44"/>
  <c r="D2174" i="44" s="1"/>
  <c r="D2173" i="44"/>
  <c r="D2908" i="44"/>
  <c r="B2909" i="44"/>
  <c r="B1645" i="44"/>
  <c r="D1644" i="44"/>
  <c r="B2413" i="44"/>
  <c r="D2412" i="44"/>
  <c r="D2221" i="44"/>
  <c r="B2222" i="44"/>
  <c r="D2222" i="44" s="1"/>
  <c r="B2685" i="44"/>
  <c r="D2684" i="44"/>
  <c r="J114" i="24"/>
  <c r="J89" i="32"/>
  <c r="I385" i="3"/>
  <c r="L30" i="32"/>
  <c r="K33" i="32"/>
  <c r="K36" i="32" s="1"/>
  <c r="K37" i="32" s="1"/>
  <c r="B459" i="3"/>
  <c r="B823" i="3"/>
  <c r="D20" i="32"/>
  <c r="C22" i="32"/>
  <c r="C24" i="32" s="1"/>
  <c r="C26" i="32" s="1"/>
  <c r="H121" i="24"/>
  <c r="H95" i="32"/>
  <c r="C130" i="24"/>
  <c r="J381" i="3"/>
  <c r="J386" i="3" s="1"/>
  <c r="K379" i="3"/>
  <c r="L380" i="3"/>
  <c r="D105" i="32"/>
  <c r="D131" i="24"/>
  <c r="I93" i="32"/>
  <c r="H388" i="3"/>
  <c r="I118" i="24"/>
  <c r="N29" i="52" l="1"/>
  <c r="N75" i="52" s="1"/>
  <c r="N33" i="52"/>
  <c r="N95" i="52" s="1"/>
  <c r="N62" i="52"/>
  <c r="N34" i="52"/>
  <c r="N100" i="52" s="1"/>
  <c r="N30" i="52"/>
  <c r="N80" i="52" s="1"/>
  <c r="N31" i="52"/>
  <c r="N85" i="52" s="1"/>
  <c r="L44" i="52"/>
  <c r="M84" i="52"/>
  <c r="M86" i="52" s="1"/>
  <c r="N90" i="52"/>
  <c r="M89" i="52"/>
  <c r="M91" i="52" s="1"/>
  <c r="L45" i="52"/>
  <c r="M94" i="52"/>
  <c r="M96" i="52" s="1"/>
  <c r="L46" i="52"/>
  <c r="N35" i="52"/>
  <c r="J25" i="53" s="1"/>
  <c r="O58" i="52"/>
  <c r="O60" i="52" s="1"/>
  <c r="O52" i="52"/>
  <c r="O55" i="52" s="1"/>
  <c r="O28" i="52"/>
  <c r="O31" i="52" s="1"/>
  <c r="R17" i="52"/>
  <c r="Q18" i="52"/>
  <c r="K48" i="52"/>
  <c r="K64" i="52" s="1"/>
  <c r="L41" i="52"/>
  <c r="M69" i="52"/>
  <c r="M71" i="52" s="1"/>
  <c r="U13" i="52"/>
  <c r="T15" i="52"/>
  <c r="T16" i="52" s="1"/>
  <c r="H29" i="53"/>
  <c r="H26" i="53"/>
  <c r="N70" i="52"/>
  <c r="L47" i="52"/>
  <c r="M99" i="52"/>
  <c r="M101" i="52" s="1"/>
  <c r="P22" i="52"/>
  <c r="P23" i="52"/>
  <c r="P50" i="52"/>
  <c r="M79" i="52"/>
  <c r="M81" i="52" s="1"/>
  <c r="L43" i="52"/>
  <c r="M75" i="52"/>
  <c r="M76" i="52" s="1"/>
  <c r="M35" i="52"/>
  <c r="I25" i="53" s="1"/>
  <c r="B575" i="3"/>
  <c r="C575" i="3" s="1"/>
  <c r="C48" i="5"/>
  <c r="G396" i="3"/>
  <c r="H127" i="24"/>
  <c r="H394" i="3"/>
  <c r="C55" i="5" s="1"/>
  <c r="C118" i="5"/>
  <c r="C132" i="5"/>
  <c r="B2286" i="44"/>
  <c r="D2286" i="44" s="1"/>
  <c r="D2285" i="44"/>
  <c r="B523" i="3"/>
  <c r="A1219" i="5"/>
  <c r="B1220" i="5"/>
  <c r="R1218" i="5"/>
  <c r="M1218" i="5"/>
  <c r="H1218" i="5"/>
  <c r="T1218" i="5"/>
  <c r="L1218" i="5"/>
  <c r="F1218" i="5"/>
  <c r="N1218" i="5"/>
  <c r="D1218" i="5"/>
  <c r="J1218" i="5"/>
  <c r="E1218" i="5"/>
  <c r="P1218" i="5"/>
  <c r="S1218" i="5"/>
  <c r="K1218" i="5"/>
  <c r="C1218" i="5"/>
  <c r="I1218" i="5"/>
  <c r="O1218" i="5"/>
  <c r="G1218" i="5"/>
  <c r="Q1218" i="5"/>
  <c r="C137" i="24"/>
  <c r="C111" i="32"/>
  <c r="D1725" i="44"/>
  <c r="B1726" i="44"/>
  <c r="D1726" i="44" s="1"/>
  <c r="B461" i="3"/>
  <c r="B463" i="3" s="1"/>
  <c r="K1581" i="44"/>
  <c r="F1581" i="44" s="1"/>
  <c r="B2638" i="44"/>
  <c r="D2638" i="44" s="1"/>
  <c r="D2637" i="44"/>
  <c r="D1981" i="44"/>
  <c r="B1982" i="44"/>
  <c r="D1982" i="44" s="1"/>
  <c r="D2301" i="44"/>
  <c r="B2302" i="44"/>
  <c r="D2302" i="44" s="1"/>
  <c r="B3166" i="44"/>
  <c r="D3166" i="44" s="1"/>
  <c r="D3165" i="44"/>
  <c r="D3101" i="44"/>
  <c r="B3102" i="44"/>
  <c r="D3102" i="44" s="1"/>
  <c r="D2781" i="44"/>
  <c r="B2782" i="44"/>
  <c r="D2782" i="44" s="1"/>
  <c r="B2062" i="44"/>
  <c r="D2062" i="44" s="1"/>
  <c r="D2061" i="44"/>
  <c r="D554" i="44"/>
  <c r="D557" i="44"/>
  <c r="D558" i="44"/>
  <c r="B559" i="44"/>
  <c r="D556" i="44"/>
  <c r="D553" i="44"/>
  <c r="D555" i="44"/>
  <c r="D2525" i="44"/>
  <c r="B2526" i="44"/>
  <c r="D2526" i="44" s="1"/>
  <c r="B3006" i="44"/>
  <c r="D3006" i="44" s="1"/>
  <c r="D3005" i="44"/>
  <c r="B3070" i="44"/>
  <c r="D3070" i="44" s="1"/>
  <c r="D3069" i="44"/>
  <c r="D2093" i="44"/>
  <c r="B2094" i="44"/>
  <c r="D2094" i="44" s="1"/>
  <c r="D672" i="44"/>
  <c r="D677" i="44"/>
  <c r="D673" i="44"/>
  <c r="D676" i="44"/>
  <c r="D674" i="44"/>
  <c r="D675" i="44"/>
  <c r="B2686" i="44"/>
  <c r="D2686" i="44" s="1"/>
  <c r="D2685" i="44"/>
  <c r="D2413" i="44"/>
  <c r="B2414" i="44"/>
  <c r="D2414" i="44" s="1"/>
  <c r="B1646" i="44"/>
  <c r="D1646" i="44" s="1"/>
  <c r="D1645" i="44"/>
  <c r="B1598" i="44"/>
  <c r="D1598" i="44" s="1"/>
  <c r="D1597" i="44"/>
  <c r="B2910" i="44"/>
  <c r="D2910" i="44" s="1"/>
  <c r="D2909" i="44"/>
  <c r="B1998" i="44"/>
  <c r="D1998" i="44" s="1"/>
  <c r="D1997" i="44"/>
  <c r="B1694" i="44"/>
  <c r="D1694" i="44" s="1"/>
  <c r="D1693" i="44"/>
  <c r="D2941" i="44"/>
  <c r="B2942" i="44"/>
  <c r="D2942" i="44" s="1"/>
  <c r="B2654" i="44"/>
  <c r="D2654" i="44" s="1"/>
  <c r="D2653" i="44"/>
  <c r="B1822" i="44"/>
  <c r="D1822" i="44" s="1"/>
  <c r="D1821" i="44"/>
  <c r="B2462" i="44"/>
  <c r="D2462" i="44" s="1"/>
  <c r="D2461" i="44"/>
  <c r="D22" i="32"/>
  <c r="D24" i="32" s="1"/>
  <c r="D26" i="32" s="1"/>
  <c r="E20" i="32"/>
  <c r="J93" i="32"/>
  <c r="J118" i="24"/>
  <c r="I388" i="3"/>
  <c r="M380" i="3"/>
  <c r="E131" i="24"/>
  <c r="E105" i="32"/>
  <c r="J385" i="3"/>
  <c r="C106" i="32"/>
  <c r="C132" i="24"/>
  <c r="I121" i="24"/>
  <c r="I95" i="32"/>
  <c r="D104" i="32"/>
  <c r="D130" i="24"/>
  <c r="L379" i="3"/>
  <c r="K381" i="3"/>
  <c r="K386" i="3" s="1"/>
  <c r="L33" i="32"/>
  <c r="L36" i="32" s="1"/>
  <c r="L37" i="32" s="1"/>
  <c r="C40" i="32"/>
  <c r="O62" i="52" l="1"/>
  <c r="O30" i="52"/>
  <c r="O80" i="52" s="1"/>
  <c r="O34" i="52"/>
  <c r="O100" i="52" s="1"/>
  <c r="O29" i="52"/>
  <c r="O75" i="52" s="1"/>
  <c r="O33" i="52"/>
  <c r="O95" i="52" s="1"/>
  <c r="O85" i="52"/>
  <c r="O32" i="52"/>
  <c r="O70" i="52"/>
  <c r="H27" i="53"/>
  <c r="N99" i="52"/>
  <c r="N101" i="52" s="1"/>
  <c r="M47" i="52"/>
  <c r="J26" i="53"/>
  <c r="J29" i="53"/>
  <c r="P28" i="52"/>
  <c r="P29" i="52" s="1"/>
  <c r="P75" i="52" s="1"/>
  <c r="M42" i="52"/>
  <c r="N74" i="52"/>
  <c r="N76" i="52" s="1"/>
  <c r="V13" i="52"/>
  <c r="U15" i="52"/>
  <c r="U16" i="52" s="1"/>
  <c r="N94" i="52"/>
  <c r="N96" i="52" s="1"/>
  <c r="M46" i="52"/>
  <c r="I26" i="53"/>
  <c r="I29" i="53"/>
  <c r="M41" i="52"/>
  <c r="N69" i="52"/>
  <c r="N71" i="52" s="1"/>
  <c r="L48" i="52"/>
  <c r="L64" i="52" s="1"/>
  <c r="M45" i="52"/>
  <c r="N89" i="52"/>
  <c r="N91" i="52" s="1"/>
  <c r="N79" i="52"/>
  <c r="N81" i="52" s="1"/>
  <c r="M43" i="52"/>
  <c r="Q22" i="52"/>
  <c r="Q23" i="52"/>
  <c r="Q50" i="52"/>
  <c r="N84" i="52"/>
  <c r="N86" i="52" s="1"/>
  <c r="M44" i="52"/>
  <c r="P52" i="52"/>
  <c r="P55" i="52" s="1"/>
  <c r="P58" i="52"/>
  <c r="P60" i="52" s="1"/>
  <c r="S17" i="52"/>
  <c r="R18" i="52"/>
  <c r="B577" i="3"/>
  <c r="C577" i="3" s="1"/>
  <c r="C523" i="3"/>
  <c r="G529" i="3"/>
  <c r="B524" i="3" s="1"/>
  <c r="C524" i="3" s="1"/>
  <c r="F147" i="24"/>
  <c r="I101" i="32"/>
  <c r="I127" i="24"/>
  <c r="I394" i="3"/>
  <c r="C62" i="5" s="1"/>
  <c r="C119" i="5"/>
  <c r="C133" i="5"/>
  <c r="C212" i="5"/>
  <c r="A1220" i="5"/>
  <c r="B1221" i="5"/>
  <c r="G1219" i="5"/>
  <c r="P1219" i="5"/>
  <c r="D1219" i="5"/>
  <c r="T1219" i="5"/>
  <c r="Q1219" i="5"/>
  <c r="K1219" i="5"/>
  <c r="R1219" i="5"/>
  <c r="N1219" i="5"/>
  <c r="F1219" i="5"/>
  <c r="E1219" i="5"/>
  <c r="J1219" i="5"/>
  <c r="O1219" i="5"/>
  <c r="S1219" i="5"/>
  <c r="L1219" i="5"/>
  <c r="H1219" i="5"/>
  <c r="I1219" i="5"/>
  <c r="C1219" i="5"/>
  <c r="M1219" i="5"/>
  <c r="D137" i="24"/>
  <c r="D111" i="32"/>
  <c r="E1581" i="44"/>
  <c r="A1581" i="44" s="1"/>
  <c r="F810" i="3"/>
  <c r="E1569" i="44" s="1"/>
  <c r="A1569" i="44" s="1"/>
  <c r="D561" i="44"/>
  <c r="D559" i="44"/>
  <c r="D563" i="44"/>
  <c r="D562" i="44"/>
  <c r="D564" i="44"/>
  <c r="D560" i="44"/>
  <c r="J388" i="3"/>
  <c r="C110" i="32"/>
  <c r="C136" i="24"/>
  <c r="F131" i="24"/>
  <c r="F105" i="32"/>
  <c r="N380" i="3"/>
  <c r="C43" i="32"/>
  <c r="C46" i="32" s="1"/>
  <c r="C47" i="32" s="1"/>
  <c r="D40" i="32"/>
  <c r="K385" i="3"/>
  <c r="D132" i="24"/>
  <c r="D106" i="32"/>
  <c r="J95" i="32"/>
  <c r="J121" i="24"/>
  <c r="F20" i="32"/>
  <c r="E22" i="32"/>
  <c r="E24" i="32" s="1"/>
  <c r="E26" i="32" s="1"/>
  <c r="M379" i="3"/>
  <c r="E104" i="32"/>
  <c r="E130" i="24"/>
  <c r="L381" i="3"/>
  <c r="L386" i="3" s="1"/>
  <c r="B465" i="3"/>
  <c r="B659" i="3"/>
  <c r="B662" i="3" s="1"/>
  <c r="B663" i="3" s="1"/>
  <c r="F811" i="3"/>
  <c r="E1570" i="44" s="1"/>
  <c r="A1570" i="44" s="1"/>
  <c r="P32" i="52" l="1"/>
  <c r="P90" i="52" s="1"/>
  <c r="P33" i="52"/>
  <c r="P95" i="52" s="1"/>
  <c r="P30" i="52"/>
  <c r="P80" i="52" s="1"/>
  <c r="P31" i="52"/>
  <c r="P85" i="52" s="1"/>
  <c r="P34" i="52"/>
  <c r="P100" i="52" s="1"/>
  <c r="N43" i="52"/>
  <c r="O79" i="52"/>
  <c r="O81" i="52" s="1"/>
  <c r="O89" i="52"/>
  <c r="N45" i="52"/>
  <c r="O69" i="52"/>
  <c r="O71" i="52" s="1"/>
  <c r="N41" i="52"/>
  <c r="P70" i="52"/>
  <c r="H4" i="52"/>
  <c r="R23" i="52"/>
  <c r="R50" i="52"/>
  <c r="R22" i="52"/>
  <c r="O99" i="52"/>
  <c r="O101" i="52" s="1"/>
  <c r="N47" i="52"/>
  <c r="M48" i="52"/>
  <c r="M64" i="52" s="1"/>
  <c r="T17" i="52"/>
  <c r="S18" i="52"/>
  <c r="O94" i="52"/>
  <c r="O96" i="52" s="1"/>
  <c r="N46" i="52"/>
  <c r="I27" i="53"/>
  <c r="J27" i="53" s="1"/>
  <c r="Q28" i="52"/>
  <c r="Q32" i="52" s="1"/>
  <c r="Q30" i="52"/>
  <c r="Q31" i="52"/>
  <c r="Q33" i="52"/>
  <c r="P62" i="52"/>
  <c r="W13" i="52"/>
  <c r="V15" i="52"/>
  <c r="V16" i="52" s="1"/>
  <c r="O90" i="52"/>
  <c r="O35" i="52"/>
  <c r="K25" i="53" s="1"/>
  <c r="N44" i="52"/>
  <c r="O84" i="52"/>
  <c r="O86" i="52" s="1"/>
  <c r="O74" i="52"/>
  <c r="O76" i="52" s="1"/>
  <c r="N42" i="52"/>
  <c r="Q58" i="52"/>
  <c r="Q60" i="52" s="1"/>
  <c r="Q52" i="52"/>
  <c r="Q55" i="52" s="1"/>
  <c r="G69" i="25"/>
  <c r="J101" i="32"/>
  <c r="J127" i="24"/>
  <c r="J394" i="3"/>
  <c r="C69" i="5" s="1"/>
  <c r="C120" i="5"/>
  <c r="C134" i="5"/>
  <c r="A1221" i="5"/>
  <c r="B1222" i="5"/>
  <c r="G1220" i="5"/>
  <c r="L1220" i="5"/>
  <c r="R1220" i="5"/>
  <c r="N1220" i="5"/>
  <c r="H1220" i="5"/>
  <c r="E1220" i="5"/>
  <c r="I1220" i="5"/>
  <c r="P1220" i="5"/>
  <c r="C1220" i="5"/>
  <c r="O1220" i="5"/>
  <c r="J1220" i="5"/>
  <c r="D1220" i="5"/>
  <c r="F1220" i="5"/>
  <c r="K1220" i="5"/>
  <c r="Q1220" i="5"/>
  <c r="T1220" i="5"/>
  <c r="S1220" i="5"/>
  <c r="M1220" i="5"/>
  <c r="E111" i="32"/>
  <c r="E137" i="24"/>
  <c r="B474" i="3"/>
  <c r="F812" i="3"/>
  <c r="E1571" i="44" s="1"/>
  <c r="A1571" i="44" s="1"/>
  <c r="G20" i="32"/>
  <c r="G22" i="32" s="1"/>
  <c r="G24" i="32" s="1"/>
  <c r="G26" i="32" s="1"/>
  <c r="F22" i="32"/>
  <c r="F24" i="32" s="1"/>
  <c r="F26" i="32" s="1"/>
  <c r="K388" i="3"/>
  <c r="B397" i="3" s="1"/>
  <c r="D136" i="24"/>
  <c r="D110" i="32"/>
  <c r="O380" i="3"/>
  <c r="G131" i="24"/>
  <c r="G105" i="32"/>
  <c r="E40" i="32"/>
  <c r="D43" i="32"/>
  <c r="D46" i="32" s="1"/>
  <c r="D47" i="32" s="1"/>
  <c r="F130" i="24"/>
  <c r="F104" i="32"/>
  <c r="M381" i="3"/>
  <c r="M386" i="3" s="1"/>
  <c r="N379" i="3"/>
  <c r="C112" i="32"/>
  <c r="C139" i="24"/>
  <c r="E106" i="32"/>
  <c r="L385" i="3"/>
  <c r="E132" i="24"/>
  <c r="Q29" i="52" l="1"/>
  <c r="P35" i="52"/>
  <c r="L25" i="53" s="1"/>
  <c r="Q62" i="52"/>
  <c r="Q90" i="52"/>
  <c r="V4" i="52"/>
  <c r="K29" i="53"/>
  <c r="K26" i="53"/>
  <c r="K27" i="53" s="1"/>
  <c r="S50" i="52"/>
  <c r="S23" i="52"/>
  <c r="S22" i="52"/>
  <c r="U17" i="52"/>
  <c r="T18" i="52"/>
  <c r="R28" i="52"/>
  <c r="R30" i="52" s="1"/>
  <c r="R52" i="52"/>
  <c r="R55" i="52" s="1"/>
  <c r="R58" i="52"/>
  <c r="R60" i="52" s="1"/>
  <c r="N48" i="52"/>
  <c r="N64" i="52" s="1"/>
  <c r="P99" i="52"/>
  <c r="P101" i="52" s="1"/>
  <c r="O47" i="52"/>
  <c r="Q85" i="52"/>
  <c r="O9" i="52"/>
  <c r="Q80" i="52"/>
  <c r="O4" i="52"/>
  <c r="O41" i="52"/>
  <c r="P69" i="52"/>
  <c r="P71" i="52" s="1"/>
  <c r="X13" i="52"/>
  <c r="W15" i="52"/>
  <c r="W16" i="52" s="1"/>
  <c r="O91" i="52"/>
  <c r="P79" i="52"/>
  <c r="P81" i="52" s="1"/>
  <c r="O43" i="52"/>
  <c r="Q95" i="52"/>
  <c r="V9" i="52"/>
  <c r="Q75" i="52"/>
  <c r="H9" i="52"/>
  <c r="Q34" i="52"/>
  <c r="Q70" i="52"/>
  <c r="P74" i="52"/>
  <c r="P76" i="52" s="1"/>
  <c r="O42" i="52"/>
  <c r="L26" i="53"/>
  <c r="L29" i="53"/>
  <c r="O44" i="52"/>
  <c r="P84" i="52"/>
  <c r="P86" i="52" s="1"/>
  <c r="O46" i="52"/>
  <c r="P94" i="52"/>
  <c r="P96" i="52" s="1"/>
  <c r="C118" i="32"/>
  <c r="K394" i="3"/>
  <c r="D112" i="32"/>
  <c r="C121" i="5"/>
  <c r="C135" i="5"/>
  <c r="A1222" i="5"/>
  <c r="B1223" i="5"/>
  <c r="L1221" i="5"/>
  <c r="F1221" i="5"/>
  <c r="G1221" i="5"/>
  <c r="C1221" i="5"/>
  <c r="O1221" i="5"/>
  <c r="P1221" i="5"/>
  <c r="K1221" i="5"/>
  <c r="N1221" i="5"/>
  <c r="Q1221" i="5"/>
  <c r="I1221" i="5"/>
  <c r="D1221" i="5"/>
  <c r="E1221" i="5"/>
  <c r="H1221" i="5"/>
  <c r="R1221" i="5"/>
  <c r="M1221" i="5"/>
  <c r="T1221" i="5"/>
  <c r="J1221" i="5"/>
  <c r="S1221" i="5"/>
  <c r="F111" i="32"/>
  <c r="F137" i="24"/>
  <c r="C197" i="5"/>
  <c r="E73" i="32"/>
  <c r="O379" i="3"/>
  <c r="N381" i="3"/>
  <c r="N386" i="3" s="1"/>
  <c r="G130" i="24"/>
  <c r="G104" i="32"/>
  <c r="L388" i="3"/>
  <c r="E110" i="32"/>
  <c r="E136" i="24"/>
  <c r="H131" i="24"/>
  <c r="P380" i="3"/>
  <c r="H105" i="32"/>
  <c r="D139" i="24"/>
  <c r="B507" i="3"/>
  <c r="E48" i="24"/>
  <c r="F70" i="25"/>
  <c r="F106" i="32"/>
  <c r="F132" i="24"/>
  <c r="M385" i="3"/>
  <c r="F40" i="32"/>
  <c r="E43" i="32"/>
  <c r="E46" i="32" s="1"/>
  <c r="E47" i="32" s="1"/>
  <c r="C145" i="24"/>
  <c r="R29" i="52" l="1"/>
  <c r="R32" i="52"/>
  <c r="R90" i="52" s="1"/>
  <c r="R33" i="52"/>
  <c r="R95" i="52" s="1"/>
  <c r="R31" i="52"/>
  <c r="R62" i="52"/>
  <c r="R80" i="52"/>
  <c r="Q94" i="52"/>
  <c r="Q96" i="52" s="1"/>
  <c r="P46" i="52"/>
  <c r="R34" i="52"/>
  <c r="R70" i="52"/>
  <c r="P43" i="52"/>
  <c r="Q79" i="52"/>
  <c r="Q81" i="52" s="1"/>
  <c r="Q69" i="52"/>
  <c r="Q71" i="52" s="1"/>
  <c r="P41" i="52"/>
  <c r="T23" i="52"/>
  <c r="T22" i="52"/>
  <c r="T50" i="52"/>
  <c r="V17" i="52"/>
  <c r="U18" i="52"/>
  <c r="P89" i="52"/>
  <c r="P91" i="52" s="1"/>
  <c r="O45" i="52"/>
  <c r="O48" i="52" s="1"/>
  <c r="O64" i="52" s="1"/>
  <c r="Y13" i="52"/>
  <c r="X15" i="52"/>
  <c r="X16" i="52" s="1"/>
  <c r="S28" i="52"/>
  <c r="S70" i="52" s="1"/>
  <c r="S30" i="52"/>
  <c r="S80" i="52" s="1"/>
  <c r="S33" i="52"/>
  <c r="S95" i="52" s="1"/>
  <c r="R85" i="52"/>
  <c r="Q74" i="52"/>
  <c r="Q76" i="52" s="1"/>
  <c r="P42" i="52"/>
  <c r="S52" i="52"/>
  <c r="S55" i="52" s="1"/>
  <c r="S58" i="52"/>
  <c r="S60" i="52" s="1"/>
  <c r="Q100" i="52"/>
  <c r="AC4" i="52"/>
  <c r="L27" i="53"/>
  <c r="R75" i="52"/>
  <c r="Q35" i="52"/>
  <c r="M25" i="53" s="1"/>
  <c r="Q84" i="52"/>
  <c r="Q86" i="52" s="1"/>
  <c r="P44" i="52"/>
  <c r="Q99" i="52"/>
  <c r="P47" i="52"/>
  <c r="L394" i="3"/>
  <c r="E112" i="32"/>
  <c r="C76" i="5"/>
  <c r="D118" i="32"/>
  <c r="C122" i="5"/>
  <c r="C136" i="5"/>
  <c r="A1223" i="5"/>
  <c r="B1224" i="5"/>
  <c r="R1222" i="5"/>
  <c r="K1222" i="5"/>
  <c r="M1222" i="5"/>
  <c r="I1222" i="5"/>
  <c r="N1222" i="5"/>
  <c r="T1222" i="5"/>
  <c r="S1222" i="5"/>
  <c r="P1222" i="5"/>
  <c r="E1222" i="5"/>
  <c r="D1222" i="5"/>
  <c r="J1222" i="5"/>
  <c r="O1222" i="5"/>
  <c r="Q1222" i="5"/>
  <c r="H1222" i="5"/>
  <c r="G1222" i="5"/>
  <c r="L1222" i="5"/>
  <c r="C1222" i="5"/>
  <c r="F1222" i="5"/>
  <c r="G111" i="32"/>
  <c r="G137" i="24"/>
  <c r="M388" i="3"/>
  <c r="F110" i="32"/>
  <c r="F136" i="24"/>
  <c r="D145" i="24"/>
  <c r="C143" i="5"/>
  <c r="I105" i="32"/>
  <c r="I131" i="24"/>
  <c r="B616" i="3"/>
  <c r="B619" i="3" s="1"/>
  <c r="B582" i="3" s="1"/>
  <c r="B641" i="3"/>
  <c r="B644" i="3" s="1"/>
  <c r="F97" i="25"/>
  <c r="B509" i="3"/>
  <c r="B511" i="3" s="1"/>
  <c r="B703" i="3" s="1"/>
  <c r="E53" i="24"/>
  <c r="E78" i="32"/>
  <c r="E139" i="24"/>
  <c r="G106" i="32"/>
  <c r="G132" i="24"/>
  <c r="N385" i="3"/>
  <c r="F43" i="32"/>
  <c r="F46" i="32" s="1"/>
  <c r="F47" i="32" s="1"/>
  <c r="G40" i="32"/>
  <c r="G43" i="32" s="1"/>
  <c r="G46" i="32" s="1"/>
  <c r="G47" i="32" s="1"/>
  <c r="O381" i="3"/>
  <c r="O386" i="3" s="1"/>
  <c r="H104" i="32"/>
  <c r="H130" i="24"/>
  <c r="P379" i="3"/>
  <c r="S34" i="52" l="1"/>
  <c r="S100" i="52" s="1"/>
  <c r="S29" i="52"/>
  <c r="S75" i="52" s="1"/>
  <c r="S32" i="52"/>
  <c r="S90" i="52" s="1"/>
  <c r="S31" i="52"/>
  <c r="S85" i="52" s="1"/>
  <c r="T28" i="52"/>
  <c r="T30" i="52" s="1"/>
  <c r="T80" i="52" s="1"/>
  <c r="T32" i="52"/>
  <c r="T33" i="52"/>
  <c r="T95" i="52" s="1"/>
  <c r="T29" i="52"/>
  <c r="T75" i="52" s="1"/>
  <c r="M26" i="53"/>
  <c r="M27" i="53" s="1"/>
  <c r="M29" i="53"/>
  <c r="R69" i="52"/>
  <c r="R71" i="52" s="1"/>
  <c r="Q41" i="52"/>
  <c r="T58" i="52"/>
  <c r="T60" i="52" s="1"/>
  <c r="T52" i="52"/>
  <c r="T55" i="52" s="1"/>
  <c r="R79" i="52"/>
  <c r="R81" i="52" s="1"/>
  <c r="Q43" i="52"/>
  <c r="R74" i="52"/>
  <c r="R76" i="52" s="1"/>
  <c r="Q42" i="52"/>
  <c r="R100" i="52"/>
  <c r="Z13" i="52"/>
  <c r="Y15" i="52"/>
  <c r="Y16" i="52" s="1"/>
  <c r="R94" i="52"/>
  <c r="R96" i="52" s="1"/>
  <c r="Q46" i="52"/>
  <c r="S62" i="52"/>
  <c r="Q89" i="52"/>
  <c r="Q91" i="52" s="1"/>
  <c r="P45" i="52"/>
  <c r="P48" i="52" s="1"/>
  <c r="P64" i="52" s="1"/>
  <c r="U22" i="52"/>
  <c r="U50" i="52"/>
  <c r="U23" i="52"/>
  <c r="R84" i="52"/>
  <c r="R86" i="52" s="1"/>
  <c r="Q44" i="52"/>
  <c r="Q101" i="52"/>
  <c r="W17" i="52"/>
  <c r="V18" i="52"/>
  <c r="R35" i="52"/>
  <c r="N25" i="53" s="1"/>
  <c r="M394" i="3"/>
  <c r="F112" i="32"/>
  <c r="C83" i="5"/>
  <c r="E118" i="32"/>
  <c r="C123" i="5"/>
  <c r="C137" i="5"/>
  <c r="A1224" i="5"/>
  <c r="B1225" i="5"/>
  <c r="J1223" i="5"/>
  <c r="L1223" i="5"/>
  <c r="K1223" i="5"/>
  <c r="O1223" i="5"/>
  <c r="F1223" i="5"/>
  <c r="I1223" i="5"/>
  <c r="T1223" i="5"/>
  <c r="G1223" i="5"/>
  <c r="R1223" i="5"/>
  <c r="C1223" i="5"/>
  <c r="D1223" i="5"/>
  <c r="H1223" i="5"/>
  <c r="S1223" i="5"/>
  <c r="N1223" i="5"/>
  <c r="E1223" i="5"/>
  <c r="M1223" i="5"/>
  <c r="P1223" i="5"/>
  <c r="Q1223" i="5"/>
  <c r="H137" i="24"/>
  <c r="H111" i="32"/>
  <c r="AD709" i="3"/>
  <c r="AB709" i="3"/>
  <c r="AE709" i="3"/>
  <c r="AC709" i="3"/>
  <c r="I104" i="32"/>
  <c r="I130" i="24"/>
  <c r="P381" i="3"/>
  <c r="P386" i="3" s="1"/>
  <c r="G110" i="32"/>
  <c r="G136" i="24"/>
  <c r="N388" i="3"/>
  <c r="B532" i="3"/>
  <c r="C532" i="3" s="1"/>
  <c r="G74" i="25" s="1"/>
  <c r="F397" i="3"/>
  <c r="D149" i="24"/>
  <c r="D121" i="32"/>
  <c r="E145" i="24"/>
  <c r="B829" i="3"/>
  <c r="F99" i="25"/>
  <c r="B621" i="3"/>
  <c r="C207" i="5"/>
  <c r="C208" i="5"/>
  <c r="E55" i="24"/>
  <c r="C1089" i="5"/>
  <c r="E80" i="32"/>
  <c r="O385" i="3"/>
  <c r="H132" i="24"/>
  <c r="H106" i="32"/>
  <c r="B652" i="3"/>
  <c r="F139" i="24"/>
  <c r="S35" i="52" l="1"/>
  <c r="O25" i="53" s="1"/>
  <c r="O26" i="53" s="1"/>
  <c r="T31" i="52"/>
  <c r="O29" i="53"/>
  <c r="T62" i="52"/>
  <c r="S74" i="52"/>
  <c r="S76" i="52" s="1"/>
  <c r="R42" i="52"/>
  <c r="R46" i="52"/>
  <c r="S94" i="52"/>
  <c r="S96" i="52" s="1"/>
  <c r="S69" i="52"/>
  <c r="S71" i="52" s="1"/>
  <c r="R41" i="52"/>
  <c r="AA13" i="52"/>
  <c r="Z15" i="52"/>
  <c r="Z16" i="52" s="1"/>
  <c r="S79" i="52"/>
  <c r="S81" i="52" s="1"/>
  <c r="R43" i="52"/>
  <c r="R89" i="52"/>
  <c r="R91" i="52" s="1"/>
  <c r="Q45" i="52"/>
  <c r="Q48" i="52" s="1"/>
  <c r="Q64" i="52" s="1"/>
  <c r="N29" i="53"/>
  <c r="N26" i="53"/>
  <c r="N27" i="53" s="1"/>
  <c r="O27" i="53" s="1"/>
  <c r="V22" i="52"/>
  <c r="V23" i="52"/>
  <c r="V50" i="52"/>
  <c r="X17" i="52"/>
  <c r="W18" i="52"/>
  <c r="Q47" i="52"/>
  <c r="R99" i="52"/>
  <c r="R101" i="52" s="1"/>
  <c r="T85" i="52"/>
  <c r="U28" i="52"/>
  <c r="U70" i="52" s="1"/>
  <c r="U34" i="52"/>
  <c r="U100" i="52" s="1"/>
  <c r="S84" i="52"/>
  <c r="S86" i="52" s="1"/>
  <c r="R44" i="52"/>
  <c r="T90" i="52"/>
  <c r="U58" i="52"/>
  <c r="U60" i="52" s="1"/>
  <c r="U52" i="52"/>
  <c r="U55" i="52" s="1"/>
  <c r="T34" i="52"/>
  <c r="T70" i="52"/>
  <c r="N394" i="3"/>
  <c r="G112" i="32"/>
  <c r="C90" i="5"/>
  <c r="F118" i="32"/>
  <c r="C124" i="5"/>
  <c r="G397" i="3"/>
  <c r="F121" i="32" s="1"/>
  <c r="C145" i="5"/>
  <c r="C138" i="5"/>
  <c r="C209" i="5"/>
  <c r="A1225" i="5"/>
  <c r="B1226" i="5"/>
  <c r="I1224" i="5"/>
  <c r="T1224" i="5"/>
  <c r="K1224" i="5"/>
  <c r="R1224" i="5"/>
  <c r="S1224" i="5"/>
  <c r="Q1224" i="5"/>
  <c r="N1224" i="5"/>
  <c r="G1224" i="5"/>
  <c r="E1224" i="5"/>
  <c r="M1224" i="5"/>
  <c r="C1224" i="5"/>
  <c r="D1224" i="5"/>
  <c r="P1224" i="5"/>
  <c r="F1224" i="5"/>
  <c r="J1224" i="5"/>
  <c r="L1224" i="5"/>
  <c r="O1224" i="5"/>
  <c r="H1224" i="5"/>
  <c r="C6" i="5"/>
  <c r="I111" i="32"/>
  <c r="I137" i="24"/>
  <c r="G139" i="24"/>
  <c r="I132" i="24"/>
  <c r="P385" i="3"/>
  <c r="I106" i="32"/>
  <c r="F145" i="24"/>
  <c r="E619" i="3"/>
  <c r="D60" i="32" s="1"/>
  <c r="C816" i="3"/>
  <c r="AD716" i="3"/>
  <c r="AB767" i="3"/>
  <c r="AE725" i="3"/>
  <c r="AB807" i="3"/>
  <c r="AC728" i="3"/>
  <c r="AB785" i="3"/>
  <c r="AB774" i="3"/>
  <c r="AC781" i="3"/>
  <c r="AB804" i="3"/>
  <c r="AD768" i="3"/>
  <c r="AB789" i="3"/>
  <c r="AB755" i="3"/>
  <c r="AC717" i="3"/>
  <c r="AD735" i="3"/>
  <c r="AC804" i="3"/>
  <c r="AD738" i="3"/>
  <c r="AB726" i="3"/>
  <c r="AD779" i="3"/>
  <c r="AD737" i="3"/>
  <c r="AE731" i="3"/>
  <c r="AD746" i="3"/>
  <c r="AD782" i="3"/>
  <c r="AE726" i="3"/>
  <c r="AC780" i="3"/>
  <c r="AC734" i="3"/>
  <c r="AD784" i="3"/>
  <c r="AD717" i="3"/>
  <c r="AB771" i="3"/>
  <c r="AE794" i="3"/>
  <c r="AC721" i="3"/>
  <c r="AE754" i="3"/>
  <c r="AE740" i="3"/>
  <c r="AB725" i="3"/>
  <c r="AB749" i="3"/>
  <c r="AD758" i="3"/>
  <c r="AE775" i="3"/>
  <c r="AB753" i="3"/>
  <c r="AB786" i="3"/>
  <c r="AB743" i="3"/>
  <c r="AD776" i="3"/>
  <c r="AC775" i="3"/>
  <c r="AB791" i="3"/>
  <c r="AD796" i="3"/>
  <c r="AB779" i="3"/>
  <c r="AE779" i="3"/>
  <c r="AE795" i="3"/>
  <c r="AD748" i="3"/>
  <c r="AD777" i="3"/>
  <c r="AE798" i="3"/>
  <c r="AD724" i="3"/>
  <c r="AD715" i="3"/>
  <c r="AC806" i="3"/>
  <c r="AB784" i="3"/>
  <c r="AB800" i="3"/>
  <c r="AB731" i="3"/>
  <c r="AD753" i="3"/>
  <c r="AB788" i="3"/>
  <c r="AB727" i="3"/>
  <c r="AB794" i="3"/>
  <c r="AC744" i="3"/>
  <c r="AE770" i="3"/>
  <c r="AD787" i="3"/>
  <c r="AC783" i="3"/>
  <c r="AB734" i="3"/>
  <c r="AD785" i="3"/>
  <c r="AE746" i="3"/>
  <c r="AD743" i="3"/>
  <c r="AE715" i="3"/>
  <c r="AC800" i="3"/>
  <c r="AE730" i="3"/>
  <c r="AC789" i="3"/>
  <c r="AD747" i="3"/>
  <c r="AE796" i="3"/>
  <c r="AC735" i="3"/>
  <c r="AB760" i="3"/>
  <c r="AE722" i="3"/>
  <c r="AE774" i="3"/>
  <c r="AE799" i="3"/>
  <c r="AC779" i="3"/>
  <c r="AE756" i="3"/>
  <c r="AC745" i="3"/>
  <c r="AE729" i="3"/>
  <c r="AD718" i="3"/>
  <c r="AE763" i="3"/>
  <c r="AB737" i="3"/>
  <c r="AB764" i="3"/>
  <c r="AE742" i="3"/>
  <c r="AB747" i="3"/>
  <c r="AC771" i="3"/>
  <c r="AD722" i="3"/>
  <c r="AB782" i="3"/>
  <c r="AE802" i="3"/>
  <c r="AD805" i="3"/>
  <c r="AC760" i="3"/>
  <c r="AD742" i="3"/>
  <c r="AE786" i="3"/>
  <c r="AD775" i="3"/>
  <c r="AD731" i="3"/>
  <c r="AC797" i="3"/>
  <c r="AC736" i="3"/>
  <c r="AD793" i="3"/>
  <c r="AB739" i="3"/>
  <c r="AC767" i="3"/>
  <c r="AB718" i="3"/>
  <c r="AD800" i="3"/>
  <c r="AE778" i="3"/>
  <c r="AE781" i="3"/>
  <c r="AE710" i="3"/>
  <c r="AD789" i="3"/>
  <c r="AE744" i="3"/>
  <c r="AD804" i="3"/>
  <c r="AD749" i="3"/>
  <c r="AE764" i="3"/>
  <c r="AE741" i="3"/>
  <c r="AD783" i="3"/>
  <c r="AD801" i="3"/>
  <c r="AE797" i="3"/>
  <c r="AD733" i="3"/>
  <c r="AC774" i="3"/>
  <c r="AD713" i="3"/>
  <c r="AD773" i="3"/>
  <c r="AE790" i="3"/>
  <c r="AE739" i="3"/>
  <c r="AE748" i="3"/>
  <c r="AC801" i="3"/>
  <c r="AB713" i="3"/>
  <c r="AE718" i="3"/>
  <c r="AD762" i="3"/>
  <c r="AE783" i="3"/>
  <c r="AC712" i="3"/>
  <c r="AC755" i="3"/>
  <c r="AB759" i="3"/>
  <c r="AD725" i="3"/>
  <c r="AC741" i="3"/>
  <c r="AB776" i="3"/>
  <c r="AE806" i="3"/>
  <c r="AB775" i="3"/>
  <c r="AE777" i="3"/>
  <c r="AB777" i="3"/>
  <c r="AC742" i="3"/>
  <c r="AE727" i="3"/>
  <c r="AC737" i="3"/>
  <c r="AD729" i="3"/>
  <c r="AB754" i="3"/>
  <c r="AC730" i="3"/>
  <c r="AE791" i="3"/>
  <c r="AC770" i="3"/>
  <c r="AB769" i="3"/>
  <c r="AB756" i="3"/>
  <c r="AB748" i="3"/>
  <c r="AB783" i="3"/>
  <c r="AB721" i="3"/>
  <c r="AB790" i="3"/>
  <c r="AD788" i="3"/>
  <c r="AE768" i="3"/>
  <c r="AE714" i="3"/>
  <c r="AC743" i="3"/>
  <c r="AC731" i="3"/>
  <c r="AE760" i="3"/>
  <c r="AE755" i="3"/>
  <c r="AD786" i="3"/>
  <c r="AE719" i="3"/>
  <c r="AB712" i="3"/>
  <c r="AB745" i="3"/>
  <c r="AD769" i="3"/>
  <c r="AD727" i="3"/>
  <c r="AB798" i="3"/>
  <c r="AE753" i="3"/>
  <c r="AE747" i="3"/>
  <c r="AB717" i="3"/>
  <c r="AC807" i="3"/>
  <c r="AD712" i="3"/>
  <c r="AC793" i="3"/>
  <c r="AD791" i="3"/>
  <c r="AB795" i="3"/>
  <c r="AD763" i="3"/>
  <c r="AE732" i="3"/>
  <c r="AC788" i="3"/>
  <c r="AD790" i="3"/>
  <c r="AC787" i="3"/>
  <c r="AE723" i="3"/>
  <c r="AC776" i="3"/>
  <c r="AC722" i="3"/>
  <c r="AB766" i="3"/>
  <c r="AB761" i="3"/>
  <c r="AC733" i="3"/>
  <c r="AB778" i="3"/>
  <c r="AC746" i="3"/>
  <c r="AE728" i="3"/>
  <c r="AC802" i="3"/>
  <c r="AB716" i="3"/>
  <c r="AD740" i="3"/>
  <c r="AB805" i="3"/>
  <c r="AD764" i="3"/>
  <c r="AE803" i="3"/>
  <c r="AE721" i="3"/>
  <c r="AD721" i="3"/>
  <c r="AD806" i="3"/>
  <c r="AE776" i="3"/>
  <c r="AB728" i="3"/>
  <c r="AB802" i="3"/>
  <c r="AC725" i="3"/>
  <c r="AD795" i="3"/>
  <c r="AB740" i="3"/>
  <c r="AB719" i="3"/>
  <c r="AC720" i="3"/>
  <c r="AD802" i="3"/>
  <c r="AE713" i="3"/>
  <c r="AD759" i="3"/>
  <c r="AB765" i="3"/>
  <c r="AB768" i="3"/>
  <c r="AC762" i="3"/>
  <c r="AB746" i="3"/>
  <c r="AC795" i="3"/>
  <c r="AC724" i="3"/>
  <c r="AD739" i="3"/>
  <c r="AC785" i="3"/>
  <c r="AE750" i="3"/>
  <c r="AB738" i="3"/>
  <c r="AD770" i="3"/>
  <c r="AC738" i="3"/>
  <c r="AE792" i="3"/>
  <c r="AE767" i="3"/>
  <c r="AC792" i="3"/>
  <c r="AB762" i="3"/>
  <c r="AB732" i="3"/>
  <c r="AE736" i="3"/>
  <c r="AD774" i="3"/>
  <c r="AC718" i="3"/>
  <c r="AE804" i="3"/>
  <c r="AE793" i="3"/>
  <c r="AE807" i="3"/>
  <c r="AC805" i="3"/>
  <c r="AB806" i="3"/>
  <c r="AC765" i="3"/>
  <c r="AC782" i="3"/>
  <c r="AD780" i="3"/>
  <c r="AD723" i="3"/>
  <c r="AB711" i="3"/>
  <c r="AB710" i="3"/>
  <c r="AC740" i="3"/>
  <c r="AC726" i="3"/>
  <c r="AD798" i="3"/>
  <c r="AE749" i="3"/>
  <c r="AE758" i="3"/>
  <c r="AD719" i="3"/>
  <c r="AE733" i="3"/>
  <c r="AE720" i="3"/>
  <c r="AD710" i="3"/>
  <c r="AD803" i="3"/>
  <c r="AC799" i="3"/>
  <c r="AB722" i="3"/>
  <c r="AE782" i="3"/>
  <c r="AC752" i="3"/>
  <c r="AE787" i="3"/>
  <c r="AB772" i="3"/>
  <c r="AC711" i="3"/>
  <c r="AB730" i="3"/>
  <c r="AC715" i="3"/>
  <c r="AD807" i="3"/>
  <c r="AE752" i="3"/>
  <c r="AE762" i="3"/>
  <c r="AE735" i="3"/>
  <c r="AE712" i="3"/>
  <c r="AB715" i="3"/>
  <c r="AD755" i="3"/>
  <c r="AD728" i="3"/>
  <c r="AC719" i="3"/>
  <c r="AC749" i="3"/>
  <c r="AC790" i="3"/>
  <c r="AB801" i="3"/>
  <c r="AE745" i="3"/>
  <c r="AE780" i="3"/>
  <c r="AC791" i="3"/>
  <c r="AD799" i="3"/>
  <c r="AB735" i="3"/>
  <c r="AD732" i="3"/>
  <c r="AC761" i="3"/>
  <c r="AD754" i="3"/>
  <c r="AB793" i="3"/>
  <c r="AD734" i="3"/>
  <c r="AB803" i="3"/>
  <c r="AB744" i="3"/>
  <c r="AE789" i="3"/>
  <c r="AE800" i="3"/>
  <c r="AE761" i="3"/>
  <c r="AD750" i="3"/>
  <c r="AB799" i="3"/>
  <c r="AE801" i="3"/>
  <c r="AB758" i="3"/>
  <c r="AE757" i="3"/>
  <c r="AE785" i="3"/>
  <c r="AC748" i="3"/>
  <c r="AD756" i="3"/>
  <c r="AD751" i="3"/>
  <c r="AD744" i="3"/>
  <c r="AB720" i="3"/>
  <c r="AC794" i="3"/>
  <c r="AE734" i="3"/>
  <c r="AD730" i="3"/>
  <c r="AE772" i="3"/>
  <c r="AC751" i="3"/>
  <c r="AE759" i="3"/>
  <c r="AB796" i="3"/>
  <c r="AC769" i="3"/>
  <c r="AC786" i="3"/>
  <c r="AD767" i="3"/>
  <c r="AB751" i="3"/>
  <c r="AD720" i="3"/>
  <c r="AD771" i="3"/>
  <c r="AE784" i="3"/>
  <c r="AE751" i="3"/>
  <c r="AD714" i="3"/>
  <c r="AC759" i="3"/>
  <c r="AB781" i="3"/>
  <c r="AC763" i="3"/>
  <c r="AE788" i="3"/>
  <c r="AB797" i="3"/>
  <c r="AE711" i="3"/>
  <c r="AC766" i="3"/>
  <c r="AC754" i="3"/>
  <c r="AC778" i="3"/>
  <c r="AB773" i="3"/>
  <c r="AE771" i="3"/>
  <c r="AD761" i="3"/>
  <c r="AD778" i="3"/>
  <c r="AD766" i="3"/>
  <c r="AC768" i="3"/>
  <c r="AE805" i="3"/>
  <c r="AC803" i="3"/>
  <c r="AC772" i="3"/>
  <c r="AC750" i="3"/>
  <c r="AE738" i="3"/>
  <c r="AE769" i="3"/>
  <c r="AD760" i="3"/>
  <c r="AD745" i="3"/>
  <c r="AE743" i="3"/>
  <c r="AC713" i="3"/>
  <c r="AB729" i="3"/>
  <c r="AD794" i="3"/>
  <c r="AB724" i="3"/>
  <c r="AC729" i="3"/>
  <c r="AB741" i="3"/>
  <c r="AB733" i="3"/>
  <c r="AB787" i="3"/>
  <c r="AC723" i="3"/>
  <c r="AD781" i="3"/>
  <c r="AD772" i="3"/>
  <c r="AC753" i="3"/>
  <c r="AB763" i="3"/>
  <c r="AB752" i="3"/>
  <c r="AD741" i="3"/>
  <c r="AD765" i="3"/>
  <c r="AE716" i="3"/>
  <c r="AB742" i="3"/>
  <c r="AB792" i="3"/>
  <c r="AB714" i="3"/>
  <c r="AE773" i="3"/>
  <c r="AE724" i="3"/>
  <c r="AC758" i="3"/>
  <c r="AC777" i="3"/>
  <c r="AD711" i="3"/>
  <c r="AC798" i="3"/>
  <c r="AC756" i="3"/>
  <c r="AC716" i="3"/>
  <c r="AB750" i="3"/>
  <c r="AC739" i="3"/>
  <c r="AC747" i="3"/>
  <c r="AD736" i="3"/>
  <c r="AC764" i="3"/>
  <c r="AE737" i="3"/>
  <c r="AE717" i="3"/>
  <c r="AD757" i="3"/>
  <c r="AD792" i="3"/>
  <c r="AC727" i="3"/>
  <c r="AC757" i="3"/>
  <c r="AB780" i="3"/>
  <c r="AB723" i="3"/>
  <c r="AC773" i="3"/>
  <c r="AD752" i="3"/>
  <c r="AE766" i="3"/>
  <c r="AE765" i="3"/>
  <c r="AB770" i="3"/>
  <c r="AC784" i="3"/>
  <c r="AD797" i="3"/>
  <c r="AC714" i="3"/>
  <c r="AC710" i="3"/>
  <c r="AC796" i="3"/>
  <c r="AC732" i="3"/>
  <c r="AB757" i="3"/>
  <c r="AB736" i="3"/>
  <c r="AD726" i="3"/>
  <c r="H136" i="24"/>
  <c r="O388" i="3"/>
  <c r="H110" i="32"/>
  <c r="U62" i="52" l="1"/>
  <c r="U31" i="52"/>
  <c r="U85" i="52" s="1"/>
  <c r="U29" i="52"/>
  <c r="U33" i="52"/>
  <c r="U32" i="52"/>
  <c r="T79" i="52"/>
  <c r="T81" i="52" s="1"/>
  <c r="S43" i="52"/>
  <c r="U75" i="52"/>
  <c r="U30" i="52"/>
  <c r="AB13" i="52"/>
  <c r="AA15" i="52"/>
  <c r="AA16" i="52" s="1"/>
  <c r="T69" i="52"/>
  <c r="T71" i="52" s="1"/>
  <c r="S41" i="52"/>
  <c r="S99" i="52"/>
  <c r="S101" i="52" s="1"/>
  <c r="R47" i="52"/>
  <c r="U95" i="52"/>
  <c r="T100" i="52"/>
  <c r="W50" i="52"/>
  <c r="W23" i="52"/>
  <c r="W22" i="52"/>
  <c r="T94" i="52"/>
  <c r="T96" i="52" s="1"/>
  <c r="S46" i="52"/>
  <c r="T84" i="52"/>
  <c r="T86" i="52" s="1"/>
  <c r="S44" i="52"/>
  <c r="Y17" i="52"/>
  <c r="X18" i="52"/>
  <c r="S89" i="52"/>
  <c r="S91" i="52" s="1"/>
  <c r="R45" i="52"/>
  <c r="T35" i="52"/>
  <c r="P25" i="53" s="1"/>
  <c r="V28" i="52"/>
  <c r="V29" i="52" s="1"/>
  <c r="V75" i="52" s="1"/>
  <c r="V52" i="52"/>
  <c r="V55" i="52" s="1"/>
  <c r="V58" i="52"/>
  <c r="V60" i="52" s="1"/>
  <c r="S42" i="52"/>
  <c r="T74" i="52"/>
  <c r="T76" i="52" s="1"/>
  <c r="H79" i="25"/>
  <c r="B611" i="3"/>
  <c r="O394" i="3"/>
  <c r="H112" i="32"/>
  <c r="C97" i="5"/>
  <c r="G118" i="32"/>
  <c r="F149" i="24"/>
  <c r="C125" i="5"/>
  <c r="C139" i="5"/>
  <c r="A1226" i="5"/>
  <c r="B1227" i="5"/>
  <c r="T1225" i="5"/>
  <c r="K1225" i="5"/>
  <c r="S1225" i="5"/>
  <c r="P1225" i="5"/>
  <c r="D1225" i="5"/>
  <c r="Q1225" i="5"/>
  <c r="R1225" i="5"/>
  <c r="F1225" i="5"/>
  <c r="E1225" i="5"/>
  <c r="J1225" i="5"/>
  <c r="O1225" i="5"/>
  <c r="M1225" i="5"/>
  <c r="I1225" i="5"/>
  <c r="C1225" i="5"/>
  <c r="L1225" i="5"/>
  <c r="H1225" i="5"/>
  <c r="N1225" i="5"/>
  <c r="G1225" i="5"/>
  <c r="AC808" i="3"/>
  <c r="AB808" i="3"/>
  <c r="AE808" i="3"/>
  <c r="AD808" i="3"/>
  <c r="D70" i="24"/>
  <c r="H139" i="24"/>
  <c r="G145" i="24"/>
  <c r="P388" i="3"/>
  <c r="B398" i="3" s="1"/>
  <c r="I110" i="32"/>
  <c r="I136" i="24"/>
  <c r="V32" i="52" l="1"/>
  <c r="V90" i="52" s="1"/>
  <c r="R48" i="52"/>
  <c r="R64" i="52" s="1"/>
  <c r="V33" i="52"/>
  <c r="V70" i="52"/>
  <c r="X50" i="52"/>
  <c r="X23" i="52"/>
  <c r="X22" i="52"/>
  <c r="U69" i="52"/>
  <c r="U71" i="52" s="1"/>
  <c r="T41" i="52"/>
  <c r="U80" i="52"/>
  <c r="U35" i="52"/>
  <c r="Q25" i="53" s="1"/>
  <c r="T89" i="52"/>
  <c r="T91" i="52" s="1"/>
  <c r="S45" i="52"/>
  <c r="S47" i="52"/>
  <c r="T99" i="52"/>
  <c r="T101" i="52" s="1"/>
  <c r="Z17" i="52"/>
  <c r="Y18" i="52"/>
  <c r="AC13" i="52"/>
  <c r="AB15" i="52"/>
  <c r="AB16" i="52" s="1"/>
  <c r="W52" i="52"/>
  <c r="W55" i="52" s="1"/>
  <c r="W58" i="52"/>
  <c r="W60" i="52" s="1"/>
  <c r="U84" i="52"/>
  <c r="U86" i="52" s="1"/>
  <c r="T44" i="52"/>
  <c r="U94" i="52"/>
  <c r="U96" i="52" s="1"/>
  <c r="T46" i="52"/>
  <c r="V30" i="52"/>
  <c r="V80" i="52" s="1"/>
  <c r="U79" i="52"/>
  <c r="T43" i="52"/>
  <c r="U74" i="52"/>
  <c r="U76" i="52" s="1"/>
  <c r="T42" i="52"/>
  <c r="V34" i="52"/>
  <c r="U90" i="52"/>
  <c r="P29" i="53"/>
  <c r="P26" i="53"/>
  <c r="P27" i="53" s="1"/>
  <c r="W28" i="52"/>
  <c r="W32" i="52" s="1"/>
  <c r="W90" i="52" s="1"/>
  <c r="V62" i="52"/>
  <c r="V31" i="52"/>
  <c r="C777" i="5"/>
  <c r="C628" i="3"/>
  <c r="B612" i="3"/>
  <c r="D612" i="3" s="1"/>
  <c r="E612" i="3" s="1"/>
  <c r="P394" i="3"/>
  <c r="I112" i="32"/>
  <c r="C104" i="5"/>
  <c r="H118" i="32"/>
  <c r="C126" i="5"/>
  <c r="C140" i="5"/>
  <c r="A1227" i="5"/>
  <c r="B1228" i="5"/>
  <c r="L1226" i="5"/>
  <c r="D1226" i="5"/>
  <c r="Q1226" i="5"/>
  <c r="S1226" i="5"/>
  <c r="J1226" i="5"/>
  <c r="K1226" i="5"/>
  <c r="C1226" i="5"/>
  <c r="P1226" i="5"/>
  <c r="H1226" i="5"/>
  <c r="N1226" i="5"/>
  <c r="M1226" i="5"/>
  <c r="G1226" i="5"/>
  <c r="O1226" i="5"/>
  <c r="E1226" i="5"/>
  <c r="T1226" i="5"/>
  <c r="I1226" i="5"/>
  <c r="R1226" i="5"/>
  <c r="F1226" i="5"/>
  <c r="I139" i="24"/>
  <c r="H145" i="24"/>
  <c r="S48" i="52" l="1"/>
  <c r="S64" i="52" s="1"/>
  <c r="U81" i="52"/>
  <c r="W34" i="52"/>
  <c r="W100" i="52" s="1"/>
  <c r="W33" i="52"/>
  <c r="W95" i="52" s="1"/>
  <c r="W31" i="52"/>
  <c r="W85" i="52" s="1"/>
  <c r="W30" i="52"/>
  <c r="W80" i="52" s="1"/>
  <c r="W29" i="52"/>
  <c r="W75" i="52" s="1"/>
  <c r="W62" i="52"/>
  <c r="Q29" i="53"/>
  <c r="Q26" i="53"/>
  <c r="Q27" i="53" s="1"/>
  <c r="U43" i="52"/>
  <c r="V79" i="52"/>
  <c r="V81" i="52" s="1"/>
  <c r="V100" i="52"/>
  <c r="V35" i="52"/>
  <c r="R25" i="53" s="1"/>
  <c r="U42" i="52"/>
  <c r="V74" i="52"/>
  <c r="V76" i="52" s="1"/>
  <c r="V94" i="52"/>
  <c r="U46" i="52"/>
  <c r="V69" i="52"/>
  <c r="V71" i="52" s="1"/>
  <c r="U41" i="52"/>
  <c r="X28" i="52"/>
  <c r="X70" i="52" s="1"/>
  <c r="X30" i="52"/>
  <c r="X80" i="52" s="1"/>
  <c r="X34" i="52"/>
  <c r="X100" i="52" s="1"/>
  <c r="AA17" i="52"/>
  <c r="Z18" i="52"/>
  <c r="V85" i="52"/>
  <c r="V84" i="52"/>
  <c r="V86" i="52" s="1"/>
  <c r="U44" i="52"/>
  <c r="X58" i="52"/>
  <c r="X60" i="52" s="1"/>
  <c r="X52" i="52"/>
  <c r="X55" i="52" s="1"/>
  <c r="U89" i="52"/>
  <c r="U91" i="52" s="1"/>
  <c r="T45" i="52"/>
  <c r="T48" i="52" s="1"/>
  <c r="T64" i="52" s="1"/>
  <c r="W70" i="52"/>
  <c r="AD13" i="52"/>
  <c r="AC15" i="52"/>
  <c r="AC16" i="52" s="1"/>
  <c r="U99" i="52"/>
  <c r="U101" i="52" s="1"/>
  <c r="T47" i="52"/>
  <c r="Y22" i="52"/>
  <c r="Y23" i="52"/>
  <c r="Y50" i="52"/>
  <c r="V95" i="52"/>
  <c r="C631" i="3"/>
  <c r="G80" i="32"/>
  <c r="G53" i="24"/>
  <c r="G55" i="24"/>
  <c r="G78" i="32"/>
  <c r="C111" i="5"/>
  <c r="I118" i="32"/>
  <c r="C144" i="5"/>
  <c r="C141" i="5"/>
  <c r="E1227" i="5"/>
  <c r="Q1227" i="5"/>
  <c r="F1227" i="5"/>
  <c r="J1227" i="5"/>
  <c r="G1227" i="5"/>
  <c r="R1227" i="5"/>
  <c r="S1227" i="5"/>
  <c r="P1227" i="5"/>
  <c r="K1227" i="5"/>
  <c r="D1227" i="5"/>
  <c r="N1227" i="5"/>
  <c r="H1227" i="5"/>
  <c r="C1227" i="5"/>
  <c r="O1227" i="5"/>
  <c r="M1227" i="5"/>
  <c r="L1227" i="5"/>
  <c r="T1227" i="5"/>
  <c r="I1227" i="5"/>
  <c r="A1228" i="5"/>
  <c r="B1229" i="5"/>
  <c r="I145" i="24"/>
  <c r="X32" i="52" l="1"/>
  <c r="X62" i="52"/>
  <c r="X29" i="52"/>
  <c r="W35" i="52"/>
  <c r="S25" i="53" s="1"/>
  <c r="W69" i="52"/>
  <c r="W71" i="52" s="1"/>
  <c r="V41" i="52"/>
  <c r="Y52" i="52"/>
  <c r="Y55" i="52" s="1"/>
  <c r="Y58" i="52"/>
  <c r="Y60" i="52" s="1"/>
  <c r="R26" i="53"/>
  <c r="S26" i="53" s="1"/>
  <c r="R29" i="53"/>
  <c r="U45" i="52"/>
  <c r="V89" i="52"/>
  <c r="V91" i="52" s="1"/>
  <c r="V96" i="52"/>
  <c r="W74" i="52"/>
  <c r="W76" i="52" s="1"/>
  <c r="V42" i="52"/>
  <c r="V43" i="52"/>
  <c r="W79" i="52"/>
  <c r="W81" i="52" s="1"/>
  <c r="V44" i="52"/>
  <c r="W84" i="52"/>
  <c r="W86" i="52" s="1"/>
  <c r="Y28" i="52"/>
  <c r="Y30" i="52" s="1"/>
  <c r="Y80" i="52" s="1"/>
  <c r="AB17" i="52"/>
  <c r="AA18" i="52"/>
  <c r="X31" i="52"/>
  <c r="X90" i="52"/>
  <c r="X75" i="52"/>
  <c r="Z22" i="52"/>
  <c r="Z23" i="52"/>
  <c r="Z50" i="52"/>
  <c r="V99" i="52"/>
  <c r="V101" i="52" s="1"/>
  <c r="U47" i="52"/>
  <c r="AE13" i="52"/>
  <c r="AD15" i="52"/>
  <c r="AD16" i="52" s="1"/>
  <c r="X33" i="52"/>
  <c r="D59" i="32"/>
  <c r="C775" i="5"/>
  <c r="D69" i="24"/>
  <c r="F1228" i="5"/>
  <c r="L1228" i="5"/>
  <c r="D1228" i="5"/>
  <c r="G1228" i="5"/>
  <c r="K1228" i="5"/>
  <c r="J1228" i="5"/>
  <c r="H1228" i="5"/>
  <c r="O1228" i="5"/>
  <c r="I1228" i="5"/>
  <c r="P1228" i="5"/>
  <c r="T1228" i="5"/>
  <c r="N1228" i="5"/>
  <c r="R1228" i="5"/>
  <c r="S1228" i="5"/>
  <c r="C1228" i="5"/>
  <c r="Q1228" i="5"/>
  <c r="E1228" i="5"/>
  <c r="M1228" i="5"/>
  <c r="A1229" i="5"/>
  <c r="B1230" i="5"/>
  <c r="D122" i="32"/>
  <c r="D150" i="24"/>
  <c r="F398" i="3"/>
  <c r="Y29" i="52" l="1"/>
  <c r="Y75" i="52" s="1"/>
  <c r="U48" i="52"/>
  <c r="U64" i="52" s="1"/>
  <c r="Y32" i="52"/>
  <c r="Y90" i="52" s="1"/>
  <c r="Y33" i="52"/>
  <c r="Y95" i="52" s="1"/>
  <c r="Y31" i="52"/>
  <c r="Y85" i="52" s="1"/>
  <c r="Y34" i="52"/>
  <c r="Y100" i="52" s="1"/>
  <c r="X74" i="52"/>
  <c r="X76" i="52" s="1"/>
  <c r="W42" i="52"/>
  <c r="X85" i="52"/>
  <c r="W89" i="52"/>
  <c r="W91" i="52" s="1"/>
  <c r="V45" i="52"/>
  <c r="Z28" i="52"/>
  <c r="Z70" i="52" s="1"/>
  <c r="Z34" i="52"/>
  <c r="W94" i="52"/>
  <c r="W96" i="52" s="1"/>
  <c r="V46" i="52"/>
  <c r="X95" i="52"/>
  <c r="R27" i="53"/>
  <c r="AC17" i="52"/>
  <c r="AB18" i="52"/>
  <c r="X79" i="52"/>
  <c r="X81" i="52" s="1"/>
  <c r="W43" i="52"/>
  <c r="AA23" i="52"/>
  <c r="AA50" i="52"/>
  <c r="AA22" i="52"/>
  <c r="Y62" i="52"/>
  <c r="X35" i="52"/>
  <c r="W99" i="52"/>
  <c r="W101" i="52" s="1"/>
  <c r="V47" i="52"/>
  <c r="Z52" i="52"/>
  <c r="Z55" i="52" s="1"/>
  <c r="Z58" i="52"/>
  <c r="Z60" i="52" s="1"/>
  <c r="Y70" i="52"/>
  <c r="W41" i="52"/>
  <c r="X69" i="52"/>
  <c r="X71" i="52" s="1"/>
  <c r="AF13" i="52"/>
  <c r="AE15" i="52"/>
  <c r="AE16" i="52" s="1"/>
  <c r="X84" i="52"/>
  <c r="W44" i="52"/>
  <c r="G398" i="3"/>
  <c r="C146" i="5"/>
  <c r="M1229" i="5"/>
  <c r="L1229" i="5"/>
  <c r="J1229" i="5"/>
  <c r="P1229" i="5"/>
  <c r="E1229" i="5"/>
  <c r="F1229" i="5"/>
  <c r="G1229" i="5"/>
  <c r="S1229" i="5"/>
  <c r="R1229" i="5"/>
  <c r="K1229" i="5"/>
  <c r="O1229" i="5"/>
  <c r="T1229" i="5"/>
  <c r="C1229" i="5"/>
  <c r="H1229" i="5"/>
  <c r="D1229" i="5"/>
  <c r="Q1229" i="5"/>
  <c r="I1229" i="5"/>
  <c r="N1229" i="5"/>
  <c r="A1230" i="5"/>
  <c r="B1231" i="5"/>
  <c r="Z32" i="52" l="1"/>
  <c r="Z33" i="52"/>
  <c r="Z95" i="52" s="1"/>
  <c r="Z31" i="52"/>
  <c r="Z85" i="52" s="1"/>
  <c r="Z30" i="52"/>
  <c r="Z80" i="52" s="1"/>
  <c r="X86" i="52"/>
  <c r="V48" i="52"/>
  <c r="V64" i="52" s="1"/>
  <c r="Z62" i="52"/>
  <c r="Y35" i="52"/>
  <c r="X94" i="52"/>
  <c r="X96" i="52" s="1"/>
  <c r="W46" i="52"/>
  <c r="AA28" i="52"/>
  <c r="AA30" i="52" s="1"/>
  <c r="Z29" i="52"/>
  <c r="Z90" i="52"/>
  <c r="X44" i="52"/>
  <c r="Y84" i="52"/>
  <c r="Y86" i="52" s="1"/>
  <c r="X89" i="52"/>
  <c r="X91" i="52" s="1"/>
  <c r="W45" i="52"/>
  <c r="W48" i="52" s="1"/>
  <c r="W64" i="52" s="1"/>
  <c r="Z100" i="52"/>
  <c r="AA58" i="52"/>
  <c r="AA60" i="52" s="1"/>
  <c r="AA52" i="52"/>
  <c r="AA55" i="52" s="1"/>
  <c r="AB50" i="52"/>
  <c r="AB23" i="52"/>
  <c r="AB22" i="52"/>
  <c r="Y69" i="52"/>
  <c r="Y71" i="52" s="1"/>
  <c r="X41" i="52"/>
  <c r="AD17" i="52"/>
  <c r="AC18" i="52"/>
  <c r="W47" i="52"/>
  <c r="X99" i="52"/>
  <c r="X101" i="52" s="1"/>
  <c r="Y79" i="52"/>
  <c r="Y81" i="52" s="1"/>
  <c r="X43" i="52"/>
  <c r="AG13" i="52"/>
  <c r="AF15" i="52"/>
  <c r="AF16" i="52" s="1"/>
  <c r="Y74" i="52"/>
  <c r="Y76" i="52" s="1"/>
  <c r="X42" i="52"/>
  <c r="F150" i="24"/>
  <c r="F122" i="32"/>
  <c r="A1231" i="5"/>
  <c r="B1232" i="5"/>
  <c r="O1230" i="5"/>
  <c r="I1230" i="5"/>
  <c r="N1230" i="5"/>
  <c r="K1230" i="5"/>
  <c r="T1230" i="5"/>
  <c r="H1230" i="5"/>
  <c r="J1230" i="5"/>
  <c r="D1230" i="5"/>
  <c r="G1230" i="5"/>
  <c r="M1230" i="5"/>
  <c r="F1230" i="5"/>
  <c r="C1230" i="5"/>
  <c r="Q1230" i="5"/>
  <c r="E1230" i="5"/>
  <c r="P1230" i="5"/>
  <c r="S1230" i="5"/>
  <c r="R1230" i="5"/>
  <c r="L1230" i="5"/>
  <c r="AA62" i="52" l="1"/>
  <c r="AA34" i="52"/>
  <c r="AA100" i="52" s="1"/>
  <c r="AA32" i="52"/>
  <c r="AA90" i="52" s="1"/>
  <c r="AA29" i="52"/>
  <c r="AA31" i="52"/>
  <c r="AD4" i="52"/>
  <c r="W4" i="52"/>
  <c r="Z74" i="52"/>
  <c r="Y42" i="52"/>
  <c r="Z84" i="52"/>
  <c r="Z86" i="52" s="1"/>
  <c r="Y44" i="52"/>
  <c r="AA85" i="52"/>
  <c r="P9" i="52"/>
  <c r="AA75" i="52"/>
  <c r="I9" i="52"/>
  <c r="X47" i="52"/>
  <c r="Y99" i="52"/>
  <c r="Y101" i="52" s="1"/>
  <c r="Z75" i="52"/>
  <c r="Z35" i="52"/>
  <c r="AA80" i="52"/>
  <c r="P4" i="52"/>
  <c r="X45" i="52"/>
  <c r="Y89" i="52"/>
  <c r="Y91" i="52" s="1"/>
  <c r="Y41" i="52"/>
  <c r="Z69" i="52"/>
  <c r="Z71" i="52" s="1"/>
  <c r="AB28" i="52"/>
  <c r="AB34" i="52" s="1"/>
  <c r="AB31" i="52"/>
  <c r="AB29" i="52"/>
  <c r="AB58" i="52"/>
  <c r="AB60" i="52" s="1"/>
  <c r="AB52" i="52"/>
  <c r="AB55" i="52" s="1"/>
  <c r="AB62" i="52" s="1"/>
  <c r="AH13" i="52"/>
  <c r="AG15" i="52"/>
  <c r="AG16" i="52" s="1"/>
  <c r="Z79" i="52"/>
  <c r="Z81" i="52" s="1"/>
  <c r="Y43" i="52"/>
  <c r="AC50" i="52"/>
  <c r="AC23" i="52"/>
  <c r="AC22" i="52"/>
  <c r="AE17" i="52"/>
  <c r="AD18" i="52"/>
  <c r="AA33" i="52"/>
  <c r="AA70" i="52"/>
  <c r="I4" i="52"/>
  <c r="X46" i="52"/>
  <c r="Y94" i="52"/>
  <c r="Y96" i="52" s="1"/>
  <c r="A1232" i="5"/>
  <c r="B1233" i="5"/>
  <c r="D1231" i="5"/>
  <c r="K1231" i="5"/>
  <c r="S1231" i="5"/>
  <c r="Q1231" i="5"/>
  <c r="H1231" i="5"/>
  <c r="J1231" i="5"/>
  <c r="L1231" i="5"/>
  <c r="P1231" i="5"/>
  <c r="M1231" i="5"/>
  <c r="C1231" i="5"/>
  <c r="G1231" i="5"/>
  <c r="R1231" i="5"/>
  <c r="T1231" i="5"/>
  <c r="F1231" i="5"/>
  <c r="N1231" i="5"/>
  <c r="E1231" i="5"/>
  <c r="O1231" i="5"/>
  <c r="I1231" i="5"/>
  <c r="AB32" i="52" l="1"/>
  <c r="AB33" i="52"/>
  <c r="X48" i="52"/>
  <c r="X64" i="52" s="1"/>
  <c r="AC58" i="52"/>
  <c r="AC60" i="52" s="1"/>
  <c r="AC52" i="52"/>
  <c r="AC55" i="52" s="1"/>
  <c r="AC62" i="52" s="1"/>
  <c r="AB85" i="52"/>
  <c r="AB75" i="52"/>
  <c r="AI13" i="52"/>
  <c r="AH15" i="52"/>
  <c r="AH16" i="52" s="1"/>
  <c r="Z94" i="52"/>
  <c r="Z96" i="52" s="1"/>
  <c r="Y46" i="52"/>
  <c r="AA84" i="52"/>
  <c r="AA86" i="52" s="1"/>
  <c r="Z44" i="52"/>
  <c r="AA95" i="52"/>
  <c r="W9" i="52"/>
  <c r="AA35" i="52"/>
  <c r="AF17" i="52"/>
  <c r="AE18" i="52"/>
  <c r="Z99" i="52"/>
  <c r="Z101" i="52" s="1"/>
  <c r="Y47" i="52"/>
  <c r="AB90" i="52"/>
  <c r="AD23" i="52"/>
  <c r="AD50" i="52"/>
  <c r="AD22" i="52"/>
  <c r="AC28" i="52"/>
  <c r="AC70" i="52" s="1"/>
  <c r="AC30" i="52"/>
  <c r="AC80" i="52" s="1"/>
  <c r="AC29" i="52"/>
  <c r="AC75" i="52" s="1"/>
  <c r="Z76" i="52"/>
  <c r="Z43" i="52"/>
  <c r="AA79" i="52"/>
  <c r="AA81" i="52" s="1"/>
  <c r="AB95" i="52"/>
  <c r="AB100" i="52"/>
  <c r="AB30" i="52"/>
  <c r="AB35" i="52" s="1"/>
  <c r="AB70" i="52"/>
  <c r="AA69" i="52"/>
  <c r="AA71" i="52" s="1"/>
  <c r="Z41" i="52"/>
  <c r="Z89" i="52"/>
  <c r="Z91" i="52" s="1"/>
  <c r="Y45" i="52"/>
  <c r="A1233" i="5"/>
  <c r="B1234" i="5"/>
  <c r="I1232" i="5"/>
  <c r="K1232" i="5"/>
  <c r="G1232" i="5"/>
  <c r="P1232" i="5"/>
  <c r="T1232" i="5"/>
  <c r="J1232" i="5"/>
  <c r="R1232" i="5"/>
  <c r="S1232" i="5"/>
  <c r="D1232" i="5"/>
  <c r="Q1232" i="5"/>
  <c r="N1232" i="5"/>
  <c r="O1232" i="5"/>
  <c r="L1232" i="5"/>
  <c r="M1232" i="5"/>
  <c r="H1232" i="5"/>
  <c r="F1232" i="5"/>
  <c r="C1232" i="5"/>
  <c r="E1232" i="5"/>
  <c r="AC34" i="52" l="1"/>
  <c r="AC100" i="52" s="1"/>
  <c r="AC31" i="52"/>
  <c r="AC85" i="52" s="1"/>
  <c r="AC33" i="52"/>
  <c r="AC95" i="52" s="1"/>
  <c r="Y48" i="52"/>
  <c r="Y64" i="52" s="1"/>
  <c r="AJ13" i="52"/>
  <c r="AI15" i="52"/>
  <c r="AI16" i="52" s="1"/>
  <c r="AA89" i="52"/>
  <c r="AA91" i="52" s="1"/>
  <c r="Z45" i="52"/>
  <c r="AB80" i="52"/>
  <c r="AD58" i="52"/>
  <c r="AD60" i="52" s="1"/>
  <c r="AD52" i="52"/>
  <c r="AD55" i="52" s="1"/>
  <c r="AD62" i="52" s="1"/>
  <c r="AE23" i="52"/>
  <c r="AE22" i="52"/>
  <c r="AE50" i="52"/>
  <c r="AA44" i="52"/>
  <c r="AB84" i="52"/>
  <c r="AB86" i="52" s="1"/>
  <c r="AG17" i="52"/>
  <c r="AF18" i="52"/>
  <c r="AB69" i="52"/>
  <c r="AB71" i="52" s="1"/>
  <c r="AA41" i="52"/>
  <c r="AD28" i="52"/>
  <c r="AD30" i="52" s="1"/>
  <c r="AA94" i="52"/>
  <c r="AA96" i="52" s="1"/>
  <c r="Z46" i="52"/>
  <c r="AB79" i="52"/>
  <c r="AA43" i="52"/>
  <c r="AA99" i="52"/>
  <c r="AA101" i="52" s="1"/>
  <c r="Z47" i="52"/>
  <c r="Z42" i="52"/>
  <c r="AA74" i="52"/>
  <c r="AA76" i="52" s="1"/>
  <c r="AC32" i="52"/>
  <c r="A1234" i="5"/>
  <c r="B1235" i="5"/>
  <c r="N1233" i="5"/>
  <c r="I1233" i="5"/>
  <c r="T1233" i="5"/>
  <c r="C1233" i="5"/>
  <c r="G1233" i="5"/>
  <c r="O1233" i="5"/>
  <c r="J1233" i="5"/>
  <c r="D1233" i="5"/>
  <c r="H1233" i="5"/>
  <c r="M1233" i="5"/>
  <c r="S1233" i="5"/>
  <c r="L1233" i="5"/>
  <c r="R1233" i="5"/>
  <c r="P1233" i="5"/>
  <c r="K1233" i="5"/>
  <c r="Q1233" i="5"/>
  <c r="F1233" i="5"/>
  <c r="E1233" i="5"/>
  <c r="AB81" i="52" l="1"/>
  <c r="Z48" i="52"/>
  <c r="Z64" i="52" s="1"/>
  <c r="AD31" i="52"/>
  <c r="AD85" i="52" s="1"/>
  <c r="AD32" i="52"/>
  <c r="AD90" i="52" s="1"/>
  <c r="AD29" i="52"/>
  <c r="AD75" i="52" s="1"/>
  <c r="AD80" i="52"/>
  <c r="AB94" i="52"/>
  <c r="AB96" i="52" s="1"/>
  <c r="AA46" i="52"/>
  <c r="AB89" i="52"/>
  <c r="AB91" i="52" s="1"/>
  <c r="AA45" i="52"/>
  <c r="AE28" i="52"/>
  <c r="AE70" i="52" s="1"/>
  <c r="AE31" i="52"/>
  <c r="AE85" i="52" s="1"/>
  <c r="AE29" i="52"/>
  <c r="AE75" i="52" s="1"/>
  <c r="AD33" i="52"/>
  <c r="AC69" i="52"/>
  <c r="AC71" i="52" s="1"/>
  <c r="AB41" i="52"/>
  <c r="AC90" i="52"/>
  <c r="AB74" i="52"/>
  <c r="AB76" i="52" s="1"/>
  <c r="AA42" i="52"/>
  <c r="AH17" i="52"/>
  <c r="AG18" i="52"/>
  <c r="AK13" i="52"/>
  <c r="AJ15" i="52"/>
  <c r="AJ16" i="52" s="1"/>
  <c r="AE52" i="52"/>
  <c r="AE55" i="52" s="1"/>
  <c r="AE58" i="52"/>
  <c r="AE60" i="52" s="1"/>
  <c r="AD34" i="52"/>
  <c r="AD70" i="52"/>
  <c r="AB43" i="52"/>
  <c r="AC79" i="52"/>
  <c r="AC81" i="52" s="1"/>
  <c r="AF50" i="52"/>
  <c r="AF23" i="52"/>
  <c r="AF22" i="52"/>
  <c r="AC35" i="52"/>
  <c r="AA47" i="52"/>
  <c r="AB99" i="52"/>
  <c r="AB101" i="52" s="1"/>
  <c r="AC84" i="52"/>
  <c r="AC86" i="52" s="1"/>
  <c r="AB44" i="52"/>
  <c r="A1235" i="5"/>
  <c r="B1236" i="5"/>
  <c r="T1234" i="5"/>
  <c r="N1234" i="5"/>
  <c r="R1234" i="5"/>
  <c r="I1234" i="5"/>
  <c r="O1234" i="5"/>
  <c r="D1234" i="5"/>
  <c r="L1234" i="5"/>
  <c r="F1234" i="5"/>
  <c r="Q1234" i="5"/>
  <c r="C1234" i="5"/>
  <c r="S1234" i="5"/>
  <c r="G1234" i="5"/>
  <c r="M1234" i="5"/>
  <c r="E1234" i="5"/>
  <c r="K1234" i="5"/>
  <c r="P1234" i="5"/>
  <c r="H1234" i="5"/>
  <c r="J1234" i="5"/>
  <c r="AE30" i="52" l="1"/>
  <c r="AE80" i="52" s="1"/>
  <c r="AE33" i="52"/>
  <c r="AE95" i="52" s="1"/>
  <c r="AE34" i="52"/>
  <c r="AE100" i="52" s="1"/>
  <c r="AE62" i="52"/>
  <c r="AA48" i="52"/>
  <c r="AA64" i="52" s="1"/>
  <c r="AC43" i="52"/>
  <c r="AD79" i="52"/>
  <c r="AD81" i="52" s="1"/>
  <c r="AE32" i="52"/>
  <c r="AD95" i="52"/>
  <c r="AD69" i="52"/>
  <c r="AD71" i="52" s="1"/>
  <c r="AC41" i="52"/>
  <c r="AC44" i="52"/>
  <c r="AD84" i="52"/>
  <c r="AD86" i="52" s="1"/>
  <c r="AG23" i="52"/>
  <c r="AG50" i="52"/>
  <c r="AG22" i="52"/>
  <c r="AC89" i="52"/>
  <c r="AC91" i="52" s="1"/>
  <c r="AB45" i="52"/>
  <c r="AB46" i="52"/>
  <c r="AC94" i="52"/>
  <c r="AC96" i="52" s="1"/>
  <c r="AD100" i="52"/>
  <c r="AC99" i="52"/>
  <c r="AC101" i="52" s="1"/>
  <c r="AB47" i="52"/>
  <c r="AI17" i="52"/>
  <c r="AH18" i="52"/>
  <c r="AB42" i="52"/>
  <c r="AC74" i="52"/>
  <c r="AC76" i="52" s="1"/>
  <c r="AD35" i="52"/>
  <c r="AF58" i="52"/>
  <c r="AF60" i="52" s="1"/>
  <c r="AF52" i="52"/>
  <c r="AF55" i="52" s="1"/>
  <c r="AL13" i="52"/>
  <c r="AK15" i="52"/>
  <c r="AK16" i="52" s="1"/>
  <c r="AF28" i="52"/>
  <c r="AF32" i="52" s="1"/>
  <c r="AF90" i="52" s="1"/>
  <c r="A1236" i="5"/>
  <c r="B1237" i="5"/>
  <c r="H1235" i="5"/>
  <c r="P1235" i="5"/>
  <c r="M1235" i="5"/>
  <c r="J1235" i="5"/>
  <c r="E1235" i="5"/>
  <c r="D1235" i="5"/>
  <c r="R1235" i="5"/>
  <c r="F1235" i="5"/>
  <c r="G1235" i="5"/>
  <c r="N1235" i="5"/>
  <c r="O1235" i="5"/>
  <c r="C1235" i="5"/>
  <c r="L1235" i="5"/>
  <c r="T1235" i="5"/>
  <c r="K1235" i="5"/>
  <c r="Q1235" i="5"/>
  <c r="I1235" i="5"/>
  <c r="S1235" i="5"/>
  <c r="AB48" i="52" l="1"/>
  <c r="AB64" i="52" s="1"/>
  <c r="AG28" i="52"/>
  <c r="AG70" i="52" s="1"/>
  <c r="AG30" i="52"/>
  <c r="AG80" i="52" s="1"/>
  <c r="AG34" i="52"/>
  <c r="AG100" i="52" s="1"/>
  <c r="AG31" i="52"/>
  <c r="AG85" i="52" s="1"/>
  <c r="AG29" i="52"/>
  <c r="AG75" i="52" s="1"/>
  <c r="AG33" i="52"/>
  <c r="AG95" i="52" s="1"/>
  <c r="AG32" i="52"/>
  <c r="AG90" i="52" s="1"/>
  <c r="AF30" i="52"/>
  <c r="AF70" i="52"/>
  <c r="AM13" i="52"/>
  <c r="AL15" i="52"/>
  <c r="AL16" i="52" s="1"/>
  <c r="AF62" i="52"/>
  <c r="AG58" i="52"/>
  <c r="AG60" i="52" s="1"/>
  <c r="AG52" i="52"/>
  <c r="AG55" i="52" s="1"/>
  <c r="AG62" i="52" s="1"/>
  <c r="AD44" i="52"/>
  <c r="AE84" i="52"/>
  <c r="AE86" i="52" s="1"/>
  <c r="AD89" i="52"/>
  <c r="AD91" i="52" s="1"/>
  <c r="AC45" i="52"/>
  <c r="AD41" i="52"/>
  <c r="AE69" i="52"/>
  <c r="AE71" i="52" s="1"/>
  <c r="AD74" i="52"/>
  <c r="AD76" i="52" s="1"/>
  <c r="AC42" i="52"/>
  <c r="AE90" i="52"/>
  <c r="AE79" i="52"/>
  <c r="AE81" i="52" s="1"/>
  <c r="AD43" i="52"/>
  <c r="AF34" i="52"/>
  <c r="AC46" i="52"/>
  <c r="AD94" i="52"/>
  <c r="AD96" i="52" s="1"/>
  <c r="AE35" i="52"/>
  <c r="AH22" i="52"/>
  <c r="AH23" i="52"/>
  <c r="AH50" i="52"/>
  <c r="AJ17" i="52"/>
  <c r="AI18" i="52"/>
  <c r="AD99" i="52"/>
  <c r="AD101" i="52" s="1"/>
  <c r="AC47" i="52"/>
  <c r="AF31" i="52"/>
  <c r="AF29" i="52"/>
  <c r="AF33" i="52"/>
  <c r="A1237" i="5"/>
  <c r="B1238" i="5"/>
  <c r="E1236" i="5"/>
  <c r="I1236" i="5"/>
  <c r="S1236" i="5"/>
  <c r="O1236" i="5"/>
  <c r="J1236" i="5"/>
  <c r="T1236" i="5"/>
  <c r="D1236" i="5"/>
  <c r="P1236" i="5"/>
  <c r="G1236" i="5"/>
  <c r="Q1236" i="5"/>
  <c r="F1236" i="5"/>
  <c r="L1236" i="5"/>
  <c r="M1236" i="5"/>
  <c r="N1236" i="5"/>
  <c r="R1236" i="5"/>
  <c r="C1236" i="5"/>
  <c r="H1236" i="5"/>
  <c r="K1236" i="5"/>
  <c r="AC48" i="52" l="1"/>
  <c r="AC64" i="52" s="1"/>
  <c r="AF35" i="52"/>
  <c r="AH28" i="52"/>
  <c r="AH34" i="52" s="1"/>
  <c r="AH32" i="52"/>
  <c r="AH90" i="52" s="1"/>
  <c r="AH33" i="52"/>
  <c r="AH95" i="52" s="1"/>
  <c r="AH30" i="52"/>
  <c r="AH80" i="52" s="1"/>
  <c r="AH29" i="52"/>
  <c r="AH75" i="52" s="1"/>
  <c r="AH31" i="52"/>
  <c r="AH85" i="52" s="1"/>
  <c r="AN13" i="52"/>
  <c r="AM15" i="52"/>
  <c r="AM16" i="52" s="1"/>
  <c r="AF79" i="52"/>
  <c r="AE43" i="52"/>
  <c r="AF95" i="52"/>
  <c r="AF80" i="52"/>
  <c r="AF75" i="52"/>
  <c r="AG35" i="52"/>
  <c r="AF85" i="52"/>
  <c r="AD42" i="52"/>
  <c r="AE74" i="52"/>
  <c r="AE76" i="52" s="1"/>
  <c r="AE99" i="52"/>
  <c r="AE101" i="52" s="1"/>
  <c r="AD47" i="52"/>
  <c r="AE94" i="52"/>
  <c r="AE96" i="52" s="1"/>
  <c r="AD46" i="52"/>
  <c r="AE89" i="52"/>
  <c r="AE91" i="52" s="1"/>
  <c r="AD45" i="52"/>
  <c r="AF100" i="52"/>
  <c r="AE41" i="52"/>
  <c r="AF69" i="52"/>
  <c r="AF71" i="52" s="1"/>
  <c r="AI50" i="52"/>
  <c r="AI23" i="52"/>
  <c r="AI22" i="52"/>
  <c r="AK17" i="52"/>
  <c r="AJ18" i="52"/>
  <c r="AH52" i="52"/>
  <c r="AH55" i="52" s="1"/>
  <c r="AH58" i="52"/>
  <c r="AH60" i="52" s="1"/>
  <c r="AE44" i="52"/>
  <c r="AF84" i="52"/>
  <c r="A1238" i="5"/>
  <c r="B1239" i="5"/>
  <c r="Q1237" i="5"/>
  <c r="R1237" i="5"/>
  <c r="C1237" i="5"/>
  <c r="M1237" i="5"/>
  <c r="H1237" i="5"/>
  <c r="J1237" i="5"/>
  <c r="S1237" i="5"/>
  <c r="P1237" i="5"/>
  <c r="E1237" i="5"/>
  <c r="N1237" i="5"/>
  <c r="F1237" i="5"/>
  <c r="I1237" i="5"/>
  <c r="L1237" i="5"/>
  <c r="T1237" i="5"/>
  <c r="K1237" i="5"/>
  <c r="G1237" i="5"/>
  <c r="O1237" i="5"/>
  <c r="D1237" i="5"/>
  <c r="AH62" i="52" l="1"/>
  <c r="AD48" i="52"/>
  <c r="AD64" i="52" s="1"/>
  <c r="AF86" i="52"/>
  <c r="AF44" i="52" s="1"/>
  <c r="AH100" i="52"/>
  <c r="AF81" i="52"/>
  <c r="AF94" i="52"/>
  <c r="AF96" i="52" s="1"/>
  <c r="AE46" i="52"/>
  <c r="AO13" i="52"/>
  <c r="AN15" i="52"/>
  <c r="AN16" i="52" s="1"/>
  <c r="AF89" i="52"/>
  <c r="AF91" i="52" s="1"/>
  <c r="AE45" i="52"/>
  <c r="AH35" i="52"/>
  <c r="AI58" i="52"/>
  <c r="AI60" i="52" s="1"/>
  <c r="AI52" i="52"/>
  <c r="AI55" i="52" s="1"/>
  <c r="AI62" i="52" s="1"/>
  <c r="AF74" i="52"/>
  <c r="AF76" i="52" s="1"/>
  <c r="AE42" i="52"/>
  <c r="AF99" i="52"/>
  <c r="AF101" i="52" s="1"/>
  <c r="AE47" i="52"/>
  <c r="AI28" i="52"/>
  <c r="AI70" i="52" s="1"/>
  <c r="AI29" i="52"/>
  <c r="AI75" i="52" s="1"/>
  <c r="AI32" i="52"/>
  <c r="AI30" i="52"/>
  <c r="AH70" i="52"/>
  <c r="AF41" i="52"/>
  <c r="AG69" i="52"/>
  <c r="AG71" i="52" s="1"/>
  <c r="AJ50" i="52"/>
  <c r="AJ22" i="52"/>
  <c r="AJ23" i="52"/>
  <c r="AL17" i="52"/>
  <c r="AK18" i="52"/>
  <c r="A1239" i="5"/>
  <c r="B1240" i="5"/>
  <c r="F1238" i="5"/>
  <c r="D1238" i="5"/>
  <c r="P1238" i="5"/>
  <c r="G1238" i="5"/>
  <c r="M1238" i="5"/>
  <c r="C1238" i="5"/>
  <c r="Q1238" i="5"/>
  <c r="J1238" i="5"/>
  <c r="O1238" i="5"/>
  <c r="K1238" i="5"/>
  <c r="L1238" i="5"/>
  <c r="S1238" i="5"/>
  <c r="T1238" i="5"/>
  <c r="I1238" i="5"/>
  <c r="R1238" i="5"/>
  <c r="E1238" i="5"/>
  <c r="N1238" i="5"/>
  <c r="H1238" i="5"/>
  <c r="AE48" i="52" l="1"/>
  <c r="AE64" i="52" s="1"/>
  <c r="AG84" i="52"/>
  <c r="AG86" i="52" s="1"/>
  <c r="AI33" i="52"/>
  <c r="AI34" i="52"/>
  <c r="AI100" i="52" s="1"/>
  <c r="AI31" i="52"/>
  <c r="AG99" i="52"/>
  <c r="AG101" i="52" s="1"/>
  <c r="AF47" i="52"/>
  <c r="AG74" i="52"/>
  <c r="AG76" i="52" s="1"/>
  <c r="AF42" i="52"/>
  <c r="AG89" i="52"/>
  <c r="AG91" i="52" s="1"/>
  <c r="AF45" i="52"/>
  <c r="AP13" i="52"/>
  <c r="AO15" i="52"/>
  <c r="AO16" i="52" s="1"/>
  <c r="AH69" i="52"/>
  <c r="AH71" i="52" s="1"/>
  <c r="AG41" i="52"/>
  <c r="AF46" i="52"/>
  <c r="AG94" i="52"/>
  <c r="AG96" i="52" s="1"/>
  <c r="AM17" i="52"/>
  <c r="AL18" i="52"/>
  <c r="AG79" i="52"/>
  <c r="AG81" i="52" s="1"/>
  <c r="AF43" i="52"/>
  <c r="AI80" i="52"/>
  <c r="AI90" i="52"/>
  <c r="AJ28" i="52"/>
  <c r="AJ34" i="52" s="1"/>
  <c r="AJ100" i="52" s="1"/>
  <c r="AJ29" i="52"/>
  <c r="AJ75" i="52" s="1"/>
  <c r="AJ31" i="52"/>
  <c r="AJ85" i="52" s="1"/>
  <c r="AJ52" i="52"/>
  <c r="AJ55" i="52" s="1"/>
  <c r="AJ58" i="52"/>
  <c r="AJ60" i="52" s="1"/>
  <c r="AI95" i="52"/>
  <c r="AK22" i="52"/>
  <c r="AK23" i="52"/>
  <c r="AK50" i="52"/>
  <c r="AH84" i="52"/>
  <c r="AH86" i="52" s="1"/>
  <c r="AG44" i="52"/>
  <c r="A1240" i="5"/>
  <c r="B1241" i="5"/>
  <c r="T1239" i="5"/>
  <c r="H1239" i="5"/>
  <c r="N1239" i="5"/>
  <c r="G1239" i="5"/>
  <c r="C1239" i="5"/>
  <c r="L1239" i="5"/>
  <c r="P1239" i="5"/>
  <c r="K1239" i="5"/>
  <c r="F1239" i="5"/>
  <c r="D1239" i="5"/>
  <c r="R1239" i="5"/>
  <c r="S1239" i="5"/>
  <c r="J1239" i="5"/>
  <c r="O1239" i="5"/>
  <c r="M1239" i="5"/>
  <c r="Q1239" i="5"/>
  <c r="I1239" i="5"/>
  <c r="E1239" i="5"/>
  <c r="AJ32" i="52" l="1"/>
  <c r="AJ90" i="52" s="1"/>
  <c r="AJ33" i="52"/>
  <c r="AJ95" i="52" s="1"/>
  <c r="AJ62" i="52"/>
  <c r="AI85" i="52"/>
  <c r="AI35" i="52"/>
  <c r="AF48" i="52"/>
  <c r="AF64" i="52" s="1"/>
  <c r="AG46" i="52"/>
  <c r="AH94" i="52"/>
  <c r="AH96" i="52" s="1"/>
  <c r="AH79" i="52"/>
  <c r="AH81" i="52" s="1"/>
  <c r="AG43" i="52"/>
  <c r="AL22" i="52"/>
  <c r="AL50" i="52"/>
  <c r="AL23" i="52"/>
  <c r="AI69" i="52"/>
  <c r="AI71" i="52" s="1"/>
  <c r="AH41" i="52"/>
  <c r="AQ13" i="52"/>
  <c r="AP15" i="52"/>
  <c r="AP16" i="52" s="1"/>
  <c r="AN17" i="52"/>
  <c r="AM18" i="52"/>
  <c r="AH89" i="52"/>
  <c r="AH91" i="52" s="1"/>
  <c r="AG45" i="52"/>
  <c r="AK28" i="52"/>
  <c r="AJ70" i="52"/>
  <c r="J4" i="52"/>
  <c r="AJ30" i="52"/>
  <c r="AG42" i="52"/>
  <c r="AH74" i="52"/>
  <c r="AH76" i="52" s="1"/>
  <c r="AH44" i="52"/>
  <c r="AI84" i="52"/>
  <c r="AI86" i="52" s="1"/>
  <c r="AK58" i="52"/>
  <c r="AK60" i="52" s="1"/>
  <c r="AK52" i="52"/>
  <c r="AK55" i="52" s="1"/>
  <c r="AH99" i="52"/>
  <c r="AH101" i="52" s="1"/>
  <c r="AG47" i="52"/>
  <c r="A1241" i="5"/>
  <c r="B1242" i="5"/>
  <c r="Q1240" i="5"/>
  <c r="T1240" i="5"/>
  <c r="R1240" i="5"/>
  <c r="I1240" i="5"/>
  <c r="L1240" i="5"/>
  <c r="H1240" i="5"/>
  <c r="N1240" i="5"/>
  <c r="D1240" i="5"/>
  <c r="S1240" i="5"/>
  <c r="F1240" i="5"/>
  <c r="E1240" i="5"/>
  <c r="C1240" i="5"/>
  <c r="G1240" i="5"/>
  <c r="O1240" i="5"/>
  <c r="M1240" i="5"/>
  <c r="K1240" i="5"/>
  <c r="J1240" i="5"/>
  <c r="P1240" i="5"/>
  <c r="AK62" i="52" l="1"/>
  <c r="AG48" i="52"/>
  <c r="AG64" i="52" s="1"/>
  <c r="AR13" i="52"/>
  <c r="AQ15" i="52"/>
  <c r="AQ16" i="52" s="1"/>
  <c r="AO17" i="52"/>
  <c r="AN18" i="52"/>
  <c r="AL28" i="52"/>
  <c r="AL32" i="52" s="1"/>
  <c r="AK34" i="52"/>
  <c r="AK70" i="52"/>
  <c r="AH45" i="52"/>
  <c r="AI89" i="52"/>
  <c r="AI91" i="52" s="1"/>
  <c r="AI44" i="52"/>
  <c r="AJ84" i="52"/>
  <c r="AJ86" i="52" s="1"/>
  <c r="AH42" i="52"/>
  <c r="AI74" i="52"/>
  <c r="AI76" i="52" s="1"/>
  <c r="AJ80" i="52"/>
  <c r="AJ35" i="52"/>
  <c r="AI79" i="52"/>
  <c r="AI81" i="52" s="1"/>
  <c r="AH43" i="52"/>
  <c r="AI99" i="52"/>
  <c r="AI101" i="52" s="1"/>
  <c r="AH47" i="52"/>
  <c r="AL52" i="52"/>
  <c r="AL55" i="52" s="1"/>
  <c r="AL58" i="52"/>
  <c r="AL60" i="52" s="1"/>
  <c r="AI94" i="52"/>
  <c r="AI96" i="52" s="1"/>
  <c r="AH46" i="52"/>
  <c r="AM50" i="52"/>
  <c r="AM23" i="52"/>
  <c r="AM22" i="52"/>
  <c r="AJ69" i="52"/>
  <c r="AJ71" i="52" s="1"/>
  <c r="AI41" i="52"/>
  <c r="AK32" i="52"/>
  <c r="AK30" i="52"/>
  <c r="AK29" i="52"/>
  <c r="AK31" i="52"/>
  <c r="AK33" i="52"/>
  <c r="A1242" i="5"/>
  <c r="B1243" i="5"/>
  <c r="O1241" i="5"/>
  <c r="H1241" i="5"/>
  <c r="D1241" i="5"/>
  <c r="L1241" i="5"/>
  <c r="S1241" i="5"/>
  <c r="T1241" i="5"/>
  <c r="P1241" i="5"/>
  <c r="J1241" i="5"/>
  <c r="N1241" i="5"/>
  <c r="I1241" i="5"/>
  <c r="C1241" i="5"/>
  <c r="F1241" i="5"/>
  <c r="K1241" i="5"/>
  <c r="Q1241" i="5"/>
  <c r="M1241" i="5"/>
  <c r="E1241" i="5"/>
  <c r="R1241" i="5"/>
  <c r="G1241" i="5"/>
  <c r="AL33" i="52" l="1"/>
  <c r="AL34" i="52"/>
  <c r="AL29" i="52"/>
  <c r="AL62" i="52"/>
  <c r="AH48" i="52"/>
  <c r="AH64" i="52" s="1"/>
  <c r="AL90" i="52"/>
  <c r="AL95" i="52"/>
  <c r="AM58" i="52"/>
  <c r="AM60" i="52" s="1"/>
  <c r="AM52" i="52"/>
  <c r="AM55" i="52" s="1"/>
  <c r="AL75" i="52"/>
  <c r="AK100" i="52"/>
  <c r="AE4" i="52"/>
  <c r="AL100" i="52"/>
  <c r="AL31" i="52"/>
  <c r="AI47" i="52"/>
  <c r="AJ99" i="52"/>
  <c r="AJ101" i="52" s="1"/>
  <c r="AL30" i="52"/>
  <c r="AL70" i="52"/>
  <c r="AJ79" i="52"/>
  <c r="AJ81" i="52" s="1"/>
  <c r="AI43" i="52"/>
  <c r="AN50" i="52"/>
  <c r="AN23" i="52"/>
  <c r="AN22" i="52"/>
  <c r="AK95" i="52"/>
  <c r="X9" i="52"/>
  <c r="AP17" i="52"/>
  <c r="AO18" i="52"/>
  <c r="AK75" i="52"/>
  <c r="J9" i="52"/>
  <c r="AK85" i="52"/>
  <c r="Q9" i="52"/>
  <c r="AK80" i="52"/>
  <c r="Q4" i="52"/>
  <c r="AJ74" i="52"/>
  <c r="AJ76" i="52" s="1"/>
  <c r="AI42" i="52"/>
  <c r="AK84" i="52"/>
  <c r="AJ44" i="52"/>
  <c r="AS13" i="52"/>
  <c r="AR15" i="52"/>
  <c r="AR16" i="52" s="1"/>
  <c r="AJ94" i="52"/>
  <c r="AJ96" i="52" s="1"/>
  <c r="AI46" i="52"/>
  <c r="AM28" i="52"/>
  <c r="AM70" i="52" s="1"/>
  <c r="AM29" i="52"/>
  <c r="AM75" i="52" s="1"/>
  <c r="AM31" i="52"/>
  <c r="AM85" i="52" s="1"/>
  <c r="AM30" i="52"/>
  <c r="AM80" i="52" s="1"/>
  <c r="AM32" i="52"/>
  <c r="AM90" i="52" s="1"/>
  <c r="AM33" i="52"/>
  <c r="AM95" i="52" s="1"/>
  <c r="AM34" i="52"/>
  <c r="AM100" i="52" s="1"/>
  <c r="AK90" i="52"/>
  <c r="X4" i="52"/>
  <c r="AJ41" i="52"/>
  <c r="AK69" i="52"/>
  <c r="AK71" i="52" s="1"/>
  <c r="AJ89" i="52"/>
  <c r="AJ91" i="52" s="1"/>
  <c r="AI45" i="52"/>
  <c r="AK35" i="52"/>
  <c r="A1243" i="5"/>
  <c r="B1244" i="5"/>
  <c r="I1242" i="5"/>
  <c r="H1242" i="5"/>
  <c r="O1242" i="5"/>
  <c r="R1242" i="5"/>
  <c r="P1242" i="5"/>
  <c r="Q1242" i="5"/>
  <c r="T1242" i="5"/>
  <c r="G1242" i="5"/>
  <c r="K1242" i="5"/>
  <c r="D1242" i="5"/>
  <c r="S1242" i="5"/>
  <c r="N1242" i="5"/>
  <c r="J1242" i="5"/>
  <c r="M1242" i="5"/>
  <c r="F1242" i="5"/>
  <c r="C1242" i="5"/>
  <c r="L1242" i="5"/>
  <c r="E1242" i="5"/>
  <c r="AI48" i="52" l="1"/>
  <c r="AI64" i="52" s="1"/>
  <c r="AM35" i="52"/>
  <c r="AK99" i="52"/>
  <c r="AK101" i="52" s="1"/>
  <c r="AJ47" i="52"/>
  <c r="AL85" i="52"/>
  <c r="AL80" i="52"/>
  <c r="AL35" i="52"/>
  <c r="AQ17" i="52"/>
  <c r="AP18" i="52"/>
  <c r="AM62" i="52"/>
  <c r="AJ42" i="52"/>
  <c r="AK74" i="52"/>
  <c r="AK76" i="52" s="1"/>
  <c r="AO50" i="52"/>
  <c r="AO22" i="52"/>
  <c r="AO23" i="52"/>
  <c r="AK94" i="52"/>
  <c r="AK96" i="52" s="1"/>
  <c r="AJ46" i="52"/>
  <c r="AN28" i="52"/>
  <c r="AN32" i="52" s="1"/>
  <c r="AN90" i="52" s="1"/>
  <c r="AT13" i="52"/>
  <c r="AS15" i="52"/>
  <c r="AS16" i="52" s="1"/>
  <c r="AN52" i="52"/>
  <c r="AN55" i="52" s="1"/>
  <c r="AN58" i="52"/>
  <c r="AN60" i="52" s="1"/>
  <c r="AK89" i="52"/>
  <c r="AK91" i="52" s="1"/>
  <c r="AJ45" i="52"/>
  <c r="AK41" i="52"/>
  <c r="AL69" i="52"/>
  <c r="AL71" i="52" s="1"/>
  <c r="AK86" i="52"/>
  <c r="AK79" i="52"/>
  <c r="AK81" i="52" s="1"/>
  <c r="AJ43" i="52"/>
  <c r="A1244" i="5"/>
  <c r="B1245" i="5"/>
  <c r="P1243" i="5"/>
  <c r="R1243" i="5"/>
  <c r="O1243" i="5"/>
  <c r="M1243" i="5"/>
  <c r="D1243" i="5"/>
  <c r="N1243" i="5"/>
  <c r="T1243" i="5"/>
  <c r="C1243" i="5"/>
  <c r="K1243" i="5"/>
  <c r="E1243" i="5"/>
  <c r="H1243" i="5"/>
  <c r="Q1243" i="5"/>
  <c r="I1243" i="5"/>
  <c r="G1243" i="5"/>
  <c r="S1243" i="5"/>
  <c r="F1243" i="5"/>
  <c r="J1243" i="5"/>
  <c r="L1243" i="5"/>
  <c r="AN29" i="52" l="1"/>
  <c r="AJ48" i="52"/>
  <c r="AJ64" i="52" s="1"/>
  <c r="AN31" i="52"/>
  <c r="AN85" i="52" s="1"/>
  <c r="AN30" i="52"/>
  <c r="AN80" i="52" s="1"/>
  <c r="AN34" i="52"/>
  <c r="AN33" i="52"/>
  <c r="AN95" i="52" s="1"/>
  <c r="AU13" i="52"/>
  <c r="AU15" i="52" s="1"/>
  <c r="AU16" i="52" s="1"/>
  <c r="AT15" i="52"/>
  <c r="AT16" i="52" s="1"/>
  <c r="AN75" i="52"/>
  <c r="AR17" i="52"/>
  <c r="AQ18" i="52"/>
  <c r="AN35" i="52"/>
  <c r="AN100" i="52"/>
  <c r="AL79" i="52"/>
  <c r="AL81" i="52" s="1"/>
  <c r="AK43" i="52"/>
  <c r="AN70" i="52"/>
  <c r="AP22" i="52"/>
  <c r="AP50" i="52"/>
  <c r="AP23" i="52"/>
  <c r="AM69" i="52"/>
  <c r="AM71" i="52" s="1"/>
  <c r="AL41" i="52"/>
  <c r="AO28" i="52"/>
  <c r="AO70" i="52" s="1"/>
  <c r="AK47" i="52"/>
  <c r="AL99" i="52"/>
  <c r="AL101" i="52" s="1"/>
  <c r="AL94" i="52"/>
  <c r="AL96" i="52" s="1"/>
  <c r="AK46" i="52"/>
  <c r="AO58" i="52"/>
  <c r="AO60" i="52" s="1"/>
  <c r="AO52" i="52"/>
  <c r="AO55" i="52" s="1"/>
  <c r="AO62" i="52" s="1"/>
  <c r="AK44" i="52"/>
  <c r="AL84" i="52"/>
  <c r="AL86" i="52" s="1"/>
  <c r="AL89" i="52"/>
  <c r="AL91" i="52" s="1"/>
  <c r="AK45" i="52"/>
  <c r="AN62" i="52"/>
  <c r="AL74" i="52"/>
  <c r="AL76" i="52" s="1"/>
  <c r="AK42" i="52"/>
  <c r="A1245" i="5"/>
  <c r="B1246" i="5"/>
  <c r="T1244" i="5"/>
  <c r="P1244" i="5"/>
  <c r="G1244" i="5"/>
  <c r="I1244" i="5"/>
  <c r="N1244" i="5"/>
  <c r="L1244" i="5"/>
  <c r="Q1244" i="5"/>
  <c r="K1244" i="5"/>
  <c r="M1244" i="5"/>
  <c r="S1244" i="5"/>
  <c r="R1244" i="5"/>
  <c r="E1244" i="5"/>
  <c r="H1244" i="5"/>
  <c r="O1244" i="5"/>
  <c r="J1244" i="5"/>
  <c r="D1244" i="5"/>
  <c r="F1244" i="5"/>
  <c r="C1244" i="5"/>
  <c r="AO31" i="52" l="1"/>
  <c r="AO85" i="52" s="1"/>
  <c r="AO34" i="52"/>
  <c r="AO100" i="52" s="1"/>
  <c r="AO33" i="52"/>
  <c r="AO95" i="52" s="1"/>
  <c r="AO30" i="52"/>
  <c r="AO29" i="52"/>
  <c r="AO75" i="52" s="1"/>
  <c r="AO32" i="52"/>
  <c r="AO90" i="52" s="1"/>
  <c r="AM94" i="52"/>
  <c r="AM96" i="52" s="1"/>
  <c r="AL46" i="52"/>
  <c r="AL47" i="52"/>
  <c r="AM99" i="52"/>
  <c r="AM101" i="52" s="1"/>
  <c r="AM79" i="52"/>
  <c r="AM81" i="52" s="1"/>
  <c r="AL43" i="52"/>
  <c r="AP58" i="52"/>
  <c r="AP60" i="52" s="1"/>
  <c r="AP52" i="52"/>
  <c r="AP55" i="52" s="1"/>
  <c r="AQ23" i="52"/>
  <c r="AQ22" i="52"/>
  <c r="AQ50" i="52"/>
  <c r="AP28" i="52"/>
  <c r="AP30" i="52" s="1"/>
  <c r="AS17" i="52"/>
  <c r="AR18" i="52"/>
  <c r="AK48" i="52"/>
  <c r="AK64" i="52" s="1"/>
  <c r="AM74" i="52"/>
  <c r="AM76" i="52" s="1"/>
  <c r="AL42" i="52"/>
  <c r="AL44" i="52"/>
  <c r="AM84" i="52"/>
  <c r="AM86" i="52" s="1"/>
  <c r="AO80" i="52"/>
  <c r="AM89" i="52"/>
  <c r="AM91" i="52" s="1"/>
  <c r="AL45" i="52"/>
  <c r="AM41" i="52"/>
  <c r="AN69" i="52"/>
  <c r="AN71" i="52" s="1"/>
  <c r="A1246" i="5"/>
  <c r="B1247" i="5"/>
  <c r="R1245" i="5"/>
  <c r="C1245" i="5"/>
  <c r="S1245" i="5"/>
  <c r="E1245" i="5"/>
  <c r="Q1245" i="5"/>
  <c r="F1245" i="5"/>
  <c r="L1245" i="5"/>
  <c r="H1245" i="5"/>
  <c r="J1245" i="5"/>
  <c r="G1245" i="5"/>
  <c r="P1245" i="5"/>
  <c r="T1245" i="5"/>
  <c r="K1245" i="5"/>
  <c r="N1245" i="5"/>
  <c r="O1245" i="5"/>
  <c r="I1245" i="5"/>
  <c r="D1245" i="5"/>
  <c r="M1245" i="5"/>
  <c r="AL48" i="52" l="1"/>
  <c r="AL64" i="52" s="1"/>
  <c r="AP62" i="52"/>
  <c r="AO35" i="52"/>
  <c r="AP80" i="52"/>
  <c r="AP29" i="52"/>
  <c r="AN89" i="52"/>
  <c r="AN91" i="52" s="1"/>
  <c r="AM45" i="52"/>
  <c r="AP70" i="52"/>
  <c r="AQ52" i="52"/>
  <c r="AQ55" i="52" s="1"/>
  <c r="AQ58" i="52"/>
  <c r="AQ60" i="52" s="1"/>
  <c r="AQ28" i="52"/>
  <c r="AQ70" i="52" s="1"/>
  <c r="AQ34" i="52"/>
  <c r="AQ100" i="52" s="1"/>
  <c r="AN84" i="52"/>
  <c r="AN86" i="52" s="1"/>
  <c r="AM44" i="52"/>
  <c r="AP32" i="52"/>
  <c r="AM43" i="52"/>
  <c r="AN79" i="52"/>
  <c r="AN81" i="52" s="1"/>
  <c r="AP31" i="52"/>
  <c r="AR22" i="52"/>
  <c r="AR50" i="52"/>
  <c r="AR23" i="52"/>
  <c r="AN99" i="52"/>
  <c r="AN101" i="52" s="1"/>
  <c r="AM47" i="52"/>
  <c r="AN41" i="52"/>
  <c r="AO69" i="52"/>
  <c r="AO71" i="52" s="1"/>
  <c r="AP33" i="52"/>
  <c r="AN74" i="52"/>
  <c r="AN76" i="52" s="1"/>
  <c r="AM42" i="52"/>
  <c r="AT17" i="52"/>
  <c r="AS18" i="52"/>
  <c r="AP34" i="52"/>
  <c r="AN94" i="52"/>
  <c r="AN96" i="52" s="1"/>
  <c r="AM46" i="52"/>
  <c r="A1247" i="5"/>
  <c r="B1248" i="5"/>
  <c r="H1246" i="5"/>
  <c r="I1246" i="5"/>
  <c r="P1246" i="5"/>
  <c r="R1246" i="5"/>
  <c r="K1246" i="5"/>
  <c r="S1246" i="5"/>
  <c r="T1246" i="5"/>
  <c r="E1246" i="5"/>
  <c r="Q1246" i="5"/>
  <c r="M1246" i="5"/>
  <c r="J1246" i="5"/>
  <c r="G1246" i="5"/>
  <c r="L1246" i="5"/>
  <c r="C1246" i="5"/>
  <c r="N1246" i="5"/>
  <c r="F1246" i="5"/>
  <c r="O1246" i="5"/>
  <c r="D1246" i="5"/>
  <c r="AQ32" i="52" l="1"/>
  <c r="AQ90" i="52" s="1"/>
  <c r="AQ62" i="52"/>
  <c r="AQ33" i="52"/>
  <c r="AQ95" i="52" s="1"/>
  <c r="AP35" i="52"/>
  <c r="AM48" i="52"/>
  <c r="AM64" i="52" s="1"/>
  <c r="AO41" i="52"/>
  <c r="AP69" i="52"/>
  <c r="AP71" i="52" s="1"/>
  <c r="AQ30" i="52"/>
  <c r="AQ29" i="52"/>
  <c r="AQ31" i="52"/>
  <c r="AQ85" i="52" s="1"/>
  <c r="AO84" i="52"/>
  <c r="AO86" i="52" s="1"/>
  <c r="AN44" i="52"/>
  <c r="AO74" i="52"/>
  <c r="AO76" i="52" s="1"/>
  <c r="AN42" i="52"/>
  <c r="AR28" i="52"/>
  <c r="AR70" i="52" s="1"/>
  <c r="AU17" i="52"/>
  <c r="AU18" i="52" s="1"/>
  <c r="AT18" i="52"/>
  <c r="AP95" i="52"/>
  <c r="AO89" i="52"/>
  <c r="AO91" i="52" s="1"/>
  <c r="AN45" i="52"/>
  <c r="AR58" i="52"/>
  <c r="AR60" i="52" s="1"/>
  <c r="AR52" i="52"/>
  <c r="AR55" i="52" s="1"/>
  <c r="AP85" i="52"/>
  <c r="AO94" i="52"/>
  <c r="AO96" i="52" s="1"/>
  <c r="AN46" i="52"/>
  <c r="AP75" i="52"/>
  <c r="AN47" i="52"/>
  <c r="AO99" i="52"/>
  <c r="AO101" i="52" s="1"/>
  <c r="AP90" i="52"/>
  <c r="AO79" i="52"/>
  <c r="AO81" i="52" s="1"/>
  <c r="AN43" i="52"/>
  <c r="AP100" i="52"/>
  <c r="AS22" i="52"/>
  <c r="AS23" i="52"/>
  <c r="AS50" i="52"/>
  <c r="A1248" i="5"/>
  <c r="B1249" i="5"/>
  <c r="J1247" i="5"/>
  <c r="R1247" i="5"/>
  <c r="G1247" i="5"/>
  <c r="N1247" i="5"/>
  <c r="F1247" i="5"/>
  <c r="I1247" i="5"/>
  <c r="L1247" i="5"/>
  <c r="C1247" i="5"/>
  <c r="D1247" i="5"/>
  <c r="S1247" i="5"/>
  <c r="E1247" i="5"/>
  <c r="M1247" i="5"/>
  <c r="T1247" i="5"/>
  <c r="K1247" i="5"/>
  <c r="H1247" i="5"/>
  <c r="O1247" i="5"/>
  <c r="P1247" i="5"/>
  <c r="Q1247" i="5"/>
  <c r="AR33" i="52" l="1"/>
  <c r="AR95" i="52" s="1"/>
  <c r="AR30" i="52"/>
  <c r="AR80" i="52" s="1"/>
  <c r="AR62" i="52"/>
  <c r="AR32" i="52"/>
  <c r="AR90" i="52" s="1"/>
  <c r="AR31" i="52"/>
  <c r="AR85" i="52" s="1"/>
  <c r="AN48" i="52"/>
  <c r="AN64" i="52" s="1"/>
  <c r="AR34" i="52"/>
  <c r="AP99" i="52"/>
  <c r="AP101" i="52" s="1"/>
  <c r="AO47" i="52"/>
  <c r="AR29" i="52"/>
  <c r="AP74" i="52"/>
  <c r="AP76" i="52" s="1"/>
  <c r="AO42" i="52"/>
  <c r="AP84" i="52"/>
  <c r="AP86" i="52" s="1"/>
  <c r="AO44" i="52"/>
  <c r="AS58" i="52"/>
  <c r="AS60" i="52" s="1"/>
  <c r="AS52" i="52"/>
  <c r="AS55" i="52" s="1"/>
  <c r="AQ75" i="52"/>
  <c r="AQ35" i="52"/>
  <c r="AQ80" i="52"/>
  <c r="AO46" i="52"/>
  <c r="AP94" i="52"/>
  <c r="AP96" i="52" s="1"/>
  <c r="AU50" i="52"/>
  <c r="AU22" i="52"/>
  <c r="AU23" i="52"/>
  <c r="AP41" i="52"/>
  <c r="AQ69" i="52"/>
  <c r="AQ71" i="52" s="1"/>
  <c r="AS28" i="52"/>
  <c r="AS70" i="52" s="1"/>
  <c r="AS32" i="52"/>
  <c r="AS90" i="52" s="1"/>
  <c r="AS30" i="52"/>
  <c r="AS80" i="52" s="1"/>
  <c r="AS33" i="52"/>
  <c r="AS95" i="52" s="1"/>
  <c r="AS31" i="52"/>
  <c r="AS85" i="52" s="1"/>
  <c r="AS29" i="52"/>
  <c r="AS75" i="52" s="1"/>
  <c r="AS34" i="52"/>
  <c r="AS100" i="52" s="1"/>
  <c r="AO45" i="52"/>
  <c r="AP89" i="52"/>
  <c r="AP91" i="52" s="1"/>
  <c r="AT50" i="52"/>
  <c r="AT23" i="52"/>
  <c r="AT22" i="52"/>
  <c r="AP79" i="52"/>
  <c r="AP81" i="52" s="1"/>
  <c r="AO43" i="52"/>
  <c r="A1249" i="5"/>
  <c r="B1250" i="5"/>
  <c r="D1248" i="5"/>
  <c r="E1248" i="5"/>
  <c r="C1248" i="5"/>
  <c r="R1248" i="5"/>
  <c r="G1248" i="5"/>
  <c r="K1248" i="5"/>
  <c r="L1248" i="5"/>
  <c r="F1248" i="5"/>
  <c r="H1248" i="5"/>
  <c r="T1248" i="5"/>
  <c r="O1248" i="5"/>
  <c r="Q1248" i="5"/>
  <c r="P1248" i="5"/>
  <c r="I1248" i="5"/>
  <c r="N1248" i="5"/>
  <c r="M1248" i="5"/>
  <c r="S1248" i="5"/>
  <c r="J1248" i="5"/>
  <c r="AS35" i="52" l="1"/>
  <c r="AS62" i="52"/>
  <c r="AO48" i="52"/>
  <c r="AO64" i="52" s="1"/>
  <c r="AT28" i="52"/>
  <c r="AT70" i="52" s="1"/>
  <c r="AT32" i="52"/>
  <c r="AT90" i="52" s="1"/>
  <c r="AT33" i="52"/>
  <c r="AT95" i="52" s="1"/>
  <c r="AT34" i="52"/>
  <c r="AT100" i="52" s="1"/>
  <c r="AT31" i="52"/>
  <c r="AQ89" i="52"/>
  <c r="AQ91" i="52" s="1"/>
  <c r="AP45" i="52"/>
  <c r="AQ94" i="52"/>
  <c r="AQ96" i="52" s="1"/>
  <c r="AP46" i="52"/>
  <c r="AT52" i="52"/>
  <c r="AT55" i="52" s="1"/>
  <c r="AT58" i="52"/>
  <c r="AT60" i="52" s="1"/>
  <c r="AU52" i="52"/>
  <c r="AU55" i="52" s="1"/>
  <c r="AU58" i="52"/>
  <c r="AU60" i="52" s="1"/>
  <c r="AQ84" i="52"/>
  <c r="AQ86" i="52" s="1"/>
  <c r="AP44" i="52"/>
  <c r="AP42" i="52"/>
  <c r="AQ74" i="52"/>
  <c r="AQ76" i="52" s="1"/>
  <c r="AR75" i="52"/>
  <c r="AR35" i="52"/>
  <c r="AR69" i="52"/>
  <c r="AR71" i="52" s="1"/>
  <c r="AQ41" i="52"/>
  <c r="AP47" i="52"/>
  <c r="AQ99" i="52"/>
  <c r="AQ101" i="52" s="1"/>
  <c r="AP43" i="52"/>
  <c r="AQ79" i="52"/>
  <c r="AQ81" i="52" s="1"/>
  <c r="AU28" i="52"/>
  <c r="AU30" i="52" s="1"/>
  <c r="AU80" i="52" s="1"/>
  <c r="AU32" i="52"/>
  <c r="AU33" i="52"/>
  <c r="AU29" i="52"/>
  <c r="AU75" i="52" s="1"/>
  <c r="AR100" i="52"/>
  <c r="A1250" i="5"/>
  <c r="B1251" i="5"/>
  <c r="H1249" i="5"/>
  <c r="K1249" i="5"/>
  <c r="N1249" i="5"/>
  <c r="T1249" i="5"/>
  <c r="Q1249" i="5"/>
  <c r="I1249" i="5"/>
  <c r="S1249" i="5"/>
  <c r="C1249" i="5"/>
  <c r="J1249" i="5"/>
  <c r="F1249" i="5"/>
  <c r="L1249" i="5"/>
  <c r="D1249" i="5"/>
  <c r="M1249" i="5"/>
  <c r="P1249" i="5"/>
  <c r="O1249" i="5"/>
  <c r="E1249" i="5"/>
  <c r="G1249" i="5"/>
  <c r="R1249" i="5"/>
  <c r="AU31" i="52" l="1"/>
  <c r="AU85" i="52" s="1"/>
  <c r="AT29" i="52"/>
  <c r="AT75" i="52" s="1"/>
  <c r="AP48" i="52"/>
  <c r="AP64" i="52" s="1"/>
  <c r="AT30" i="52"/>
  <c r="AT62" i="52"/>
  <c r="AT35" i="52"/>
  <c r="AR84" i="52"/>
  <c r="AR86" i="52" s="1"/>
  <c r="AQ44" i="52"/>
  <c r="AR94" i="52"/>
  <c r="AR96" i="52" s="1"/>
  <c r="AQ46" i="52"/>
  <c r="AU95" i="52"/>
  <c r="Y9" i="52"/>
  <c r="Z9" i="52" s="1"/>
  <c r="AR99" i="52"/>
  <c r="AR101" i="52" s="1"/>
  <c r="AQ47" i="52"/>
  <c r="AR89" i="52"/>
  <c r="AR91" i="52" s="1"/>
  <c r="AQ45" i="52"/>
  <c r="AU90" i="52"/>
  <c r="Y4" i="52"/>
  <c r="Z4" i="52" s="1"/>
  <c r="AQ43" i="52"/>
  <c r="AR79" i="52"/>
  <c r="AR81" i="52" s="1"/>
  <c r="AT85" i="52"/>
  <c r="R9" i="52"/>
  <c r="S9" i="52" s="1"/>
  <c r="AU62" i="52"/>
  <c r="AU34" i="52"/>
  <c r="AU35" i="52" s="1"/>
  <c r="AU70" i="52"/>
  <c r="C26" i="51"/>
  <c r="J26" i="51"/>
  <c r="K4" i="52"/>
  <c r="L4" i="52" s="1"/>
  <c r="AS69" i="52"/>
  <c r="AS71" i="52" s="1"/>
  <c r="AR41" i="52"/>
  <c r="AT80" i="52"/>
  <c r="R4" i="52"/>
  <c r="S4" i="52" s="1"/>
  <c r="K9" i="52"/>
  <c r="L9" i="52" s="1"/>
  <c r="AR74" i="52"/>
  <c r="AR76" i="52" s="1"/>
  <c r="AQ42" i="52"/>
  <c r="A1251" i="5"/>
  <c r="B1252" i="5"/>
  <c r="K1250" i="5"/>
  <c r="N1250" i="5"/>
  <c r="H1250" i="5"/>
  <c r="Q1250" i="5"/>
  <c r="I1250" i="5"/>
  <c r="D1250" i="5"/>
  <c r="L1250" i="5"/>
  <c r="F1250" i="5"/>
  <c r="P1250" i="5"/>
  <c r="O1250" i="5"/>
  <c r="E1250" i="5"/>
  <c r="G1250" i="5"/>
  <c r="S1250" i="5"/>
  <c r="M1250" i="5"/>
  <c r="C1250" i="5"/>
  <c r="R1250" i="5"/>
  <c r="T1250" i="5"/>
  <c r="J1250" i="5"/>
  <c r="AQ48" i="52" l="1"/>
  <c r="AQ64" i="52" s="1"/>
  <c r="AU100" i="52"/>
  <c r="AF4" i="52"/>
  <c r="AG4" i="52" s="1"/>
  <c r="AR42" i="52"/>
  <c r="AS74" i="52"/>
  <c r="AS76" i="52" s="1"/>
  <c r="AS89" i="52"/>
  <c r="AS91" i="52" s="1"/>
  <c r="AR45" i="52"/>
  <c r="AS99" i="52"/>
  <c r="AS101" i="52" s="1"/>
  <c r="AR47" i="52"/>
  <c r="AS79" i="52"/>
  <c r="AS81" i="52" s="1"/>
  <c r="AR43" i="52"/>
  <c r="AS41" i="52"/>
  <c r="AT69" i="52"/>
  <c r="AT71" i="52" s="1"/>
  <c r="AS94" i="52"/>
  <c r="AS96" i="52" s="1"/>
  <c r="AR46" i="52"/>
  <c r="AR44" i="52"/>
  <c r="AS84" i="52"/>
  <c r="AS86" i="52" s="1"/>
  <c r="A1252" i="5"/>
  <c r="B1253" i="5"/>
  <c r="J1251" i="5"/>
  <c r="H1251" i="5"/>
  <c r="I1251" i="5"/>
  <c r="K1251" i="5"/>
  <c r="O1251" i="5"/>
  <c r="P1251" i="5"/>
  <c r="S1251" i="5"/>
  <c r="D1251" i="5"/>
  <c r="G1251" i="5"/>
  <c r="R1251" i="5"/>
  <c r="L1251" i="5"/>
  <c r="F1251" i="5"/>
  <c r="T1251" i="5"/>
  <c r="E1251" i="5"/>
  <c r="M1251" i="5"/>
  <c r="Q1251" i="5"/>
  <c r="C1251" i="5"/>
  <c r="N1251" i="5"/>
  <c r="AR48" i="52" l="1"/>
  <c r="AR64" i="52" s="1"/>
  <c r="AU69" i="52"/>
  <c r="AU71" i="52" s="1"/>
  <c r="AU41" i="52" s="1"/>
  <c r="AT41" i="52"/>
  <c r="AT84" i="52"/>
  <c r="AT86" i="52" s="1"/>
  <c r="AS44" i="52"/>
  <c r="AT94" i="52"/>
  <c r="AT96" i="52" s="1"/>
  <c r="AS46" i="52"/>
  <c r="AT79" i="52"/>
  <c r="AT81" i="52" s="1"/>
  <c r="AS43" i="52"/>
  <c r="AT74" i="52"/>
  <c r="AT76" i="52" s="1"/>
  <c r="AS42" i="52"/>
  <c r="AS47" i="52"/>
  <c r="AT99" i="52"/>
  <c r="AT101" i="52" s="1"/>
  <c r="AT89" i="52"/>
  <c r="AT91" i="52" s="1"/>
  <c r="AS45" i="52"/>
  <c r="A1253" i="5"/>
  <c r="B1254" i="5"/>
  <c r="G1252" i="5"/>
  <c r="L1252" i="5"/>
  <c r="K1252" i="5"/>
  <c r="H1252" i="5"/>
  <c r="P1252" i="5"/>
  <c r="S1252" i="5"/>
  <c r="D1252" i="5"/>
  <c r="C1252" i="5"/>
  <c r="R1252" i="5"/>
  <c r="J1252" i="5"/>
  <c r="T1252" i="5"/>
  <c r="F1252" i="5"/>
  <c r="O1252" i="5"/>
  <c r="Q1252" i="5"/>
  <c r="E1252" i="5"/>
  <c r="I1252" i="5"/>
  <c r="M1252" i="5"/>
  <c r="N1252" i="5"/>
  <c r="AS48" i="52" l="1"/>
  <c r="AS64" i="52" s="1"/>
  <c r="AT47" i="52"/>
  <c r="AU99" i="52"/>
  <c r="AU101" i="52" s="1"/>
  <c r="AU47" i="52" s="1"/>
  <c r="AT45" i="52"/>
  <c r="AU89" i="52"/>
  <c r="AU91" i="52" s="1"/>
  <c r="AU45" i="52" s="1"/>
  <c r="AT42" i="52"/>
  <c r="AU74" i="52"/>
  <c r="AU76" i="52" s="1"/>
  <c r="AU42" i="52" s="1"/>
  <c r="AU79" i="52"/>
  <c r="AU81" i="52" s="1"/>
  <c r="AU43" i="52" s="1"/>
  <c r="AT43" i="52"/>
  <c r="AT46" i="52"/>
  <c r="AU94" i="52"/>
  <c r="AU96" i="52" s="1"/>
  <c r="AU46" i="52" s="1"/>
  <c r="AU84" i="52"/>
  <c r="AU86" i="52" s="1"/>
  <c r="AU44" i="52" s="1"/>
  <c r="AT44" i="52"/>
  <c r="A1254" i="5"/>
  <c r="B1255" i="5"/>
  <c r="P1253" i="5"/>
  <c r="D1253" i="5"/>
  <c r="E1253" i="5"/>
  <c r="F1253" i="5"/>
  <c r="M1253" i="5"/>
  <c r="C1253" i="5"/>
  <c r="L1253" i="5"/>
  <c r="R1253" i="5"/>
  <c r="J1253" i="5"/>
  <c r="N1253" i="5"/>
  <c r="K1253" i="5"/>
  <c r="G1253" i="5"/>
  <c r="O1253" i="5"/>
  <c r="T1253" i="5"/>
  <c r="I1253" i="5"/>
  <c r="S1253" i="5"/>
  <c r="H1253" i="5"/>
  <c r="Q1253" i="5"/>
  <c r="AU48" i="52" l="1"/>
  <c r="AU64" i="52" s="1"/>
  <c r="AT48" i="52"/>
  <c r="AT64" i="52" s="1"/>
  <c r="A1255" i="5"/>
  <c r="B1256" i="5"/>
  <c r="Q1254" i="5"/>
  <c r="M1254" i="5"/>
  <c r="D1254" i="5"/>
  <c r="E1254" i="5"/>
  <c r="L1254" i="5"/>
  <c r="G1254" i="5"/>
  <c r="P1254" i="5"/>
  <c r="O1254" i="5"/>
  <c r="K1254" i="5"/>
  <c r="J1254" i="5"/>
  <c r="N1254" i="5"/>
  <c r="H1254" i="5"/>
  <c r="T1254" i="5"/>
  <c r="R1254" i="5"/>
  <c r="S1254" i="5"/>
  <c r="I1254" i="5"/>
  <c r="C1254" i="5"/>
  <c r="F1254" i="5"/>
  <c r="A1256" i="5" l="1"/>
  <c r="B1257" i="5"/>
  <c r="D1255" i="5"/>
  <c r="I1255" i="5"/>
  <c r="R1255" i="5"/>
  <c r="G1255" i="5"/>
  <c r="Q1255" i="5"/>
  <c r="M1255" i="5"/>
  <c r="C1255" i="5"/>
  <c r="L1255" i="5"/>
  <c r="N1255" i="5"/>
  <c r="F1255" i="5"/>
  <c r="P1255" i="5"/>
  <c r="S1255" i="5"/>
  <c r="J1255" i="5"/>
  <c r="E1255" i="5"/>
  <c r="O1255" i="5"/>
  <c r="K1255" i="5"/>
  <c r="T1255" i="5"/>
  <c r="H1255" i="5"/>
  <c r="E1256" i="5" l="1"/>
  <c r="T1256" i="5"/>
  <c r="R1256" i="5"/>
  <c r="I1256" i="5"/>
  <c r="N1256" i="5"/>
  <c r="O1256" i="5"/>
  <c r="F1256" i="5"/>
  <c r="Q1256" i="5"/>
  <c r="P1256" i="5"/>
  <c r="M1256" i="5"/>
  <c r="J1256" i="5"/>
  <c r="S1256" i="5"/>
  <c r="G1256" i="5"/>
  <c r="C1256" i="5"/>
  <c r="L1256" i="5"/>
  <c r="H1256" i="5"/>
  <c r="D1256" i="5"/>
  <c r="K1256" i="5"/>
  <c r="A1257" i="5"/>
  <c r="B1258" i="5"/>
  <c r="A1258" i="5" l="1"/>
  <c r="B1259" i="5"/>
  <c r="T1257" i="5"/>
  <c r="S1257" i="5"/>
  <c r="Q1257" i="5"/>
  <c r="E1257" i="5"/>
  <c r="C1257" i="5"/>
  <c r="I1257" i="5"/>
  <c r="M1257" i="5"/>
  <c r="D1257" i="5"/>
  <c r="O1257" i="5"/>
  <c r="L1257" i="5"/>
  <c r="H1257" i="5"/>
  <c r="F1257" i="5"/>
  <c r="K1257" i="5"/>
  <c r="R1257" i="5"/>
  <c r="J1257" i="5"/>
  <c r="P1257" i="5"/>
  <c r="N1257" i="5"/>
  <c r="G1257" i="5"/>
  <c r="A1259" i="5" l="1"/>
  <c r="B1260" i="5"/>
  <c r="D1258" i="5"/>
  <c r="R1258" i="5"/>
  <c r="M1258" i="5"/>
  <c r="P1258" i="5"/>
  <c r="K1258" i="5"/>
  <c r="G1258" i="5"/>
  <c r="S1258" i="5"/>
  <c r="F1258" i="5"/>
  <c r="Q1258" i="5"/>
  <c r="H1258" i="5"/>
  <c r="O1258" i="5"/>
  <c r="L1258" i="5"/>
  <c r="J1258" i="5"/>
  <c r="C1258" i="5"/>
  <c r="N1258" i="5"/>
  <c r="T1258" i="5"/>
  <c r="I1258" i="5"/>
  <c r="E1258" i="5"/>
  <c r="A1260" i="5" l="1"/>
  <c r="B1261" i="5"/>
  <c r="L1259" i="5"/>
  <c r="D1259" i="5"/>
  <c r="I1259" i="5"/>
  <c r="M1259" i="5"/>
  <c r="S1259" i="5"/>
  <c r="G1259" i="5"/>
  <c r="K1259" i="5"/>
  <c r="F1259" i="5"/>
  <c r="O1259" i="5"/>
  <c r="N1259" i="5"/>
  <c r="H1259" i="5"/>
  <c r="E1259" i="5"/>
  <c r="Q1259" i="5"/>
  <c r="J1259" i="5"/>
  <c r="C1259" i="5"/>
  <c r="R1259" i="5"/>
  <c r="P1259" i="5"/>
  <c r="T1259" i="5"/>
  <c r="A1261" i="5" l="1"/>
  <c r="B1262" i="5"/>
  <c r="R1260" i="5"/>
  <c r="I1260" i="5"/>
  <c r="N1260" i="5"/>
  <c r="Q1260" i="5"/>
  <c r="F1260" i="5"/>
  <c r="T1260" i="5"/>
  <c r="M1260" i="5"/>
  <c r="E1260" i="5"/>
  <c r="S1260" i="5"/>
  <c r="J1260" i="5"/>
  <c r="P1260" i="5"/>
  <c r="H1260" i="5"/>
  <c r="C1260" i="5"/>
  <c r="O1260" i="5"/>
  <c r="L1260" i="5"/>
  <c r="D1260" i="5"/>
  <c r="K1260" i="5"/>
  <c r="G1260" i="5"/>
  <c r="A1262" i="5" l="1"/>
  <c r="B1263" i="5"/>
  <c r="C1261" i="5"/>
  <c r="O1261" i="5"/>
  <c r="Q1261" i="5"/>
  <c r="K1261" i="5"/>
  <c r="F1261" i="5"/>
  <c r="T1261" i="5"/>
  <c r="M1261" i="5"/>
  <c r="N1261" i="5"/>
  <c r="P1261" i="5"/>
  <c r="S1261" i="5"/>
  <c r="G1261" i="5"/>
  <c r="R1261" i="5"/>
  <c r="H1261" i="5"/>
  <c r="D1261" i="5"/>
  <c r="I1261" i="5"/>
  <c r="J1261" i="5"/>
  <c r="L1261" i="5"/>
  <c r="E1261" i="5"/>
  <c r="A1263" i="5" l="1"/>
  <c r="B1264" i="5"/>
  <c r="D1262" i="5"/>
  <c r="S1262" i="5"/>
  <c r="P1262" i="5"/>
  <c r="C1262" i="5"/>
  <c r="T1262" i="5"/>
  <c r="H1262" i="5"/>
  <c r="F1262" i="5"/>
  <c r="I1262" i="5"/>
  <c r="E1262" i="5"/>
  <c r="J1262" i="5"/>
  <c r="Q1262" i="5"/>
  <c r="G1262" i="5"/>
  <c r="K1262" i="5"/>
  <c r="M1262" i="5"/>
  <c r="L1262" i="5"/>
  <c r="R1262" i="5"/>
  <c r="N1262" i="5"/>
  <c r="O1262" i="5"/>
  <c r="A1264" i="5" l="1"/>
  <c r="B1265" i="5"/>
  <c r="P1263" i="5"/>
  <c r="D1263" i="5"/>
  <c r="Q1263" i="5"/>
  <c r="F1263" i="5"/>
  <c r="E1263" i="5"/>
  <c r="O1263" i="5"/>
  <c r="T1263" i="5"/>
  <c r="K1263" i="5"/>
  <c r="I1263" i="5"/>
  <c r="J1263" i="5"/>
  <c r="S1263" i="5"/>
  <c r="R1263" i="5"/>
  <c r="H1263" i="5"/>
  <c r="N1263" i="5"/>
  <c r="C1263" i="5"/>
  <c r="L1263" i="5"/>
  <c r="G1263" i="5"/>
  <c r="M1263" i="5"/>
  <c r="A1265" i="5" l="1"/>
  <c r="B1266" i="5"/>
  <c r="J1264" i="5"/>
  <c r="L1264" i="5"/>
  <c r="M1264" i="5"/>
  <c r="I1264" i="5"/>
  <c r="E1264" i="5"/>
  <c r="Q1264" i="5"/>
  <c r="K1264" i="5"/>
  <c r="O1264" i="5"/>
  <c r="H1264" i="5"/>
  <c r="T1264" i="5"/>
  <c r="R1264" i="5"/>
  <c r="F1264" i="5"/>
  <c r="S1264" i="5"/>
  <c r="C1264" i="5"/>
  <c r="P1264" i="5"/>
  <c r="N1264" i="5"/>
  <c r="G1264" i="5"/>
  <c r="D1264" i="5"/>
  <c r="A1266" i="5" l="1"/>
  <c r="B1267" i="5"/>
  <c r="L1265" i="5"/>
  <c r="H1265" i="5"/>
  <c r="I1265" i="5"/>
  <c r="T1265" i="5"/>
  <c r="G1265" i="5"/>
  <c r="F1265" i="5"/>
  <c r="K1265" i="5"/>
  <c r="Q1265" i="5"/>
  <c r="O1265" i="5"/>
  <c r="M1265" i="5"/>
  <c r="P1265" i="5"/>
  <c r="J1265" i="5"/>
  <c r="N1265" i="5"/>
  <c r="S1265" i="5"/>
  <c r="E1265" i="5"/>
  <c r="R1265" i="5"/>
  <c r="D1265" i="5"/>
  <c r="C1265" i="5"/>
  <c r="A1267" i="5" l="1"/>
  <c r="B1268" i="5"/>
  <c r="S1266" i="5"/>
  <c r="H1266" i="5"/>
  <c r="K1266" i="5"/>
  <c r="O1266" i="5"/>
  <c r="Q1266" i="5"/>
  <c r="F1266" i="5"/>
  <c r="M1266" i="5"/>
  <c r="G1266" i="5"/>
  <c r="C1266" i="5"/>
  <c r="E1266" i="5"/>
  <c r="J1266" i="5"/>
  <c r="N1266" i="5"/>
  <c r="I1266" i="5"/>
  <c r="T1266" i="5"/>
  <c r="R1266" i="5"/>
  <c r="D1266" i="5"/>
  <c r="L1266" i="5"/>
  <c r="P1266" i="5"/>
  <c r="A1268" i="5" l="1"/>
  <c r="B1269" i="5"/>
  <c r="C1267" i="5"/>
  <c r="S1267" i="5"/>
  <c r="F1267" i="5"/>
  <c r="O1267" i="5"/>
  <c r="J1267" i="5"/>
  <c r="T1267" i="5"/>
  <c r="L1267" i="5"/>
  <c r="H1267" i="5"/>
  <c r="E1267" i="5"/>
  <c r="M1267" i="5"/>
  <c r="P1267" i="5"/>
  <c r="D1267" i="5"/>
  <c r="K1267" i="5"/>
  <c r="R1267" i="5"/>
  <c r="G1267" i="5"/>
  <c r="I1267" i="5"/>
  <c r="N1267" i="5"/>
  <c r="Q1267" i="5"/>
  <c r="A1269" i="5" l="1"/>
  <c r="B1270" i="5"/>
  <c r="E1268" i="5"/>
  <c r="F1268" i="5"/>
  <c r="J1268" i="5"/>
  <c r="G1268" i="5"/>
  <c r="D1268" i="5"/>
  <c r="L1268" i="5"/>
  <c r="Q1268" i="5"/>
  <c r="C1268" i="5"/>
  <c r="K1268" i="5"/>
  <c r="P1268" i="5"/>
  <c r="N1268" i="5"/>
  <c r="S1268" i="5"/>
  <c r="H1268" i="5"/>
  <c r="M1268" i="5"/>
  <c r="O1268" i="5"/>
  <c r="I1268" i="5"/>
  <c r="T1268" i="5"/>
  <c r="R1268" i="5"/>
  <c r="A1270" i="5" l="1"/>
  <c r="B1271" i="5"/>
  <c r="I1269" i="5"/>
  <c r="M1269" i="5"/>
  <c r="P1269" i="5"/>
  <c r="S1269" i="5"/>
  <c r="C1269" i="5"/>
  <c r="G1269" i="5"/>
  <c r="J1269" i="5"/>
  <c r="E1269" i="5"/>
  <c r="T1269" i="5"/>
  <c r="N1269" i="5"/>
  <c r="D1269" i="5"/>
  <c r="R1269" i="5"/>
  <c r="H1269" i="5"/>
  <c r="O1269" i="5"/>
  <c r="F1269" i="5"/>
  <c r="L1269" i="5"/>
  <c r="Q1269" i="5"/>
  <c r="K1269" i="5"/>
  <c r="A1271" i="5" l="1"/>
  <c r="B1272" i="5"/>
  <c r="N1270" i="5"/>
  <c r="O1270" i="5"/>
  <c r="M1270" i="5"/>
  <c r="J1270" i="5"/>
  <c r="E1270" i="5"/>
  <c r="Q1270" i="5"/>
  <c r="L1270" i="5"/>
  <c r="R1270" i="5"/>
  <c r="C1270" i="5"/>
  <c r="D1270" i="5"/>
  <c r="P1270" i="5"/>
  <c r="S1270" i="5"/>
  <c r="T1270" i="5"/>
  <c r="K1270" i="5"/>
  <c r="F1270" i="5"/>
  <c r="I1270" i="5"/>
  <c r="H1270" i="5"/>
  <c r="G1270" i="5"/>
  <c r="A1272" i="5" l="1"/>
  <c r="B1273" i="5"/>
  <c r="N1271" i="5"/>
  <c r="D1271" i="5"/>
  <c r="S1271" i="5"/>
  <c r="M1271" i="5"/>
  <c r="J1271" i="5"/>
  <c r="Q1271" i="5"/>
  <c r="R1271" i="5"/>
  <c r="E1271" i="5"/>
  <c r="H1271" i="5"/>
  <c r="O1271" i="5"/>
  <c r="I1271" i="5"/>
  <c r="K1271" i="5"/>
  <c r="P1271" i="5"/>
  <c r="C1271" i="5"/>
  <c r="T1271" i="5"/>
  <c r="F1271" i="5"/>
  <c r="L1271" i="5"/>
  <c r="G1271" i="5"/>
  <c r="A1273" i="5" l="1"/>
  <c r="B1274" i="5"/>
  <c r="K1272" i="5"/>
  <c r="P1272" i="5"/>
  <c r="H1272" i="5"/>
  <c r="J1272" i="5"/>
  <c r="M1272" i="5"/>
  <c r="N1272" i="5"/>
  <c r="E1272" i="5"/>
  <c r="F1272" i="5"/>
  <c r="C1272" i="5"/>
  <c r="R1272" i="5"/>
  <c r="G1272" i="5"/>
  <c r="Q1272" i="5"/>
  <c r="L1272" i="5"/>
  <c r="S1272" i="5"/>
  <c r="O1272" i="5"/>
  <c r="I1272" i="5"/>
  <c r="T1272" i="5"/>
  <c r="D1272" i="5"/>
  <c r="A1274" i="5" l="1"/>
  <c r="B1275" i="5"/>
  <c r="S1273" i="5"/>
  <c r="D1273" i="5"/>
  <c r="O1273" i="5"/>
  <c r="P1273" i="5"/>
  <c r="L1273" i="5"/>
  <c r="G1273" i="5"/>
  <c r="H1273" i="5"/>
  <c r="K1273" i="5"/>
  <c r="C1273" i="5"/>
  <c r="N1273" i="5"/>
  <c r="E1273" i="5"/>
  <c r="M1273" i="5"/>
  <c r="J1273" i="5"/>
  <c r="F1273" i="5"/>
  <c r="I1273" i="5"/>
  <c r="T1273" i="5"/>
  <c r="Q1273" i="5"/>
  <c r="R1273" i="5"/>
  <c r="A1275" i="5" l="1"/>
  <c r="B1276" i="5"/>
  <c r="O1274" i="5"/>
  <c r="K1274" i="5"/>
  <c r="N1274" i="5"/>
  <c r="S1274" i="5"/>
  <c r="R1274" i="5"/>
  <c r="L1274" i="5"/>
  <c r="P1274" i="5"/>
  <c r="E1274" i="5"/>
  <c r="J1274" i="5"/>
  <c r="T1274" i="5"/>
  <c r="F1274" i="5"/>
  <c r="I1274" i="5"/>
  <c r="D1274" i="5"/>
  <c r="H1274" i="5"/>
  <c r="G1274" i="5"/>
  <c r="M1274" i="5"/>
  <c r="C1274" i="5"/>
  <c r="Q1274" i="5"/>
  <c r="A1276" i="5" l="1"/>
  <c r="B1277" i="5"/>
  <c r="S1275" i="5"/>
  <c r="T1275" i="5"/>
  <c r="C1275" i="5"/>
  <c r="J1275" i="5"/>
  <c r="P1275" i="5"/>
  <c r="E1275" i="5"/>
  <c r="O1275" i="5"/>
  <c r="D1275" i="5"/>
  <c r="G1275" i="5"/>
  <c r="N1275" i="5"/>
  <c r="K1275" i="5"/>
  <c r="Q1275" i="5"/>
  <c r="F1275" i="5"/>
  <c r="M1275" i="5"/>
  <c r="R1275" i="5"/>
  <c r="H1275" i="5"/>
  <c r="L1275" i="5"/>
  <c r="I1275" i="5"/>
  <c r="A1277" i="5" l="1"/>
  <c r="B1278" i="5"/>
  <c r="P1276" i="5"/>
  <c r="F1276" i="5"/>
  <c r="R1276" i="5"/>
  <c r="M1276" i="5"/>
  <c r="H1276" i="5"/>
  <c r="I1276" i="5"/>
  <c r="D1276" i="5"/>
  <c r="T1276" i="5"/>
  <c r="Q1276" i="5"/>
  <c r="K1276" i="5"/>
  <c r="G1276" i="5"/>
  <c r="L1276" i="5"/>
  <c r="S1276" i="5"/>
  <c r="C1276" i="5"/>
  <c r="N1276" i="5"/>
  <c r="E1276" i="5"/>
  <c r="O1276" i="5"/>
  <c r="J1276" i="5"/>
  <c r="A1278" i="5" l="1"/>
  <c r="B1279" i="5"/>
  <c r="D1277" i="5"/>
  <c r="E1277" i="5"/>
  <c r="S1277" i="5"/>
  <c r="K1277" i="5"/>
  <c r="Q1277" i="5"/>
  <c r="R1277" i="5"/>
  <c r="J1277" i="5"/>
  <c r="F1277" i="5"/>
  <c r="O1277" i="5"/>
  <c r="P1277" i="5"/>
  <c r="T1277" i="5"/>
  <c r="N1277" i="5"/>
  <c r="M1277" i="5"/>
  <c r="H1277" i="5"/>
  <c r="L1277" i="5"/>
  <c r="C1277" i="5"/>
  <c r="I1277" i="5"/>
  <c r="G1277" i="5"/>
  <c r="A1279" i="5" l="1"/>
  <c r="B1280" i="5"/>
  <c r="J1278" i="5"/>
  <c r="Q1278" i="5"/>
  <c r="K1278" i="5"/>
  <c r="T1278" i="5"/>
  <c r="D1278" i="5"/>
  <c r="N1278" i="5"/>
  <c r="S1278" i="5"/>
  <c r="E1278" i="5"/>
  <c r="C1278" i="5"/>
  <c r="I1278" i="5"/>
  <c r="L1278" i="5"/>
  <c r="P1278" i="5"/>
  <c r="O1278" i="5"/>
  <c r="H1278" i="5"/>
  <c r="R1278" i="5"/>
  <c r="F1278" i="5"/>
  <c r="M1278" i="5"/>
  <c r="G1278" i="5"/>
  <c r="A1280" i="5" l="1"/>
  <c r="B1281" i="5"/>
  <c r="G1279" i="5"/>
  <c r="R1279" i="5"/>
  <c r="E1279" i="5"/>
  <c r="Q1279" i="5"/>
  <c r="M1279" i="5"/>
  <c r="K1279" i="5"/>
  <c r="F1279" i="5"/>
  <c r="O1279" i="5"/>
  <c r="J1279" i="5"/>
  <c r="H1279" i="5"/>
  <c r="D1279" i="5"/>
  <c r="L1279" i="5"/>
  <c r="T1279" i="5"/>
  <c r="N1279" i="5"/>
  <c r="S1279" i="5"/>
  <c r="I1279" i="5"/>
  <c r="C1279" i="5"/>
  <c r="P1279" i="5"/>
  <c r="A1281" i="5" l="1"/>
  <c r="B1282" i="5"/>
  <c r="L1280" i="5"/>
  <c r="S1280" i="5"/>
  <c r="Q1280" i="5"/>
  <c r="P1280" i="5"/>
  <c r="O1280" i="5"/>
  <c r="H1280" i="5"/>
  <c r="M1280" i="5"/>
  <c r="N1280" i="5"/>
  <c r="J1280" i="5"/>
  <c r="T1280" i="5"/>
  <c r="F1280" i="5"/>
  <c r="D1280" i="5"/>
  <c r="E1280" i="5"/>
  <c r="G1280" i="5"/>
  <c r="I1280" i="5"/>
  <c r="C1280" i="5"/>
  <c r="K1280" i="5"/>
  <c r="R1280" i="5"/>
  <c r="A1282" i="5" l="1"/>
  <c r="B1283" i="5"/>
  <c r="K1281" i="5"/>
  <c r="Q1281" i="5"/>
  <c r="L1281" i="5"/>
  <c r="P1281" i="5"/>
  <c r="T1281" i="5"/>
  <c r="I1281" i="5"/>
  <c r="R1281" i="5"/>
  <c r="E1281" i="5"/>
  <c r="J1281" i="5"/>
  <c r="N1281" i="5"/>
  <c r="S1281" i="5"/>
  <c r="O1281" i="5"/>
  <c r="C1281" i="5"/>
  <c r="M1281" i="5"/>
  <c r="D1281" i="5"/>
  <c r="H1281" i="5"/>
  <c r="G1281" i="5"/>
  <c r="F1281" i="5"/>
  <c r="A1283" i="5" l="1"/>
  <c r="B1284" i="5"/>
  <c r="T1282" i="5"/>
  <c r="C1282" i="5"/>
  <c r="Q1282" i="5"/>
  <c r="H1282" i="5"/>
  <c r="M1282" i="5"/>
  <c r="P1282" i="5"/>
  <c r="R1282" i="5"/>
  <c r="K1282" i="5"/>
  <c r="S1282" i="5"/>
  <c r="N1282" i="5"/>
  <c r="D1282" i="5"/>
  <c r="I1282" i="5"/>
  <c r="F1282" i="5"/>
  <c r="J1282" i="5"/>
  <c r="G1282" i="5"/>
  <c r="L1282" i="5"/>
  <c r="O1282" i="5"/>
  <c r="E1282" i="5"/>
  <c r="A1284" i="5" l="1"/>
  <c r="B1285" i="5"/>
  <c r="C1283" i="5"/>
  <c r="E1283" i="5"/>
  <c r="T1283" i="5"/>
  <c r="G1283" i="5"/>
  <c r="I1283" i="5"/>
  <c r="D1283" i="5"/>
  <c r="K1283" i="5"/>
  <c r="O1283" i="5"/>
  <c r="N1283" i="5"/>
  <c r="Q1283" i="5"/>
  <c r="L1283" i="5"/>
  <c r="R1283" i="5"/>
  <c r="H1283" i="5"/>
  <c r="P1283" i="5"/>
  <c r="S1283" i="5"/>
  <c r="M1283" i="5"/>
  <c r="F1283" i="5"/>
  <c r="J1283" i="5"/>
  <c r="A1285" i="5" l="1"/>
  <c r="B1286" i="5"/>
  <c r="F1284" i="5"/>
  <c r="G1284" i="5"/>
  <c r="K1284" i="5"/>
  <c r="E1284" i="5"/>
  <c r="I1284" i="5"/>
  <c r="H1284" i="5"/>
  <c r="R1284" i="5"/>
  <c r="O1284" i="5"/>
  <c r="Q1284" i="5"/>
  <c r="S1284" i="5"/>
  <c r="D1284" i="5"/>
  <c r="C1284" i="5"/>
  <c r="T1284" i="5"/>
  <c r="N1284" i="5"/>
  <c r="M1284" i="5"/>
  <c r="J1284" i="5"/>
  <c r="P1284" i="5"/>
  <c r="L1284" i="5"/>
  <c r="A1286" i="5" l="1"/>
  <c r="B1287" i="5"/>
  <c r="E1285" i="5"/>
  <c r="H1285" i="5"/>
  <c r="F1285" i="5"/>
  <c r="J1285" i="5"/>
  <c r="R1285" i="5"/>
  <c r="I1285" i="5"/>
  <c r="L1285" i="5"/>
  <c r="D1285" i="5"/>
  <c r="K1285" i="5"/>
  <c r="S1285" i="5"/>
  <c r="N1285" i="5"/>
  <c r="M1285" i="5"/>
  <c r="G1285" i="5"/>
  <c r="C1285" i="5"/>
  <c r="T1285" i="5"/>
  <c r="P1285" i="5"/>
  <c r="Q1285" i="5"/>
  <c r="O1285" i="5"/>
  <c r="A1287" i="5" l="1"/>
  <c r="B1288" i="5"/>
  <c r="K1286" i="5"/>
  <c r="P1286" i="5"/>
  <c r="I1286" i="5"/>
  <c r="J1286" i="5"/>
  <c r="Q1286" i="5"/>
  <c r="R1286" i="5"/>
  <c r="D1286" i="5"/>
  <c r="S1286" i="5"/>
  <c r="M1286" i="5"/>
  <c r="H1286" i="5"/>
  <c r="O1286" i="5"/>
  <c r="T1286" i="5"/>
  <c r="L1286" i="5"/>
  <c r="C1286" i="5"/>
  <c r="G1286" i="5"/>
  <c r="N1286" i="5"/>
  <c r="F1286" i="5"/>
  <c r="E1286" i="5"/>
  <c r="A1288" i="5" l="1"/>
  <c r="B1289" i="5"/>
  <c r="R1287" i="5"/>
  <c r="H1287" i="5"/>
  <c r="J1287" i="5"/>
  <c r="M1287" i="5"/>
  <c r="S1287" i="5"/>
  <c r="D1287" i="5"/>
  <c r="G1287" i="5"/>
  <c r="O1287" i="5"/>
  <c r="K1287" i="5"/>
  <c r="C1287" i="5"/>
  <c r="E1287" i="5"/>
  <c r="T1287" i="5"/>
  <c r="I1287" i="5"/>
  <c r="Q1287" i="5"/>
  <c r="N1287" i="5"/>
  <c r="L1287" i="5"/>
  <c r="P1287" i="5"/>
  <c r="F1287" i="5"/>
  <c r="A1289" i="5" l="1"/>
  <c r="B1290" i="5"/>
  <c r="H1288" i="5"/>
  <c r="T1288" i="5"/>
  <c r="J1288" i="5"/>
  <c r="S1288" i="5"/>
  <c r="Q1288" i="5"/>
  <c r="L1288" i="5"/>
  <c r="K1288" i="5"/>
  <c r="M1288" i="5"/>
  <c r="N1288" i="5"/>
  <c r="F1288" i="5"/>
  <c r="D1288" i="5"/>
  <c r="G1288" i="5"/>
  <c r="E1288" i="5"/>
  <c r="I1288" i="5"/>
  <c r="P1288" i="5"/>
  <c r="C1288" i="5"/>
  <c r="R1288" i="5"/>
  <c r="O1288" i="5"/>
  <c r="A1290" i="5" l="1"/>
  <c r="B1291" i="5"/>
  <c r="H1289" i="5"/>
  <c r="J1289" i="5"/>
  <c r="F1289" i="5"/>
  <c r="E1289" i="5"/>
  <c r="N1289" i="5"/>
  <c r="D1289" i="5"/>
  <c r="C1289" i="5"/>
  <c r="P1289" i="5"/>
  <c r="M1289" i="5"/>
  <c r="G1289" i="5"/>
  <c r="T1289" i="5"/>
  <c r="L1289" i="5"/>
  <c r="K1289" i="5"/>
  <c r="S1289" i="5"/>
  <c r="Q1289" i="5"/>
  <c r="O1289" i="5"/>
  <c r="I1289" i="5"/>
  <c r="R1289" i="5"/>
  <c r="A1291" i="5" l="1"/>
  <c r="B1292" i="5"/>
  <c r="N1290" i="5"/>
  <c r="L1290" i="5"/>
  <c r="G1290" i="5"/>
  <c r="D1290" i="5"/>
  <c r="P1290" i="5"/>
  <c r="R1290" i="5"/>
  <c r="S1290" i="5"/>
  <c r="I1290" i="5"/>
  <c r="K1290" i="5"/>
  <c r="M1290" i="5"/>
  <c r="J1290" i="5"/>
  <c r="C1290" i="5"/>
  <c r="F1290" i="5"/>
  <c r="O1290" i="5"/>
  <c r="T1290" i="5"/>
  <c r="Q1290" i="5"/>
  <c r="H1290" i="5"/>
  <c r="E1290" i="5"/>
  <c r="A1292" i="5" l="1"/>
  <c r="B1293" i="5"/>
  <c r="D1291" i="5"/>
  <c r="L1291" i="5"/>
  <c r="Q1291" i="5"/>
  <c r="N1291" i="5"/>
  <c r="M1291" i="5"/>
  <c r="G1291" i="5"/>
  <c r="S1291" i="5"/>
  <c r="R1291" i="5"/>
  <c r="J1291" i="5"/>
  <c r="I1291" i="5"/>
  <c r="K1291" i="5"/>
  <c r="E1291" i="5"/>
  <c r="C1291" i="5"/>
  <c r="P1291" i="5"/>
  <c r="T1291" i="5"/>
  <c r="O1291" i="5"/>
  <c r="H1291" i="5"/>
  <c r="F1291" i="5"/>
  <c r="A1293" i="5" l="1"/>
  <c r="B1294" i="5"/>
  <c r="D1292" i="5"/>
  <c r="L1292" i="5"/>
  <c r="R1292" i="5"/>
  <c r="M1292" i="5"/>
  <c r="K1292" i="5"/>
  <c r="Q1292" i="5"/>
  <c r="G1292" i="5"/>
  <c r="F1292" i="5"/>
  <c r="C1292" i="5"/>
  <c r="I1292" i="5"/>
  <c r="T1292" i="5"/>
  <c r="H1292" i="5"/>
  <c r="J1292" i="5"/>
  <c r="N1292" i="5"/>
  <c r="O1292" i="5"/>
  <c r="P1292" i="5"/>
  <c r="S1292" i="5"/>
  <c r="E1292" i="5"/>
  <c r="A1294" i="5" l="1"/>
  <c r="B1295" i="5"/>
  <c r="L1293" i="5"/>
  <c r="M1293" i="5"/>
  <c r="E1293" i="5"/>
  <c r="J1293" i="5"/>
  <c r="I1293" i="5"/>
  <c r="D1293" i="5"/>
  <c r="K1293" i="5"/>
  <c r="Q1293" i="5"/>
  <c r="N1293" i="5"/>
  <c r="T1293" i="5"/>
  <c r="G1293" i="5"/>
  <c r="P1293" i="5"/>
  <c r="R1293" i="5"/>
  <c r="O1293" i="5"/>
  <c r="F1293" i="5"/>
  <c r="H1293" i="5"/>
  <c r="S1293" i="5"/>
  <c r="C1293" i="5"/>
  <c r="A1295" i="5" l="1"/>
  <c r="B1296" i="5"/>
  <c r="L1294" i="5"/>
  <c r="C1294" i="5"/>
  <c r="E1294" i="5"/>
  <c r="Q1294" i="5"/>
  <c r="M1294" i="5"/>
  <c r="R1294" i="5"/>
  <c r="I1294" i="5"/>
  <c r="G1294" i="5"/>
  <c r="H1294" i="5"/>
  <c r="T1294" i="5"/>
  <c r="F1294" i="5"/>
  <c r="K1294" i="5"/>
  <c r="D1294" i="5"/>
  <c r="S1294" i="5"/>
  <c r="P1294" i="5"/>
  <c r="O1294" i="5"/>
  <c r="J1294" i="5"/>
  <c r="N1294" i="5"/>
  <c r="A1296" i="5" l="1"/>
  <c r="B1297" i="5"/>
  <c r="R1295" i="5"/>
  <c r="N1295" i="5"/>
  <c r="J1295" i="5"/>
  <c r="D1295" i="5"/>
  <c r="M1295" i="5"/>
  <c r="O1295" i="5"/>
  <c r="C1295" i="5"/>
  <c r="Q1295" i="5"/>
  <c r="G1295" i="5"/>
  <c r="K1295" i="5"/>
  <c r="L1295" i="5"/>
  <c r="E1295" i="5"/>
  <c r="I1295" i="5"/>
  <c r="H1295" i="5"/>
  <c r="F1295" i="5"/>
  <c r="P1295" i="5"/>
  <c r="S1295" i="5"/>
  <c r="T1295" i="5"/>
  <c r="F121" i="44"/>
  <c r="A121" i="44" s="1"/>
  <c r="F122" i="44"/>
  <c r="F127" i="44"/>
  <c r="F124" i="44"/>
  <c r="F125" i="44"/>
  <c r="F123" i="44"/>
  <c r="F126" i="44"/>
  <c r="A1297" i="5" l="1"/>
  <c r="B1298" i="5"/>
  <c r="S1296" i="5"/>
  <c r="D1296" i="5"/>
  <c r="K1296" i="5"/>
  <c r="G1296" i="5"/>
  <c r="R1296" i="5"/>
  <c r="L1296" i="5"/>
  <c r="O1296" i="5"/>
  <c r="I1296" i="5"/>
  <c r="E1296" i="5"/>
  <c r="Q1296" i="5"/>
  <c r="M1296" i="5"/>
  <c r="J1296" i="5"/>
  <c r="T1296" i="5"/>
  <c r="F1296" i="5"/>
  <c r="N1296" i="5"/>
  <c r="H1296" i="5"/>
  <c r="C1296" i="5"/>
  <c r="P1296" i="5"/>
  <c r="A1298" i="5" l="1"/>
  <c r="B1299" i="5"/>
  <c r="K1297" i="5"/>
  <c r="F1297" i="5"/>
  <c r="E1297" i="5"/>
  <c r="P1297" i="5"/>
  <c r="D1297" i="5"/>
  <c r="N1297" i="5"/>
  <c r="R1297" i="5"/>
  <c r="O1297" i="5"/>
  <c r="J1297" i="5"/>
  <c r="L1297" i="5"/>
  <c r="C1297" i="5"/>
  <c r="Q1297" i="5"/>
  <c r="G1297" i="5"/>
  <c r="I1297" i="5"/>
  <c r="M1297" i="5"/>
  <c r="S1297" i="5"/>
  <c r="T1297" i="5"/>
  <c r="H1297" i="5"/>
  <c r="A1299" i="5" l="1"/>
  <c r="B1300" i="5"/>
  <c r="N1298" i="5"/>
  <c r="C1298" i="5"/>
  <c r="J1298" i="5"/>
  <c r="H1298" i="5"/>
  <c r="P1298" i="5"/>
  <c r="L1298" i="5"/>
  <c r="E1298" i="5"/>
  <c r="M1298" i="5"/>
  <c r="R1298" i="5"/>
  <c r="K1298" i="5"/>
  <c r="Q1298" i="5"/>
  <c r="S1298" i="5"/>
  <c r="I1298" i="5"/>
  <c r="D1298" i="5"/>
  <c r="O1298" i="5"/>
  <c r="T1298" i="5"/>
  <c r="G1298" i="5"/>
  <c r="F1298" i="5"/>
  <c r="A1300" i="5" l="1"/>
  <c r="B1301" i="5"/>
  <c r="I1299" i="5"/>
  <c r="J1299" i="5"/>
  <c r="E1299" i="5"/>
  <c r="O1299" i="5"/>
  <c r="M1299" i="5"/>
  <c r="Q1299" i="5"/>
  <c r="S1299" i="5"/>
  <c r="D1299" i="5"/>
  <c r="R1299" i="5"/>
  <c r="K1299" i="5"/>
  <c r="H1299" i="5"/>
  <c r="F1299" i="5"/>
  <c r="N1299" i="5"/>
  <c r="T1299" i="5"/>
  <c r="C1299" i="5"/>
  <c r="L1299" i="5"/>
  <c r="G1299" i="5"/>
  <c r="P1299" i="5"/>
  <c r="A1301" i="5" l="1"/>
  <c r="B1302" i="5"/>
  <c r="A1302" i="5" s="1"/>
  <c r="M1300" i="5"/>
  <c r="N1300" i="5"/>
  <c r="D1300" i="5"/>
  <c r="F1300" i="5"/>
  <c r="O1300" i="5"/>
  <c r="L1300" i="5"/>
  <c r="I1300" i="5"/>
  <c r="C1300" i="5"/>
  <c r="G1300" i="5"/>
  <c r="Q1300" i="5"/>
  <c r="J1300" i="5"/>
  <c r="T1300" i="5"/>
  <c r="R1300" i="5"/>
  <c r="K1300" i="5"/>
  <c r="S1300" i="5"/>
  <c r="E1300" i="5"/>
  <c r="H1300" i="5"/>
  <c r="P1300" i="5"/>
  <c r="R1302" i="5" l="1"/>
  <c r="Q1302" i="5"/>
  <c r="J1302" i="5"/>
  <c r="O1302" i="5"/>
  <c r="D1302" i="5"/>
  <c r="P1302" i="5"/>
  <c r="E1302" i="5"/>
  <c r="S1302" i="5"/>
  <c r="M1302" i="5"/>
  <c r="K1302" i="5"/>
  <c r="T1302" i="5"/>
  <c r="C1302" i="5"/>
  <c r="L1302" i="5"/>
  <c r="I1302" i="5"/>
  <c r="G1302" i="5"/>
  <c r="N1302" i="5"/>
  <c r="H1302" i="5"/>
  <c r="F1302" i="5"/>
  <c r="D1301" i="5"/>
  <c r="K1301" i="5"/>
  <c r="F1301" i="5"/>
  <c r="H1301" i="5"/>
  <c r="S1301" i="5"/>
  <c r="C1301" i="5"/>
  <c r="J1301" i="5"/>
  <c r="Q1301" i="5"/>
  <c r="M1301" i="5"/>
  <c r="O1301" i="5"/>
  <c r="G1301" i="5"/>
  <c r="R1301" i="5"/>
  <c r="P1301" i="5"/>
  <c r="I1301" i="5"/>
  <c r="L1301" i="5"/>
  <c r="T1301" i="5"/>
  <c r="N1301" i="5"/>
  <c r="E1301" i="5"/>
  <c r="G1568" i="44" l="1"/>
  <c r="G1569" i="44" s="1"/>
  <c r="G1570" i="44" s="1"/>
  <c r="G1571" i="44" s="1"/>
  <c r="G1572" i="44" s="1"/>
  <c r="G1573" i="44" s="1"/>
  <c r="G1574" i="44" s="1"/>
  <c r="G1575" i="44" s="1"/>
  <c r="G1576" i="44" s="1"/>
  <c r="G1577" i="44" s="1"/>
  <c r="G1578" i="44" s="1"/>
  <c r="G1579" i="44" s="1"/>
  <c r="G1580" i="44" s="1"/>
  <c r="G1581" i="44" s="1"/>
  <c r="G1582" i="44" s="1"/>
  <c r="G1105" i="44" l="1"/>
  <c r="G1106" i="44" s="1"/>
  <c r="G1107" i="44" s="1"/>
  <c r="G1108" i="44" s="1"/>
  <c r="G1109" i="44" s="1"/>
  <c r="G1110" i="44" s="1"/>
  <c r="G1111" i="44" s="1"/>
  <c r="G1112" i="44" s="1"/>
  <c r="G1113" i="44" s="1"/>
  <c r="G1114" i="44" s="1"/>
  <c r="G1115" i="44" s="1"/>
  <c r="G1116" i="44" s="1"/>
  <c r="G1117" i="44" s="1"/>
  <c r="G1118" i="44" s="1"/>
  <c r="G1119" i="44" s="1"/>
  <c r="G1120" i="44" s="1"/>
  <c r="G1121" i="44" s="1"/>
  <c r="G1122" i="44" s="1"/>
  <c r="G1123" i="44" s="1"/>
  <c r="G1124" i="44" s="1"/>
  <c r="G1125" i="44" s="1"/>
  <c r="G1126" i="44" s="1"/>
  <c r="G1127" i="44" s="1"/>
  <c r="G1128" i="44" s="1"/>
  <c r="G1129" i="44" s="1"/>
  <c r="G1130" i="44" s="1"/>
  <c r="G1131" i="44" s="1"/>
  <c r="G1132" i="44" s="1"/>
  <c r="G1133" i="44" s="1"/>
  <c r="L1134" i="44" l="1"/>
  <c r="F1134" i="44" l="1"/>
  <c r="D1135" i="44" l="1"/>
  <c r="L1135" i="44" s="1"/>
  <c r="F1135" i="44"/>
  <c r="D1136" i="44" l="1"/>
  <c r="L1136" i="44" s="1"/>
  <c r="D1137" i="44" l="1"/>
  <c r="L1137" i="44" s="1"/>
  <c r="F1138" i="44" l="1"/>
  <c r="A1138" i="44" s="1"/>
  <c r="S397" i="3" l="1"/>
  <c r="S398" i="3" s="1"/>
  <c r="S399" i="3" l="1"/>
  <c r="T397" i="3" s="1"/>
  <c r="T398" i="3" s="1"/>
  <c r="T399" i="3" l="1"/>
  <c r="U397" i="3" s="1"/>
  <c r="U398" i="3" s="1"/>
  <c r="U399" i="3" l="1"/>
  <c r="V397" i="3" s="1"/>
  <c r="V398" i="3" s="1"/>
  <c r="V399" i="3" l="1"/>
  <c r="W397" i="3" s="1"/>
  <c r="W398" i="3" s="1"/>
  <c r="W399" i="3" l="1"/>
  <c r="X397" i="3" s="1"/>
  <c r="X398" i="3" s="1"/>
  <c r="X399" i="3" l="1"/>
  <c r="Y397" i="3" s="1"/>
  <c r="Y398" i="3" s="1"/>
  <c r="Y399" i="3" l="1"/>
  <c r="Z397" i="3" s="1"/>
  <c r="Z398" i="3" s="1"/>
  <c r="Z399" i="3" l="1"/>
  <c r="AA397" i="3" s="1"/>
  <c r="AA398" i="3" s="1"/>
  <c r="AA399" i="3" l="1"/>
  <c r="AB397" i="3" s="1"/>
  <c r="AB398" i="3" s="1"/>
  <c r="AB399" i="3" l="1"/>
  <c r="AC397" i="3" s="1"/>
  <c r="AC398" i="3" s="1"/>
  <c r="AC399" i="3" l="1"/>
  <c r="AD397" i="3" s="1"/>
  <c r="AD398" i="3" s="1"/>
  <c r="AD399" i="3" l="1"/>
  <c r="AE397" i="3" s="1"/>
  <c r="AE398" i="3" s="1"/>
  <c r="AE399" i="3" l="1"/>
  <c r="AF397" i="3" s="1"/>
  <c r="AF398" i="3" s="1"/>
  <c r="AF399" i="3" l="1"/>
  <c r="A15" i="21" l="1"/>
  <c r="G120" i="32" l="1"/>
  <c r="G148" i="24"/>
  <c r="F896" i="3" l="1"/>
  <c r="F904" i="3"/>
  <c r="F944" i="3"/>
  <c r="F921" i="3"/>
  <c r="F939" i="3"/>
  <c r="F894" i="3"/>
  <c r="F935" i="3"/>
  <c r="F898" i="3"/>
  <c r="F908" i="3"/>
  <c r="F919" i="3"/>
  <c r="F925" i="3"/>
  <c r="F933" i="3"/>
  <c r="F902" i="3"/>
  <c r="F946" i="3"/>
  <c r="F900" i="3"/>
  <c r="F910" i="3"/>
  <c r="F948" i="3"/>
  <c r="F947" i="3"/>
  <c r="F913" i="3"/>
  <c r="F911" i="3"/>
  <c r="F907" i="3"/>
  <c r="F929" i="3"/>
  <c r="F918" i="3"/>
  <c r="F916" i="3"/>
  <c r="F938" i="3"/>
  <c r="F945" i="3"/>
  <c r="F909" i="3"/>
  <c r="F905" i="3"/>
  <c r="F915" i="3"/>
  <c r="F949" i="3"/>
  <c r="F927" i="3"/>
  <c r="F936" i="3"/>
  <c r="F906" i="3"/>
  <c r="F912" i="3"/>
  <c r="F926" i="3"/>
  <c r="F922" i="3"/>
  <c r="F930" i="3"/>
  <c r="F943" i="3"/>
  <c r="F903" i="3"/>
  <c r="F923" i="3"/>
  <c r="F899" i="3"/>
  <c r="F931" i="3"/>
  <c r="F895" i="3"/>
  <c r="F893" i="3"/>
  <c r="F914" i="3"/>
  <c r="F940" i="3"/>
  <c r="F924" i="3"/>
  <c r="F928" i="3"/>
  <c r="F941" i="3"/>
  <c r="F901" i="3"/>
  <c r="F917" i="3"/>
  <c r="F897" i="3"/>
  <c r="F920" i="3"/>
  <c r="F934" i="3"/>
  <c r="F892" i="3"/>
  <c r="F942" i="3"/>
  <c r="F932" i="3"/>
  <c r="F937" i="3"/>
  <c r="H186" i="32" l="1"/>
  <c r="G248" i="24"/>
  <c r="H924" i="3"/>
  <c r="H202" i="32"/>
  <c r="H940" i="3"/>
  <c r="G264" i="24"/>
  <c r="H191" i="32"/>
  <c r="H929" i="3"/>
  <c r="G253" i="24"/>
  <c r="H176" i="32"/>
  <c r="G238" i="24"/>
  <c r="H914" i="3"/>
  <c r="H907" i="3"/>
  <c r="G231" i="24"/>
  <c r="H169" i="32"/>
  <c r="H164" i="32"/>
  <c r="H902" i="3"/>
  <c r="G226" i="24"/>
  <c r="H201" i="32"/>
  <c r="H939" i="3"/>
  <c r="G263" i="24"/>
  <c r="G221" i="24"/>
  <c r="H159" i="32"/>
  <c r="H897" i="3"/>
  <c r="H155" i="32"/>
  <c r="H893" i="3"/>
  <c r="G217" i="24"/>
  <c r="H184" i="32"/>
  <c r="G246" i="24"/>
  <c r="H922" i="3"/>
  <c r="H167" i="32"/>
  <c r="G229" i="24"/>
  <c r="H905" i="3"/>
  <c r="H173" i="32"/>
  <c r="H911" i="3"/>
  <c r="G235" i="24"/>
  <c r="G257" i="24"/>
  <c r="H933" i="3"/>
  <c r="H195" i="32"/>
  <c r="H183" i="32"/>
  <c r="G245" i="24"/>
  <c r="H921" i="3"/>
  <c r="H165" i="32"/>
  <c r="H903" i="3"/>
  <c r="G227" i="24"/>
  <c r="H196" i="32"/>
  <c r="H934" i="3"/>
  <c r="G258" i="24"/>
  <c r="G273" i="24"/>
  <c r="H211" i="32"/>
  <c r="H949" i="3"/>
  <c r="G239" i="24"/>
  <c r="H915" i="3"/>
  <c r="H177" i="32"/>
  <c r="H179" i="32"/>
  <c r="H917" i="3"/>
  <c r="G241" i="24"/>
  <c r="H895" i="3"/>
  <c r="G219" i="24"/>
  <c r="H157" i="32"/>
  <c r="G250" i="24"/>
  <c r="H926" i="3"/>
  <c r="H188" i="32"/>
  <c r="G233" i="24"/>
  <c r="H909" i="3"/>
  <c r="H171" i="32"/>
  <c r="G237" i="24"/>
  <c r="H175" i="32"/>
  <c r="H913" i="3"/>
  <c r="H187" i="32"/>
  <c r="H925" i="3"/>
  <c r="G249" i="24"/>
  <c r="G268" i="24"/>
  <c r="H206" i="32"/>
  <c r="H944" i="3"/>
  <c r="G255" i="24"/>
  <c r="H931" i="3"/>
  <c r="H193" i="32"/>
  <c r="H946" i="3"/>
  <c r="H208" i="32"/>
  <c r="G270" i="24"/>
  <c r="H920" i="3"/>
  <c r="G244" i="24"/>
  <c r="H182" i="32"/>
  <c r="G225" i="24"/>
  <c r="H163" i="32"/>
  <c r="H901" i="3"/>
  <c r="H945" i="3"/>
  <c r="H207" i="32"/>
  <c r="G269" i="24"/>
  <c r="H181" i="32"/>
  <c r="H919" i="3"/>
  <c r="G243" i="24"/>
  <c r="H932" i="3"/>
  <c r="H194" i="32"/>
  <c r="G256" i="24"/>
  <c r="H203" i="32"/>
  <c r="H941" i="3"/>
  <c r="G265" i="24"/>
  <c r="G223" i="24"/>
  <c r="H899" i="3"/>
  <c r="H161" i="32"/>
  <c r="H906" i="3"/>
  <c r="G230" i="24"/>
  <c r="H168" i="32"/>
  <c r="G262" i="24"/>
  <c r="H200" i="32"/>
  <c r="H938" i="3"/>
  <c r="H948" i="3"/>
  <c r="G272" i="24"/>
  <c r="H210" i="32"/>
  <c r="H908" i="3"/>
  <c r="H170" i="32"/>
  <c r="G232" i="24"/>
  <c r="H896" i="3"/>
  <c r="H158" i="32"/>
  <c r="G220" i="24"/>
  <c r="H892" i="3"/>
  <c r="G216" i="24"/>
  <c r="H154" i="32"/>
  <c r="H927" i="3"/>
  <c r="G251" i="24"/>
  <c r="H189" i="32"/>
  <c r="H205" i="32"/>
  <c r="H943" i="3"/>
  <c r="G267" i="24"/>
  <c r="G254" i="24"/>
  <c r="H930" i="3"/>
  <c r="H192" i="32"/>
  <c r="G261" i="24"/>
  <c r="H937" i="3"/>
  <c r="H199" i="32"/>
  <c r="G236" i="24"/>
  <c r="H174" i="32"/>
  <c r="H912" i="3"/>
  <c r="H209" i="32"/>
  <c r="G271" i="24"/>
  <c r="H947" i="3"/>
  <c r="H904" i="3"/>
  <c r="G228" i="24"/>
  <c r="H166" i="32"/>
  <c r="H204" i="32"/>
  <c r="G266" i="24"/>
  <c r="H942" i="3"/>
  <c r="H928" i="3"/>
  <c r="G252" i="24"/>
  <c r="H190" i="32"/>
  <c r="H185" i="32"/>
  <c r="G247" i="24"/>
  <c r="H923" i="3"/>
  <c r="H936" i="3"/>
  <c r="G260" i="24"/>
  <c r="H198" i="32"/>
  <c r="H178" i="32"/>
  <c r="G240" i="24"/>
  <c r="H916" i="3"/>
  <c r="H910" i="3"/>
  <c r="G234" i="24"/>
  <c r="H172" i="32"/>
  <c r="G222" i="24"/>
  <c r="H898" i="3"/>
  <c r="H160" i="32"/>
  <c r="H918" i="3"/>
  <c r="G242" i="24"/>
  <c r="H180" i="32"/>
  <c r="H900" i="3"/>
  <c r="G224" i="24"/>
  <c r="H162" i="32"/>
  <c r="H197" i="32"/>
  <c r="H935" i="3"/>
  <c r="G259" i="24"/>
  <c r="G218" i="24"/>
  <c r="H894" i="3"/>
  <c r="H156" i="32"/>
  <c r="I232" i="24" l="1"/>
  <c r="J170" i="32"/>
  <c r="J207" i="32"/>
  <c r="I269" i="24"/>
  <c r="I241" i="24"/>
  <c r="J179" i="32"/>
  <c r="I221" i="24"/>
  <c r="J159" i="32"/>
  <c r="I253" i="24"/>
  <c r="J191" i="32"/>
  <c r="J172" i="32"/>
  <c r="I234" i="24"/>
  <c r="J168" i="32"/>
  <c r="I230" i="24"/>
  <c r="J163" i="32"/>
  <c r="I225" i="24"/>
  <c r="I270" i="24"/>
  <c r="J208" i="32"/>
  <c r="J187" i="32"/>
  <c r="I249" i="24"/>
  <c r="I258" i="24"/>
  <c r="J196" i="32"/>
  <c r="I218" i="24"/>
  <c r="J156" i="32"/>
  <c r="I250" i="24"/>
  <c r="J188" i="32"/>
  <c r="J184" i="32"/>
  <c r="I246" i="24"/>
  <c r="I242" i="24"/>
  <c r="J180" i="32"/>
  <c r="J166" i="32"/>
  <c r="I228" i="24"/>
  <c r="I261" i="24"/>
  <c r="J199" i="32"/>
  <c r="I267" i="24"/>
  <c r="J205" i="32"/>
  <c r="I272" i="24"/>
  <c r="J210" i="32"/>
  <c r="I223" i="24"/>
  <c r="J161" i="32"/>
  <c r="I255" i="24"/>
  <c r="J193" i="32"/>
  <c r="I237" i="24"/>
  <c r="J175" i="32"/>
  <c r="J177" i="32"/>
  <c r="I239" i="24"/>
  <c r="I231" i="24"/>
  <c r="J169" i="32"/>
  <c r="J202" i="32"/>
  <c r="I264" i="24"/>
  <c r="I216" i="24"/>
  <c r="J154" i="32"/>
  <c r="I256" i="24"/>
  <c r="J194" i="32"/>
  <c r="J195" i="32"/>
  <c r="I257" i="24"/>
  <c r="I259" i="24"/>
  <c r="J197" i="32"/>
  <c r="J209" i="32"/>
  <c r="I271" i="24"/>
  <c r="J200" i="32"/>
  <c r="I262" i="24"/>
  <c r="J181" i="32"/>
  <c r="I243" i="24"/>
  <c r="I227" i="24"/>
  <c r="J165" i="32"/>
  <c r="I263" i="24"/>
  <c r="J201" i="32"/>
  <c r="J176" i="32"/>
  <c r="I238" i="24"/>
  <c r="J162" i="32"/>
  <c r="I224" i="24"/>
  <c r="I247" i="24"/>
  <c r="J185" i="32"/>
  <c r="I220" i="24"/>
  <c r="J158" i="32"/>
  <c r="I268" i="24"/>
  <c r="J206" i="32"/>
  <c r="I273" i="24"/>
  <c r="J211" i="32"/>
  <c r="J173" i="32"/>
  <c r="I235" i="24"/>
  <c r="J186" i="32"/>
  <c r="I248" i="24"/>
  <c r="I240" i="24"/>
  <c r="J178" i="32"/>
  <c r="J160" i="32"/>
  <c r="I222" i="24"/>
  <c r="I252" i="24"/>
  <c r="J190" i="32"/>
  <c r="J204" i="32"/>
  <c r="I266" i="24"/>
  <c r="I254" i="24"/>
  <c r="J192" i="32"/>
  <c r="J203" i="32"/>
  <c r="I265" i="24"/>
  <c r="J182" i="32"/>
  <c r="I244" i="24"/>
  <c r="J157" i="32"/>
  <c r="I219" i="24"/>
  <c r="J183" i="32"/>
  <c r="I245" i="24"/>
  <c r="J155" i="32"/>
  <c r="I217" i="24"/>
  <c r="J198" i="32"/>
  <c r="I260" i="24"/>
  <c r="I236" i="24"/>
  <c r="J174" i="32"/>
  <c r="J189" i="32"/>
  <c r="I251" i="24"/>
  <c r="I233" i="24"/>
  <c r="J171" i="32"/>
  <c r="I229" i="24"/>
  <c r="J167" i="32"/>
  <c r="I226" i="24"/>
  <c r="J164" i="32"/>
  <c r="B525" i="3" l="1"/>
  <c r="B527" i="3" s="1"/>
  <c r="C525" i="3" l="1"/>
  <c r="C198" i="5"/>
  <c r="C527" i="3"/>
  <c r="B561" i="3" l="1"/>
  <c r="F73" i="32"/>
  <c r="F48" i="24"/>
  <c r="G70" i="25"/>
  <c r="B562" i="3" l="1"/>
  <c r="C210" i="5"/>
  <c r="B628" i="3"/>
  <c r="B830" i="3"/>
  <c r="F57" i="32" l="1"/>
  <c r="D562" i="3"/>
  <c r="E562" i="3" s="1"/>
  <c r="G56" i="32" s="1"/>
  <c r="C213" i="5"/>
  <c r="B841" i="3"/>
  <c r="B853" i="3"/>
  <c r="D923" i="5" s="1"/>
  <c r="B855" i="3"/>
  <c r="D925" i="5" s="1"/>
  <c r="B838" i="3"/>
  <c r="F53" i="24"/>
  <c r="G97" i="25"/>
  <c r="F78" i="32"/>
  <c r="G99" i="25"/>
  <c r="B631" i="3"/>
  <c r="B645" i="3" s="1"/>
  <c r="F55" i="24"/>
  <c r="F80" i="32"/>
  <c r="G842" i="3" l="1"/>
  <c r="D922" i="5"/>
  <c r="E618" i="3"/>
  <c r="C211" i="5"/>
  <c r="G843" i="3"/>
  <c r="D117" i="25" s="1"/>
  <c r="D924" i="5"/>
  <c r="B646" i="3" l="1"/>
  <c r="B648" i="3" s="1"/>
  <c r="B651" i="3" s="1"/>
  <c r="B653" i="3" s="1"/>
  <c r="D56" i="32"/>
  <c r="B581" i="3"/>
  <c r="B583" i="3" s="1"/>
  <c r="B478" i="3"/>
  <c r="F75" i="25" s="1"/>
  <c r="B531" i="3"/>
  <c r="D66" i="24"/>
  <c r="B622" i="3"/>
  <c r="B623" i="3" s="1"/>
  <c r="H75" i="25"/>
  <c r="D68" i="24"/>
  <c r="D58" i="32"/>
  <c r="G847" i="3"/>
  <c r="D122" i="25" s="1"/>
  <c r="D116" i="25"/>
  <c r="B533" i="3" l="1"/>
  <c r="C531" i="3"/>
  <c r="G75" i="25" s="1"/>
  <c r="E620" i="3"/>
  <c r="D61" i="32" s="1"/>
  <c r="E621" i="3"/>
  <c r="F621" i="3" s="1"/>
  <c r="G621" i="3" s="1"/>
  <c r="E74" i="24" s="1"/>
  <c r="B656" i="3"/>
  <c r="B665" i="3" s="1"/>
  <c r="B667" i="3" s="1"/>
  <c r="B479" i="3"/>
  <c r="F76" i="25" s="1"/>
  <c r="H76" i="25"/>
  <c r="B585" i="3"/>
  <c r="D71" i="24" l="1"/>
  <c r="B657" i="3"/>
  <c r="B535" i="3"/>
  <c r="C533" i="3"/>
  <c r="G76" i="25" s="1"/>
  <c r="D73" i="24"/>
  <c r="B481" i="3"/>
  <c r="E74" i="32" s="1"/>
  <c r="D62" i="32"/>
  <c r="C204" i="5"/>
  <c r="E623" i="3"/>
  <c r="D75" i="24" s="1"/>
  <c r="E49" i="24" l="1"/>
  <c r="C200" i="5"/>
  <c r="C535" i="3"/>
  <c r="C199" i="5"/>
  <c r="F79" i="25"/>
  <c r="D64" i="32"/>
  <c r="F49" i="24" l="1"/>
  <c r="F74" i="32"/>
  <c r="G79" i="25"/>
  <c r="A742" i="5" l="1"/>
  <c r="A722" i="5" l="1"/>
  <c r="A723" i="5"/>
  <c r="A708" i="5"/>
  <c r="D708" i="5" s="1"/>
  <c r="A718" i="5"/>
  <c r="C718" i="5" s="1"/>
  <c r="A717" i="5"/>
  <c r="I717" i="5" s="1"/>
  <c r="A714" i="5"/>
  <c r="K714" i="5" s="1"/>
  <c r="A719" i="5"/>
  <c r="C719" i="5" s="1"/>
  <c r="A716" i="5"/>
  <c r="K716" i="5" s="1"/>
  <c r="A713" i="5"/>
  <c r="G713" i="5" s="1"/>
  <c r="A712" i="5"/>
  <c r="C712" i="5" s="1"/>
  <c r="A721" i="5"/>
  <c r="I721" i="5" s="1"/>
  <c r="A711" i="5"/>
  <c r="I711" i="5" s="1"/>
  <c r="A710" i="5"/>
  <c r="J710" i="5" s="1"/>
  <c r="A709" i="5"/>
  <c r="J709" i="5" s="1"/>
  <c r="A720" i="5"/>
  <c r="I720" i="5" s="1"/>
  <c r="A715" i="5"/>
  <c r="C723" i="5" l="1"/>
  <c r="G723" i="5"/>
  <c r="K723" i="5"/>
  <c r="D723" i="5"/>
  <c r="E723" i="5"/>
  <c r="H723" i="5"/>
  <c r="I723" i="5"/>
  <c r="J723" i="5"/>
  <c r="F723" i="5"/>
  <c r="C722" i="5"/>
  <c r="K722" i="5"/>
  <c r="D722" i="5"/>
  <c r="F722" i="5"/>
  <c r="G722" i="5"/>
  <c r="H722" i="5"/>
  <c r="I722" i="5"/>
  <c r="J722" i="5"/>
  <c r="E722" i="5"/>
  <c r="I708" i="5"/>
  <c r="H708" i="5"/>
  <c r="G708" i="5"/>
  <c r="C708" i="5"/>
  <c r="K708" i="5"/>
  <c r="F708" i="5"/>
  <c r="J708" i="5"/>
  <c r="E708" i="5"/>
  <c r="K718" i="5"/>
  <c r="D718" i="5"/>
  <c r="H714" i="5"/>
  <c r="G709" i="5"/>
  <c r="K717" i="5"/>
  <c r="E714" i="5"/>
  <c r="F719" i="5"/>
  <c r="G717" i="5"/>
  <c r="G719" i="5"/>
  <c r="H717" i="5"/>
  <c r="H719" i="5"/>
  <c r="F714" i="5"/>
  <c r="D717" i="5"/>
  <c r="J714" i="5"/>
  <c r="E718" i="5"/>
  <c r="F718" i="5"/>
  <c r="C709" i="5"/>
  <c r="G718" i="5"/>
  <c r="E717" i="5"/>
  <c r="H720" i="5"/>
  <c r="E712" i="5"/>
  <c r="I713" i="5"/>
  <c r="G716" i="5"/>
  <c r="E719" i="5"/>
  <c r="J719" i="5"/>
  <c r="D714" i="5"/>
  <c r="K719" i="5"/>
  <c r="F717" i="5"/>
  <c r="H718" i="5"/>
  <c r="F712" i="5"/>
  <c r="G712" i="5"/>
  <c r="H716" i="5"/>
  <c r="F711" i="5"/>
  <c r="I712" i="5"/>
  <c r="G711" i="5"/>
  <c r="K712" i="5"/>
  <c r="K709" i="5"/>
  <c r="D712" i="5"/>
  <c r="C714" i="5"/>
  <c r="H711" i="5"/>
  <c r="G714" i="5"/>
  <c r="J718" i="5"/>
  <c r="J717" i="5"/>
  <c r="I719" i="5"/>
  <c r="I714" i="5"/>
  <c r="E713" i="5"/>
  <c r="D719" i="5"/>
  <c r="J712" i="5"/>
  <c r="C717" i="5"/>
  <c r="I718" i="5"/>
  <c r="C713" i="5"/>
  <c r="F709" i="5"/>
  <c r="H709" i="5"/>
  <c r="E711" i="5"/>
  <c r="C711" i="5"/>
  <c r="D711" i="5"/>
  <c r="K721" i="5"/>
  <c r="C721" i="5"/>
  <c r="D721" i="5"/>
  <c r="E721" i="5"/>
  <c r="F721" i="5"/>
  <c r="H721" i="5"/>
  <c r="G721" i="5"/>
  <c r="J713" i="5"/>
  <c r="H713" i="5"/>
  <c r="I709" i="5"/>
  <c r="J711" i="5"/>
  <c r="F713" i="5"/>
  <c r="J720" i="5"/>
  <c r="K713" i="5"/>
  <c r="D713" i="5"/>
  <c r="E716" i="5"/>
  <c r="C716" i="5"/>
  <c r="D716" i="5"/>
  <c r="F716" i="5"/>
  <c r="K720" i="5"/>
  <c r="I716" i="5"/>
  <c r="J721" i="5"/>
  <c r="J716" i="5"/>
  <c r="H712" i="5"/>
  <c r="K711" i="5"/>
  <c r="E709" i="5"/>
  <c r="D709" i="5"/>
  <c r="I710" i="5"/>
  <c r="H710" i="5"/>
  <c r="D710" i="5"/>
  <c r="G710" i="5"/>
  <c r="C710" i="5"/>
  <c r="E710" i="5"/>
  <c r="F710" i="5"/>
  <c r="K710" i="5"/>
  <c r="G720" i="5"/>
  <c r="C720" i="5"/>
  <c r="E720" i="5"/>
  <c r="F720" i="5"/>
  <c r="D720" i="5"/>
  <c r="C715" i="5"/>
  <c r="D715" i="5"/>
  <c r="G715" i="5"/>
  <c r="H715" i="5"/>
  <c r="K715" i="5"/>
  <c r="F715" i="5"/>
  <c r="I715" i="5"/>
  <c r="J715" i="5"/>
  <c r="E715" i="5"/>
  <c r="C2885" i="44"/>
  <c r="H2550" i="44"/>
  <c r="C44" i="44"/>
  <c r="H1808" i="44"/>
  <c r="H2785" i="44"/>
  <c r="E907" i="44"/>
  <c r="C2328" i="44"/>
  <c r="H2176" i="44"/>
  <c r="C695" i="44"/>
  <c r="E2487" i="44"/>
  <c r="C2470" i="44"/>
  <c r="E2429" i="44"/>
  <c r="H2283" i="44"/>
  <c r="E27" i="44"/>
  <c r="E2076" i="44"/>
  <c r="E2256" i="44"/>
  <c r="H2460" i="44"/>
  <c r="C3012" i="44"/>
  <c r="C1817" i="44"/>
  <c r="E2011" i="44"/>
  <c r="H2365" i="44"/>
  <c r="C2203" i="44"/>
  <c r="E937" i="44"/>
  <c r="E2736" i="44"/>
  <c r="C2506" i="44"/>
  <c r="C2906" i="44"/>
  <c r="H1762" i="44"/>
  <c r="C2936" i="44"/>
  <c r="E2441" i="44"/>
  <c r="H2512" i="44"/>
  <c r="E923" i="44"/>
  <c r="C496" i="44"/>
  <c r="H3014" i="44"/>
  <c r="E748" i="44"/>
  <c r="E1068" i="44"/>
  <c r="H1646" i="44"/>
  <c r="E2870" i="44"/>
  <c r="E1966" i="44"/>
  <c r="H2281" i="44"/>
  <c r="E1549" i="44"/>
  <c r="C2647" i="44"/>
  <c r="E2414" i="44"/>
  <c r="C3065" i="44"/>
  <c r="E2355" i="44"/>
  <c r="E2792" i="44"/>
  <c r="E2350" i="44"/>
  <c r="H2064" i="44"/>
  <c r="E1532" i="44"/>
  <c r="E806" i="44"/>
  <c r="E1608" i="44"/>
  <c r="E1986" i="44"/>
  <c r="C2369" i="44"/>
  <c r="E3164" i="44"/>
  <c r="C338" i="44"/>
  <c r="E939" i="44"/>
  <c r="H196" i="44"/>
  <c r="E2165" i="44"/>
  <c r="C2899" i="44"/>
  <c r="H3029" i="44"/>
  <c r="C786" i="44"/>
  <c r="E1846" i="44"/>
  <c r="H2415" i="44"/>
  <c r="C2311" i="44"/>
  <c r="E2252" i="44"/>
  <c r="E2700" i="44"/>
  <c r="H1733" i="44"/>
  <c r="H3120" i="44"/>
  <c r="E1819" i="44"/>
  <c r="H2955" i="44"/>
  <c r="C2871" i="44"/>
  <c r="H2554" i="44"/>
  <c r="C1528" i="44"/>
  <c r="E2066" i="44"/>
  <c r="C630" i="44"/>
  <c r="C2310" i="44"/>
  <c r="H2489" i="44"/>
  <c r="H2661" i="44"/>
  <c r="E1020" i="44"/>
  <c r="H2081" i="44"/>
  <c r="C950" i="44"/>
  <c r="E665" i="44"/>
  <c r="C2104" i="44"/>
  <c r="E2357" i="44"/>
  <c r="E2176" i="44"/>
  <c r="I2511" i="44"/>
  <c r="C2092" i="44"/>
  <c r="H3017" i="44"/>
  <c r="I2191" i="44"/>
  <c r="H2339" i="44"/>
  <c r="C2105" i="44"/>
  <c r="E2542" i="44"/>
  <c r="E868" i="44"/>
  <c r="C2897" i="44"/>
  <c r="E340" i="44"/>
  <c r="H2551" i="44"/>
  <c r="C321" i="44"/>
  <c r="C3035" i="44"/>
  <c r="E3036" i="44"/>
  <c r="E1040" i="44"/>
  <c r="C3392" i="44"/>
  <c r="C2545" i="44"/>
  <c r="C1013" i="44"/>
  <c r="E2821" i="44"/>
  <c r="C362" i="44"/>
  <c r="C2383" i="44"/>
  <c r="E874" i="44"/>
  <c r="E1002" i="44"/>
  <c r="H3143" i="44"/>
  <c r="H2712" i="44"/>
  <c r="H1616" i="44"/>
  <c r="C2152" i="44"/>
  <c r="E2843" i="44"/>
  <c r="H1947" i="44"/>
  <c r="E549" i="44"/>
  <c r="C2490" i="44"/>
  <c r="C2046" i="44"/>
  <c r="E1585" i="44"/>
  <c r="C2639" i="44"/>
  <c r="H2690" i="44"/>
  <c r="C690" i="44"/>
  <c r="H2245" i="44"/>
  <c r="E595" i="44"/>
  <c r="H2029" i="44"/>
  <c r="C2533" i="44"/>
  <c r="C3387" i="44"/>
  <c r="C2599" i="44"/>
  <c r="C3079" i="44"/>
  <c r="C819" i="44"/>
  <c r="E3424" i="44"/>
  <c r="C2941" i="44"/>
  <c r="E615" i="44"/>
  <c r="C1691" i="44"/>
  <c r="E1593" i="44"/>
  <c r="E762" i="44"/>
  <c r="C2448" i="44"/>
  <c r="C709" i="44"/>
  <c r="C2381" i="44"/>
  <c r="E428" i="44"/>
  <c r="E2802" i="44"/>
  <c r="C2474" i="44"/>
  <c r="C3127" i="44"/>
  <c r="C865" i="44"/>
  <c r="E2617" i="44"/>
  <c r="H969" i="44"/>
  <c r="H2680" i="44"/>
  <c r="E1526" i="44"/>
  <c r="E1738" i="44"/>
  <c r="C2478" i="44"/>
  <c r="H2570" i="44"/>
  <c r="C968" i="44"/>
  <c r="C2556" i="44"/>
  <c r="E1701" i="44"/>
  <c r="I208" i="44"/>
  <c r="E2322" i="44"/>
  <c r="E3449" i="44"/>
  <c r="C2458" i="44"/>
  <c r="E83" i="44"/>
  <c r="C17" i="44"/>
  <c r="E2068" i="44"/>
  <c r="C1751" i="44"/>
  <c r="C2209" i="44"/>
  <c r="H1891" i="44"/>
  <c r="C2039" i="44"/>
  <c r="I2415" i="44"/>
  <c r="E3042" i="44"/>
  <c r="H2930" i="44"/>
  <c r="H2331" i="44"/>
  <c r="H2455" i="44"/>
  <c r="H2526" i="44"/>
  <c r="E2108" i="44"/>
  <c r="C475" i="44"/>
  <c r="I204" i="44"/>
  <c r="H2793" i="44"/>
  <c r="E2169" i="44"/>
  <c r="E3418" i="44"/>
  <c r="E2396" i="44"/>
  <c r="C1522" i="44"/>
  <c r="C933" i="44"/>
  <c r="C2112" i="44"/>
  <c r="E433" i="44"/>
  <c r="E66" i="44"/>
  <c r="H3018" i="44"/>
  <c r="E3056" i="44"/>
  <c r="H3064" i="44"/>
  <c r="C973" i="44"/>
  <c r="C781" i="44"/>
  <c r="E1754" i="44"/>
  <c r="H1644" i="44"/>
  <c r="C686" i="44"/>
  <c r="H2784" i="44"/>
  <c r="C2353" i="44"/>
  <c r="E1812" i="44"/>
  <c r="C2394" i="44"/>
  <c r="C2880" i="44"/>
  <c r="H2355" i="44"/>
  <c r="H1799" i="44"/>
  <c r="C759" i="44"/>
  <c r="E860" i="44"/>
  <c r="C1941" i="44"/>
  <c r="E3417" i="44"/>
  <c r="H1678" i="44"/>
  <c r="E875" i="44"/>
  <c r="E1850" i="44"/>
  <c r="E3422" i="44"/>
  <c r="E1941" i="44"/>
  <c r="H2219" i="44"/>
  <c r="E1001" i="44"/>
  <c r="E861" i="44"/>
  <c r="H1781" i="44"/>
  <c r="E2454" i="44"/>
  <c r="E630" i="44"/>
  <c r="C2239" i="44"/>
  <c r="C1927" i="44"/>
  <c r="C2923" i="44"/>
  <c r="E1553" i="44"/>
  <c r="H2586" i="44"/>
  <c r="C2795" i="44"/>
  <c r="E2881" i="44"/>
  <c r="H2636" i="44"/>
  <c r="I170" i="44"/>
  <c r="C497" i="44"/>
  <c r="E3161" i="44"/>
  <c r="E3118" i="44"/>
  <c r="C2667" i="44"/>
  <c r="H1896" i="44"/>
  <c r="E3006" i="44"/>
  <c r="C2409" i="44"/>
  <c r="C672" i="44"/>
  <c r="C113" i="44"/>
  <c r="C385" i="44"/>
  <c r="H2005" i="44"/>
  <c r="C2994" i="44"/>
  <c r="C1801" i="44"/>
  <c r="H1922" i="44"/>
  <c r="E1883" i="44"/>
  <c r="E2150" i="44"/>
  <c r="H1925" i="44"/>
  <c r="C1035" i="44"/>
  <c r="E2470" i="44"/>
  <c r="H1886" i="44"/>
  <c r="E3420" i="44"/>
  <c r="C3102" i="44"/>
  <c r="E1517" i="44"/>
  <c r="H1817" i="44"/>
  <c r="C1958" i="44"/>
  <c r="C1686" i="44"/>
  <c r="E1991" i="44"/>
  <c r="E2739" i="44"/>
  <c r="C460" i="44"/>
  <c r="H2737" i="44"/>
  <c r="H2500" i="44"/>
  <c r="C553" i="44"/>
  <c r="C3400" i="44"/>
  <c r="E2440" i="44"/>
  <c r="E124" i="44"/>
  <c r="H2382" i="44"/>
  <c r="C2703" i="44"/>
  <c r="H2983" i="44"/>
  <c r="E1547" i="44"/>
  <c r="C461" i="44"/>
  <c r="C928" i="44"/>
  <c r="H2926" i="44"/>
  <c r="C92" i="44"/>
  <c r="C3124" i="44"/>
  <c r="C1769" i="44"/>
  <c r="E2231" i="44"/>
  <c r="C1915" i="44"/>
  <c r="C618" i="44"/>
  <c r="C607" i="44"/>
  <c r="H2882" i="44"/>
  <c r="E776" i="44"/>
  <c r="C2995" i="44"/>
  <c r="C138" i="44"/>
  <c r="C3025" i="44"/>
  <c r="C2072" i="44"/>
  <c r="C2645" i="44"/>
  <c r="C3391" i="44"/>
  <c r="C2380" i="44"/>
  <c r="E2553" i="44"/>
  <c r="H2103" i="44"/>
  <c r="E409" i="44"/>
  <c r="C998" i="44"/>
  <c r="E2662" i="44"/>
  <c r="E843" i="44"/>
  <c r="C2662" i="44"/>
  <c r="I192" i="44"/>
  <c r="C3002" i="44"/>
  <c r="E1684" i="44"/>
  <c r="E2528" i="44"/>
  <c r="H2178" i="44"/>
  <c r="C2385" i="44"/>
  <c r="C606" i="44"/>
  <c r="C341" i="44"/>
  <c r="H3034" i="44"/>
  <c r="E2195" i="44"/>
  <c r="H1992" i="44"/>
  <c r="E1042" i="44"/>
  <c r="C1649" i="44"/>
  <c r="C2945" i="44"/>
  <c r="C2084" i="44"/>
  <c r="E3133" i="44"/>
  <c r="E547" i="44"/>
  <c r="C758" i="44"/>
  <c r="C561" i="44"/>
  <c r="E1854" i="44"/>
  <c r="I180" i="44"/>
  <c r="E1805" i="44"/>
  <c r="C1969" i="44"/>
  <c r="E1610" i="44"/>
  <c r="C623" i="44"/>
  <c r="C2683" i="44"/>
  <c r="C315" i="44"/>
  <c r="E782" i="44"/>
  <c r="C594" i="44"/>
  <c r="E2717" i="44"/>
  <c r="E1874" i="44"/>
  <c r="C1020" i="44"/>
  <c r="H2234" i="44"/>
  <c r="E1514" i="44"/>
  <c r="E2162" i="44"/>
  <c r="C318" i="44"/>
  <c r="E1552" i="44"/>
  <c r="C505" i="44"/>
  <c r="J1134" i="44"/>
  <c r="C555" i="44"/>
  <c r="I1615" i="44"/>
  <c r="E361" i="44"/>
  <c r="E2768" i="44"/>
  <c r="C3409" i="44"/>
  <c r="E2660" i="44"/>
  <c r="H2836" i="44"/>
  <c r="E1873" i="44"/>
  <c r="C2750" i="44"/>
  <c r="C609" i="44"/>
  <c r="H2809" i="44"/>
  <c r="E2056" i="44"/>
  <c r="C525" i="44"/>
  <c r="D112" i="3"/>
  <c r="I1823" i="44"/>
  <c r="D106" i="3"/>
  <c r="H2258" i="44"/>
  <c r="E697" i="44"/>
  <c r="C3024" i="44"/>
  <c r="H2908" i="44"/>
  <c r="H1634" i="44"/>
  <c r="E813" i="44"/>
  <c r="E3026" i="44"/>
  <c r="C2222" i="44"/>
  <c r="E442" i="44"/>
  <c r="E1899" i="44"/>
  <c r="C1760" i="44"/>
  <c r="E431" i="44"/>
  <c r="C2020" i="44"/>
  <c r="E3412" i="44"/>
  <c r="C2967" i="44"/>
  <c r="H2145" i="44"/>
  <c r="E1952" i="44"/>
  <c r="H2387" i="44"/>
  <c r="C2235" i="44"/>
  <c r="C2420" i="44"/>
  <c r="H2300" i="44"/>
  <c r="H2194" i="44"/>
  <c r="E769" i="44"/>
  <c r="C2292" i="44"/>
  <c r="E2610" i="44"/>
  <c r="H2783" i="44"/>
  <c r="C27" i="44"/>
  <c r="C905" i="44"/>
  <c r="E790" i="44"/>
  <c r="C2134" i="44"/>
  <c r="E2450" i="44"/>
  <c r="H2278" i="44"/>
  <c r="C2625" i="44"/>
  <c r="E3140" i="44"/>
  <c r="C767" i="44"/>
  <c r="H2537" i="44"/>
  <c r="C1027" i="44"/>
  <c r="C1938" i="44"/>
  <c r="C2852" i="44"/>
  <c r="H1668" i="44"/>
  <c r="H3117" i="44"/>
  <c r="H2817" i="44"/>
  <c r="C2809" i="44"/>
  <c r="E2933" i="44"/>
  <c r="H2496" i="44"/>
  <c r="H2920" i="44"/>
  <c r="H2223" i="44"/>
  <c r="E1522" i="44"/>
  <c r="E2243" i="44"/>
  <c r="E1895" i="44"/>
  <c r="C2771" i="44"/>
  <c r="E1506" i="44"/>
  <c r="E2233" i="44"/>
  <c r="E2752" i="44"/>
  <c r="C2275" i="44"/>
  <c r="E930" i="44"/>
  <c r="C100" i="44"/>
  <c r="H982" i="44"/>
  <c r="C3052" i="44"/>
  <c r="E978" i="44"/>
  <c r="E472" i="44"/>
  <c r="E2163" i="44"/>
  <c r="E367" i="44"/>
  <c r="H2414" i="44"/>
  <c r="E683" i="44"/>
  <c r="H1632" i="44"/>
  <c r="E1555" i="44"/>
  <c r="C2883" i="44"/>
  <c r="H2390" i="44"/>
  <c r="E1946" i="44"/>
  <c r="E1544" i="44"/>
  <c r="H3104" i="44"/>
  <c r="C333" i="44"/>
  <c r="E1963" i="44"/>
  <c r="C466" i="44"/>
  <c r="E72" i="44"/>
  <c r="E2757" i="44"/>
  <c r="E708" i="44"/>
  <c r="I2799" i="44"/>
  <c r="E1824" i="44"/>
  <c r="C755" i="44"/>
  <c r="E870" i="44"/>
  <c r="E2684" i="44"/>
  <c r="H3046" i="44"/>
  <c r="E840" i="44"/>
  <c r="E781" i="44"/>
  <c r="H2188" i="44"/>
  <c r="C573" i="44"/>
  <c r="E470" i="44"/>
  <c r="C926" i="44"/>
  <c r="C1880" i="44"/>
  <c r="H2392" i="44"/>
  <c r="E2807" i="44"/>
  <c r="E3149" i="44"/>
  <c r="C2805" i="44"/>
  <c r="E1611" i="44"/>
  <c r="E2081" i="44"/>
  <c r="E2977" i="44"/>
  <c r="H3137" i="44"/>
  <c r="C1078" i="44"/>
  <c r="E612" i="44"/>
  <c r="H2709" i="44"/>
  <c r="H2800" i="44"/>
  <c r="E2571" i="44"/>
  <c r="C1934" i="44"/>
  <c r="E170" i="44"/>
  <c r="E851" i="44"/>
  <c r="H1984" i="44"/>
  <c r="E34" i="44"/>
  <c r="E780" i="44"/>
  <c r="H2610" i="44"/>
  <c r="C604" i="44"/>
  <c r="E994" i="44"/>
  <c r="E1890" i="44"/>
  <c r="E3382" i="44"/>
  <c r="E511" i="44"/>
  <c r="E3082" i="44"/>
  <c r="E786" i="44"/>
  <c r="H2576" i="44"/>
  <c r="E1741" i="44"/>
  <c r="C1008" i="44"/>
  <c r="C2396" i="44"/>
  <c r="H2094" i="44"/>
  <c r="E1683" i="44"/>
  <c r="C1852" i="44"/>
  <c r="E502" i="44"/>
  <c r="E3448" i="44"/>
  <c r="C2502" i="44"/>
  <c r="E2027" i="44"/>
  <c r="E2646" i="44"/>
  <c r="H2183" i="44"/>
  <c r="H2683" i="44"/>
  <c r="E826" i="44"/>
  <c r="H2940" i="44"/>
  <c r="E2661" i="44"/>
  <c r="E2390" i="44"/>
  <c r="E2452" i="44"/>
  <c r="C751" i="44"/>
  <c r="E2020" i="44"/>
  <c r="C3059" i="44"/>
  <c r="H2201" i="44"/>
  <c r="H1664" i="44"/>
  <c r="H1874" i="44"/>
  <c r="E188" i="44"/>
  <c r="E349" i="44"/>
  <c r="E2731" i="44"/>
  <c r="E2786" i="44"/>
  <c r="E1939" i="44"/>
  <c r="C368" i="44"/>
  <c r="C3061" i="44"/>
  <c r="E279" i="44"/>
  <c r="E556" i="44"/>
  <c r="E1044" i="44"/>
  <c r="C2166" i="44"/>
  <c r="E1787" i="44"/>
  <c r="H1649" i="44"/>
  <c r="C482" i="44"/>
  <c r="C2150" i="44"/>
  <c r="C807" i="44"/>
  <c r="H2604" i="44"/>
  <c r="C494" i="44"/>
  <c r="E466" i="44"/>
  <c r="C2853" i="44"/>
  <c r="E901" i="44"/>
  <c r="E1901" i="44"/>
  <c r="C2377" i="44"/>
  <c r="C1948" i="44"/>
  <c r="C589" i="44"/>
  <c r="C2927" i="44"/>
  <c r="H2976" i="44"/>
  <c r="C2727" i="44"/>
  <c r="E700" i="44"/>
  <c r="C85" i="44"/>
  <c r="C2652" i="44"/>
  <c r="E2166" i="44"/>
  <c r="C356" i="44"/>
  <c r="C1819" i="44"/>
  <c r="E2348" i="44"/>
  <c r="H2916" i="44"/>
  <c r="E1956" i="44"/>
  <c r="H3115" i="44"/>
  <c r="E2418" i="44"/>
  <c r="E1034" i="44"/>
  <c r="E2147" i="44"/>
  <c r="E320" i="44"/>
  <c r="C1792" i="44"/>
  <c r="C2794" i="44"/>
  <c r="E2203" i="44"/>
  <c r="C3097" i="44"/>
  <c r="C1995" i="44"/>
  <c r="C1043" i="44"/>
  <c r="E2237" i="44"/>
  <c r="H2337" i="44"/>
  <c r="E2103" i="44"/>
  <c r="E2573" i="44"/>
  <c r="K1136" i="44"/>
  <c r="C2525" i="44"/>
  <c r="C1536" i="44"/>
  <c r="E515" i="44"/>
  <c r="C1693" i="44"/>
  <c r="E2354" i="44"/>
  <c r="C3078" i="44"/>
  <c r="C2807" i="44"/>
  <c r="C879" i="44"/>
  <c r="E3409" i="44"/>
  <c r="C773" i="44"/>
  <c r="H1666" i="44"/>
  <c r="C682" i="44"/>
  <c r="E1022" i="44"/>
  <c r="E2381" i="44"/>
  <c r="C1924" i="44"/>
  <c r="E2984" i="44"/>
  <c r="E1617" i="44"/>
  <c r="C2382" i="44"/>
  <c r="C1889" i="44"/>
  <c r="I190" i="44"/>
  <c r="C2368" i="44"/>
  <c r="C2644" i="44"/>
  <c r="C900" i="44"/>
  <c r="E2577" i="44"/>
  <c r="C2890" i="44"/>
  <c r="E2829" i="44"/>
  <c r="C404" i="44"/>
  <c r="E1591" i="44"/>
  <c r="C995" i="44"/>
  <c r="E899" i="44"/>
  <c r="C1701" i="44"/>
  <c r="I2479" i="44"/>
  <c r="C3431" i="44"/>
  <c r="E2722" i="44"/>
  <c r="H1629" i="44"/>
  <c r="C451" i="44"/>
  <c r="E176" i="44"/>
  <c r="E2615" i="44"/>
  <c r="E501" i="44"/>
  <c r="C2611" i="44"/>
  <c r="C906" i="44"/>
  <c r="H2931" i="44"/>
  <c r="E2893" i="44"/>
  <c r="E1689" i="44"/>
  <c r="C436" i="44"/>
  <c r="H2620" i="44"/>
  <c r="E2384" i="44"/>
  <c r="E1687" i="44"/>
  <c r="C1552" i="44"/>
  <c r="H3036" i="44"/>
  <c r="C52" i="44"/>
  <c r="H3158" i="44"/>
  <c r="C529" i="44"/>
  <c r="E2836" i="44"/>
  <c r="E2503" i="44"/>
  <c r="E993" i="44"/>
  <c r="C2471" i="44"/>
  <c r="E485" i="44"/>
  <c r="I1727" i="44"/>
  <c r="C1589" i="44"/>
  <c r="E222" i="44"/>
  <c r="H2431" i="44"/>
  <c r="E1613" i="44"/>
  <c r="E903" i="44"/>
  <c r="E2258" i="44"/>
  <c r="E2867" i="44"/>
  <c r="C948" i="44"/>
  <c r="H2645" i="44"/>
  <c r="C2030" i="44"/>
  <c r="E271" i="44"/>
  <c r="C2993" i="44"/>
  <c r="C379" i="44"/>
  <c r="E2681" i="44"/>
  <c r="C1509" i="44"/>
  <c r="H1763" i="44"/>
  <c r="E613" i="44"/>
  <c r="C633" i="44"/>
  <c r="E2240" i="44"/>
  <c r="H188" i="44"/>
  <c r="E2522" i="44"/>
  <c r="C439" i="44"/>
  <c r="E2765" i="44"/>
  <c r="E2475" i="44"/>
  <c r="E2216" i="44"/>
  <c r="H3058" i="44"/>
  <c r="E1718" i="44"/>
  <c r="C3131" i="44"/>
  <c r="C3017" i="44"/>
  <c r="I2159" i="44"/>
  <c r="E887" i="44"/>
  <c r="C422" i="44"/>
  <c r="H2960" i="44"/>
  <c r="H1807" i="44"/>
  <c r="E2513" i="44"/>
  <c r="C2481" i="44"/>
  <c r="H166" i="44"/>
  <c r="C994" i="44"/>
  <c r="C2395" i="44"/>
  <c r="C55" i="44"/>
  <c r="E1867" i="44"/>
  <c r="C2417" i="44"/>
  <c r="E794" i="44"/>
  <c r="E1981" i="44"/>
  <c r="C1804" i="44"/>
  <c r="E7" i="44"/>
  <c r="C1532" i="44"/>
  <c r="C306" i="44"/>
  <c r="E2133" i="44"/>
  <c r="E929" i="44"/>
  <c r="H1975" i="44"/>
  <c r="C1063" i="44"/>
  <c r="H2373" i="44"/>
  <c r="E443" i="44"/>
  <c r="C614" i="44"/>
  <c r="E2535" i="44"/>
  <c r="E1609" i="44"/>
  <c r="E2403" i="44"/>
  <c r="E275" i="44"/>
  <c r="C2064" i="44"/>
  <c r="C263" i="44"/>
  <c r="E1810" i="44"/>
  <c r="C1737" i="44"/>
  <c r="E2388" i="44"/>
  <c r="C795" i="44"/>
  <c r="E1938" i="44"/>
  <c r="H3142" i="44"/>
  <c r="C540" i="44"/>
  <c r="E457" i="44"/>
  <c r="E733" i="44"/>
  <c r="C1596" i="44"/>
  <c r="E914" i="44"/>
  <c r="H2808" i="44"/>
  <c r="C2744" i="44"/>
  <c r="E631" i="44"/>
  <c r="E1643" i="44"/>
  <c r="H1741" i="44"/>
  <c r="C2827" i="44"/>
  <c r="C1003" i="44"/>
  <c r="E1540" i="44"/>
  <c r="H1782" i="44"/>
  <c r="H2056" i="44"/>
  <c r="E2620" i="44"/>
  <c r="E629" i="44"/>
  <c r="C2284" i="44"/>
  <c r="E274" i="44"/>
  <c r="C2547" i="44"/>
  <c r="C387" i="44"/>
  <c r="E1082" i="44"/>
  <c r="C423" i="44"/>
  <c r="C2844" i="44"/>
  <c r="C2740" i="44"/>
  <c r="C801" i="44"/>
  <c r="E730" i="44"/>
  <c r="E2685" i="44"/>
  <c r="E1622" i="44"/>
  <c r="E2690" i="44"/>
  <c r="C2109" i="44"/>
  <c r="E166" i="44"/>
  <c r="H2775" i="44"/>
  <c r="H2228" i="44"/>
  <c r="C470" i="44"/>
  <c r="H2399" i="44"/>
  <c r="C694" i="44"/>
  <c r="E3040" i="44"/>
  <c r="E2459" i="44"/>
  <c r="E1755" i="44"/>
  <c r="H2032" i="44"/>
  <c r="E2967" i="44"/>
  <c r="C3133" i="44"/>
  <c r="C2060" i="44"/>
  <c r="E439" i="44"/>
  <c r="C2860" i="44"/>
  <c r="E1513" i="44"/>
  <c r="H2389" i="44"/>
  <c r="C1583" i="44"/>
  <c r="H2073" i="44"/>
  <c r="H3043" i="44"/>
  <c r="E2254" i="44"/>
  <c r="C671" i="44"/>
  <c r="E561" i="44"/>
  <c r="E336" i="44"/>
  <c r="C3062" i="44"/>
  <c r="C2846" i="44"/>
  <c r="C2197" i="44"/>
  <c r="C375" i="44"/>
  <c r="H2221" i="44"/>
  <c r="E2773" i="44"/>
  <c r="E2461" i="44"/>
  <c r="C1997" i="44"/>
  <c r="E51" i="44"/>
  <c r="C2480" i="44"/>
  <c r="H1934" i="44"/>
  <c r="C3003" i="44"/>
  <c r="H981" i="44"/>
  <c r="E1790" i="44"/>
  <c r="E1929" i="44"/>
  <c r="E1662" i="44"/>
  <c r="E116" i="44"/>
  <c r="H1642" i="44"/>
  <c r="H3092" i="44"/>
  <c r="H1866" i="44"/>
  <c r="C1520" i="44"/>
  <c r="E2887" i="44"/>
  <c r="E360" i="44"/>
  <c r="E2654" i="44"/>
  <c r="H2192" i="44"/>
  <c r="E1822" i="44"/>
  <c r="C1968" i="44"/>
  <c r="E575" i="44"/>
  <c r="C364" i="44"/>
  <c r="H1736" i="44"/>
  <c r="H2547" i="44"/>
  <c r="C1665" i="44"/>
  <c r="C811" i="44"/>
  <c r="C585" i="44"/>
  <c r="E2236" i="44"/>
  <c r="H2971" i="44"/>
  <c r="E2810" i="44"/>
  <c r="E1556" i="44"/>
  <c r="C2732" i="44"/>
  <c r="E2521" i="44"/>
  <c r="C1951" i="44"/>
  <c r="E71" i="44"/>
  <c r="C2705" i="44"/>
  <c r="C929" i="44"/>
  <c r="H2634" i="44"/>
  <c r="C3007" i="44"/>
  <c r="E2713" i="44"/>
  <c r="E2995" i="44"/>
  <c r="E2181" i="44"/>
  <c r="C873" i="44"/>
  <c r="H2391" i="44"/>
  <c r="H1785" i="44"/>
  <c r="E510" i="44"/>
  <c r="C2407" i="44"/>
  <c r="E882" i="44"/>
  <c r="E2697" i="44"/>
  <c r="H2911" i="44"/>
  <c r="C2493" i="44"/>
  <c r="E326" i="44"/>
  <c r="H1592" i="44"/>
  <c r="C2851" i="44"/>
  <c r="C2752" i="44"/>
  <c r="C1957" i="44"/>
  <c r="E350" i="44"/>
  <c r="C1091" i="44"/>
  <c r="H2619" i="44"/>
  <c r="H1647" i="44"/>
  <c r="C1869" i="44"/>
  <c r="H2301" i="44"/>
  <c r="C343" i="44"/>
  <c r="E3074" i="44"/>
  <c r="C828" i="44"/>
  <c r="H2288" i="44"/>
  <c r="C1624" i="44"/>
  <c r="C2715" i="44"/>
  <c r="H1757" i="44"/>
  <c r="E341" i="44"/>
  <c r="H2038" i="44"/>
  <c r="H2249" i="44"/>
  <c r="E1065" i="44"/>
  <c r="H1600" i="44"/>
  <c r="H2071" i="44"/>
  <c r="C2014" i="44"/>
  <c r="C2390" i="44"/>
  <c r="C3143" i="44"/>
  <c r="C506" i="44"/>
  <c r="E778" i="44"/>
  <c r="H3086" i="44"/>
  <c r="C2865" i="44"/>
  <c r="E735" i="44"/>
  <c r="H1950" i="44"/>
  <c r="H1725" i="44"/>
  <c r="H1747" i="44"/>
  <c r="H1740" i="44"/>
  <c r="C2370" i="44"/>
  <c r="C3419" i="44"/>
  <c r="E1785" i="44"/>
  <c r="H3081" i="44"/>
  <c r="H2951" i="44"/>
  <c r="H2470" i="44"/>
  <c r="H2684" i="44"/>
  <c r="E2540" i="44"/>
  <c r="C2232" i="44"/>
  <c r="H3054" i="44"/>
  <c r="H3053" i="44"/>
  <c r="E2578" i="44"/>
  <c r="E2612" i="44"/>
  <c r="C642" i="44"/>
  <c r="E2094" i="44"/>
  <c r="H2448" i="44"/>
  <c r="C2143" i="44"/>
  <c r="C2023" i="44"/>
  <c r="H2436" i="44"/>
  <c r="C1586" i="44"/>
  <c r="E2262" i="44"/>
  <c r="E3028" i="44"/>
  <c r="C3411" i="44"/>
  <c r="C3120" i="44"/>
  <c r="C2819" i="44"/>
  <c r="C2577" i="44"/>
  <c r="I2527" i="44"/>
  <c r="C2254" i="44"/>
  <c r="H172" i="44"/>
  <c r="E93" i="44"/>
  <c r="C2184" i="44"/>
  <c r="C2454" i="44"/>
  <c r="C662" i="44"/>
  <c r="E2001" i="44"/>
  <c r="C2257" i="44"/>
  <c r="C1640" i="44"/>
  <c r="E417" i="44"/>
  <c r="E12" i="44"/>
  <c r="H1767" i="44"/>
  <c r="H1834" i="44"/>
  <c r="E3415" i="44"/>
  <c r="E1829" i="44"/>
  <c r="C2414" i="44"/>
  <c r="E940" i="44"/>
  <c r="E2438" i="44"/>
  <c r="I158" i="44"/>
  <c r="C2864" i="44"/>
  <c r="E1870" i="44"/>
  <c r="H1658" i="44"/>
  <c r="H2364" i="44"/>
  <c r="E2502" i="44"/>
  <c r="H2506" i="44"/>
  <c r="E1923" i="44"/>
  <c r="E1688" i="44"/>
  <c r="C2162" i="44"/>
  <c r="H1764" i="44"/>
  <c r="E1084" i="44"/>
  <c r="E1004" i="44"/>
  <c r="E508" i="44"/>
  <c r="H2598" i="44"/>
  <c r="C1645" i="44"/>
  <c r="H1902" i="44"/>
  <c r="H1622" i="44"/>
  <c r="H1656" i="44"/>
  <c r="C458" i="44"/>
  <c r="E2010" i="44"/>
  <c r="C3022" i="44"/>
  <c r="C1714" i="44"/>
  <c r="E837" i="44"/>
  <c r="H2229" i="44"/>
  <c r="C1897" i="44"/>
  <c r="E3154" i="44"/>
  <c r="H3118" i="44"/>
  <c r="E1060" i="44"/>
  <c r="H162" i="44"/>
  <c r="E2517" i="44"/>
  <c r="C2651" i="44"/>
  <c r="H1982" i="44"/>
  <c r="E3014" i="44"/>
  <c r="C2486" i="44"/>
  <c r="E834" i="44"/>
  <c r="E2275" i="44"/>
  <c r="E2839" i="44"/>
  <c r="C2441" i="44"/>
  <c r="C2419" i="44"/>
  <c r="H2302" i="44"/>
  <c r="E2353" i="44"/>
  <c r="H2222" i="44"/>
  <c r="E1798" i="44"/>
  <c r="E2428" i="44"/>
  <c r="E2547" i="44"/>
  <c r="H2078" i="44"/>
  <c r="C478" i="44"/>
  <c r="H2607" i="44"/>
  <c r="H2771" i="44"/>
  <c r="E1006" i="44"/>
  <c r="E80" i="44"/>
  <c r="H2538" i="44"/>
  <c r="C2408" i="44"/>
  <c r="E1948" i="44"/>
  <c r="H2879" i="44"/>
  <c r="E335" i="44"/>
  <c r="C1750" i="44"/>
  <c r="C2264" i="44"/>
  <c r="E908" i="44"/>
  <c r="H2353" i="44"/>
  <c r="E387" i="44"/>
  <c r="H2795" i="44"/>
  <c r="C282" i="44"/>
  <c r="C1729" i="44"/>
  <c r="H2600" i="44"/>
  <c r="E1016" i="44"/>
  <c r="C2763" i="44"/>
  <c r="H2473" i="44"/>
  <c r="H1608" i="44"/>
  <c r="H2137" i="44"/>
  <c r="E488" i="44"/>
  <c r="C1844" i="44"/>
  <c r="H1710" i="44"/>
  <c r="H2048" i="44"/>
  <c r="H1881" i="44"/>
  <c r="C766" i="44"/>
  <c r="E2268" i="44"/>
  <c r="H3063" i="44"/>
  <c r="H2568" i="44"/>
  <c r="C2776" i="44"/>
  <c r="C2033" i="44"/>
  <c r="H2274" i="44"/>
  <c r="E374" i="44"/>
  <c r="E315" i="44"/>
  <c r="E3385" i="44"/>
  <c r="E1523" i="44"/>
  <c r="C2950" i="44"/>
  <c r="C511" i="44"/>
  <c r="C2249" i="44"/>
  <c r="E2101" i="44"/>
  <c r="C1630" i="44"/>
  <c r="C2811" i="44"/>
  <c r="C2256" i="44"/>
  <c r="C3099" i="44"/>
  <c r="C691" i="44"/>
  <c r="E3380" i="44"/>
  <c r="C1931" i="44"/>
  <c r="C3413" i="44"/>
  <c r="C1540" i="44"/>
  <c r="E952" i="44"/>
  <c r="C2400" i="44"/>
  <c r="C2843" i="44"/>
  <c r="H2674" i="44"/>
  <c r="C2154" i="44"/>
  <c r="H1810" i="44"/>
  <c r="H2393" i="44"/>
  <c r="E423" i="44"/>
  <c r="H1849" i="44"/>
  <c r="C2488" i="44"/>
  <c r="C1755" i="44"/>
  <c r="E591" i="44"/>
  <c r="H2518" i="44"/>
  <c r="E317" i="44"/>
  <c r="C2912" i="44"/>
  <c r="E465" i="44"/>
  <c r="C3121" i="44"/>
  <c r="C2818" i="44"/>
  <c r="C3444" i="44"/>
  <c r="C2693" i="44"/>
  <c r="E2245" i="44"/>
  <c r="C12" i="44"/>
  <c r="C975" i="44"/>
  <c r="E718" i="44"/>
  <c r="H2922" i="44"/>
  <c r="E2994" i="44"/>
  <c r="C3160" i="44"/>
  <c r="C78" i="44"/>
  <c r="C679" i="44"/>
  <c r="C2475" i="44"/>
  <c r="E2923" i="44"/>
  <c r="E662" i="44"/>
  <c r="H2211" i="44"/>
  <c r="C1772" i="44"/>
  <c r="C2692" i="44"/>
  <c r="E1628" i="44"/>
  <c r="C2637" i="44"/>
  <c r="C988" i="44"/>
  <c r="C509" i="44"/>
  <c r="C681" i="44"/>
  <c r="C2261" i="44"/>
  <c r="E1772" i="44"/>
  <c r="C764" i="44"/>
  <c r="E2134" i="44"/>
  <c r="E2298" i="44"/>
  <c r="C3055" i="44"/>
  <c r="H2061" i="44"/>
  <c r="E1660" i="44"/>
  <c r="E1669" i="44"/>
  <c r="H1888" i="44"/>
  <c r="H2839" i="44"/>
  <c r="C2124" i="44"/>
  <c r="C3129" i="44"/>
  <c r="C1991" i="44"/>
  <c r="I2943" i="44"/>
  <c r="E2073" i="44"/>
  <c r="E2205" i="44"/>
  <c r="C501" i="44"/>
  <c r="H2161" i="44"/>
  <c r="H1655" i="44"/>
  <c r="C2100" i="44"/>
  <c r="C79" i="44"/>
  <c r="H2766" i="44"/>
  <c r="H2398" i="44"/>
  <c r="C1773" i="44"/>
  <c r="E1984" i="44"/>
  <c r="H2502" i="44"/>
  <c r="H2154" i="44"/>
  <c r="C1684" i="44"/>
  <c r="C2410" i="44"/>
  <c r="C1040" i="44"/>
  <c r="C1885" i="44"/>
  <c r="C2351" i="44"/>
  <c r="E603" i="44"/>
  <c r="C409" i="44"/>
  <c r="C2566" i="44"/>
  <c r="E2900" i="44"/>
  <c r="C2944" i="44"/>
  <c r="C2981" i="44"/>
  <c r="H156" i="44"/>
  <c r="C1883" i="44"/>
  <c r="C3137" i="44"/>
  <c r="E894" i="44"/>
  <c r="E2776" i="44"/>
  <c r="C657" i="44"/>
  <c r="H2499" i="44"/>
  <c r="H3069" i="44"/>
  <c r="E2608" i="44"/>
  <c r="C1678" i="44"/>
  <c r="C1974" i="44"/>
  <c r="H3144" i="44"/>
  <c r="H1825" i="44"/>
  <c r="E2507" i="44"/>
  <c r="E206" i="44"/>
  <c r="I2351" i="44"/>
  <c r="H2730" i="44"/>
  <c r="E2816" i="44"/>
  <c r="E2430" i="44"/>
  <c r="H1751" i="44"/>
  <c r="C522" i="44"/>
  <c r="E2857" i="44"/>
  <c r="C314" i="44"/>
  <c r="H2423" i="44"/>
  <c r="E309" i="44"/>
  <c r="E1776" i="44"/>
  <c r="E2253" i="44"/>
  <c r="C2959" i="44"/>
  <c r="C2393" i="44"/>
  <c r="C1832" i="44"/>
  <c r="H2149" i="44"/>
  <c r="C2565" i="44"/>
  <c r="E2693" i="44"/>
  <c r="E2315" i="44"/>
  <c r="H2815" i="44"/>
  <c r="E841" i="44"/>
  <c r="E2826" i="44"/>
  <c r="H2594" i="44"/>
  <c r="H1851" i="44"/>
  <c r="I2591" i="44"/>
  <c r="C1593" i="44"/>
  <c r="E1833" i="44"/>
  <c r="C2228" i="44"/>
  <c r="H2395" i="44"/>
  <c r="H2216" i="44"/>
  <c r="C1024" i="44"/>
  <c r="C1703" i="44"/>
  <c r="H2700" i="44"/>
  <c r="C2132" i="44"/>
  <c r="E2932" i="44"/>
  <c r="C2958" i="44"/>
  <c r="E3122" i="44"/>
  <c r="C2216" i="44"/>
  <c r="E862" i="44"/>
  <c r="C425" i="44"/>
  <c r="C2054" i="44"/>
  <c r="H977" i="44"/>
  <c r="H2696" i="44"/>
  <c r="H2782" i="44"/>
  <c r="H2949" i="44"/>
  <c r="C689" i="44"/>
  <c r="E638" i="44"/>
  <c r="C698" i="44"/>
  <c r="C987" i="44"/>
  <c r="E6" i="44"/>
  <c r="C2884" i="44"/>
  <c r="E3090" i="44"/>
  <c r="C1048" i="44"/>
  <c r="C3405" i="44"/>
  <c r="E328" i="44"/>
  <c r="E2039" i="44"/>
  <c r="H1724" i="44"/>
  <c r="C3031" i="44"/>
  <c r="I1647" i="44"/>
  <c r="H2252" i="44"/>
  <c r="H1815" i="44"/>
  <c r="E2981" i="44"/>
  <c r="H3124" i="44"/>
  <c r="E934" i="44"/>
  <c r="C1784" i="44"/>
  <c r="I194" i="44"/>
  <c r="C649" i="44"/>
  <c r="C2285" i="44"/>
  <c r="C611" i="44"/>
  <c r="H2433" i="44"/>
  <c r="I1855" i="44"/>
  <c r="E2136" i="44"/>
  <c r="C558" i="44"/>
  <c r="H3149" i="44"/>
  <c r="H2704" i="44"/>
  <c r="E248" i="44"/>
  <c r="E148" i="44"/>
  <c r="H1887" i="44"/>
  <c r="C142" i="44"/>
  <c r="E311" i="44"/>
  <c r="E779" i="44"/>
  <c r="H1804" i="44"/>
  <c r="E2663" i="44"/>
  <c r="E127" i="44"/>
  <c r="C519" i="44"/>
  <c r="C2605" i="44"/>
  <c r="C2263" i="44"/>
  <c r="C2575" i="44"/>
  <c r="E2898" i="44"/>
  <c r="C2063" i="44"/>
  <c r="E2801" i="44"/>
  <c r="C82" i="44"/>
  <c r="H2797" i="44"/>
  <c r="E977" i="44"/>
  <c r="E2526" i="44"/>
  <c r="C2157" i="44"/>
  <c r="E3393" i="44"/>
  <c r="E2225" i="44"/>
  <c r="C2780" i="44"/>
  <c r="C1907" i="44"/>
  <c r="I2607" i="44"/>
  <c r="E2300" i="44"/>
  <c r="E900" i="44"/>
  <c r="C2028" i="44"/>
  <c r="C2181" i="44"/>
  <c r="C2931" i="44"/>
  <c r="E402" i="44"/>
  <c r="H2776" i="44"/>
  <c r="E322" i="44"/>
  <c r="C2582" i="44"/>
  <c r="C2111" i="44"/>
  <c r="I186" i="44"/>
  <c r="C1922" i="44"/>
  <c r="H2241" i="44"/>
  <c r="C2131" i="44"/>
  <c r="E2520" i="44"/>
  <c r="H2974" i="44"/>
  <c r="H2799" i="44"/>
  <c r="E494" i="44"/>
  <c r="E753" i="44"/>
  <c r="H2197" i="44"/>
  <c r="C264" i="44"/>
  <c r="E319" i="44"/>
  <c r="E852" i="44"/>
  <c r="H2420" i="44"/>
  <c r="H2760" i="44"/>
  <c r="C841" i="44"/>
  <c r="E2121" i="44"/>
  <c r="H3103" i="44"/>
  <c r="H2227" i="44"/>
  <c r="C1999" i="44"/>
  <c r="C2957" i="44"/>
  <c r="C2610" i="44"/>
  <c r="C2334" i="44"/>
  <c r="E3131" i="44"/>
  <c r="C70" i="44"/>
  <c r="H2593" i="44"/>
  <c r="C2255" i="44"/>
  <c r="E3045" i="44"/>
  <c r="H1988" i="44"/>
  <c r="H1962" i="44"/>
  <c r="C591" i="44"/>
  <c r="H148" i="44"/>
  <c r="E797" i="44"/>
  <c r="H2520" i="44"/>
  <c r="H2479" i="44"/>
  <c r="C1970" i="44"/>
  <c r="E113" i="44"/>
  <c r="E1680" i="44"/>
  <c r="E304" i="44"/>
  <c r="C2352" i="44"/>
  <c r="C2047" i="44"/>
  <c r="E182" i="44"/>
  <c r="C2767" i="44"/>
  <c r="E2014" i="44"/>
  <c r="C2186" i="44"/>
  <c r="C1847" i="44"/>
  <c r="E92" i="44"/>
  <c r="C2812" i="44"/>
  <c r="E2291" i="44"/>
  <c r="H1776" i="44"/>
  <c r="C1077" i="44"/>
  <c r="E859" i="44"/>
  <c r="E2996" i="44"/>
  <c r="C3030" i="44"/>
  <c r="C108" i="44"/>
  <c r="C2530" i="44"/>
  <c r="E2296" i="44"/>
  <c r="C2655" i="44"/>
  <c r="E2781" i="44"/>
  <c r="C2733" i="44"/>
  <c r="C2793" i="44"/>
  <c r="E1974" i="44"/>
  <c r="E1653" i="44"/>
  <c r="E59" i="44"/>
  <c r="C2207" i="44"/>
  <c r="H2705" i="44"/>
  <c r="C405" i="44"/>
  <c r="H1813" i="44"/>
  <c r="H1614" i="44"/>
  <c r="H3074" i="44"/>
  <c r="C2177" i="44"/>
  <c r="E2906" i="44"/>
  <c r="E2238" i="44"/>
  <c r="C1870" i="44"/>
  <c r="H1868" i="44"/>
  <c r="C2697" i="44"/>
  <c r="C2070" i="44"/>
  <c r="H2215" i="44"/>
  <c r="C2718" i="44"/>
  <c r="E541" i="44"/>
  <c r="H2372" i="44"/>
  <c r="H926" i="44"/>
  <c r="C2578" i="44"/>
  <c r="H2735" i="44"/>
  <c r="C2822" i="44"/>
  <c r="E419" i="44"/>
  <c r="C3090" i="44"/>
  <c r="H1791" i="44"/>
  <c r="C1515" i="44"/>
  <c r="C352" i="44"/>
  <c r="C463" i="44"/>
  <c r="E2508" i="44"/>
  <c r="H1673" i="44"/>
  <c r="C2874" i="44"/>
  <c r="E1070" i="44"/>
  <c r="C1799" i="44"/>
  <c r="C2940" i="44"/>
  <c r="C2246" i="44"/>
  <c r="E2332" i="44"/>
  <c r="I3023" i="44"/>
  <c r="C1854" i="44"/>
  <c r="H2656" i="44"/>
  <c r="C2612" i="44"/>
  <c r="H1708" i="44"/>
  <c r="C2440" i="44"/>
  <c r="C1881" i="44"/>
  <c r="E413" i="44"/>
  <c r="D117" i="3"/>
  <c r="E2023" i="44"/>
  <c r="E2683" i="44"/>
  <c r="E880" i="44"/>
  <c r="C3148" i="44"/>
  <c r="H2603" i="44"/>
  <c r="E2265" i="44"/>
  <c r="H2806" i="44"/>
  <c r="C2338" i="44"/>
  <c r="C2160" i="44"/>
  <c r="E2321" i="44"/>
  <c r="E491" i="44"/>
  <c r="E652" i="44"/>
  <c r="E2122" i="44"/>
  <c r="E3116" i="44"/>
  <c r="H2255" i="44"/>
  <c r="E534" i="44"/>
  <c r="C504" i="44"/>
  <c r="I2303" i="44"/>
  <c r="H2146" i="44"/>
  <c r="C3163" i="44"/>
  <c r="E2980" i="44"/>
  <c r="H3113" i="44"/>
  <c r="C675" i="44"/>
  <c r="C1976" i="44"/>
  <c r="C2562" i="44"/>
  <c r="I196" i="44"/>
  <c r="H2218" i="44"/>
  <c r="C353" i="44"/>
  <c r="H3154" i="44"/>
  <c r="C2467" i="44"/>
  <c r="C106" i="44"/>
  <c r="C2106" i="44"/>
  <c r="H2527" i="44"/>
  <c r="E2373" i="44"/>
  <c r="E1693" i="44"/>
  <c r="E1584" i="44"/>
  <c r="E192" i="44"/>
  <c r="H2962" i="44"/>
  <c r="H2400" i="44"/>
  <c r="H2912" i="44"/>
  <c r="C1803" i="44"/>
  <c r="C2952" i="44"/>
  <c r="I3087" i="44"/>
  <c r="H2336" i="44"/>
  <c r="E1668" i="44"/>
  <c r="E268" i="44"/>
  <c r="E3439" i="44"/>
  <c r="C3140" i="44"/>
  <c r="D107" i="3"/>
  <c r="H2987" i="44"/>
  <c r="C2466" i="44"/>
  <c r="C791" i="44"/>
  <c r="I2255" i="44"/>
  <c r="H2966" i="44"/>
  <c r="C3074" i="44"/>
  <c r="C1553" i="44"/>
  <c r="C477" i="44"/>
  <c r="E416" i="44"/>
  <c r="C1789" i="44"/>
  <c r="E1036" i="44"/>
  <c r="C3112" i="44"/>
  <c r="E100" i="44"/>
  <c r="C1902" i="44"/>
  <c r="E2051" i="44"/>
  <c r="H1911" i="44"/>
  <c r="E1969" i="44"/>
  <c r="E172" i="44"/>
  <c r="E2827" i="44"/>
  <c r="C2783" i="44"/>
  <c r="H2120" i="44"/>
  <c r="E324" i="44"/>
  <c r="H1784" i="44"/>
  <c r="E950" i="44"/>
  <c r="H1970" i="44"/>
  <c r="H1739" i="44"/>
  <c r="E3054" i="44"/>
  <c r="E2292" i="44"/>
  <c r="H2925" i="44"/>
  <c r="E2016" i="44"/>
  <c r="E3162" i="44"/>
  <c r="C2786" i="44"/>
  <c r="C2161" i="44"/>
  <c r="E2308" i="44"/>
  <c r="E1649" i="44"/>
  <c r="E3379" i="44"/>
  <c r="H3096" i="44"/>
  <c r="E2788" i="44"/>
  <c r="C2688" i="44"/>
  <c r="C1045" i="44"/>
  <c r="C2982" i="44"/>
  <c r="H2840" i="44"/>
  <c r="C2511" i="44"/>
  <c r="C1851" i="44"/>
  <c r="C2848" i="44"/>
  <c r="C1788" i="44"/>
  <c r="E1697" i="44"/>
  <c r="H3119" i="44"/>
  <c r="C2167" i="44"/>
  <c r="C588" i="44"/>
  <c r="C840" i="44"/>
  <c r="H2350" i="44"/>
  <c r="C3108" i="44"/>
  <c r="C2802" i="44"/>
  <c r="E2970" i="44"/>
  <c r="E3030" i="44"/>
  <c r="C904" i="44"/>
  <c r="E478" i="44"/>
  <c r="E3392" i="44"/>
  <c r="H3083" i="44"/>
  <c r="E2180" i="44"/>
  <c r="H3087" i="44"/>
  <c r="E925" i="44"/>
  <c r="E1825" i="44"/>
  <c r="E1091" i="44"/>
  <c r="C3098" i="44"/>
  <c r="E3142" i="44"/>
  <c r="D102" i="3"/>
  <c r="E725" i="44"/>
  <c r="E1659" i="44"/>
  <c r="H2112" i="44"/>
  <c r="C1711" i="44"/>
  <c r="H1755" i="44"/>
  <c r="H2946" i="44"/>
  <c r="H2842" i="44"/>
  <c r="H2445" i="44"/>
  <c r="H2085" i="44"/>
  <c r="C1770" i="44"/>
  <c r="E706" i="44"/>
  <c r="H1812" i="44"/>
  <c r="I2911" i="44"/>
  <c r="C898" i="44"/>
  <c r="C1900" i="44"/>
  <c r="C1688" i="44"/>
  <c r="E2392" i="44"/>
  <c r="E2723" i="44"/>
  <c r="C399" i="44"/>
  <c r="E853" i="44"/>
  <c r="C809" i="44"/>
  <c r="E1766" i="44"/>
  <c r="C2251" i="44"/>
  <c r="C1060" i="44"/>
  <c r="H2938" i="44"/>
  <c r="E2501" i="44"/>
  <c r="E2270" i="44"/>
  <c r="I2047" i="44"/>
  <c r="E690" i="44"/>
  <c r="H1877" i="44"/>
  <c r="H2577" i="44"/>
  <c r="E1712" i="44"/>
  <c r="C1723" i="44"/>
  <c r="C2859" i="44"/>
  <c r="C65" i="44"/>
  <c r="E989" i="44"/>
  <c r="E3099" i="44"/>
  <c r="E2202" i="44"/>
  <c r="E609" i="44"/>
  <c r="C1556" i="44"/>
  <c r="C2123" i="44"/>
  <c r="C774" i="44"/>
  <c r="C2719" i="44"/>
  <c r="H2633" i="44"/>
  <c r="E3410" i="44"/>
  <c r="H3065" i="44"/>
  <c r="C2355" i="44"/>
  <c r="E308" i="44"/>
  <c r="E1970" i="44"/>
  <c r="E25" i="44"/>
  <c r="E2146" i="44"/>
  <c r="C309" i="44"/>
  <c r="C2514" i="44"/>
  <c r="H968" i="44"/>
  <c r="C867" i="44"/>
  <c r="H2406" i="44"/>
  <c r="H2613" i="44"/>
  <c r="E480" i="44"/>
  <c r="C480" i="44"/>
  <c r="C2623" i="44"/>
  <c r="E2022" i="44"/>
  <c r="C596" i="44"/>
  <c r="C2069" i="44"/>
  <c r="C2968" i="44"/>
  <c r="E1842" i="44"/>
  <c r="E2820" i="44"/>
  <c r="E2551" i="44"/>
  <c r="E3033" i="44"/>
  <c r="H2466" i="44"/>
  <c r="E112" i="44"/>
  <c r="E2645" i="44"/>
  <c r="C1887" i="44"/>
  <c r="C1811" i="44"/>
  <c r="C2015" i="44"/>
  <c r="K1135" i="44"/>
  <c r="H2559" i="44"/>
  <c r="C415" i="44"/>
  <c r="E2793" i="44"/>
  <c r="E2860" i="44"/>
  <c r="C2011" i="44"/>
  <c r="H2602" i="44"/>
  <c r="E265" i="44"/>
  <c r="E2151" i="44"/>
  <c r="H1672" i="44"/>
  <c r="E2469" i="44"/>
  <c r="E2913" i="44"/>
  <c r="E3080" i="44"/>
  <c r="I150" i="44"/>
  <c r="C1612" i="44"/>
  <c r="C2930" i="44"/>
  <c r="H2958" i="44"/>
  <c r="I206" i="44"/>
  <c r="E2141" i="44"/>
  <c r="E2592" i="44"/>
  <c r="E2012" i="44"/>
  <c r="I210" i="44"/>
  <c r="E897" i="44"/>
  <c r="C2446" i="44"/>
  <c r="H2150" i="44"/>
  <c r="H150" i="44"/>
  <c r="H2528" i="44"/>
  <c r="H2540" i="44"/>
  <c r="E2774" i="44"/>
  <c r="C1615" i="44"/>
  <c r="E586" i="44"/>
  <c r="H1995" i="44"/>
  <c r="E2411" i="44"/>
  <c r="E2171" i="44"/>
  <c r="C64" i="44"/>
  <c r="E2107" i="44"/>
  <c r="H2822" i="44"/>
  <c r="H2529" i="44"/>
  <c r="E415" i="44"/>
  <c r="E2385" i="44"/>
  <c r="C2546" i="44"/>
  <c r="C2266" i="44"/>
  <c r="H2669" i="44"/>
  <c r="C1634" i="44"/>
  <c r="H2482" i="44"/>
  <c r="H2207" i="44"/>
  <c r="E2040" i="44"/>
  <c r="E1528" i="44"/>
  <c r="C2522" i="44"/>
  <c r="C514" i="44"/>
  <c r="E2244" i="44"/>
  <c r="C720" i="44"/>
  <c r="C1537" i="44"/>
  <c r="E8" i="44"/>
  <c r="E2259" i="44"/>
  <c r="H2105" i="44"/>
  <c r="E1800" i="44"/>
  <c r="E3088" i="44"/>
  <c r="E2193" i="44"/>
  <c r="C1627" i="44"/>
  <c r="C836" i="44"/>
  <c r="H2852" i="44"/>
  <c r="E2949" i="44"/>
  <c r="H2451" i="44"/>
  <c r="H3079" i="44"/>
  <c r="H2240" i="44"/>
  <c r="C2147" i="44"/>
  <c r="H2325" i="44"/>
  <c r="C1594" i="44"/>
  <c r="E924" i="44"/>
  <c r="E1076" i="44"/>
  <c r="C2168" i="44"/>
  <c r="H2434" i="44"/>
  <c r="C2747" i="44"/>
  <c r="I3007" i="44"/>
  <c r="E1507" i="44"/>
  <c r="C2707" i="44"/>
  <c r="E2443" i="44"/>
  <c r="C2135" i="44"/>
  <c r="E2209" i="44"/>
  <c r="E812" i="44"/>
  <c r="E2549" i="44"/>
  <c r="E579" i="44"/>
  <c r="E2293" i="44"/>
  <c r="C2078" i="44"/>
  <c r="H2814" i="44"/>
  <c r="C710" i="44"/>
  <c r="H1712" i="44"/>
  <c r="E2942" i="44"/>
  <c r="H1756" i="44"/>
  <c r="H2535" i="44"/>
  <c r="C2768" i="44"/>
  <c r="C1542" i="44"/>
  <c r="E2512" i="44"/>
  <c r="C2153" i="44"/>
  <c r="C2336" i="44"/>
  <c r="C2632" i="44"/>
  <c r="E3155" i="44"/>
  <c r="I2783" i="44"/>
  <c r="E625" i="44"/>
  <c r="H2561" i="44"/>
  <c r="E2194" i="44"/>
  <c r="H1636" i="44"/>
  <c r="E2537" i="44"/>
  <c r="H3057" i="44"/>
  <c r="E2710" i="44"/>
  <c r="C1595" i="44"/>
  <c r="C2828" i="44"/>
  <c r="H1604" i="44"/>
  <c r="H1789" i="44"/>
  <c r="E262" i="44"/>
  <c r="H2236" i="44"/>
  <c r="H2715" i="44"/>
  <c r="H2924" i="44"/>
  <c r="C2110" i="44"/>
  <c r="E1931" i="44"/>
  <c r="H1659" i="44"/>
  <c r="E2030" i="44"/>
  <c r="C2151" i="44"/>
  <c r="E650" i="44"/>
  <c r="C2499" i="44"/>
  <c r="E1696" i="44"/>
  <c r="C2550" i="44"/>
  <c r="C339" i="44"/>
  <c r="H2990" i="44"/>
  <c r="C640" i="44"/>
  <c r="E1554" i="44"/>
  <c r="C826" i="44"/>
  <c r="E555" i="44"/>
  <c r="H2738" i="44"/>
  <c r="C1526" i="44"/>
  <c r="C2431" i="44"/>
  <c r="C2267" i="44"/>
  <c r="H2107" i="44"/>
  <c r="E2037" i="44"/>
  <c r="E462" i="44"/>
  <c r="C1727" i="44"/>
  <c r="C3014" i="44"/>
  <c r="E785" i="44"/>
  <c r="I3055" i="44"/>
  <c r="E2326" i="44"/>
  <c r="H2850" i="44"/>
  <c r="H2349" i="44"/>
  <c r="E2229" i="44"/>
  <c r="C872" i="44"/>
  <c r="H2314" i="44"/>
  <c r="C2211" i="44"/>
  <c r="C2933" i="44"/>
  <c r="E2198" i="44"/>
  <c r="I166" i="44"/>
  <c r="H2148" i="44"/>
  <c r="E726" i="44"/>
  <c r="E1993" i="44"/>
  <c r="E2674" i="44"/>
  <c r="C566" i="44"/>
  <c r="E2587" i="44"/>
  <c r="C2388" i="44"/>
  <c r="E2844" i="44"/>
  <c r="C455" i="44"/>
  <c r="I2703" i="44"/>
  <c r="E2533" i="44"/>
  <c r="E2778" i="44"/>
  <c r="C2857" i="44"/>
  <c r="E946" i="44"/>
  <c r="E2635" i="44"/>
  <c r="C551" i="44"/>
  <c r="E3384" i="44"/>
  <c r="C1668" i="44"/>
  <c r="C750" i="44"/>
  <c r="E1614" i="44"/>
  <c r="C2606" i="44"/>
  <c r="C442" i="44"/>
  <c r="E2915" i="44"/>
  <c r="E2302" i="44"/>
  <c r="C2455" i="44"/>
  <c r="E1908" i="44"/>
  <c r="H2087" i="44"/>
  <c r="E281" i="44"/>
  <c r="H2548" i="44"/>
  <c r="E2043" i="44"/>
  <c r="H2662" i="44"/>
  <c r="E352" i="44"/>
  <c r="E3147" i="44"/>
  <c r="C1835" i="44"/>
  <c r="H2160" i="44"/>
  <c r="E2290" i="44"/>
  <c r="H2140" i="44"/>
  <c r="E3396" i="44"/>
  <c r="H2841" i="44"/>
  <c r="E2694" i="44"/>
  <c r="C2280" i="44"/>
  <c r="E2634" i="44"/>
  <c r="C602" i="44"/>
  <c r="E2955" i="44"/>
  <c r="C1746" i="44"/>
  <c r="H2701" i="44"/>
  <c r="C19" i="44"/>
  <c r="E2862" i="44"/>
  <c r="E1864" i="44"/>
  <c r="C2457" i="44"/>
  <c r="H3044" i="44"/>
  <c r="C2025" i="44"/>
  <c r="E1817" i="44"/>
  <c r="H2457" i="44"/>
  <c r="H1630" i="44"/>
  <c r="C1598" i="44"/>
  <c r="E2707" i="44"/>
  <c r="C2361" i="44"/>
  <c r="E492" i="44"/>
  <c r="E1932" i="44"/>
  <c r="C1715" i="44"/>
  <c r="C2204" i="44"/>
  <c r="C2200" i="44"/>
  <c r="E327" i="44"/>
  <c r="E2958" i="44"/>
  <c r="D115" i="3"/>
  <c r="C3085" i="44"/>
  <c r="H1696" i="44"/>
  <c r="E19" i="44"/>
  <c r="C396" i="44"/>
  <c r="E1845" i="44"/>
  <c r="E1882" i="44"/>
  <c r="H2049" i="44"/>
  <c r="C582" i="44"/>
  <c r="C2212" i="44"/>
  <c r="I2239" i="44"/>
  <c r="E397" i="44"/>
  <c r="H2250" i="44"/>
  <c r="C2724" i="44"/>
  <c r="C2604" i="44"/>
  <c r="E1726" i="44"/>
  <c r="E814" i="44"/>
  <c r="H1621" i="44"/>
  <c r="H1711" i="44"/>
  <c r="C3037" i="44"/>
  <c r="H2844" i="44"/>
  <c r="E2189" i="44"/>
  <c r="C680" i="44"/>
  <c r="E1685" i="44"/>
  <c r="C1653" i="44"/>
  <c r="C1535" i="44"/>
  <c r="E2274" i="44"/>
  <c r="H2315" i="44"/>
  <c r="E3017" i="44"/>
  <c r="H2870" i="44"/>
  <c r="C2831" i="44"/>
  <c r="H1990" i="44"/>
  <c r="E895" i="44"/>
  <c r="E2190" i="44"/>
  <c r="C334" i="44"/>
  <c r="C2433" i="44"/>
  <c r="C1943" i="44"/>
  <c r="C1697" i="44"/>
  <c r="C1734" i="44"/>
  <c r="H2050" i="44"/>
  <c r="E434" i="44"/>
  <c r="C816" i="44"/>
  <c r="H2831" i="44"/>
  <c r="C790" i="44"/>
  <c r="E617" i="44"/>
  <c r="H2921" i="44"/>
  <c r="H1929" i="44"/>
  <c r="H2560" i="44"/>
  <c r="E1876" i="44"/>
  <c r="C2076" i="44"/>
  <c r="H2733" i="44"/>
  <c r="E809" i="44"/>
  <c r="H2118" i="44"/>
  <c r="C2424" i="44"/>
  <c r="C895" i="44"/>
  <c r="H1778" i="44"/>
  <c r="C899" i="44"/>
  <c r="C769" i="44"/>
  <c r="E1037" i="44"/>
  <c r="C2066" i="44"/>
  <c r="H3129" i="44"/>
  <c r="H2513" i="44"/>
  <c r="C2785" i="44"/>
  <c r="H2190" i="44"/>
  <c r="C3080" i="44"/>
  <c r="E1832" i="44"/>
  <c r="C848" i="44"/>
  <c r="C945" i="44"/>
  <c r="E1928" i="44"/>
  <c r="E643" i="44"/>
  <c r="C2090" i="44"/>
  <c r="E224" i="44"/>
  <c r="H1685" i="44"/>
  <c r="H1700" i="44"/>
  <c r="C348" i="44"/>
  <c r="E1634" i="44"/>
  <c r="E2845" i="44"/>
  <c r="C1605" i="44"/>
  <c r="H2256" i="44"/>
  <c r="C84" i="44"/>
  <c r="C2103" i="44"/>
  <c r="E2491" i="44"/>
  <c r="H1587" i="44"/>
  <c r="H2356" i="44"/>
  <c r="C1618" i="44"/>
  <c r="H2152" i="44"/>
  <c r="H3127" i="44"/>
  <c r="H2467" i="44"/>
  <c r="E3403" i="44"/>
  <c r="H2164" i="44"/>
  <c r="C1717" i="44"/>
  <c r="E2733" i="44"/>
  <c r="C2552" i="44"/>
  <c r="E568" i="44"/>
  <c r="H2666" i="44"/>
  <c r="E2004" i="44"/>
  <c r="C2482" i="44"/>
  <c r="E1629" i="44"/>
  <c r="E484" i="44"/>
  <c r="D116" i="3"/>
  <c r="C1797" i="44"/>
  <c r="C2329" i="44"/>
  <c r="H2545" i="44"/>
  <c r="H1943" i="44"/>
  <c r="H3093" i="44"/>
  <c r="E2918" i="44"/>
  <c r="E2114" i="44"/>
  <c r="H2013" i="44"/>
  <c r="C2711" i="44"/>
  <c r="H1798" i="44"/>
  <c r="C1631" i="44"/>
  <c r="C2406" i="44"/>
  <c r="H2494" i="44"/>
  <c r="E61" i="44"/>
  <c r="E358" i="44"/>
  <c r="H2036" i="44"/>
  <c r="H1773" i="44"/>
  <c r="E877" i="44"/>
  <c r="E1749" i="44"/>
  <c r="H3033" i="44"/>
  <c r="C2519" i="44"/>
  <c r="C1683" i="44"/>
  <c r="C676" i="44"/>
  <c r="E559" i="44"/>
  <c r="E231" i="44"/>
  <c r="E2641" i="44"/>
  <c r="C2472" i="44"/>
  <c r="E3079" i="44"/>
  <c r="E1773" i="44"/>
  <c r="E35" i="44"/>
  <c r="E5" i="44"/>
  <c r="E2960" i="44"/>
  <c r="E1979" i="44"/>
  <c r="H2878" i="44"/>
  <c r="E2307" i="44"/>
  <c r="H1942" i="44"/>
  <c r="C1764" i="44"/>
  <c r="E2481" i="44"/>
  <c r="H2306" i="44"/>
  <c r="C1861" i="44"/>
  <c r="E2251" i="44"/>
  <c r="E2457" i="44"/>
  <c r="E646" i="44"/>
  <c r="E2218" i="44"/>
  <c r="E2466" i="44"/>
  <c r="H2000" i="44"/>
  <c r="C1930" i="44"/>
  <c r="C1607" i="44"/>
  <c r="E2760" i="44"/>
  <c r="E3013" i="44"/>
  <c r="H1931" i="44"/>
  <c r="C1635" i="44"/>
  <c r="E2314" i="44"/>
  <c r="E137" i="44"/>
  <c r="C316" i="44"/>
  <c r="C1084" i="44"/>
  <c r="C244" i="44"/>
  <c r="E1007" i="44"/>
  <c r="E1043" i="44"/>
  <c r="H1958" i="44"/>
  <c r="C3033" i="44"/>
  <c r="H1872" i="44"/>
  <c r="C2404" i="44"/>
  <c r="C2895" i="44"/>
  <c r="E898" i="44"/>
  <c r="E2272" i="44"/>
  <c r="C703" i="44"/>
  <c r="H2366" i="44"/>
  <c r="H2072" i="44"/>
  <c r="C2080" i="44"/>
  <c r="E2117" i="44"/>
  <c r="E2771" i="44"/>
  <c r="C572" i="44"/>
  <c r="E399" i="44"/>
  <c r="E1051" i="44"/>
  <c r="C457" i="44"/>
  <c r="H2086" i="44"/>
  <c r="H2231" i="44"/>
  <c r="H2754" i="44"/>
  <c r="E1053" i="44"/>
  <c r="H1769" i="44"/>
  <c r="I2447" i="44"/>
  <c r="C459" i="44"/>
  <c r="C382" i="44"/>
  <c r="E716" i="44"/>
  <c r="C2886" i="44"/>
  <c r="C1884" i="44"/>
  <c r="H2173" i="44"/>
  <c r="H1828" i="44"/>
  <c r="H2768" i="44"/>
  <c r="E474" i="44"/>
  <c r="H2168" i="44"/>
  <c r="C752" i="44"/>
  <c r="C1826" i="44"/>
  <c r="C2006" i="44"/>
  <c r="C1012" i="44"/>
  <c r="E1707" i="44"/>
  <c r="H2069" i="44"/>
  <c r="C1914" i="44"/>
  <c r="C39" i="44"/>
  <c r="E2678" i="44"/>
  <c r="C1939" i="44"/>
  <c r="E453" i="44"/>
  <c r="E1694" i="44"/>
  <c r="H1841" i="44"/>
  <c r="E1686" i="44"/>
  <c r="E699" i="44"/>
  <c r="H3035" i="44"/>
  <c r="E3166" i="44"/>
  <c r="C2501" i="44"/>
  <c r="E2093" i="44"/>
  <c r="E1894" i="44"/>
  <c r="E390" i="44"/>
  <c r="E2742" i="44"/>
  <c r="C1085" i="44"/>
  <c r="H2123" i="44"/>
  <c r="C2018" i="44"/>
  <c r="C2487" i="44"/>
  <c r="C2049" i="44"/>
  <c r="E2263" i="44"/>
  <c r="C2193" i="44"/>
  <c r="E468" i="44"/>
  <c r="H1680" i="44"/>
  <c r="H2650" i="44"/>
  <c r="C1614" i="44"/>
  <c r="C310" i="44"/>
  <c r="I2095" i="44"/>
  <c r="E58" i="44"/>
  <c r="E42" i="44"/>
  <c r="E1950" i="44"/>
  <c r="E3081" i="44"/>
  <c r="C631" i="44"/>
  <c r="E3015" i="44"/>
  <c r="C22" i="44"/>
  <c r="E878" i="44"/>
  <c r="E3048" i="44"/>
  <c r="C1006" i="44"/>
  <c r="C503" i="44"/>
  <c r="E3069" i="44"/>
  <c r="E1027" i="44"/>
  <c r="H1683" i="44"/>
  <c r="E2833" i="44"/>
  <c r="C2755" i="44"/>
  <c r="E467" i="44"/>
  <c r="E330" i="44"/>
  <c r="C2283" i="44"/>
  <c r="C877" i="44"/>
  <c r="E2865" i="44"/>
  <c r="C1647" i="44"/>
  <c r="E17" i="44"/>
  <c r="I2319" i="44"/>
  <c r="E2934" i="44"/>
  <c r="E599" i="44"/>
  <c r="C2421" i="44"/>
  <c r="E2992" i="44"/>
  <c r="E406" i="44"/>
  <c r="H2444" i="44"/>
  <c r="H2129" i="44"/>
  <c r="H1869" i="44"/>
  <c r="C949" i="44"/>
  <c r="E2709" i="44"/>
  <c r="H1691" i="44"/>
  <c r="E483" i="44"/>
  <c r="C2117" i="44"/>
  <c r="C3423" i="44"/>
  <c r="H2909" i="44"/>
  <c r="C768" i="44"/>
  <c r="E1877" i="44"/>
  <c r="C1963" i="44"/>
  <c r="E506" i="44"/>
  <c r="E577" i="44"/>
  <c r="C787" i="44"/>
  <c r="E449" i="44"/>
  <c r="E2595" i="44"/>
  <c r="C2165" i="44"/>
  <c r="C2876" i="44"/>
  <c r="H3088" i="44"/>
  <c r="E2754" i="44"/>
  <c r="E2698" i="44"/>
  <c r="H3128" i="44"/>
  <c r="C616" i="44"/>
  <c r="E2657" i="44"/>
  <c r="C1848" i="44"/>
  <c r="C524" i="44"/>
  <c r="E2848" i="44"/>
  <c r="H3165" i="44"/>
  <c r="H2490" i="44"/>
  <c r="C1998" i="44"/>
  <c r="H1858" i="44"/>
  <c r="C908" i="44"/>
  <c r="C648" i="44"/>
  <c r="E405" i="44"/>
  <c r="E70" i="44"/>
  <c r="E2489" i="44"/>
  <c r="H1657" i="44"/>
  <c r="C570" i="44"/>
  <c r="I3103" i="44"/>
  <c r="C2187" i="44"/>
  <c r="E795" i="44"/>
  <c r="C3053" i="44"/>
  <c r="C3402" i="44"/>
  <c r="C722" i="44"/>
  <c r="C2137" i="44"/>
  <c r="H2429" i="44"/>
  <c r="E2389" i="44"/>
  <c r="E2005" i="44"/>
  <c r="E1047" i="44"/>
  <c r="E3066" i="44"/>
  <c r="H2159" i="44"/>
  <c r="E2206" i="44"/>
  <c r="H1890" i="44"/>
  <c r="E2201" i="44"/>
  <c r="E3075" i="44"/>
  <c r="C1878" i="44"/>
  <c r="E982" i="44"/>
  <c r="H2004" i="44"/>
  <c r="H3152" i="44"/>
  <c r="C1069" i="44"/>
  <c r="E682" i="44"/>
  <c r="H2623" i="44"/>
  <c r="H2751" i="44"/>
  <c r="H1625" i="44"/>
  <c r="E1706" i="44"/>
  <c r="H2856" i="44"/>
  <c r="E3438" i="44"/>
  <c r="C2387" i="44"/>
  <c r="C1985" i="44"/>
  <c r="C1513" i="44"/>
  <c r="C420" i="44"/>
  <c r="H2665" i="44"/>
  <c r="H3052" i="44"/>
  <c r="E1748" i="44"/>
  <c r="E587" i="44"/>
  <c r="H2517" i="44"/>
  <c r="E1705" i="44"/>
  <c r="E909" i="44"/>
  <c r="E990" i="44"/>
  <c r="C1926" i="44"/>
  <c r="H3042" i="44"/>
  <c r="E3419" i="44"/>
  <c r="E1808" i="44"/>
  <c r="C2460" i="44"/>
  <c r="E2701" i="44"/>
  <c r="C2882" i="44"/>
  <c r="C3388" i="44"/>
  <c r="E3402" i="44"/>
  <c r="C2231" i="44"/>
  <c r="E2679" i="44"/>
  <c r="H2834" i="44"/>
  <c r="C1093" i="44"/>
  <c r="C1800" i="44"/>
  <c r="E267" i="44"/>
  <c r="C517" i="44"/>
  <c r="I2927" i="44"/>
  <c r="C632" i="44"/>
  <c r="E1624" i="44"/>
  <c r="C730" i="44"/>
  <c r="C731" i="44"/>
  <c r="H1885" i="44"/>
  <c r="E2496" i="44"/>
  <c r="E2761" i="44"/>
  <c r="C1829" i="44"/>
  <c r="E2567" i="44"/>
  <c r="C2594" i="44"/>
  <c r="E2008" i="44"/>
  <c r="H1844" i="44"/>
  <c r="E2561" i="44"/>
  <c r="H1954" i="44"/>
  <c r="C547" i="44"/>
  <c r="E1886" i="44"/>
  <c r="H3089" i="44"/>
  <c r="C1646" i="44"/>
  <c r="C2829" i="44"/>
  <c r="H2941" i="44"/>
  <c r="E576" i="44"/>
  <c r="E2999" i="44"/>
  <c r="C2305" i="44"/>
  <c r="C536" i="44"/>
  <c r="H2624" i="44"/>
  <c r="C1808" i="44"/>
  <c r="H1861" i="44"/>
  <c r="H1800" i="44"/>
  <c r="H3041" i="44"/>
  <c r="C903" i="44"/>
  <c r="C2739" i="44"/>
  <c r="H2047" i="44"/>
  <c r="E2228" i="44"/>
  <c r="E2084" i="44"/>
  <c r="C2108" i="44"/>
  <c r="E2277" i="44"/>
  <c r="C1038" i="44"/>
  <c r="E3381" i="44"/>
  <c r="H1688" i="44"/>
  <c r="H2530" i="44"/>
  <c r="E751" i="44"/>
  <c r="C2602" i="44"/>
  <c r="H2046" i="44"/>
  <c r="H2719" i="44"/>
  <c r="C1882" i="44"/>
  <c r="E3406" i="44"/>
  <c r="H3150" i="44"/>
  <c r="E2812" i="44"/>
  <c r="C2224" i="44"/>
  <c r="E1921" i="44"/>
  <c r="E1709" i="44"/>
  <c r="C380" i="44"/>
  <c r="C2075" i="44"/>
  <c r="E2124" i="44"/>
  <c r="C2122" i="44"/>
  <c r="E2148" i="44"/>
  <c r="C1679" i="44"/>
  <c r="C2754" i="44"/>
  <c r="I1807" i="44"/>
  <c r="H3085" i="44"/>
  <c r="C1740" i="44"/>
  <c r="H2313" i="44"/>
  <c r="H2907" i="44"/>
  <c r="H2758" i="44"/>
  <c r="H2359" i="44"/>
  <c r="E2568" i="44"/>
  <c r="E582" i="44"/>
  <c r="H3164" i="44"/>
  <c r="E1865" i="44"/>
  <c r="H2204" i="44"/>
  <c r="C1722" i="44"/>
  <c r="C1604" i="44"/>
  <c r="E1960" i="44"/>
  <c r="H1873" i="44"/>
  <c r="H1612" i="44"/>
  <c r="E114" i="44"/>
  <c r="E530" i="44"/>
  <c r="E3136" i="44"/>
  <c r="E512" i="44"/>
  <c r="C2009" i="44"/>
  <c r="E1039" i="44"/>
  <c r="C1843" i="44"/>
  <c r="E2730" i="44"/>
  <c r="C465" i="44"/>
  <c r="H2894" i="44"/>
  <c r="C2508" i="44"/>
  <c r="E407" i="44"/>
  <c r="H2020" i="44"/>
  <c r="E1988" i="44"/>
  <c r="H2773" i="44"/>
  <c r="H2846" i="44"/>
  <c r="E2048" i="44"/>
  <c r="H2810" i="44"/>
  <c r="E911" i="44"/>
  <c r="E1953" i="44"/>
  <c r="H2092" i="44"/>
  <c r="H1640" i="44"/>
  <c r="C2799" i="44"/>
  <c r="C2081" i="44"/>
  <c r="C808" i="44"/>
  <c r="H1926" i="44"/>
  <c r="C2702" i="44"/>
  <c r="E1914" i="44"/>
  <c r="E2874" i="44"/>
  <c r="H2015" i="44"/>
  <c r="E282" i="44"/>
  <c r="E588" i="44"/>
  <c r="E144" i="44"/>
  <c r="H2404" i="44"/>
  <c r="C1674" i="44"/>
  <c r="E2947" i="44"/>
  <c r="C1721" i="44"/>
  <c r="C1912" i="44"/>
  <c r="C2671" i="44"/>
  <c r="H2474" i="44"/>
  <c r="C1894" i="44"/>
  <c r="E1980" i="44"/>
  <c r="H2114" i="44"/>
  <c r="E3100" i="44"/>
  <c r="E2197" i="44"/>
  <c r="H1766" i="44"/>
  <c r="C2323" i="44"/>
  <c r="E408" i="44"/>
  <c r="C1610" i="44"/>
  <c r="E1621" i="44"/>
  <c r="C1706" i="44"/>
  <c r="E553" i="44"/>
  <c r="E1045" i="44"/>
  <c r="H2100" i="44"/>
  <c r="E3405" i="44"/>
  <c r="C830" i="44"/>
  <c r="H1677" i="44"/>
  <c r="C1689" i="44"/>
  <c r="E1720" i="44"/>
  <c r="C989" i="44"/>
  <c r="C1039" i="44"/>
  <c r="C2027" i="44"/>
  <c r="H2716" i="44"/>
  <c r="C733" i="44"/>
  <c r="E2123" i="44"/>
  <c r="H2316" i="44"/>
  <c r="E2769" i="44"/>
  <c r="C308" i="44"/>
  <c r="E82" i="44"/>
  <c r="E2506" i="44"/>
  <c r="C2295" i="44"/>
  <c r="E2278" i="44"/>
  <c r="E2455" i="44"/>
  <c r="C655" i="44"/>
  <c r="H2077" i="44"/>
  <c r="C323" i="44"/>
  <c r="C2832" i="44"/>
  <c r="H2732" i="44"/>
  <c r="C1733" i="44"/>
  <c r="C1741" i="44"/>
  <c r="H2588" i="44"/>
  <c r="H2723" i="44"/>
  <c r="C2142" i="44"/>
  <c r="E2914" i="44"/>
  <c r="C2333" i="44"/>
  <c r="H2485" i="44"/>
  <c r="H3016" i="44"/>
  <c r="C1049" i="44"/>
  <c r="H1967" i="44"/>
  <c r="H180" i="44"/>
  <c r="H1731" i="44"/>
  <c r="C1075" i="44"/>
  <c r="C845" i="44"/>
  <c r="H2803" i="44"/>
  <c r="D105" i="3"/>
  <c r="H2778" i="44"/>
  <c r="C2017" i="44"/>
  <c r="E1059" i="44"/>
  <c r="C2627" i="44"/>
  <c r="C1685" i="44"/>
  <c r="H2254" i="44"/>
  <c r="E392" i="44"/>
  <c r="C1507" i="44"/>
  <c r="C2825" i="44"/>
  <c r="E386" i="44"/>
  <c r="H2384" i="44"/>
  <c r="E2796" i="44"/>
  <c r="C1010" i="44"/>
  <c r="C3165" i="44"/>
  <c r="E2484" i="44"/>
  <c r="H2097" i="44"/>
  <c r="C2960" i="44"/>
  <c r="E676" i="44"/>
  <c r="C2731" i="44"/>
  <c r="C2307" i="44"/>
  <c r="H2579" i="44"/>
  <c r="C1620" i="44"/>
  <c r="H1652" i="44"/>
  <c r="H3112" i="44"/>
  <c r="H1972" i="44"/>
  <c r="H2401" i="44"/>
  <c r="C2797" i="44"/>
  <c r="H929" i="44"/>
  <c r="H3019" i="44"/>
  <c r="C3109" i="44"/>
  <c r="C393" i="44"/>
  <c r="E858" i="44"/>
  <c r="C2183" i="44"/>
  <c r="E2873" i="44"/>
  <c r="D103" i="3"/>
  <c r="C2276" i="44"/>
  <c r="E227" i="44"/>
  <c r="C1587" i="44"/>
  <c r="C943" i="44"/>
  <c r="E2841" i="44"/>
  <c r="C94" i="44"/>
  <c r="E2579" i="44"/>
  <c r="E2985" i="44"/>
  <c r="H3076" i="44"/>
  <c r="H2321" i="44"/>
  <c r="C2215" i="44"/>
  <c r="H2487" i="44"/>
  <c r="H2210" i="44"/>
  <c r="H2135" i="44"/>
  <c r="C1092" i="44"/>
  <c r="C1779" i="44"/>
  <c r="C2034" i="44"/>
  <c r="C2258" i="44"/>
  <c r="E2907" i="44"/>
  <c r="E226" i="44"/>
  <c r="C3095" i="44"/>
  <c r="C2218" i="44"/>
  <c r="C729" i="44"/>
  <c r="C2909" i="44"/>
  <c r="C2918" i="44"/>
  <c r="H2865" i="44"/>
  <c r="C2365" i="44"/>
  <c r="C532" i="44"/>
  <c r="E2572" i="44"/>
  <c r="C2286" i="44"/>
  <c r="E141" i="44"/>
  <c r="E493" i="44"/>
  <c r="E3153" i="44"/>
  <c r="C2539" i="44"/>
  <c r="C1705" i="44"/>
  <c r="E1595" i="44"/>
  <c r="H1949" i="44"/>
  <c r="E771" i="44"/>
  <c r="C508" i="44"/>
  <c r="E817" i="44"/>
  <c r="C3081" i="44"/>
  <c r="E863" i="44"/>
  <c r="C1754" i="44"/>
  <c r="E673" i="44"/>
  <c r="C2769" i="44"/>
  <c r="E448" i="44"/>
  <c r="C2691" i="44"/>
  <c r="C403" i="44"/>
  <c r="E300" i="44"/>
  <c r="C301" i="44"/>
  <c r="E393" i="44"/>
  <c r="C2086" i="44"/>
  <c r="C2622" i="44"/>
  <c r="E67" i="44"/>
  <c r="E2002" i="44"/>
  <c r="H1758" i="44"/>
  <c r="C2841" i="44"/>
  <c r="C500" i="44"/>
  <c r="E551" i="44"/>
  <c r="E589" i="44"/>
  <c r="C2676" i="44"/>
  <c r="E669" i="44"/>
  <c r="H2209" i="44"/>
  <c r="C120" i="44"/>
  <c r="C412" i="44"/>
  <c r="E2313" i="44"/>
  <c r="E830" i="44"/>
  <c r="E3060" i="44"/>
  <c r="C970" i="44"/>
  <c r="E805" i="44"/>
  <c r="C3103" i="44"/>
  <c r="H1631" i="44"/>
  <c r="E2306" i="44"/>
  <c r="C813" i="44"/>
  <c r="C2896" i="44"/>
  <c r="E310" i="44"/>
  <c r="E388" i="44"/>
  <c r="C1547" i="44"/>
  <c r="E2548" i="44"/>
  <c r="C3384" i="44"/>
  <c r="H1948" i="44"/>
  <c r="C2337" i="44"/>
  <c r="E2337" i="44"/>
  <c r="H2659" i="44"/>
  <c r="E1093" i="44"/>
  <c r="C564" i="44"/>
  <c r="E2341" i="44"/>
  <c r="H1921" i="44"/>
  <c r="C1710" i="44"/>
  <c r="C96" i="44"/>
  <c r="H3121" i="44"/>
  <c r="C1713" i="44"/>
  <c r="E2590" i="44"/>
  <c r="H1586" i="44"/>
  <c r="C1682" i="44"/>
  <c r="C3011" i="44"/>
  <c r="C1890" i="44"/>
  <c r="C2451" i="44"/>
  <c r="E1858" i="44"/>
  <c r="C1709" i="44"/>
  <c r="E2221" i="44"/>
  <c r="C3376" i="44"/>
  <c r="H1981" i="44"/>
  <c r="C2559" i="44"/>
  <c r="C3146" i="44"/>
  <c r="E2890" i="44"/>
  <c r="E1799" i="44"/>
  <c r="E1731" i="44"/>
  <c r="C2929" i="44"/>
  <c r="C3422" i="44"/>
  <c r="E2950" i="44"/>
  <c r="C590" i="44"/>
  <c r="C3122" i="44"/>
  <c r="C42" i="44"/>
  <c r="E1619" i="44"/>
  <c r="E2211" i="44"/>
  <c r="H1607" i="44"/>
  <c r="H1753" i="44"/>
  <c r="H3135" i="44"/>
  <c r="E1545" i="44"/>
  <c r="E2138" i="44"/>
  <c r="C2437" i="44"/>
  <c r="H2508" i="44"/>
  <c r="H2332" i="44"/>
  <c r="E1713" i="44"/>
  <c r="H2008" i="44"/>
  <c r="E1744" i="44"/>
  <c r="E902" i="44"/>
  <c r="C2301" i="44"/>
  <c r="C2247" i="44"/>
  <c r="E403" i="44"/>
  <c r="C424" i="44"/>
  <c r="E196" i="44"/>
  <c r="H2516" i="44"/>
  <c r="C2031" i="44"/>
  <c r="E2473" i="44"/>
  <c r="E2445" i="44"/>
  <c r="E2868" i="44"/>
  <c r="E2096" i="44"/>
  <c r="E634" i="44"/>
  <c r="H1821" i="44"/>
  <c r="H2282" i="44"/>
  <c r="H1908" i="44"/>
  <c r="E2740" i="44"/>
  <c r="H1994" i="44"/>
  <c r="E2982" i="44"/>
  <c r="E2912" i="44"/>
  <c r="E2375" i="44"/>
  <c r="E766" i="44"/>
  <c r="H2993" i="44"/>
  <c r="E1997" i="44"/>
  <c r="H2672" i="44"/>
  <c r="C839" i="44"/>
  <c r="E1521" i="44"/>
  <c r="E658" i="44"/>
  <c r="H2621" i="44"/>
  <c r="C1846" i="44"/>
  <c r="C1525" i="44"/>
  <c r="E3416" i="44"/>
  <c r="H3163" i="44"/>
  <c r="H1761" i="44"/>
  <c r="H1847" i="44"/>
  <c r="C7" i="44"/>
  <c r="H1759" i="44"/>
  <c r="E369" i="44"/>
  <c r="C1903" i="44"/>
  <c r="E610" i="44"/>
  <c r="E3085" i="44"/>
  <c r="H1684" i="44"/>
  <c r="C1735" i="44"/>
  <c r="H1989" i="44"/>
  <c r="I2575" i="44"/>
  <c r="C2964" i="44"/>
  <c r="C2585" i="44"/>
  <c r="E2638" i="44"/>
  <c r="H2873" i="44"/>
  <c r="E2806" i="44"/>
  <c r="E2669" i="44"/>
  <c r="C1690" i="44"/>
  <c r="C661" i="44"/>
  <c r="C2332" i="44"/>
  <c r="E2196" i="44"/>
  <c r="H935" i="44"/>
  <c r="C896" i="44"/>
  <c r="C1073" i="44"/>
  <c r="E3022" i="44"/>
  <c r="E2689" i="44"/>
  <c r="C1072" i="44"/>
  <c r="C2133" i="44"/>
  <c r="E16" i="44"/>
  <c r="H2378" i="44"/>
  <c r="C1830" i="44"/>
  <c r="I1791" i="44"/>
  <c r="C2753" i="44"/>
  <c r="C2801" i="44"/>
  <c r="E2067" i="44"/>
  <c r="C3114" i="44"/>
  <c r="C802" i="44"/>
  <c r="H182" i="44"/>
  <c r="H2734" i="44"/>
  <c r="E2830" i="44"/>
  <c r="C2173" i="44"/>
  <c r="C1643" i="44"/>
  <c r="E1071" i="44"/>
  <c r="I188" i="44"/>
  <c r="E590" i="44"/>
  <c r="C902" i="44"/>
  <c r="C471" i="44"/>
  <c r="H1900" i="44"/>
  <c r="H3159" i="44"/>
  <c r="E3426" i="44"/>
  <c r="E1524" i="44"/>
  <c r="C3404" i="44"/>
  <c r="C2185" i="44"/>
  <c r="H2477" i="44"/>
  <c r="C2462" i="44"/>
  <c r="E608" i="44"/>
  <c r="E1843" i="44"/>
  <c r="E1861" i="44"/>
  <c r="E1008" i="44"/>
  <c r="E2173" i="44"/>
  <c r="E3445" i="44"/>
  <c r="C2917" i="44"/>
  <c r="C3054" i="44"/>
  <c r="E1050" i="44"/>
  <c r="E2006" i="44"/>
  <c r="E1937" i="44"/>
  <c r="E2318" i="44"/>
  <c r="E2777" i="44"/>
  <c r="E2529" i="44"/>
  <c r="E168" i="44"/>
  <c r="C708" i="44"/>
  <c r="C1873" i="44"/>
  <c r="C864" i="44"/>
  <c r="C1858" i="44"/>
  <c r="H2811" i="44"/>
  <c r="C3418" i="44"/>
  <c r="C2541" i="44"/>
  <c r="E2872" i="44"/>
  <c r="E758" i="44"/>
  <c r="E2104" i="44"/>
  <c r="C2206" i="44"/>
  <c r="E3144" i="44"/>
  <c r="E2666" i="44"/>
  <c r="E3106" i="44"/>
  <c r="E2699" i="44"/>
  <c r="E1879" i="44"/>
  <c r="C1056" i="44"/>
  <c r="E2889" i="44"/>
  <c r="E2580" i="44"/>
  <c r="E1723" i="44"/>
  <c r="H2147" i="44"/>
  <c r="C2726" i="44"/>
  <c r="C2879" i="44"/>
  <c r="E254" i="44"/>
  <c r="E1702" i="44"/>
  <c r="H2458" i="44"/>
  <c r="H3056" i="44"/>
  <c r="E2789" i="44"/>
  <c r="E2374" i="44"/>
  <c r="E2629" i="44"/>
  <c r="C1731" i="44"/>
  <c r="C637" i="44"/>
  <c r="E2614" i="44"/>
  <c r="C2955" i="44"/>
  <c r="E2442" i="44"/>
  <c r="H3106" i="44"/>
  <c r="E1025" i="44"/>
  <c r="E2034" i="44"/>
  <c r="C3377" i="44"/>
  <c r="E1664" i="44"/>
  <c r="I2063" i="44"/>
  <c r="E799" i="44"/>
  <c r="E220" i="44"/>
  <c r="C762" i="44"/>
  <c r="E2126" i="44"/>
  <c r="H2198" i="44"/>
  <c r="E1721" i="44"/>
  <c r="C1585" i="44"/>
  <c r="E2266" i="44"/>
  <c r="H2905" i="44"/>
  <c r="E1698" i="44"/>
  <c r="E2227" i="44"/>
  <c r="H168" i="44"/>
  <c r="C2476" i="44"/>
  <c r="H3109" i="44"/>
  <c r="E364" i="44"/>
  <c r="C2130" i="44"/>
  <c r="H1723" i="44"/>
  <c r="E648" i="44"/>
  <c r="H3032" i="44"/>
  <c r="H1626" i="44"/>
  <c r="H2402" i="44"/>
  <c r="E2464" i="44"/>
  <c r="H2475" i="44"/>
  <c r="E3152" i="44"/>
  <c r="E1633" i="44"/>
  <c r="C2778" i="44"/>
  <c r="C951" i="44"/>
  <c r="C534" i="44"/>
  <c r="E2643" i="44"/>
  <c r="C1937" i="44"/>
  <c r="E3065" i="44"/>
  <c r="C670" i="44"/>
  <c r="E2882" i="44"/>
  <c r="C1000" i="44"/>
  <c r="C2242" i="44"/>
  <c r="E2437" i="44"/>
  <c r="H2033" i="44"/>
  <c r="I202" i="44"/>
  <c r="C2653" i="44"/>
  <c r="E2603" i="44"/>
  <c r="E1632" i="44"/>
  <c r="E2756" i="44"/>
  <c r="E3386" i="44"/>
  <c r="C3130" i="44"/>
  <c r="H2416" i="44"/>
  <c r="E2925" i="44"/>
  <c r="H2394" i="44"/>
  <c r="H2324" i="44"/>
  <c r="C2649" i="44"/>
  <c r="E933" i="44"/>
  <c r="C1695" i="44"/>
  <c r="E3145" i="44"/>
  <c r="E1724" i="44"/>
  <c r="H1651" i="44"/>
  <c r="C687" i="44"/>
  <c r="C2002" i="44"/>
  <c r="E382" i="44"/>
  <c r="C2347" i="44"/>
  <c r="C1636" i="44"/>
  <c r="C3077" i="44"/>
  <c r="C1633" i="44"/>
  <c r="E2019" i="44"/>
  <c r="H2347" i="44"/>
  <c r="H980" i="44"/>
  <c r="E2538" i="44"/>
  <c r="E2360" i="44"/>
  <c r="C1862" i="44"/>
  <c r="H2999" i="44"/>
  <c r="E422" i="44"/>
  <c r="H1801" i="44"/>
  <c r="C1785" i="44"/>
  <c r="C1824" i="44"/>
  <c r="H2536" i="44"/>
  <c r="H2453" i="44"/>
  <c r="C407" i="44"/>
  <c r="H1583" i="44"/>
  <c r="E52" i="44"/>
  <c r="C2148" i="44"/>
  <c r="C552" i="44"/>
  <c r="E123" i="44"/>
  <c r="C1584" i="44"/>
  <c r="C2536" i="44"/>
  <c r="E1816" i="44"/>
  <c r="C669" i="44"/>
  <c r="H1618" i="44"/>
  <c r="C486" i="44"/>
  <c r="C421" i="44"/>
  <c r="C2422" i="44"/>
  <c r="C2850" i="44"/>
  <c r="C2319" i="44"/>
  <c r="C2779" i="44"/>
  <c r="C2537" i="44"/>
  <c r="H1923" i="44"/>
  <c r="H1661" i="44"/>
  <c r="C1546" i="44"/>
  <c r="E1644" i="44"/>
  <c r="E2065" i="44"/>
  <c r="C408" i="44"/>
  <c r="C3072" i="44"/>
  <c r="C1041" i="44"/>
  <c r="E1075" i="44"/>
  <c r="E2560" i="44"/>
  <c r="E2823" i="44"/>
  <c r="E2417" i="44"/>
  <c r="C577" i="44"/>
  <c r="E2998" i="44"/>
  <c r="C1089" i="44"/>
  <c r="C559" i="44"/>
  <c r="C2588" i="44"/>
  <c r="H2342" i="44"/>
  <c r="E928" i="44"/>
  <c r="C1980" i="44"/>
  <c r="E1074" i="44"/>
  <c r="C2343" i="44"/>
  <c r="H2691" i="44"/>
  <c r="C2050" i="44"/>
  <c r="E3011" i="44"/>
  <c r="C2775" i="44"/>
  <c r="C1675" i="44"/>
  <c r="H1749" i="44"/>
  <c r="H1907" i="44"/>
  <c r="C2324" i="44"/>
  <c r="C304" i="44"/>
  <c r="E879" i="44"/>
  <c r="H2688" i="44"/>
  <c r="E1052" i="44"/>
  <c r="C2262" i="44"/>
  <c r="H1706" i="44"/>
  <c r="E1594" i="44"/>
  <c r="C528" i="44"/>
  <c r="H1987" i="44"/>
  <c r="C2485" i="44"/>
  <c r="C23" i="44"/>
  <c r="E1620" i="44"/>
  <c r="H2504" i="44"/>
  <c r="E1703" i="44"/>
  <c r="H2279" i="44"/>
  <c r="E3101" i="44"/>
  <c r="H2461" i="44"/>
  <c r="C612" i="44"/>
  <c r="H1930" i="44"/>
  <c r="C3379" i="44"/>
  <c r="C1621" i="44"/>
  <c r="E696" i="44"/>
  <c r="E1598" i="44"/>
  <c r="E2764" i="44"/>
  <c r="H1842" i="44"/>
  <c r="C2504" i="44"/>
  <c r="C846" i="44"/>
  <c r="C1698" i="44"/>
  <c r="C1923" i="44"/>
  <c r="I2175" i="44"/>
  <c r="C2971" i="44"/>
  <c r="C1864" i="44"/>
  <c r="C1726" i="44"/>
  <c r="H2965" i="44"/>
  <c r="H2660" i="44"/>
  <c r="E500" i="44"/>
  <c r="H2980" i="44"/>
  <c r="C2071" i="44"/>
  <c r="C622" i="44"/>
  <c r="H2848" i="44"/>
  <c r="E3064" i="44"/>
  <c r="C2849" i="44"/>
  <c r="E2424" i="44"/>
  <c r="C68" i="44"/>
  <c r="E1589" i="44"/>
  <c r="H2162" i="44"/>
  <c r="C2270" i="44"/>
  <c r="E2460" i="44"/>
  <c r="I1599" i="44"/>
  <c r="E1518" i="44"/>
  <c r="C2453" i="44"/>
  <c r="E2712" i="44"/>
  <c r="H1599" i="44"/>
  <c r="H1924" i="44"/>
  <c r="E1092" i="44"/>
  <c r="C2564" i="44"/>
  <c r="H2895" i="44"/>
  <c r="C221" i="44"/>
  <c r="C586" i="44"/>
  <c r="C2016" i="44"/>
  <c r="H2816" i="44"/>
  <c r="C3020" i="44"/>
  <c r="C2000" i="44"/>
  <c r="C3429" i="44"/>
  <c r="H2714" i="44"/>
  <c r="C443" i="44"/>
  <c r="C2293" i="44"/>
  <c r="E357" i="44"/>
  <c r="H2476" i="44"/>
  <c r="C1925" i="44"/>
  <c r="H1916" i="44"/>
  <c r="C1088" i="44"/>
  <c r="E139" i="44"/>
  <c r="H2397" i="44"/>
  <c r="H2495" i="44"/>
  <c r="H2947" i="44"/>
  <c r="E3383" i="44"/>
  <c r="E379" i="44"/>
  <c r="C776" i="44"/>
  <c r="C3096" i="44"/>
  <c r="C446" i="44"/>
  <c r="H2825" i="44"/>
  <c r="C974" i="44"/>
  <c r="C627" i="44"/>
  <c r="E796" i="44"/>
  <c r="C3029" i="44"/>
  <c r="H1694" i="44"/>
  <c r="C1066" i="44"/>
  <c r="E2401" i="44"/>
  <c r="E2846" i="44"/>
  <c r="C2443" i="44"/>
  <c r="E2500" i="44"/>
  <c r="H206" i="44"/>
  <c r="C414" i="44"/>
  <c r="C2635" i="44"/>
  <c r="H3049" i="44"/>
  <c r="E571" i="44"/>
  <c r="I1919" i="44"/>
  <c r="C668" i="44"/>
  <c r="H3151" i="44"/>
  <c r="E2232" i="44"/>
  <c r="E2235" i="44"/>
  <c r="C732" i="44"/>
  <c r="C1929" i="44"/>
  <c r="H1742" i="44"/>
  <c r="E844" i="44"/>
  <c r="H925" i="44"/>
  <c r="H2041" i="44"/>
  <c r="C2358" i="44"/>
  <c r="C665" i="44"/>
  <c r="E1538" i="44"/>
  <c r="C2259" i="44"/>
  <c r="E2340" i="44"/>
  <c r="E2219" i="44"/>
  <c r="C3378" i="44"/>
  <c r="C371" i="44"/>
  <c r="E1910" i="44"/>
  <c r="H2007" i="44"/>
  <c r="H930" i="44"/>
  <c r="H2618" i="44"/>
  <c r="C2436" i="44"/>
  <c r="E1866" i="44"/>
  <c r="C2095" i="44"/>
  <c r="C748" i="44"/>
  <c r="E2179" i="44"/>
  <c r="E998" i="44"/>
  <c r="C1850" i="44"/>
  <c r="E602" i="44"/>
  <c r="H2617" i="44"/>
  <c r="E2888" i="44"/>
  <c r="H2424" i="44"/>
  <c r="C115" i="44"/>
  <c r="C1720" i="44"/>
  <c r="E1512" i="44"/>
  <c r="C361" i="44"/>
  <c r="C2119" i="44"/>
  <c r="H2312" i="44"/>
  <c r="H1770" i="44"/>
  <c r="C1071" i="44"/>
  <c r="E3108" i="44"/>
  <c r="E30" i="44"/>
  <c r="C2281" i="44"/>
  <c r="H2289" i="44"/>
  <c r="H1919" i="44"/>
  <c r="C817" i="44"/>
  <c r="E2325" i="44"/>
  <c r="C2596" i="44"/>
  <c r="C2728" i="44"/>
  <c r="H3131" i="44"/>
  <c r="H2950" i="44"/>
  <c r="C498" i="44"/>
  <c r="H2820" i="44"/>
  <c r="C658" i="44"/>
  <c r="H2492" i="44"/>
  <c r="H3134" i="44"/>
  <c r="H2860" i="44"/>
  <c r="H2122" i="44"/>
  <c r="E2785" i="44"/>
  <c r="E3096" i="44"/>
  <c r="C141" i="44"/>
  <c r="C366" i="44"/>
  <c r="E3143" i="44"/>
  <c r="H2014" i="44"/>
  <c r="D114" i="3"/>
  <c r="E2753" i="44"/>
  <c r="E184" i="44"/>
  <c r="C1825" i="44"/>
  <c r="H2452" i="44"/>
  <c r="E2137" i="44"/>
  <c r="E2936" i="44"/>
  <c r="E2627" i="44"/>
  <c r="H2871" i="44"/>
  <c r="C562" i="44"/>
  <c r="C2629" i="44"/>
  <c r="H3116" i="44"/>
  <c r="H2206" i="44"/>
  <c r="I2719" i="44"/>
  <c r="H1935" i="44"/>
  <c r="C568" i="44"/>
  <c r="E2682" i="44"/>
  <c r="H2524" i="44"/>
  <c r="I1775" i="44"/>
  <c r="C2399" i="44"/>
  <c r="H2052" i="44"/>
  <c r="C930" i="44"/>
  <c r="H3136" i="44"/>
  <c r="H2542" i="44"/>
  <c r="C803" i="44"/>
  <c r="C2868" i="44"/>
  <c r="H3090" i="44"/>
  <c r="H2344" i="44"/>
  <c r="E495" i="44"/>
  <c r="E691" i="44"/>
  <c r="C2937" i="44"/>
  <c r="E2706" i="44"/>
  <c r="E968" i="44"/>
  <c r="C372" i="44"/>
  <c r="C2682" i="44"/>
  <c r="H2932" i="44"/>
  <c r="C1052" i="44"/>
  <c r="C2019" i="44"/>
  <c r="E2058" i="44"/>
  <c r="H1670" i="44"/>
  <c r="H2214" i="44"/>
  <c r="H2430" i="44"/>
  <c r="C976" i="44"/>
  <c r="E437" i="44"/>
  <c r="C80" i="44"/>
  <c r="E143" i="44"/>
  <c r="C1591" i="44"/>
  <c r="E3046" i="44"/>
  <c r="E1519" i="44"/>
  <c r="C1673" i="44"/>
  <c r="E601" i="44"/>
  <c r="E391" i="44"/>
  <c r="E1767" i="44"/>
  <c r="C1866" i="44"/>
  <c r="C2863" i="44"/>
  <c r="E850" i="44"/>
  <c r="C1625" i="44"/>
  <c r="E839" i="44"/>
  <c r="H2343" i="44"/>
  <c r="E848" i="44"/>
  <c r="C869" i="44"/>
  <c r="H1941" i="44"/>
  <c r="H976" i="44"/>
  <c r="H1965" i="44"/>
  <c r="E1831" i="44"/>
  <c r="E460" i="44"/>
  <c r="C784" i="44"/>
  <c r="C723" i="44"/>
  <c r="E2380" i="44"/>
  <c r="C2022" i="44"/>
  <c r="C2856" i="44"/>
  <c r="H2970" i="44"/>
  <c r="H2792" i="44"/>
  <c r="E1630" i="44"/>
  <c r="H2374" i="44"/>
  <c r="E244" i="44"/>
  <c r="C2195" i="44"/>
  <c r="C619" i="44"/>
  <c r="E3404" i="44"/>
  <c r="C717" i="44"/>
  <c r="H3073" i="44"/>
  <c r="E566" i="44"/>
  <c r="E1955" i="44"/>
  <c r="E975" i="44"/>
  <c r="C2205" i="44"/>
  <c r="H2519" i="44"/>
  <c r="C1936" i="44"/>
  <c r="E976" i="44"/>
  <c r="E2576" i="44"/>
  <c r="H2098" i="44"/>
  <c r="C2725" i="44"/>
  <c r="C24" i="44"/>
  <c r="C560" i="44"/>
  <c r="C3386" i="44"/>
  <c r="E108" i="44"/>
  <c r="C701" i="44"/>
  <c r="E526" i="44"/>
  <c r="E246" i="44"/>
  <c r="E452" i="44"/>
  <c r="H2552" i="44"/>
  <c r="C2059" i="44"/>
  <c r="C2624" i="44"/>
  <c r="E2983" i="44"/>
  <c r="E425" i="44"/>
  <c r="E2858" i="44"/>
  <c r="H3026" i="44"/>
  <c r="H2626" i="44"/>
  <c r="H2066" i="44"/>
  <c r="C2984" i="44"/>
  <c r="C2961" i="44"/>
  <c r="H1980" i="44"/>
  <c r="H2677" i="44"/>
  <c r="H2539" i="44"/>
  <c r="C2412" i="44"/>
  <c r="C2862" i="44"/>
  <c r="C395" i="44"/>
  <c r="H2480" i="44"/>
  <c r="H2376" i="44"/>
  <c r="E2156" i="44"/>
  <c r="H2628" i="44"/>
  <c r="H2472" i="44"/>
  <c r="H2805" i="44"/>
  <c r="C1960" i="44"/>
  <c r="C456" i="44"/>
  <c r="E2856" i="44"/>
  <c r="C837" i="44"/>
  <c r="E22" i="44"/>
  <c r="C2296" i="44"/>
  <c r="C3005" i="44"/>
  <c r="H1860" i="44"/>
  <c r="E2421" i="44"/>
  <c r="E1531" i="44"/>
  <c r="H2144" i="44"/>
  <c r="C3104" i="44"/>
  <c r="C1766" i="44"/>
  <c r="E2183" i="44"/>
  <c r="I2207" i="44"/>
  <c r="E39" i="44"/>
  <c r="C2494" i="44"/>
  <c r="H2016" i="44"/>
  <c r="E2082" i="44"/>
  <c r="C940" i="44"/>
  <c r="E2372" i="44"/>
  <c r="E2212" i="44"/>
  <c r="C2756" i="44"/>
  <c r="C1694" i="44"/>
  <c r="C2170" i="44"/>
  <c r="C1994" i="44"/>
  <c r="C337" i="44"/>
  <c r="E1640" i="44"/>
  <c r="C2621" i="44"/>
  <c r="E864" i="44"/>
  <c r="H1809" i="44"/>
  <c r="C1795" i="44"/>
  <c r="C3043" i="44"/>
  <c r="E2552" i="44"/>
  <c r="C1793" i="44"/>
  <c r="E1916" i="44"/>
  <c r="C2477" i="44"/>
  <c r="C2760" i="44"/>
  <c r="H2957" i="44"/>
  <c r="H2818" i="44"/>
  <c r="E655" i="44"/>
  <c r="H1823" i="44"/>
  <c r="H2979" i="44"/>
  <c r="E2160" i="44"/>
  <c r="E3044" i="44"/>
  <c r="I168" i="44"/>
  <c r="C1644" i="44"/>
  <c r="C1681" i="44"/>
  <c r="E2886" i="44"/>
  <c r="H1591" i="44"/>
  <c r="E891" i="44"/>
  <c r="E259" i="44"/>
  <c r="H2001" i="44"/>
  <c r="E2085" i="44"/>
  <c r="C798" i="44"/>
  <c r="C3034" i="44"/>
  <c r="E2346" i="44"/>
  <c r="E2987" i="44"/>
  <c r="H3061" i="44"/>
  <c r="C35" i="44"/>
  <c r="H1963" i="44"/>
  <c r="C600" i="44"/>
  <c r="C2169" i="44"/>
  <c r="H1701" i="44"/>
  <c r="C430" i="44"/>
  <c r="H2180" i="44"/>
  <c r="C794" i="44"/>
  <c r="E936" i="44"/>
  <c r="C3138" i="44"/>
  <c r="E694" i="44"/>
  <c r="E539" i="44"/>
  <c r="H2664" i="44"/>
  <c r="H2972" i="44"/>
  <c r="E3160" i="44"/>
  <c r="E1604" i="44"/>
  <c r="C2233" i="44"/>
  <c r="C947" i="44"/>
  <c r="E540" i="44"/>
  <c r="C2314" i="44"/>
  <c r="H2498" i="44"/>
  <c r="C345" i="44"/>
  <c r="E675" i="44"/>
  <c r="H2307" i="44"/>
  <c r="E444" i="44"/>
  <c r="K1134" i="44"/>
  <c r="E3032" i="44"/>
  <c r="C2855" i="44"/>
  <c r="C1619" i="44"/>
  <c r="E2965" i="44"/>
  <c r="C1911" i="44"/>
  <c r="C931" i="44"/>
  <c r="H2322" i="44"/>
  <c r="E464" i="44"/>
  <c r="E1080" i="44"/>
  <c r="C2666" i="44"/>
  <c r="C825" i="44"/>
  <c r="E1551" i="44"/>
  <c r="E550" i="44"/>
  <c r="C2178" i="44"/>
  <c r="C1021" i="44"/>
  <c r="E62" i="44"/>
  <c r="H2348" i="44"/>
  <c r="E446" i="44"/>
  <c r="C1602" i="44"/>
  <c r="C2497" i="44"/>
  <c r="C1981" i="44"/>
  <c r="H3006" i="44"/>
  <c r="C18" i="44"/>
  <c r="C3393" i="44"/>
  <c r="C1606" i="44"/>
  <c r="E2371" i="44"/>
  <c r="E463" i="44"/>
  <c r="E2630" i="44"/>
  <c r="C2163" i="44"/>
  <c r="C2696" i="44"/>
  <c r="E338" i="44"/>
  <c r="H1619" i="44"/>
  <c r="C1972" i="44"/>
  <c r="H2575" i="44"/>
  <c r="E2064" i="44"/>
  <c r="C2065" i="44"/>
  <c r="E2323" i="44"/>
  <c r="C2427" i="44"/>
  <c r="E1885" i="44"/>
  <c r="C2568" i="44"/>
  <c r="C2317" i="44"/>
  <c r="C2199" i="44"/>
  <c r="I2687" i="44"/>
  <c r="E475" i="44"/>
  <c r="E2234" i="44"/>
  <c r="C2225" i="44"/>
  <c r="H2630" i="44"/>
  <c r="H1927" i="44"/>
  <c r="H2789" i="44"/>
  <c r="C2291" i="44"/>
  <c r="C843" i="44"/>
  <c r="C1978" i="44"/>
  <c r="E2803" i="44"/>
  <c r="C724" i="44"/>
  <c r="E2276" i="44"/>
  <c r="E2158" i="44"/>
  <c r="C537" i="44"/>
  <c r="H2304" i="44"/>
  <c r="H2759" i="44"/>
  <c r="C1738" i="44"/>
  <c r="C2996" i="44"/>
  <c r="H1843" i="44"/>
  <c r="H2360" i="44"/>
  <c r="C871" i="44"/>
  <c r="C2126" i="44"/>
  <c r="E3002" i="44"/>
  <c r="E2035" i="44"/>
  <c r="E611" i="44"/>
  <c r="H2115" i="44"/>
  <c r="H2679" i="44"/>
  <c r="C2366" i="44"/>
  <c r="H2237" i="44"/>
  <c r="H2371" i="44"/>
  <c r="E1872" i="44"/>
  <c r="E2186" i="44"/>
  <c r="C1905" i="44"/>
  <c r="E2282" i="44"/>
  <c r="E572" i="44"/>
  <c r="E2594" i="44"/>
  <c r="E263" i="44"/>
  <c r="C2500" i="44"/>
  <c r="E2924" i="44"/>
  <c r="H170" i="44"/>
  <c r="C1025" i="44"/>
  <c r="C2704" i="44"/>
  <c r="H2099" i="44"/>
  <c r="H1878" i="44"/>
  <c r="E2525" i="44"/>
  <c r="E2468" i="44"/>
  <c r="I2831" i="44"/>
  <c r="H2403" i="44"/>
  <c r="C939" i="44"/>
  <c r="E717" i="44"/>
  <c r="H3100" i="44"/>
  <c r="H1833" i="44"/>
  <c r="E3050" i="44"/>
  <c r="C2302" i="44"/>
  <c r="C1748" i="44"/>
  <c r="H1928" i="44"/>
  <c r="H3025" i="44"/>
  <c r="C1622" i="44"/>
  <c r="E2853" i="44"/>
  <c r="E2301" i="44"/>
  <c r="E666" i="44"/>
  <c r="C2298" i="44"/>
  <c r="C626" i="44"/>
  <c r="C2171" i="44"/>
  <c r="C1617" i="44"/>
  <c r="H1628" i="44"/>
  <c r="E2483" i="44"/>
  <c r="E3102" i="44"/>
  <c r="H1765" i="44"/>
  <c r="H1997" i="44"/>
  <c r="C1916" i="44"/>
  <c r="H2884" i="44"/>
  <c r="C2772" i="44"/>
  <c r="H1920" i="44"/>
  <c r="E2637" i="44"/>
  <c r="E221" i="44"/>
  <c r="E3043" i="44"/>
  <c r="E1714" i="44"/>
  <c r="C824" i="44"/>
  <c r="E2686" i="44"/>
  <c r="E2611" i="44"/>
  <c r="E2297" i="44"/>
  <c r="E536" i="44"/>
  <c r="E2336" i="44"/>
  <c r="C59" i="44"/>
  <c r="C2503" i="44"/>
  <c r="E635" i="44"/>
  <c r="E2172" i="44"/>
  <c r="E2565" i="44"/>
  <c r="E2583" i="44"/>
  <c r="E2835" i="44"/>
  <c r="H1882" i="44"/>
  <c r="E2899" i="44"/>
  <c r="E521" i="44"/>
  <c r="C3435" i="44"/>
  <c r="E1972" i="44"/>
  <c r="C104" i="44"/>
  <c r="C354" i="44"/>
  <c r="E1786" i="44"/>
  <c r="H2104" i="44"/>
  <c r="H2346" i="44"/>
  <c r="E1035" i="44"/>
  <c r="C2969" i="44"/>
  <c r="H2268" i="44"/>
  <c r="H2044" i="44"/>
  <c r="E370" i="44"/>
  <c r="E1880" i="44"/>
  <c r="C1739" i="44"/>
  <c r="E624" i="44"/>
  <c r="C3018" i="44"/>
  <c r="H2486" i="44"/>
  <c r="H1737" i="44"/>
  <c r="C2532" i="44"/>
  <c r="H3005" i="44"/>
  <c r="H2039" i="44"/>
  <c r="C1842" i="44"/>
  <c r="E905" i="44"/>
  <c r="H2584" i="44"/>
  <c r="E639" i="44"/>
  <c r="E2653" i="44"/>
  <c r="E2951" i="44"/>
  <c r="C60" i="44"/>
  <c r="H1796" i="44"/>
  <c r="C874" i="44"/>
  <c r="E2405" i="44"/>
  <c r="C2149" i="44"/>
  <c r="E1878" i="44"/>
  <c r="I2879" i="44"/>
  <c r="C3430" i="44"/>
  <c r="H1662" i="44"/>
  <c r="C3067" i="44"/>
  <c r="I1951" i="44"/>
  <c r="E622" i="44"/>
  <c r="H927" i="44"/>
  <c r="I1663" i="44"/>
  <c r="C2097" i="44"/>
  <c r="E2871" i="44"/>
  <c r="E1927" i="44"/>
  <c r="C2221" i="44"/>
  <c r="E2968" i="44"/>
  <c r="H2042" i="44"/>
  <c r="C9" i="44"/>
  <c r="C1778" i="44"/>
  <c r="C2745" i="44"/>
  <c r="C2444" i="44"/>
  <c r="C1812" i="44"/>
  <c r="C910" i="44"/>
  <c r="E985" i="44"/>
  <c r="C2327" i="44"/>
  <c r="E1541" i="44"/>
  <c r="C432" i="44"/>
  <c r="E1636" i="44"/>
  <c r="C1742" i="44"/>
  <c r="H2757" i="44"/>
  <c r="H3160" i="44"/>
  <c r="H2079" i="44"/>
  <c r="H1895" i="44"/>
  <c r="E567" i="44"/>
  <c r="C2229" i="44"/>
  <c r="E3400" i="44"/>
  <c r="C3152" i="44"/>
  <c r="E2832" i="44"/>
  <c r="H2601" i="44"/>
  <c r="H2736" i="44"/>
  <c r="E2174" i="44"/>
  <c r="H1937" i="44"/>
  <c r="C2659" i="44"/>
  <c r="E2550" i="44"/>
  <c r="C2402" i="44"/>
  <c r="E2743" i="44"/>
  <c r="E2379" i="44"/>
  <c r="C636" i="44"/>
  <c r="C2051" i="44"/>
  <c r="C8" i="44"/>
  <c r="H3155" i="44"/>
  <c r="E55" i="44"/>
  <c r="E1737" i="44"/>
  <c r="H2889" i="44"/>
  <c r="H2191" i="44"/>
  <c r="E537" i="44"/>
  <c r="C2669" i="44"/>
  <c r="C2721" i="44"/>
  <c r="C996" i="44"/>
  <c r="C1666" i="44"/>
  <c r="H2491" i="44"/>
  <c r="H2717" i="44"/>
  <c r="C1814" i="44"/>
  <c r="C2435" i="44"/>
  <c r="C410" i="44"/>
  <c r="C2077" i="44"/>
  <c r="E1892" i="44"/>
  <c r="E2859" i="44"/>
  <c r="H2523" i="44"/>
  <c r="H3012" i="44"/>
  <c r="H1837" i="44"/>
  <c r="C2053" i="44"/>
  <c r="C1786" i="44"/>
  <c r="C3447" i="44"/>
  <c r="C431" i="44"/>
  <c r="H2292" i="44"/>
  <c r="I184" i="44"/>
  <c r="E96" i="44"/>
  <c r="H2396" i="44"/>
  <c r="C1136" i="44"/>
  <c r="C2584" i="44"/>
  <c r="C1677" i="44"/>
  <c r="C2236" i="44"/>
  <c r="C313" i="44"/>
  <c r="H2024" i="44"/>
  <c r="E685" i="44"/>
  <c r="E1539" i="44"/>
  <c r="H3094" i="44"/>
  <c r="E829" i="44"/>
  <c r="H2731" i="44"/>
  <c r="C417" i="44"/>
  <c r="E1797" i="44"/>
  <c r="H973" i="44"/>
  <c r="C608" i="44"/>
  <c r="C3162" i="44"/>
  <c r="E1906" i="44"/>
  <c r="E3094" i="44"/>
  <c r="C704" i="44"/>
  <c r="C2706" i="44"/>
  <c r="H2251" i="44"/>
  <c r="H2456" i="44"/>
  <c r="E2842" i="44"/>
  <c r="H2277" i="44"/>
  <c r="H2977" i="44"/>
  <c r="H2953" i="44"/>
  <c r="E2069" i="44"/>
  <c r="C3415" i="44"/>
  <c r="I176" i="44"/>
  <c r="C330" i="44"/>
  <c r="E2070" i="44"/>
  <c r="C2082" i="44"/>
  <c r="H2813" i="44"/>
  <c r="C979" i="44"/>
  <c r="H1904" i="44"/>
  <c r="E2426" i="44"/>
  <c r="H2525" i="44"/>
  <c r="C2024" i="44"/>
  <c r="H3027" i="44"/>
  <c r="E496" i="44"/>
  <c r="C702" i="44"/>
  <c r="C2684" i="44"/>
  <c r="H1983" i="44"/>
  <c r="C754" i="44"/>
  <c r="E560" i="44"/>
  <c r="E2217" i="44"/>
  <c r="C386" i="44"/>
  <c r="C1004" i="44"/>
  <c r="C971" i="44"/>
  <c r="E1815" i="44"/>
  <c r="C1753" i="44"/>
  <c r="H2591" i="44"/>
  <c r="C583" i="44"/>
  <c r="C3088" i="44"/>
  <c r="E2168" i="44"/>
  <c r="E2420" i="44"/>
  <c r="C3001" i="44"/>
  <c r="H978" i="44"/>
  <c r="J1135" i="44"/>
  <c r="C829" i="44"/>
  <c r="E2423" i="44"/>
  <c r="H2761" i="44"/>
  <c r="C357" i="44"/>
  <c r="E301" i="44"/>
  <c r="E1626" i="44"/>
  <c r="E2311" i="44"/>
  <c r="H2616" i="44"/>
  <c r="C575" i="44"/>
  <c r="E2492" i="44"/>
  <c r="E987" i="44"/>
  <c r="C854" i="44"/>
  <c r="H936" i="44"/>
  <c r="H2642" i="44"/>
  <c r="H1863" i="44"/>
  <c r="E3387" i="44"/>
  <c r="E2486" i="44"/>
  <c r="H1915" i="44"/>
  <c r="E2177" i="44"/>
  <c r="C3437" i="44"/>
  <c r="H1617" i="44"/>
  <c r="E362" i="44"/>
  <c r="H2845" i="44"/>
  <c r="E2339" i="44"/>
  <c r="H2592" i="44"/>
  <c r="E2164" i="44"/>
  <c r="H1914" i="44"/>
  <c r="C890" i="44"/>
  <c r="E720" i="44"/>
  <c r="E1940" i="44"/>
  <c r="C2749" i="44"/>
  <c r="C484" i="44"/>
  <c r="H2812" i="44"/>
  <c r="E951" i="44"/>
  <c r="E538" i="44"/>
  <c r="E3148" i="44"/>
  <c r="C980" i="44"/>
  <c r="E1635" i="44"/>
  <c r="E13" i="44"/>
  <c r="C2278" i="44"/>
  <c r="C3058" i="44"/>
  <c r="C1548" i="44"/>
  <c r="I1935" i="44"/>
  <c r="E2088" i="44"/>
  <c r="C2833" i="44"/>
  <c r="C2378" i="44"/>
  <c r="H2266" i="44"/>
  <c r="C1763" i="44"/>
  <c r="H1856" i="44"/>
  <c r="E323" i="44"/>
  <c r="C893" i="44"/>
  <c r="E2901" i="44"/>
  <c r="E1019" i="44"/>
  <c r="H2769" i="44"/>
  <c r="H1603" i="44"/>
  <c r="H2230" i="44"/>
  <c r="I2223" i="44"/>
  <c r="C697" i="44"/>
  <c r="C1511" i="44"/>
  <c r="I200" i="44"/>
  <c r="C332" i="44"/>
  <c r="I2431" i="44"/>
  <c r="E2680" i="44"/>
  <c r="E400" i="44"/>
  <c r="E1069" i="44"/>
  <c r="H1794" i="44"/>
  <c r="H3055" i="44"/>
  <c r="E2366" i="44"/>
  <c r="E2581" i="44"/>
  <c r="C2924" i="44"/>
  <c r="H2326" i="44"/>
  <c r="E1638" i="44"/>
  <c r="C117" i="44"/>
  <c r="C1807" i="44"/>
  <c r="E1527" i="44"/>
  <c r="E1623" i="44"/>
  <c r="E1830" i="44"/>
  <c r="H3108" i="44"/>
  <c r="E1811" i="44"/>
  <c r="E1949" i="44"/>
  <c r="C2737" i="44"/>
  <c r="H3125" i="44"/>
  <c r="E1782" i="44"/>
  <c r="H1690" i="44"/>
  <c r="H2179" i="44"/>
  <c r="C981" i="44"/>
  <c r="K1137" i="44"/>
  <c r="E1905" i="44"/>
  <c r="E266" i="44"/>
  <c r="C1530" i="44"/>
  <c r="E1607" i="44"/>
  <c r="E1911" i="44"/>
  <c r="E229" i="44"/>
  <c r="E2406" i="44"/>
  <c r="E1987" i="44"/>
  <c r="C610" i="44"/>
  <c r="E1083" i="44"/>
  <c r="E3115" i="44"/>
  <c r="C376" i="44"/>
  <c r="H2574" i="44"/>
  <c r="C2509" i="44"/>
  <c r="C1543" i="44"/>
  <c r="I2111" i="44"/>
  <c r="H2702" i="44"/>
  <c r="H2317" i="44"/>
  <c r="H2606" i="44"/>
  <c r="E1652" i="44"/>
  <c r="E1602" i="44"/>
  <c r="C2889" i="44"/>
  <c r="E626" i="44"/>
  <c r="E394" i="44"/>
  <c r="C2304" i="44"/>
  <c r="H2163" i="44"/>
  <c r="C2129" i="44"/>
  <c r="E252" i="44"/>
  <c r="C2391" i="44"/>
  <c r="C1840" i="44"/>
  <c r="H2275" i="44"/>
  <c r="H1973" i="44"/>
  <c r="C2935" i="44"/>
  <c r="E3390" i="44"/>
  <c r="E2045" i="44"/>
  <c r="E476" i="44"/>
  <c r="E1533" i="44"/>
  <c r="H2413" i="44"/>
  <c r="H2772" i="44"/>
  <c r="C550" i="44"/>
  <c r="E1909" i="44"/>
  <c r="H3008" i="44"/>
  <c r="E337" i="44"/>
  <c r="E1086" i="44"/>
  <c r="I2735" i="44"/>
  <c r="C2782" i="44"/>
  <c r="E606" i="44"/>
  <c r="I164" i="44"/>
  <c r="E3434" i="44"/>
  <c r="E2695" i="44"/>
  <c r="C770" i="44"/>
  <c r="H1748" i="44"/>
  <c r="E2864" i="44"/>
  <c r="H2172" i="44"/>
  <c r="E1661" i="44"/>
  <c r="E656" i="44"/>
  <c r="H2590" i="44"/>
  <c r="C613" i="44"/>
  <c r="H2134" i="44"/>
  <c r="E342" i="44"/>
  <c r="C2620" i="44"/>
  <c r="H2939" i="44"/>
  <c r="H2437" i="44"/>
  <c r="H1679" i="44"/>
  <c r="H1976" i="44"/>
  <c r="C3082" i="44"/>
  <c r="E804" i="44"/>
  <c r="C140" i="44"/>
  <c r="H2010" i="44"/>
  <c r="C2973" i="44"/>
  <c r="E2185" i="44"/>
  <c r="C2191" i="44"/>
  <c r="C2965" i="44"/>
  <c r="H1870" i="44"/>
  <c r="C3157" i="44"/>
  <c r="E640" i="44"/>
  <c r="C3381" i="44"/>
  <c r="H1598" i="44"/>
  <c r="E1847" i="44"/>
  <c r="E3375" i="44"/>
  <c r="E120" i="44"/>
  <c r="H3133" i="44"/>
  <c r="C359" i="44"/>
  <c r="E3391" i="44"/>
  <c r="C58" i="44"/>
  <c r="C1971" i="44"/>
  <c r="E2964" i="44"/>
  <c r="E356" i="44"/>
  <c r="E451" i="44"/>
  <c r="C1057" i="44"/>
  <c r="C2947" i="44"/>
  <c r="C419" i="44"/>
  <c r="C3149" i="44"/>
  <c r="H2318" i="44"/>
  <c r="C2468" i="44"/>
  <c r="C1660" i="44"/>
  <c r="C1032" i="44"/>
  <c r="C2164" i="44"/>
  <c r="E889" i="44"/>
  <c r="E2404" i="44"/>
  <c r="E505" i="44"/>
  <c r="C889" i="44"/>
  <c r="C1718" i="44"/>
  <c r="H2296" i="44"/>
  <c r="C488" i="44"/>
  <c r="E1094" i="44"/>
  <c r="C936" i="44"/>
  <c r="E381" i="44"/>
  <c r="C2680" i="44"/>
  <c r="E2979" i="44"/>
  <c r="E2910" i="44"/>
  <c r="C664" i="44"/>
  <c r="I2271" i="44"/>
  <c r="H2377" i="44"/>
  <c r="I1871" i="44"/>
  <c r="H1806" i="44"/>
  <c r="E1650" i="44"/>
  <c r="E3005" i="44"/>
  <c r="E792" i="44"/>
  <c r="E469" i="44"/>
  <c r="E636" i="44"/>
  <c r="H1912" i="44"/>
  <c r="C2938" i="44"/>
  <c r="C401" i="44"/>
  <c r="E1692" i="44"/>
  <c r="C2887" i="44"/>
  <c r="C1534" i="44"/>
  <c r="E1681" i="44"/>
  <c r="C785" i="44"/>
  <c r="E2213" i="44"/>
  <c r="H3126" i="44"/>
  <c r="C2603" i="44"/>
  <c r="E2903" i="44"/>
  <c r="E1924" i="44"/>
  <c r="C603" i="44"/>
  <c r="E65" i="44"/>
  <c r="H1717" i="44"/>
  <c r="H2131" i="44"/>
  <c r="H2380" i="44"/>
  <c r="C647" i="44"/>
  <c r="E1033" i="44"/>
  <c r="C3406" i="44"/>
  <c r="E904" i="44"/>
  <c r="H1728" i="44"/>
  <c r="H2923" i="44"/>
  <c r="E574" i="44"/>
  <c r="E2210" i="44"/>
  <c r="C3412" i="44"/>
  <c r="E1735" i="44"/>
  <c r="E2613" i="44"/>
  <c r="E1752" i="44"/>
  <c r="C2036" i="44"/>
  <c r="E3443" i="44"/>
  <c r="H2267" i="44"/>
  <c r="C1036" i="44"/>
  <c r="H1730" i="44"/>
  <c r="C2373" i="44"/>
  <c r="H2867" i="44"/>
  <c r="H2750" i="44"/>
  <c r="E1658" i="44"/>
  <c r="H1674" i="44"/>
  <c r="C242" i="44"/>
  <c r="C222" i="44"/>
  <c r="C2432" i="44"/>
  <c r="C1696" i="44"/>
  <c r="H2646" i="44"/>
  <c r="H2671" i="44"/>
  <c r="H2465" i="44"/>
  <c r="C2140" i="44"/>
  <c r="H2235" i="44"/>
  <c r="C2905" i="44"/>
  <c r="C1046" i="44"/>
  <c r="C2196" i="44"/>
  <c r="H1816" i="44"/>
  <c r="E815" i="44"/>
  <c r="E2422" i="44"/>
  <c r="E73" i="44"/>
  <c r="C3045" i="44"/>
  <c r="E2566" i="44"/>
  <c r="E1009" i="44"/>
  <c r="H3075" i="44"/>
  <c r="E1891" i="44"/>
  <c r="E876" i="44"/>
  <c r="C789" i="44"/>
  <c r="E770" i="44"/>
  <c r="C601" i="44"/>
  <c r="C15" i="44"/>
  <c r="E1746" i="44"/>
  <c r="E528" i="44"/>
  <c r="H970" i="44"/>
  <c r="C2951" i="44"/>
  <c r="E1801" i="44"/>
  <c r="C1662" i="44"/>
  <c r="E3083" i="44"/>
  <c r="E2953" i="44"/>
  <c r="E331" i="44"/>
  <c r="E2692" i="44"/>
  <c r="E2444" i="44"/>
  <c r="E2125" i="44"/>
  <c r="C1833" i="44"/>
  <c r="C3425" i="44"/>
  <c r="H2658" i="44"/>
  <c r="I2543" i="44"/>
  <c r="C2631" i="44"/>
  <c r="D101" i="3"/>
  <c r="C2240" i="44"/>
  <c r="C2531" i="44"/>
  <c r="C1918" i="44"/>
  <c r="E1645" i="44"/>
  <c r="C2250" i="44"/>
  <c r="E24" i="44"/>
  <c r="C2543" i="44"/>
  <c r="H2682" i="44"/>
  <c r="E354" i="44"/>
  <c r="H2514" i="44"/>
  <c r="C349" i="44"/>
  <c r="E2940" i="44"/>
  <c r="H1797" i="44"/>
  <c r="E2558" i="44"/>
  <c r="C728" i="44"/>
  <c r="C2121" i="44"/>
  <c r="E2170" i="44"/>
  <c r="H2340" i="44"/>
  <c r="H2861" i="44"/>
  <c r="H1964" i="44"/>
  <c r="H3003" i="44"/>
  <c r="H2354" i="44"/>
  <c r="C2901" i="44"/>
  <c r="C581" i="44"/>
  <c r="C2159" i="44"/>
  <c r="E2433" i="44"/>
  <c r="C3084" i="44"/>
  <c r="H2067" i="44"/>
  <c r="E3084" i="44"/>
  <c r="C1005" i="44"/>
  <c r="C2764" i="44"/>
  <c r="H2284" i="44"/>
  <c r="E21" i="44"/>
  <c r="C2473" i="44"/>
  <c r="C2618" i="44"/>
  <c r="C2877" i="44"/>
  <c r="H1774" i="44"/>
  <c r="E2368" i="44"/>
  <c r="C978" i="44"/>
  <c r="H2505" i="44"/>
  <c r="H1624" i="44"/>
  <c r="E3038" i="44"/>
  <c r="H1951" i="44"/>
  <c r="E783" i="44"/>
  <c r="E2758" i="44"/>
  <c r="H2706" i="44"/>
  <c r="C3075" i="44"/>
  <c r="H198" i="44"/>
  <c r="C2120" i="44"/>
  <c r="C1524" i="44"/>
  <c r="E2971" i="44"/>
  <c r="C473" i="44"/>
  <c r="E3093" i="44"/>
  <c r="E1954" i="44"/>
  <c r="C2341" i="44"/>
  <c r="C2326" i="44"/>
  <c r="C2491" i="44"/>
  <c r="C2551" i="44"/>
  <c r="C2175" i="44"/>
  <c r="E808" i="44"/>
  <c r="H1905" i="44"/>
  <c r="C2677" i="44"/>
  <c r="H2253" i="44"/>
  <c r="E3018" i="44"/>
  <c r="H1940" i="44"/>
  <c r="E1030" i="44"/>
  <c r="E749" i="44"/>
  <c r="C3440" i="44"/>
  <c r="C820" i="44"/>
  <c r="E2456" i="44"/>
  <c r="H2165" i="44"/>
  <c r="C2116" i="44"/>
  <c r="H2863" i="44"/>
  <c r="E107" i="44"/>
  <c r="C2920" i="44"/>
  <c r="C2708" i="44"/>
  <c r="C944" i="44"/>
  <c r="H2833" i="44"/>
  <c r="E269" i="44"/>
  <c r="C447" i="44"/>
  <c r="C2091" i="44"/>
  <c r="I162" i="44"/>
  <c r="H2031" i="44"/>
  <c r="H2824" i="44"/>
  <c r="E3378" i="44"/>
  <c r="C378" i="44"/>
  <c r="H2200" i="44"/>
  <c r="C1816" i="44"/>
  <c r="C1555" i="44"/>
  <c r="E2200" i="44"/>
  <c r="C3436" i="44"/>
  <c r="H1702" i="44"/>
  <c r="C584" i="44"/>
  <c r="C5" i="44"/>
  <c r="E1976" i="44"/>
  <c r="C1975" i="44"/>
  <c r="E807" i="44"/>
  <c r="C653" i="44"/>
  <c r="E2673" i="44"/>
  <c r="C2589" i="44"/>
  <c r="E332" i="44"/>
  <c r="C2597" i="44"/>
  <c r="C2748" i="44"/>
  <c r="C143" i="44"/>
  <c r="C2817" i="44"/>
  <c r="C941" i="44"/>
  <c r="H2975" i="44"/>
  <c r="C1857" i="44"/>
  <c r="E621" i="44"/>
  <c r="C2463" i="44"/>
  <c r="H1955" i="44"/>
  <c r="E162" i="44"/>
  <c r="C512" i="44"/>
  <c r="C2581" i="44"/>
  <c r="C1667" i="44"/>
  <c r="C1692" i="44"/>
  <c r="C2979" i="44"/>
  <c r="E1989" i="44"/>
  <c r="H2139" i="44"/>
  <c r="H2823" i="44"/>
  <c r="C72" i="44"/>
  <c r="C2674" i="44"/>
  <c r="C580" i="44"/>
  <c r="C492" i="44"/>
  <c r="E723" i="44"/>
  <c r="E2284" i="44"/>
  <c r="E1763" i="44"/>
  <c r="E2976" i="44"/>
  <c r="C2345" i="44"/>
  <c r="E2289" i="44"/>
  <c r="E2861" i="44"/>
  <c r="E938" i="44"/>
  <c r="C2866" i="44"/>
  <c r="E3121" i="44"/>
  <c r="C579" i="44"/>
  <c r="C2845" i="44"/>
  <c r="E727" i="44"/>
  <c r="C2510" i="44"/>
  <c r="C1790" i="44"/>
  <c r="H3099" i="44"/>
  <c r="C2913" i="44"/>
  <c r="H3101" i="44"/>
  <c r="H1660" i="44"/>
  <c r="C2062" i="44"/>
  <c r="H2106" i="44"/>
  <c r="C513" i="44"/>
  <c r="H2110" i="44"/>
  <c r="C1898" i="44"/>
  <c r="C377" i="44"/>
  <c r="E489" i="44"/>
  <c r="E2376" i="44"/>
  <c r="H3146" i="44"/>
  <c r="C812" i="44"/>
  <c r="C1859" i="44"/>
  <c r="H2006" i="44"/>
  <c r="H1772" i="44"/>
  <c r="C2138" i="44"/>
  <c r="E2299" i="44"/>
  <c r="E2432" i="44"/>
  <c r="E395" i="44"/>
  <c r="E1803" i="44"/>
  <c r="E1671" i="44"/>
  <c r="E1041" i="44"/>
  <c r="C1806" i="44"/>
  <c r="H3077" i="44"/>
  <c r="H1899" i="44"/>
  <c r="E1003" i="44"/>
  <c r="E3095" i="44"/>
  <c r="C311" i="44"/>
  <c r="E2028" i="44"/>
  <c r="H2310" i="44"/>
  <c r="E2828" i="44"/>
  <c r="E2482" i="44"/>
  <c r="H2562" i="44"/>
  <c r="E2187" i="44"/>
  <c r="C389" i="44"/>
  <c r="H1693" i="44"/>
  <c r="E1665" i="44"/>
  <c r="C2791" i="44"/>
  <c r="H2727" i="44"/>
  <c r="C888" i="44"/>
  <c r="E104" i="44"/>
  <c r="E2988" i="44"/>
  <c r="C2720" i="44"/>
  <c r="C3091" i="44"/>
  <c r="E2588" i="44"/>
  <c r="C66" i="44"/>
  <c r="H2280" i="44"/>
  <c r="E653" i="44"/>
  <c r="H2101" i="44"/>
  <c r="C440" i="44"/>
  <c r="H1705" i="44"/>
  <c r="C2386" i="44"/>
  <c r="E2112" i="44"/>
  <c r="H1590" i="44"/>
  <c r="H1653" i="44"/>
  <c r="E1893" i="44"/>
  <c r="H1960" i="44"/>
  <c r="C2922" i="44"/>
  <c r="E2956" i="44"/>
  <c r="H2722" i="44"/>
  <c r="E2616" i="44"/>
  <c r="E1729" i="44"/>
  <c r="E1606" i="44"/>
  <c r="E138" i="44"/>
  <c r="E3435" i="44"/>
  <c r="C2403" i="44"/>
  <c r="I2287" i="44"/>
  <c r="E707" i="44"/>
  <c r="E1005" i="44"/>
  <c r="H3123" i="44"/>
  <c r="H2442" i="44"/>
  <c r="E1848" i="44"/>
  <c r="E995" i="44"/>
  <c r="C800" i="44"/>
  <c r="E672" i="44"/>
  <c r="E3395" i="44"/>
  <c r="C2114" i="44"/>
  <c r="H2686" i="44"/>
  <c r="E2115" i="44"/>
  <c r="E789" i="44"/>
  <c r="C1531" i="44"/>
  <c r="E2327" i="44"/>
  <c r="C2349" i="44"/>
  <c r="C413" i="44"/>
  <c r="E2555" i="44"/>
  <c r="H2756" i="44"/>
  <c r="C2087" i="44"/>
  <c r="E1637" i="44"/>
  <c r="E1998" i="44"/>
  <c r="C952" i="44"/>
  <c r="C2911" i="44"/>
  <c r="C2217" i="44"/>
  <c r="H2992" i="44"/>
  <c r="C2689" i="44"/>
  <c r="C384" i="44"/>
  <c r="C639" i="44"/>
  <c r="C2678" i="44"/>
  <c r="C2861" i="44"/>
  <c r="E225" i="44"/>
  <c r="C3111" i="44"/>
  <c r="C1920" i="44"/>
  <c r="E385" i="44"/>
  <c r="H2408" i="44"/>
  <c r="C3126" i="44"/>
  <c r="E2142" i="44"/>
  <c r="E316" i="44"/>
  <c r="E2241" i="44"/>
  <c r="E2222" i="44"/>
  <c r="E1942" i="44"/>
  <c r="E709" i="44"/>
  <c r="E884" i="44"/>
  <c r="H3139" i="44"/>
  <c r="H2368" i="44"/>
  <c r="E1918" i="44"/>
  <c r="E158" i="44"/>
  <c r="E849" i="44"/>
  <c r="C2694" i="44"/>
  <c r="C2988" i="44"/>
  <c r="C2953" i="44"/>
  <c r="C2523" i="44"/>
  <c r="E598" i="44"/>
  <c r="C3155" i="44"/>
  <c r="H2362" i="44"/>
  <c r="C328" i="44"/>
  <c r="C2423" i="44"/>
  <c r="E1985" i="44"/>
  <c r="E620" i="44"/>
  <c r="E2099" i="44"/>
  <c r="E1936" i="44"/>
  <c r="H1884" i="44"/>
  <c r="H2412" i="44"/>
  <c r="E1064" i="44"/>
  <c r="E1017" i="44"/>
  <c r="C831" i="44"/>
  <c r="E3157" i="44"/>
  <c r="E3041" i="44"/>
  <c r="C516" i="44"/>
  <c r="E695" i="44"/>
  <c r="H2294" i="44"/>
  <c r="E600" i="44"/>
  <c r="E2593" i="44"/>
  <c r="C3443" i="44"/>
  <c r="E477" i="44"/>
  <c r="H2370" i="44"/>
  <c r="H1588" i="44"/>
  <c r="H1969" i="44"/>
  <c r="E810" i="44"/>
  <c r="H2692" i="44"/>
  <c r="E302" i="44"/>
  <c r="H2128" i="44"/>
  <c r="C1514" i="44"/>
  <c r="C523" i="44"/>
  <c r="I2399" i="44"/>
  <c r="C1070" i="44"/>
  <c r="C1623" i="44"/>
  <c r="E1933" i="44"/>
  <c r="C3094" i="44"/>
  <c r="C3116" i="44"/>
  <c r="C2963" i="44"/>
  <c r="H2323" i="44"/>
  <c r="I148" i="44"/>
  <c r="H2220" i="44"/>
  <c r="C1037" i="44"/>
  <c r="C852" i="44"/>
  <c r="H2986" i="44"/>
  <c r="H2644" i="44"/>
  <c r="C2949" i="44"/>
  <c r="E798" i="44"/>
  <c r="E2230" i="44"/>
  <c r="E2759" i="44"/>
  <c r="C62" i="44"/>
  <c r="H2182" i="44"/>
  <c r="H2855" i="44"/>
  <c r="H2447" i="44"/>
  <c r="E2729" i="44"/>
  <c r="H2564" i="44"/>
  <c r="E2775" i="44"/>
  <c r="C2042" i="44"/>
  <c r="E1605" i="44"/>
  <c r="E2598" i="44"/>
  <c r="C3013" i="44"/>
  <c r="H1654" i="44"/>
  <c r="E1648" i="44"/>
  <c r="H3048" i="44"/>
  <c r="C2722" i="44"/>
  <c r="E1057" i="44"/>
  <c r="H3157" i="44"/>
  <c r="E2539" i="44"/>
  <c r="C1953" i="44"/>
  <c r="E1700" i="44"/>
  <c r="H2464" i="44"/>
  <c r="C2592" i="44"/>
  <c r="E822" i="44"/>
  <c r="C1765" i="44"/>
  <c r="I2015" i="44"/>
  <c r="H1864" i="44"/>
  <c r="H2379" i="44"/>
  <c r="E684" i="44"/>
  <c r="C2342" i="44"/>
  <c r="H1720" i="44"/>
  <c r="E2919" i="44"/>
  <c r="E3061" i="44"/>
  <c r="H2937" i="44"/>
  <c r="C2282" i="44"/>
  <c r="I1583" i="44"/>
  <c r="E935" i="44"/>
  <c r="H2522" i="44"/>
  <c r="E1836" i="44"/>
  <c r="E1760" i="44"/>
  <c r="C1940" i="44"/>
  <c r="C883" i="44"/>
  <c r="E2498" i="44"/>
  <c r="E2652" i="44"/>
  <c r="C355" i="44"/>
  <c r="E2929" i="44"/>
  <c r="E1515" i="44"/>
  <c r="C2798" i="44"/>
  <c r="C3390" i="44"/>
  <c r="C645" i="44"/>
  <c r="H1665" i="44"/>
  <c r="H2043" i="44"/>
  <c r="C2074" i="44"/>
  <c r="C472" i="44"/>
  <c r="C490" i="44"/>
  <c r="E1031" i="44"/>
  <c r="H2233" i="44"/>
  <c r="C628" i="44"/>
  <c r="C2415" i="44"/>
  <c r="C1798" i="44"/>
  <c r="E1925" i="44"/>
  <c r="E1934" i="44"/>
  <c r="H1610" i="44"/>
  <c r="E2705" i="44"/>
  <c r="C1641" i="44"/>
  <c r="E1750" i="44"/>
  <c r="E688" i="44"/>
  <c r="E1973" i="44"/>
  <c r="C897" i="44"/>
  <c r="E2152" i="44"/>
  <c r="C320" i="44"/>
  <c r="H3138" i="44"/>
  <c r="H1854" i="44"/>
  <c r="E1587" i="44"/>
  <c r="C866" i="44"/>
  <c r="C2356" i="44"/>
  <c r="C1956" i="44"/>
  <c r="E562" i="44"/>
  <c r="H2678" i="44"/>
  <c r="E2427" i="44"/>
  <c r="E1964" i="44"/>
  <c r="C1992" i="44"/>
  <c r="C1137" i="44"/>
  <c r="C2915" i="44"/>
  <c r="C426" i="44"/>
  <c r="E2840" i="44"/>
  <c r="C3407" i="44"/>
  <c r="E835" i="44"/>
  <c r="H2184" i="44"/>
  <c r="I2671" i="44"/>
  <c r="H2367" i="44"/>
  <c r="H2185" i="44"/>
  <c r="E3051" i="44"/>
  <c r="E2795" i="44"/>
  <c r="E418" i="44"/>
  <c r="E1548" i="44"/>
  <c r="C1031" i="44"/>
  <c r="E504" i="44"/>
  <c r="C1609" i="44"/>
  <c r="C2288" i="44"/>
  <c r="H2481" i="44"/>
  <c r="C1913" i="44"/>
  <c r="H2765" i="44"/>
  <c r="C2429" i="44"/>
  <c r="E2129" i="44"/>
  <c r="C2389" i="44"/>
  <c r="C2526" i="44"/>
  <c r="E558" i="44"/>
  <c r="C416" i="44"/>
  <c r="C2439" i="44"/>
  <c r="C1944" i="44"/>
  <c r="E2750" i="44"/>
  <c r="H2132" i="44"/>
  <c r="H1775" i="44"/>
  <c r="H1650" i="44"/>
  <c r="C3000" i="44"/>
  <c r="C397" i="44"/>
  <c r="C335" i="44"/>
  <c r="C2360" i="44"/>
  <c r="E2515" i="44"/>
  <c r="E732" i="44"/>
  <c r="C2320" i="44"/>
  <c r="E1907" i="44"/>
  <c r="H1768" i="44"/>
  <c r="E372" i="44"/>
  <c r="E2140" i="44"/>
  <c r="H2428" i="44"/>
  <c r="E2467" i="44"/>
  <c r="C1600" i="44"/>
  <c r="H1615" i="44"/>
  <c r="C804" i="44"/>
  <c r="C438" i="44"/>
  <c r="E2519" i="44"/>
  <c r="E2320" i="44"/>
  <c r="C771" i="44"/>
  <c r="E3376" i="44"/>
  <c r="E593" i="44"/>
  <c r="E1625" i="44"/>
  <c r="C2529" i="44"/>
  <c r="C2331" i="44"/>
  <c r="H2989" i="44"/>
  <c r="E2106" i="44"/>
  <c r="E520" i="44"/>
  <c r="C2061" i="44"/>
  <c r="C2026" i="44"/>
  <c r="C1080" i="44"/>
  <c r="E2625" i="44"/>
  <c r="H2599" i="44"/>
  <c r="H2108" i="44"/>
  <c r="C1860" i="44"/>
  <c r="E208" i="44"/>
  <c r="C1743" i="44"/>
  <c r="C3083" i="44"/>
  <c r="E1898" i="44"/>
  <c r="C2766" i="44"/>
  <c r="E2248" i="44"/>
  <c r="C549" i="44"/>
  <c r="C2505" i="44"/>
  <c r="E1049" i="44"/>
  <c r="C1651" i="44"/>
  <c r="C984" i="44"/>
  <c r="C350" i="44"/>
  <c r="C1989" i="44"/>
  <c r="C2107" i="44"/>
  <c r="H2034" i="44"/>
  <c r="H2202" i="44"/>
  <c r="C331" i="44"/>
  <c r="H2875" i="44"/>
  <c r="E3049" i="44"/>
  <c r="C2008" i="44"/>
  <c r="E2665" i="44"/>
  <c r="E1730" i="44"/>
  <c r="E800" i="44"/>
  <c r="H1589" i="44"/>
  <c r="E2249" i="44"/>
  <c r="E2745" i="44"/>
  <c r="C2820" i="44"/>
  <c r="E2938" i="44"/>
  <c r="H2611" i="44"/>
  <c r="E1038" i="44"/>
  <c r="H2091" i="44"/>
  <c r="E1597" i="44"/>
  <c r="E1943" i="44"/>
  <c r="E1913" i="44"/>
  <c r="E2493" i="44"/>
  <c r="E2961" i="44"/>
  <c r="E2007" i="44"/>
  <c r="E633" i="44"/>
  <c r="E253" i="44"/>
  <c r="E689" i="44"/>
  <c r="C997" i="44"/>
  <c r="H924" i="44"/>
  <c r="C2695" i="44"/>
  <c r="H2901" i="44"/>
  <c r="H2721" i="44"/>
  <c r="H2708" i="44"/>
  <c r="H2037" i="44"/>
  <c r="E912" i="44"/>
  <c r="E1699" i="44"/>
  <c r="H2169" i="44"/>
  <c r="E2972" i="44"/>
  <c r="E333" i="44"/>
  <c r="C2572" i="44"/>
  <c r="E2345" i="44"/>
  <c r="E2042" i="44"/>
  <c r="E825" i="44"/>
  <c r="E2516" i="44"/>
  <c r="C390" i="44"/>
  <c r="H2943" i="44"/>
  <c r="E641" i="44"/>
  <c r="H1871" i="44"/>
  <c r="C772" i="44"/>
  <c r="H2748" i="44"/>
  <c r="E1537" i="44"/>
  <c r="C2484" i="44"/>
  <c r="E1672" i="44"/>
  <c r="H2764" i="44"/>
  <c r="C2808" i="44"/>
  <c r="E1079" i="44"/>
  <c r="E1777" i="44"/>
  <c r="E2702" i="44"/>
  <c r="E775" i="44"/>
  <c r="C3154" i="44"/>
  <c r="E1641" i="44"/>
  <c r="C428" i="44"/>
  <c r="H2286" i="44"/>
  <c r="C3383" i="44"/>
  <c r="H2629" i="44"/>
  <c r="E2642" i="44"/>
  <c r="H1594" i="44"/>
  <c r="C1973" i="44"/>
  <c r="E580" i="44"/>
  <c r="H2826" i="44"/>
  <c r="E2113" i="44"/>
  <c r="E516" i="44"/>
  <c r="E971" i="44"/>
  <c r="C938" i="44"/>
  <c r="H2419" i="44"/>
  <c r="H2156" i="44"/>
  <c r="E597" i="44"/>
  <c r="H2463" i="44"/>
  <c r="C2094" i="44"/>
  <c r="H923" i="44"/>
  <c r="E2033" i="44"/>
  <c r="C2155" i="44"/>
  <c r="H2915" i="44"/>
  <c r="C894" i="44"/>
  <c r="E164" i="44"/>
  <c r="I3119" i="44"/>
  <c r="C1082" i="44"/>
  <c r="E1771" i="44"/>
  <c r="C139" i="44"/>
  <c r="C1033" i="44"/>
  <c r="C2245" i="44"/>
  <c r="E2132" i="44"/>
  <c r="C2574" i="44"/>
  <c r="H2439" i="44"/>
  <c r="C838" i="44"/>
  <c r="E2727" i="44"/>
  <c r="H2534" i="44"/>
  <c r="E2279" i="44"/>
  <c r="C3068" i="44"/>
  <c r="C567" i="44"/>
  <c r="H2471" i="44"/>
  <c r="C2483" i="44"/>
  <c r="C2640" i="44"/>
  <c r="E1904" i="44"/>
  <c r="H1879" i="44"/>
  <c r="C2665" i="44"/>
  <c r="I2383" i="44"/>
  <c r="H1721" i="44"/>
  <c r="C2907" i="44"/>
  <c r="C857" i="44"/>
  <c r="C2873" i="44"/>
  <c r="C711" i="44"/>
  <c r="H2997" i="44"/>
  <c r="C576" i="44"/>
  <c r="I2767" i="44"/>
  <c r="E2214" i="44"/>
  <c r="C832" i="44"/>
  <c r="E754" i="44"/>
  <c r="C834" i="44"/>
  <c r="H158" i="44"/>
  <c r="C1652" i="44"/>
  <c r="H3050" i="44"/>
  <c r="E276" i="44"/>
  <c r="E2597" i="44"/>
  <c r="E2410" i="44"/>
  <c r="E1596" i="44"/>
  <c r="H2311" i="44"/>
  <c r="H1820" i="44"/>
  <c r="E533" i="44"/>
  <c r="E3137" i="44"/>
  <c r="I2991" i="44"/>
  <c r="H1611" i="44"/>
  <c r="H2580" i="44"/>
  <c r="H2003" i="44"/>
  <c r="H1606" i="44"/>
  <c r="E554" i="44"/>
  <c r="E772" i="44"/>
  <c r="C688" i="44"/>
  <c r="E1656" i="44"/>
  <c r="H2643" i="44"/>
  <c r="C842" i="44"/>
  <c r="E3436" i="44"/>
  <c r="C533" i="44"/>
  <c r="H1906" i="44"/>
  <c r="H2293" i="44"/>
  <c r="C3145" i="44"/>
  <c r="H2837" i="44"/>
  <c r="E2408" i="44"/>
  <c r="C2634" i="44"/>
  <c r="E2118" i="44"/>
  <c r="E2974" i="44"/>
  <c r="E3125" i="44"/>
  <c r="C1512" i="44"/>
  <c r="H1952" i="44"/>
  <c r="E2677" i="44"/>
  <c r="C1839" i="44"/>
  <c r="E818" i="44"/>
  <c r="E2242" i="44"/>
  <c r="H2777" i="44"/>
  <c r="E996" i="44"/>
  <c r="E1054" i="44"/>
  <c r="E2721" i="44"/>
  <c r="H1957" i="44"/>
  <c r="E471" i="44"/>
  <c r="C305" i="44"/>
  <c r="C2515" i="44"/>
  <c r="E2295" i="44"/>
  <c r="C2934" i="44"/>
  <c r="C2210" i="44"/>
  <c r="C2656" i="44"/>
  <c r="C2555" i="44"/>
  <c r="C3010" i="44"/>
  <c r="E1525" i="44"/>
  <c r="C2777" i="44"/>
  <c r="E564" i="44"/>
  <c r="H2741" i="44"/>
  <c r="H2648" i="44"/>
  <c r="E1837" i="44"/>
  <c r="E3423" i="44"/>
  <c r="E2032" i="44"/>
  <c r="E2822" i="44"/>
  <c r="C2601" i="44"/>
  <c r="E2585" i="44"/>
  <c r="E2633" i="44"/>
  <c r="C2223" i="44"/>
  <c r="C2362" i="44"/>
  <c r="C2318" i="44"/>
  <c r="C3135" i="44"/>
  <c r="H1814" i="44"/>
  <c r="C1983" i="44"/>
  <c r="E1742" i="44"/>
  <c r="C520" i="44"/>
  <c r="E2145" i="44"/>
  <c r="C884" i="44"/>
  <c r="H2273" i="44"/>
  <c r="C374" i="44"/>
  <c r="E721" i="44"/>
  <c r="H2260" i="44"/>
  <c r="H3166" i="44"/>
  <c r="C530" i="44"/>
  <c r="E2226" i="44"/>
  <c r="E2601" i="44"/>
  <c r="E1601" i="44"/>
  <c r="C3151" i="44"/>
  <c r="C367" i="44"/>
  <c r="E2090" i="44"/>
  <c r="H3091" i="44"/>
  <c r="H2869" i="44"/>
  <c r="E3057" i="44"/>
  <c r="E2825" i="44"/>
  <c r="C1015" i="44"/>
  <c r="E816" i="44"/>
  <c r="H2055" i="44"/>
  <c r="E174" i="44"/>
  <c r="C861" i="44"/>
  <c r="E2391" i="44"/>
  <c r="H1974" i="44"/>
  <c r="C1827" i="44"/>
  <c r="E793" i="44"/>
  <c r="C3044" i="44"/>
  <c r="E2626" i="44"/>
  <c r="I1967" i="44"/>
  <c r="C993" i="44"/>
  <c r="E2787" i="44"/>
  <c r="C1664" i="44"/>
  <c r="C3026" i="44"/>
  <c r="C1935" i="44"/>
  <c r="H2872" i="44"/>
  <c r="C821" i="44"/>
  <c r="C2638" i="44"/>
  <c r="E3150" i="44"/>
  <c r="C563" i="44"/>
  <c r="H2571" i="44"/>
  <c r="H2068" i="44"/>
  <c r="C2313" i="44"/>
  <c r="C2416" i="44"/>
  <c r="C2926" i="44"/>
  <c r="I2079" i="44"/>
  <c r="E992" i="44"/>
  <c r="E2091" i="44"/>
  <c r="C2265" i="44"/>
  <c r="H2835" i="44"/>
  <c r="E411" i="44"/>
  <c r="E1863" i="44"/>
  <c r="H1818" i="44"/>
  <c r="E2894" i="44"/>
  <c r="H1966" i="44"/>
  <c r="C2617" i="44"/>
  <c r="C2021" i="44"/>
  <c r="H2425" i="44"/>
  <c r="E3062" i="44"/>
  <c r="H1729" i="44"/>
  <c r="C3015" i="44"/>
  <c r="E1745" i="44"/>
  <c r="E854" i="44"/>
  <c r="C2573" i="44"/>
  <c r="E3000" i="44"/>
  <c r="C2010" i="44"/>
  <c r="C1017" i="44"/>
  <c r="H3084" i="44"/>
  <c r="E2409" i="44"/>
  <c r="E2264" i="44"/>
  <c r="C1018" i="44"/>
  <c r="C1802" i="44"/>
  <c r="C985" i="44"/>
  <c r="C2268" i="44"/>
  <c r="C2316" i="44"/>
  <c r="C2628" i="44"/>
  <c r="H2352" i="44"/>
  <c r="E2632" i="44"/>
  <c r="E763" i="44"/>
  <c r="C2894" i="44"/>
  <c r="E384" i="44"/>
  <c r="E949" i="44"/>
  <c r="H2890" i="44"/>
  <c r="E2631" i="44"/>
  <c r="H2295" i="44"/>
  <c r="C2989" i="44"/>
  <c r="H1897" i="44"/>
  <c r="H2271" i="44"/>
  <c r="C1719" i="44"/>
  <c r="C1774" i="44"/>
  <c r="E29" i="44"/>
  <c r="E1768" i="44"/>
  <c r="C3132" i="44"/>
  <c r="C2425" i="44"/>
  <c r="C2040" i="44"/>
  <c r="H2309" i="44"/>
  <c r="E755" i="44"/>
  <c r="H2239" i="44"/>
  <c r="C3106" i="44"/>
  <c r="E2305" i="44"/>
  <c r="E1747" i="44"/>
  <c r="C990" i="44"/>
  <c r="C2156" i="44"/>
  <c r="H2625" i="44"/>
  <c r="E2704" i="44"/>
  <c r="E973" i="44"/>
  <c r="H2226" i="44"/>
  <c r="C1917" i="44"/>
  <c r="C1771" i="44"/>
  <c r="E2909" i="44"/>
  <c r="E801" i="44"/>
  <c r="H3161" i="44"/>
  <c r="C2379" i="44"/>
  <c r="H2801" i="44"/>
  <c r="E2688" i="44"/>
  <c r="E2494" i="44"/>
  <c r="H2851" i="44"/>
  <c r="E693" i="44"/>
  <c r="C1626" i="44"/>
  <c r="C1544" i="44"/>
  <c r="E105" i="44"/>
  <c r="E427" i="44"/>
  <c r="C1759" i="44"/>
  <c r="C3385" i="44"/>
  <c r="C2058" i="44"/>
  <c r="E2589" i="44"/>
  <c r="E1530" i="44"/>
  <c r="H3105" i="44"/>
  <c r="C41" i="44"/>
  <c r="E426" i="44"/>
  <c r="H2791" i="44"/>
  <c r="E1677" i="44"/>
  <c r="E1788" i="44"/>
  <c r="C2089" i="44"/>
  <c r="C778" i="44"/>
  <c r="H2334" i="44"/>
  <c r="H2729" i="44"/>
  <c r="H1880" i="44"/>
  <c r="H1703" i="44"/>
  <c r="E2784" i="44"/>
  <c r="C1796" i="44"/>
  <c r="E3097" i="44"/>
  <c r="H1645" i="44"/>
  <c r="C2127" i="44"/>
  <c r="E126" i="44"/>
  <c r="E1618" i="44"/>
  <c r="H971" i="44"/>
  <c r="H2427" i="44"/>
  <c r="C625" i="44"/>
  <c r="H1714" i="44"/>
  <c r="E160" i="44"/>
  <c r="C1892" i="44"/>
  <c r="H2478" i="44"/>
  <c r="E441" i="44"/>
  <c r="C3156" i="44"/>
  <c r="C2925" i="44"/>
  <c r="H2934" i="44"/>
  <c r="C2570" i="44"/>
  <c r="H3028" i="44"/>
  <c r="E1902" i="44"/>
  <c r="C1933" i="44"/>
  <c r="E256" i="44"/>
  <c r="H2581" i="44"/>
  <c r="C779" i="44"/>
  <c r="H1831" i="44"/>
  <c r="C932" i="44"/>
  <c r="H2711" i="44"/>
  <c r="H3148" i="44"/>
  <c r="C1083" i="44"/>
  <c r="E2818" i="44"/>
  <c r="C3019" i="44"/>
  <c r="E524" i="44"/>
  <c r="C3438" i="44"/>
  <c r="E2024" i="44"/>
  <c r="H2021" i="44"/>
  <c r="C3073" i="44"/>
  <c r="H2881" i="44"/>
  <c r="E1674" i="44"/>
  <c r="C2411" i="44"/>
  <c r="H2675" i="44"/>
  <c r="C2001" i="44"/>
  <c r="C3004" i="44"/>
  <c r="H2788" i="44"/>
  <c r="C3139" i="44"/>
  <c r="E3388" i="44"/>
  <c r="C3445" i="44"/>
  <c r="C2469" i="44"/>
  <c r="E230" i="44"/>
  <c r="C3009" i="44"/>
  <c r="C2279" i="44"/>
  <c r="C324" i="44"/>
  <c r="E1770" i="44"/>
  <c r="C911" i="44"/>
  <c r="C1007" i="44"/>
  <c r="H2583" i="44"/>
  <c r="E353" i="44"/>
  <c r="H2531" i="44"/>
  <c r="C2792" i="44"/>
  <c r="C3150" i="44"/>
  <c r="C2158" i="44"/>
  <c r="C2675" i="44"/>
  <c r="C2540" i="44"/>
  <c r="E2554" i="44"/>
  <c r="E359" i="44"/>
  <c r="E3440" i="44"/>
  <c r="E1834" i="44"/>
  <c r="C476" i="44"/>
  <c r="C2810" i="44"/>
  <c r="C2978" i="44"/>
  <c r="C1670" i="44"/>
  <c r="C3101" i="44"/>
  <c r="E3432" i="44"/>
  <c r="C1712" i="44"/>
  <c r="H3095" i="44"/>
  <c r="E1639" i="44"/>
  <c r="H2045" i="44"/>
  <c r="C2234" i="44"/>
  <c r="C1011" i="44"/>
  <c r="E519" i="44"/>
  <c r="C1781" i="44"/>
  <c r="E1764" i="44"/>
  <c r="C1042" i="44"/>
  <c r="E479" i="44"/>
  <c r="H2549" i="44"/>
  <c r="E2997" i="44"/>
  <c r="C3166" i="44"/>
  <c r="E855" i="44"/>
  <c r="H2308" i="44"/>
  <c r="C2445" i="44"/>
  <c r="H2786" i="44"/>
  <c r="C2977" i="44"/>
  <c r="H3067" i="44"/>
  <c r="E383" i="44"/>
  <c r="E2281" i="44"/>
  <c r="E736" i="44"/>
  <c r="C1984" i="44"/>
  <c r="E1081" i="44"/>
  <c r="H2904" i="44"/>
  <c r="H3038" i="44"/>
  <c r="C2544" i="44"/>
  <c r="E2672" i="44"/>
  <c r="E371" i="44"/>
  <c r="H2740" i="44"/>
  <c r="C986" i="44"/>
  <c r="C1657" i="44"/>
  <c r="E2966" i="44"/>
  <c r="C469" i="44"/>
  <c r="H2095" i="44"/>
  <c r="C1611" i="44"/>
  <c r="C81" i="44"/>
  <c r="C2498" i="44"/>
  <c r="C1628" i="44"/>
  <c r="C2673" i="44"/>
  <c r="E702" i="44"/>
  <c r="C2560" i="44"/>
  <c r="E991" i="44"/>
  <c r="C1081" i="44"/>
  <c r="C814" i="44"/>
  <c r="C946" i="44"/>
  <c r="H2868" i="44"/>
  <c r="C2248" i="44"/>
  <c r="H3060" i="44"/>
  <c r="E2892" i="44"/>
  <c r="C835" i="44"/>
  <c r="H1867" i="44"/>
  <c r="C347" i="44"/>
  <c r="E3109" i="44"/>
  <c r="C847" i="44"/>
  <c r="C1758" i="44"/>
  <c r="H1687" i="44"/>
  <c r="H2062" i="44"/>
  <c r="C699" i="44"/>
  <c r="C358" i="44"/>
  <c r="H1961" i="44"/>
  <c r="E280" i="44"/>
  <c r="H2982" i="44"/>
  <c r="H2919" i="44"/>
  <c r="H2857" i="44"/>
  <c r="H1985" i="44"/>
  <c r="E869" i="44"/>
  <c r="C1906" i="44"/>
  <c r="H2713" i="44"/>
  <c r="C1028" i="44"/>
  <c r="E1857" i="44"/>
  <c r="E1853" i="44"/>
  <c r="C3420" i="44"/>
  <c r="H2330" i="44"/>
  <c r="C1977" i="44"/>
  <c r="E999" i="44"/>
  <c r="E787" i="44"/>
  <c r="C433" i="44"/>
  <c r="E997" i="44"/>
  <c r="E657" i="44"/>
  <c r="I3039" i="44"/>
  <c r="E2261" i="44"/>
  <c r="H2060" i="44"/>
  <c r="C1527" i="44"/>
  <c r="E2478" i="44"/>
  <c r="E3059" i="44"/>
  <c r="H3039" i="44"/>
  <c r="H2012" i="44"/>
  <c r="E2849" i="44"/>
  <c r="E618" i="44"/>
  <c r="E883" i="44"/>
  <c r="C3414" i="44"/>
  <c r="E2224" i="44"/>
  <c r="H1938" i="44"/>
  <c r="E97" i="44"/>
  <c r="E2000" i="44"/>
  <c r="H2224" i="44"/>
  <c r="H192" i="44"/>
  <c r="E318" i="44"/>
  <c r="E974" i="44"/>
  <c r="H2117" i="44"/>
  <c r="E3089" i="44"/>
  <c r="H208" i="44"/>
  <c r="C262" i="44"/>
  <c r="H1585" i="44"/>
  <c r="H3021" i="44"/>
  <c r="C388" i="44"/>
  <c r="H2695" i="44"/>
  <c r="H1609" i="44"/>
  <c r="H2181" i="44"/>
  <c r="E2490" i="44"/>
  <c r="H2232" i="44"/>
  <c r="C3448" i="44"/>
  <c r="H2341" i="44"/>
  <c r="E759" i="44"/>
  <c r="E2083" i="44"/>
  <c r="C2516" i="44"/>
  <c r="E627" i="44"/>
  <c r="H1601" i="44"/>
  <c r="H2687" i="44"/>
  <c r="E509" i="44"/>
  <c r="E2246" i="44"/>
  <c r="H1986" i="44"/>
  <c r="E2055" i="44"/>
  <c r="E3123" i="44"/>
  <c r="E2636" i="44"/>
  <c r="C2970" i="44"/>
  <c r="C757" i="44"/>
  <c r="E3407" i="44"/>
  <c r="C2290" i="44"/>
  <c r="H1746" i="44"/>
  <c r="E355" i="44"/>
  <c r="E2109" i="44"/>
  <c r="C818" i="44"/>
  <c r="E2884" i="44"/>
  <c r="C592" i="44"/>
  <c r="C1834" i="44"/>
  <c r="E2782" i="44"/>
  <c r="C3105" i="44"/>
  <c r="H2186" i="44"/>
  <c r="C1533" i="44"/>
  <c r="C499" i="44"/>
  <c r="E788" i="44"/>
  <c r="C2698" i="44"/>
  <c r="C2044" i="44"/>
  <c r="C363" i="44"/>
  <c r="C137" i="44"/>
  <c r="I2655" i="44"/>
  <c r="H1998" i="44"/>
  <c r="C2593" i="44"/>
  <c r="E18" i="44"/>
  <c r="E1722" i="44"/>
  <c r="E2609" i="44"/>
  <c r="E305" i="44"/>
  <c r="E2157" i="44"/>
  <c r="E345" i="44"/>
  <c r="C1965" i="44"/>
  <c r="C1506" i="44"/>
  <c r="E250" i="44"/>
  <c r="C1809" i="44"/>
  <c r="C796" i="44"/>
  <c r="C1090" i="44"/>
  <c r="C467" i="44"/>
  <c r="E3072" i="44"/>
  <c r="E490" i="44"/>
  <c r="E563" i="44"/>
  <c r="C2983" i="44"/>
  <c r="H2655" i="44"/>
  <c r="E832" i="44"/>
  <c r="H2726" i="44"/>
  <c r="H1889" i="44"/>
  <c r="C3432" i="44"/>
  <c r="E1860" i="44"/>
  <c r="H2572" i="44"/>
  <c r="E31" i="44"/>
  <c r="C2962" i="44"/>
  <c r="H2952" i="44"/>
  <c r="E2993" i="44"/>
  <c r="E2798" i="44"/>
  <c r="H2025" i="44"/>
  <c r="E33" i="44"/>
  <c r="E552" i="44"/>
  <c r="C1856" i="44"/>
  <c r="E2116" i="44"/>
  <c r="C3092" i="44"/>
  <c r="I2335" i="44"/>
  <c r="E2434" i="44"/>
  <c r="E2098" i="44"/>
  <c r="C644" i="44"/>
  <c r="H2358" i="44"/>
  <c r="H2903" i="44"/>
  <c r="C1949" i="44"/>
  <c r="H2385" i="44"/>
  <c r="C2272" i="44"/>
  <c r="E535" i="44"/>
  <c r="C2881" i="44"/>
  <c r="C3424" i="44"/>
  <c r="H937" i="44"/>
  <c r="C656" i="44"/>
  <c r="E1809" i="44"/>
  <c r="E249" i="44"/>
  <c r="C666" i="44"/>
  <c r="H2589" i="44"/>
  <c r="H3002" i="44"/>
  <c r="H2153" i="44"/>
  <c r="H1734" i="44"/>
  <c r="E1717" i="44"/>
  <c r="E3073" i="44"/>
  <c r="E28" i="44"/>
  <c r="H2763" i="44"/>
  <c r="E811" i="44"/>
  <c r="H2409" i="44"/>
  <c r="E2472" i="44"/>
  <c r="H2830" i="44"/>
  <c r="H2673" i="44"/>
  <c r="C660" i="44"/>
  <c r="H2742" i="44"/>
  <c r="C595" i="44"/>
  <c r="C1855" i="44"/>
  <c r="E1826" i="44"/>
  <c r="E831" i="44"/>
  <c r="E632" i="44"/>
  <c r="E1881" i="44"/>
  <c r="C464" i="44"/>
  <c r="H2746" i="44"/>
  <c r="H2770" i="44"/>
  <c r="E2280" i="44"/>
  <c r="E103" i="44"/>
  <c r="C2179" i="44"/>
  <c r="H2954" i="44"/>
  <c r="C1747" i="44"/>
  <c r="E2930" i="44"/>
  <c r="C992" i="44"/>
  <c r="E2668" i="44"/>
  <c r="E2425" i="44"/>
  <c r="C2672" i="44"/>
  <c r="H931" i="44"/>
  <c r="H1918" i="44"/>
  <c r="C1009" i="44"/>
  <c r="C3380" i="44"/>
  <c r="C578" i="44"/>
  <c r="H2739" i="44"/>
  <c r="C2243" i="44"/>
  <c r="H164" i="44"/>
  <c r="E375" i="44"/>
  <c r="E2763" i="44"/>
  <c r="E2075" i="44"/>
  <c r="C435" i="44"/>
  <c r="E3047" i="44"/>
  <c r="E873" i="44"/>
  <c r="H2532" i="44"/>
  <c r="C69" i="44"/>
  <c r="H2880" i="44"/>
  <c r="C1813" i="44"/>
  <c r="H2927" i="44"/>
  <c r="C2376" i="44"/>
  <c r="H3007" i="44"/>
  <c r="E2536" i="44"/>
  <c r="E768" i="44"/>
  <c r="H2838" i="44"/>
  <c r="E1795" i="44"/>
  <c r="H2075" i="44"/>
  <c r="E1682" i="44"/>
  <c r="C3446" i="44"/>
  <c r="C1967" i="44"/>
  <c r="E125" i="44"/>
  <c r="E1543" i="44"/>
  <c r="E1869" i="44"/>
  <c r="H2917" i="44"/>
  <c r="H2913" i="44"/>
  <c r="E773" i="44"/>
  <c r="C1022" i="44"/>
  <c r="H1735" i="44"/>
  <c r="E824" i="44"/>
  <c r="H2929" i="44"/>
  <c r="H2158" i="44"/>
  <c r="C2743" i="44"/>
  <c r="H2248" i="44"/>
  <c r="E2937" i="44"/>
  <c r="H2090" i="44"/>
  <c r="E2790" i="44"/>
  <c r="E81" i="44"/>
  <c r="C2434" i="44"/>
  <c r="H3001" i="44"/>
  <c r="C3047" i="44"/>
  <c r="I198" i="44"/>
  <c r="H3059" i="44"/>
  <c r="H2028" i="44"/>
  <c r="E2837" i="44"/>
  <c r="H2264" i="44"/>
  <c r="E3035" i="44"/>
  <c r="C849" i="44"/>
  <c r="H190" i="44"/>
  <c r="E3444" i="44"/>
  <c r="C1016" i="44"/>
  <c r="E3105" i="44"/>
  <c r="H2681" i="44"/>
  <c r="C815" i="44"/>
  <c r="E2725" i="44"/>
  <c r="C782" i="44"/>
  <c r="H2421" i="44"/>
  <c r="E2377" i="44"/>
  <c r="C1871" i="44"/>
  <c r="E432" i="44"/>
  <c r="E277" i="44"/>
  <c r="C2758" i="44"/>
  <c r="C2932" i="44"/>
  <c r="E1046" i="44"/>
  <c r="H176" i="44"/>
  <c r="E1015" i="44"/>
  <c r="E705" i="44"/>
  <c r="C1539" i="44"/>
  <c r="C2052" i="44"/>
  <c r="E584" i="44"/>
  <c r="C322" i="44"/>
  <c r="H2265" i="44"/>
  <c r="E2397" i="44"/>
  <c r="C3439" i="44"/>
  <c r="H2849" i="44"/>
  <c r="H2933" i="44"/>
  <c r="C2590" i="44"/>
  <c r="H2345" i="44"/>
  <c r="C2271" i="44"/>
  <c r="E896" i="44"/>
  <c r="H2375" i="44"/>
  <c r="H1993" i="44"/>
  <c r="C1725" i="44"/>
  <c r="H2521" i="44"/>
  <c r="E329" i="44"/>
  <c r="H2246" i="44"/>
  <c r="H2328" i="44"/>
  <c r="I1631" i="44"/>
  <c r="E569" i="44"/>
  <c r="H1855" i="44"/>
  <c r="H2093" i="44"/>
  <c r="C2174" i="44"/>
  <c r="H2752" i="44"/>
  <c r="H934" i="44"/>
  <c r="E78" i="44"/>
  <c r="C2354" i="44"/>
  <c r="C3159" i="44"/>
  <c r="I2847" i="44"/>
  <c r="H2333" i="44"/>
  <c r="E2797" i="44"/>
  <c r="E2416" i="44"/>
  <c r="C1554" i="44"/>
  <c r="C2813" i="44"/>
  <c r="C1516" i="44"/>
  <c r="I1759" i="44"/>
  <c r="C810" i="44"/>
  <c r="E2436" i="44"/>
  <c r="C2371" i="44"/>
  <c r="C597" i="44"/>
  <c r="E1704" i="44"/>
  <c r="C3389" i="44"/>
  <c r="C643" i="44"/>
  <c r="H2794" i="44"/>
  <c r="C2101" i="44"/>
  <c r="I1983" i="44"/>
  <c r="H2203" i="44"/>
  <c r="C2908" i="44"/>
  <c r="E421" i="44"/>
  <c r="C1762" i="44"/>
  <c r="C1955" i="44"/>
  <c r="C1642" i="44"/>
  <c r="H2780" i="44"/>
  <c r="C1529" i="44"/>
  <c r="H2781" i="44"/>
  <c r="C2717" i="44"/>
  <c r="C3399" i="44"/>
  <c r="C2277" i="44"/>
  <c r="H2720" i="44"/>
  <c r="C1087" i="44"/>
  <c r="E722" i="44"/>
  <c r="E424" i="44"/>
  <c r="C3144" i="44"/>
  <c r="E2046" i="44"/>
  <c r="C1590" i="44"/>
  <c r="H1802" i="44"/>
  <c r="H2859" i="44"/>
  <c r="C2520" i="44"/>
  <c r="C61" i="44"/>
  <c r="H1893" i="44"/>
  <c r="C2294" i="44"/>
  <c r="E1728" i="44"/>
  <c r="E823" i="44"/>
  <c r="C2942" i="44"/>
  <c r="E1510" i="44"/>
  <c r="E3397" i="44"/>
  <c r="C2803" i="44"/>
  <c r="H1838" i="44"/>
  <c r="E204" i="44"/>
  <c r="H1771" i="44"/>
  <c r="H2259" i="44"/>
  <c r="H1623" i="44"/>
  <c r="E1670" i="44"/>
  <c r="H1968" i="44"/>
  <c r="E2077" i="44"/>
  <c r="E2738" i="44"/>
  <c r="E2989" i="44"/>
  <c r="E2902" i="44"/>
  <c r="E3021" i="44"/>
  <c r="H2637" i="44"/>
  <c r="E667" i="44"/>
  <c r="C2664" i="44"/>
  <c r="H1692" i="44"/>
  <c r="H1783" i="44"/>
  <c r="C2686" i="44"/>
  <c r="C1810" i="44"/>
  <c r="C394" i="44"/>
  <c r="E2220" i="44"/>
  <c r="C1875" i="44"/>
  <c r="C381" i="44"/>
  <c r="E2105" i="44"/>
  <c r="E99" i="44"/>
  <c r="E2283" i="44"/>
  <c r="C2125" i="44"/>
  <c r="C325" i="44"/>
  <c r="E2664" i="44"/>
  <c r="C3086" i="44"/>
  <c r="C2085" i="44"/>
  <c r="E1868" i="44"/>
  <c r="H2605" i="44"/>
  <c r="E777" i="44"/>
  <c r="E198" i="44"/>
  <c r="C2835" i="44"/>
  <c r="H1936" i="44"/>
  <c r="H2083" i="44"/>
  <c r="C881" i="44"/>
  <c r="H2030" i="44"/>
  <c r="H2885" i="44"/>
  <c r="C1550" i="44"/>
  <c r="E1600" i="44"/>
  <c r="C33" i="44"/>
  <c r="E2330" i="44"/>
  <c r="C2824" i="44"/>
  <c r="H1602" i="44"/>
  <c r="C1928" i="44"/>
  <c r="E10" i="44"/>
  <c r="H2631" i="44"/>
  <c r="E2945" i="44"/>
  <c r="E2885" i="44"/>
  <c r="C1704" i="44"/>
  <c r="E339" i="44"/>
  <c r="E2917" i="44"/>
  <c r="E2053" i="44"/>
  <c r="C2045" i="44"/>
  <c r="H2652" i="44"/>
  <c r="H3020" i="44"/>
  <c r="C1756" i="44"/>
  <c r="H2443" i="44"/>
  <c r="E3112" i="44"/>
  <c r="C863" i="44"/>
  <c r="E44" i="44"/>
  <c r="E3019" i="44"/>
  <c r="E594" i="44"/>
  <c r="E3399" i="44"/>
  <c r="H1956" i="44"/>
  <c r="C3136" i="44"/>
  <c r="H3147" i="44"/>
  <c r="E429" i="44"/>
  <c r="C1730" i="44"/>
  <c r="C2102" i="44"/>
  <c r="H2195" i="44"/>
  <c r="H2964" i="44"/>
  <c r="H2609" i="44"/>
  <c r="C1067" i="44"/>
  <c r="E363" i="44"/>
  <c r="E2038" i="44"/>
  <c r="E430" i="44"/>
  <c r="E2728" i="44"/>
  <c r="E2413" i="44"/>
  <c r="H2381" i="44"/>
  <c r="H1839" i="44"/>
  <c r="C2736" i="44"/>
  <c r="E2439" i="44"/>
  <c r="E671" i="44"/>
  <c r="E756" i="44"/>
  <c r="C2650" i="44"/>
  <c r="H2649" i="44"/>
  <c r="C914" i="44"/>
  <c r="E2574" i="44"/>
  <c r="E2060" i="44"/>
  <c r="C2521" i="44"/>
  <c r="E906" i="44"/>
  <c r="H3030" i="44"/>
  <c r="C2524" i="44"/>
  <c r="C1836" i="44"/>
  <c r="H2886" i="44"/>
  <c r="H1744" i="44"/>
  <c r="C495" i="44"/>
  <c r="E3158" i="44"/>
  <c r="H2276" i="44"/>
  <c r="E2755" i="44"/>
  <c r="C2096" i="44"/>
  <c r="E420" i="44"/>
  <c r="H2212" i="44"/>
  <c r="E2718" i="44"/>
  <c r="H2080" i="44"/>
  <c r="H1613" i="44"/>
  <c r="E2504" i="44"/>
  <c r="E2135" i="44"/>
  <c r="C2136" i="44"/>
  <c r="E115" i="44"/>
  <c r="H3062" i="44"/>
  <c r="E2386" i="44"/>
  <c r="H1857" i="44"/>
  <c r="H1933" i="44"/>
  <c r="H1826" i="44"/>
  <c r="E1862" i="44"/>
  <c r="E2746" i="44"/>
  <c r="C548" i="44"/>
  <c r="C398" i="44"/>
  <c r="C851" i="44"/>
  <c r="H2157" i="44"/>
  <c r="H2405" i="44"/>
  <c r="E2780" i="44"/>
  <c r="H1862" i="44"/>
  <c r="H2422" i="44"/>
  <c r="E436" i="44"/>
  <c r="E1884" i="44"/>
  <c r="C30" i="44"/>
  <c r="E2618" i="44"/>
  <c r="H2942" i="44"/>
  <c r="H2410" i="44"/>
  <c r="E2732" i="44"/>
  <c r="C2842" i="44"/>
  <c r="C2742" i="44"/>
  <c r="C83" i="44"/>
  <c r="C2892" i="44"/>
  <c r="H2269" i="44"/>
  <c r="C531" i="44"/>
  <c r="E3110" i="44"/>
  <c r="E701" i="44"/>
  <c r="C650" i="44"/>
  <c r="C792" i="44"/>
  <c r="E3016" i="44"/>
  <c r="C685" i="44"/>
  <c r="C1849" i="44"/>
  <c r="C93" i="44"/>
  <c r="H2270" i="44"/>
  <c r="E507" i="44"/>
  <c r="C678" i="44"/>
  <c r="C2067" i="44"/>
  <c r="C369" i="44"/>
  <c r="C2746" i="44"/>
  <c r="C2538" i="44"/>
  <c r="C1841" i="44"/>
  <c r="C1672" i="44"/>
  <c r="C991" i="44"/>
  <c r="C859" i="44"/>
  <c r="H2019" i="44"/>
  <c r="C1654" i="44"/>
  <c r="C718" i="44"/>
  <c r="C2787" i="44"/>
  <c r="E1063" i="44"/>
  <c r="E1733" i="44"/>
  <c r="E2092" i="44"/>
  <c r="C1893" i="44"/>
  <c r="E1592" i="44"/>
  <c r="C1791" i="44"/>
  <c r="C999" i="44"/>
  <c r="E200" i="44"/>
  <c r="E570" i="44"/>
  <c r="E85" i="44"/>
  <c r="C1845" i="44"/>
  <c r="E2110" i="44"/>
  <c r="H174" i="44"/>
  <c r="E242" i="44"/>
  <c r="E1534" i="44"/>
  <c r="C2633" i="44"/>
  <c r="H2699" i="44"/>
  <c r="E2369" i="44"/>
  <c r="I1695" i="44"/>
  <c r="H1743" i="44"/>
  <c r="E3130" i="44"/>
  <c r="C1818" i="44"/>
  <c r="E1708" i="44"/>
  <c r="C2966" i="44"/>
  <c r="C21" i="44"/>
  <c r="C2330" i="44"/>
  <c r="E376" i="44"/>
  <c r="E454" i="44"/>
  <c r="H2558" i="44"/>
  <c r="E828" i="44"/>
  <c r="H2888" i="44"/>
  <c r="E3414" i="44"/>
  <c r="H1953" i="44"/>
  <c r="E2317" i="44"/>
  <c r="C714" i="44"/>
  <c r="E1603" i="44"/>
  <c r="C303" i="44"/>
  <c r="E888" i="44"/>
  <c r="C684" i="44"/>
  <c r="C2139" i="44"/>
  <c r="C833" i="44"/>
  <c r="H2111" i="44"/>
  <c r="E2078" i="44"/>
  <c r="C598" i="44"/>
  <c r="C3051" i="44"/>
  <c r="C1023" i="44"/>
  <c r="E2545" i="44"/>
  <c r="H184" i="44"/>
  <c r="C2359" i="44"/>
  <c r="H2335" i="44"/>
  <c r="E1646" i="44"/>
  <c r="E3421" i="44"/>
  <c r="H1805" i="44"/>
  <c r="E2920" i="44"/>
  <c r="H1686" i="44"/>
  <c r="C99" i="44"/>
  <c r="E303" i="44"/>
  <c r="H2386" i="44"/>
  <c r="H2883" i="44"/>
  <c r="C329" i="44"/>
  <c r="C937" i="44"/>
  <c r="E3027" i="44"/>
  <c r="E2398" i="44"/>
  <c r="E306" i="44"/>
  <c r="C370" i="44"/>
  <c r="C344" i="44"/>
  <c r="H1978" i="44"/>
  <c r="C2919" i="44"/>
  <c r="C2492" i="44"/>
  <c r="C2339" i="44"/>
  <c r="C539" i="44"/>
  <c r="E3031" i="44"/>
  <c r="H1859" i="44"/>
  <c r="C3087" i="44"/>
  <c r="E1550" i="44"/>
  <c r="C391" i="44"/>
  <c r="C2397" i="44"/>
  <c r="E2544" i="44"/>
  <c r="C2709" i="44"/>
  <c r="E942" i="44"/>
  <c r="E856" i="44"/>
  <c r="E3034" i="44"/>
  <c r="C2456" i="44"/>
  <c r="H2944" i="44"/>
  <c r="H2854" i="44"/>
  <c r="I172" i="44"/>
  <c r="E548" i="44"/>
  <c r="E910" i="44"/>
  <c r="C780" i="44"/>
  <c r="E2018" i="44"/>
  <c r="E1796" i="44"/>
  <c r="E414" i="44"/>
  <c r="C1551" i="44"/>
  <c r="H202" i="44"/>
  <c r="E2640" i="44"/>
  <c r="H1898" i="44"/>
  <c r="H1811" i="44"/>
  <c r="E2362" i="44"/>
  <c r="E2352" i="44"/>
  <c r="E499" i="44"/>
  <c r="E1920" i="44"/>
  <c r="C502" i="44"/>
  <c r="E3098" i="44"/>
  <c r="H3153" i="44"/>
  <c r="E2805" i="44"/>
  <c r="E764" i="44"/>
  <c r="C1708" i="44"/>
  <c r="C452" i="44"/>
  <c r="C28" i="44"/>
  <c r="E2716" i="44"/>
  <c r="C481" i="44"/>
  <c r="C2976" i="44"/>
  <c r="C2619" i="44"/>
  <c r="H2026" i="44"/>
  <c r="E2811" i="44"/>
  <c r="C2230" i="44"/>
  <c r="C557" i="44"/>
  <c r="C2372" i="44"/>
  <c r="E3063" i="44"/>
  <c r="I2815" i="44"/>
  <c r="C2534" i="44"/>
  <c r="C2300" i="44"/>
  <c r="E2875" i="44"/>
  <c r="C1895" i="44"/>
  <c r="E1710" i="44"/>
  <c r="E2596" i="44"/>
  <c r="E981" i="44"/>
  <c r="C2789" i="44"/>
  <c r="C2867" i="44"/>
  <c r="E2948" i="44"/>
  <c r="E2675" i="44"/>
  <c r="H3004" i="44"/>
  <c r="C868" i="44"/>
  <c r="C3041" i="44"/>
  <c r="C1521" i="44"/>
  <c r="H2174" i="44"/>
  <c r="E1090" i="44"/>
  <c r="E710" i="44"/>
  <c r="H2121" i="44"/>
  <c r="C875" i="44"/>
  <c r="E2724" i="44"/>
  <c r="C654" i="44"/>
  <c r="E668" i="44"/>
  <c r="E686" i="44"/>
  <c r="H3140" i="44"/>
  <c r="E373" i="44"/>
  <c r="E2605" i="44"/>
  <c r="C1655" i="44"/>
  <c r="H3130" i="44"/>
  <c r="C3032" i="44"/>
  <c r="C2757" i="44"/>
  <c r="C2340" i="44"/>
  <c r="H2263" i="44"/>
  <c r="E1535" i="44"/>
  <c r="H2501" i="44"/>
  <c r="E1078" i="44"/>
  <c r="C434" i="44"/>
  <c r="E674" i="44"/>
  <c r="C721" i="44"/>
  <c r="H2438" i="44"/>
  <c r="C1047" i="44"/>
  <c r="C2893" i="44"/>
  <c r="H1745" i="44"/>
  <c r="C1888" i="44"/>
  <c r="C2450" i="44"/>
  <c r="I2623" i="44"/>
  <c r="C444" i="44"/>
  <c r="C25" i="44"/>
  <c r="C2928" i="44"/>
  <c r="E1072" i="44"/>
  <c r="C1603" i="44"/>
  <c r="H2338" i="44"/>
  <c r="E943" i="44"/>
  <c r="E1736" i="44"/>
  <c r="C2115" i="44"/>
  <c r="E522" i="44"/>
  <c r="E2017" i="44"/>
  <c r="C1538" i="44"/>
  <c r="H2035" i="44"/>
  <c r="H3111" i="44"/>
  <c r="H1641" i="44"/>
  <c r="H2319" i="44"/>
  <c r="I154" i="44"/>
  <c r="C1987" i="44"/>
  <c r="E1859" i="44"/>
  <c r="E890" i="44"/>
  <c r="C1029" i="44"/>
  <c r="C2088" i="44"/>
  <c r="C2710" i="44"/>
  <c r="H2893" i="44"/>
  <c r="E2119" i="44"/>
  <c r="D104" i="3"/>
  <c r="C3028" i="44"/>
  <c r="E2523" i="44"/>
  <c r="C880" i="44"/>
  <c r="H3011" i="44"/>
  <c r="C1716" i="44"/>
  <c r="H2070" i="44"/>
  <c r="H2858" i="44"/>
  <c r="C3123" i="44"/>
  <c r="E1061" i="44"/>
  <c r="H2449" i="44"/>
  <c r="H1780" i="44"/>
  <c r="C1632" i="44"/>
  <c r="C2563" i="44"/>
  <c r="C2201" i="44"/>
  <c r="E2080" i="44"/>
  <c r="E2269" i="44"/>
  <c r="E194" i="44"/>
  <c r="E106" i="44"/>
  <c r="C1637" i="44"/>
  <c r="E498" i="44"/>
  <c r="E1657" i="44"/>
  <c r="C1962" i="44"/>
  <c r="E765" i="44"/>
  <c r="C1891" i="44"/>
  <c r="H2027" i="44"/>
  <c r="E2518" i="44"/>
  <c r="E2564" i="44"/>
  <c r="I2895" i="44"/>
  <c r="C11" i="44"/>
  <c r="C1656" i="44"/>
  <c r="C2609" i="44"/>
  <c r="H2829" i="44"/>
  <c r="E2364" i="44"/>
  <c r="E2649" i="44"/>
  <c r="H1627" i="44"/>
  <c r="I174" i="44"/>
  <c r="C29" i="44"/>
  <c r="H3022" i="44"/>
  <c r="E2086" i="44"/>
  <c r="E728" i="44"/>
  <c r="C2447" i="44"/>
  <c r="C317" i="44"/>
  <c r="H1944" i="44"/>
  <c r="D118" i="3"/>
  <c r="C891" i="44"/>
  <c r="E2488" i="44"/>
  <c r="C34" i="44"/>
  <c r="E2215" i="44"/>
  <c r="C747" i="44"/>
  <c r="H2936" i="44"/>
  <c r="E803" i="44"/>
  <c r="H3145" i="44"/>
  <c r="C1932" i="44"/>
  <c r="H2963" i="44"/>
  <c r="C3396" i="44"/>
  <c r="C2479" i="44"/>
  <c r="E2808" i="44"/>
  <c r="C2991" i="44"/>
  <c r="H2124" i="44"/>
  <c r="C2806" i="44"/>
  <c r="E664" i="44"/>
  <c r="H2697" i="44"/>
  <c r="H2553" i="44"/>
  <c r="C2986" i="44"/>
  <c r="E2131" i="44"/>
  <c r="H932" i="44"/>
  <c r="C1947" i="44"/>
  <c r="H2533" i="44"/>
  <c r="H2866" i="44"/>
  <c r="E2766" i="44"/>
  <c r="C2043" i="44"/>
  <c r="H2088" i="44"/>
  <c r="C1979" i="44"/>
  <c r="H1836" i="44"/>
  <c r="H1901" i="44"/>
  <c r="E3067" i="44"/>
  <c r="C2583" i="44"/>
  <c r="D113" i="3"/>
  <c r="H186" i="44"/>
  <c r="E321" i="44"/>
  <c r="C793" i="44"/>
  <c r="E2946" i="44"/>
  <c r="H2435" i="44"/>
  <c r="E1028" i="44"/>
  <c r="C1966" i="44"/>
  <c r="C1794" i="44"/>
  <c r="C360" i="44"/>
  <c r="C521" i="44"/>
  <c r="H1945" i="44"/>
  <c r="E2599" i="44"/>
  <c r="C2796" i="44"/>
  <c r="E398" i="44"/>
  <c r="C97" i="44"/>
  <c r="C3021" i="44"/>
  <c r="E2908" i="44"/>
  <c r="C2237" i="44"/>
  <c r="E2026" i="44"/>
  <c r="H2632" i="44"/>
  <c r="E152" i="44"/>
  <c r="C3125" i="44"/>
  <c r="C3113" i="44"/>
  <c r="C753" i="44"/>
  <c r="H1698" i="44"/>
  <c r="E2866" i="44"/>
  <c r="C646" i="44"/>
  <c r="C1787" i="44"/>
  <c r="H2054" i="44"/>
  <c r="H1979" i="44"/>
  <c r="E440" i="44"/>
  <c r="C493" i="44"/>
  <c r="E1520" i="44"/>
  <c r="C3049" i="44"/>
  <c r="H2065" i="44"/>
  <c r="E3132" i="44"/>
  <c r="C1877" i="44"/>
  <c r="E2393" i="44"/>
  <c r="E1716" i="44"/>
  <c r="C765" i="44"/>
  <c r="E3163" i="44"/>
  <c r="E2505" i="44"/>
  <c r="E886" i="44"/>
  <c r="H3072" i="44"/>
  <c r="C2992" i="44"/>
  <c r="E3139" i="44"/>
  <c r="C2999" i="44"/>
  <c r="E1667" i="44"/>
  <c r="C2836" i="44"/>
  <c r="E2370" i="44"/>
  <c r="E659" i="44"/>
  <c r="H2897" i="44"/>
  <c r="E1926" i="44"/>
  <c r="C935" i="44"/>
  <c r="E703" i="44"/>
  <c r="E3431" i="44"/>
  <c r="E1959" i="44"/>
  <c r="H2432" i="44"/>
  <c r="H1894" i="44"/>
  <c r="E1856" i="44"/>
  <c r="C16" i="44"/>
  <c r="E1651" i="44"/>
  <c r="H1671" i="44"/>
  <c r="E3010" i="44"/>
  <c r="C2041" i="44"/>
  <c r="H1903" i="44"/>
  <c r="H1829" i="44"/>
  <c r="H2113" i="44"/>
  <c r="E3441" i="44"/>
  <c r="H933" i="44"/>
  <c r="E729" i="44"/>
  <c r="E2052" i="44"/>
  <c r="C1639" i="44"/>
  <c r="C822" i="44"/>
  <c r="E365" i="44"/>
  <c r="E150" i="44"/>
  <c r="E3159" i="44"/>
  <c r="C2344" i="44"/>
  <c r="C392" i="44"/>
  <c r="H2167" i="44"/>
  <c r="E1896" i="44"/>
  <c r="H2991" i="44"/>
  <c r="C706" i="44"/>
  <c r="C1838" i="44"/>
  <c r="E2419" i="44"/>
  <c r="H1795" i="44"/>
  <c r="H2627" i="44"/>
  <c r="C319" i="44"/>
  <c r="H2208" i="44"/>
  <c r="E647" i="44"/>
  <c r="I1903" i="44"/>
  <c r="E1014" i="44"/>
  <c r="H3045" i="44"/>
  <c r="C2679" i="44"/>
  <c r="E3107" i="44"/>
  <c r="C3042" i="44"/>
  <c r="C2730" i="44"/>
  <c r="C2238" i="44"/>
  <c r="H2896" i="44"/>
  <c r="H2556" i="44"/>
  <c r="C2056" i="44"/>
  <c r="E2532" i="44"/>
  <c r="H2847" i="44"/>
  <c r="C2375" i="44"/>
  <c r="H928" i="44"/>
  <c r="E2744" i="44"/>
  <c r="C454" i="44"/>
  <c r="E948" i="44"/>
  <c r="H2595" i="44"/>
  <c r="E2448" i="44"/>
  <c r="C32" i="44"/>
  <c r="H2961" i="44"/>
  <c r="C3408" i="44"/>
  <c r="E820" i="44"/>
  <c r="E1032" i="44"/>
  <c r="E1018" i="44"/>
  <c r="E3430" i="44"/>
  <c r="H2747" i="44"/>
  <c r="C2312" i="44"/>
  <c r="H2261" i="44"/>
  <c r="E3126" i="44"/>
  <c r="E3165" i="44"/>
  <c r="C571" i="44"/>
  <c r="E2854" i="44"/>
  <c r="H1732" i="44"/>
  <c r="E927" i="44"/>
  <c r="H1790" i="44"/>
  <c r="C885" i="44"/>
  <c r="H1633" i="44"/>
  <c r="E1806" i="44"/>
  <c r="H1853" i="44"/>
  <c r="C2528" i="44"/>
  <c r="C112" i="44"/>
  <c r="C507" i="44"/>
  <c r="C2274" i="44"/>
  <c r="E833" i="44"/>
  <c r="E1947" i="44"/>
  <c r="E3442" i="44"/>
  <c r="C2670" i="44"/>
  <c r="C2269" i="44"/>
  <c r="I1743" i="44"/>
  <c r="E2814" i="44"/>
  <c r="H2244" i="44"/>
  <c r="E1725" i="44"/>
  <c r="C2099" i="44"/>
  <c r="E2155" i="44"/>
  <c r="C2299" i="44"/>
  <c r="E347" i="44"/>
  <c r="E2363" i="44"/>
  <c r="C2241" i="44"/>
  <c r="E1715" i="44"/>
  <c r="H2959" i="44"/>
  <c r="C2774" i="44"/>
  <c r="E2003" i="44"/>
  <c r="H2155" i="44"/>
  <c r="C1919" i="44"/>
  <c r="C2518" i="44"/>
  <c r="H1932" i="44"/>
  <c r="E2009" i="44"/>
  <c r="C983" i="44"/>
  <c r="C2837" i="44"/>
  <c r="C2685" i="44"/>
  <c r="C727" i="44"/>
  <c r="H2874" i="44"/>
  <c r="E2619" i="44"/>
  <c r="E202" i="44"/>
  <c r="C1921" i="44"/>
  <c r="E2477" i="44"/>
  <c r="H1752" i="44"/>
  <c r="E2480" i="44"/>
  <c r="C2735" i="44"/>
  <c r="E180" i="44"/>
  <c r="C736" i="44"/>
  <c r="C3434" i="44"/>
  <c r="C1910" i="44"/>
  <c r="E378" i="44"/>
  <c r="H2125" i="44"/>
  <c r="E2556" i="44"/>
  <c r="C2608" i="44"/>
  <c r="H3024" i="44"/>
  <c r="C2826" i="44"/>
  <c r="H3010" i="44"/>
  <c r="C2214" i="44"/>
  <c r="C2734" i="44"/>
  <c r="C3069" i="44"/>
  <c r="H2175" i="44"/>
  <c r="H2242" i="44"/>
  <c r="E986" i="44"/>
  <c r="E2676" i="44"/>
  <c r="E3012" i="44"/>
  <c r="C799" i="44"/>
  <c r="H1695" i="44"/>
  <c r="C2847" i="44"/>
  <c r="C2946" i="44"/>
  <c r="C2128" i="44"/>
  <c r="C114" i="44"/>
  <c r="E2659" i="44"/>
  <c r="E2935" i="44"/>
  <c r="E368" i="44"/>
  <c r="C2032" i="44"/>
  <c r="I1839" i="44"/>
  <c r="E1915" i="44"/>
  <c r="E614" i="44"/>
  <c r="C1909" i="44"/>
  <c r="C1001" i="44"/>
  <c r="C3046" i="44"/>
  <c r="H975" i="44"/>
  <c r="C3050" i="44"/>
  <c r="C3141" i="44"/>
  <c r="C1608" i="44"/>
  <c r="I2495" i="44"/>
  <c r="C2189" i="44"/>
  <c r="C3147" i="44"/>
  <c r="E1089" i="44"/>
  <c r="H2615" i="44"/>
  <c r="E1062" i="44"/>
  <c r="E581" i="44"/>
  <c r="E871" i="44"/>
  <c r="C2220" i="44"/>
  <c r="E1814" i="44"/>
  <c r="E1996" i="44"/>
  <c r="C1661" i="44"/>
  <c r="H2509" i="44"/>
  <c r="C2878" i="44"/>
  <c r="C2770" i="44"/>
  <c r="I2559" i="44"/>
  <c r="H2459" i="44"/>
  <c r="C2176" i="44"/>
  <c r="H2612" i="44"/>
  <c r="H2725" i="44"/>
  <c r="C1886" i="44"/>
  <c r="C2496" i="44"/>
  <c r="E983" i="44"/>
  <c r="C2303" i="44"/>
  <c r="E2584" i="44"/>
  <c r="E1994" i="44"/>
  <c r="H2566" i="44"/>
  <c r="C1068" i="44"/>
  <c r="H2622" i="44"/>
  <c r="C1638" i="44"/>
  <c r="H2555" i="44"/>
  <c r="C3153" i="44"/>
  <c r="E2294" i="44"/>
  <c r="C761" i="44"/>
  <c r="E767" i="44"/>
  <c r="C1863" i="44"/>
  <c r="H1750" i="44"/>
  <c r="E156" i="44"/>
  <c r="C1541" i="44"/>
  <c r="E2267" i="44"/>
  <c r="C538" i="44"/>
  <c r="C2561" i="44"/>
  <c r="E872" i="44"/>
  <c r="E3070" i="44"/>
  <c r="H2668" i="44"/>
  <c r="E2057" i="44"/>
  <c r="E2139" i="44"/>
  <c r="E947" i="44"/>
  <c r="H2327" i="44"/>
  <c r="C2663" i="44"/>
  <c r="C2646" i="44"/>
  <c r="E3111" i="44"/>
  <c r="H2238" i="44"/>
  <c r="C98" i="44"/>
  <c r="C327" i="44"/>
  <c r="C2773" i="44"/>
  <c r="C1952" i="44"/>
  <c r="H2084" i="44"/>
  <c r="C2990" i="44"/>
  <c r="H2143" i="44"/>
  <c r="C2815" i="44"/>
  <c r="C3110" i="44"/>
  <c r="H2585" i="44"/>
  <c r="E2772" i="44"/>
  <c r="C307" i="44"/>
  <c r="C2626" i="44"/>
  <c r="H2262" i="44"/>
  <c r="E573" i="44"/>
  <c r="E774" i="44"/>
  <c r="C2765" i="44"/>
  <c r="C1872" i="44"/>
  <c r="C1517" i="44"/>
  <c r="E2184" i="44"/>
  <c r="H2753" i="44"/>
  <c r="H2285" i="44"/>
  <c r="E1827" i="44"/>
  <c r="E312" i="44"/>
  <c r="E867" i="44"/>
  <c r="C2253" i="44"/>
  <c r="C2580" i="44"/>
  <c r="C2900" i="44"/>
  <c r="I1999" i="44"/>
  <c r="E410" i="44"/>
  <c r="H2978" i="44"/>
  <c r="E984" i="44"/>
  <c r="E210" i="44"/>
  <c r="C2260" i="44"/>
  <c r="E2963" i="44"/>
  <c r="C2398" i="44"/>
  <c r="E1835" i="44"/>
  <c r="C3401" i="44"/>
  <c r="C1821" i="44"/>
  <c r="C735" i="44"/>
  <c r="H2864" i="44"/>
  <c r="H2151" i="44"/>
  <c r="E1971" i="44"/>
  <c r="E2499" i="44"/>
  <c r="E346" i="44"/>
  <c r="C1592" i="44"/>
  <c r="I178" i="44"/>
  <c r="C1051" i="44"/>
  <c r="I3151" i="44"/>
  <c r="E1838" i="44"/>
  <c r="C886" i="44"/>
  <c r="H2984" i="44"/>
  <c r="H2853" i="44"/>
  <c r="C1876" i="44"/>
  <c r="C2598" i="44"/>
  <c r="C2657" i="44"/>
  <c r="E3020" i="44"/>
  <c r="H1597" i="44"/>
  <c r="C1959" i="44"/>
  <c r="C3449" i="44"/>
  <c r="C1002" i="44"/>
  <c r="E3009" i="44"/>
  <c r="C1065" i="44"/>
  <c r="E260" i="44"/>
  <c r="E1066" i="44"/>
  <c r="C1908" i="44"/>
  <c r="E1802" i="44"/>
  <c r="E2358" i="44"/>
  <c r="I182" i="44"/>
  <c r="C526" i="44"/>
  <c r="H1593" i="44"/>
  <c r="C2005" i="44"/>
  <c r="C2226" i="44"/>
  <c r="H1787" i="44"/>
  <c r="E2310" i="44"/>
  <c r="E1852" i="44"/>
  <c r="E228" i="44"/>
  <c r="H1909" i="44"/>
  <c r="H1977" i="44"/>
  <c r="C2273" i="44"/>
  <c r="H2821" i="44"/>
  <c r="H2670" i="44"/>
  <c r="E2813" i="44"/>
  <c r="E118" i="44"/>
  <c r="E178" i="44"/>
  <c r="H2877" i="44"/>
  <c r="E2041" i="44"/>
  <c r="H974" i="44"/>
  <c r="E2199" i="44"/>
  <c r="H2011" i="44"/>
  <c r="H200" i="44"/>
  <c r="H979" i="44"/>
  <c r="H1971" i="44"/>
  <c r="H2608" i="44"/>
  <c r="C2289" i="44"/>
  <c r="C2461" i="44"/>
  <c r="C2495" i="44"/>
  <c r="H2693" i="44"/>
  <c r="E278" i="44"/>
  <c r="H2804" i="44"/>
  <c r="C441" i="44"/>
  <c r="C1899" i="44"/>
  <c r="E2247" i="44"/>
  <c r="E2541" i="44"/>
  <c r="E313" i="44"/>
  <c r="H1832" i="44"/>
  <c r="C2384" i="44"/>
  <c r="C3142" i="44"/>
  <c r="E3001" i="44"/>
  <c r="H2718" i="44"/>
  <c r="C2998" i="44"/>
  <c r="E2896" i="44"/>
  <c r="E2458" i="44"/>
  <c r="E1961" i="44"/>
  <c r="E1616" i="44"/>
  <c r="C1780" i="44"/>
  <c r="C3064" i="44"/>
  <c r="C346" i="44"/>
  <c r="E2435" i="44"/>
  <c r="C1961" i="44"/>
  <c r="C1702" i="44"/>
  <c r="E2400" i="44"/>
  <c r="E1586" i="44"/>
  <c r="H2710" i="44"/>
  <c r="E651" i="44"/>
  <c r="E2586" i="44"/>
  <c r="H2002" i="44"/>
  <c r="C673" i="44"/>
  <c r="H3110" i="44"/>
  <c r="C2997" i="44"/>
  <c r="C2870" i="44"/>
  <c r="C1034" i="44"/>
  <c r="C3036" i="44"/>
  <c r="C3039" i="44"/>
  <c r="E412" i="44"/>
  <c r="H3162" i="44"/>
  <c r="E396" i="44"/>
  <c r="E2071" i="44"/>
  <c r="C1663" i="44"/>
  <c r="H2685" i="44"/>
  <c r="C351" i="44"/>
  <c r="E450" i="44"/>
  <c r="E2130" i="44"/>
  <c r="H2102" i="44"/>
  <c r="E2510" i="44"/>
  <c r="E3413" i="44"/>
  <c r="E3104" i="44"/>
  <c r="C2660" i="44"/>
  <c r="E847" i="44"/>
  <c r="C2465" i="44"/>
  <c r="I160" i="44"/>
  <c r="H2187" i="44"/>
  <c r="C1518" i="44"/>
  <c r="E2877" i="44"/>
  <c r="E2049" i="44"/>
  <c r="E2715" i="44"/>
  <c r="H2063" i="44"/>
  <c r="C2004" i="44"/>
  <c r="H154" i="44"/>
  <c r="C2213" i="44"/>
  <c r="E1751" i="44"/>
  <c r="H2298" i="44"/>
  <c r="H1715" i="44"/>
  <c r="C2641" i="44"/>
  <c r="C342" i="44"/>
  <c r="C2898" i="44"/>
  <c r="H2935" i="44"/>
  <c r="C302" i="44"/>
  <c r="C373" i="44"/>
  <c r="E1793" i="44"/>
  <c r="H2900" i="44"/>
  <c r="C1823" i="44"/>
  <c r="C1942" i="44"/>
  <c r="C2569" i="44"/>
  <c r="H1917" i="44"/>
  <c r="E404" i="44"/>
  <c r="E223" i="44"/>
  <c r="H2320" i="44"/>
  <c r="E1536" i="44"/>
  <c r="C2681" i="44"/>
  <c r="H2862" i="44"/>
  <c r="H2351" i="44"/>
  <c r="H2914" i="44"/>
  <c r="H2363" i="44"/>
  <c r="C2613" i="44"/>
  <c r="C1064" i="44"/>
  <c r="C2615" i="44"/>
  <c r="E1588" i="44"/>
  <c r="E2328" i="44"/>
  <c r="E3004" i="44"/>
  <c r="E988" i="44"/>
  <c r="E1818" i="44"/>
  <c r="C1749" i="44"/>
  <c r="C445" i="44"/>
  <c r="H1722" i="44"/>
  <c r="E2394" i="44"/>
  <c r="H1788" i="44"/>
  <c r="H2205" i="44"/>
  <c r="E1077" i="44"/>
  <c r="C2751" i="44"/>
  <c r="E517" i="44"/>
  <c r="H2023" i="44"/>
  <c r="C969" i="44"/>
  <c r="C2690" i="44"/>
  <c r="E679" i="44"/>
  <c r="E2509" i="44"/>
  <c r="H2189" i="44"/>
  <c r="E3092" i="44"/>
  <c r="E2161" i="44"/>
  <c r="E270" i="44"/>
  <c r="E944" i="44"/>
  <c r="C1757" i="44"/>
  <c r="C3398" i="44"/>
  <c r="E2316" i="44"/>
  <c r="C2003" i="44"/>
  <c r="E3447" i="44"/>
  <c r="C1079" i="44"/>
  <c r="H2126" i="44"/>
  <c r="H1892" i="44"/>
  <c r="C2741" i="44"/>
  <c r="E2726" i="44"/>
  <c r="C2321" i="44"/>
  <c r="C556" i="44"/>
  <c r="H1786" i="44"/>
  <c r="C1014" i="44"/>
  <c r="C1828" i="44"/>
  <c r="C3060" i="44"/>
  <c r="E513" i="44"/>
  <c r="I3071" i="44"/>
  <c r="E2534" i="44"/>
  <c r="C2921" i="44"/>
  <c r="C760" i="44"/>
  <c r="E497" i="44"/>
  <c r="C71" i="44"/>
  <c r="H972" i="44"/>
  <c r="C51" i="44"/>
  <c r="E2144" i="44"/>
  <c r="C535" i="44"/>
  <c r="H2767" i="44"/>
  <c r="E186" i="44"/>
  <c r="C2357" i="44"/>
  <c r="H2507" i="44"/>
  <c r="E377" i="44"/>
  <c r="E26" i="44"/>
  <c r="E970" i="44"/>
  <c r="H3107" i="44"/>
  <c r="C2459" i="44"/>
  <c r="E654" i="44"/>
  <c r="C2549" i="44"/>
  <c r="C554" i="44"/>
  <c r="C2985" i="44"/>
  <c r="E1849" i="44"/>
  <c r="C2642" i="44"/>
  <c r="C923" i="44"/>
  <c r="C1782" i="44"/>
  <c r="H1663" i="44"/>
  <c r="C2073" i="44"/>
  <c r="E1780" i="44"/>
  <c r="E1962" i="44"/>
  <c r="E972" i="44"/>
  <c r="C1768" i="44"/>
  <c r="H2728" i="44"/>
  <c r="E532" i="44"/>
  <c r="C1700" i="44"/>
  <c r="E84" i="44"/>
  <c r="E2025" i="44"/>
  <c r="E3003" i="44"/>
  <c r="E2402" i="44"/>
  <c r="E945" i="44"/>
  <c r="H2796" i="44"/>
  <c r="E1739" i="44"/>
  <c r="I2367" i="44"/>
  <c r="C2903" i="44"/>
  <c r="E2476" i="44"/>
  <c r="H2441" i="44"/>
  <c r="H2698" i="44"/>
  <c r="H2828" i="44"/>
  <c r="E2838" i="44"/>
  <c r="C518" i="44"/>
  <c r="E604" i="44"/>
  <c r="H2407" i="44"/>
  <c r="C527" i="44"/>
  <c r="H2142" i="44"/>
  <c r="E2939" i="44"/>
  <c r="C2079" i="44"/>
  <c r="C2956" i="44"/>
  <c r="C2557" i="44"/>
  <c r="C901" i="44"/>
  <c r="H1638" i="44"/>
  <c r="C340" i="44"/>
  <c r="H2022" i="44"/>
  <c r="H3071" i="44"/>
  <c r="C1990" i="44"/>
  <c r="E531" i="44"/>
  <c r="E2347" i="44"/>
  <c r="E2514" i="44"/>
  <c r="E1978" i="44"/>
  <c r="C1055" i="44"/>
  <c r="E2926" i="44"/>
  <c r="E11" i="44"/>
  <c r="C3016" i="44"/>
  <c r="E1794" i="44"/>
  <c r="H2009" i="44"/>
  <c r="H2290" i="44"/>
  <c r="H2426" i="44"/>
  <c r="C862" i="44"/>
  <c r="C972" i="44"/>
  <c r="C1744" i="44"/>
  <c r="C2614" i="44"/>
  <c r="E1085" i="44"/>
  <c r="E645" i="44"/>
  <c r="E2102" i="44"/>
  <c r="H3070" i="44"/>
  <c r="C1599" i="44"/>
  <c r="E2182" i="44"/>
  <c r="E122" i="44"/>
  <c r="E473" i="44"/>
  <c r="E2747" i="44"/>
  <c r="E343" i="44"/>
  <c r="E514" i="44"/>
  <c r="E583" i="44"/>
  <c r="H1639" i="44"/>
  <c r="C2428" i="44"/>
  <c r="H2969" i="44"/>
  <c r="C692" i="44"/>
  <c r="C912" i="44"/>
  <c r="H2141" i="44"/>
  <c r="C934" i="44"/>
  <c r="C2374" i="44"/>
  <c r="E481" i="44"/>
  <c r="H2689" i="44"/>
  <c r="E2883" i="44"/>
  <c r="C1616" i="44"/>
  <c r="E255" i="44"/>
  <c r="C2037" i="44"/>
  <c r="C2902" i="44"/>
  <c r="E1026" i="44"/>
  <c r="E3053" i="44"/>
  <c r="C468" i="44"/>
  <c r="C2542" i="44"/>
  <c r="C2113" i="44"/>
  <c r="E713" i="44"/>
  <c r="E2029" i="44"/>
  <c r="E3446" i="44"/>
  <c r="E2361" i="44"/>
  <c r="H1827" i="44"/>
  <c r="E69" i="44"/>
  <c r="C1676" i="44"/>
  <c r="E1642" i="44"/>
  <c r="C231" i="44"/>
  <c r="C1964" i="44"/>
  <c r="E731" i="44"/>
  <c r="E893" i="44"/>
  <c r="E2602" i="44"/>
  <c r="C1074" i="44"/>
  <c r="H204" i="44"/>
  <c r="C1510" i="44"/>
  <c r="E2309" i="44"/>
  <c r="H2418" i="44"/>
  <c r="E261" i="44"/>
  <c r="E819" i="44"/>
  <c r="C2800" i="44"/>
  <c r="C3128" i="44"/>
  <c r="H2515" i="44"/>
  <c r="E389" i="44"/>
  <c r="C2182" i="44"/>
  <c r="H1830" i="44"/>
  <c r="E1840" i="44"/>
  <c r="E3077" i="44"/>
  <c r="H2640" i="44"/>
  <c r="C2916" i="44"/>
  <c r="H2945" i="44"/>
  <c r="C2512" i="44"/>
  <c r="C2761" i="44"/>
  <c r="E3052" i="44"/>
  <c r="H2510" i="44"/>
  <c r="C1805" i="44"/>
  <c r="H2193" i="44"/>
  <c r="C485" i="44"/>
  <c r="H2196" i="44"/>
  <c r="C3063" i="44"/>
  <c r="C2144" i="44"/>
  <c r="C1658" i="44"/>
  <c r="E57" i="44"/>
  <c r="H2199" i="44"/>
  <c r="E932" i="44"/>
  <c r="H1595" i="44"/>
  <c r="C2914" i="44"/>
  <c r="C491" i="44"/>
  <c r="H1846" i="44"/>
  <c r="C763" i="44"/>
  <c r="C474" i="44"/>
  <c r="C3441" i="44"/>
  <c r="E447" i="44"/>
  <c r="H2654" i="44"/>
  <c r="H1845" i="44"/>
  <c r="H2369" i="44"/>
  <c r="E802" i="44"/>
  <c r="E527" i="44"/>
  <c r="H1959" i="44"/>
  <c r="C2464" i="44"/>
  <c r="E2050" i="44"/>
  <c r="H1996" i="44"/>
  <c r="E503" i="44"/>
  <c r="C2904" i="44"/>
  <c r="H2774" i="44"/>
  <c r="C2194" i="44"/>
  <c r="C942" i="44"/>
  <c r="H2573" i="44"/>
  <c r="H1699" i="44"/>
  <c r="E734" i="44"/>
  <c r="C326" i="44"/>
  <c r="E2286" i="44"/>
  <c r="E1732" i="44"/>
  <c r="C1896" i="44"/>
  <c r="E2546" i="44"/>
  <c r="C118" i="44"/>
  <c r="E2312" i="44"/>
  <c r="E3078" i="44"/>
  <c r="E486" i="44"/>
  <c r="C510" i="44"/>
  <c r="H1991" i="44"/>
  <c r="C3056" i="44"/>
  <c r="E1516" i="44"/>
  <c r="H2303" i="44"/>
  <c r="E1851" i="44"/>
  <c r="E3129" i="44"/>
  <c r="H1754" i="44"/>
  <c r="E644" i="44"/>
  <c r="C2244" i="44"/>
  <c r="C2452" i="44"/>
  <c r="H2057" i="44"/>
  <c r="C1050" i="44"/>
  <c r="E251" i="44"/>
  <c r="E3029" i="44"/>
  <c r="H2297" i="44"/>
  <c r="E2061" i="44"/>
  <c r="E2809" i="44"/>
  <c r="H1939" i="44"/>
  <c r="H2051" i="44"/>
  <c r="C1549" i="44"/>
  <c r="C624" i="44"/>
  <c r="C1054" i="44"/>
  <c r="E264" i="44"/>
  <c r="E1975" i="44"/>
  <c r="E348" i="44"/>
  <c r="H2745" i="44"/>
  <c r="C119" i="44"/>
  <c r="H1716" i="44"/>
  <c r="C1988" i="44"/>
  <c r="C2804" i="44"/>
  <c r="E2650" i="44"/>
  <c r="E2524" i="44"/>
  <c r="E2356" i="44"/>
  <c r="H2511" i="44"/>
  <c r="C1745" i="44"/>
  <c r="C2738" i="44"/>
  <c r="C453" i="44"/>
  <c r="C878" i="44"/>
  <c r="C2098" i="44"/>
  <c r="C489" i="44"/>
  <c r="C73" i="44"/>
  <c r="C3164" i="44"/>
  <c r="C605" i="44"/>
  <c r="E1690" i="44"/>
  <c r="E757" i="44"/>
  <c r="E715" i="44"/>
  <c r="E3120" i="44"/>
  <c r="H2166" i="44"/>
  <c r="E2779" i="44"/>
  <c r="C1986" i="44"/>
  <c r="E931" i="44"/>
  <c r="C3048" i="44"/>
  <c r="E2188" i="44"/>
  <c r="C734" i="44"/>
  <c r="E846" i="44"/>
  <c r="H2724" i="44"/>
  <c r="H3078" i="44"/>
  <c r="H2557" i="44"/>
  <c r="C2346" i="44"/>
  <c r="H2887" i="44"/>
  <c r="E619" i="44"/>
  <c r="H2578" i="44"/>
  <c r="C1062" i="44"/>
  <c r="C2714" i="44"/>
  <c r="H2749" i="44"/>
  <c r="C1724" i="44"/>
  <c r="H2243" i="44"/>
  <c r="E1678" i="44"/>
  <c r="E557" i="44"/>
  <c r="E2851" i="44"/>
  <c r="C2325" i="44"/>
  <c r="H1875" i="44"/>
  <c r="E435" i="44"/>
  <c r="E3128" i="44"/>
  <c r="H3040" i="44"/>
  <c r="E2582" i="44"/>
  <c r="E821" i="44"/>
  <c r="C700" i="44"/>
  <c r="C887" i="44"/>
  <c r="H2596" i="44"/>
  <c r="H1792" i="44"/>
  <c r="E1789" i="44"/>
  <c r="C856" i="44"/>
  <c r="E1813" i="44"/>
  <c r="C2788" i="44"/>
  <c r="C2146" i="44"/>
  <c r="E1010" i="44"/>
  <c r="C1777" i="44"/>
  <c r="E2628" i="44"/>
  <c r="C1820" i="44"/>
  <c r="C2306" i="44"/>
  <c r="E79" i="44"/>
  <c r="E3024" i="44"/>
  <c r="C620" i="44"/>
  <c r="E15" i="44"/>
  <c r="H3000" i="44"/>
  <c r="C788" i="44"/>
  <c r="E1055" i="44"/>
  <c r="E140" i="44"/>
  <c r="E1917" i="44"/>
  <c r="C1648" i="44"/>
  <c r="E445" i="44"/>
  <c r="E623" i="44"/>
  <c r="C1993" i="44"/>
  <c r="H2468" i="44"/>
  <c r="C3442" i="44"/>
  <c r="C913" i="44"/>
  <c r="C726" i="44"/>
  <c r="C26" i="44"/>
  <c r="C2838" i="44"/>
  <c r="H2614" i="44"/>
  <c r="C448" i="44"/>
  <c r="H2647" i="44"/>
  <c r="E325" i="44"/>
  <c r="C2208" i="44"/>
  <c r="C1545" i="44"/>
  <c r="E273" i="44"/>
  <c r="H2040" i="44"/>
  <c r="E2013" i="44"/>
  <c r="E2204" i="44"/>
  <c r="C2712" i="44"/>
  <c r="E2897" i="44"/>
  <c r="H1713" i="44"/>
  <c r="H2567" i="44"/>
  <c r="C1519" i="44"/>
  <c r="C2816" i="44"/>
  <c r="H2116" i="44"/>
  <c r="C2426" i="44"/>
  <c r="C2668" i="44"/>
  <c r="C1030" i="44"/>
  <c r="E2800" i="44"/>
  <c r="E712" i="44"/>
  <c r="E9" i="44"/>
  <c r="H2383" i="44"/>
  <c r="C1058" i="44"/>
  <c r="E2741" i="44"/>
  <c r="H1707" i="44"/>
  <c r="E2343" i="44"/>
  <c r="E2905" i="44"/>
  <c r="H2170" i="44"/>
  <c r="E698" i="44"/>
  <c r="C2438" i="44"/>
  <c r="C2035" i="44"/>
  <c r="C1775" i="44"/>
  <c r="H1876" i="44"/>
  <c r="E2378" i="44"/>
  <c r="C2821" i="44"/>
  <c r="H1824" i="44"/>
  <c r="H2127" i="44"/>
  <c r="C1761" i="44"/>
  <c r="C634" i="44"/>
  <c r="H3114" i="44"/>
  <c r="H2762" i="44"/>
  <c r="C850" i="44"/>
  <c r="H2503" i="44"/>
  <c r="E2880" i="44"/>
  <c r="C1053" i="44"/>
  <c r="E1792" i="44"/>
  <c r="E1965" i="44"/>
  <c r="C541" i="44"/>
  <c r="E1012" i="44"/>
  <c r="H2446" i="44"/>
  <c r="E2878" i="44"/>
  <c r="C1669" i="44"/>
  <c r="E1509" i="44"/>
  <c r="E2334" i="44"/>
  <c r="E616" i="44"/>
  <c r="E438" i="44"/>
  <c r="E455" i="44"/>
  <c r="C565" i="44"/>
  <c r="H3047" i="44"/>
  <c r="E750" i="44"/>
  <c r="C1950" i="44"/>
  <c r="E2563" i="44"/>
  <c r="E678" i="44"/>
  <c r="C2252" i="44"/>
  <c r="E1673" i="44"/>
  <c r="C615" i="44"/>
  <c r="E2648" i="44"/>
  <c r="E1888" i="44"/>
  <c r="E3425" i="44"/>
  <c r="C1783" i="44"/>
  <c r="E3401" i="44"/>
  <c r="E1841" i="44"/>
  <c r="H2217" i="44"/>
  <c r="E1804" i="44"/>
  <c r="C2701" i="44"/>
  <c r="C3100" i="44"/>
  <c r="E3389" i="44"/>
  <c r="E578" i="44"/>
  <c r="H2544" i="44"/>
  <c r="C3057" i="44"/>
  <c r="H2876" i="44"/>
  <c r="E2087" i="44"/>
  <c r="C693" i="44"/>
  <c r="H2305" i="44"/>
  <c r="C2784" i="44"/>
  <c r="C3008" i="44"/>
  <c r="E2978" i="44"/>
  <c r="E2711" i="44"/>
  <c r="E1897" i="44"/>
  <c r="C2219" i="44"/>
  <c r="E1529" i="44"/>
  <c r="C1699" i="44"/>
  <c r="C2814" i="44"/>
  <c r="C2287" i="44"/>
  <c r="C67" i="44"/>
  <c r="E2304" i="44"/>
  <c r="H1913" i="44"/>
  <c r="E3411" i="44"/>
  <c r="E2869" i="44"/>
  <c r="C617" i="44"/>
  <c r="I1887" i="44"/>
  <c r="H2541" i="44"/>
  <c r="C621" i="44"/>
  <c r="H2411" i="44"/>
  <c r="E2059" i="44"/>
  <c r="E401" i="44"/>
  <c r="E380" i="44"/>
  <c r="C2145" i="44"/>
  <c r="C677" i="44"/>
  <c r="I2143" i="44"/>
  <c r="E1781" i="44"/>
  <c r="H2641" i="44"/>
  <c r="C3093" i="44"/>
  <c r="C2227" i="44"/>
  <c r="H2096" i="44"/>
  <c r="C3117" i="44"/>
  <c r="C1728" i="44"/>
  <c r="H2587" i="44"/>
  <c r="E458" i="44"/>
  <c r="C450" i="44"/>
  <c r="E2036" i="44"/>
  <c r="E94" i="44"/>
  <c r="E2990" i="44"/>
  <c r="H1689" i="44"/>
  <c r="E1762" i="44"/>
  <c r="I2863" i="44"/>
  <c r="E487" i="44"/>
  <c r="E637" i="44"/>
  <c r="C3134" i="44"/>
  <c r="E1088" i="44"/>
  <c r="E605" i="44"/>
  <c r="H2657" i="44"/>
  <c r="E1013" i="44"/>
  <c r="H1709" i="44"/>
  <c r="C2595" i="44"/>
  <c r="E607" i="44"/>
  <c r="C107" i="44"/>
  <c r="C705" i="44"/>
  <c r="H210" i="44"/>
  <c r="C2654" i="44"/>
  <c r="E661" i="44"/>
  <c r="C402" i="44"/>
  <c r="H2653" i="44"/>
  <c r="C2571" i="44"/>
  <c r="C2548" i="44"/>
  <c r="H1865" i="44"/>
  <c r="E2855" i="44"/>
  <c r="C3421" i="44"/>
  <c r="C383" i="44"/>
  <c r="H2089" i="44"/>
  <c r="C1613" i="44"/>
  <c r="C2198" i="44"/>
  <c r="C400" i="44"/>
  <c r="H2569" i="44"/>
  <c r="C1901" i="44"/>
  <c r="E2344" i="44"/>
  <c r="C2350" i="44"/>
  <c r="E2656" i="44"/>
  <c r="C3403" i="44"/>
  <c r="C892" i="44"/>
  <c r="C2029" i="44"/>
  <c r="E649" i="44"/>
  <c r="E836" i="44"/>
  <c r="E2791" i="44"/>
  <c r="H2388" i="44"/>
  <c r="C2858" i="44"/>
  <c r="H2807" i="44"/>
  <c r="E1900" i="44"/>
  <c r="E232" i="44"/>
  <c r="H1848" i="44"/>
  <c r="E2647" i="44"/>
  <c r="E692" i="44"/>
  <c r="E857" i="44"/>
  <c r="C3158" i="44"/>
  <c r="C1044" i="44"/>
  <c r="C31" i="44"/>
  <c r="C2587" i="44"/>
  <c r="C599" i="44"/>
  <c r="C659" i="44"/>
  <c r="E865" i="44"/>
  <c r="E1087" i="44"/>
  <c r="H1697" i="44"/>
  <c r="E714" i="44"/>
  <c r="E1912" i="44"/>
  <c r="H2440" i="44"/>
  <c r="C2713" i="44"/>
  <c r="E3037" i="44"/>
  <c r="C2513" i="44"/>
  <c r="E2696" i="44"/>
  <c r="C10" i="44"/>
  <c r="C3382" i="44"/>
  <c r="C2401" i="44"/>
  <c r="E2260" i="44"/>
  <c r="E2941" i="44"/>
  <c r="E3429" i="44"/>
  <c r="C3076" i="44"/>
  <c r="E2497" i="44"/>
  <c r="C3023" i="44"/>
  <c r="C2939" i="44"/>
  <c r="E272" i="44"/>
  <c r="H194" i="44"/>
  <c r="C3089" i="44"/>
  <c r="H2454" i="44"/>
  <c r="E926" i="44"/>
  <c r="C1867" i="44"/>
  <c r="E2824" i="44"/>
  <c r="E2944" i="44"/>
  <c r="C2891" i="44"/>
  <c r="H3037" i="44"/>
  <c r="E1778" i="44"/>
  <c r="E747" i="44"/>
  <c r="H1883" i="44"/>
  <c r="H1605" i="44"/>
  <c r="C2048" i="44"/>
  <c r="E2622" i="44"/>
  <c r="E3114" i="44"/>
  <c r="E2986" i="44"/>
  <c r="H2247" i="44"/>
  <c r="E461" i="44"/>
  <c r="C2888" i="44"/>
  <c r="C2093" i="44"/>
  <c r="E3127" i="44"/>
  <c r="E2342" i="44"/>
  <c r="H1779" i="44"/>
  <c r="C1629" i="44"/>
  <c r="E565" i="44"/>
  <c r="E2804" i="44"/>
  <c r="C3107" i="44"/>
  <c r="E1930" i="44"/>
  <c r="C2517" i="44"/>
  <c r="H2802" i="44"/>
  <c r="H2790" i="44"/>
  <c r="E2569" i="44"/>
  <c r="I2975" i="44"/>
  <c r="H1669" i="44"/>
  <c r="C1752" i="44"/>
  <c r="H2469" i="44"/>
  <c r="H2497" i="44"/>
  <c r="E3377" i="44"/>
  <c r="E2734" i="44"/>
  <c r="E2691" i="44"/>
  <c r="H2272" i="44"/>
  <c r="H1760" i="44"/>
  <c r="C587" i="44"/>
  <c r="H2177" i="44"/>
  <c r="C855" i="44"/>
  <c r="C749" i="44"/>
  <c r="C2430" i="44"/>
  <c r="E1073" i="44"/>
  <c r="C716" i="44"/>
  <c r="C2449" i="44"/>
  <c r="C2591" i="44"/>
  <c r="E2931" i="44"/>
  <c r="E1740" i="44"/>
  <c r="E2449" i="44"/>
  <c r="E1654" i="44"/>
  <c r="E1995" i="44"/>
  <c r="C1982" i="44"/>
  <c r="C2723" i="44"/>
  <c r="E142" i="44"/>
  <c r="H2638" i="44"/>
  <c r="E941" i="44"/>
  <c r="C882" i="44"/>
  <c r="E2670" i="44"/>
  <c r="H2417" i="44"/>
  <c r="C3040" i="44"/>
  <c r="E2395" i="44"/>
  <c r="C924" i="44"/>
  <c r="C569" i="44"/>
  <c r="C858" i="44"/>
  <c r="H1910" i="44"/>
  <c r="C3410" i="44"/>
  <c r="E23" i="44"/>
  <c r="H1718" i="44"/>
  <c r="E190" i="44"/>
  <c r="C2790" i="44"/>
  <c r="E2714" i="44"/>
  <c r="E784" i="44"/>
  <c r="C1736" i="44"/>
  <c r="H3066" i="44"/>
  <c r="H3132" i="44"/>
  <c r="H2973" i="44"/>
  <c r="H160" i="44"/>
  <c r="C437" i="44"/>
  <c r="C479" i="44"/>
  <c r="H1675" i="44"/>
  <c r="C1707" i="44"/>
  <c r="E2097" i="44"/>
  <c r="H2906" i="44"/>
  <c r="E1968" i="44"/>
  <c r="C3118" i="44"/>
  <c r="I2031" i="44"/>
  <c r="E3025" i="44"/>
  <c r="I2127" i="44"/>
  <c r="H1822" i="44"/>
  <c r="E2044" i="44"/>
  <c r="C2413" i="44"/>
  <c r="H2109" i="44"/>
  <c r="E2128" i="44"/>
  <c r="C2840" i="44"/>
  <c r="H2985" i="44"/>
  <c r="H2493" i="44"/>
  <c r="E913" i="44"/>
  <c r="C2823" i="44"/>
  <c r="C2830" i="44"/>
  <c r="C696" i="44"/>
  <c r="C1026" i="44"/>
  <c r="H1643" i="44"/>
  <c r="E456" i="44"/>
  <c r="C2363" i="44"/>
  <c r="C243" i="44"/>
  <c r="E258" i="44"/>
  <c r="E2876" i="44"/>
  <c r="C2643" i="44"/>
  <c r="E3091" i="44"/>
  <c r="H3051" i="44"/>
  <c r="C2661" i="44"/>
  <c r="C2869" i="44"/>
  <c r="C667" i="44"/>
  <c r="E2762" i="44"/>
  <c r="C1831" i="44"/>
  <c r="E307" i="44"/>
  <c r="E2285" i="44"/>
  <c r="E2969" i="44"/>
  <c r="H2130" i="44"/>
  <c r="C2716" i="44"/>
  <c r="E2770" i="44"/>
  <c r="E1982" i="44"/>
  <c r="C2616" i="44"/>
  <c r="E3437" i="44"/>
  <c r="H1596" i="44"/>
  <c r="E1779" i="44"/>
  <c r="C3416" i="44"/>
  <c r="H2017" i="44"/>
  <c r="C406" i="44"/>
  <c r="H2898" i="44"/>
  <c r="E3086" i="44"/>
  <c r="E117" i="44"/>
  <c r="E1828" i="44"/>
  <c r="H2910" i="44"/>
  <c r="H2171" i="44"/>
  <c r="H1803" i="44"/>
  <c r="E3117" i="44"/>
  <c r="C2527" i="44"/>
  <c r="C2322" i="44"/>
  <c r="H1840" i="44"/>
  <c r="H2543" i="44"/>
  <c r="E681" i="44"/>
  <c r="E1990" i="44"/>
  <c r="C713" i="44"/>
  <c r="E1758" i="44"/>
  <c r="H2928" i="44"/>
  <c r="C2607" i="44"/>
  <c r="C1061" i="44"/>
  <c r="H3098" i="44"/>
  <c r="I2959" i="44"/>
  <c r="C2987" i="44"/>
  <c r="H3023" i="44"/>
  <c r="C663" i="44"/>
  <c r="E119" i="44"/>
  <c r="E1820" i="44"/>
  <c r="H1648" i="44"/>
  <c r="C1076" i="44"/>
  <c r="C2335" i="44"/>
  <c r="C2834" i="44"/>
  <c r="E2154" i="44"/>
  <c r="H1584" i="44"/>
  <c r="C2308" i="44"/>
  <c r="H2902" i="44"/>
  <c r="E2288" i="44"/>
  <c r="H2988" i="44"/>
  <c r="H3156" i="44"/>
  <c r="H2995" i="44"/>
  <c r="C2762" i="44"/>
  <c r="E351" i="44"/>
  <c r="E3113" i="44"/>
  <c r="H1682" i="44"/>
  <c r="J1136" i="44"/>
  <c r="H2676" i="44"/>
  <c r="E1875" i="44"/>
  <c r="E1511" i="44"/>
  <c r="H1777" i="44"/>
  <c r="C652" i="44"/>
  <c r="H2257" i="44"/>
  <c r="E592" i="44"/>
  <c r="E2387" i="44"/>
  <c r="E660" i="44"/>
  <c r="H2779" i="44"/>
  <c r="H2707" i="44"/>
  <c r="C3066" i="44"/>
  <c r="E1000" i="44"/>
  <c r="C3394" i="44"/>
  <c r="C2553" i="44"/>
  <c r="C823" i="44"/>
  <c r="H1726" i="44"/>
  <c r="E2471" i="44"/>
  <c r="E2072" i="44"/>
  <c r="C725" i="44"/>
  <c r="C1601" i="44"/>
  <c r="E3068" i="44"/>
  <c r="C3006" i="44"/>
  <c r="E366" i="44"/>
  <c r="C2507" i="44"/>
  <c r="C2068" i="44"/>
  <c r="C1776" i="44"/>
  <c r="C2012" i="44"/>
  <c r="C2083" i="44"/>
  <c r="C2910" i="44"/>
  <c r="E1024" i="44"/>
  <c r="E1676" i="44"/>
  <c r="C411" i="44"/>
  <c r="H2918" i="44"/>
  <c r="C3417" i="44"/>
  <c r="C635" i="44"/>
  <c r="E1011" i="44"/>
  <c r="H2450" i="44"/>
  <c r="H2651" i="44"/>
  <c r="E687" i="44"/>
  <c r="C2658" i="44"/>
  <c r="H2119" i="44"/>
  <c r="H3097" i="44"/>
  <c r="E2446" i="44"/>
  <c r="E2667" i="44"/>
  <c r="E2651" i="44"/>
  <c r="E3398" i="44"/>
  <c r="C1837" i="44"/>
  <c r="H2967" i="44"/>
  <c r="E2624" i="44"/>
  <c r="E1783" i="44"/>
  <c r="C2141" i="44"/>
  <c r="H3068" i="44"/>
  <c r="E2921" i="44"/>
  <c r="C2854" i="44"/>
  <c r="C860" i="44"/>
  <c r="H2597" i="44"/>
  <c r="E2407" i="44"/>
  <c r="C2007" i="44"/>
  <c r="E1844" i="44"/>
  <c r="C775" i="44"/>
  <c r="E881" i="44"/>
  <c r="E1666" i="44"/>
  <c r="E2904" i="44"/>
  <c r="H1719" i="44"/>
  <c r="H2076" i="44"/>
  <c r="C1879" i="44"/>
  <c r="C1687" i="44"/>
  <c r="E980" i="44"/>
  <c r="H2058" i="44"/>
  <c r="H2136" i="44"/>
  <c r="C1659" i="44"/>
  <c r="C1597" i="44"/>
  <c r="C6" i="44"/>
  <c r="C2202" i="44"/>
  <c r="E1957" i="44"/>
  <c r="E1734" i="44"/>
  <c r="H2357" i="44"/>
  <c r="H2891" i="44"/>
  <c r="C3397" i="44"/>
  <c r="C756" i="44"/>
  <c r="E596" i="44"/>
  <c r="H2582" i="44"/>
  <c r="H1681" i="44"/>
  <c r="C462" i="44"/>
  <c r="C2872" i="44"/>
  <c r="H1835" i="44"/>
  <c r="C2586" i="44"/>
  <c r="E1058" i="44"/>
  <c r="C2013" i="44"/>
  <c r="E2120" i="44"/>
  <c r="E3058" i="44"/>
  <c r="H2018" i="44"/>
  <c r="E3156" i="44"/>
  <c r="E2962" i="44"/>
  <c r="C2943" i="44"/>
  <c r="E2794" i="44"/>
  <c r="C1822" i="44"/>
  <c r="E3141" i="44"/>
  <c r="I1679" i="44"/>
  <c r="C2364" i="44"/>
  <c r="C3070" i="44"/>
  <c r="H1637" i="44"/>
  <c r="C2954" i="44"/>
  <c r="C629" i="44"/>
  <c r="H1667" i="44"/>
  <c r="E2531" i="44"/>
  <c r="C2392" i="44"/>
  <c r="C1868" i="44"/>
  <c r="H2694" i="44"/>
  <c r="E518" i="44"/>
  <c r="E1023" i="44"/>
  <c r="E724" i="44"/>
  <c r="C2297" i="44"/>
  <c r="E1675" i="44"/>
  <c r="H2565" i="44"/>
  <c r="E2891" i="44"/>
  <c r="E1977" i="44"/>
  <c r="H3102" i="44"/>
  <c r="C1019" i="44"/>
  <c r="C2188" i="44"/>
  <c r="E2021" i="44"/>
  <c r="C2648" i="44"/>
  <c r="H2287" i="44"/>
  <c r="E41" i="44"/>
  <c r="H2663" i="44"/>
  <c r="H178" i="44"/>
  <c r="C3375" i="44"/>
  <c r="E663" i="44"/>
  <c r="E2382" i="44"/>
  <c r="H2462" i="44"/>
  <c r="H3031" i="44"/>
  <c r="H152" i="44"/>
  <c r="H2743" i="44"/>
  <c r="E2708" i="44"/>
  <c r="E2570" i="44"/>
  <c r="C2600" i="44"/>
  <c r="C1523" i="44"/>
  <c r="E2606" i="44"/>
  <c r="C3161" i="44"/>
  <c r="E2089" i="44"/>
  <c r="H2968" i="44"/>
  <c r="C1094" i="44"/>
  <c r="C1815" i="44"/>
  <c r="E1992" i="44"/>
  <c r="C2839" i="44"/>
  <c r="H1819" i="44"/>
  <c r="C2636" i="44"/>
  <c r="C3426" i="44"/>
  <c r="E3138" i="44"/>
  <c r="E680" i="44"/>
  <c r="C2974" i="44"/>
  <c r="E2324" i="44"/>
  <c r="C827" i="44"/>
  <c r="E2153" i="44"/>
  <c r="C3395" i="44"/>
  <c r="E2952" i="44"/>
  <c r="H2635" i="44"/>
  <c r="H1793" i="44"/>
  <c r="E704" i="44"/>
  <c r="C2554" i="44"/>
  <c r="E2062" i="44"/>
  <c r="E791" i="44"/>
  <c r="E892" i="44"/>
  <c r="E642" i="44"/>
  <c r="E1627" i="44"/>
  <c r="H2948" i="44"/>
  <c r="E761" i="44"/>
  <c r="E2054" i="44"/>
  <c r="C638" i="44"/>
  <c r="C483" i="44"/>
  <c r="C1059" i="44"/>
  <c r="E344" i="44"/>
  <c r="H2892" i="44"/>
  <c r="E2737" i="44"/>
  <c r="C2975" i="44"/>
  <c r="C418" i="44"/>
  <c r="E1753" i="44"/>
  <c r="C2309" i="44"/>
  <c r="E1761" i="44"/>
  <c r="H1676" i="44"/>
  <c r="C844" i="44"/>
  <c r="E2257" i="44"/>
  <c r="E2621" i="44"/>
  <c r="C2558" i="44"/>
  <c r="E2562" i="44"/>
  <c r="E1756" i="44"/>
  <c r="C715" i="44"/>
  <c r="E1821" i="44"/>
  <c r="C797" i="44"/>
  <c r="C2055" i="44"/>
  <c r="C2405" i="44"/>
  <c r="E525" i="44"/>
  <c r="C103" i="44"/>
  <c r="E1691" i="44"/>
  <c r="E98" i="44"/>
  <c r="C977" i="44"/>
  <c r="H2483" i="44"/>
  <c r="C1853" i="44"/>
  <c r="C429" i="44"/>
  <c r="C2172" i="44"/>
  <c r="C1650" i="44"/>
  <c r="E2338" i="44"/>
  <c r="H2059" i="44"/>
  <c r="C111" i="44"/>
  <c r="C105" i="44"/>
  <c r="E482" i="44"/>
  <c r="H1635" i="44"/>
  <c r="C365" i="44"/>
  <c r="E1590" i="44"/>
  <c r="H2899" i="44"/>
  <c r="C116" i="44"/>
  <c r="E838" i="44"/>
  <c r="E459" i="44"/>
  <c r="H2787" i="44"/>
  <c r="H3141" i="44"/>
  <c r="C3119" i="44"/>
  <c r="E1056" i="44"/>
  <c r="C2781" i="44"/>
  <c r="H2291" i="44"/>
  <c r="E314" i="44"/>
  <c r="E2412" i="44"/>
  <c r="C2875" i="44"/>
  <c r="C683" i="44"/>
  <c r="E585" i="44"/>
  <c r="E1655" i="44"/>
  <c r="H2546" i="44"/>
  <c r="C1767" i="44"/>
  <c r="I1711" i="44"/>
  <c r="C3038" i="44"/>
  <c r="C909" i="44"/>
  <c r="J1137" i="44"/>
  <c r="E1784" i="44"/>
  <c r="C336" i="44"/>
  <c r="H2074" i="44"/>
  <c r="E2819" i="44"/>
  <c r="C2348" i="44"/>
  <c r="C2489" i="44"/>
  <c r="C1865" i="44"/>
  <c r="C2579" i="44"/>
  <c r="E257" i="44"/>
  <c r="E2167" i="44"/>
  <c r="E3146" i="44"/>
  <c r="H2213" i="44"/>
  <c r="E827" i="44"/>
  <c r="E2100" i="44"/>
  <c r="C651" i="44"/>
  <c r="C2190" i="44"/>
  <c r="E1546" i="44"/>
  <c r="H1727" i="44"/>
  <c r="C806" i="44"/>
  <c r="H1620" i="44"/>
  <c r="C1945" i="44"/>
  <c r="C2442" i="44"/>
  <c r="E2916" i="44"/>
  <c r="E111" i="44"/>
  <c r="H2667" i="44"/>
  <c r="C1588" i="44"/>
  <c r="I2639" i="44"/>
  <c r="E711" i="44"/>
  <c r="C593" i="44"/>
  <c r="C2535" i="44"/>
  <c r="E3134" i="44"/>
  <c r="C2948" i="44"/>
  <c r="C982" i="44"/>
  <c r="H1738" i="44"/>
  <c r="E2451" i="44"/>
  <c r="E2250" i="44"/>
  <c r="H2994" i="44"/>
  <c r="E2074" i="44"/>
  <c r="E752" i="44"/>
  <c r="C1954" i="44"/>
  <c r="H2703" i="44"/>
  <c r="E245" i="44"/>
  <c r="C574" i="44"/>
  <c r="H1850" i="44"/>
  <c r="C57" i="44"/>
  <c r="C2038" i="44"/>
  <c r="H3015" i="44"/>
  <c r="H2299" i="44"/>
  <c r="E719" i="44"/>
  <c r="H3013" i="44"/>
  <c r="C925" i="44"/>
  <c r="H3082" i="44"/>
  <c r="H2956" i="44"/>
  <c r="C1996" i="44"/>
  <c r="H2832" i="44"/>
  <c r="E2834" i="44"/>
  <c r="I3135" i="44"/>
  <c r="C1874" i="44"/>
  <c r="E2957" i="44"/>
  <c r="C2315" i="44"/>
  <c r="H2843" i="44"/>
  <c r="H2981" i="44"/>
  <c r="C3027" i="44"/>
  <c r="E2178" i="44"/>
  <c r="C2418" i="44"/>
  <c r="E1067" i="44"/>
  <c r="I156" i="44"/>
  <c r="H2225" i="44"/>
  <c r="H2329" i="44"/>
  <c r="E1889" i="44"/>
  <c r="C2759" i="44"/>
  <c r="E670" i="44"/>
  <c r="E3076" i="44"/>
  <c r="E1029" i="44"/>
  <c r="E60" i="44"/>
  <c r="H2484" i="44"/>
  <c r="E1958" i="44"/>
  <c r="E334" i="44"/>
  <c r="C1904" i="44"/>
  <c r="E2331" i="44"/>
  <c r="C1671" i="44"/>
  <c r="E2329" i="44"/>
  <c r="E1765" i="44"/>
  <c r="E2485" i="44"/>
  <c r="C2576" i="44"/>
  <c r="C1732" i="44"/>
  <c r="C712" i="44"/>
  <c r="E2273" i="44"/>
  <c r="E2852" i="44"/>
  <c r="H2488" i="44"/>
  <c r="C300" i="44"/>
  <c r="E845" i="44"/>
  <c r="E2365" i="44"/>
  <c r="C907" i="44"/>
  <c r="I2463" i="44"/>
  <c r="E2748" i="44"/>
  <c r="C487" i="44"/>
  <c r="C2192" i="44"/>
  <c r="H2798" i="44"/>
  <c r="E1944" i="44"/>
  <c r="C853" i="44"/>
  <c r="C2700" i="44"/>
  <c r="E2658" i="44"/>
  <c r="H2755" i="44"/>
  <c r="H1946" i="44"/>
  <c r="C641" i="44"/>
  <c r="C449" i="44"/>
  <c r="E2453" i="44"/>
  <c r="C2699" i="44"/>
  <c r="E2604" i="44"/>
  <c r="C13" i="44"/>
  <c r="E523" i="44"/>
  <c r="E866" i="44"/>
  <c r="E677" i="44"/>
  <c r="C515" i="44"/>
  <c r="H2563" i="44"/>
  <c r="H1852" i="44"/>
  <c r="C2118" i="44"/>
  <c r="E2192" i="44"/>
  <c r="H1999" i="44"/>
  <c r="C674" i="44"/>
  <c r="C2180" i="44"/>
  <c r="E2954" i="44"/>
  <c r="E1719" i="44"/>
  <c r="C3071" i="44"/>
  <c r="C876" i="44"/>
  <c r="E2749" i="44"/>
  <c r="E2817" i="44"/>
  <c r="E68" i="44"/>
  <c r="H1704" i="44"/>
  <c r="C2057" i="44"/>
  <c r="E3008" i="44"/>
  <c r="C2972" i="44"/>
  <c r="E842" i="44"/>
  <c r="C2687" i="44"/>
  <c r="C220" i="44"/>
  <c r="H2996" i="44"/>
  <c r="C312" i="44"/>
  <c r="E2720" i="44"/>
  <c r="E979" i="44"/>
  <c r="E1542" i="44"/>
  <c r="C870" i="44"/>
  <c r="E247" i="44"/>
  <c r="E1757" i="44"/>
  <c r="C783" i="44"/>
  <c r="E3408" i="44"/>
  <c r="E969" i="44"/>
  <c r="E1048" i="44"/>
  <c r="E2208" i="44"/>
  <c r="C1086" i="44"/>
  <c r="E1922" i="44"/>
  <c r="E2462" i="44"/>
  <c r="E1945" i="44"/>
  <c r="H3122" i="44"/>
  <c r="C427" i="44"/>
  <c r="E2333" i="44"/>
  <c r="E2973" i="44"/>
  <c r="E2149" i="44"/>
  <c r="H3080" i="44"/>
  <c r="E2600" i="44"/>
  <c r="C2367" i="44"/>
  <c r="H2361" i="44"/>
  <c r="C232" i="44"/>
  <c r="C707" i="44"/>
  <c r="E154" i="44"/>
  <c r="H2082" i="44"/>
  <c r="E2359" i="44"/>
  <c r="C805" i="44"/>
  <c r="E2922" i="44"/>
  <c r="C2729" i="44"/>
  <c r="H2998" i="44"/>
  <c r="C777" i="44"/>
  <c r="E1769" i="44"/>
  <c r="E2465" i="44"/>
  <c r="C144" i="44"/>
  <c r="H2744" i="44"/>
  <c r="I2751" i="44"/>
  <c r="E1612" i="44"/>
  <c r="C927" i="44"/>
  <c r="E885" i="44"/>
  <c r="E2530" i="44"/>
  <c r="E243" i="44"/>
  <c r="I152" i="44"/>
  <c r="H3009" i="44"/>
  <c r="H2138" i="44"/>
  <c r="E628" i="44"/>
  <c r="E2557" i="44"/>
  <c r="C2630" i="44"/>
  <c r="C1946" i="44"/>
  <c r="C719" i="44"/>
  <c r="E2928" i="44"/>
  <c r="E3124" i="44"/>
  <c r="C1680" i="44"/>
  <c r="C3115" i="44"/>
  <c r="E2474" i="44"/>
  <c r="E1021" i="44"/>
  <c r="E32" i="44"/>
  <c r="H2819" i="44"/>
  <c r="E2850" i="44"/>
  <c r="H2827" i="44"/>
  <c r="E529" i="44"/>
  <c r="E2644" i="44"/>
  <c r="H2639" i="44"/>
  <c r="E2349" i="44"/>
  <c r="C2567" i="44"/>
  <c r="C2980" i="44"/>
  <c r="H2053" i="44"/>
  <c r="E3394" i="44"/>
  <c r="E1774" i="44"/>
  <c r="E760" i="44"/>
  <c r="H2133" i="44"/>
  <c r="A277" i="44" l="1"/>
  <c r="F913" i="44"/>
  <c r="F699" i="44"/>
  <c r="A996" i="44"/>
  <c r="F1695" i="44"/>
  <c r="A502" i="44"/>
  <c r="F2411" i="44"/>
  <c r="F2009" i="44"/>
  <c r="F1807" i="44"/>
  <c r="F1781" i="44"/>
  <c r="F361" i="44"/>
  <c r="F2214" i="44"/>
  <c r="A1092" i="44"/>
  <c r="F3151" i="44"/>
  <c r="E2751" i="44"/>
  <c r="A2754" i="44" s="1"/>
  <c r="A993" i="44"/>
  <c r="F484" i="44"/>
  <c r="F1608" i="44"/>
  <c r="F851" i="44"/>
  <c r="F3152" i="44"/>
  <c r="K158" i="44"/>
  <c r="J158" i="44"/>
  <c r="M158" i="44" s="1"/>
  <c r="F2313" i="44"/>
  <c r="A382" i="44"/>
  <c r="A377" i="44"/>
  <c r="A614" i="44"/>
  <c r="F1052" i="44"/>
  <c r="F2633" i="44"/>
  <c r="F2886" i="44"/>
  <c r="F423" i="44"/>
  <c r="F3398" i="44"/>
  <c r="A3398" i="44" s="1"/>
  <c r="F688" i="44"/>
  <c r="F2215" i="44"/>
  <c r="F1547" i="44"/>
  <c r="F1512" i="44"/>
  <c r="F553" i="44"/>
  <c r="A927" i="44"/>
  <c r="A703" i="44"/>
  <c r="A897" i="44"/>
  <c r="F2841" i="44"/>
  <c r="F300" i="44"/>
  <c r="A300" i="44" s="1"/>
  <c r="G300" i="44" s="1"/>
  <c r="F2765" i="44"/>
  <c r="A581" i="44"/>
  <c r="F1800" i="44"/>
  <c r="F2875" i="44"/>
  <c r="F2953" i="44"/>
  <c r="F3075" i="44"/>
  <c r="F441" i="44"/>
  <c r="F2662" i="44"/>
  <c r="F2240" i="44"/>
  <c r="F476" i="44"/>
  <c r="A848" i="44"/>
  <c r="F3401" i="44"/>
  <c r="A3401" i="44" s="1"/>
  <c r="F346" i="44"/>
  <c r="F424" i="44"/>
  <c r="F1819" i="44"/>
  <c r="F896" i="44"/>
  <c r="F2350" i="44"/>
  <c r="F1883" i="44"/>
  <c r="F363" i="44"/>
  <c r="A611" i="44"/>
  <c r="F1952" i="44"/>
  <c r="F2358" i="44"/>
  <c r="F538" i="44"/>
  <c r="F1907" i="44"/>
  <c r="F1797" i="44"/>
  <c r="F983" i="44"/>
  <c r="A527" i="44"/>
  <c r="F2526" i="44"/>
  <c r="F2815" i="44"/>
  <c r="F562" i="44"/>
  <c r="F908" i="44"/>
  <c r="F785" i="44"/>
  <c r="F2829" i="44"/>
  <c r="F2724" i="44"/>
  <c r="F2016" i="44"/>
  <c r="A522" i="44"/>
  <c r="A900" i="44"/>
  <c r="F712" i="44"/>
  <c r="F338" i="44"/>
  <c r="F60" i="44"/>
  <c r="A60" i="44" s="1"/>
  <c r="F2739" i="44"/>
  <c r="F540" i="44"/>
  <c r="A1090" i="44"/>
  <c r="A1088" i="44"/>
  <c r="F2999" i="44"/>
  <c r="F883" i="44"/>
  <c r="A366" i="44"/>
  <c r="F116" i="44"/>
  <c r="A116" i="44" s="1"/>
  <c r="F244" i="44"/>
  <c r="A244" i="44" s="1"/>
  <c r="A496" i="44"/>
  <c r="A884" i="44"/>
  <c r="F438" i="44"/>
  <c r="A337" i="44"/>
  <c r="F2419" i="44"/>
  <c r="F1920" i="44"/>
  <c r="A705" i="44"/>
  <c r="F1736" i="44"/>
  <c r="F1071" i="44"/>
  <c r="F1019" i="44"/>
  <c r="F2201" i="44"/>
  <c r="F2451" i="44"/>
  <c r="F2905" i="44"/>
  <c r="F874" i="44"/>
  <c r="F2324" i="44"/>
  <c r="A615" i="44"/>
  <c r="F2157" i="44"/>
  <c r="F977" i="44"/>
  <c r="A498" i="44"/>
  <c r="E2239" i="44"/>
  <c r="A2254" i="44" s="1"/>
  <c r="F373" i="44"/>
  <c r="A645" i="44"/>
  <c r="F2954" i="44"/>
  <c r="F1998" i="44"/>
  <c r="F949" i="44"/>
  <c r="F2006" i="44"/>
  <c r="F442" i="44"/>
  <c r="F3022" i="44"/>
  <c r="F3061" i="44"/>
  <c r="A865" i="44"/>
  <c r="F3436" i="44"/>
  <c r="A3436" i="44" s="1"/>
  <c r="F3383" i="44"/>
  <c r="A3383" i="44" s="1"/>
  <c r="F890" i="44"/>
  <c r="F2649" i="44"/>
  <c r="F3109" i="44"/>
  <c r="F1584" i="44"/>
  <c r="F1739" i="44"/>
  <c r="F1910" i="44"/>
  <c r="A643" i="44"/>
  <c r="A1015" i="44"/>
  <c r="F2848" i="44"/>
  <c r="F667" i="44"/>
  <c r="F3004" i="44"/>
  <c r="F521" i="44"/>
  <c r="F2278" i="44"/>
  <c r="F2163" i="44"/>
  <c r="F871" i="44"/>
  <c r="A714" i="44"/>
  <c r="F654" i="44"/>
  <c r="F2706" i="44"/>
  <c r="F3426" i="44"/>
  <c r="A3426" i="44" s="1"/>
  <c r="A580" i="44"/>
  <c r="F2042" i="44"/>
  <c r="F2346" i="44"/>
  <c r="F2479" i="44"/>
  <c r="F1783" i="44"/>
  <c r="F1796" i="44"/>
  <c r="E2831" i="44"/>
  <c r="A2844" i="44" s="1"/>
  <c r="F2494" i="44"/>
  <c r="F2091" i="44"/>
  <c r="F1744" i="44"/>
  <c r="F3077" i="44"/>
  <c r="F755" i="44"/>
  <c r="F282" i="44"/>
  <c r="F485" i="44"/>
  <c r="F2544" i="44"/>
  <c r="F317" i="44"/>
  <c r="F679" i="44"/>
  <c r="A679" i="44" s="1"/>
  <c r="F1066" i="44"/>
  <c r="F1884" i="44"/>
  <c r="F2830" i="44"/>
  <c r="J168" i="44"/>
  <c r="L168" i="44" s="1"/>
  <c r="N168" i="44" s="1"/>
  <c r="F168" i="44" s="1"/>
  <c r="K168" i="44"/>
  <c r="F2595" i="44"/>
  <c r="F2186" i="44"/>
  <c r="F2817" i="44"/>
  <c r="F2860" i="44"/>
  <c r="F1852" i="44"/>
  <c r="F2688" i="44"/>
  <c r="F3112" i="44"/>
  <c r="A668" i="44"/>
  <c r="A914" i="44"/>
  <c r="A912" i="44"/>
  <c r="F1070" i="44"/>
  <c r="F1714" i="44"/>
  <c r="F769" i="44"/>
  <c r="F2887" i="44"/>
  <c r="F461" i="44"/>
  <c r="F474" i="44"/>
  <c r="F603" i="44"/>
  <c r="F2991" i="44"/>
  <c r="F2725" i="44"/>
  <c r="E2319" i="44"/>
  <c r="A2334" i="44" s="1"/>
  <c r="A332" i="44"/>
  <c r="E2815" i="44"/>
  <c r="A2816" i="44" s="1"/>
  <c r="F407" i="44"/>
  <c r="F2254" i="44"/>
  <c r="F2014" i="44"/>
  <c r="F3066" i="44"/>
  <c r="F3144" i="44"/>
  <c r="E2879" i="44"/>
  <c r="A2880" i="44" s="1"/>
  <c r="F2392" i="44"/>
  <c r="F447" i="44"/>
  <c r="F2137" i="44"/>
  <c r="F1710" i="44"/>
  <c r="F992" i="44"/>
  <c r="F2528" i="44"/>
  <c r="F2748" i="44"/>
  <c r="F2625" i="44"/>
  <c r="F1049" i="44"/>
  <c r="A500" i="44"/>
  <c r="F1939" i="44"/>
  <c r="F2813" i="44"/>
  <c r="J198" i="44"/>
  <c r="L198" i="44" s="1"/>
  <c r="N198" i="44" s="1"/>
  <c r="F198" i="44" s="1"/>
  <c r="K198" i="44"/>
  <c r="F912" i="44"/>
  <c r="F2657" i="44"/>
  <c r="F2929" i="44"/>
  <c r="F1821" i="44"/>
  <c r="A426" i="44"/>
  <c r="F2505" i="44"/>
  <c r="A1016" i="44"/>
  <c r="A1014" i="44"/>
  <c r="F780" i="44"/>
  <c r="F524" i="44"/>
  <c r="F3055" i="44"/>
  <c r="A548" i="44"/>
  <c r="F3053" i="44"/>
  <c r="F2333" i="44"/>
  <c r="F2982" i="44"/>
  <c r="F420" i="44"/>
  <c r="F66" i="44"/>
  <c r="A66" i="44" s="1"/>
  <c r="F1749" i="44"/>
  <c r="F2691" i="44"/>
  <c r="F2695" i="44"/>
  <c r="A124" i="44"/>
  <c r="A928" i="44"/>
  <c r="F505" i="44"/>
  <c r="F1732" i="44"/>
  <c r="F2057" i="44"/>
  <c r="F2741" i="44"/>
  <c r="F1537" i="44"/>
  <c r="F2320" i="44"/>
  <c r="A924" i="44"/>
  <c r="F2429" i="44"/>
  <c r="A261" i="44"/>
  <c r="F2102" i="44"/>
  <c r="A595" i="44"/>
  <c r="F2492" i="44"/>
  <c r="F3142" i="44"/>
  <c r="A778" i="44"/>
  <c r="A776" i="44"/>
  <c r="F2021" i="44"/>
  <c r="A785" i="44"/>
  <c r="F2787" i="44"/>
  <c r="F753" i="44"/>
  <c r="F1604" i="44"/>
  <c r="F2477" i="44"/>
  <c r="F2567" i="44"/>
  <c r="F2627" i="44"/>
  <c r="A1043" i="44"/>
  <c r="F3019" i="44"/>
  <c r="E1711" i="44"/>
  <c r="A1718" i="44" s="1"/>
  <c r="F1747" i="44"/>
  <c r="A276" i="44"/>
  <c r="A890" i="44"/>
  <c r="A892" i="44"/>
  <c r="F1678" i="44"/>
  <c r="A827" i="44"/>
  <c r="A829" i="44"/>
  <c r="F2344" i="44"/>
  <c r="F754" i="44"/>
  <c r="F830" i="44"/>
  <c r="A762" i="44"/>
  <c r="A722" i="44"/>
  <c r="F2291" i="44"/>
  <c r="F1901" i="44"/>
  <c r="F486" i="44"/>
  <c r="E3071" i="44"/>
  <c r="A3081" i="44" s="1"/>
  <c r="F2661" i="44"/>
  <c r="F653" i="44"/>
  <c r="A273" i="44"/>
  <c r="F3407" i="44"/>
  <c r="A3407" i="44" s="1"/>
  <c r="F763" i="44"/>
  <c r="F1772" i="44"/>
  <c r="E2783" i="44"/>
  <c r="A2792" i="44" s="1"/>
  <c r="F340" i="44"/>
  <c r="F81" i="44"/>
  <c r="F609" i="44"/>
  <c r="F1784" i="44"/>
  <c r="F2996" i="44"/>
  <c r="F910" i="44"/>
  <c r="F1697" i="44"/>
  <c r="A649" i="44"/>
  <c r="F1646" i="44"/>
  <c r="F1828" i="44"/>
  <c r="A493" i="44"/>
  <c r="F1906" i="44"/>
  <c r="F2133" i="44"/>
  <c r="F313" i="44"/>
  <c r="F2207" i="44"/>
  <c r="F1719" i="44"/>
  <c r="F2908" i="44"/>
  <c r="F835" i="44"/>
  <c r="A617" i="44"/>
  <c r="F2975" i="44"/>
  <c r="A565" i="44"/>
  <c r="F1786" i="44"/>
  <c r="A808" i="44"/>
  <c r="A1551" i="44"/>
  <c r="F3110" i="44"/>
  <c r="F2681" i="44"/>
  <c r="A394" i="44"/>
  <c r="A532" i="44"/>
  <c r="F672" i="44"/>
  <c r="F1845" i="44"/>
  <c r="A534" i="44"/>
  <c r="F2070" i="44"/>
  <c r="F2464" i="44"/>
  <c r="E2943" i="44"/>
  <c r="A2946" i="44" s="1"/>
  <c r="F2897" i="44"/>
  <c r="F107" i="44"/>
  <c r="A107" i="44" s="1"/>
  <c r="A664" i="44"/>
  <c r="F2727" i="44"/>
  <c r="F2500" i="44"/>
  <c r="F12" i="44"/>
  <c r="A12" i="44" s="1"/>
  <c r="F508" i="44"/>
  <c r="F332" i="44"/>
  <c r="F2452" i="44"/>
  <c r="A715" i="44"/>
  <c r="J150" i="44"/>
  <c r="L150" i="44" s="1"/>
  <c r="N150" i="44" s="1"/>
  <c r="F150" i="44" s="1"/>
  <c r="K150" i="44"/>
  <c r="F2579" i="44"/>
  <c r="F2235" i="44"/>
  <c r="A1089" i="44"/>
  <c r="F2088" i="44"/>
  <c r="F1665" i="44"/>
  <c r="F836" i="44"/>
  <c r="F2012" i="44"/>
  <c r="F2266" i="44"/>
  <c r="F2115" i="44"/>
  <c r="F589" i="44"/>
  <c r="F2038" i="44"/>
  <c r="F1511" i="44"/>
  <c r="F882" i="44"/>
  <c r="F1685" i="44"/>
  <c r="F483" i="44"/>
  <c r="F9" i="44"/>
  <c r="A9" i="44" s="1"/>
  <c r="F2808" i="44"/>
  <c r="F2771" i="44"/>
  <c r="F1995" i="44"/>
  <c r="F811" i="44"/>
  <c r="A846" i="44"/>
  <c r="F2033" i="44"/>
  <c r="A995" i="44"/>
  <c r="F733" i="44"/>
  <c r="F2443" i="44"/>
  <c r="F2720" i="44"/>
  <c r="F1054" i="44"/>
  <c r="A657" i="44"/>
  <c r="F1750" i="44"/>
  <c r="F2237" i="44"/>
  <c r="F708" i="44"/>
  <c r="A981" i="44"/>
  <c r="F675" i="44"/>
  <c r="F3148" i="44"/>
  <c r="A1003" i="44"/>
  <c r="A2590" i="44"/>
  <c r="A971" i="44"/>
  <c r="F805" i="44"/>
  <c r="F1715" i="44"/>
  <c r="F2233" i="44"/>
  <c r="A691" i="44"/>
  <c r="E1903" i="44"/>
  <c r="A1904" i="44" s="1"/>
  <c r="F551" i="44"/>
  <c r="A1536" i="44"/>
  <c r="A1537" i="44"/>
  <c r="A1013" i="44"/>
  <c r="A1524" i="44"/>
  <c r="F946" i="44"/>
  <c r="F1982" i="44"/>
  <c r="F232" i="44"/>
  <c r="A232" i="44" s="1"/>
  <c r="F2939" i="44"/>
  <c r="F3015" i="44"/>
  <c r="F2673" i="44"/>
  <c r="F3396" i="44"/>
  <c r="A3396" i="44" s="1"/>
  <c r="A1516" i="44"/>
  <c r="F774" i="44"/>
  <c r="F3058" i="44"/>
  <c r="F661" i="44"/>
  <c r="F2732" i="44"/>
  <c r="A417" i="44"/>
  <c r="F2877" i="44"/>
  <c r="A910" i="44"/>
  <c r="F2713" i="44"/>
  <c r="F2646" i="44"/>
  <c r="F731" i="44"/>
  <c r="A638" i="44"/>
  <c r="F2300" i="44"/>
  <c r="A352" i="44"/>
  <c r="E3151" i="44"/>
  <c r="A3155" i="44" s="1"/>
  <c r="F1674" i="44"/>
  <c r="F1793" i="44"/>
  <c r="F767" i="44"/>
  <c r="F3406" i="44"/>
  <c r="A3406" i="44" s="1"/>
  <c r="A810" i="44"/>
  <c r="F1040" i="44"/>
  <c r="A608" i="44"/>
  <c r="F401" i="44"/>
  <c r="F2755" i="44"/>
  <c r="A706" i="44"/>
  <c r="F2545" i="44"/>
  <c r="A634" i="44"/>
  <c r="E3103" i="44"/>
  <c r="A3118" i="44" s="1"/>
  <c r="F2046" i="44"/>
  <c r="F2252" i="44"/>
  <c r="F2165" i="44"/>
  <c r="F3016" i="44"/>
  <c r="F617" i="44"/>
  <c r="A555" i="44"/>
  <c r="F329" i="44"/>
  <c r="A363" i="44"/>
  <c r="F2183" i="44"/>
  <c r="A279" i="44"/>
  <c r="F393" i="44"/>
  <c r="F641" i="44"/>
  <c r="F496" i="44"/>
  <c r="A1080" i="44"/>
  <c r="A798" i="44"/>
  <c r="F692" i="44"/>
  <c r="F1898" i="44"/>
  <c r="F1718" i="44"/>
  <c r="F1751" i="44"/>
  <c r="F1950" i="44"/>
  <c r="F2327" i="44"/>
  <c r="A589" i="44"/>
  <c r="A629" i="44"/>
  <c r="F2193" i="44"/>
  <c r="A1509" i="44"/>
  <c r="F2557" i="44"/>
  <c r="F3090" i="44"/>
  <c r="F1524" i="44"/>
  <c r="F2131" i="44"/>
  <c r="E2575" i="44"/>
  <c r="A2577" i="44" s="1"/>
  <c r="F2036" i="44"/>
  <c r="F3400" i="44"/>
  <c r="A3400" i="44" s="1"/>
  <c r="F1768" i="44"/>
  <c r="A1517" i="44"/>
  <c r="F143" i="44"/>
  <c r="A143" i="44" s="1"/>
  <c r="E107" i="3"/>
  <c r="F3412" i="44"/>
  <c r="A3412" i="44" s="1"/>
  <c r="F2948" i="44"/>
  <c r="F3088" i="44"/>
  <c r="E2463" i="44"/>
  <c r="A2475" i="44" s="1"/>
  <c r="F761" i="44"/>
  <c r="A490" i="44"/>
  <c r="F2147" i="44"/>
  <c r="A310" i="44"/>
  <c r="A306" i="44"/>
  <c r="F28" i="44"/>
  <c r="A28" i="44" s="1"/>
  <c r="A373" i="44"/>
  <c r="A894" i="44"/>
  <c r="A408" i="44"/>
  <c r="F1000" i="44"/>
  <c r="F554" i="44"/>
  <c r="F3011" i="44"/>
  <c r="F1951" i="44"/>
  <c r="F3421" i="44"/>
  <c r="A3421" i="44" s="1"/>
  <c r="F2301" i="44"/>
  <c r="F2143" i="44"/>
  <c r="F1855" i="44"/>
  <c r="F815" i="44"/>
  <c r="F584" i="44"/>
  <c r="F468" i="44"/>
  <c r="F1833" i="44"/>
  <c r="A569" i="44"/>
  <c r="F645" i="44"/>
  <c r="F2969" i="44"/>
  <c r="F565" i="44"/>
  <c r="F2470" i="44"/>
  <c r="F1945" i="44"/>
  <c r="F2374" i="44"/>
  <c r="F1743" i="44"/>
  <c r="F106" i="44"/>
  <c r="A106" i="44" s="1"/>
  <c r="F388" i="44"/>
  <c r="F657" i="44"/>
  <c r="F1025" i="44"/>
  <c r="F1062" i="44"/>
  <c r="F2120" i="44"/>
  <c r="F451" i="44"/>
  <c r="F999" i="44"/>
  <c r="F952" i="44"/>
  <c r="F1073" i="44"/>
  <c r="F2803" i="44"/>
  <c r="F1928" i="44"/>
  <c r="A321" i="44"/>
  <c r="F620" i="44"/>
  <c r="A1049" i="44"/>
  <c r="F2243" i="44"/>
  <c r="E1583" i="44"/>
  <c r="A1598" i="44" s="1"/>
  <c r="F1977" i="44"/>
  <c r="F907" i="44"/>
  <c r="A975" i="44"/>
  <c r="E1919" i="44"/>
  <c r="A1924" i="44" s="1"/>
  <c r="F2655" i="44"/>
  <c r="F2032" i="44"/>
  <c r="F516" i="44"/>
  <c r="A1048" i="44"/>
  <c r="A1050" i="44"/>
  <c r="A495" i="44"/>
  <c r="F942" i="44"/>
  <c r="A718" i="44"/>
  <c r="F2960" i="44"/>
  <c r="F2847" i="44"/>
  <c r="F1664" i="44"/>
  <c r="F3114" i="44"/>
  <c r="F842" i="44"/>
  <c r="F1948" i="44"/>
  <c r="F2716" i="44"/>
  <c r="F1959" i="44"/>
  <c r="F1005" i="44"/>
  <c r="F1516" i="44"/>
  <c r="F2325" i="44"/>
  <c r="F80" i="44"/>
  <c r="A80" i="44" s="1"/>
  <c r="A1518" i="44"/>
  <c r="F1775" i="44"/>
  <c r="F2043" i="44"/>
  <c r="F1829" i="44"/>
  <c r="A858" i="44"/>
  <c r="F861" i="44"/>
  <c r="F2197" i="44"/>
  <c r="F2733" i="44"/>
  <c r="F3145" i="44"/>
  <c r="A327" i="44"/>
  <c r="F114" i="44"/>
  <c r="A114" i="44" s="1"/>
  <c r="F996" i="44"/>
  <c r="F643" i="44"/>
  <c r="F989" i="44"/>
  <c r="F3139" i="44"/>
  <c r="F2711" i="44"/>
  <c r="F3010" i="44"/>
  <c r="F2040" i="44"/>
  <c r="F726" i="44"/>
  <c r="F59" i="44"/>
  <c r="A59" i="44" s="1"/>
  <c r="F2144" i="44"/>
  <c r="F439" i="44"/>
  <c r="F1620" i="44"/>
  <c r="A257" i="44"/>
  <c r="F2703" i="44"/>
  <c r="F2671" i="44"/>
  <c r="A362" i="44"/>
  <c r="F3047" i="44"/>
  <c r="F2503" i="44"/>
  <c r="F3430" i="44"/>
  <c r="A3430" i="44" s="1"/>
  <c r="F430" i="44"/>
  <c r="A602" i="44"/>
  <c r="F1882" i="44"/>
  <c r="A983" i="44"/>
  <c r="E2399" i="44"/>
  <c r="A2414" i="44" s="1"/>
  <c r="F1525" i="44"/>
  <c r="A268" i="44"/>
  <c r="F2700" i="44"/>
  <c r="F2200" i="44"/>
  <c r="F2591" i="44"/>
  <c r="F1535" i="44"/>
  <c r="F3143" i="44"/>
  <c r="A789" i="44"/>
  <c r="F727" i="44"/>
  <c r="E2303" i="44"/>
  <c r="A2317" i="44" s="1"/>
  <c r="F1692" i="44"/>
  <c r="F2594" i="44"/>
  <c r="F2881" i="44"/>
  <c r="F139" i="44"/>
  <c r="A139" i="44" s="1"/>
  <c r="F936" i="44"/>
  <c r="F1778" i="44"/>
  <c r="F1656" i="44"/>
  <c r="F3425" i="44"/>
  <c r="A3425" i="44" s="1"/>
  <c r="F2957" i="44"/>
  <c r="F2909" i="44"/>
  <c r="F827" i="44"/>
  <c r="F563" i="44"/>
  <c r="F417" i="44"/>
  <c r="F350" i="44"/>
  <c r="A225" i="44"/>
  <c r="F2078" i="44"/>
  <c r="F2510" i="44"/>
  <c r="F1633" i="44"/>
  <c r="F2656" i="44"/>
  <c r="F2448" i="44"/>
  <c r="F1004" i="44"/>
  <c r="F348" i="44"/>
  <c r="F413" i="44"/>
  <c r="F2979" i="44"/>
  <c r="A841" i="44"/>
  <c r="F2413" i="44"/>
  <c r="F378" i="44"/>
  <c r="F730" i="44"/>
  <c r="F2930" i="44"/>
  <c r="F2845" i="44"/>
  <c r="A709" i="44"/>
  <c r="F607" i="44"/>
  <c r="E2063" i="44"/>
  <c r="A2072" i="44" s="1"/>
  <c r="F2902" i="44"/>
  <c r="F113" i="44"/>
  <c r="A113" i="44" s="1"/>
  <c r="F2882" i="44"/>
  <c r="F2185" i="44"/>
  <c r="F903" i="44"/>
  <c r="F2670" i="44"/>
  <c r="F1080" i="44"/>
  <c r="F1648" i="44"/>
  <c r="F2361" i="44"/>
  <c r="A322" i="44"/>
  <c r="A335" i="44"/>
  <c r="F3045" i="44"/>
  <c r="F1890" i="44"/>
  <c r="F2341" i="44"/>
  <c r="F2084" i="44"/>
  <c r="A752" i="44"/>
  <c r="F2917" i="44"/>
  <c r="F2609" i="44"/>
  <c r="A907" i="44"/>
  <c r="A1059" i="44"/>
  <c r="F450" i="44"/>
  <c r="F2926" i="44"/>
  <c r="F2998" i="44"/>
  <c r="F850" i="44"/>
  <c r="F42" i="44"/>
  <c r="A42" i="44" s="1"/>
  <c r="A636" i="44"/>
  <c r="A606" i="44"/>
  <c r="A704" i="44"/>
  <c r="E1823" i="44"/>
  <c r="A1829" i="44" s="1"/>
  <c r="F336" i="44"/>
  <c r="F2677" i="44"/>
  <c r="E2687" i="44"/>
  <c r="A2689" i="44" s="1"/>
  <c r="A1523" i="44"/>
  <c r="F3420" i="44"/>
  <c r="A3420" i="44" s="1"/>
  <c r="F880" i="44"/>
  <c r="F867" i="44"/>
  <c r="F2624" i="44"/>
  <c r="F1534" i="44"/>
  <c r="F571" i="44"/>
  <c r="E2543" i="44"/>
  <c r="A2556" i="44" s="1"/>
  <c r="F2737" i="44"/>
  <c r="A419" i="44"/>
  <c r="A450" i="44"/>
  <c r="A531" i="44"/>
  <c r="A646" i="44"/>
  <c r="F1623" i="44"/>
  <c r="F1067" i="44"/>
  <c r="F514" i="44"/>
  <c r="A720" i="44"/>
  <c r="A386" i="44"/>
  <c r="A441" i="44"/>
  <c r="F3091" i="44"/>
  <c r="F2731" i="44"/>
  <c r="F2837" i="44"/>
  <c r="F221" i="44"/>
  <c r="A221" i="44" s="1"/>
  <c r="F2258" i="44"/>
  <c r="F380" i="44"/>
  <c r="F2889" i="44"/>
  <c r="F1606" i="44"/>
  <c r="F2807" i="44"/>
  <c r="A670" i="44"/>
  <c r="F2465" i="44"/>
  <c r="F2605" i="44"/>
  <c r="F1954" i="44"/>
  <c r="F2582" i="44"/>
  <c r="F1789" i="44"/>
  <c r="A574" i="44"/>
  <c r="F2959" i="44"/>
  <c r="F2762" i="44"/>
  <c r="F104" i="44"/>
  <c r="A104" i="44" s="1"/>
  <c r="A883" i="44"/>
  <c r="F2412" i="44"/>
  <c r="A571" i="44"/>
  <c r="F2345" i="44"/>
  <c r="F2348" i="44"/>
  <c r="F1985" i="44"/>
  <c r="F1696" i="44"/>
  <c r="E2607" i="44"/>
  <c r="A2610" i="44" s="1"/>
  <c r="F2167" i="44"/>
  <c r="F591" i="44"/>
  <c r="A503" i="44"/>
  <c r="F2276" i="44"/>
  <c r="F529" i="44"/>
  <c r="A255" i="44"/>
  <c r="F2110" i="44"/>
  <c r="F674" i="44"/>
  <c r="F530" i="44"/>
  <c r="A476" i="44"/>
  <c r="F1986" i="44"/>
  <c r="A479" i="44"/>
  <c r="A2585" i="44"/>
  <c r="F1724" i="44"/>
  <c r="A1082" i="44"/>
  <c r="F547" i="44"/>
  <c r="A547" i="44" s="1"/>
  <c r="A1030" i="44"/>
  <c r="F2177" i="44"/>
  <c r="F2455" i="44"/>
  <c r="J188" i="44"/>
  <c r="M188" i="44" s="1"/>
  <c r="K188" i="44"/>
  <c r="F894" i="44"/>
  <c r="F2779" i="44"/>
  <c r="F2484" i="44"/>
  <c r="F1690" i="44"/>
  <c r="F3389" i="44"/>
  <c r="A3389" i="44" s="1"/>
  <c r="F2292" i="44"/>
  <c r="A507" i="44"/>
  <c r="A1005" i="44"/>
  <c r="A488" i="44"/>
  <c r="F1912" i="44"/>
  <c r="F814" i="44"/>
  <c r="F369" i="44"/>
  <c r="F3390" i="44"/>
  <c r="A3390" i="44" s="1"/>
  <c r="F2188" i="44"/>
  <c r="F3381" i="44"/>
  <c r="A3381" i="44" s="1"/>
  <c r="F314" i="44"/>
  <c r="A624" i="44"/>
  <c r="F2844" i="44"/>
  <c r="F881" i="44"/>
  <c r="F3036" i="44"/>
  <c r="F2260" i="44"/>
  <c r="F1837" i="44"/>
  <c r="F1514" i="44"/>
  <c r="A1000" i="44"/>
  <c r="F990" i="44"/>
  <c r="F1975" i="44"/>
  <c r="A311" i="44"/>
  <c r="F2940" i="44"/>
  <c r="F1670" i="44"/>
  <c r="A533" i="44"/>
  <c r="F2745" i="44"/>
  <c r="F2013" i="44"/>
  <c r="F498" i="44"/>
  <c r="F1605" i="44"/>
  <c r="F426" i="44"/>
  <c r="F2262" i="44"/>
  <c r="E1999" i="44"/>
  <c r="A2000" i="44" s="1"/>
  <c r="E2623" i="44"/>
  <c r="A2630" i="44" s="1"/>
  <c r="A612" i="44"/>
  <c r="F3147" i="44"/>
  <c r="E2287" i="44"/>
  <c r="A2294" i="44" s="1"/>
  <c r="F707" i="44"/>
  <c r="F2978" i="44"/>
  <c r="F969" i="44"/>
  <c r="A122" i="44"/>
  <c r="F2693" i="44"/>
  <c r="F2182" i="44"/>
  <c r="F1549" i="44"/>
  <c r="A317" i="44"/>
  <c r="F997" i="44"/>
  <c r="F1873" i="44"/>
  <c r="F586" i="44"/>
  <c r="E2447" i="44"/>
  <c r="A2451" i="44" s="1"/>
  <c r="F2247" i="44"/>
  <c r="F1653" i="44"/>
  <c r="F444" i="44"/>
  <c r="F2584" i="44"/>
  <c r="F3130" i="44"/>
  <c r="A719" i="44"/>
  <c r="F1757" i="44"/>
  <c r="F2668" i="44"/>
  <c r="F2407" i="44"/>
  <c r="F2130" i="44"/>
  <c r="F1619" i="44"/>
  <c r="F1658" i="44"/>
  <c r="F1599" i="44"/>
  <c r="F535" i="44"/>
  <c r="F2274" i="44"/>
  <c r="F70" i="44"/>
  <c r="A70" i="44" s="1"/>
  <c r="A644" i="44"/>
  <c r="F2225" i="44"/>
  <c r="F2853" i="44"/>
  <c r="F2683" i="44"/>
  <c r="F2217" i="44"/>
  <c r="A852" i="44"/>
  <c r="A854" i="44"/>
  <c r="A140" i="44"/>
  <c r="A991" i="44"/>
  <c r="E2655" i="44"/>
  <c r="A2667" i="44" s="1"/>
  <c r="F2264" i="44"/>
  <c r="F94" i="44"/>
  <c r="A94" i="44" s="1"/>
  <c r="F1090" i="44"/>
  <c r="F410" i="44"/>
  <c r="F1717" i="44"/>
  <c r="A587" i="44"/>
  <c r="F2859" i="44"/>
  <c r="F2831" i="44"/>
  <c r="F928" i="44"/>
  <c r="F3138" i="44"/>
  <c r="K162" i="44"/>
  <c r="J162" i="44"/>
  <c r="L162" i="44" s="1"/>
  <c r="N162" i="44" s="1"/>
  <c r="F162" i="44" s="1"/>
  <c r="F2474" i="44"/>
  <c r="F581" i="44"/>
  <c r="A697" i="44"/>
  <c r="A1525" i="44"/>
  <c r="F2462" i="44"/>
  <c r="F2896" i="44"/>
  <c r="F41" i="44"/>
  <c r="A41" i="44" s="1"/>
  <c r="A976" i="44"/>
  <c r="F526" i="44"/>
  <c r="F790" i="44"/>
  <c r="F2667" i="44"/>
  <c r="A367" i="44"/>
  <c r="A817" i="44"/>
  <c r="F2312" i="44"/>
  <c r="F2073" i="44"/>
  <c r="F2665" i="44"/>
  <c r="F2199" i="44"/>
  <c r="F2221" i="44"/>
  <c r="F220" i="44"/>
  <c r="A220" i="44" s="1"/>
  <c r="G220" i="44" s="1"/>
  <c r="F1631" i="44"/>
  <c r="A145" i="44"/>
  <c r="F2385" i="44"/>
  <c r="F3116" i="44"/>
  <c r="E2335" i="44"/>
  <c r="A2341" i="44" s="1"/>
  <c r="F2540" i="44"/>
  <c r="F111" i="44"/>
  <c r="A111" i="44" s="1"/>
  <c r="F2428" i="44"/>
  <c r="F2424" i="44"/>
  <c r="F411" i="44"/>
  <c r="A506" i="44"/>
  <c r="A969" i="44"/>
  <c r="F2619" i="44"/>
  <c r="F3020" i="44"/>
  <c r="A485" i="44"/>
  <c r="A723" i="44"/>
  <c r="F343" i="44"/>
  <c r="F3014" i="44"/>
  <c r="A876" i="44"/>
  <c r="F2696" i="44"/>
  <c r="A550" i="44"/>
  <c r="F1924" i="44"/>
  <c r="F2352" i="44"/>
  <c r="F1831" i="44"/>
  <c r="F2166" i="44"/>
  <c r="A401" i="44"/>
  <c r="F2427" i="44"/>
  <c r="F1966" i="44"/>
  <c r="F2548" i="44"/>
  <c r="F2721" i="44"/>
  <c r="F669" i="44"/>
  <c r="F379" i="44"/>
  <c r="F1044" i="44"/>
  <c r="F802" i="44"/>
  <c r="F941" i="44"/>
  <c r="F2604" i="44"/>
  <c r="A696" i="44"/>
  <c r="F2786" i="44"/>
  <c r="F2331" i="44"/>
  <c r="F2630" i="44"/>
  <c r="F309" i="44"/>
  <c r="A1036" i="44"/>
  <c r="A449" i="44"/>
  <c r="F580" i="44"/>
  <c r="F222" i="44"/>
  <c r="A222" i="44" s="1"/>
  <c r="A303" i="44"/>
  <c r="F2172" i="44"/>
  <c r="A814" i="44"/>
  <c r="F2814" i="44"/>
  <c r="J170" i="44"/>
  <c r="M170" i="44" s="1"/>
  <c r="K170" i="44"/>
  <c r="F335" i="44"/>
  <c r="F3158" i="44"/>
  <c r="F980" i="44"/>
  <c r="A393" i="44"/>
  <c r="F3137" i="44"/>
  <c r="A400" i="44"/>
  <c r="F3435" i="44"/>
  <c r="A3435" i="44" s="1"/>
  <c r="F1933" i="44"/>
  <c r="F1003" i="44"/>
  <c r="F889" i="44"/>
  <c r="F1042" i="44"/>
  <c r="F2777" i="44"/>
  <c r="F891" i="44"/>
  <c r="F833" i="44"/>
  <c r="F2047" i="44"/>
  <c r="F492" i="44"/>
  <c r="F943" i="44"/>
  <c r="F17" i="44"/>
  <c r="A17" i="44" s="1"/>
  <c r="F771" i="44"/>
  <c r="F2749" i="44"/>
  <c r="F2541" i="44"/>
  <c r="A461" i="44"/>
  <c r="F612" i="44"/>
  <c r="F1711" i="44"/>
  <c r="F3384" i="44"/>
  <c r="A3384" i="44" s="1"/>
  <c r="J148" i="44"/>
  <c r="K148" i="44"/>
  <c r="F2414" i="44"/>
  <c r="F85" i="44"/>
  <c r="A85" i="44" s="1"/>
  <c r="F2184" i="44"/>
  <c r="F973" i="44"/>
  <c r="F818" i="44"/>
  <c r="A424" i="44"/>
  <c r="F697" i="44"/>
  <c r="F1815" i="44"/>
  <c r="A452" i="44"/>
  <c r="F2439" i="44"/>
  <c r="F2203" i="44"/>
  <c r="F2856" i="44"/>
  <c r="F1914" i="44"/>
  <c r="F628" i="44"/>
  <c r="A540" i="44"/>
  <c r="A324" i="44"/>
  <c r="A308" i="44"/>
  <c r="F457" i="44"/>
  <c r="F1654" i="44"/>
  <c r="F1009" i="44"/>
  <c r="F929" i="44"/>
  <c r="F1519" i="44"/>
  <c r="A141" i="44"/>
  <c r="F2275" i="44"/>
  <c r="F1068" i="44"/>
  <c r="F1077" i="44"/>
  <c r="F826" i="44"/>
  <c r="F2993" i="44"/>
  <c r="A319" i="44"/>
  <c r="A970" i="44"/>
  <c r="A559" i="44"/>
  <c r="A564" i="44"/>
  <c r="F899" i="44"/>
  <c r="F1028" i="44"/>
  <c r="F1961" i="44"/>
  <c r="F2606" i="44"/>
  <c r="F2322" i="44"/>
  <c r="F1680" i="44"/>
  <c r="F537" i="44"/>
  <c r="F3440" i="44"/>
  <c r="A3440" i="44" s="1"/>
  <c r="F1886" i="44"/>
  <c r="F1919" i="44"/>
  <c r="E2047" i="44"/>
  <c r="A2057" i="44" s="1"/>
  <c r="F1586" i="44"/>
  <c r="A1026" i="44"/>
  <c r="F2447" i="44"/>
  <c r="F2890" i="44"/>
  <c r="A348" i="44"/>
  <c r="F2071" i="44"/>
  <c r="F2637" i="44"/>
  <c r="A307" i="44"/>
  <c r="F2490" i="44"/>
  <c r="F2267" i="44"/>
  <c r="F2709" i="44"/>
  <c r="F2220" i="44"/>
  <c r="F2338" i="44"/>
  <c r="A997" i="44"/>
  <c r="F2961" i="44"/>
  <c r="F1895" i="44"/>
  <c r="F2224" i="44"/>
  <c r="F2778" i="44"/>
  <c r="F2181" i="44"/>
  <c r="F2587" i="44"/>
  <c r="F647" i="44"/>
  <c r="F2664" i="44"/>
  <c r="F2382" i="44"/>
  <c r="A1023" i="44"/>
  <c r="F2568" i="44"/>
  <c r="F3165" i="44"/>
  <c r="F472" i="44"/>
  <c r="F613" i="44"/>
  <c r="F2958" i="44"/>
  <c r="F3378" i="44"/>
  <c r="A3378" i="44" s="1"/>
  <c r="F2561" i="44"/>
  <c r="A604" i="44"/>
  <c r="F2791" i="44"/>
  <c r="F2879" i="44"/>
  <c r="F2705" i="44"/>
  <c r="F2913" i="44"/>
  <c r="A906" i="44"/>
  <c r="F1748" i="44"/>
  <c r="J152" i="44"/>
  <c r="L152" i="44" s="1"/>
  <c r="N152" i="44" s="1"/>
  <c r="F152" i="44" s="1"/>
  <c r="K152" i="44"/>
  <c r="F1528" i="44"/>
  <c r="F927" i="44"/>
  <c r="F1955" i="44"/>
  <c r="F2525" i="44"/>
  <c r="F1980" i="44"/>
  <c r="F1001" i="44"/>
  <c r="A986" i="44"/>
  <c r="F354" i="44"/>
  <c r="F2035" i="44"/>
  <c r="F306" i="44"/>
  <c r="F2980" i="44"/>
  <c r="F1809" i="44"/>
  <c r="F2389" i="44"/>
  <c r="F470" i="44"/>
  <c r="E2719" i="44"/>
  <c r="A2721" i="44" s="1"/>
  <c r="F2932" i="44"/>
  <c r="A339" i="44"/>
  <c r="F2119" i="44"/>
  <c r="F702" i="44"/>
  <c r="A766" i="44"/>
  <c r="A758" i="44"/>
  <c r="A1019" i="44"/>
  <c r="A1017" i="44"/>
  <c r="F2364" i="44"/>
  <c r="F2045" i="44"/>
  <c r="F2607" i="44"/>
  <c r="F142" i="44"/>
  <c r="A142" i="44" s="1"/>
  <c r="F436" i="44"/>
  <c r="F1617" i="44"/>
  <c r="F2529" i="44"/>
  <c r="A607" i="44"/>
  <c r="A1513" i="44"/>
  <c r="A256" i="44"/>
  <c r="F3003" i="44"/>
  <c r="F1956" i="44"/>
  <c r="F2738" i="44"/>
  <c r="A1066" i="44"/>
  <c r="A395" i="44"/>
  <c r="A351" i="44"/>
  <c r="F3032" i="44"/>
  <c r="F2153" i="44"/>
  <c r="F2062" i="44"/>
  <c r="F312" i="44"/>
  <c r="F1938" i="44"/>
  <c r="A278" i="44"/>
  <c r="A999" i="44"/>
  <c r="A871" i="44"/>
  <c r="F2293" i="44"/>
  <c r="F2232" i="44"/>
  <c r="A464" i="44"/>
  <c r="F800" i="44"/>
  <c r="F1081" i="44"/>
  <c r="A385" i="44"/>
  <c r="F779" i="44"/>
  <c r="F684" i="44"/>
  <c r="F844" i="44"/>
  <c r="F2903" i="44"/>
  <c r="F2416" i="44"/>
  <c r="F1016" i="44"/>
  <c r="F1046" i="44"/>
  <c r="A1719" i="44"/>
  <c r="F2651" i="44"/>
  <c r="F2423" i="44"/>
  <c r="A252" i="44"/>
  <c r="A820" i="44"/>
  <c r="F2189" i="44"/>
  <c r="A941" i="44"/>
  <c r="F2581" i="44"/>
  <c r="F1594" i="44"/>
  <c r="A1520" i="44"/>
  <c r="F2196" i="44"/>
  <c r="F2151" i="44"/>
  <c r="F970" i="44"/>
  <c r="A73" i="44"/>
  <c r="A72" i="44"/>
  <c r="F1667" i="44"/>
  <c r="F1932" i="44"/>
  <c r="A434" i="44"/>
  <c r="F2911" i="44"/>
  <c r="F2421" i="44"/>
  <c r="F2156" i="44"/>
  <c r="F3437" i="44"/>
  <c r="A3437" i="44" s="1"/>
  <c r="A380" i="44"/>
  <c r="F377" i="44"/>
  <c r="F3108" i="44"/>
  <c r="F2600" i="44"/>
  <c r="A898" i="44"/>
  <c r="A328" i="44"/>
  <c r="A250" i="44"/>
  <c r="A282" i="44"/>
  <c r="F2372" i="44"/>
  <c r="F938" i="44"/>
  <c r="F1035" i="44"/>
  <c r="A436" i="44"/>
  <c r="F662" i="44"/>
  <c r="F678" i="44"/>
  <c r="F1526" i="44"/>
  <c r="F575" i="44"/>
  <c r="F1994" i="44"/>
  <c r="A1532" i="44"/>
  <c r="F2496" i="44"/>
  <c r="F2135" i="44"/>
  <c r="F3078" i="44"/>
  <c r="F497" i="44"/>
  <c r="F2330" i="44"/>
  <c r="F1687" i="44"/>
  <c r="E2383" i="44"/>
  <c r="A2388" i="44" s="1"/>
  <c r="A908" i="44"/>
  <c r="A1057" i="44"/>
  <c r="A345" i="44"/>
  <c r="F3431" i="44"/>
  <c r="A3431" i="44" s="1"/>
  <c r="F982" i="44"/>
  <c r="F3424" i="44"/>
  <c r="A3424" i="44" s="1"/>
  <c r="A989" i="44"/>
  <c r="A987" i="44"/>
  <c r="F2944" i="44"/>
  <c r="F349" i="44"/>
  <c r="F2401" i="44"/>
  <c r="A641" i="44"/>
  <c r="E3055" i="44"/>
  <c r="A3066" i="44" s="1"/>
  <c r="F2158" i="44"/>
  <c r="F795" i="44"/>
  <c r="F666" i="44"/>
  <c r="F2888" i="44"/>
  <c r="F786" i="44"/>
  <c r="A320" i="44"/>
  <c r="F2356" i="44"/>
  <c r="F1740" i="44"/>
  <c r="F2388" i="44"/>
  <c r="A336" i="44"/>
  <c r="A444" i="44"/>
  <c r="A949" i="44"/>
  <c r="F2104" i="44"/>
  <c r="F462" i="44"/>
  <c r="F118" i="44"/>
  <c r="A118" i="44" s="1"/>
  <c r="F1057" i="44"/>
  <c r="F2317" i="44"/>
  <c r="F864" i="44"/>
  <c r="E2351" i="44"/>
  <c r="A2351" i="44" s="1"/>
  <c r="F2112" i="44"/>
  <c r="F2239" i="44"/>
  <c r="F1902" i="44"/>
  <c r="F721" i="44"/>
  <c r="A375" i="44"/>
  <c r="A1032" i="44"/>
  <c r="A626" i="44"/>
  <c r="F642" i="44"/>
  <c r="F2022" i="44"/>
  <c r="F2822" i="44"/>
  <c r="F353" i="44"/>
  <c r="F2357" i="44"/>
  <c r="A864" i="44"/>
  <c r="A1025" i="44"/>
  <c r="F1963" i="44"/>
  <c r="F1878" i="44"/>
  <c r="F2933" i="44"/>
  <c r="F2761" i="44"/>
  <c r="F1810" i="44"/>
  <c r="F822" i="44"/>
  <c r="F2282" i="44"/>
  <c r="F680" i="44"/>
  <c r="F2077" i="44"/>
  <c r="E2527" i="44"/>
  <c r="A2536" i="44" s="1"/>
  <c r="A418" i="44"/>
  <c r="F419" i="44"/>
  <c r="F2011" i="44"/>
  <c r="F2409" i="44"/>
  <c r="F1708" i="44"/>
  <c r="E1615" i="44"/>
  <c r="A1627" i="44" s="1"/>
  <c r="F560" i="44"/>
  <c r="A843" i="44"/>
  <c r="A410" i="44"/>
  <c r="F32" i="44"/>
  <c r="A32" i="44" s="1"/>
  <c r="F1908" i="44"/>
  <c r="F2430" i="44"/>
  <c r="E1679" i="44"/>
  <c r="A1690" i="44" s="1"/>
  <c r="F608" i="44"/>
  <c r="A83" i="44"/>
  <c r="A833" i="44"/>
  <c r="F2459" i="44"/>
  <c r="A600" i="44"/>
  <c r="F2698" i="44"/>
  <c r="F2253" i="44"/>
  <c r="F2728" i="44"/>
  <c r="A1087" i="44"/>
  <c r="F3155" i="44"/>
  <c r="F2997" i="44"/>
  <c r="F8" i="44"/>
  <c r="F1015" i="44"/>
  <c r="F2478" i="44"/>
  <c r="F2687" i="44"/>
  <c r="F2506" i="44"/>
  <c r="F2746" i="44"/>
  <c r="F2598" i="44"/>
  <c r="F1780" i="44"/>
  <c r="F3385" i="44"/>
  <c r="A3385" i="44" s="1"/>
  <c r="E2191" i="44"/>
  <c r="A2203" i="44" s="1"/>
  <c r="F3159" i="44"/>
  <c r="F263" i="44"/>
  <c r="A263" i="44" s="1"/>
  <c r="F3153" i="44"/>
  <c r="F3049" i="44"/>
  <c r="F2608" i="44"/>
  <c r="F3127" i="44"/>
  <c r="A974" i="44"/>
  <c r="A1545" i="44"/>
  <c r="E2431" i="44"/>
  <c r="A2444" i="44" s="1"/>
  <c r="F2872" i="44"/>
  <c r="F2354" i="44"/>
  <c r="F2343" i="44"/>
  <c r="F3037" i="44"/>
  <c r="F467" i="44"/>
  <c r="F2101" i="44"/>
  <c r="F1894" i="44"/>
  <c r="A769" i="44"/>
  <c r="F1616" i="44"/>
  <c r="F454" i="44"/>
  <c r="A768" i="44"/>
  <c r="F704" i="44"/>
  <c r="F1597" i="44"/>
  <c r="F3064" i="44"/>
  <c r="F1706" i="44"/>
  <c r="F2458" i="44"/>
  <c r="F2752" i="44"/>
  <c r="F2774" i="44"/>
  <c r="A458" i="44"/>
  <c r="F3146" i="44"/>
  <c r="F2340" i="44"/>
  <c r="A272" i="44"/>
  <c r="F2757" i="44"/>
  <c r="F3081" i="44"/>
  <c r="F2444" i="44"/>
  <c r="F1084" i="44"/>
  <c r="F1007" i="44"/>
  <c r="A689" i="44"/>
  <c r="A687" i="44"/>
  <c r="F2244" i="44"/>
  <c r="F2229" i="44"/>
  <c r="F1979" i="44"/>
  <c r="J194" i="44"/>
  <c r="M194" i="44" s="1"/>
  <c r="K194" i="44"/>
  <c r="A520" i="44"/>
  <c r="F817" i="44"/>
  <c r="A899" i="44"/>
  <c r="A831" i="44"/>
  <c r="E1935" i="44"/>
  <c r="A1949" i="44" s="1"/>
  <c r="F2986" i="44"/>
  <c r="F464" i="44"/>
  <c r="F2972" i="44"/>
  <c r="F783" i="44"/>
  <c r="F2634" i="44"/>
  <c r="F1856" i="44"/>
  <c r="F1588" i="44"/>
  <c r="F1773" i="44"/>
  <c r="F1969" i="44"/>
  <c r="F2766" i="44"/>
  <c r="F3008" i="44"/>
  <c r="F1644" i="44"/>
  <c r="A102" i="44"/>
  <c r="F2644" i="44"/>
  <c r="F2658" i="44"/>
  <c r="F3035" i="44"/>
  <c r="F3415" i="44"/>
  <c r="A3415" i="44" s="1"/>
  <c r="A760" i="44"/>
  <c r="F2488" i="44"/>
  <c r="F1541" i="44"/>
  <c r="F1065" i="44"/>
  <c r="F2359" i="44"/>
  <c r="F689" i="44"/>
  <c r="A825" i="44"/>
  <c r="F587" i="44"/>
  <c r="F1553" i="44"/>
  <c r="F840" i="44"/>
  <c r="F2985" i="44"/>
  <c r="F2514" i="44"/>
  <c r="F21" i="44"/>
  <c r="A21" i="44" s="1"/>
  <c r="F488" i="44"/>
  <c r="F3161" i="44"/>
  <c r="F1960" i="44"/>
  <c r="F715" i="44"/>
  <c r="F1092" i="44"/>
  <c r="A968" i="44"/>
  <c r="G968" i="44" s="1"/>
  <c r="A625" i="44"/>
  <c r="F310" i="44"/>
  <c r="F736" i="44"/>
  <c r="A338" i="44"/>
  <c r="F1866" i="44"/>
  <c r="F3054" i="44"/>
  <c r="E2975" i="44"/>
  <c r="A2984" i="44" s="1"/>
  <c r="A494" i="44"/>
  <c r="F878" i="44"/>
  <c r="A525" i="44"/>
  <c r="F2319" i="44"/>
  <c r="F2125" i="44"/>
  <c r="F2702" i="44"/>
  <c r="A1045" i="44"/>
  <c r="A1047" i="44"/>
  <c r="A812" i="44"/>
  <c r="F2204" i="44"/>
  <c r="F604" i="44"/>
  <c r="A535" i="44"/>
  <c r="A1006" i="44"/>
  <c r="F1701" i="44"/>
  <c r="A1075" i="44"/>
  <c r="A1077" i="44"/>
  <c r="F1889" i="44"/>
  <c r="F23" i="44"/>
  <c r="A23" i="44" s="1"/>
  <c r="F392" i="44"/>
  <c r="F2075" i="44"/>
  <c r="F1645" i="44"/>
  <c r="F2058" i="44"/>
  <c r="F1031" i="44"/>
  <c r="F1762" i="44"/>
  <c r="F2483" i="44"/>
  <c r="F3046" i="44"/>
  <c r="A566" i="44"/>
  <c r="F2717" i="44"/>
  <c r="A1064" i="44"/>
  <c r="F1615" i="44"/>
  <c r="A923" i="44"/>
  <c r="G923" i="44" s="1"/>
  <c r="A818" i="44"/>
  <c r="F766" i="44"/>
  <c r="A582" i="44"/>
  <c r="F1759" i="44"/>
  <c r="F1091" i="44"/>
  <c r="F3107" i="44"/>
  <c r="F25" i="44"/>
  <c r="A25" i="44" s="1"/>
  <c r="F2680" i="44"/>
  <c r="F640" i="44"/>
  <c r="F1964" i="44"/>
  <c r="F1937" i="44"/>
  <c r="F3123" i="44"/>
  <c r="E3119" i="44"/>
  <c r="A3121" i="44" s="1"/>
  <c r="F2788" i="44"/>
  <c r="F2799" i="44"/>
  <c r="A585" i="44"/>
  <c r="F1888" i="44"/>
  <c r="F2161" i="44"/>
  <c r="F3007" i="44"/>
  <c r="F3099" i="44"/>
  <c r="A932" i="44"/>
  <c r="F1672" i="44"/>
  <c r="F1661" i="44"/>
  <c r="F1542" i="44"/>
  <c r="E113" i="3"/>
  <c r="A1008" i="44"/>
  <c r="F3023" i="44"/>
  <c r="F3086" i="44"/>
  <c r="F2574" i="44"/>
  <c r="F2578" i="44"/>
  <c r="A125" i="44"/>
  <c r="A539" i="44"/>
  <c r="F914" i="44"/>
  <c r="F3034" i="44"/>
  <c r="F834" i="44"/>
  <c r="A681" i="44"/>
  <c r="E1887" i="44"/>
  <c r="A1899" i="44" s="1"/>
  <c r="A269" i="44"/>
  <c r="E2639" i="44"/>
  <c r="A2645" i="44" s="1"/>
  <c r="F3042" i="44"/>
  <c r="F847" i="44"/>
  <c r="A343" i="44"/>
  <c r="A623" i="44"/>
  <c r="F2289" i="44"/>
  <c r="F345" i="44"/>
  <c r="F1991" i="44"/>
  <c r="F1034" i="44"/>
  <c r="A870" i="44"/>
  <c r="A391" i="44"/>
  <c r="F308" i="44"/>
  <c r="F2597" i="44"/>
  <c r="F320" i="44"/>
  <c r="F2159" i="44"/>
  <c r="F2628" i="44"/>
  <c r="F2994" i="44"/>
  <c r="F1545" i="44"/>
  <c r="A415" i="44"/>
  <c r="A663" i="44"/>
  <c r="F2858" i="44"/>
  <c r="F2534" i="44"/>
  <c r="A603" i="44"/>
  <c r="F2295" i="44"/>
  <c r="F2835" i="44"/>
  <c r="A578" i="44"/>
  <c r="F1045" i="44"/>
  <c r="A1544" i="44"/>
  <c r="A1543" i="44"/>
  <c r="F2054" i="44"/>
  <c r="F2432" i="44"/>
  <c r="F843" i="44"/>
  <c r="F119" i="44"/>
  <c r="A119" i="44" s="1"/>
  <c r="F513" i="44"/>
  <c r="F945" i="44"/>
  <c r="F2804" i="44"/>
  <c r="F2055" i="44"/>
  <c r="A342" i="44"/>
  <c r="F3093" i="44"/>
  <c r="F2832" i="44"/>
  <c r="F2279" i="44"/>
  <c r="F593" i="44"/>
  <c r="A388" i="44"/>
  <c r="A383" i="44"/>
  <c r="F2486" i="44"/>
  <c r="F1022" i="44"/>
  <c r="F1904" i="44"/>
  <c r="A591" i="44"/>
  <c r="A593" i="44"/>
  <c r="F2576" i="44"/>
  <c r="F1927" i="44"/>
  <c r="E118" i="3"/>
  <c r="F2686" i="44"/>
  <c r="F1074" i="44"/>
  <c r="F2226" i="44"/>
  <c r="A389" i="44"/>
  <c r="F2891" i="44"/>
  <c r="F2776" i="44"/>
  <c r="F1859" i="44"/>
  <c r="F572" i="44"/>
  <c r="A271" i="44"/>
  <c r="A381" i="44"/>
  <c r="F775" i="44"/>
  <c r="F3377" i="44"/>
  <c r="A3377" i="44" s="1"/>
  <c r="A787" i="44"/>
  <c r="A1053" i="44"/>
  <c r="F859" i="44"/>
  <c r="F2869" i="44"/>
  <c r="F2140" i="44"/>
  <c r="F3150" i="44"/>
  <c r="F3103" i="44"/>
  <c r="F866" i="44"/>
  <c r="F1822" i="44"/>
  <c r="F2809" i="44"/>
  <c r="F2497" i="44"/>
  <c r="F3134" i="44"/>
  <c r="F2329" i="44"/>
  <c r="A1018" i="44"/>
  <c r="E1134" i="44"/>
  <c r="A1134" i="44" s="1"/>
  <c r="G1134" i="44" s="1"/>
  <c r="F2653" i="44"/>
  <c r="F2227" i="44"/>
  <c r="F934" i="44"/>
  <c r="A809" i="44"/>
  <c r="A312" i="44"/>
  <c r="F660" i="44"/>
  <c r="F2398" i="44"/>
  <c r="F3126" i="44"/>
  <c r="E103" i="3"/>
  <c r="F2789" i="44"/>
  <c r="F1817" i="44"/>
  <c r="A501" i="44"/>
  <c r="F1812" i="44"/>
  <c r="A952" i="44"/>
  <c r="F460" i="44"/>
  <c r="F1722" i="44"/>
  <c r="F2150" i="44"/>
  <c r="A492" i="44"/>
  <c r="F3068" i="44"/>
  <c r="F1609" i="44"/>
  <c r="E3023" i="44"/>
  <c r="A3036" i="44" s="1"/>
  <c r="A344" i="44"/>
  <c r="F3443" i="44"/>
  <c r="A3443" i="44" s="1"/>
  <c r="F1536" i="44"/>
  <c r="F2635" i="44"/>
  <c r="F3051" i="44"/>
  <c r="F365" i="44"/>
  <c r="F597" i="44"/>
  <c r="F2555" i="44"/>
  <c r="A800" i="44"/>
  <c r="F2281" i="44"/>
  <c r="F2921" i="44"/>
  <c r="F2956" i="44"/>
  <c r="A724" i="44"/>
  <c r="F618" i="44"/>
  <c r="F328" i="44"/>
  <c r="F2076" i="44"/>
  <c r="F1020" i="44"/>
  <c r="F409" i="44"/>
  <c r="A484" i="44"/>
  <c r="F3105" i="44"/>
  <c r="F1864" i="44"/>
  <c r="F51" i="44"/>
  <c r="A51" i="44" s="1"/>
  <c r="F13" i="44"/>
  <c r="A13" i="44" s="1"/>
  <c r="F1546" i="44"/>
  <c r="F2268" i="44"/>
  <c r="F2482" i="44"/>
  <c r="F2626" i="44"/>
  <c r="E2671" i="44"/>
  <c r="A2685" i="44" s="1"/>
  <c r="F1021" i="44"/>
  <c r="F141" i="44"/>
  <c r="A405" i="44"/>
  <c r="F926" i="44"/>
  <c r="F326" i="44"/>
  <c r="E1631" i="44"/>
  <c r="A1645" i="44" s="1"/>
  <c r="A422" i="44"/>
  <c r="F3029" i="44"/>
  <c r="F1776" i="44"/>
  <c r="F549" i="44"/>
  <c r="F2855" i="44"/>
  <c r="F931" i="44"/>
  <c r="F2707" i="44"/>
  <c r="F414" i="44"/>
  <c r="F2213" i="44"/>
  <c r="K160" i="44"/>
  <c r="J160" i="44"/>
  <c r="M160" i="44" s="1"/>
  <c r="F2962" i="44"/>
  <c r="A1715" i="44"/>
  <c r="F2674" i="44"/>
  <c r="F550" i="44"/>
  <c r="F1879" i="44"/>
  <c r="A325" i="44"/>
  <c r="F846" i="44"/>
  <c r="F1677" i="44"/>
  <c r="A1055" i="44"/>
  <c r="A427" i="44"/>
  <c r="F2123" i="44"/>
  <c r="F3391" i="44"/>
  <c r="A3391" i="44" s="1"/>
  <c r="F2005" i="44"/>
  <c r="E2495" i="44"/>
  <c r="A2507" i="44" s="1"/>
  <c r="F806" i="44"/>
  <c r="A816" i="44"/>
  <c r="F1655" i="44"/>
  <c r="F2769" i="44"/>
  <c r="F2126" i="44"/>
  <c r="F3442" i="44"/>
  <c r="A3442" i="44" s="1"/>
  <c r="F799" i="44"/>
  <c r="A925" i="44"/>
  <c r="A1029" i="44"/>
  <c r="F1693" i="44"/>
  <c r="F2812" i="44"/>
  <c r="F765" i="44"/>
  <c r="F1765" i="44"/>
  <c r="F1709" i="44"/>
  <c r="F2257" i="44"/>
  <c r="F3085" i="44"/>
  <c r="A528" i="44"/>
  <c r="F820" i="44"/>
  <c r="F2697" i="44"/>
  <c r="F2704" i="44"/>
  <c r="F681" i="44"/>
  <c r="A1519" i="44"/>
  <c r="F1794" i="44"/>
  <c r="F865" i="44"/>
  <c r="F2632" i="44"/>
  <c r="A874" i="44"/>
  <c r="A872" i="44"/>
  <c r="A857" i="44"/>
  <c r="A855" i="44"/>
  <c r="F2223" i="44"/>
  <c r="F2513" i="44"/>
  <c r="A861" i="44"/>
  <c r="F557" i="44"/>
  <c r="A994" i="44"/>
  <c r="A474" i="44"/>
  <c r="F2754" i="44"/>
  <c r="F2437" i="44"/>
  <c r="F342" i="44"/>
  <c r="F1949" i="44"/>
  <c r="F2090" i="44"/>
  <c r="F2400" i="44"/>
  <c r="F1802" i="44"/>
  <c r="F2113" i="44"/>
  <c r="F1871" i="44"/>
  <c r="F3432" i="44"/>
  <c r="A3432" i="44" s="1"/>
  <c r="F473" i="44"/>
  <c r="A729" i="44"/>
  <c r="F477" i="44"/>
  <c r="F3141" i="44"/>
  <c r="A628" i="44"/>
  <c r="F3062" i="44"/>
  <c r="A420" i="44"/>
  <c r="E2367" i="44"/>
  <c r="A2372" i="44" s="1"/>
  <c r="F366" i="44"/>
  <c r="F120" i="44"/>
  <c r="A120" i="44" s="1"/>
  <c r="F925" i="44"/>
  <c r="F1686" i="44"/>
  <c r="F988" i="44"/>
  <c r="F606" i="44"/>
  <c r="F794" i="44"/>
  <c r="F951" i="44"/>
  <c r="F2857" i="44"/>
  <c r="F1847" i="44"/>
  <c r="F1681" i="44"/>
  <c r="F879" i="44"/>
  <c r="F1538" i="44"/>
  <c r="F809" i="44"/>
  <c r="F446" i="44"/>
  <c r="F2885" i="44"/>
  <c r="F619" i="44"/>
  <c r="F676" i="44"/>
  <c r="F749" i="44"/>
  <c r="F756" i="44"/>
  <c r="F1737" i="44"/>
  <c r="F2610" i="44"/>
  <c r="F2367" i="44"/>
  <c r="A437" i="44"/>
  <c r="F574" i="44"/>
  <c r="F576" i="44"/>
  <c r="F2679" i="44"/>
  <c r="F2376" i="44"/>
  <c r="F2621" i="44"/>
  <c r="F3447" i="44"/>
  <c r="A3447" i="44" s="1"/>
  <c r="F1622" i="44"/>
  <c r="F2729" i="44"/>
  <c r="F2049" i="44"/>
  <c r="A435" i="44"/>
  <c r="F3445" i="44"/>
  <c r="A3445" i="44" s="1"/>
  <c r="F784" i="44"/>
  <c r="F2949" i="44"/>
  <c r="F686" i="44"/>
  <c r="F83" i="44"/>
  <c r="F2884" i="44"/>
  <c r="A978" i="44"/>
  <c r="F359" i="44"/>
  <c r="A839" i="44"/>
  <c r="F858" i="44"/>
  <c r="F623" i="44"/>
  <c r="F1790" i="44"/>
  <c r="F600" i="44"/>
  <c r="F1640" i="44"/>
  <c r="F1527" i="44"/>
  <c r="A364" i="44"/>
  <c r="A754" i="44"/>
  <c r="A536" i="44"/>
  <c r="E1695" i="44"/>
  <c r="A1701" i="44" s="1"/>
  <c r="F2570" i="44"/>
  <c r="A633" i="44"/>
  <c r="A678" i="44"/>
  <c r="F2066" i="44"/>
  <c r="F2504" i="44"/>
  <c r="F2988" i="44"/>
  <c r="F611" i="44"/>
  <c r="K210" i="44"/>
  <c r="J210" i="44"/>
  <c r="M210" i="44" s="1"/>
  <c r="F3120" i="44"/>
  <c r="F2854" i="44"/>
  <c r="F504" i="44"/>
  <c r="F2246" i="44"/>
  <c r="F3399" i="44"/>
  <c r="A3399" i="44" s="1"/>
  <c r="F1061" i="44"/>
  <c r="A398" i="44"/>
  <c r="F635" i="44"/>
  <c r="A761" i="44"/>
  <c r="A459" i="44"/>
  <c r="A454" i="44"/>
  <c r="F902" i="44"/>
  <c r="F3149" i="44"/>
  <c r="F2701" i="44"/>
  <c r="F2299" i="44"/>
  <c r="F372" i="44"/>
  <c r="F2816" i="44"/>
  <c r="F872" i="44"/>
  <c r="F1874" i="44"/>
  <c r="F605" i="44"/>
  <c r="F536" i="44"/>
  <c r="F685" i="44"/>
  <c r="F1075" i="44"/>
  <c r="F944" i="44"/>
  <c r="A439" i="44"/>
  <c r="F821" i="44"/>
  <c r="F2928" i="44"/>
  <c r="F2955" i="44"/>
  <c r="F1835" i="44"/>
  <c r="F2373" i="44"/>
  <c r="A481" i="44"/>
  <c r="F693" i="44"/>
  <c r="F2936" i="44"/>
  <c r="F2515" i="44"/>
  <c r="F683" i="44"/>
  <c r="A223" i="44"/>
  <c r="J156" i="44"/>
  <c r="L156" i="44" s="1"/>
  <c r="N156" i="44" s="1"/>
  <c r="F156" i="44" s="1"/>
  <c r="K156" i="44"/>
  <c r="F768" i="44"/>
  <c r="F713" i="44"/>
  <c r="F2976" i="44"/>
  <c r="F1063" i="44"/>
  <c r="F2277" i="44"/>
  <c r="F687" i="44"/>
  <c r="F2334" i="44"/>
  <c r="F3095" i="44"/>
  <c r="F2868" i="44"/>
  <c r="F773" i="44"/>
  <c r="F729" i="44"/>
  <c r="F3122" i="44"/>
  <c r="F1048" i="44"/>
  <c r="F520" i="44"/>
  <c r="F112" i="44"/>
  <c r="A112" i="44" s="1"/>
  <c r="F390" i="44"/>
  <c r="F2734" i="44"/>
  <c r="F1868" i="44"/>
  <c r="F2405" i="44"/>
  <c r="F2441" i="44"/>
  <c r="F849" i="44"/>
  <c r="A909" i="44"/>
  <c r="F758" i="44"/>
  <c r="F2454" i="44"/>
  <c r="F2532" i="44"/>
  <c r="A396" i="44"/>
  <c r="F2453" i="44"/>
  <c r="A774" i="44"/>
  <c r="A710" i="44"/>
  <c r="F3394" i="44"/>
  <c r="A3394" i="44" s="1"/>
  <c r="F2715" i="44"/>
  <c r="F2647" i="44"/>
  <c r="F487" i="44"/>
  <c r="F621" i="44"/>
  <c r="F1643" i="44"/>
  <c r="F2636" i="44"/>
  <c r="F358" i="44"/>
  <c r="E1135" i="44"/>
  <c r="A1135" i="44" s="1"/>
  <c r="F3163" i="44"/>
  <c r="F3129" i="44"/>
  <c r="A1723" i="44"/>
  <c r="F2599" i="44"/>
  <c r="F1923" i="44"/>
  <c r="F31" i="44"/>
  <c r="A31" i="44" s="1"/>
  <c r="F1770" i="44"/>
  <c r="A853" i="44"/>
  <c r="A998" i="44"/>
  <c r="F2508" i="44"/>
  <c r="F923" i="44"/>
  <c r="F720" i="44"/>
  <c r="F3065" i="44"/>
  <c r="F3100" i="44"/>
  <c r="F791" i="44"/>
  <c r="F1550" i="44"/>
  <c r="A889" i="44"/>
  <c r="A887" i="44"/>
  <c r="A429" i="44"/>
  <c r="J172" i="44"/>
  <c r="L172" i="44" s="1"/>
  <c r="N172" i="44" s="1"/>
  <c r="F172" i="44" s="1"/>
  <c r="K172" i="44"/>
  <c r="F2614" i="44"/>
  <c r="F391" i="44"/>
  <c r="F2476" i="44"/>
  <c r="A226" i="44"/>
  <c r="F1844" i="44"/>
  <c r="F2080" i="44"/>
  <c r="F1603" i="44"/>
  <c r="A948" i="44"/>
  <c r="F2642" i="44"/>
  <c r="F2086" i="44"/>
  <c r="F2566" i="44"/>
  <c r="F1700" i="44"/>
  <c r="F734" i="44"/>
  <c r="F2906" i="44"/>
  <c r="F1638" i="44"/>
  <c r="A675" i="44"/>
  <c r="A477" i="44"/>
  <c r="A680" i="44"/>
  <c r="F311" i="44"/>
  <c r="F722" i="44"/>
  <c r="F1987" i="44"/>
  <c r="F884" i="44"/>
  <c r="F2518" i="44"/>
  <c r="F71" i="44"/>
  <c r="A71" i="44" s="1"/>
  <c r="A2587" i="44"/>
  <c r="F2945" i="44"/>
  <c r="F1626" i="44"/>
  <c r="A392" i="44"/>
  <c r="A942" i="44"/>
  <c r="F3441" i="44"/>
  <c r="A3441" i="44" s="1"/>
  <c r="A619" i="44"/>
  <c r="F2353" i="44"/>
  <c r="F1698" i="44"/>
  <c r="F2638" i="44"/>
  <c r="F2094" i="44"/>
  <c r="F2351" i="44"/>
  <c r="A979" i="44"/>
  <c r="F1848" i="44"/>
  <c r="F2303" i="44"/>
  <c r="F2964" i="44"/>
  <c r="A806" i="44"/>
  <c r="F930" i="44"/>
  <c r="F2053" i="44"/>
  <c r="A750" i="44"/>
  <c r="A911" i="44"/>
  <c r="F2124" i="44"/>
  <c r="F2660" i="44"/>
  <c r="E101" i="3"/>
  <c r="A1073" i="44"/>
  <c r="F583" i="44"/>
  <c r="A659" i="44"/>
  <c r="A358" i="44"/>
  <c r="F1556" i="44"/>
  <c r="F2612" i="44"/>
  <c r="E3135" i="44"/>
  <c r="A3147" i="44" s="1"/>
  <c r="F577" i="44"/>
  <c r="F532" i="44"/>
  <c r="F1018" i="44"/>
  <c r="F2349" i="44"/>
  <c r="F1854" i="44"/>
  <c r="A466" i="44"/>
  <c r="A471" i="44"/>
  <c r="A1035" i="44"/>
  <c r="F466" i="44"/>
  <c r="A24" i="44"/>
  <c r="A247" i="44"/>
  <c r="F552" i="44"/>
  <c r="A985" i="44"/>
  <c r="A505" i="44"/>
  <c r="F93" i="44"/>
  <c r="A93" i="44" s="1"/>
  <c r="F1926" i="44"/>
  <c r="F3133" i="44"/>
  <c r="J190" i="44"/>
  <c r="M190" i="44" s="1"/>
  <c r="K190" i="44"/>
  <c r="F6" i="44"/>
  <c r="A6" i="44" s="1"/>
  <c r="F1872" i="44"/>
  <c r="F991" i="44"/>
  <c r="E2095" i="44"/>
  <c r="A2097" i="44" s="1"/>
  <c r="F2883" i="44"/>
  <c r="F1587" i="44"/>
  <c r="F2386" i="44"/>
  <c r="A369" i="44"/>
  <c r="F2586" i="44"/>
  <c r="F1012" i="44"/>
  <c r="F2793" i="44"/>
  <c r="F2034" i="44"/>
  <c r="F2003" i="44"/>
  <c r="A621" i="44"/>
  <c r="F599" i="44"/>
  <c r="F1767" i="44"/>
  <c r="F1688" i="44"/>
  <c r="F625" i="44"/>
  <c r="F481" i="44"/>
  <c r="F35" i="44"/>
  <c r="A35" i="44" s="1"/>
  <c r="F3063" i="44"/>
  <c r="A702" i="44"/>
  <c r="F2629" i="44"/>
  <c r="F2440" i="44"/>
  <c r="A1720" i="44"/>
  <c r="F2645" i="44"/>
  <c r="A1556" i="44"/>
  <c r="A1024" i="44"/>
  <c r="A1081" i="44"/>
  <c r="A878" i="44"/>
  <c r="A880" i="44"/>
  <c r="F1513" i="44"/>
  <c r="A302" i="44"/>
  <c r="E1871" i="44"/>
  <c r="A1877" i="44" s="1"/>
  <c r="F3104" i="44"/>
  <c r="E2927" i="44"/>
  <c r="A2930" i="44" s="1"/>
  <c r="F649" i="44"/>
  <c r="F2015" i="44"/>
  <c r="F1824" i="44"/>
  <c r="F1014" i="44"/>
  <c r="F1731" i="44"/>
  <c r="A933" i="44"/>
  <c r="A725" i="44"/>
  <c r="F615" i="44"/>
  <c r="F2074" i="44"/>
  <c r="F652" i="44"/>
  <c r="F3012" i="44"/>
  <c r="F2950" i="44"/>
  <c r="F2155" i="44"/>
  <c r="F2714" i="44"/>
  <c r="F2723" i="44"/>
  <c r="F2380" i="44"/>
  <c r="A341" i="44"/>
  <c r="F2690" i="44"/>
  <c r="A943" i="44"/>
  <c r="A518" i="44"/>
  <c r="F2990" i="44"/>
  <c r="F1875" i="44"/>
  <c r="F528" i="44"/>
  <c r="F1816" i="44"/>
  <c r="F399" i="44"/>
  <c r="F933" i="44"/>
  <c r="F1637" i="44"/>
  <c r="F1758" i="44"/>
  <c r="F671" i="44"/>
  <c r="F1632" i="44"/>
  <c r="F2501" i="44"/>
  <c r="F2061" i="44"/>
  <c r="A512" i="44"/>
  <c r="A347" i="44"/>
  <c r="F3411" i="44"/>
  <c r="A3411" i="44" s="1"/>
  <c r="F2236" i="44"/>
  <c r="A513" i="44"/>
  <c r="F67" i="44"/>
  <c r="A67" i="44" s="1"/>
  <c r="F1863" i="44"/>
  <c r="F1840" i="44"/>
  <c r="F137" i="44"/>
  <c r="A137" i="44" s="1"/>
  <c r="G137" i="44" s="1"/>
  <c r="F2008" i="44"/>
  <c r="F2263" i="44"/>
  <c r="F398" i="44"/>
  <c r="A482" i="44"/>
  <c r="F3154" i="44"/>
  <c r="F2573" i="44"/>
  <c r="F812" i="44"/>
  <c r="F34" i="44"/>
  <c r="A34" i="44" s="1"/>
  <c r="F2387" i="44"/>
  <c r="F1060" i="44"/>
  <c r="F2288" i="44"/>
  <c r="F262" i="44"/>
  <c r="A262" i="44" s="1"/>
  <c r="F2425" i="44"/>
  <c r="F316" i="44"/>
  <c r="A316" i="44" s="1"/>
  <c r="F1830" i="44"/>
  <c r="F315" i="44"/>
  <c r="A627" i="44"/>
  <c r="F3434" i="44"/>
  <c r="A3434" i="44" s="1"/>
  <c r="F1621" i="44"/>
  <c r="F1011" i="44"/>
  <c r="F798" i="44"/>
  <c r="F1917" i="44"/>
  <c r="F2527" i="44"/>
  <c r="A359" i="44"/>
  <c r="F632" i="44"/>
  <c r="A455" i="44"/>
  <c r="F1860" i="44"/>
  <c r="F322" i="44"/>
  <c r="F985" i="44"/>
  <c r="F1032" i="44"/>
  <c r="F1999" i="44"/>
  <c r="F1896" i="44"/>
  <c r="F100" i="44"/>
  <c r="A100" i="44" s="1"/>
  <c r="A937" i="44"/>
  <c r="E2031" i="44"/>
  <c r="A2046" i="44" s="1"/>
  <c r="F541" i="44"/>
  <c r="F2337" i="44"/>
  <c r="F2507" i="44"/>
  <c r="F760" i="44"/>
  <c r="F3409" i="44"/>
  <c r="A3409" i="44" s="1"/>
  <c r="F2981" i="44"/>
  <c r="A368" i="44"/>
  <c r="F2007" i="44"/>
  <c r="F2092" i="44"/>
  <c r="A523" i="44"/>
  <c r="F1544" i="44"/>
  <c r="F1763" i="44"/>
  <c r="F2446" i="44"/>
  <c r="F2870" i="44"/>
  <c r="F2332" i="44"/>
  <c r="F491" i="44"/>
  <c r="F748" i="44"/>
  <c r="F1818" i="44"/>
  <c r="F2491" i="44"/>
  <c r="A656" i="44"/>
  <c r="F624" i="44"/>
  <c r="F887" i="44"/>
  <c r="A598" i="44"/>
  <c r="F2222" i="44"/>
  <c r="F1614" i="44"/>
  <c r="F1023" i="44"/>
  <c r="A896" i="44"/>
  <c r="F2316" i="44"/>
  <c r="F501" i="44"/>
  <c r="F694" i="44"/>
  <c r="A1546" i="44"/>
  <c r="A350" i="44"/>
  <c r="F2593" i="44"/>
  <c r="F1087" i="44"/>
  <c r="F629" i="44"/>
  <c r="A1083" i="44"/>
  <c r="F2618" i="44"/>
  <c r="F385" i="44"/>
  <c r="F1769" i="44"/>
  <c r="F561" i="44"/>
  <c r="F1596" i="44"/>
  <c r="E2223" i="44"/>
  <c r="A2226" i="44" s="1"/>
  <c r="A414" i="44"/>
  <c r="A409" i="44"/>
  <c r="F2230" i="44"/>
  <c r="F68" i="44"/>
  <c r="A68" i="44" s="1"/>
  <c r="F869" i="44"/>
  <c r="F1520" i="44"/>
  <c r="F27" i="44"/>
  <c r="A27" i="44" s="1"/>
  <c r="F3414" i="44"/>
  <c r="A3414" i="44" s="1"/>
  <c r="F1624" i="44"/>
  <c r="F1921" i="44"/>
  <c r="F2365" i="44"/>
  <c r="F1841" i="44"/>
  <c r="F1676" i="44"/>
  <c r="F2403" i="44"/>
  <c r="A1034" i="44"/>
  <c r="A1076" i="44"/>
  <c r="F2941" i="44"/>
  <c r="F566" i="44"/>
  <c r="F2384" i="44"/>
  <c r="A731" i="44"/>
  <c r="A733" i="44"/>
  <c r="A515" i="44"/>
  <c r="K202" i="44"/>
  <c r="J202" i="44"/>
  <c r="M202" i="44" s="1"/>
  <c r="F1629" i="44"/>
  <c r="E3007" i="44"/>
  <c r="A3009" i="44" s="1"/>
  <c r="F2923" i="44"/>
  <c r="F2942" i="44"/>
  <c r="A521" i="44"/>
  <c r="F885" i="44"/>
  <c r="F2892" i="44"/>
  <c r="F2569" i="44"/>
  <c r="F752" i="44"/>
  <c r="F1918" i="44"/>
  <c r="F2834" i="44"/>
  <c r="A980" i="44"/>
  <c r="A601" i="44"/>
  <c r="F1657" i="44"/>
  <c r="F2864" i="44"/>
  <c r="F2228" i="44"/>
  <c r="K180" i="44"/>
  <c r="J180" i="44"/>
  <c r="M180" i="44" s="1"/>
  <c r="F2481" i="44"/>
  <c r="A2589" i="44"/>
  <c r="A622" i="44"/>
  <c r="F3050" i="44"/>
  <c r="F714" i="44"/>
  <c r="F2216" i="44"/>
  <c r="F465" i="44"/>
  <c r="A947" i="44"/>
  <c r="F448" i="44"/>
  <c r="F1037" i="44"/>
  <c r="E1983" i="44"/>
  <c r="A1990" i="44" s="1"/>
  <c r="F2983" i="44"/>
  <c r="A732" i="44"/>
  <c r="F1803" i="44"/>
  <c r="F2111" i="44"/>
  <c r="F534" i="44"/>
  <c r="F2089" i="44"/>
  <c r="K200" i="44"/>
  <c r="J200" i="44"/>
  <c r="L200" i="44" s="1"/>
  <c r="N200" i="44" s="1"/>
  <c r="F200" i="44" s="1"/>
  <c r="F2308" i="44"/>
  <c r="F3121" i="44"/>
  <c r="E104" i="3"/>
  <c r="F1930" i="44"/>
  <c r="F92" i="44"/>
  <c r="A92" i="44" s="1"/>
  <c r="K164" i="44"/>
  <c r="J164" i="44"/>
  <c r="L164" i="44" s="1"/>
  <c r="N164" i="44" s="1"/>
  <c r="F164" i="44" s="1"/>
  <c r="F1666" i="44"/>
  <c r="A648" i="44"/>
  <c r="F656" i="44"/>
  <c r="E2847" i="44"/>
  <c r="A2850" i="44" s="1"/>
  <c r="F2208" i="44"/>
  <c r="F813" i="44"/>
  <c r="F2082" i="44"/>
  <c r="F831" i="44"/>
  <c r="F610" i="44"/>
  <c r="F556" i="44"/>
  <c r="F1079" i="44"/>
  <c r="F3376" i="44"/>
  <c r="A3376" i="44" s="1"/>
  <c r="A570" i="44"/>
  <c r="F1795" i="44"/>
  <c r="F2255" i="44"/>
  <c r="F1766" i="44"/>
  <c r="A553" i="44"/>
  <c r="A558" i="44"/>
  <c r="F2426" i="44"/>
  <c r="A254" i="44"/>
  <c r="F1085" i="44"/>
  <c r="F2968" i="44"/>
  <c r="F2026" i="44"/>
  <c r="F2270" i="44"/>
  <c r="F2142" i="44"/>
  <c r="F658" i="44"/>
  <c r="A860" i="44"/>
  <c r="F509" i="44"/>
  <c r="F2471" i="44"/>
  <c r="F816" i="44"/>
  <c r="F978" i="44"/>
  <c r="F65" i="44"/>
  <c r="A65" i="44" s="1"/>
  <c r="F2894" i="44"/>
  <c r="F2180" i="44"/>
  <c r="F2179" i="44"/>
  <c r="F2760" i="44"/>
  <c r="A228" i="44"/>
  <c r="F1843" i="44"/>
  <c r="A1038" i="44"/>
  <c r="F2368" i="44"/>
  <c r="A647" i="44"/>
  <c r="F2132" i="44"/>
  <c r="F2925" i="44"/>
  <c r="F2468" i="44"/>
  <c r="A453" i="44"/>
  <c r="F459" i="44"/>
  <c r="F3025" i="44"/>
  <c r="F622" i="44"/>
  <c r="F2028" i="44"/>
  <c r="F2241" i="44"/>
  <c r="F307" i="44"/>
  <c r="F567" i="44"/>
  <c r="F2616" i="44"/>
  <c r="A1068" i="44"/>
  <c r="F2663" i="44"/>
  <c r="F1771" i="44"/>
  <c r="A575" i="44"/>
  <c r="F22" i="44"/>
  <c r="A22" i="44" s="1"/>
  <c r="F2242" i="44"/>
  <c r="F2965" i="44"/>
  <c r="A669" i="44"/>
  <c r="F2072" i="44"/>
  <c r="A529" i="44"/>
  <c r="F522" i="44"/>
  <c r="A1062" i="44"/>
  <c r="F140" i="44"/>
  <c r="F2509" i="44"/>
  <c r="F456" i="44"/>
  <c r="F1811" i="44"/>
  <c r="F2522" i="44"/>
  <c r="F389" i="44"/>
  <c r="F2524" i="44"/>
  <c r="F709" i="44"/>
  <c r="F2399" i="44"/>
  <c r="F469" i="44"/>
  <c r="F3028" i="44"/>
  <c r="A1004" i="44"/>
  <c r="F627" i="44"/>
  <c r="F2099" i="44"/>
  <c r="K178" i="44"/>
  <c r="J178" i="44"/>
  <c r="M178" i="44" s="1"/>
  <c r="F644" i="44"/>
  <c r="F432" i="44"/>
  <c r="F422" i="44"/>
  <c r="F2087" i="44"/>
  <c r="A891" i="44"/>
  <c r="A249" i="44"/>
  <c r="F1659" i="44"/>
  <c r="F2784" i="44"/>
  <c r="F2390" i="44"/>
  <c r="F321" i="44"/>
  <c r="F2744" i="44"/>
  <c r="F2893" i="44"/>
  <c r="F1934" i="44"/>
  <c r="F1076" i="44"/>
  <c r="F1628" i="44"/>
  <c r="F355" i="44"/>
  <c r="F559" i="44"/>
  <c r="F1716" i="44"/>
  <c r="F2148" i="44"/>
  <c r="F1707" i="44"/>
  <c r="F1801" i="44"/>
  <c r="F2298" i="44"/>
  <c r="F1900" i="44"/>
  <c r="F2168" i="44"/>
  <c r="E2175" i="44"/>
  <c r="A2176" i="44" s="1"/>
  <c r="F2402" i="44"/>
  <c r="A433" i="44"/>
  <c r="F698" i="44"/>
  <c r="F3000" i="44"/>
  <c r="A640" i="44"/>
  <c r="A562" i="44"/>
  <c r="A478" i="44"/>
  <c r="F19" i="44"/>
  <c r="F905" i="44"/>
  <c r="F824" i="44"/>
  <c r="F759" i="44"/>
  <c r="A472" i="44"/>
  <c r="F2431" i="44"/>
  <c r="F2231" i="44"/>
  <c r="F1607" i="44"/>
  <c r="F3125" i="44"/>
  <c r="F665" i="44"/>
  <c r="F3118" i="44"/>
  <c r="F770" i="44"/>
  <c r="F3403" i="44"/>
  <c r="A3403" i="44" s="1"/>
  <c r="F1704" i="44"/>
  <c r="A610" i="44"/>
  <c r="F33" i="44"/>
  <c r="A33" i="44" s="1"/>
  <c r="F2531" i="44"/>
  <c r="A671" i="44"/>
  <c r="A666" i="44"/>
  <c r="F443" i="44"/>
  <c r="A946" i="44"/>
  <c r="F2549" i="44"/>
  <c r="F1043" i="44"/>
  <c r="F1944" i="44"/>
  <c r="E2911" i="44"/>
  <c r="A2914" i="44" s="1"/>
  <c r="F2114" i="44"/>
  <c r="F1735" i="44"/>
  <c r="F772" i="44"/>
  <c r="F452" i="44"/>
  <c r="F471" i="44"/>
  <c r="F517" i="44"/>
  <c r="F948" i="44"/>
  <c r="F2460" i="44"/>
  <c r="F2079" i="44"/>
  <c r="F1651" i="44"/>
  <c r="F2756" i="44"/>
  <c r="F558" i="44"/>
  <c r="F1518" i="44"/>
  <c r="F2783" i="44"/>
  <c r="F2611" i="44"/>
  <c r="A365" i="44"/>
  <c r="F1029" i="44"/>
  <c r="F115" i="44"/>
  <c r="A115" i="44" s="1"/>
  <c r="A81" i="44"/>
  <c r="E3087" i="44"/>
  <c r="A3101" i="44" s="1"/>
  <c r="F3073" i="44"/>
  <c r="A699" i="44"/>
  <c r="F2396" i="44"/>
  <c r="E116" i="3"/>
  <c r="F901" i="44"/>
  <c r="F663" i="44"/>
  <c r="F2840" i="44"/>
  <c r="A805" i="44"/>
  <c r="F2304" i="44"/>
  <c r="A2584" i="44"/>
  <c r="F2438" i="44"/>
  <c r="F2116" i="44"/>
  <c r="A784" i="44"/>
  <c r="F415" i="44"/>
  <c r="E2143" i="44"/>
  <c r="A2146" i="44" s="1"/>
  <c r="A713" i="44"/>
  <c r="A378" i="44"/>
  <c r="A334" i="44"/>
  <c r="F1507" i="44"/>
  <c r="A1507" i="44" s="1"/>
  <c r="G1507" i="44" s="1"/>
  <c r="G1508" i="44" s="1"/>
  <c r="F324" i="44"/>
  <c r="F1712" i="44"/>
  <c r="F264" i="44"/>
  <c r="A264" i="44" s="1"/>
  <c r="A1533" i="44"/>
  <c r="F975" i="44"/>
  <c r="A1528" i="44"/>
  <c r="F2085" i="44"/>
  <c r="F445" i="44"/>
  <c r="F1931" i="44"/>
  <c r="F3001" i="44"/>
  <c r="F397" i="44"/>
  <c r="F2523" i="44"/>
  <c r="A1028" i="44"/>
  <c r="F3038" i="44"/>
  <c r="F808" i="44"/>
  <c r="F304" i="44"/>
  <c r="F718" i="44"/>
  <c r="F386" i="44"/>
  <c r="E2511" i="44"/>
  <c r="A2516" i="44" s="1"/>
  <c r="A499" i="44"/>
  <c r="F3048" i="44"/>
  <c r="A431" i="44"/>
  <c r="F2218" i="44"/>
  <c r="F664" i="44"/>
  <c r="J186" i="44"/>
  <c r="M186" i="44" s="1"/>
  <c r="K186" i="44"/>
  <c r="F1798" i="44"/>
  <c r="F1858" i="44"/>
  <c r="F2105" i="44"/>
  <c r="F2512" i="44"/>
  <c r="E1775" i="44"/>
  <c r="A1789" i="44" s="1"/>
  <c r="F2355" i="44"/>
  <c r="A280" i="44"/>
  <c r="A721" i="44"/>
  <c r="F2371" i="44"/>
  <c r="F2533" i="44"/>
  <c r="F900" i="44"/>
  <c r="A372" i="44"/>
  <c r="A227" i="44"/>
  <c r="A1070" i="44"/>
  <c r="F2466" i="44"/>
  <c r="A618" i="44"/>
  <c r="F673" i="44"/>
  <c r="F2862" i="44"/>
  <c r="F906" i="44"/>
  <c r="F995" i="44"/>
  <c r="A1535" i="44"/>
  <c r="A1534" i="44"/>
  <c r="A229" i="44"/>
  <c r="A123" i="44"/>
  <c r="F2823" i="44"/>
  <c r="A984" i="44"/>
  <c r="F2984" i="44"/>
  <c r="F2271" i="44"/>
  <c r="F1935" i="44"/>
  <c r="F2572" i="44"/>
  <c r="F3423" i="44"/>
  <c r="A3423" i="44" s="1"/>
  <c r="A568" i="44"/>
  <c r="A1530" i="44"/>
  <c r="F974" i="44"/>
  <c r="A2252" i="44"/>
  <c r="F1532" i="44"/>
  <c r="A541" i="44"/>
  <c r="A127" i="44"/>
  <c r="F433" i="44"/>
  <c r="A451" i="44"/>
  <c r="F2450" i="44"/>
  <c r="F242" i="44"/>
  <c r="A242" i="44" s="1"/>
  <c r="G242" i="44" s="1"/>
  <c r="A438" i="44"/>
  <c r="A329" i="44"/>
  <c r="F3005" i="44"/>
  <c r="A497" i="44"/>
  <c r="E1743" i="44"/>
  <c r="A1749" i="44" s="1"/>
  <c r="F2362" i="44"/>
  <c r="A712" i="44"/>
  <c r="F1905" i="44"/>
  <c r="F1909" i="44"/>
  <c r="F507" i="44"/>
  <c r="F2846" i="44"/>
  <c r="A412" i="44"/>
  <c r="F3082" i="44"/>
  <c r="F2719" i="44"/>
  <c r="A939" i="44"/>
  <c r="F1755" i="44"/>
  <c r="F735" i="44"/>
  <c r="F2209" i="44"/>
  <c r="F1899" i="44"/>
  <c r="F3413" i="44"/>
  <c r="A3413" i="44" s="1"/>
  <c r="F1013" i="44"/>
  <c r="A596" i="44"/>
  <c r="A594" i="44"/>
  <c r="F394" i="44"/>
  <c r="F2205" i="44"/>
  <c r="A2580" i="44"/>
  <c r="E2991" i="44"/>
  <c r="A2995" i="44" s="1"/>
  <c r="F2097" i="44"/>
  <c r="A913" i="44"/>
  <c r="F2060" i="44"/>
  <c r="F2375" i="44"/>
  <c r="F1540" i="44"/>
  <c r="F2141" i="44"/>
  <c r="F533" i="44"/>
  <c r="F2538" i="44"/>
  <c r="F1051" i="44"/>
  <c r="F1826" i="44"/>
  <c r="F2306" i="44"/>
  <c r="A850" i="44"/>
  <c r="F3124" i="44"/>
  <c r="F2699" i="44"/>
  <c r="F1865" i="44"/>
  <c r="A630" i="44"/>
  <c r="F3439" i="44"/>
  <c r="A3439" i="44" s="1"/>
  <c r="F860" i="44"/>
  <c r="A735" i="44"/>
  <c r="A605" i="44"/>
  <c r="F2310" i="44"/>
  <c r="F400" i="44"/>
  <c r="F2631" i="44"/>
  <c r="A945" i="44"/>
  <c r="A950" i="44"/>
  <c r="F2710" i="44"/>
  <c r="F2404" i="44"/>
  <c r="F3106" i="44"/>
  <c r="F2360" i="44"/>
  <c r="A672" i="44"/>
  <c r="A677" i="44"/>
  <c r="A583" i="44"/>
  <c r="F2098" i="44"/>
  <c r="F2442" i="44"/>
  <c r="A1724" i="44"/>
  <c r="A447" i="44"/>
  <c r="A486" i="44"/>
  <c r="A590" i="44"/>
  <c r="A588" i="44"/>
  <c r="A882" i="44"/>
  <c r="F482" i="44"/>
  <c r="F511" i="44"/>
  <c r="F2805" i="44"/>
  <c r="F2797" i="44"/>
  <c r="F2824" i="44"/>
  <c r="F1974" i="44"/>
  <c r="F455" i="44"/>
  <c r="F1510" i="44"/>
  <c r="F2456" i="44"/>
  <c r="A661" i="44"/>
  <c r="F55" i="44"/>
  <c r="A55" i="44" s="1"/>
  <c r="F1679" i="44"/>
  <c r="F382" i="44"/>
  <c r="F1639" i="44"/>
  <c r="F499" i="44"/>
  <c r="F646" i="44"/>
  <c r="F231" i="44"/>
  <c r="A231" i="44" s="1"/>
  <c r="F2781" i="44"/>
  <c r="A413" i="44"/>
  <c r="F1053" i="44"/>
  <c r="F909" i="44"/>
  <c r="A1063" i="44"/>
  <c r="F2564" i="44"/>
  <c r="F1774" i="44"/>
  <c r="F2768" i="44"/>
  <c r="F3072" i="44"/>
  <c r="F2369" i="44"/>
  <c r="F3057" i="44"/>
  <c r="F1539" i="44"/>
  <c r="F3386" i="44"/>
  <c r="A3386" i="44" s="1"/>
  <c r="F1647" i="44"/>
  <c r="F525" i="44"/>
  <c r="F1089" i="44"/>
  <c r="A251" i="44"/>
  <c r="F1726" i="44"/>
  <c r="F3033" i="44"/>
  <c r="F330" i="44"/>
  <c r="F1996" i="44"/>
  <c r="F2052" i="44"/>
  <c r="A1510" i="44"/>
  <c r="F757" i="44"/>
  <c r="F2048" i="44"/>
  <c r="F518" i="44"/>
  <c r="A807" i="44"/>
  <c r="F3140" i="44"/>
  <c r="F710" i="44"/>
  <c r="F2129" i="44"/>
  <c r="A662" i="44"/>
  <c r="F1839" i="44"/>
  <c r="F1992" i="44"/>
  <c r="A1054" i="44"/>
  <c r="A650" i="44"/>
  <c r="A1021" i="44"/>
  <c r="F1026" i="44"/>
  <c r="A780" i="44"/>
  <c r="F1611" i="44"/>
  <c r="F750" i="44"/>
  <c r="A1515" i="44"/>
  <c r="A747" i="44"/>
  <c r="G747" i="44" s="1"/>
  <c r="F449" i="44"/>
  <c r="A793" i="44"/>
  <c r="F82" i="44"/>
  <c r="A82" i="44" s="1"/>
  <c r="F2467" i="44"/>
  <c r="A10" i="44"/>
  <c r="F1598" i="44"/>
  <c r="F2977" i="44"/>
  <c r="F495" i="44"/>
  <c r="F3166" i="44"/>
  <c r="F2117" i="44"/>
  <c r="A504" i="44"/>
  <c r="E3039" i="44"/>
  <c r="A3050" i="44" s="1"/>
  <c r="F994" i="44"/>
  <c r="F2735" i="44"/>
  <c r="A440" i="44"/>
  <c r="F3416" i="44"/>
  <c r="A3416" i="44" s="1"/>
  <c r="A323" i="44"/>
  <c r="A695" i="44"/>
  <c r="A460" i="44"/>
  <c r="A465" i="44"/>
  <c r="F1813" i="44"/>
  <c r="F2821" i="44"/>
  <c r="F3006" i="44"/>
  <c r="A753" i="44"/>
  <c r="A387" i="44"/>
  <c r="A508" i="44"/>
  <c r="F428" i="44"/>
  <c r="A770" i="44"/>
  <c r="A926" i="44"/>
  <c r="A642" i="44"/>
  <c r="F1705" i="44"/>
  <c r="A1522" i="44"/>
  <c r="A775" i="44"/>
  <c r="A773" i="44"/>
  <c r="A1010" i="44"/>
  <c r="F2767" i="44"/>
  <c r="A765" i="44"/>
  <c r="A988" i="44"/>
  <c r="F16" i="44"/>
  <c r="A16" i="44" s="1"/>
  <c r="F1055" i="44"/>
  <c r="F1791" i="44"/>
  <c r="F2050" i="44"/>
  <c r="A673" i="44"/>
  <c r="F2825" i="44"/>
  <c r="A416" i="44"/>
  <c r="A686" i="44"/>
  <c r="A684" i="44"/>
  <c r="F986" i="44"/>
  <c r="F341" i="44"/>
  <c r="F2485" i="44"/>
  <c r="F2273" i="44"/>
  <c r="F2109" i="44"/>
  <c r="A973" i="44"/>
  <c r="F3419" i="44"/>
  <c r="A3419" i="44" s="1"/>
  <c r="F719" i="44"/>
  <c r="F1024" i="44"/>
  <c r="A551" i="44"/>
  <c r="A530" i="44"/>
  <c r="F1530" i="44"/>
  <c r="F2269" i="44"/>
  <c r="F2989" i="44"/>
  <c r="F2751" i="44"/>
  <c r="F3446" i="44"/>
  <c r="A3446" i="44" s="1"/>
  <c r="F1721" i="44"/>
  <c r="A1071" i="44"/>
  <c r="A1069" i="44"/>
  <c r="E102" i="3"/>
  <c r="F1663" i="44"/>
  <c r="J208" i="44"/>
  <c r="L208" i="44" s="1"/>
  <c r="N208" i="44" s="1"/>
  <c r="F208" i="44" s="1"/>
  <c r="K208" i="44"/>
  <c r="F863" i="44"/>
  <c r="F1849" i="44"/>
  <c r="F2134" i="44"/>
  <c r="K166" i="44"/>
  <c r="J166" i="44"/>
  <c r="L166" i="44" s="1"/>
  <c r="N166" i="44" s="1"/>
  <c r="F166" i="44" s="1"/>
  <c r="E2079" i="44"/>
  <c r="A2090" i="44" s="1"/>
  <c r="F2947" i="44"/>
  <c r="F2138" i="44"/>
  <c r="F367" i="44"/>
  <c r="F3021" i="44"/>
  <c r="F2553" i="44"/>
  <c r="A755" i="44"/>
  <c r="F2659" i="44"/>
  <c r="F2722" i="44"/>
  <c r="F601" i="44"/>
  <c r="A803" i="44"/>
  <c r="F2801" i="44"/>
  <c r="A1529" i="44"/>
  <c r="F2963" i="44"/>
  <c r="F2418" i="44"/>
  <c r="F1913" i="44"/>
  <c r="F3092" i="44"/>
  <c r="F453" i="44"/>
  <c r="A791" i="44"/>
  <c r="F406" i="44"/>
  <c r="F1531" i="44"/>
  <c r="F1867" i="44"/>
  <c r="A815" i="44"/>
  <c r="A584" i="44"/>
  <c r="F2726" i="44"/>
  <c r="F573" i="44"/>
  <c r="A573" i="44" s="1"/>
  <c r="F2535" i="44"/>
  <c r="F2850" i="44"/>
  <c r="F418" i="44"/>
  <c r="F2603" i="44"/>
  <c r="F3044" i="44"/>
  <c r="F2248" i="44"/>
  <c r="F1788" i="44"/>
  <c r="A888" i="44"/>
  <c r="F39" i="44"/>
  <c r="A39" i="44" s="1"/>
  <c r="F924" i="44"/>
  <c r="F1947" i="44"/>
  <c r="A936" i="44"/>
  <c r="F2915" i="44"/>
  <c r="F782" i="44"/>
  <c r="F2551" i="44"/>
  <c r="F2121" i="44"/>
  <c r="F3408" i="44"/>
  <c r="A3408" i="44" s="1"/>
  <c r="A305" i="44"/>
  <c r="F911" i="44"/>
  <c r="F2489" i="44"/>
  <c r="F2740" i="44"/>
  <c r="F1976" i="44"/>
  <c r="F429" i="44"/>
  <c r="F1989" i="44"/>
  <c r="F886" i="44"/>
  <c r="F2219" i="44"/>
  <c r="F1630" i="44"/>
  <c r="F138" i="44"/>
  <c r="A138" i="44" s="1"/>
  <c r="F2820" i="44"/>
  <c r="F2064" i="44"/>
  <c r="F634" i="44"/>
  <c r="F1601" i="44"/>
  <c r="F598" i="44"/>
  <c r="F3002" i="44"/>
  <c r="F2433" i="44"/>
  <c r="A823" i="44"/>
  <c r="A266" i="44"/>
  <c r="F792" i="44"/>
  <c r="F1650" i="44"/>
  <c r="F588" i="44"/>
  <c r="F570" i="44"/>
  <c r="F512" i="44"/>
  <c r="F2287" i="44"/>
  <c r="A1001" i="44"/>
  <c r="F103" i="44"/>
  <c r="A103" i="44" s="1"/>
  <c r="A1511" i="44"/>
  <c r="F690" i="44"/>
  <c r="F2775" i="44"/>
  <c r="E1951" i="44"/>
  <c r="A1959" i="44" s="1"/>
  <c r="F1600" i="44"/>
  <c r="F2772" i="44"/>
  <c r="J182" i="44"/>
  <c r="M182" i="44" s="1"/>
  <c r="K182" i="44"/>
  <c r="E234" i="44"/>
  <c r="A234" i="44" s="1"/>
  <c r="F2828" i="44"/>
  <c r="F569" i="44"/>
  <c r="F1725" i="44"/>
  <c r="F651" i="44"/>
  <c r="A1555" i="44"/>
  <c r="A885" i="44"/>
  <c r="F2520" i="44"/>
  <c r="F717" i="44"/>
  <c r="F434" i="44"/>
  <c r="F1627" i="44"/>
  <c r="A1091" i="44"/>
  <c r="A1093" i="44"/>
  <c r="F1008" i="44"/>
  <c r="A840" i="44"/>
  <c r="F1027" i="44"/>
  <c r="F862" i="44"/>
  <c r="F2712" i="44"/>
  <c r="F2682" i="44"/>
  <c r="F117" i="44"/>
  <c r="A117" i="44" s="1"/>
  <c r="F2583" i="44"/>
  <c r="F2818" i="44"/>
  <c r="F1968" i="44"/>
  <c r="F793" i="44"/>
  <c r="A751" i="44"/>
  <c r="F3448" i="44"/>
  <c r="A3448" i="44" s="1"/>
  <c r="A2557" i="44"/>
  <c r="F2067" i="44"/>
  <c r="F502" i="44"/>
  <c r="F2001" i="44"/>
  <c r="F2827" i="44"/>
  <c r="F602" i="44"/>
  <c r="F2475" i="44"/>
  <c r="F2202" i="44"/>
  <c r="F2750" i="44"/>
  <c r="F2780" i="44"/>
  <c r="F2974" i="44"/>
  <c r="F30" i="44"/>
  <c r="A30" i="44" s="1"/>
  <c r="F2910" i="44"/>
  <c r="F2931" i="44"/>
  <c r="F2861" i="44"/>
  <c r="F527" i="44"/>
  <c r="F3094" i="44"/>
  <c r="A2243" i="44"/>
  <c r="A881" i="44"/>
  <c r="A456" i="44"/>
  <c r="F1862" i="44"/>
  <c r="A557" i="44"/>
  <c r="F631" i="44"/>
  <c r="A654" i="44"/>
  <c r="A811" i="44"/>
  <c r="A830" i="44"/>
  <c r="A832" i="44"/>
  <c r="F2742" i="44"/>
  <c r="E117" i="3"/>
  <c r="F1592" i="44"/>
  <c r="F531" i="44"/>
  <c r="F797" i="44"/>
  <c r="F2973" i="44"/>
  <c r="F96" i="44"/>
  <c r="A96" i="44" s="1"/>
  <c r="F1997" i="44"/>
  <c r="A430" i="44"/>
  <c r="F1892" i="44"/>
  <c r="F781" i="44"/>
  <c r="A1012" i="44"/>
  <c r="F2363" i="44"/>
  <c r="A1033" i="44"/>
  <c r="F2190" i="44"/>
  <c r="F898" i="44"/>
  <c r="F2571" i="44"/>
  <c r="A511" i="44"/>
  <c r="F2311" i="44"/>
  <c r="F318" i="44"/>
  <c r="F3030" i="44"/>
  <c r="F2370" i="44"/>
  <c r="F1072" i="44"/>
  <c r="A371" i="44"/>
  <c r="F357" i="44"/>
  <c r="F823" i="44"/>
  <c r="F2565" i="44"/>
  <c r="F2463" i="44"/>
  <c r="F1857" i="44"/>
  <c r="F3071" i="44"/>
  <c r="F968" i="44"/>
  <c r="F2851" i="44"/>
  <c r="F696" i="44"/>
  <c r="A318" i="44"/>
  <c r="F2059" i="44"/>
  <c r="F3079" i="44"/>
  <c r="F804" i="44"/>
  <c r="A2332" i="44"/>
  <c r="E2159" i="44"/>
  <c r="A2166" i="44" s="1"/>
  <c r="E112" i="3"/>
  <c r="A771" i="44"/>
  <c r="F1593" i="44"/>
  <c r="F1846" i="44"/>
  <c r="A1086" i="44"/>
  <c r="F2922" i="44"/>
  <c r="F2935" i="44"/>
  <c r="A384" i="44"/>
  <c r="F3080" i="44"/>
  <c r="A613" i="44"/>
  <c r="F2068" i="44"/>
  <c r="F3102" i="44"/>
  <c r="F351" i="44"/>
  <c r="F2499" i="44"/>
  <c r="F555" i="44"/>
  <c r="E114" i="3"/>
  <c r="F3382" i="44"/>
  <c r="A3382" i="44" s="1"/>
  <c r="F376" i="44"/>
  <c r="A376" i="44" s="1"/>
  <c r="F633" i="44"/>
  <c r="F614" i="44"/>
  <c r="A609" i="44"/>
  <c r="F301" i="44"/>
  <c r="F1552" i="44"/>
  <c r="F3395" i="44"/>
  <c r="A3395" i="44" s="1"/>
  <c r="E1647" i="44"/>
  <c r="A1649" i="44" s="1"/>
  <c r="F2366" i="44"/>
  <c r="F1728" i="44"/>
  <c r="F668" i="44"/>
  <c r="F1836" i="44"/>
  <c r="A748" i="44"/>
  <c r="F2498" i="44"/>
  <c r="F895" i="44"/>
  <c r="A866" i="44"/>
  <c r="E2255" i="44"/>
  <c r="A2264" i="44" s="1"/>
  <c r="F2169" i="44"/>
  <c r="A655" i="44"/>
  <c r="F2211" i="44"/>
  <c r="A905" i="44"/>
  <c r="F564" i="44"/>
  <c r="A867" i="44"/>
  <c r="A448" i="44"/>
  <c r="F1589" i="44"/>
  <c r="A370" i="44"/>
  <c r="F2554" i="44"/>
  <c r="F1922" i="44"/>
  <c r="F1522" i="44"/>
  <c r="F892" i="44"/>
  <c r="A931" i="44"/>
  <c r="A804" i="44"/>
  <c r="F2878" i="44"/>
  <c r="A1007" i="44"/>
  <c r="F2552" i="44"/>
  <c r="F493" i="44"/>
  <c r="F1804" i="44"/>
  <c r="F3422" i="44"/>
  <c r="A3422" i="44" s="1"/>
  <c r="F3135" i="44"/>
  <c r="A801" i="44"/>
  <c r="F2795" i="44"/>
  <c r="F2284" i="44"/>
  <c r="F579" i="44"/>
  <c r="F404" i="44"/>
  <c r="A635" i="44"/>
  <c r="F2152" i="44"/>
  <c r="F2927" i="44"/>
  <c r="F3162" i="44"/>
  <c r="F2589" i="44"/>
  <c r="F3388" i="44"/>
  <c r="A3388" i="44" s="1"/>
  <c r="F2381" i="44"/>
  <c r="F3056" i="44"/>
  <c r="F26" i="44"/>
  <c r="A26" i="44" s="1"/>
  <c r="A821" i="44"/>
  <c r="A1538" i="44"/>
  <c r="F1703" i="44"/>
  <c r="F2759" i="44"/>
  <c r="A772" i="44"/>
  <c r="F3157" i="44"/>
  <c r="A259" i="44"/>
  <c r="F2736" i="44"/>
  <c r="A407" i="44"/>
  <c r="A397" i="44"/>
  <c r="F1861" i="44"/>
  <c r="F2495" i="44"/>
  <c r="F979" i="44"/>
  <c r="F2895" i="44"/>
  <c r="F2315" i="44"/>
  <c r="F2436" i="44"/>
  <c r="F489" i="44"/>
  <c r="F2422" i="44"/>
  <c r="A940" i="44"/>
  <c r="A270" i="44"/>
  <c r="F2336" i="44"/>
  <c r="F1741" i="44"/>
  <c r="F3031" i="44"/>
  <c r="F2031" i="44"/>
  <c r="A469" i="44"/>
  <c r="A245" i="44"/>
  <c r="F2517" i="44"/>
  <c r="A1514" i="44"/>
  <c r="F2763" i="44"/>
  <c r="F3017" i="44"/>
  <c r="F2000" i="44"/>
  <c r="F853" i="44"/>
  <c r="A879" i="44"/>
  <c r="F1649" i="44"/>
  <c r="A258" i="44"/>
  <c r="A1074" i="44"/>
  <c r="A1072" i="44"/>
  <c r="F2590" i="44"/>
  <c r="F3096" i="44"/>
  <c r="A403" i="44"/>
  <c r="F2472" i="44"/>
  <c r="F519" i="44"/>
  <c r="A665" i="44"/>
  <c r="A660" i="44"/>
  <c r="A1037" i="44"/>
  <c r="A1009" i="44"/>
  <c r="F2457" i="44"/>
  <c r="A844" i="44"/>
  <c r="F1988" i="44"/>
  <c r="F2907" i="44"/>
  <c r="F105" i="44"/>
  <c r="A105" i="44" s="1"/>
  <c r="F2194" i="44"/>
  <c r="A1521" i="44"/>
  <c r="A869" i="44"/>
  <c r="A862" i="44"/>
  <c r="F2347" i="44"/>
  <c r="F2378" i="44"/>
  <c r="A230" i="44"/>
  <c r="F1613" i="44"/>
  <c r="F2546" i="44"/>
  <c r="F2164" i="44"/>
  <c r="F2802" i="44"/>
  <c r="F776" i="44"/>
  <c r="F97" i="44"/>
  <c r="A97" i="44" s="1"/>
  <c r="F478" i="44"/>
  <c r="A701" i="44"/>
  <c r="A309" i="44"/>
  <c r="F747" i="44"/>
  <c r="A1726" i="44"/>
  <c r="F2178" i="44"/>
  <c r="A357" i="44"/>
  <c r="F3013" i="44"/>
  <c r="A1027" i="44"/>
  <c r="F2539" i="44"/>
  <c r="E1807" i="44"/>
  <c r="A1810" i="44" s="1"/>
  <c r="F1942" i="44"/>
  <c r="F1093" i="44"/>
  <c r="A524" i="44"/>
  <c r="A354" i="44"/>
  <c r="F2967" i="44"/>
  <c r="F595" i="44"/>
  <c r="F724" i="44"/>
  <c r="A1011" i="44"/>
  <c r="F723" i="44"/>
  <c r="F2296" i="44"/>
  <c r="F15" i="44"/>
  <c r="A15" i="44" s="1"/>
  <c r="F2294" i="44"/>
  <c r="F57" i="44"/>
  <c r="A57" i="44" s="1"/>
  <c r="F1082" i="44"/>
  <c r="A304" i="44"/>
  <c r="F875" i="44"/>
  <c r="A1084" i="44"/>
  <c r="F971" i="44"/>
  <c r="F479" i="44"/>
  <c r="A727" i="44"/>
  <c r="F1880" i="44"/>
  <c r="F2103" i="44"/>
  <c r="A340" i="44"/>
  <c r="F2010" i="44"/>
  <c r="F1993" i="44"/>
  <c r="F2339" i="44"/>
  <c r="F705" i="44"/>
  <c r="F2684" i="44"/>
  <c r="F2833" i="44"/>
  <c r="F2842" i="44"/>
  <c r="F344" i="44"/>
  <c r="F1761" i="44"/>
  <c r="F2029" i="44"/>
  <c r="A597" i="44"/>
  <c r="F1506" i="44"/>
  <c r="A1506" i="44" s="1"/>
  <c r="G1506" i="44" s="1"/>
  <c r="F396" i="44"/>
  <c r="F897" i="44"/>
  <c r="F3387" i="44"/>
  <c r="A3387" i="44" s="1"/>
  <c r="F3076" i="44"/>
  <c r="F383" i="44"/>
  <c r="F2836" i="44"/>
  <c r="F2056" i="44"/>
  <c r="F2251" i="44"/>
  <c r="F1733" i="44"/>
  <c r="F796" i="44"/>
  <c r="F1010" i="44"/>
  <c r="A275" i="44"/>
  <c r="F356" i="44"/>
  <c r="A360" i="44"/>
  <c r="F1671" i="44"/>
  <c r="F2342" i="44"/>
  <c r="F2394" i="44"/>
  <c r="F2122" i="44"/>
  <c r="F325" i="44"/>
  <c r="F99" i="44"/>
  <c r="A99" i="44" s="1"/>
  <c r="A799" i="44"/>
  <c r="A875" i="44"/>
  <c r="A877" i="44"/>
  <c r="F854" i="44"/>
  <c r="F852" i="44"/>
  <c r="K176" i="44"/>
  <c r="J176" i="44"/>
  <c r="L176" i="44" s="1"/>
  <c r="N176" i="44" s="1"/>
  <c r="F176" i="44" s="1"/>
  <c r="F1893" i="44"/>
  <c r="F976" i="44"/>
  <c r="A576" i="44"/>
  <c r="F700" i="44"/>
  <c r="F1689" i="44"/>
  <c r="F2041" i="44"/>
  <c r="F1675" i="44"/>
  <c r="A514" i="44"/>
  <c r="F2839" i="44"/>
  <c r="F2100" i="44"/>
  <c r="F1515" i="44"/>
  <c r="F2794" i="44"/>
  <c r="F1834" i="44"/>
  <c r="F2971" i="44"/>
  <c r="A935" i="44"/>
  <c r="F3113" i="44"/>
  <c r="F3393" i="44"/>
  <c r="A3393" i="44" s="1"/>
  <c r="A838" i="44"/>
  <c r="F2238" i="44"/>
  <c r="F2408" i="44"/>
  <c r="F506" i="44"/>
  <c r="A556" i="44"/>
  <c r="F2672" i="44"/>
  <c r="A314" i="44"/>
  <c r="F2044" i="44"/>
  <c r="F494" i="44"/>
  <c r="F2613" i="44"/>
  <c r="F2136" i="44"/>
  <c r="F888" i="44"/>
  <c r="E2703" i="44"/>
  <c r="A2708" i="44" s="1"/>
  <c r="A781" i="44"/>
  <c r="A779" i="44"/>
  <c r="A707" i="44"/>
  <c r="F2004" i="44"/>
  <c r="A2251" i="44"/>
  <c r="F3027" i="44"/>
  <c r="F2174" i="44"/>
  <c r="F2406" i="44"/>
  <c r="F2020" i="44"/>
  <c r="F3160" i="44"/>
  <c r="F381" i="44"/>
  <c r="A1040" i="44"/>
  <c r="A260" i="44"/>
  <c r="F2379" i="44"/>
  <c r="F950" i="44"/>
  <c r="A842" i="44"/>
  <c r="F1825" i="44"/>
  <c r="F2017" i="44"/>
  <c r="F243" i="44"/>
  <c r="A243" i="44" s="1"/>
  <c r="J174" i="44"/>
  <c r="M174" i="44" s="1"/>
  <c r="K174" i="44"/>
  <c r="F2559" i="44"/>
  <c r="F828" i="44"/>
  <c r="J204" i="44"/>
  <c r="L204" i="44" s="1"/>
  <c r="N204" i="44" s="1"/>
  <c r="F204" i="44" s="1"/>
  <c r="K204" i="44"/>
  <c r="F2946" i="44"/>
  <c r="F2904" i="44"/>
  <c r="E2799" i="44"/>
  <c r="A2806" i="44" s="1"/>
  <c r="F1673" i="44"/>
  <c r="F2785" i="44"/>
  <c r="A428" i="44"/>
  <c r="F1555" i="44"/>
  <c r="F2987" i="44"/>
  <c r="A1512" i="44"/>
  <c r="A786" i="44"/>
  <c r="F2718" i="44"/>
  <c r="K192" i="44"/>
  <c r="J192" i="44"/>
  <c r="L192" i="44" s="1"/>
  <c r="N192" i="44" s="1"/>
  <c r="F192" i="44" s="1"/>
  <c r="A639" i="44"/>
  <c r="F1625" i="44"/>
  <c r="F2899" i="44"/>
  <c r="F2901" i="44"/>
  <c r="F1903" i="44"/>
  <c r="A977" i="44"/>
  <c r="F1820" i="44"/>
  <c r="F3084" i="44"/>
  <c r="F3039" i="44"/>
  <c r="F1668" i="44"/>
  <c r="F1702" i="44"/>
  <c r="F3074" i="44"/>
  <c r="A632" i="44"/>
  <c r="F1529" i="44"/>
  <c r="A616" i="44"/>
  <c r="F1730" i="44"/>
  <c r="F3070" i="44"/>
  <c r="F2019" i="44"/>
  <c r="F2328" i="44"/>
  <c r="F2900" i="44"/>
  <c r="A399" i="44"/>
  <c r="F3083" i="44"/>
  <c r="F78" i="44"/>
  <c r="A78" i="44" s="1"/>
  <c r="F1691" i="44"/>
  <c r="F2623" i="44"/>
  <c r="A759" i="44"/>
  <c r="A658" i="44"/>
  <c r="F1990" i="44"/>
  <c r="F2880" i="44"/>
  <c r="F3404" i="44"/>
  <c r="A3404" i="44" s="1"/>
  <c r="F1936" i="44"/>
  <c r="A489" i="44"/>
  <c r="A835" i="44"/>
  <c r="F327" i="44"/>
  <c r="F2678" i="44"/>
  <c r="F2542" i="44"/>
  <c r="A554" i="44"/>
  <c r="F2030" i="44"/>
  <c r="F3392" i="44"/>
  <c r="A3392" i="44" s="1"/>
  <c r="F987" i="44"/>
  <c r="A1554" i="44"/>
  <c r="F374" i="44"/>
  <c r="F1041" i="44"/>
  <c r="F3375" i="44"/>
  <c r="A3375" i="44" s="1"/>
  <c r="G3375" i="44" s="1"/>
  <c r="F1682" i="44"/>
  <c r="F1058" i="44"/>
  <c r="A1046" i="44"/>
  <c r="A526" i="44"/>
  <c r="F3097" i="44"/>
  <c r="F360" i="44"/>
  <c r="F384" i="44"/>
  <c r="F395" i="44"/>
  <c r="F845" i="44"/>
  <c r="F1929" i="44"/>
  <c r="F841" i="44"/>
  <c r="A1078" i="44"/>
  <c r="A538" i="44"/>
  <c r="A537" i="44"/>
  <c r="F1746" i="44"/>
  <c r="F932" i="44"/>
  <c r="F72" i="44"/>
  <c r="F2210" i="44"/>
  <c r="F868" i="44"/>
  <c r="F2916" i="44"/>
  <c r="F1940" i="44"/>
  <c r="A390" i="44"/>
  <c r="F2648" i="44"/>
  <c r="F2601" i="44"/>
  <c r="A1531" i="44"/>
  <c r="A1526" i="44"/>
  <c r="F2335" i="44"/>
  <c r="A651" i="44"/>
  <c r="F2290" i="44"/>
  <c r="F421" i="44"/>
  <c r="F837" i="44"/>
  <c r="F2615" i="44"/>
  <c r="F1915" i="44"/>
  <c r="A1079" i="44"/>
  <c r="A379" i="44"/>
  <c r="A491" i="44"/>
  <c r="F3128" i="44"/>
  <c r="F2434" i="44"/>
  <c r="F568" i="44"/>
  <c r="F2800" i="44"/>
  <c r="F3111" i="44"/>
  <c r="A708" i="44"/>
  <c r="F855" i="44"/>
  <c r="F2069" i="44"/>
  <c r="F2938" i="44"/>
  <c r="A797" i="44"/>
  <c r="A795" i="44"/>
  <c r="E1136" i="44"/>
  <c r="A1136" i="44" s="1"/>
  <c r="F2187" i="44"/>
  <c r="F44" i="44"/>
  <c r="A44" i="44" s="1"/>
  <c r="F548" i="44"/>
  <c r="F2543" i="44"/>
  <c r="F2547" i="44"/>
  <c r="F590" i="44"/>
  <c r="F2145" i="44"/>
  <c r="F2782" i="44"/>
  <c r="F305" i="44"/>
  <c r="F1137" i="44"/>
  <c r="F3405" i="44"/>
  <c r="A3405" i="44" s="1"/>
  <c r="F1984" i="44"/>
  <c r="F972" i="44"/>
  <c r="A972" i="44"/>
  <c r="F856" i="44"/>
  <c r="F904" i="44"/>
  <c r="F3041" i="44"/>
  <c r="F873" i="44"/>
  <c r="F2622" i="44"/>
  <c r="F1897" i="44"/>
  <c r="F1083" i="44"/>
  <c r="F1832" i="44"/>
  <c r="F2943" i="44"/>
  <c r="F935" i="44"/>
  <c r="F1941" i="44"/>
  <c r="F3026" i="44"/>
  <c r="A688" i="44"/>
  <c r="A764" i="44"/>
  <c r="F2560" i="44"/>
  <c r="F1583" i="44"/>
  <c r="F2139" i="44"/>
  <c r="A902" i="44"/>
  <c r="F877" i="44"/>
  <c r="F993" i="44"/>
  <c r="A734" i="44"/>
  <c r="A736" i="44"/>
  <c r="A411" i="44"/>
  <c r="F1509" i="44"/>
  <c r="F2675" i="44"/>
  <c r="A1060" i="44"/>
  <c r="F1543" i="44"/>
  <c r="F1636" i="44"/>
  <c r="F440" i="44"/>
  <c r="E105" i="3"/>
  <c r="F73" i="44"/>
  <c r="F2773" i="44"/>
  <c r="F2212" i="44"/>
  <c r="F725" i="44"/>
  <c r="F1086" i="44"/>
  <c r="F2173" i="44"/>
  <c r="F2811" i="44"/>
  <c r="F1958" i="44"/>
  <c r="F1957" i="44"/>
  <c r="F370" i="44"/>
  <c r="A281" i="44"/>
  <c r="A402" i="44"/>
  <c r="F3402" i="44"/>
  <c r="A3402" i="44" s="1"/>
  <c r="F331" i="44"/>
  <c r="F2195" i="44"/>
  <c r="F2669" i="44"/>
  <c r="F435" i="44"/>
  <c r="A1548" i="44"/>
  <c r="A904" i="44"/>
  <c r="F1806" i="44"/>
  <c r="F334" i="44"/>
  <c r="F2952" i="44"/>
  <c r="A685" i="44"/>
  <c r="F876" i="44"/>
  <c r="F2849" i="44"/>
  <c r="A982" i="44"/>
  <c r="F2002" i="44"/>
  <c r="A938" i="44"/>
  <c r="F2866" i="44"/>
  <c r="A446" i="44"/>
  <c r="A828" i="44"/>
  <c r="F1652" i="44"/>
  <c r="F825" i="44"/>
  <c r="F2314" i="44"/>
  <c r="F1891" i="44"/>
  <c r="F2162" i="44"/>
  <c r="F319" i="44"/>
  <c r="F2643" i="44"/>
  <c r="F2639" i="44"/>
  <c r="F2256" i="44"/>
  <c r="F1777" i="44"/>
  <c r="F947" i="44"/>
  <c r="A1002" i="44"/>
  <c r="F3429" i="44"/>
  <c r="A3429" i="44" s="1"/>
  <c r="F2245" i="44"/>
  <c r="F659" i="44"/>
  <c r="F2530" i="44"/>
  <c r="F1727" i="44"/>
  <c r="F3024" i="44"/>
  <c r="F2118" i="44"/>
  <c r="F2449" i="44"/>
  <c r="F777" i="44"/>
  <c r="F1642" i="44"/>
  <c r="A1540" i="44"/>
  <c r="A1539" i="44"/>
  <c r="F2065" i="44"/>
  <c r="F706" i="44"/>
  <c r="F2326" i="44"/>
  <c r="F2024" i="44"/>
  <c r="A19" i="44"/>
  <c r="F1523" i="44"/>
  <c r="F2309" i="44"/>
  <c r="F2617" i="44"/>
  <c r="A620" i="44"/>
  <c r="F810" i="44"/>
  <c r="F2758" i="44"/>
  <c r="A777" i="44"/>
  <c r="F2095" i="44"/>
  <c r="F1983" i="44"/>
  <c r="A903" i="44"/>
  <c r="A901" i="44"/>
  <c r="A1051" i="44"/>
  <c r="F2511" i="44"/>
  <c r="F1851" i="44"/>
  <c r="A423" i="44"/>
  <c r="A1022" i="44"/>
  <c r="A1020" i="44"/>
  <c r="F2435" i="44"/>
  <c r="F2871" i="44"/>
  <c r="F2469" i="44"/>
  <c r="E2767" i="44"/>
  <c r="A2776" i="44" s="1"/>
  <c r="F2550" i="44"/>
  <c r="A763" i="44"/>
  <c r="F1047" i="44"/>
  <c r="F3397" i="44"/>
  <c r="A3397" i="44" s="1"/>
  <c r="A836" i="44"/>
  <c r="F2920" i="44"/>
  <c r="F2149" i="44"/>
  <c r="A873" i="44"/>
  <c r="F1734" i="44"/>
  <c r="F2919" i="44"/>
  <c r="F1006" i="44"/>
  <c r="F2873" i="44"/>
  <c r="F3089" i="44"/>
  <c r="F2602" i="44"/>
  <c r="A1527" i="44"/>
  <c r="F108" i="44"/>
  <c r="A108" i="44" s="1"/>
  <c r="F1094" i="44"/>
  <c r="A1094" i="44" s="1"/>
  <c r="E115" i="3"/>
  <c r="A711" i="44"/>
  <c r="A8" i="44"/>
  <c r="A563" i="44"/>
  <c r="A929" i="44"/>
  <c r="A442" i="44"/>
  <c r="F1869" i="44"/>
  <c r="F500" i="44"/>
  <c r="F302" i="44"/>
  <c r="E2959" i="44"/>
  <c r="A2959" i="44" s="1"/>
  <c r="A802" i="44"/>
  <c r="A837" i="44"/>
  <c r="F3449" i="44"/>
  <c r="A3449" i="44" s="1"/>
  <c r="A406" i="44"/>
  <c r="A1061" i="44"/>
  <c r="F2461" i="44"/>
  <c r="E2479" i="44"/>
  <c r="A2485" i="44" s="1"/>
  <c r="F3101" i="44"/>
  <c r="F510" i="44"/>
  <c r="F303" i="44"/>
  <c r="F3040" i="44"/>
  <c r="A253" i="44"/>
  <c r="E1663" i="44"/>
  <c r="A1671" i="44" s="1"/>
  <c r="F2128" i="44"/>
  <c r="F2063" i="44"/>
  <c r="F1669" i="44"/>
  <c r="F2562" i="44"/>
  <c r="F2577" i="44"/>
  <c r="F636" i="44"/>
  <c r="F1635" i="44"/>
  <c r="F427" i="44"/>
  <c r="A819" i="44"/>
  <c r="A2579" i="44"/>
  <c r="F2283" i="44"/>
  <c r="F650" i="44"/>
  <c r="A467" i="44"/>
  <c r="A355" i="44"/>
  <c r="F2806" i="44"/>
  <c r="F2867" i="44"/>
  <c r="F2093" i="44"/>
  <c r="A592" i="44"/>
  <c r="F98" i="44"/>
  <c r="A98" i="44" s="1"/>
  <c r="F981" i="44"/>
  <c r="F732" i="44"/>
  <c r="A783" i="44"/>
  <c r="A1067" i="44"/>
  <c r="F1779" i="44"/>
  <c r="F626" i="44"/>
  <c r="F2410" i="44"/>
  <c r="E1599" i="44"/>
  <c r="A1609" i="44" s="1"/>
  <c r="A516" i="44"/>
  <c r="A756" i="44"/>
  <c r="A682" i="44"/>
  <c r="F3380" i="44"/>
  <c r="A3380" i="44" s="1"/>
  <c r="E2735" i="44"/>
  <c r="A2736" i="44" s="1"/>
  <c r="F3018" i="44"/>
  <c r="F1713" i="44"/>
  <c r="F2395" i="44"/>
  <c r="F2558" i="44"/>
  <c r="A822" i="44"/>
  <c r="A361" i="44"/>
  <c r="F1533" i="44"/>
  <c r="F475" i="44"/>
  <c r="F1978" i="44"/>
  <c r="F764" i="44"/>
  <c r="F62" i="44"/>
  <c r="A62" i="44" s="1"/>
  <c r="F2970" i="44"/>
  <c r="F2764" i="44"/>
  <c r="A315" i="44"/>
  <c r="F3131" i="44"/>
  <c r="A992" i="44"/>
  <c r="A990" i="44"/>
  <c r="F1612" i="44"/>
  <c r="F637" i="44"/>
  <c r="F3009" i="44"/>
  <c r="F1876" i="44"/>
  <c r="F701" i="44"/>
  <c r="F1946" i="44"/>
  <c r="A577" i="44"/>
  <c r="F3098" i="44"/>
  <c r="F1548" i="44"/>
  <c r="F144" i="44"/>
  <c r="A144" i="44" s="1"/>
  <c r="F677" i="44"/>
  <c r="F1742" i="44"/>
  <c r="F7" i="44"/>
  <c r="A7" i="44" s="1"/>
  <c r="F1521" i="44"/>
  <c r="A552" i="44"/>
  <c r="F1842" i="44"/>
  <c r="F3417" i="44"/>
  <c r="A3417" i="44" s="1"/>
  <c r="A667" i="44"/>
  <c r="A834" i="44"/>
  <c r="F829" i="44"/>
  <c r="F2743" i="44"/>
  <c r="A353" i="44"/>
  <c r="F2176" i="44"/>
  <c r="A331" i="44"/>
  <c r="A404" i="44"/>
  <c r="F2937" i="44"/>
  <c r="F1662" i="44"/>
  <c r="A930" i="44"/>
  <c r="F2318" i="44"/>
  <c r="A483" i="44"/>
  <c r="E2207" i="44"/>
  <c r="A2218" i="44" s="1"/>
  <c r="F2521" i="44"/>
  <c r="A463" i="44"/>
  <c r="A674" i="44"/>
  <c r="A1044" i="44"/>
  <c r="A1042" i="44"/>
  <c r="F1050" i="44"/>
  <c r="A473" i="44"/>
  <c r="F2415" i="44"/>
  <c r="F2898" i="44"/>
  <c r="F1823" i="44"/>
  <c r="A1552" i="44"/>
  <c r="F18" i="44"/>
  <c r="A18" i="44" s="1"/>
  <c r="F2250" i="44"/>
  <c r="F1911" i="44"/>
  <c r="A421" i="44"/>
  <c r="A330" i="44"/>
  <c r="F819" i="44"/>
  <c r="A567" i="44"/>
  <c r="F1853" i="44"/>
  <c r="A443" i="44"/>
  <c r="A599" i="44"/>
  <c r="F1610" i="44"/>
  <c r="A631" i="44"/>
  <c r="F596" i="44"/>
  <c r="F3418" i="44"/>
  <c r="A3418" i="44" s="1"/>
  <c r="F838" i="44"/>
  <c r="F29" i="44"/>
  <c r="A29" i="44" s="1"/>
  <c r="F1787" i="44"/>
  <c r="K184" i="44"/>
  <c r="J184" i="44"/>
  <c r="L184" i="44" s="1"/>
  <c r="N184" i="44" s="1"/>
  <c r="F184" i="44" s="1"/>
  <c r="F3379" i="44"/>
  <c r="A3379" i="44" s="1"/>
  <c r="F2826" i="44"/>
  <c r="F670" i="44"/>
  <c r="F403" i="44"/>
  <c r="A693" i="44"/>
  <c r="F364" i="44"/>
  <c r="A586" i="44"/>
  <c r="F1965" i="44"/>
  <c r="F2819" i="44"/>
  <c r="F2580" i="44"/>
  <c r="F801" i="44"/>
  <c r="F2620" i="44"/>
  <c r="F2261" i="44"/>
  <c r="F1808" i="44"/>
  <c r="A934" i="44"/>
  <c r="F2798" i="44"/>
  <c r="E106" i="3"/>
  <c r="F1517" i="44"/>
  <c r="F893" i="44"/>
  <c r="F416" i="44"/>
  <c r="F2708" i="44"/>
  <c r="F1030" i="44"/>
  <c r="F787" i="44"/>
  <c r="F3119" i="44"/>
  <c r="A2836" i="44"/>
  <c r="F839" i="44"/>
  <c r="A457" i="44"/>
  <c r="F1881" i="44"/>
  <c r="F5" i="44"/>
  <c r="A5" i="44" s="1"/>
  <c r="G5" i="44" s="1"/>
  <c r="A716" i="44"/>
  <c r="F728" i="44"/>
  <c r="F2321" i="44"/>
  <c r="F2280" i="44"/>
  <c r="F69" i="44"/>
  <c r="A69" i="44" s="1"/>
  <c r="A561" i="44"/>
  <c r="F1078" i="44"/>
  <c r="A470" i="44"/>
  <c r="E1137" i="44"/>
  <c r="A1137" i="44" s="1"/>
  <c r="F1064" i="44"/>
  <c r="F2391" i="44"/>
  <c r="F939" i="44"/>
  <c r="F2502" i="44"/>
  <c r="A509" i="44"/>
  <c r="F375" i="44"/>
  <c r="F2650" i="44"/>
  <c r="A767" i="44"/>
  <c r="F515" i="44"/>
  <c r="F2191" i="44"/>
  <c r="A333" i="44"/>
  <c r="A475" i="44"/>
  <c r="F2417" i="44"/>
  <c r="F2792" i="44"/>
  <c r="F2198" i="44"/>
  <c r="A813" i="44"/>
  <c r="F3069" i="44"/>
  <c r="F2234" i="44"/>
  <c r="A726" i="44"/>
  <c r="F1017" i="44"/>
  <c r="F1981" i="44"/>
  <c r="F1973" i="44"/>
  <c r="F3087" i="44"/>
  <c r="F639" i="44"/>
  <c r="F2874" i="44"/>
  <c r="A313" i="44"/>
  <c r="F2810" i="44"/>
  <c r="F2654" i="44"/>
  <c r="F368" i="44"/>
  <c r="F2575" i="44"/>
  <c r="A224" i="44"/>
  <c r="F1002" i="44"/>
  <c r="F3136" i="44"/>
  <c r="F2592" i="44"/>
  <c r="F2914" i="44"/>
  <c r="F1887" i="44"/>
  <c r="F655" i="44"/>
  <c r="F585" i="44"/>
  <c r="F1059" i="44"/>
  <c r="F2563" i="44"/>
  <c r="F1754" i="44"/>
  <c r="F1738" i="44"/>
  <c r="F2285" i="44"/>
  <c r="F1591" i="44"/>
  <c r="F716" i="44"/>
  <c r="F2305" i="44"/>
  <c r="F387" i="44"/>
  <c r="A432" i="44"/>
  <c r="E1791" i="44"/>
  <c r="A1800" i="44" s="1"/>
  <c r="F333" i="44"/>
  <c r="F1136" i="44"/>
  <c r="F2249" i="44"/>
  <c r="F1792" i="44"/>
  <c r="A1041" i="44"/>
  <c r="A1039" i="44"/>
  <c r="E1759" i="44"/>
  <c r="A1763" i="44" s="1"/>
  <c r="F1916" i="44"/>
  <c r="A749" i="44"/>
  <c r="A560" i="44"/>
  <c r="F2383" i="44"/>
  <c r="F2272" i="44"/>
  <c r="A676" i="44"/>
  <c r="F1039" i="44"/>
  <c r="F682" i="44"/>
  <c r="F2027" i="44"/>
  <c r="A267" i="44"/>
  <c r="F2588" i="44"/>
  <c r="F1056" i="44"/>
  <c r="F2685" i="44"/>
  <c r="A572" i="44"/>
  <c r="F1038" i="44"/>
  <c r="A683" i="44"/>
  <c r="F1036" i="44"/>
  <c r="A126" i="44"/>
  <c r="F832" i="44"/>
  <c r="F1683" i="44"/>
  <c r="A2581" i="44"/>
  <c r="F2918" i="44"/>
  <c r="A856" i="44"/>
  <c r="A717" i="44"/>
  <c r="F412" i="44"/>
  <c r="F2051" i="44"/>
  <c r="F1699" i="44"/>
  <c r="F3410" i="44"/>
  <c r="A3410" i="44" s="1"/>
  <c r="E1967" i="44"/>
  <c r="A1968" i="44" s="1"/>
  <c r="F2023" i="44"/>
  <c r="F2175" i="44"/>
  <c r="A757" i="44"/>
  <c r="E2559" i="44"/>
  <c r="A2563" i="44" s="1"/>
  <c r="F64" i="44"/>
  <c r="A64" i="44" s="1"/>
  <c r="F1585" i="44"/>
  <c r="E1855" i="44"/>
  <c r="A1859" i="44" s="1"/>
  <c r="F2037" i="44"/>
  <c r="F1971" i="44"/>
  <c r="F61" i="44"/>
  <c r="A61" i="44" s="1"/>
  <c r="F3052" i="44"/>
  <c r="A510" i="44"/>
  <c r="A796" i="44"/>
  <c r="F1925" i="44"/>
  <c r="A944" i="44"/>
  <c r="F2519" i="44"/>
  <c r="F592" i="44"/>
  <c r="F3043" i="44"/>
  <c r="F1870" i="44"/>
  <c r="F2206" i="44"/>
  <c r="F2146" i="44"/>
  <c r="A868" i="44"/>
  <c r="F2753" i="44"/>
  <c r="F1694" i="44"/>
  <c r="F803" i="44"/>
  <c r="F691" i="44"/>
  <c r="F1785" i="44"/>
  <c r="F638" i="44"/>
  <c r="F2747" i="44"/>
  <c r="A445" i="44"/>
  <c r="F616" i="44"/>
  <c r="F2081" i="44"/>
  <c r="E2015" i="44"/>
  <c r="A2017" i="44" s="1"/>
  <c r="F2083" i="44"/>
  <c r="F1745" i="44"/>
  <c r="F2160" i="44"/>
  <c r="E2895" i="44"/>
  <c r="A2897" i="44" s="1"/>
  <c r="A730" i="44"/>
  <c r="A824" i="44"/>
  <c r="A826" i="44"/>
  <c r="F1641" i="44"/>
  <c r="F2297" i="44"/>
  <c r="F582" i="44"/>
  <c r="F711" i="44"/>
  <c r="A468" i="44"/>
  <c r="F3156" i="44"/>
  <c r="F2170" i="44"/>
  <c r="A652" i="44"/>
  <c r="A863" i="44"/>
  <c r="F1684" i="44"/>
  <c r="E2415" i="44"/>
  <c r="A2416" i="44" s="1"/>
  <c r="F371" i="44"/>
  <c r="K196" i="44"/>
  <c r="J196" i="44"/>
  <c r="M196" i="44" s="1"/>
  <c r="A694" i="44"/>
  <c r="F1967" i="44"/>
  <c r="F2666" i="44"/>
  <c r="A790" i="44"/>
  <c r="F523" i="44"/>
  <c r="F1782" i="44"/>
  <c r="F1756" i="44"/>
  <c r="F3132" i="44"/>
  <c r="J206" i="44"/>
  <c r="L206" i="44" s="1"/>
  <c r="N206" i="44" s="1"/>
  <c r="F206" i="44" s="1"/>
  <c r="K206" i="44"/>
  <c r="F2397" i="44"/>
  <c r="F58" i="44"/>
  <c r="A58" i="44" s="1"/>
  <c r="A274" i="44"/>
  <c r="F1554" i="44"/>
  <c r="A1547" i="44"/>
  <c r="A886" i="44"/>
  <c r="F789" i="44"/>
  <c r="F2596" i="44"/>
  <c r="F3060" i="44"/>
  <c r="A246" i="44"/>
  <c r="F1720" i="44"/>
  <c r="A653" i="44"/>
  <c r="F1877" i="44"/>
  <c r="F2912" i="44"/>
  <c r="F2473" i="44"/>
  <c r="F339" i="44"/>
  <c r="A794" i="44"/>
  <c r="A792" i="44"/>
  <c r="F1033" i="44"/>
  <c r="E1727" i="44"/>
  <c r="A1734" i="44" s="1"/>
  <c r="F2876" i="44"/>
  <c r="F1962" i="44"/>
  <c r="F503" i="44"/>
  <c r="F2838" i="44"/>
  <c r="F1970" i="44"/>
  <c r="F1805" i="44"/>
  <c r="A517" i="44"/>
  <c r="F52" i="44"/>
  <c r="A52" i="44" s="1"/>
  <c r="F984" i="44"/>
  <c r="F3067" i="44"/>
  <c r="A690" i="44"/>
  <c r="A692" i="44"/>
  <c r="A1085" i="44"/>
  <c r="F1760" i="44"/>
  <c r="A374" i="44"/>
  <c r="A480" i="44"/>
  <c r="F788" i="44"/>
  <c r="A519" i="44"/>
  <c r="F594" i="44"/>
  <c r="F2641" i="44"/>
  <c r="E2127" i="44"/>
  <c r="A2139" i="44" s="1"/>
  <c r="F1551" i="44"/>
  <c r="A728" i="44"/>
  <c r="F458" i="44"/>
  <c r="F1729" i="44"/>
  <c r="F490" i="44"/>
  <c r="F3117" i="44"/>
  <c r="A346" i="44"/>
  <c r="F870" i="44"/>
  <c r="F2692" i="44"/>
  <c r="F2556" i="44"/>
  <c r="A349" i="44"/>
  <c r="F2106" i="44"/>
  <c r="F1827" i="44"/>
  <c r="E2271" i="44"/>
  <c r="A2283" i="44" s="1"/>
  <c r="F3444" i="44"/>
  <c r="A3444" i="44" s="1"/>
  <c r="F2445" i="44"/>
  <c r="F2843" i="44"/>
  <c r="F2307" i="44"/>
  <c r="F1953" i="44"/>
  <c r="F362" i="44"/>
  <c r="F1838" i="44"/>
  <c r="E2863" i="44"/>
  <c r="A2876" i="44" s="1"/>
  <c r="F762" i="44"/>
  <c r="F2934" i="44"/>
  <c r="A265" i="44"/>
  <c r="F578" i="44"/>
  <c r="A845" i="44"/>
  <c r="F1660" i="44"/>
  <c r="F2730" i="44"/>
  <c r="F2096" i="44"/>
  <c r="A1549" i="44"/>
  <c r="A1550" i="44"/>
  <c r="F695" i="44"/>
  <c r="A301" i="44"/>
  <c r="F463" i="44"/>
  <c r="A425" i="44"/>
  <c r="F3164" i="44"/>
  <c r="A859" i="44"/>
  <c r="A637" i="44"/>
  <c r="F2992" i="44"/>
  <c r="F2493" i="44"/>
  <c r="F2770" i="44"/>
  <c r="A788" i="44"/>
  <c r="F2393" i="44"/>
  <c r="A356" i="44"/>
  <c r="F778" i="44"/>
  <c r="F2127" i="44"/>
  <c r="A549" i="44"/>
  <c r="F1088" i="44"/>
  <c r="F998" i="44"/>
  <c r="F2694" i="44"/>
  <c r="E2591" i="44"/>
  <c r="A2592" i="44" s="1"/>
  <c r="F2966" i="44"/>
  <c r="F751" i="44"/>
  <c r="F807" i="44"/>
  <c r="A462" i="44"/>
  <c r="F1618" i="44"/>
  <c r="F1943" i="44"/>
  <c r="F2171" i="44"/>
  <c r="F2652" i="44"/>
  <c r="E1839" i="44"/>
  <c r="A1842" i="44" s="1"/>
  <c r="F2790" i="44"/>
  <c r="F1590" i="44"/>
  <c r="F703" i="44"/>
  <c r="F2192" i="44"/>
  <c r="F1723" i="44"/>
  <c r="F2420" i="44"/>
  <c r="A893" i="44"/>
  <c r="F1753" i="44"/>
  <c r="A1541" i="44"/>
  <c r="A1542" i="44"/>
  <c r="F3059" i="44"/>
  <c r="F1885" i="44"/>
  <c r="F352" i="44"/>
  <c r="F2852" i="44"/>
  <c r="F425" i="44"/>
  <c r="A1058" i="44"/>
  <c r="A579" i="44"/>
  <c r="F2865" i="44"/>
  <c r="F2154" i="44"/>
  <c r="A698" i="44"/>
  <c r="F2108" i="44"/>
  <c r="A1908" i="44"/>
  <c r="F937" i="44"/>
  <c r="F2265" i="44"/>
  <c r="A849" i="44"/>
  <c r="A851" i="44"/>
  <c r="F402" i="44"/>
  <c r="F337" i="44"/>
  <c r="F2585" i="44"/>
  <c r="A700" i="44"/>
  <c r="F848" i="44"/>
  <c r="F1850" i="44"/>
  <c r="F2323" i="44"/>
  <c r="F84" i="44"/>
  <c r="A84" i="44" s="1"/>
  <c r="F1634" i="44"/>
  <c r="F79" i="44"/>
  <c r="F2516" i="44"/>
  <c r="A1553" i="44"/>
  <c r="F2863" i="44"/>
  <c r="F2302" i="44"/>
  <c r="F3115" i="44"/>
  <c r="F2951" i="44"/>
  <c r="A1052" i="44"/>
  <c r="F2286" i="44"/>
  <c r="F857" i="44"/>
  <c r="A847" i="44"/>
  <c r="F1972" i="44"/>
  <c r="F405" i="44"/>
  <c r="F24" i="44"/>
  <c r="F2995" i="44"/>
  <c r="F2259" i="44"/>
  <c r="F539" i="44"/>
  <c r="F431" i="44"/>
  <c r="F2640" i="44"/>
  <c r="F2536" i="44"/>
  <c r="F1814" i="44"/>
  <c r="F2537" i="44"/>
  <c r="F1752" i="44"/>
  <c r="A782" i="44"/>
  <c r="F1595" i="44"/>
  <c r="A951" i="44"/>
  <c r="A1031" i="44"/>
  <c r="E2111" i="44"/>
  <c r="A2122" i="44" s="1"/>
  <c r="F1799" i="44"/>
  <c r="F2487" i="44"/>
  <c r="F323" i="44"/>
  <c r="A248" i="44"/>
  <c r="F408" i="44"/>
  <c r="A1056" i="44"/>
  <c r="F2025" i="44"/>
  <c r="J154" i="44"/>
  <c r="L154" i="44" s="1"/>
  <c r="N154" i="44" s="1"/>
  <c r="F154" i="44" s="1"/>
  <c r="K154" i="44"/>
  <c r="F2018" i="44"/>
  <c r="F2676" i="44"/>
  <c r="A1065" i="44"/>
  <c r="F648" i="44"/>
  <c r="A487" i="44"/>
  <c r="F347" i="44"/>
  <c r="F1764" i="44"/>
  <c r="F3438" i="44"/>
  <c r="A3438" i="44" s="1"/>
  <c r="F480" i="44"/>
  <c r="F2689" i="44"/>
  <c r="F2107" i="44"/>
  <c r="F2377" i="44"/>
  <c r="F2924" i="44"/>
  <c r="F1069" i="44"/>
  <c r="F630" i="44"/>
  <c r="F940" i="44"/>
  <c r="A895" i="44"/>
  <c r="F437" i="44"/>
  <c r="A326" i="44"/>
  <c r="F2480" i="44"/>
  <c r="F2796" i="44"/>
  <c r="F2039" i="44"/>
  <c r="F1602" i="44"/>
  <c r="A2821" i="44" l="1"/>
  <c r="A2826" i="44"/>
  <c r="A2321" i="44"/>
  <c r="A2320" i="44"/>
  <c r="A2324" i="44"/>
  <c r="A1903" i="44"/>
  <c r="A2549" i="44"/>
  <c r="A2325" i="44"/>
  <c r="A2323" i="44"/>
  <c r="A1910" i="44"/>
  <c r="A1915" i="44"/>
  <c r="A2548" i="44"/>
  <c r="A2322" i="44"/>
  <c r="A2554" i="44"/>
  <c r="A3104" i="44"/>
  <c r="A2842" i="44"/>
  <c r="A3108" i="44"/>
  <c r="A1914" i="44"/>
  <c r="A3109" i="44"/>
  <c r="A1909" i="44"/>
  <c r="A2326" i="44"/>
  <c r="A2948" i="44"/>
  <c r="A2077" i="44"/>
  <c r="A1905" i="44"/>
  <c r="A2411" i="44"/>
  <c r="A2818" i="44"/>
  <c r="A1590" i="44"/>
  <c r="A1594" i="44"/>
  <c r="A1917" i="44"/>
  <c r="A2834" i="44"/>
  <c r="A1629" i="44"/>
  <c r="A1913" i="44"/>
  <c r="A1906" i="44"/>
  <c r="A2822" i="44"/>
  <c r="A2180" i="44"/>
  <c r="A2186" i="44"/>
  <c r="A2545" i="44"/>
  <c r="A1593" i="44"/>
  <c r="A2583" i="44"/>
  <c r="A2586" i="44"/>
  <c r="A2189" i="44"/>
  <c r="A2381" i="44"/>
  <c r="A1785" i="44"/>
  <c r="A2997" i="44"/>
  <c r="A1788" i="44"/>
  <c r="A3000" i="44"/>
  <c r="A1912" i="44"/>
  <c r="A3010" i="44"/>
  <c r="A1628" i="44"/>
  <c r="M198" i="44"/>
  <c r="A1916" i="44"/>
  <c r="A2588" i="44"/>
  <c r="A2052" i="44"/>
  <c r="A1825" i="44"/>
  <c r="A1787" i="44"/>
  <c r="A2181" i="44"/>
  <c r="A3001" i="44"/>
  <c r="A1706" i="44"/>
  <c r="A1887" i="44"/>
  <c r="A1619" i="44"/>
  <c r="A2532" i="44"/>
  <c r="A1704" i="44"/>
  <c r="A1620" i="44"/>
  <c r="A2535" i="44"/>
  <c r="A2352" i="44"/>
  <c r="A1776" i="44"/>
  <c r="A1705" i="44"/>
  <c r="A2373" i="44"/>
  <c r="A2175" i="44"/>
  <c r="A2376" i="44"/>
  <c r="A2699" i="44"/>
  <c r="A2538" i="44"/>
  <c r="A2367" i="44"/>
  <c r="A2874" i="44"/>
  <c r="A2643" i="44"/>
  <c r="A2188" i="44"/>
  <c r="A2369" i="44"/>
  <c r="A2196" i="44"/>
  <c r="M166" i="44"/>
  <c r="A2542" i="44"/>
  <c r="A3088" i="44"/>
  <c r="A2505" i="44"/>
  <c r="A2503" i="44"/>
  <c r="A2534" i="44"/>
  <c r="A1686" i="44"/>
  <c r="A2375" i="44"/>
  <c r="A1876" i="44"/>
  <c r="A1621" i="44"/>
  <c r="A2654" i="44"/>
  <c r="A1617" i="44"/>
  <c r="A2044" i="44"/>
  <c r="A2048" i="44"/>
  <c r="A2054" i="44"/>
  <c r="A2271" i="44"/>
  <c r="A2293" i="44"/>
  <c r="A2274" i="44"/>
  <c r="A1838" i="44"/>
  <c r="A2288" i="44"/>
  <c r="A2284" i="44"/>
  <c r="A3018" i="44"/>
  <c r="A2600" i="44"/>
  <c r="A1751" i="44"/>
  <c r="A2031" i="44"/>
  <c r="A1625" i="44"/>
  <c r="A1729" i="44"/>
  <c r="L182" i="44"/>
  <c r="N182" i="44" s="1"/>
  <c r="F182" i="44" s="1"/>
  <c r="A2359" i="44"/>
  <c r="A1754" i="44"/>
  <c r="A2749" i="44"/>
  <c r="G138" i="44"/>
  <c r="G139" i="44" s="1"/>
  <c r="G140" i="44" s="1"/>
  <c r="G141" i="44" s="1"/>
  <c r="G142" i="44" s="1"/>
  <c r="G143" i="44" s="1"/>
  <c r="G144" i="44" s="1"/>
  <c r="G145" i="44" s="1"/>
  <c r="G146" i="44" s="1"/>
  <c r="G147" i="44" s="1"/>
  <c r="A3017" i="44"/>
  <c r="A2295" i="44"/>
  <c r="L170" i="44"/>
  <c r="N170" i="44" s="1"/>
  <c r="F170" i="44" s="1"/>
  <c r="A1809" i="44"/>
  <c r="A3014" i="44"/>
  <c r="A2230" i="44"/>
  <c r="A2035" i="44"/>
  <c r="A2266" i="44"/>
  <c r="A2037" i="44"/>
  <c r="A3153" i="44"/>
  <c r="A2055" i="44"/>
  <c r="A2238" i="44"/>
  <c r="A2355" i="44"/>
  <c r="A1957" i="44"/>
  <c r="A1740" i="44"/>
  <c r="A1738" i="44"/>
  <c r="A1741" i="44"/>
  <c r="L196" i="44"/>
  <c r="N196" i="44" s="1"/>
  <c r="F196" i="44" s="1"/>
  <c r="A2183" i="44"/>
  <c r="A3059" i="44"/>
  <c r="A3007" i="44"/>
  <c r="A3164" i="44"/>
  <c r="A2571" i="44"/>
  <c r="A2695" i="44"/>
  <c r="A2225" i="44"/>
  <c r="A2061" i="44"/>
  <c r="A2184" i="44"/>
  <c r="A1622" i="44"/>
  <c r="A3152" i="44"/>
  <c r="A3154" i="44"/>
  <c r="A1834" i="44"/>
  <c r="A3126" i="44"/>
  <c r="A2265" i="44"/>
  <c r="A1760" i="44"/>
  <c r="A1828" i="44"/>
  <c r="A2913" i="44"/>
  <c r="A3119" i="44"/>
  <c r="A2619" i="44"/>
  <c r="A2268" i="44"/>
  <c r="A2857" i="44"/>
  <c r="A1748" i="44"/>
  <c r="A2195" i="44"/>
  <c r="A1746" i="44"/>
  <c r="A3160" i="44"/>
  <c r="A1882" i="44"/>
  <c r="A2936" i="44"/>
  <c r="A2546" i="44"/>
  <c r="A2100" i="44"/>
  <c r="A2553" i="44"/>
  <c r="A2405" i="44"/>
  <c r="A3075" i="44"/>
  <c r="A1689" i="44"/>
  <c r="A2236" i="44"/>
  <c r="L188" i="44"/>
  <c r="N188" i="44" s="1"/>
  <c r="F188" i="44" s="1"/>
  <c r="A2402" i="44"/>
  <c r="A2614" i="44"/>
  <c r="A3157" i="44"/>
  <c r="G1135" i="44"/>
  <c r="G1136" i="44" s="1"/>
  <c r="G1137" i="44" s="1"/>
  <c r="G1138" i="44" s="1"/>
  <c r="G1139" i="44" s="1"/>
  <c r="G1140" i="44" s="1"/>
  <c r="G1141" i="44" s="1"/>
  <c r="G1142" i="44" s="1"/>
  <c r="G1143" i="44" s="1"/>
  <c r="G1144" i="44" s="1"/>
  <c r="G1145" i="44" s="1"/>
  <c r="G1146" i="44" s="1"/>
  <c r="G1147" i="44" s="1"/>
  <c r="G1148" i="44" s="1"/>
  <c r="G1149" i="44" s="1"/>
  <c r="G1150" i="44" s="1"/>
  <c r="G1151" i="44" s="1"/>
  <c r="G1152" i="44" s="1"/>
  <c r="G1153" i="44" s="1"/>
  <c r="G1154" i="44" s="1"/>
  <c r="G1155" i="44" s="1"/>
  <c r="G1156" i="44" s="1"/>
  <c r="G1157" i="44" s="1"/>
  <c r="G1158" i="44" s="1"/>
  <c r="G1159" i="44" s="1"/>
  <c r="G1160" i="44" s="1"/>
  <c r="G1161" i="44" s="1"/>
  <c r="G1162" i="44" s="1"/>
  <c r="G1163" i="44" s="1"/>
  <c r="G1164" i="44" s="1"/>
  <c r="G1165" i="44" s="1"/>
  <c r="G1166" i="44" s="1"/>
  <c r="G1167" i="44" s="1"/>
  <c r="G1168" i="44" s="1"/>
  <c r="G1169" i="44" s="1"/>
  <c r="G1170" i="44" s="1"/>
  <c r="G1171" i="44" s="1"/>
  <c r="G1172" i="44" s="1"/>
  <c r="G1173" i="44" s="1"/>
  <c r="G1174" i="44" s="1"/>
  <c r="G1175" i="44" s="1"/>
  <c r="G1176" i="44" s="1"/>
  <c r="G1177" i="44" s="1"/>
  <c r="G1178" i="44" s="1"/>
  <c r="G1179" i="44" s="1"/>
  <c r="G1180" i="44" s="1"/>
  <c r="G1181" i="44" s="1"/>
  <c r="G1182" i="44" s="1"/>
  <c r="G1183" i="44" s="1"/>
  <c r="G1184" i="44" s="1"/>
  <c r="G1185" i="44" s="1"/>
  <c r="G1186" i="44" s="1"/>
  <c r="G1187" i="44" s="1"/>
  <c r="G1188" i="44" s="1"/>
  <c r="G1189" i="44" s="1"/>
  <c r="G1190" i="44" s="1"/>
  <c r="G1191" i="44" s="1"/>
  <c r="G1192" i="44" s="1"/>
  <c r="G1193" i="44" s="1"/>
  <c r="G1194" i="44" s="1"/>
  <c r="G1195" i="44" s="1"/>
  <c r="G1196" i="44" s="1"/>
  <c r="G1197" i="44" s="1"/>
  <c r="G1198" i="44" s="1"/>
  <c r="G1199" i="44" s="1"/>
  <c r="G1200" i="44" s="1"/>
  <c r="G1201" i="44" s="1"/>
  <c r="G1202" i="44" s="1"/>
  <c r="G1203" i="44" s="1"/>
  <c r="G1204" i="44" s="1"/>
  <c r="G1205" i="44" s="1"/>
  <c r="G1206" i="44" s="1"/>
  <c r="G1207" i="44" s="1"/>
  <c r="G1208" i="44" s="1"/>
  <c r="G1209" i="44" s="1"/>
  <c r="G1210" i="44" s="1"/>
  <c r="G1211" i="44" s="1"/>
  <c r="G1212" i="44" s="1"/>
  <c r="G1213" i="44" s="1"/>
  <c r="G1214" i="44" s="1"/>
  <c r="G1215" i="44" s="1"/>
  <c r="G1216" i="44" s="1"/>
  <c r="G1217" i="44" s="1"/>
  <c r="G1218" i="44" s="1"/>
  <c r="G1219" i="44" s="1"/>
  <c r="G1220" i="44" s="1"/>
  <c r="G1221" i="44" s="1"/>
  <c r="G1222" i="44" s="1"/>
  <c r="G1223" i="44" s="1"/>
  <c r="G1224" i="44" s="1"/>
  <c r="G1225" i="44" s="1"/>
  <c r="G1226" i="44" s="1"/>
  <c r="G1227" i="44" s="1"/>
  <c r="G1228" i="44" s="1"/>
  <c r="G1229" i="44" s="1"/>
  <c r="G1230" i="44" s="1"/>
  <c r="G1231" i="44" s="1"/>
  <c r="G1232" i="44" s="1"/>
  <c r="G1233" i="44" s="1"/>
  <c r="G1234" i="44" s="1"/>
  <c r="G1235" i="44" s="1"/>
  <c r="G1236" i="44" s="1"/>
  <c r="G1237" i="44" s="1"/>
  <c r="G1238" i="44" s="1"/>
  <c r="G1239" i="44" s="1"/>
  <c r="G1240" i="44" s="1"/>
  <c r="G1241" i="44" s="1"/>
  <c r="G1242" i="44" s="1"/>
  <c r="G1243" i="44" s="1"/>
  <c r="G1244" i="44" s="1"/>
  <c r="G1245" i="44" s="1"/>
  <c r="G1246" i="44" s="1"/>
  <c r="G1247" i="44" s="1"/>
  <c r="G1248" i="44" s="1"/>
  <c r="G1249" i="44" s="1"/>
  <c r="G1250" i="44" s="1"/>
  <c r="G1251" i="44" s="1"/>
  <c r="G1252" i="44" s="1"/>
  <c r="G1253" i="44" s="1"/>
  <c r="G1254" i="44" s="1"/>
  <c r="G1255" i="44" s="1"/>
  <c r="G1256" i="44" s="1"/>
  <c r="G1257" i="44" s="1"/>
  <c r="G1258" i="44" s="1"/>
  <c r="G1259" i="44" s="1"/>
  <c r="G1260" i="44" s="1"/>
  <c r="G1261" i="44" s="1"/>
  <c r="G1262" i="44" s="1"/>
  <c r="G1263" i="44" s="1"/>
  <c r="G1264" i="44" s="1"/>
  <c r="G1265" i="44" s="1"/>
  <c r="G1266" i="44" s="1"/>
  <c r="G1267" i="44" s="1"/>
  <c r="G1268" i="44" s="1"/>
  <c r="G1269" i="44" s="1"/>
  <c r="G1270" i="44" s="1"/>
  <c r="G1271" i="44" s="1"/>
  <c r="G1272" i="44" s="1"/>
  <c r="G1273" i="44" s="1"/>
  <c r="G1274" i="44" s="1"/>
  <c r="G1275" i="44" s="1"/>
  <c r="G1276" i="44" s="1"/>
  <c r="G1277" i="44" s="1"/>
  <c r="G1278" i="44" s="1"/>
  <c r="G1279" i="44" s="1"/>
  <c r="G1280" i="44" s="1"/>
  <c r="G1281" i="44" s="1"/>
  <c r="G1282" i="44" s="1"/>
  <c r="G1283" i="44" s="1"/>
  <c r="G1284" i="44" s="1"/>
  <c r="G1285" i="44" s="1"/>
  <c r="G1286" i="44" s="1"/>
  <c r="G1287" i="44" s="1"/>
  <c r="G1288" i="44" s="1"/>
  <c r="G1289" i="44" s="1"/>
  <c r="G1290" i="44" s="1"/>
  <c r="G1291" i="44" s="1"/>
  <c r="G1292" i="44" s="1"/>
  <c r="G1293" i="44" s="1"/>
  <c r="G1294" i="44" s="1"/>
  <c r="G1295" i="44" s="1"/>
  <c r="G1296" i="44" s="1"/>
  <c r="G1297" i="44" s="1"/>
  <c r="G1298" i="44" s="1"/>
  <c r="G1299" i="44" s="1"/>
  <c r="G1300" i="44" s="1"/>
  <c r="G1301" i="44" s="1"/>
  <c r="G1302" i="44" s="1"/>
  <c r="G1303" i="44" s="1"/>
  <c r="G1304" i="44" s="1"/>
  <c r="G1305" i="44" s="1"/>
  <c r="G1306" i="44" s="1"/>
  <c r="G1307" i="44" s="1"/>
  <c r="G1308" i="44" s="1"/>
  <c r="G1309" i="44" s="1"/>
  <c r="G1310" i="44" s="1"/>
  <c r="G1311" i="44" s="1"/>
  <c r="G1312" i="44" s="1"/>
  <c r="G1313" i="44" s="1"/>
  <c r="G1314" i="44" s="1"/>
  <c r="G1315" i="44" s="1"/>
  <c r="G1316" i="44" s="1"/>
  <c r="G1317" i="44" s="1"/>
  <c r="G1318" i="44" s="1"/>
  <c r="G1319" i="44" s="1"/>
  <c r="G1320" i="44" s="1"/>
  <c r="G1321" i="44" s="1"/>
  <c r="G1322" i="44" s="1"/>
  <c r="G1323" i="44" s="1"/>
  <c r="G1324" i="44" s="1"/>
  <c r="G1325" i="44" s="1"/>
  <c r="G1326" i="44" s="1"/>
  <c r="G1327" i="44" s="1"/>
  <c r="G1328" i="44" s="1"/>
  <c r="G1329" i="44" s="1"/>
  <c r="G1330" i="44" s="1"/>
  <c r="G1331" i="44" s="1"/>
  <c r="G1332" i="44" s="1"/>
  <c r="G1333" i="44" s="1"/>
  <c r="G1334" i="44" s="1"/>
  <c r="G1335" i="44" s="1"/>
  <c r="G1336" i="44" s="1"/>
  <c r="G1337" i="44" s="1"/>
  <c r="G1338" i="44" s="1"/>
  <c r="G1339" i="44" s="1"/>
  <c r="G1340" i="44" s="1"/>
  <c r="G1341" i="44" s="1"/>
  <c r="G1342" i="44" s="1"/>
  <c r="G1343" i="44" s="1"/>
  <c r="G1344" i="44" s="1"/>
  <c r="G1345" i="44" s="1"/>
  <c r="G1346" i="44" s="1"/>
  <c r="G1347" i="44" s="1"/>
  <c r="G1348" i="44" s="1"/>
  <c r="G1349" i="44" s="1"/>
  <c r="G1350" i="44" s="1"/>
  <c r="G1351" i="44" s="1"/>
  <c r="G1352" i="44" s="1"/>
  <c r="G1353" i="44" s="1"/>
  <c r="G1354" i="44" s="1"/>
  <c r="G1355" i="44" s="1"/>
  <c r="G1356" i="44" s="1"/>
  <c r="G1357" i="44" s="1"/>
  <c r="G1358" i="44" s="1"/>
  <c r="G1359" i="44" s="1"/>
  <c r="G1360" i="44" s="1"/>
  <c r="G1361" i="44" s="1"/>
  <c r="G1362" i="44" s="1"/>
  <c r="G1363" i="44" s="1"/>
  <c r="G1364" i="44" s="1"/>
  <c r="G1365" i="44" s="1"/>
  <c r="G1366" i="44" s="1"/>
  <c r="G1367" i="44" s="1"/>
  <c r="G1368" i="44" s="1"/>
  <c r="G1369" i="44" s="1"/>
  <c r="G1370" i="44" s="1"/>
  <c r="G1371" i="44" s="1"/>
  <c r="G1372" i="44" s="1"/>
  <c r="G1373" i="44" s="1"/>
  <c r="G1374" i="44" s="1"/>
  <c r="G1375" i="44" s="1"/>
  <c r="G1376" i="44" s="1"/>
  <c r="G1377" i="44" s="1"/>
  <c r="G1378" i="44" s="1"/>
  <c r="G1379" i="44" s="1"/>
  <c r="G1380" i="44" s="1"/>
  <c r="G1381" i="44" s="1"/>
  <c r="G1382" i="44" s="1"/>
  <c r="G1383" i="44" s="1"/>
  <c r="G1384" i="44" s="1"/>
  <c r="G1385" i="44" s="1"/>
  <c r="G1386" i="44" s="1"/>
  <c r="G1387" i="44" s="1"/>
  <c r="G1388" i="44" s="1"/>
  <c r="G1389" i="44" s="1"/>
  <c r="G1390" i="44" s="1"/>
  <c r="G1391" i="44" s="1"/>
  <c r="G1392" i="44" s="1"/>
  <c r="G1393" i="44" s="1"/>
  <c r="G1394" i="44" s="1"/>
  <c r="G1395" i="44" s="1"/>
  <c r="G1396" i="44" s="1"/>
  <c r="G1397" i="44" s="1"/>
  <c r="G1398" i="44" s="1"/>
  <c r="G1399" i="44" s="1"/>
  <c r="G1400" i="44" s="1"/>
  <c r="G1401" i="44" s="1"/>
  <c r="G1402" i="44" s="1"/>
  <c r="G1403" i="44" s="1"/>
  <c r="G1404" i="44" s="1"/>
  <c r="G1405" i="44" s="1"/>
  <c r="G1406" i="44" s="1"/>
  <c r="G1407" i="44" s="1"/>
  <c r="G1408" i="44" s="1"/>
  <c r="G1409" i="44" s="1"/>
  <c r="G1410" i="44" s="1"/>
  <c r="G1411" i="44" s="1"/>
  <c r="G1412" i="44" s="1"/>
  <c r="G1413" i="44" s="1"/>
  <c r="G1414" i="44" s="1"/>
  <c r="G1415" i="44" s="1"/>
  <c r="G1416" i="44" s="1"/>
  <c r="G1417" i="44" s="1"/>
  <c r="G1418" i="44" s="1"/>
  <c r="G1419" i="44" s="1"/>
  <c r="G1420" i="44" s="1"/>
  <c r="G1421" i="44" s="1"/>
  <c r="G1422" i="44" s="1"/>
  <c r="G1423" i="44" s="1"/>
  <c r="G1424" i="44" s="1"/>
  <c r="G1425" i="44" s="1"/>
  <c r="G1426" i="44" s="1"/>
  <c r="G1427" i="44" s="1"/>
  <c r="G1428" i="44" s="1"/>
  <c r="G1429" i="44" s="1"/>
  <c r="G1430" i="44" s="1"/>
  <c r="G1431" i="44" s="1"/>
  <c r="G1432" i="44" s="1"/>
  <c r="G1433" i="44" s="1"/>
  <c r="G1434" i="44" s="1"/>
  <c r="G1435" i="44" s="1"/>
  <c r="G1436" i="44" s="1"/>
  <c r="G1437" i="44" s="1"/>
  <c r="G1438" i="44" s="1"/>
  <c r="G1439" i="44" s="1"/>
  <c r="G1440" i="44" s="1"/>
  <c r="G1441" i="44" s="1"/>
  <c r="G1442" i="44" s="1"/>
  <c r="G1443" i="44" s="1"/>
  <c r="G1444" i="44" s="1"/>
  <c r="G1445" i="44" s="1"/>
  <c r="G1446" i="44" s="1"/>
  <c r="G1447" i="44" s="1"/>
  <c r="G1448" i="44" s="1"/>
  <c r="G1449" i="44" s="1"/>
  <c r="G1450" i="44" s="1"/>
  <c r="G1451" i="44" s="1"/>
  <c r="G1452" i="44" s="1"/>
  <c r="G1453" i="44" s="1"/>
  <c r="G1454" i="44" s="1"/>
  <c r="G1455" i="44" s="1"/>
  <c r="G1456" i="44" s="1"/>
  <c r="G1457" i="44" s="1"/>
  <c r="G1458" i="44" s="1"/>
  <c r="G1459" i="44" s="1"/>
  <c r="G1460" i="44" s="1"/>
  <c r="G1461" i="44" s="1"/>
  <c r="G1462" i="44" s="1"/>
  <c r="G1463" i="44" s="1"/>
  <c r="G1464" i="44" s="1"/>
  <c r="G1465" i="44" s="1"/>
  <c r="G1466" i="44" s="1"/>
  <c r="G1467" i="44" s="1"/>
  <c r="G1468" i="44" s="1"/>
  <c r="G1469" i="44" s="1"/>
  <c r="G1470" i="44" s="1"/>
  <c r="G1471" i="44" s="1"/>
  <c r="G1472" i="44" s="1"/>
  <c r="G1473" i="44" s="1"/>
  <c r="G1474" i="44" s="1"/>
  <c r="G1475" i="44" s="1"/>
  <c r="A1786" i="44"/>
  <c r="A2109" i="44"/>
  <c r="A2921" i="44"/>
  <c r="A2552" i="44"/>
  <c r="A3016" i="44"/>
  <c r="A2987" i="44"/>
  <c r="A1977" i="44"/>
  <c r="A1837" i="44"/>
  <c r="A2390" i="44"/>
  <c r="A2891" i="44"/>
  <c r="A1918" i="44"/>
  <c r="A2543" i="44"/>
  <c r="A1685" i="44"/>
  <c r="A2406" i="44"/>
  <c r="A1911" i="44"/>
  <c r="A1958" i="44"/>
  <c r="A1823" i="44"/>
  <c r="A3166" i="44"/>
  <c r="A3124" i="44"/>
  <c r="A3122" i="44"/>
  <c r="A3105" i="44"/>
  <c r="A1886" i="44"/>
  <c r="A3076" i="44"/>
  <c r="M168" i="44"/>
  <c r="A3125" i="44"/>
  <c r="G243" i="44"/>
  <c r="G244" i="44" s="1"/>
  <c r="G245" i="44" s="1"/>
  <c r="G246" i="44" s="1"/>
  <c r="G247" i="44" s="1"/>
  <c r="G248" i="44" s="1"/>
  <c r="G249" i="44" s="1"/>
  <c r="G250" i="44" s="1"/>
  <c r="G251" i="44" s="1"/>
  <c r="G252" i="44" s="1"/>
  <c r="G253" i="44" s="1"/>
  <c r="G254" i="44" s="1"/>
  <c r="G255" i="44" s="1"/>
  <c r="G256" i="44" s="1"/>
  <c r="G257" i="44" s="1"/>
  <c r="G258" i="44" s="1"/>
  <c r="G259" i="44" s="1"/>
  <c r="G260" i="44" s="1"/>
  <c r="G261" i="44" s="1"/>
  <c r="G262" i="44" s="1"/>
  <c r="G263" i="44" s="1"/>
  <c r="G264" i="44" s="1"/>
  <c r="G265" i="44" s="1"/>
  <c r="G266" i="44" s="1"/>
  <c r="G267" i="44" s="1"/>
  <c r="G268" i="44" s="1"/>
  <c r="G269" i="44" s="1"/>
  <c r="G270" i="44" s="1"/>
  <c r="G271" i="44" s="1"/>
  <c r="G272" i="44" s="1"/>
  <c r="G273" i="44" s="1"/>
  <c r="G274" i="44" s="1"/>
  <c r="G275" i="44" s="1"/>
  <c r="G276" i="44" s="1"/>
  <c r="G277" i="44" s="1"/>
  <c r="G278" i="44" s="1"/>
  <c r="G279" i="44" s="1"/>
  <c r="G280" i="44" s="1"/>
  <c r="G281" i="44" s="1"/>
  <c r="G282" i="44" s="1"/>
  <c r="G283" i="44" s="1"/>
  <c r="G284" i="44" s="1"/>
  <c r="G285" i="44" s="1"/>
  <c r="G286" i="44" s="1"/>
  <c r="G287" i="44" s="1"/>
  <c r="G288" i="44" s="1"/>
  <c r="G289" i="44" s="1"/>
  <c r="A9" i="21" s="1"/>
  <c r="A3015" i="44"/>
  <c r="A3163" i="44"/>
  <c r="A2733" i="44"/>
  <c r="A2555" i="44"/>
  <c r="A2047" i="44"/>
  <c r="A2158" i="44"/>
  <c r="A3019" i="44"/>
  <c r="A2480" i="44"/>
  <c r="A1832" i="44"/>
  <c r="A2769" i="44"/>
  <c r="A1880" i="44"/>
  <c r="A208" i="44"/>
  <c r="A2767" i="44"/>
  <c r="A3134" i="44"/>
  <c r="A1733" i="44"/>
  <c r="A3077" i="44"/>
  <c r="A2099" i="44"/>
  <c r="A2095" i="44"/>
  <c r="A2171" i="44"/>
  <c r="A2106" i="44"/>
  <c r="A3131" i="44"/>
  <c r="A3162" i="44"/>
  <c r="A3116" i="44"/>
  <c r="A2986" i="44"/>
  <c r="A2868" i="44"/>
  <c r="A2547" i="44"/>
  <c r="A2985" i="44"/>
  <c r="A2229" i="44"/>
  <c r="A2888" i="44"/>
  <c r="A2410" i="44"/>
  <c r="A2611" i="44"/>
  <c r="A2468" i="44"/>
  <c r="A2544" i="44"/>
  <c r="M204" i="44"/>
  <c r="A2551" i="44"/>
  <c r="A1794" i="44"/>
  <c r="A2488" i="44"/>
  <c r="A2605" i="44"/>
  <c r="A2500" i="44"/>
  <c r="A3012" i="44"/>
  <c r="A2104" i="44"/>
  <c r="A1927" i="44"/>
  <c r="A152" i="44"/>
  <c r="A2076" i="44"/>
  <c r="A2098" i="44"/>
  <c r="A1894" i="44"/>
  <c r="A2728" i="44"/>
  <c r="A2732" i="44"/>
  <c r="A2065" i="44"/>
  <c r="A2179" i="44"/>
  <c r="A1840" i="44"/>
  <c r="A1600" i="44"/>
  <c r="A2069" i="44"/>
  <c r="A2719" i="44"/>
  <c r="A2003" i="44"/>
  <c r="A2027" i="44"/>
  <c r="A1739" i="44"/>
  <c r="A2729" i="44"/>
  <c r="A1921" i="44"/>
  <c r="M164" i="44"/>
  <c r="A2751" i="44"/>
  <c r="A2272" i="44"/>
  <c r="A2915" i="44"/>
  <c r="A2851" i="44"/>
  <c r="A2865" i="44"/>
  <c r="A2013" i="44"/>
  <c r="A1923" i="44"/>
  <c r="A3064" i="44"/>
  <c r="A2075" i="44"/>
  <c r="A1970" i="44"/>
  <c r="A2747" i="44"/>
  <c r="A3067" i="44"/>
  <c r="A1615" i="44"/>
  <c r="A2144" i="44"/>
  <c r="A2703" i="44"/>
  <c r="A1929" i="44"/>
  <c r="A3063" i="44"/>
  <c r="A1931" i="44"/>
  <c r="A2800" i="44"/>
  <c r="A2493" i="44"/>
  <c r="A1607" i="44"/>
  <c r="A2490" i="44"/>
  <c r="A2492" i="44"/>
  <c r="A2147" i="44"/>
  <c r="A3042" i="44"/>
  <c r="A2008" i="44"/>
  <c r="A1699" i="44"/>
  <c r="A1817" i="44"/>
  <c r="A1730" i="44"/>
  <c r="A2227" i="44"/>
  <c r="A2432" i="44"/>
  <c r="A2763" i="44"/>
  <c r="A1702" i="44"/>
  <c r="A1742" i="44"/>
  <c r="A2011" i="44"/>
  <c r="A2134" i="44"/>
  <c r="A1601" i="44"/>
  <c r="A2872" i="44"/>
  <c r="A1933" i="44"/>
  <c r="A2256" i="44"/>
  <c r="A2045" i="44"/>
  <c r="A2727" i="44"/>
  <c r="G6" i="44"/>
  <c r="G7" i="44" s="1"/>
  <c r="G8" i="44" s="1"/>
  <c r="G9" i="44" s="1"/>
  <c r="G10" i="44" s="1"/>
  <c r="G11" i="44" s="1"/>
  <c r="G12" i="44" s="1"/>
  <c r="G13" i="44" s="1"/>
  <c r="G14" i="44" s="1"/>
  <c r="G15" i="44" s="1"/>
  <c r="G16" i="44" s="1"/>
  <c r="G17" i="44" s="1"/>
  <c r="G18" i="44" s="1"/>
  <c r="G19" i="44" s="1"/>
  <c r="G20" i="44" s="1"/>
  <c r="G21" i="44" s="1"/>
  <c r="G22" i="44" s="1"/>
  <c r="G23" i="44" s="1"/>
  <c r="G24" i="44" s="1"/>
  <c r="G25" i="44" s="1"/>
  <c r="G26" i="44" s="1"/>
  <c r="G27" i="44" s="1"/>
  <c r="G28" i="44" s="1"/>
  <c r="G29" i="44" s="1"/>
  <c r="G30" i="44" s="1"/>
  <c r="G31" i="44" s="1"/>
  <c r="G32" i="44" s="1"/>
  <c r="G33" i="44" s="1"/>
  <c r="G34" i="44" s="1"/>
  <c r="G35" i="44" s="1"/>
  <c r="G36" i="44" s="1"/>
  <c r="G37" i="44" s="1"/>
  <c r="G38" i="44" s="1"/>
  <c r="G39" i="44" s="1"/>
  <c r="G40" i="44" s="1"/>
  <c r="G41" i="44" s="1"/>
  <c r="G42" i="44" s="1"/>
  <c r="G43" i="44" s="1"/>
  <c r="G44" i="44" s="1"/>
  <c r="G45" i="44" s="1"/>
  <c r="G46" i="44" s="1"/>
  <c r="G47" i="44" s="1"/>
  <c r="G48" i="44" s="1"/>
  <c r="G49" i="44" s="1"/>
  <c r="G50" i="44" s="1"/>
  <c r="G51" i="44" s="1"/>
  <c r="G52" i="44" s="1"/>
  <c r="G53" i="44" s="1"/>
  <c r="G54" i="44" s="1"/>
  <c r="G55" i="44" s="1"/>
  <c r="G56" i="44" s="1"/>
  <c r="G57" i="44" s="1"/>
  <c r="G58" i="44" s="1"/>
  <c r="G59" i="44" s="1"/>
  <c r="G60" i="44" s="1"/>
  <c r="G61" i="44" s="1"/>
  <c r="G62" i="44" s="1"/>
  <c r="G63" i="44" s="1"/>
  <c r="G64" i="44" s="1"/>
  <c r="G65" i="44" s="1"/>
  <c r="G66" i="44" s="1"/>
  <c r="G67" i="44" s="1"/>
  <c r="G68" i="44" s="1"/>
  <c r="G69" i="44" s="1"/>
  <c r="G70" i="44" s="1"/>
  <c r="G71" i="44" s="1"/>
  <c r="G72" i="44" s="1"/>
  <c r="G73" i="44" s="1"/>
  <c r="G74" i="44" s="1"/>
  <c r="G75" i="44" s="1"/>
  <c r="G76" i="44" s="1"/>
  <c r="G77" i="44" s="1"/>
  <c r="G78" i="44" s="1"/>
  <c r="G79" i="44" s="1"/>
  <c r="G80" i="44" s="1"/>
  <c r="G81" i="44" s="1"/>
  <c r="G82" i="44" s="1"/>
  <c r="G83" i="44" s="1"/>
  <c r="G84" i="44" s="1"/>
  <c r="G85" i="44" s="1"/>
  <c r="G86" i="44" s="1"/>
  <c r="G87" i="44" s="1"/>
  <c r="G88" i="44" s="1"/>
  <c r="G89" i="44" s="1"/>
  <c r="G90" i="44" s="1"/>
  <c r="G91" i="44" s="1"/>
  <c r="G92" i="44" s="1"/>
  <c r="G93" i="44" s="1"/>
  <c r="G94" i="44" s="1"/>
  <c r="G95" i="44" s="1"/>
  <c r="G96" i="44" s="1"/>
  <c r="G97" i="44" s="1"/>
  <c r="G98" i="44" s="1"/>
  <c r="G99" i="44" s="1"/>
  <c r="G100" i="44" s="1"/>
  <c r="G101" i="44" s="1"/>
  <c r="G102" i="44" s="1"/>
  <c r="G103" i="44" s="1"/>
  <c r="G104" i="44" s="1"/>
  <c r="G105" i="44" s="1"/>
  <c r="G106" i="44" s="1"/>
  <c r="G107" i="44" s="1"/>
  <c r="G108" i="44" s="1"/>
  <c r="G109" i="44" s="1"/>
  <c r="G110" i="44" s="1"/>
  <c r="G111" i="44" s="1"/>
  <c r="G112" i="44" s="1"/>
  <c r="G113" i="44" s="1"/>
  <c r="G114" i="44" s="1"/>
  <c r="G115" i="44" s="1"/>
  <c r="G116" i="44" s="1"/>
  <c r="G117" i="44" s="1"/>
  <c r="G118" i="44" s="1"/>
  <c r="G119" i="44" s="1"/>
  <c r="G120" i="44" s="1"/>
  <c r="G121" i="44" s="1"/>
  <c r="G122" i="44" s="1"/>
  <c r="G123" i="44" s="1"/>
  <c r="G124" i="44" s="1"/>
  <c r="G125" i="44" s="1"/>
  <c r="G126" i="44" s="1"/>
  <c r="G127" i="44" s="1"/>
  <c r="G128" i="44" s="1"/>
  <c r="G129" i="44" s="1"/>
  <c r="G130" i="44" s="1"/>
  <c r="G131" i="44" s="1"/>
  <c r="G132" i="44" s="1"/>
  <c r="A5" i="21" s="1"/>
  <c r="A1919" i="44"/>
  <c r="A2408" i="44"/>
  <c r="A1920" i="44"/>
  <c r="A1803" i="44"/>
  <c r="A1612" i="44"/>
  <c r="A2185" i="44"/>
  <c r="A1821" i="44"/>
  <c r="A2562" i="44"/>
  <c r="A198" i="44"/>
  <c r="A2132" i="44"/>
  <c r="A1707" i="44"/>
  <c r="A1736" i="44"/>
  <c r="A3062" i="44"/>
  <c r="A2067" i="44"/>
  <c r="A206" i="44"/>
  <c r="A2481" i="44"/>
  <c r="A2722" i="44"/>
  <c r="A2007" i="44"/>
  <c r="A2224" i="44"/>
  <c r="A1614" i="44"/>
  <c r="A2107" i="44"/>
  <c r="A2064" i="44"/>
  <c r="A2439" i="44"/>
  <c r="A2440" i="44"/>
  <c r="A1813" i="44"/>
  <c r="A1596" i="44"/>
  <c r="A154" i="44"/>
  <c r="A1606" i="44"/>
  <c r="A3065" i="44"/>
  <c r="A1703" i="44"/>
  <c r="A2223" i="44"/>
  <c r="A2103" i="44"/>
  <c r="A3041" i="44"/>
  <c r="A2957" i="44"/>
  <c r="A1806" i="44"/>
  <c r="A1728" i="44"/>
  <c r="A2635" i="44"/>
  <c r="A2742" i="44"/>
  <c r="A2768" i="44"/>
  <c r="A2068" i="44"/>
  <c r="A2652" i="44"/>
  <c r="A1694" i="44"/>
  <c r="A1874" i="44"/>
  <c r="A2871" i="44"/>
  <c r="A2110" i="44"/>
  <c r="A2427" i="44"/>
  <c r="A2814" i="44"/>
  <c r="A2437" i="44"/>
  <c r="A2863" i="44"/>
  <c r="A3061" i="44"/>
  <c r="A1801" i="44"/>
  <c r="A2869" i="44"/>
  <c r="A3068" i="44"/>
  <c r="A2190" i="44"/>
  <c r="A1700" i="44"/>
  <c r="A3069" i="44"/>
  <c r="A2004" i="44"/>
  <c r="A2550" i="44"/>
  <c r="A3027" i="44"/>
  <c r="A2291" i="44"/>
  <c r="A2683" i="44"/>
  <c r="A2018" i="44"/>
  <c r="A2150" i="44"/>
  <c r="A2301" i="44"/>
  <c r="A2962" i="44"/>
  <c r="A1964" i="44"/>
  <c r="A2026" i="44"/>
  <c r="A2199" i="44"/>
  <c r="A2759" i="44"/>
  <c r="A3112" i="44"/>
  <c r="A2393" i="44"/>
  <c r="A2496" i="44"/>
  <c r="A2387" i="44"/>
  <c r="A2292" i="44"/>
  <c r="A3113" i="44"/>
  <c r="A2030" i="44"/>
  <c r="A2574" i="44"/>
  <c r="A2009" i="44"/>
  <c r="A184" i="44"/>
  <c r="A2131" i="44"/>
  <c r="A2509" i="44"/>
  <c r="A2686" i="44"/>
  <c r="A1827" i="44"/>
  <c r="A2765" i="44"/>
  <c r="A2296" i="44"/>
  <c r="A1588" i="44"/>
  <c r="A2694" i="44"/>
  <c r="A2953" i="44"/>
  <c r="A2237" i="44"/>
  <c r="A1804" i="44"/>
  <c r="A2738" i="44"/>
  <c r="A2407" i="44"/>
  <c r="A3103" i="44"/>
  <c r="A2319" i="44"/>
  <c r="A3006" i="44"/>
  <c r="A2476" i="44"/>
  <c r="A2887" i="44"/>
  <c r="A2702" i="44"/>
  <c r="A2080" i="44"/>
  <c r="A2943" i="44"/>
  <c r="A2760" i="44"/>
  <c r="A3025" i="44"/>
  <c r="A2151" i="44"/>
  <c r="A200" i="44"/>
  <c r="A2561" i="44"/>
  <c r="A2194" i="44"/>
  <c r="A1670" i="44"/>
  <c r="A2824" i="44"/>
  <c r="A3038" i="44"/>
  <c r="A2797" i="44"/>
  <c r="A3115" i="44"/>
  <c r="A2129" i="44"/>
  <c r="A2473" i="44"/>
  <c r="A2954" i="44"/>
  <c r="A2423" i="44"/>
  <c r="M184" i="44"/>
  <c r="A1717" i="44"/>
  <c r="A3098" i="44"/>
  <c r="A2001" i="44"/>
  <c r="A2335" i="44"/>
  <c r="A2435" i="44"/>
  <c r="A2400" i="44"/>
  <c r="A2213" i="44"/>
  <c r="A3035" i="44"/>
  <c r="A3140" i="44"/>
  <c r="A1826" i="44"/>
  <c r="A3135" i="44"/>
  <c r="A2764" i="44"/>
  <c r="A1664" i="44"/>
  <c r="A2006" i="44"/>
  <c r="A3031" i="44"/>
  <c r="A3142" i="44"/>
  <c r="A2289" i="44"/>
  <c r="A2783" i="44"/>
  <c r="A3110" i="44"/>
  <c r="A2917" i="44"/>
  <c r="A2330" i="44"/>
  <c r="M150" i="44"/>
  <c r="A3133" i="44"/>
  <c r="A3151" i="44" s="1"/>
  <c r="A1721" i="44"/>
  <c r="A1731" i="44"/>
  <c r="A2222" i="44"/>
  <c r="A1678" i="44"/>
  <c r="A2711" i="44"/>
  <c r="A2469" i="44"/>
  <c r="A2673" i="44"/>
  <c r="A1830" i="44"/>
  <c r="A1586" i="44"/>
  <c r="A2597" i="44"/>
  <c r="A2386" i="44"/>
  <c r="A2951" i="44"/>
  <c r="A150" i="44"/>
  <c r="A2726" i="44"/>
  <c r="A2088" i="44"/>
  <c r="A3138" i="44"/>
  <c r="A2889" i="44"/>
  <c r="A2766" i="44"/>
  <c r="A2690" i="44"/>
  <c r="A2572" i="44"/>
  <c r="A2795" i="44"/>
  <c r="A2133" i="44"/>
  <c r="A2682" i="44"/>
  <c r="A2885" i="44"/>
  <c r="A2384" i="44"/>
  <c r="A2676" i="44"/>
  <c r="A2607" i="44"/>
  <c r="A2994" i="44"/>
  <c r="A2498" i="44"/>
  <c r="A1791" i="44"/>
  <c r="A3090" i="44"/>
  <c r="A2564" i="44"/>
  <c r="A2136" i="44"/>
  <c r="A2022" i="44"/>
  <c r="A2014" i="44"/>
  <c r="A2714" i="44"/>
  <c r="A2801" i="44"/>
  <c r="A2796" i="44"/>
  <c r="A2087" i="44"/>
  <c r="A2730" i="44"/>
  <c r="A2845" i="44"/>
  <c r="A3141" i="44"/>
  <c r="A2331" i="44"/>
  <c r="A2687" i="44"/>
  <c r="A2678" i="44"/>
  <c r="A2755" i="44"/>
  <c r="A2333" i="44"/>
  <c r="A2793" i="44"/>
  <c r="A1669" i="44"/>
  <c r="A2841" i="44"/>
  <c r="A1681" i="44"/>
  <c r="A2700" i="44"/>
  <c r="A2066" i="44"/>
  <c r="A1967" i="44"/>
  <c r="A2761" i="44"/>
  <c r="A2756" i="44"/>
  <c r="A2327" i="44"/>
  <c r="A2533" i="44"/>
  <c r="A2839" i="44"/>
  <c r="A2436" i="44"/>
  <c r="A2790" i="44"/>
  <c r="A2916" i="44"/>
  <c r="A1584" i="44"/>
  <c r="A2471" i="44"/>
  <c r="A1595" i="44"/>
  <c r="A2096" i="44"/>
  <c r="A1698" i="44"/>
  <c r="A2015" i="44"/>
  <c r="A1592" i="44"/>
  <c r="A1896" i="44"/>
  <c r="A2817" i="44"/>
  <c r="A3144" i="44"/>
  <c r="A2882" i="44"/>
  <c r="A2445" i="44"/>
  <c r="A1989" i="44"/>
  <c r="A1589" i="44"/>
  <c r="A2567" i="44"/>
  <c r="A1711" i="44"/>
  <c r="A2298" i="44"/>
  <c r="A3146" i="44"/>
  <c r="G221" i="44"/>
  <c r="G222" i="44" s="1"/>
  <c r="G223" i="44" s="1"/>
  <c r="G224" i="44" s="1"/>
  <c r="G225" i="44" s="1"/>
  <c r="G226" i="44" s="1"/>
  <c r="G227" i="44" s="1"/>
  <c r="G228" i="44" s="1"/>
  <c r="G229" i="44" s="1"/>
  <c r="G230" i="44" s="1"/>
  <c r="G231" i="44" s="1"/>
  <c r="G232" i="44" s="1"/>
  <c r="G233" i="44" s="1"/>
  <c r="G234" i="44" s="1"/>
  <c r="G235" i="44" s="1"/>
  <c r="G236" i="44" s="1"/>
  <c r="G237" i="44" s="1"/>
  <c r="A17" i="21" s="1"/>
  <c r="A1585" i="44"/>
  <c r="A3149" i="44"/>
  <c r="A2820" i="44"/>
  <c r="A2991" i="44"/>
  <c r="A2420" i="44"/>
  <c r="A1672" i="44"/>
  <c r="A2786" i="44"/>
  <c r="A1962" i="44"/>
  <c r="A2086" i="44"/>
  <c r="A2789" i="44"/>
  <c r="A1693" i="44"/>
  <c r="A2735" i="44"/>
  <c r="A2692" i="44"/>
  <c r="A2472" i="44"/>
  <c r="A1587" i="44"/>
  <c r="A1857" i="44"/>
  <c r="A2856" i="44"/>
  <c r="A3002" i="44"/>
  <c r="A3057" i="44"/>
  <c r="A1812" i="44"/>
  <c r="A2883" i="44"/>
  <c r="A2467" i="44"/>
  <c r="A2691" i="44"/>
  <c r="A2582" i="44"/>
  <c r="A3158" i="44"/>
  <c r="A2389" i="44"/>
  <c r="A2394" i="44"/>
  <c r="A2568" i="44"/>
  <c r="A3091" i="44"/>
  <c r="A2886" i="44"/>
  <c r="A2830" i="44"/>
  <c r="A2221" i="44"/>
  <c r="A2715" i="44"/>
  <c r="A2421" i="44"/>
  <c r="A2148" i="44"/>
  <c r="A2745" i="44"/>
  <c r="A2051" i="44"/>
  <c r="A2398" i="44"/>
  <c r="A3111" i="44"/>
  <c r="A2833" i="44"/>
  <c r="A1818" i="44"/>
  <c r="A2616" i="44"/>
  <c r="A1858" i="44"/>
  <c r="A2040" i="44"/>
  <c r="A1961" i="44"/>
  <c r="A2963" i="44"/>
  <c r="A2483" i="44"/>
  <c r="A2431" i="44"/>
  <c r="A2078" i="44"/>
  <c r="A2980" i="44"/>
  <c r="A2470" i="44"/>
  <c r="A2034" i="44"/>
  <c r="A2220" i="44"/>
  <c r="A3070" i="44"/>
  <c r="A2081" i="44"/>
  <c r="A1965" i="44"/>
  <c r="A2329" i="44"/>
  <c r="A2202" i="44"/>
  <c r="A2688" i="44"/>
  <c r="A3114" i="44"/>
  <c r="A3058" i="44"/>
  <c r="A3020" i="44"/>
  <c r="A2757" i="44"/>
  <c r="A2810" i="44"/>
  <c r="L180" i="44"/>
  <c r="N180" i="44" s="1"/>
  <c r="F180" i="44" s="1"/>
  <c r="A3097" i="44"/>
  <c r="A3102" i="44"/>
  <c r="A2091" i="44"/>
  <c r="A2565" i="44"/>
  <c r="A2952" i="44"/>
  <c r="A2893" i="44"/>
  <c r="A2701" i="44"/>
  <c r="A2092" i="44"/>
  <c r="A3033" i="44"/>
  <c r="A2881" i="44"/>
  <c r="A2415" i="44"/>
  <c r="A3029" i="44"/>
  <c r="A2020" i="44"/>
  <c r="A2287" i="44"/>
  <c r="A1966" i="44"/>
  <c r="A2807" i="44"/>
  <c r="A2016" i="44"/>
  <c r="A2198" i="44"/>
  <c r="A2297" i="44"/>
  <c r="A2201" i="44"/>
  <c r="A2958" i="44"/>
  <c r="A2618" i="44"/>
  <c r="A3107" i="44"/>
  <c r="A2302" i="44"/>
  <c r="A1969" i="44"/>
  <c r="A1714" i="44"/>
  <c r="A2441" i="44"/>
  <c r="A2808" i="44"/>
  <c r="A3148" i="44"/>
  <c r="A2079" i="44"/>
  <c r="A2677" i="44"/>
  <c r="A2152" i="44"/>
  <c r="A2161" i="44"/>
  <c r="A2430" i="44"/>
  <c r="A1954" i="44"/>
  <c r="A2084" i="44"/>
  <c r="A2992" i="44"/>
  <c r="A2127" i="44"/>
  <c r="A2474" i="44"/>
  <c r="A2698" i="44"/>
  <c r="A2612" i="44"/>
  <c r="A2063" i="44"/>
  <c r="A2232" i="44"/>
  <c r="A3008" i="44"/>
  <c r="A2401" i="44"/>
  <c r="A2443" i="44"/>
  <c r="A3073" i="44"/>
  <c r="A3044" i="44"/>
  <c r="A3095" i="44"/>
  <c r="A2609" i="44"/>
  <c r="A1755" i="44"/>
  <c r="A2791" i="44"/>
  <c r="A3013" i="44"/>
  <c r="A3089" i="44"/>
  <c r="A3078" i="44"/>
  <c r="A2404" i="44"/>
  <c r="A2680" i="44"/>
  <c r="A1710" i="44"/>
  <c r="A2762" i="44"/>
  <c r="A2537" i="44"/>
  <c r="A2212" i="44"/>
  <c r="A2071" i="44"/>
  <c r="A2784" i="44"/>
  <c r="A1770" i="44"/>
  <c r="A2101" i="44"/>
  <c r="A2433" i="44"/>
  <c r="A1630" i="44"/>
  <c r="A3156" i="44"/>
  <c r="A3161" i="44"/>
  <c r="A1712" i="44"/>
  <c r="A2718" i="44"/>
  <c r="A2074" i="44"/>
  <c r="A2463" i="44"/>
  <c r="A2156" i="44"/>
  <c r="A2155" i="44"/>
  <c r="A2085" i="44"/>
  <c r="A2383" i="44"/>
  <c r="A2422" i="44"/>
  <c r="A3034" i="44"/>
  <c r="A1676" i="44"/>
  <c r="A3117" i="44"/>
  <c r="A1955" i="44"/>
  <c r="A2299" i="44"/>
  <c r="A1999" i="44"/>
  <c r="A2716" i="44"/>
  <c r="A1680" i="44"/>
  <c r="A1667" i="44"/>
  <c r="A2599" i="44"/>
  <c r="A3003" i="44"/>
  <c r="A2697" i="44"/>
  <c r="A2945" i="44"/>
  <c r="A2828" i="44"/>
  <c r="A2193" i="44"/>
  <c r="A2641" i="44"/>
  <c r="A2205" i="44"/>
  <c r="A1682" i="44"/>
  <c r="M162" i="44"/>
  <c r="A2890" i="44"/>
  <c r="A2575" i="44"/>
  <c r="A2511" i="44"/>
  <c r="A3139" i="44"/>
  <c r="A2752" i="44"/>
  <c r="A1683" i="44"/>
  <c r="A2559" i="44"/>
  <c r="A3071" i="44"/>
  <c r="A2743" i="44"/>
  <c r="G301" i="44"/>
  <c r="G302" i="44" s="1"/>
  <c r="G303" i="44" s="1"/>
  <c r="G304" i="44" s="1"/>
  <c r="G305" i="44" s="1"/>
  <c r="G306" i="44" s="1"/>
  <c r="G307" i="44" s="1"/>
  <c r="G308" i="44" s="1"/>
  <c r="G309" i="44" s="1"/>
  <c r="G310" i="44" s="1"/>
  <c r="G311" i="44" s="1"/>
  <c r="G312" i="44" s="1"/>
  <c r="G313" i="44" s="1"/>
  <c r="G314" i="44" s="1"/>
  <c r="G315" i="44" s="1"/>
  <c r="G316" i="44" s="1"/>
  <c r="G317" i="44" s="1"/>
  <c r="G318" i="44" s="1"/>
  <c r="G319" i="44" s="1"/>
  <c r="G320" i="44" s="1"/>
  <c r="G321" i="44" s="1"/>
  <c r="G322" i="44" s="1"/>
  <c r="G323" i="44" s="1"/>
  <c r="G324" i="44" s="1"/>
  <c r="G325" i="44" s="1"/>
  <c r="G326" i="44" s="1"/>
  <c r="G327" i="44" s="1"/>
  <c r="G328" i="44" s="1"/>
  <c r="G329" i="44" s="1"/>
  <c r="G330" i="44" s="1"/>
  <c r="G331" i="44" s="1"/>
  <c r="G332" i="44" s="1"/>
  <c r="G333" i="44" s="1"/>
  <c r="G334" i="44" s="1"/>
  <c r="G335" i="44" s="1"/>
  <c r="G336" i="44" s="1"/>
  <c r="G337" i="44" s="1"/>
  <c r="G338" i="44" s="1"/>
  <c r="G339" i="44" s="1"/>
  <c r="G340" i="44" s="1"/>
  <c r="G341" i="44" s="1"/>
  <c r="G342" i="44" s="1"/>
  <c r="G343" i="44" s="1"/>
  <c r="G344" i="44" s="1"/>
  <c r="G345" i="44" s="1"/>
  <c r="G346" i="44" s="1"/>
  <c r="G347" i="44" s="1"/>
  <c r="G348" i="44" s="1"/>
  <c r="G349" i="44" s="1"/>
  <c r="G350" i="44" s="1"/>
  <c r="G351" i="44" s="1"/>
  <c r="G352" i="44" s="1"/>
  <c r="G353" i="44" s="1"/>
  <c r="G354" i="44" s="1"/>
  <c r="G355" i="44" s="1"/>
  <c r="G356" i="44" s="1"/>
  <c r="G357" i="44" s="1"/>
  <c r="G358" i="44" s="1"/>
  <c r="G359" i="44" s="1"/>
  <c r="G360" i="44" s="1"/>
  <c r="G361" i="44" s="1"/>
  <c r="G362" i="44" s="1"/>
  <c r="G363" i="44" s="1"/>
  <c r="G364" i="44" s="1"/>
  <c r="G365" i="44" s="1"/>
  <c r="G366" i="44" s="1"/>
  <c r="G367" i="44" s="1"/>
  <c r="G368" i="44" s="1"/>
  <c r="G369" i="44" s="1"/>
  <c r="G370" i="44" s="1"/>
  <c r="G371" i="44" s="1"/>
  <c r="G372" i="44" s="1"/>
  <c r="G373" i="44" s="1"/>
  <c r="G374" i="44" s="1"/>
  <c r="G375" i="44" s="1"/>
  <c r="G376" i="44" s="1"/>
  <c r="G377" i="44" s="1"/>
  <c r="G378" i="44" s="1"/>
  <c r="G379" i="44" s="1"/>
  <c r="G380" i="44" s="1"/>
  <c r="G381" i="44" s="1"/>
  <c r="G382" i="44" s="1"/>
  <c r="G383" i="44" s="1"/>
  <c r="G384" i="44" s="1"/>
  <c r="G385" i="44" s="1"/>
  <c r="G386" i="44" s="1"/>
  <c r="G387" i="44" s="1"/>
  <c r="G388" i="44" s="1"/>
  <c r="G389" i="44" s="1"/>
  <c r="G390" i="44" s="1"/>
  <c r="G391" i="44" s="1"/>
  <c r="G392" i="44" s="1"/>
  <c r="G393" i="44" s="1"/>
  <c r="G394" i="44" s="1"/>
  <c r="G395" i="44" s="1"/>
  <c r="G396" i="44" s="1"/>
  <c r="G397" i="44" s="1"/>
  <c r="G398" i="44" s="1"/>
  <c r="G399" i="44" s="1"/>
  <c r="G400" i="44" s="1"/>
  <c r="G401" i="44" s="1"/>
  <c r="G402" i="44" s="1"/>
  <c r="G403" i="44" s="1"/>
  <c r="G404" i="44" s="1"/>
  <c r="G405" i="44" s="1"/>
  <c r="G406" i="44" s="1"/>
  <c r="G407" i="44" s="1"/>
  <c r="G408" i="44" s="1"/>
  <c r="G409" i="44" s="1"/>
  <c r="G410" i="44" s="1"/>
  <c r="G411" i="44" s="1"/>
  <c r="G412" i="44" s="1"/>
  <c r="G413" i="44" s="1"/>
  <c r="G414" i="44" s="1"/>
  <c r="G415" i="44" s="1"/>
  <c r="G416" i="44" s="1"/>
  <c r="G417" i="44" s="1"/>
  <c r="G418" i="44" s="1"/>
  <c r="G419" i="44" s="1"/>
  <c r="G420" i="44" s="1"/>
  <c r="G421" i="44" s="1"/>
  <c r="G422" i="44" s="1"/>
  <c r="G423" i="44" s="1"/>
  <c r="G424" i="44" s="1"/>
  <c r="G425" i="44" s="1"/>
  <c r="G426" i="44" s="1"/>
  <c r="G427" i="44" s="1"/>
  <c r="G428" i="44" s="1"/>
  <c r="G429" i="44" s="1"/>
  <c r="G430" i="44" s="1"/>
  <c r="G431" i="44" s="1"/>
  <c r="G432" i="44" s="1"/>
  <c r="G433" i="44" s="1"/>
  <c r="G434" i="44" s="1"/>
  <c r="G435" i="44" s="1"/>
  <c r="G436" i="44" s="1"/>
  <c r="G437" i="44" s="1"/>
  <c r="G438" i="44" s="1"/>
  <c r="G439" i="44" s="1"/>
  <c r="G440" i="44" s="1"/>
  <c r="G441" i="44" s="1"/>
  <c r="G442" i="44" s="1"/>
  <c r="G443" i="44" s="1"/>
  <c r="G444" i="44" s="1"/>
  <c r="G445" i="44" s="1"/>
  <c r="G446" i="44" s="1"/>
  <c r="G447" i="44" s="1"/>
  <c r="G448" i="44" s="1"/>
  <c r="G449" i="44" s="1"/>
  <c r="G450" i="44" s="1"/>
  <c r="G451" i="44" s="1"/>
  <c r="G452" i="44" s="1"/>
  <c r="G453" i="44" s="1"/>
  <c r="G454" i="44" s="1"/>
  <c r="G455" i="44" s="1"/>
  <c r="G456" i="44" s="1"/>
  <c r="G457" i="44" s="1"/>
  <c r="G458" i="44" s="1"/>
  <c r="G459" i="44" s="1"/>
  <c r="G460" i="44" s="1"/>
  <c r="G461" i="44" s="1"/>
  <c r="G462" i="44" s="1"/>
  <c r="G463" i="44" s="1"/>
  <c r="G464" i="44" s="1"/>
  <c r="G465" i="44" s="1"/>
  <c r="G466" i="44" s="1"/>
  <c r="G467" i="44" s="1"/>
  <c r="G468" i="44" s="1"/>
  <c r="G469" i="44" s="1"/>
  <c r="G470" i="44" s="1"/>
  <c r="G471" i="44" s="1"/>
  <c r="G472" i="44" s="1"/>
  <c r="G473" i="44" s="1"/>
  <c r="G474" i="44" s="1"/>
  <c r="G475" i="44" s="1"/>
  <c r="G476" i="44" s="1"/>
  <c r="G477" i="44" s="1"/>
  <c r="G478" i="44" s="1"/>
  <c r="G479" i="44" s="1"/>
  <c r="G480" i="44" s="1"/>
  <c r="G481" i="44" s="1"/>
  <c r="G482" i="44" s="1"/>
  <c r="G483" i="44" s="1"/>
  <c r="G484" i="44" s="1"/>
  <c r="G485" i="44" s="1"/>
  <c r="G486" i="44" s="1"/>
  <c r="G487" i="44" s="1"/>
  <c r="G488" i="44" s="1"/>
  <c r="G489" i="44" s="1"/>
  <c r="G490" i="44" s="1"/>
  <c r="G491" i="44" s="1"/>
  <c r="G492" i="44" s="1"/>
  <c r="G493" i="44" s="1"/>
  <c r="G494" i="44" s="1"/>
  <c r="G495" i="44" s="1"/>
  <c r="G496" i="44" s="1"/>
  <c r="G497" i="44" s="1"/>
  <c r="G498" i="44" s="1"/>
  <c r="G499" i="44" s="1"/>
  <c r="G500" i="44" s="1"/>
  <c r="G501" i="44" s="1"/>
  <c r="G502" i="44" s="1"/>
  <c r="G503" i="44" s="1"/>
  <c r="G504" i="44" s="1"/>
  <c r="G505" i="44" s="1"/>
  <c r="G506" i="44" s="1"/>
  <c r="G507" i="44" s="1"/>
  <c r="G508" i="44" s="1"/>
  <c r="G509" i="44" s="1"/>
  <c r="G510" i="44" s="1"/>
  <c r="G511" i="44" s="1"/>
  <c r="G512" i="44" s="1"/>
  <c r="G513" i="44" s="1"/>
  <c r="G514" i="44" s="1"/>
  <c r="G515" i="44" s="1"/>
  <c r="G516" i="44" s="1"/>
  <c r="G517" i="44" s="1"/>
  <c r="G518" i="44" s="1"/>
  <c r="G519" i="44" s="1"/>
  <c r="G520" i="44" s="1"/>
  <c r="G521" i="44" s="1"/>
  <c r="G522" i="44" s="1"/>
  <c r="G523" i="44" s="1"/>
  <c r="G524" i="44" s="1"/>
  <c r="G525" i="44" s="1"/>
  <c r="G526" i="44" s="1"/>
  <c r="G527" i="44" s="1"/>
  <c r="G528" i="44" s="1"/>
  <c r="G529" i="44" s="1"/>
  <c r="G530" i="44" s="1"/>
  <c r="G531" i="44" s="1"/>
  <c r="G532" i="44" s="1"/>
  <c r="G533" i="44" s="1"/>
  <c r="G534" i="44" s="1"/>
  <c r="G535" i="44" s="1"/>
  <c r="G536" i="44" s="1"/>
  <c r="G537" i="44" s="1"/>
  <c r="G538" i="44" s="1"/>
  <c r="G539" i="44" s="1"/>
  <c r="G540" i="44" s="1"/>
  <c r="G541" i="44" s="1"/>
  <c r="G542" i="44" s="1"/>
  <c r="G543" i="44" s="1"/>
  <c r="G544" i="44" s="1"/>
  <c r="G545" i="44" s="1"/>
  <c r="G546" i="44" s="1"/>
  <c r="G547" i="44" s="1"/>
  <c r="G548" i="44" s="1"/>
  <c r="G549" i="44" s="1"/>
  <c r="G550" i="44" s="1"/>
  <c r="G551" i="44" s="1"/>
  <c r="G552" i="44" s="1"/>
  <c r="G553" i="44" s="1"/>
  <c r="G554" i="44" s="1"/>
  <c r="G555" i="44" s="1"/>
  <c r="G556" i="44" s="1"/>
  <c r="G557" i="44" s="1"/>
  <c r="G558" i="44" s="1"/>
  <c r="G559" i="44" s="1"/>
  <c r="G560" i="44" s="1"/>
  <c r="G561" i="44" s="1"/>
  <c r="G562" i="44" s="1"/>
  <c r="G563" i="44" s="1"/>
  <c r="G564" i="44" s="1"/>
  <c r="G565" i="44" s="1"/>
  <c r="G566" i="44" s="1"/>
  <c r="G567" i="44" s="1"/>
  <c r="G568" i="44" s="1"/>
  <c r="G569" i="44" s="1"/>
  <c r="G570" i="44" s="1"/>
  <c r="G571" i="44" s="1"/>
  <c r="G572" i="44" s="1"/>
  <c r="G573" i="44" s="1"/>
  <c r="G574" i="44" s="1"/>
  <c r="G575" i="44" s="1"/>
  <c r="G576" i="44" s="1"/>
  <c r="G577" i="44" s="1"/>
  <c r="G578" i="44" s="1"/>
  <c r="G579" i="44" s="1"/>
  <c r="G580" i="44" s="1"/>
  <c r="G581" i="44" s="1"/>
  <c r="G582" i="44" s="1"/>
  <c r="G583" i="44" s="1"/>
  <c r="G584" i="44" s="1"/>
  <c r="G585" i="44" s="1"/>
  <c r="G586" i="44" s="1"/>
  <c r="G587" i="44" s="1"/>
  <c r="G588" i="44" s="1"/>
  <c r="G589" i="44" s="1"/>
  <c r="G590" i="44" s="1"/>
  <c r="G591" i="44" s="1"/>
  <c r="G592" i="44" s="1"/>
  <c r="G593" i="44" s="1"/>
  <c r="G594" i="44" s="1"/>
  <c r="G595" i="44" s="1"/>
  <c r="G596" i="44" s="1"/>
  <c r="G597" i="44" s="1"/>
  <c r="G598" i="44" s="1"/>
  <c r="G599" i="44" s="1"/>
  <c r="G600" i="44" s="1"/>
  <c r="G601" i="44" s="1"/>
  <c r="G602" i="44" s="1"/>
  <c r="G603" i="44" s="1"/>
  <c r="G604" i="44" s="1"/>
  <c r="G605" i="44" s="1"/>
  <c r="G606" i="44" s="1"/>
  <c r="G607" i="44" s="1"/>
  <c r="G608" i="44" s="1"/>
  <c r="G609" i="44" s="1"/>
  <c r="G610" i="44" s="1"/>
  <c r="G611" i="44" s="1"/>
  <c r="G612" i="44" s="1"/>
  <c r="G613" i="44" s="1"/>
  <c r="G614" i="44" s="1"/>
  <c r="G615" i="44" s="1"/>
  <c r="G616" i="44" s="1"/>
  <c r="G617" i="44" s="1"/>
  <c r="G618" i="44" s="1"/>
  <c r="G619" i="44" s="1"/>
  <c r="G620" i="44" s="1"/>
  <c r="G621" i="44" s="1"/>
  <c r="G622" i="44" s="1"/>
  <c r="G623" i="44" s="1"/>
  <c r="G624" i="44" s="1"/>
  <c r="G625" i="44" s="1"/>
  <c r="G626" i="44" s="1"/>
  <c r="G627" i="44" s="1"/>
  <c r="G628" i="44" s="1"/>
  <c r="G629" i="44" s="1"/>
  <c r="G630" i="44" s="1"/>
  <c r="G631" i="44" s="1"/>
  <c r="G632" i="44" s="1"/>
  <c r="G633" i="44" s="1"/>
  <c r="G634" i="44" s="1"/>
  <c r="G635" i="44" s="1"/>
  <c r="G636" i="44" s="1"/>
  <c r="G637" i="44" s="1"/>
  <c r="G638" i="44" s="1"/>
  <c r="G639" i="44" s="1"/>
  <c r="G640" i="44" s="1"/>
  <c r="G641" i="44" s="1"/>
  <c r="G642" i="44" s="1"/>
  <c r="G643" i="44" s="1"/>
  <c r="G644" i="44" s="1"/>
  <c r="G645" i="44" s="1"/>
  <c r="G646" i="44" s="1"/>
  <c r="G647" i="44" s="1"/>
  <c r="G648" i="44" s="1"/>
  <c r="G649" i="44" s="1"/>
  <c r="G650" i="44" s="1"/>
  <c r="G651" i="44" s="1"/>
  <c r="G652" i="44" s="1"/>
  <c r="G653" i="44" s="1"/>
  <c r="G654" i="44" s="1"/>
  <c r="G655" i="44" s="1"/>
  <c r="G656" i="44" s="1"/>
  <c r="G657" i="44" s="1"/>
  <c r="G658" i="44" s="1"/>
  <c r="G659" i="44" s="1"/>
  <c r="G660" i="44" s="1"/>
  <c r="G661" i="44" s="1"/>
  <c r="G662" i="44" s="1"/>
  <c r="G663" i="44" s="1"/>
  <c r="G664" i="44" s="1"/>
  <c r="G665" i="44" s="1"/>
  <c r="G666" i="44" s="1"/>
  <c r="G667" i="44" s="1"/>
  <c r="G668" i="44" s="1"/>
  <c r="G669" i="44" s="1"/>
  <c r="G670" i="44" s="1"/>
  <c r="G671" i="44" s="1"/>
  <c r="G672" i="44" s="1"/>
  <c r="G673" i="44" s="1"/>
  <c r="G674" i="44" s="1"/>
  <c r="G675" i="44" s="1"/>
  <c r="G676" i="44" s="1"/>
  <c r="G677" i="44" s="1"/>
  <c r="G678" i="44" s="1"/>
  <c r="G679" i="44" s="1"/>
  <c r="G680" i="44" s="1"/>
  <c r="G681" i="44" s="1"/>
  <c r="G682" i="44" s="1"/>
  <c r="G683" i="44" s="1"/>
  <c r="G684" i="44" s="1"/>
  <c r="G685" i="44" s="1"/>
  <c r="G686" i="44" s="1"/>
  <c r="G687" i="44" s="1"/>
  <c r="G688" i="44" s="1"/>
  <c r="G689" i="44" s="1"/>
  <c r="G690" i="44" s="1"/>
  <c r="G691" i="44" s="1"/>
  <c r="G692" i="44" s="1"/>
  <c r="G693" i="44" s="1"/>
  <c r="G694" i="44" s="1"/>
  <c r="G695" i="44" s="1"/>
  <c r="G696" i="44" s="1"/>
  <c r="G697" i="44" s="1"/>
  <c r="G698" i="44" s="1"/>
  <c r="G699" i="44" s="1"/>
  <c r="G700" i="44" s="1"/>
  <c r="G701" i="44" s="1"/>
  <c r="G702" i="44" s="1"/>
  <c r="G703" i="44" s="1"/>
  <c r="G704" i="44" s="1"/>
  <c r="G705" i="44" s="1"/>
  <c r="G706" i="44" s="1"/>
  <c r="G707" i="44" s="1"/>
  <c r="G708" i="44" s="1"/>
  <c r="G709" i="44" s="1"/>
  <c r="G710" i="44" s="1"/>
  <c r="G711" i="44" s="1"/>
  <c r="G712" i="44" s="1"/>
  <c r="G713" i="44" s="1"/>
  <c r="G714" i="44" s="1"/>
  <c r="G715" i="44" s="1"/>
  <c r="G716" i="44" s="1"/>
  <c r="G717" i="44" s="1"/>
  <c r="G718" i="44" s="1"/>
  <c r="G719" i="44" s="1"/>
  <c r="G720" i="44" s="1"/>
  <c r="G721" i="44" s="1"/>
  <c r="G722" i="44" s="1"/>
  <c r="G723" i="44" s="1"/>
  <c r="G724" i="44" s="1"/>
  <c r="G725" i="44" s="1"/>
  <c r="G726" i="44" s="1"/>
  <c r="G727" i="44" s="1"/>
  <c r="G728" i="44" s="1"/>
  <c r="G729" i="44" s="1"/>
  <c r="G730" i="44" s="1"/>
  <c r="G731" i="44" s="1"/>
  <c r="G732" i="44" s="1"/>
  <c r="G733" i="44" s="1"/>
  <c r="G734" i="44" s="1"/>
  <c r="G735" i="44" s="1"/>
  <c r="G736" i="44" s="1"/>
  <c r="G737" i="44" s="1"/>
  <c r="G738" i="44" s="1"/>
  <c r="G739" i="44" s="1"/>
  <c r="A11" i="21" s="1"/>
  <c r="A2925" i="44"/>
  <c r="A1757" i="44"/>
  <c r="A3150" i="44"/>
  <c r="A2276" i="44"/>
  <c r="A2403" i="44"/>
  <c r="A2056" i="44"/>
  <c r="A2413" i="44"/>
  <c r="A1732" i="44"/>
  <c r="A1752" i="44"/>
  <c r="A2805" i="44"/>
  <c r="A2539" i="44"/>
  <c r="A1679" i="44"/>
  <c r="A1952" i="44"/>
  <c r="A2753" i="44"/>
  <c r="A1666" i="44"/>
  <c r="A2649" i="44"/>
  <c r="A2528" i="44"/>
  <c r="A2825" i="44"/>
  <c r="A2418" i="44"/>
  <c r="A2083" i="44"/>
  <c r="A2409" i="44"/>
  <c r="A1796" i="44"/>
  <c r="A2950" i="44"/>
  <c r="A2650" i="44"/>
  <c r="A2823" i="44"/>
  <c r="A2819" i="44"/>
  <c r="A2231" i="44"/>
  <c r="A1884" i="44"/>
  <c r="A2446" i="44"/>
  <c r="A2705" i="44"/>
  <c r="A2853" i="44"/>
  <c r="A2233" i="44"/>
  <c r="A2269" i="44"/>
  <c r="A2758" i="44"/>
  <c r="A3159" i="44"/>
  <c r="A2955" i="44"/>
  <c r="A2734" i="44"/>
  <c r="A3096" i="44"/>
  <c r="A2105" i="44"/>
  <c r="A2465" i="44"/>
  <c r="A2478" i="44"/>
  <c r="A2798" i="44"/>
  <c r="A2884" i="44"/>
  <c r="A3100" i="44"/>
  <c r="A3026" i="44"/>
  <c r="A3087" i="44"/>
  <c r="A2191" i="44"/>
  <c r="A2300" i="44"/>
  <c r="A3094" i="44"/>
  <c r="A2944" i="44"/>
  <c r="A2622" i="44"/>
  <c r="A2094" i="44"/>
  <c r="A2696" i="44"/>
  <c r="A2397" i="44"/>
  <c r="A2464" i="44"/>
  <c r="A3136" i="44"/>
  <c r="A1716" i="44"/>
  <c r="A2613" i="44"/>
  <c r="M200" i="44"/>
  <c r="A2773" i="44"/>
  <c r="A2615" i="44"/>
  <c r="A2827" i="44"/>
  <c r="A2025" i="44"/>
  <c r="A2154" i="44"/>
  <c r="A2036" i="44"/>
  <c r="A2216" i="44"/>
  <c r="A2041" i="44"/>
  <c r="A2399" i="44"/>
  <c r="A1792" i="44"/>
  <c r="A3086" i="44"/>
  <c r="A2674" i="44"/>
  <c r="A3024" i="44"/>
  <c r="A2039" i="44"/>
  <c r="A2598" i="44"/>
  <c r="A2482" i="44"/>
  <c r="A3132" i="44"/>
  <c r="A2684" i="44"/>
  <c r="A2978" i="44"/>
  <c r="A2197" i="44"/>
  <c r="A2290" i="44"/>
  <c r="A2920" i="44"/>
  <c r="A3106" i="44"/>
  <c r="A1708" i="44"/>
  <c r="A2837" i="44"/>
  <c r="A2990" i="44"/>
  <c r="A2569" i="44"/>
  <c r="A1725" i="44"/>
  <c r="A2412" i="44"/>
  <c r="A1862" i="44"/>
  <c r="A2153" i="44"/>
  <c r="A1665" i="44"/>
  <c r="A1953" i="44"/>
  <c r="A3011" i="44"/>
  <c r="A2578" i="44"/>
  <c r="A2894" i="44"/>
  <c r="A1651" i="44"/>
  <c r="A2926" i="44"/>
  <c r="A2621" i="44"/>
  <c r="A2070" i="44"/>
  <c r="A2058" i="44"/>
  <c r="A2671" i="44"/>
  <c r="A2379" i="44"/>
  <c r="A2829" i="44"/>
  <c r="A2235" i="44"/>
  <c r="A2815" i="44"/>
  <c r="A2073" i="44"/>
  <c r="A1992" i="44"/>
  <c r="A2658" i="44"/>
  <c r="A1891" i="44"/>
  <c r="A2362" i="44"/>
  <c r="A2878" i="44"/>
  <c r="A168" i="44"/>
  <c r="A2370" i="44"/>
  <c r="A2192" i="44"/>
  <c r="A1743" i="44"/>
  <c r="A1855" i="44"/>
  <c r="A2513" i="44"/>
  <c r="A2968" i="44"/>
  <c r="A2771" i="44"/>
  <c r="A2981" i="44"/>
  <c r="A2501" i="44"/>
  <c r="A2637" i="44"/>
  <c r="A2530" i="44"/>
  <c r="A1807" i="44"/>
  <c r="A1642" i="44"/>
  <c r="A2910" i="44"/>
  <c r="A1947" i="44"/>
  <c r="A2625" i="44"/>
  <c r="A2877" i="44"/>
  <c r="A1948" i="44"/>
  <c r="A2604" i="44"/>
  <c r="A2429" i="44"/>
  <c r="A1902" i="44"/>
  <c r="A2250" i="44"/>
  <c r="A1762" i="44"/>
  <c r="A1767" i="44"/>
  <c r="A1941" i="44"/>
  <c r="A2059" i="44"/>
  <c r="A2499" i="44"/>
  <c r="A2672" i="44"/>
  <c r="A2489" i="44"/>
  <c r="A3032" i="44"/>
  <c r="A2737" i="44"/>
  <c r="A2450" i="44"/>
  <c r="A2508" i="44"/>
  <c r="A1636" i="44"/>
  <c r="A2246" i="44"/>
  <c r="A2902" i="44"/>
  <c r="A1646" i="44"/>
  <c r="A2669" i="44"/>
  <c r="A1973" i="44"/>
  <c r="A1772" i="44"/>
  <c r="A2928" i="44"/>
  <c r="A2125" i="44"/>
  <c r="A2240" i="44"/>
  <c r="A2263" i="44"/>
  <c r="A2644" i="44"/>
  <c r="A2304" i="44"/>
  <c r="A2360" i="44"/>
  <c r="A2143" i="44"/>
  <c r="A2461" i="44"/>
  <c r="A2343" i="44"/>
  <c r="A2169" i="44"/>
  <c r="A2273" i="44"/>
  <c r="A2117" i="44"/>
  <c r="A2358" i="44"/>
  <c r="A2306" i="44"/>
  <c r="A2452" i="44"/>
  <c r="A2908" i="44"/>
  <c r="A1854" i="44"/>
  <c r="A1972" i="44"/>
  <c r="A1758" i="44"/>
  <c r="A2305" i="44"/>
  <c r="A1613" i="44"/>
  <c r="A1946" i="44"/>
  <c r="A1900" i="44"/>
  <c r="A2624" i="44"/>
  <c r="A1648" i="44"/>
  <c r="A1795" i="44"/>
  <c r="A2712" i="44"/>
  <c r="A1815" i="44"/>
  <c r="A1974" i="44"/>
  <c r="A2803" i="44"/>
  <c r="A2255" i="44"/>
  <c r="A2247" i="44"/>
  <c r="A2138" i="44"/>
  <c r="A3080" i="44"/>
  <c r="A1863" i="44"/>
  <c r="A1872" i="44"/>
  <c r="M206" i="44"/>
  <c r="A1808" i="44"/>
  <c r="A2938" i="44"/>
  <c r="A2137" i="44"/>
  <c r="A2707" i="44"/>
  <c r="A1860" i="44"/>
  <c r="A2593" i="44"/>
  <c r="A2848" i="44"/>
  <c r="A2861" i="44"/>
  <c r="A2934" i="44"/>
  <c r="A2242" i="44"/>
  <c r="A2794" i="44"/>
  <c r="A2210" i="44"/>
  <c r="A2116" i="44"/>
  <c r="A2912" i="44"/>
  <c r="A1745" i="44"/>
  <c r="A2281" i="44"/>
  <c r="A2785" i="44"/>
  <c r="A1950" i="44"/>
  <c r="M176" i="44"/>
  <c r="A2788" i="44"/>
  <c r="A162" i="44"/>
  <c r="A2998" i="44"/>
  <c r="A2438" i="44"/>
  <c r="A2849" i="44"/>
  <c r="A2907" i="44"/>
  <c r="A2206" i="44"/>
  <c r="A2165" i="44"/>
  <c r="A2873" i="44"/>
  <c r="A1623" i="44"/>
  <c r="A2558" i="44"/>
  <c r="A2314" i="44"/>
  <c r="A3137" i="44"/>
  <c r="A1939" i="44"/>
  <c r="A2725" i="44"/>
  <c r="A1971" i="44"/>
  <c r="A1881" i="44"/>
  <c r="A3127" i="44"/>
  <c r="A2858" i="44"/>
  <c r="A2354" i="44"/>
  <c r="A1853" i="44"/>
  <c r="A2662" i="44"/>
  <c r="A1644" i="44"/>
  <c r="A1652" i="44"/>
  <c r="A2363" i="44"/>
  <c r="A1983" i="44"/>
  <c r="A2253" i="44"/>
  <c r="A2163" i="44"/>
  <c r="A1814" i="44"/>
  <c r="A2447" i="44"/>
  <c r="A1779" i="44"/>
  <c r="A1631" i="44"/>
  <c r="A2167" i="44"/>
  <c r="A3085" i="44"/>
  <c r="A1856" i="44"/>
  <c r="A2802" i="44"/>
  <c r="A2626" i="44"/>
  <c r="A1865" i="44"/>
  <c r="A2636" i="44"/>
  <c r="A2720" i="44"/>
  <c r="A3093" i="44"/>
  <c r="A2102" i="44"/>
  <c r="A2522" i="44"/>
  <c r="A1647" i="44"/>
  <c r="A2336" i="44"/>
  <c r="A2638" i="44"/>
  <c r="A1986" i="44"/>
  <c r="M172" i="44"/>
  <c r="A2455" i="44"/>
  <c r="A2526" i="44"/>
  <c r="A1637" i="44"/>
  <c r="A2349" i="44"/>
  <c r="A2520" i="44"/>
  <c r="A1653" i="44"/>
  <c r="A2778" i="44"/>
  <c r="A2927" i="44"/>
  <c r="A2770" i="44"/>
  <c r="A2262" i="44"/>
  <c r="A1935" i="44"/>
  <c r="A2523" i="44"/>
  <c r="A1871" i="44"/>
  <c r="A2937" i="44"/>
  <c r="A2988" i="44"/>
  <c r="A1890" i="44"/>
  <c r="A2275" i="44"/>
  <c r="A1889" i="44"/>
  <c r="A3054" i="44"/>
  <c r="A1602" i="44"/>
  <c r="A2935" i="44"/>
  <c r="A3040" i="44"/>
  <c r="A1873" i="44"/>
  <c r="A3083" i="44"/>
  <c r="A1604" i="44"/>
  <c r="A2010" i="44"/>
  <c r="A1661" i="44"/>
  <c r="A2174" i="44"/>
  <c r="A1997" i="44"/>
  <c r="A2177" i="44"/>
  <c r="A2424" i="44"/>
  <c r="A2631" i="44"/>
  <c r="A1663" i="44"/>
  <c r="A2060" i="44"/>
  <c r="A1737" i="44"/>
  <c r="M154" i="44"/>
  <c r="A2417" i="44"/>
  <c r="A2282" i="44"/>
  <c r="A2028" i="44"/>
  <c r="A2892" i="44"/>
  <c r="A172" i="44"/>
  <c r="A2804" i="44"/>
  <c r="A1932" i="44"/>
  <c r="A2012" i="44"/>
  <c r="A1696" i="44"/>
  <c r="A2896" i="44"/>
  <c r="A2277" i="44"/>
  <c r="A3045" i="44"/>
  <c r="A3056" i="44"/>
  <c r="A2204" i="44"/>
  <c r="A1852" i="44"/>
  <c r="A1624" i="44"/>
  <c r="L178" i="44"/>
  <c r="N178" i="44" s="1"/>
  <c r="F178" i="44" s="1"/>
  <c r="A1901" i="44"/>
  <c r="A1963" i="44"/>
  <c r="A2879" i="44"/>
  <c r="A2484" i="44"/>
  <c r="A1608" i="44"/>
  <c r="G969" i="44"/>
  <c r="G970" i="44" s="1"/>
  <c r="G971" i="44" s="1"/>
  <c r="G972" i="44" s="1"/>
  <c r="G973" i="44" s="1"/>
  <c r="G974" i="44" s="1"/>
  <c r="G975" i="44" s="1"/>
  <c r="G976" i="44" s="1"/>
  <c r="G977" i="44" s="1"/>
  <c r="G978" i="44" s="1"/>
  <c r="G979" i="44" s="1"/>
  <c r="G980" i="44" s="1"/>
  <c r="G981" i="44" s="1"/>
  <c r="G982" i="44" s="1"/>
  <c r="G983" i="44" s="1"/>
  <c r="G984" i="44" s="1"/>
  <c r="G985" i="44" s="1"/>
  <c r="G986" i="44" s="1"/>
  <c r="G987" i="44" s="1"/>
  <c r="G988" i="44" s="1"/>
  <c r="G989" i="44" s="1"/>
  <c r="G990" i="44" s="1"/>
  <c r="G991" i="44" s="1"/>
  <c r="G992" i="44" s="1"/>
  <c r="G993" i="44" s="1"/>
  <c r="G994" i="44" s="1"/>
  <c r="G995" i="44" s="1"/>
  <c r="G996" i="44" s="1"/>
  <c r="G997" i="44" s="1"/>
  <c r="G998" i="44" s="1"/>
  <c r="G999" i="44" s="1"/>
  <c r="G1000" i="44" s="1"/>
  <c r="G1001" i="44" s="1"/>
  <c r="G1002" i="44" s="1"/>
  <c r="G1003" i="44" s="1"/>
  <c r="G1004" i="44" s="1"/>
  <c r="G1005" i="44" s="1"/>
  <c r="G1006" i="44" s="1"/>
  <c r="G1007" i="44" s="1"/>
  <c r="G1008" i="44" s="1"/>
  <c r="G1009" i="44" s="1"/>
  <c r="G1010" i="44" s="1"/>
  <c r="G1011" i="44" s="1"/>
  <c r="G1012" i="44" s="1"/>
  <c r="G1013" i="44" s="1"/>
  <c r="G1014" i="44" s="1"/>
  <c r="G1015" i="44" s="1"/>
  <c r="G1016" i="44" s="1"/>
  <c r="G1017" i="44" s="1"/>
  <c r="G1018" i="44" s="1"/>
  <c r="G1019" i="44" s="1"/>
  <c r="G1020" i="44" s="1"/>
  <c r="G1021" i="44" s="1"/>
  <c r="G1022" i="44" s="1"/>
  <c r="G1023" i="44" s="1"/>
  <c r="G1024" i="44" s="1"/>
  <c r="G1025" i="44" s="1"/>
  <c r="G1026" i="44" s="1"/>
  <c r="G1027" i="44" s="1"/>
  <c r="G1028" i="44" s="1"/>
  <c r="G1029" i="44" s="1"/>
  <c r="G1030" i="44" s="1"/>
  <c r="G1031" i="44" s="1"/>
  <c r="G1032" i="44" s="1"/>
  <c r="G1033" i="44" s="1"/>
  <c r="G1034" i="44" s="1"/>
  <c r="G1035" i="44" s="1"/>
  <c r="G1036" i="44" s="1"/>
  <c r="G1037" i="44" s="1"/>
  <c r="G1038" i="44" s="1"/>
  <c r="G1039" i="44" s="1"/>
  <c r="G1040" i="44" s="1"/>
  <c r="G1041" i="44" s="1"/>
  <c r="G1042" i="44" s="1"/>
  <c r="G1043" i="44" s="1"/>
  <c r="G1044" i="44" s="1"/>
  <c r="G1045" i="44" s="1"/>
  <c r="G1046" i="44" s="1"/>
  <c r="G1047" i="44" s="1"/>
  <c r="G1048" i="44" s="1"/>
  <c r="G1049" i="44" s="1"/>
  <c r="G1050" i="44" s="1"/>
  <c r="G1051" i="44" s="1"/>
  <c r="G1052" i="44" s="1"/>
  <c r="G1053" i="44" s="1"/>
  <c r="G1054" i="44" s="1"/>
  <c r="G1055" i="44" s="1"/>
  <c r="G1056" i="44" s="1"/>
  <c r="G1057" i="44" s="1"/>
  <c r="G1058" i="44" s="1"/>
  <c r="G1059" i="44" s="1"/>
  <c r="G1060" i="44" s="1"/>
  <c r="G1061" i="44" s="1"/>
  <c r="G1062" i="44" s="1"/>
  <c r="G1063" i="44" s="1"/>
  <c r="G1064" i="44" s="1"/>
  <c r="G1065" i="44" s="1"/>
  <c r="G1066" i="44" s="1"/>
  <c r="G1067" i="44" s="1"/>
  <c r="G1068" i="44" s="1"/>
  <c r="G1069" i="44" s="1"/>
  <c r="G1070" i="44" s="1"/>
  <c r="G1071" i="44" s="1"/>
  <c r="G1072" i="44" s="1"/>
  <c r="G1073" i="44" s="1"/>
  <c r="G1074" i="44" s="1"/>
  <c r="G1075" i="44" s="1"/>
  <c r="G1076" i="44" s="1"/>
  <c r="G1077" i="44" s="1"/>
  <c r="G1078" i="44" s="1"/>
  <c r="G1079" i="44" s="1"/>
  <c r="G1080" i="44" s="1"/>
  <c r="G1081" i="44" s="1"/>
  <c r="G1082" i="44" s="1"/>
  <c r="G1083" i="44" s="1"/>
  <c r="G1084" i="44" s="1"/>
  <c r="G1085" i="44" s="1"/>
  <c r="G1086" i="44" s="1"/>
  <c r="G1087" i="44" s="1"/>
  <c r="G1088" i="44" s="1"/>
  <c r="G1089" i="44" s="1"/>
  <c r="G1090" i="44" s="1"/>
  <c r="G1091" i="44" s="1"/>
  <c r="G1092" i="44" s="1"/>
  <c r="G1093" i="44" s="1"/>
  <c r="G1094" i="44" s="1"/>
  <c r="G1095" i="44" s="1"/>
  <c r="A1833" i="44"/>
  <c r="A2082" i="44"/>
  <c r="A1713" i="44"/>
  <c r="A2709" i="44"/>
  <c r="A2774" i="44"/>
  <c r="A2655" i="44"/>
  <c r="A3074" i="44"/>
  <c r="A1597" i="44"/>
  <c r="A1982" i="44"/>
  <c r="A2651" i="44"/>
  <c r="A2448" i="44"/>
  <c r="A2434" i="44"/>
  <c r="A2477" i="44"/>
  <c r="A3055" i="44"/>
  <c r="A1658" i="44"/>
  <c r="A2961" i="44"/>
  <c r="A2479" i="44"/>
  <c r="A2933" i="44"/>
  <c r="A2286" i="44"/>
  <c r="A2149" i="44"/>
  <c r="A2371" i="44"/>
  <c r="A2234" i="44"/>
  <c r="A2093" i="44"/>
  <c r="A2491" i="44"/>
  <c r="A1819" i="44"/>
  <c r="A2941" i="44"/>
  <c r="A2521" i="44"/>
  <c r="A3060" i="44"/>
  <c r="A2852" i="44"/>
  <c r="A2309" i="44"/>
  <c r="A1773" i="44"/>
  <c r="A1991" i="44"/>
  <c r="A2812" i="44"/>
  <c r="A2120" i="44"/>
  <c r="A3082" i="44"/>
  <c r="A2497" i="44"/>
  <c r="A3051" i="44"/>
  <c r="A2576" i="44"/>
  <c r="A1626" i="44"/>
  <c r="A1956" i="44"/>
  <c r="A3143" i="44"/>
  <c r="A3004" i="44"/>
  <c r="A1951" i="44"/>
  <c r="A2454" i="44"/>
  <c r="A1641" i="44"/>
  <c r="A2278" i="44"/>
  <c r="A2457" i="44"/>
  <c r="A3165" i="44"/>
  <c r="A1692" i="44"/>
  <c r="A2108" i="44"/>
  <c r="A1684" i="44"/>
  <c r="A2623" i="44"/>
  <c r="A2458" i="44"/>
  <c r="A1998" i="44"/>
  <c r="A2989" i="44"/>
  <c r="A3129" i="44"/>
  <c r="A3079" i="44"/>
  <c r="A2168" i="44"/>
  <c r="A2956" i="44"/>
  <c r="A1928" i="44"/>
  <c r="L174" i="44"/>
  <c r="N174" i="44" s="1"/>
  <c r="F174" i="44" s="1"/>
  <c r="A2566" i="44"/>
  <c r="A2241" i="44"/>
  <c r="A2911" i="44"/>
  <c r="A2977" i="44"/>
  <c r="A1960" i="44"/>
  <c r="A2365" i="44"/>
  <c r="A2280" i="44"/>
  <c r="A1938" i="44"/>
  <c r="A1861" i="44"/>
  <c r="A2647" i="44"/>
  <c r="A3046" i="44"/>
  <c r="A2831" i="44"/>
  <c r="A2361" i="44"/>
  <c r="A2396" i="44"/>
  <c r="A1697" i="44"/>
  <c r="A2982" i="44"/>
  <c r="A2681" i="44"/>
  <c r="A1878" i="44"/>
  <c r="A2259" i="44"/>
  <c r="A1822" i="44"/>
  <c r="A3049" i="44"/>
  <c r="A2426" i="44"/>
  <c r="A1687" i="44"/>
  <c r="A2062" i="44"/>
  <c r="A2975" i="44"/>
  <c r="A2739" i="44"/>
  <c r="A2949" i="44"/>
  <c r="A2661" i="44"/>
  <c r="A2442" i="44"/>
  <c r="A1844" i="44"/>
  <c r="A2364" i="44"/>
  <c r="A2345" i="44"/>
  <c r="A2746" i="44"/>
  <c r="A2713" i="44"/>
  <c r="A1744" i="44"/>
  <c r="A1784" i="44"/>
  <c r="A2740" i="44"/>
  <c r="A1868" i="44"/>
  <c r="A2748" i="44"/>
  <c r="A1639" i="44"/>
  <c r="A2219" i="44"/>
  <c r="A192" i="44"/>
  <c r="A2525" i="44"/>
  <c r="A2867" i="44"/>
  <c r="A2142" i="44"/>
  <c r="A3130" i="44"/>
  <c r="A2923" i="44"/>
  <c r="A2859" i="44"/>
  <c r="A1790" i="44"/>
  <c r="A1945" i="44"/>
  <c r="A3123" i="44"/>
  <c r="A2947" i="44"/>
  <c r="A2781" i="44"/>
  <c r="A1979" i="44"/>
  <c r="A2640" i="44"/>
  <c r="L186" i="44"/>
  <c r="N186" i="44" s="1"/>
  <c r="F186" i="44" s="1"/>
  <c r="A3028" i="44"/>
  <c r="A2840" i="44"/>
  <c r="A2145" i="44"/>
  <c r="A1926" i="44"/>
  <c r="A2307" i="44"/>
  <c r="A2342" i="44"/>
  <c r="A2032" i="44"/>
  <c r="A2515" i="44"/>
  <c r="A2029" i="44"/>
  <c r="A2664" i="44"/>
  <c r="A1766" i="44"/>
  <c r="A1816" i="44"/>
  <c r="A2656" i="44"/>
  <c r="A2385" i="44"/>
  <c r="A1892" i="44"/>
  <c r="A1836" i="44"/>
  <c r="A2971" i="44"/>
  <c r="M156" i="44"/>
  <c r="A2050" i="44"/>
  <c r="A3099" i="44"/>
  <c r="A2005" i="44"/>
  <c r="A2939" i="44"/>
  <c r="A2328" i="44"/>
  <c r="A2178" i="44"/>
  <c r="A2663" i="44"/>
  <c r="A2601" i="44"/>
  <c r="A2976" i="44"/>
  <c r="A2123" i="44"/>
  <c r="A2931" i="44"/>
  <c r="A2318" i="44"/>
  <c r="A2339" i="44"/>
  <c r="A2627" i="44"/>
  <c r="A2510" i="44"/>
  <c r="A2633" i="44"/>
  <c r="A1993" i="44"/>
  <c r="A1635" i="44"/>
  <c r="A2245" i="44"/>
  <c r="A204" i="44"/>
  <c r="L190" i="44"/>
  <c r="N190" i="44" s="1"/>
  <c r="F190" i="44" s="1"/>
  <c r="M208" i="44"/>
  <c r="A1888" i="44"/>
  <c r="A2124" i="44"/>
  <c r="A2172" i="44"/>
  <c r="A2710" i="44"/>
  <c r="A2208" i="44"/>
  <c r="L194" i="44"/>
  <c r="N194" i="44" s="1"/>
  <c r="F194" i="44" s="1"/>
  <c r="G3376" i="44"/>
  <c r="G3377" i="44" s="1"/>
  <c r="G3378" i="44" s="1"/>
  <c r="G3379" i="44" s="1"/>
  <c r="G3380" i="44" s="1"/>
  <c r="G3381" i="44" s="1"/>
  <c r="G3382" i="44" s="1"/>
  <c r="G3383" i="44" s="1"/>
  <c r="G3384" i="44" s="1"/>
  <c r="G3385" i="44" s="1"/>
  <c r="G3386" i="44" s="1"/>
  <c r="G3387" i="44" s="1"/>
  <c r="G3388" i="44" s="1"/>
  <c r="G3389" i="44" s="1"/>
  <c r="G3390" i="44" s="1"/>
  <c r="G3391" i="44" s="1"/>
  <c r="G3392" i="44" s="1"/>
  <c r="G3393" i="44" s="1"/>
  <c r="G3394" i="44" s="1"/>
  <c r="G3395" i="44" s="1"/>
  <c r="G3396" i="44" s="1"/>
  <c r="G3397" i="44" s="1"/>
  <c r="G3398" i="44" s="1"/>
  <c r="G3399" i="44" s="1"/>
  <c r="G3400" i="44" s="1"/>
  <c r="G3401" i="44" s="1"/>
  <c r="G3402" i="44" s="1"/>
  <c r="G3403" i="44" s="1"/>
  <c r="G3404" i="44" s="1"/>
  <c r="G3405" i="44" s="1"/>
  <c r="G3406" i="44" s="1"/>
  <c r="G3407" i="44" s="1"/>
  <c r="G3408" i="44" s="1"/>
  <c r="G3409" i="44" s="1"/>
  <c r="G3410" i="44" s="1"/>
  <c r="G3411" i="44" s="1"/>
  <c r="G3412" i="44" s="1"/>
  <c r="G3413" i="44" s="1"/>
  <c r="G3414" i="44" s="1"/>
  <c r="G3415" i="44" s="1"/>
  <c r="G3416" i="44" s="1"/>
  <c r="G3417" i="44" s="1"/>
  <c r="G3418" i="44" s="1"/>
  <c r="G3419" i="44" s="1"/>
  <c r="G3420" i="44" s="1"/>
  <c r="G3421" i="44" s="1"/>
  <c r="G3422" i="44" s="1"/>
  <c r="G3423" i="44" s="1"/>
  <c r="G3424" i="44" s="1"/>
  <c r="G3425" i="44" s="1"/>
  <c r="G3426" i="44" s="1"/>
  <c r="G3427" i="44" s="1"/>
  <c r="G3428" i="44" s="1"/>
  <c r="G3429" i="44" s="1"/>
  <c r="G3430" i="44" s="1"/>
  <c r="G3431" i="44" s="1"/>
  <c r="G3432" i="44" s="1"/>
  <c r="G3433" i="44" s="1"/>
  <c r="G3434" i="44" s="1"/>
  <c r="G3435" i="44" s="1"/>
  <c r="G3436" i="44" s="1"/>
  <c r="G3437" i="44" s="1"/>
  <c r="G3438" i="44" s="1"/>
  <c r="G3439" i="44" s="1"/>
  <c r="G3440" i="44" s="1"/>
  <c r="G3441" i="44" s="1"/>
  <c r="G3442" i="44" s="1"/>
  <c r="G3443" i="44" s="1"/>
  <c r="G3444" i="44" s="1"/>
  <c r="G3445" i="44" s="1"/>
  <c r="G3446" i="44" s="1"/>
  <c r="G3447" i="44" s="1"/>
  <c r="G3448" i="44" s="1"/>
  <c r="G3449" i="44" s="1"/>
  <c r="G3450" i="44" s="1"/>
  <c r="G3451" i="44" s="1"/>
  <c r="G3452" i="44" s="1"/>
  <c r="A19" i="21" s="1"/>
  <c r="A2356" i="44"/>
  <c r="A1850" i="44"/>
  <c r="A1866" i="44"/>
  <c r="A2244" i="44"/>
  <c r="A1870" i="44"/>
  <c r="A2904" i="44"/>
  <c r="A2502" i="44"/>
  <c r="A2170" i="44"/>
  <c r="A2704" i="44"/>
  <c r="A1783" i="44"/>
  <c r="A2248" i="44"/>
  <c r="A2126" i="44"/>
  <c r="A2782" i="44"/>
  <c r="A2965" i="44"/>
  <c r="A2257" i="44"/>
  <c r="A2337" i="44"/>
  <c r="A2866" i="44"/>
  <c r="A1659" i="44"/>
  <c r="A2642" i="44"/>
  <c r="A2838" i="44"/>
  <c r="A2395" i="44"/>
  <c r="A2591" i="44"/>
  <c r="A2723" i="44"/>
  <c r="A1793" i="44"/>
  <c r="A1660" i="44"/>
  <c r="M192" i="44"/>
  <c r="A2540" i="44"/>
  <c r="A2620" i="44"/>
  <c r="A1611" i="44"/>
  <c r="A1984" i="44"/>
  <c r="A2966" i="44"/>
  <c r="A2200" i="44"/>
  <c r="A2864" i="44"/>
  <c r="A2731" i="44"/>
  <c r="A2529" i="44"/>
  <c r="A2211" i="44"/>
  <c r="A1893" i="44"/>
  <c r="A2634" i="44"/>
  <c r="A1695" i="44"/>
  <c r="A2348" i="44"/>
  <c r="A2462" i="44"/>
  <c r="A2903" i="44"/>
  <c r="A2311" i="44"/>
  <c r="A2350" i="44"/>
  <c r="A1845" i="44"/>
  <c r="A2357" i="44"/>
  <c r="A2967" i="44"/>
  <c r="A2449" i="44"/>
  <c r="A1848" i="44"/>
  <c r="A1996" i="44"/>
  <c r="A2606" i="44"/>
  <c r="A2777" i="44"/>
  <c r="A2924" i="44"/>
  <c r="A2002" i="44"/>
  <c r="A2741" i="44"/>
  <c r="A2942" i="44"/>
  <c r="A2023" i="44"/>
  <c r="A3052" i="44"/>
  <c r="A2453" i="44"/>
  <c r="A2524" i="44"/>
  <c r="A1898" i="44"/>
  <c r="A2249" i="44"/>
  <c r="A2428" i="44"/>
  <c r="A2659" i="44"/>
  <c r="A3022" i="44"/>
  <c r="A2340" i="44"/>
  <c r="A3021" i="44"/>
  <c r="A2974" i="44"/>
  <c r="A1942" i="44"/>
  <c r="A2594" i="44"/>
  <c r="A2313" i="44"/>
  <c r="A2338" i="44"/>
  <c r="A1994" i="44"/>
  <c r="A2506" i="44"/>
  <c r="A2308" i="44"/>
  <c r="A2657" i="44"/>
  <c r="A2706" i="44"/>
  <c r="A1780" i="44"/>
  <c r="A2918" i="44"/>
  <c r="A1768" i="44"/>
  <c r="A1747" i="44"/>
  <c r="A2425" i="44"/>
  <c r="A2215" i="44"/>
  <c r="A1802" i="44"/>
  <c r="A1944" i="44"/>
  <c r="A2940" i="44"/>
  <c r="A2209" i="44"/>
  <c r="A3039" i="44"/>
  <c r="A2666" i="44"/>
  <c r="G748" i="44"/>
  <c r="G749" i="44" s="1"/>
  <c r="G750" i="44" s="1"/>
  <c r="G751" i="44" s="1"/>
  <c r="G752" i="44" s="1"/>
  <c r="G753" i="44" s="1"/>
  <c r="G754" i="44" s="1"/>
  <c r="G755" i="44" s="1"/>
  <c r="G756" i="44" s="1"/>
  <c r="G757" i="44" s="1"/>
  <c r="G758" i="44" s="1"/>
  <c r="G759" i="44" s="1"/>
  <c r="G760" i="44" s="1"/>
  <c r="G761" i="44" s="1"/>
  <c r="G762" i="44" s="1"/>
  <c r="G763" i="44" s="1"/>
  <c r="G764" i="44" s="1"/>
  <c r="G765" i="44" s="1"/>
  <c r="G766" i="44" s="1"/>
  <c r="G767" i="44" s="1"/>
  <c r="G768" i="44" s="1"/>
  <c r="G769" i="44" s="1"/>
  <c r="G770" i="44" s="1"/>
  <c r="G771" i="44" s="1"/>
  <c r="G772" i="44" s="1"/>
  <c r="G773" i="44" s="1"/>
  <c r="G774" i="44" s="1"/>
  <c r="G775" i="44" s="1"/>
  <c r="G776" i="44" s="1"/>
  <c r="G777" i="44" s="1"/>
  <c r="G778" i="44" s="1"/>
  <c r="G779" i="44" s="1"/>
  <c r="G780" i="44" s="1"/>
  <c r="G781" i="44" s="1"/>
  <c r="G782" i="44" s="1"/>
  <c r="G783" i="44" s="1"/>
  <c r="G784" i="44" s="1"/>
  <c r="G785" i="44" s="1"/>
  <c r="G786" i="44" s="1"/>
  <c r="G787" i="44" s="1"/>
  <c r="G788" i="44" s="1"/>
  <c r="G789" i="44" s="1"/>
  <c r="G790" i="44" s="1"/>
  <c r="G791" i="44" s="1"/>
  <c r="G792" i="44" s="1"/>
  <c r="G793" i="44" s="1"/>
  <c r="G794" i="44" s="1"/>
  <c r="G795" i="44" s="1"/>
  <c r="G796" i="44" s="1"/>
  <c r="G797" i="44" s="1"/>
  <c r="G798" i="44" s="1"/>
  <c r="G799" i="44" s="1"/>
  <c r="G800" i="44" s="1"/>
  <c r="G801" i="44" s="1"/>
  <c r="G802" i="44" s="1"/>
  <c r="G803" i="44" s="1"/>
  <c r="G804" i="44" s="1"/>
  <c r="G805" i="44" s="1"/>
  <c r="G806" i="44" s="1"/>
  <c r="G807" i="44" s="1"/>
  <c r="G808" i="44" s="1"/>
  <c r="G809" i="44" s="1"/>
  <c r="G810" i="44" s="1"/>
  <c r="G811" i="44" s="1"/>
  <c r="G812" i="44" s="1"/>
  <c r="G813" i="44" s="1"/>
  <c r="G814" i="44" s="1"/>
  <c r="G815" i="44" s="1"/>
  <c r="G816" i="44" s="1"/>
  <c r="G817" i="44" s="1"/>
  <c r="G818" i="44" s="1"/>
  <c r="G819" i="44" s="1"/>
  <c r="G820" i="44" s="1"/>
  <c r="G821" i="44" s="1"/>
  <c r="G822" i="44" s="1"/>
  <c r="G823" i="44" s="1"/>
  <c r="G824" i="44" s="1"/>
  <c r="G825" i="44" s="1"/>
  <c r="G826" i="44" s="1"/>
  <c r="G827" i="44" s="1"/>
  <c r="G828" i="44" s="1"/>
  <c r="G829" i="44" s="1"/>
  <c r="G830" i="44" s="1"/>
  <c r="G831" i="44" s="1"/>
  <c r="G832" i="44" s="1"/>
  <c r="G833" i="44" s="1"/>
  <c r="G834" i="44" s="1"/>
  <c r="G835" i="44" s="1"/>
  <c r="G836" i="44" s="1"/>
  <c r="G837" i="44" s="1"/>
  <c r="G838" i="44" s="1"/>
  <c r="G839" i="44" s="1"/>
  <c r="G840" i="44" s="1"/>
  <c r="G841" i="44" s="1"/>
  <c r="G842" i="44" s="1"/>
  <c r="G843" i="44" s="1"/>
  <c r="G844" i="44" s="1"/>
  <c r="G845" i="44" s="1"/>
  <c r="G846" i="44" s="1"/>
  <c r="G847" i="44" s="1"/>
  <c r="G848" i="44" s="1"/>
  <c r="G849" i="44" s="1"/>
  <c r="G850" i="44" s="1"/>
  <c r="G851" i="44" s="1"/>
  <c r="G852" i="44" s="1"/>
  <c r="G853" i="44" s="1"/>
  <c r="G854" i="44" s="1"/>
  <c r="G855" i="44" s="1"/>
  <c r="G856" i="44" s="1"/>
  <c r="G857" i="44" s="1"/>
  <c r="G858" i="44" s="1"/>
  <c r="G859" i="44" s="1"/>
  <c r="G860" i="44" s="1"/>
  <c r="G861" i="44" s="1"/>
  <c r="G862" i="44" s="1"/>
  <c r="G863" i="44" s="1"/>
  <c r="G864" i="44" s="1"/>
  <c r="G865" i="44" s="1"/>
  <c r="G866" i="44" s="1"/>
  <c r="G867" i="44" s="1"/>
  <c r="G868" i="44" s="1"/>
  <c r="G869" i="44" s="1"/>
  <c r="G870" i="44" s="1"/>
  <c r="G871" i="44" s="1"/>
  <c r="G872" i="44" s="1"/>
  <c r="G873" i="44" s="1"/>
  <c r="G874" i="44" s="1"/>
  <c r="G875" i="44" s="1"/>
  <c r="G876" i="44" s="1"/>
  <c r="G877" i="44" s="1"/>
  <c r="G878" i="44" s="1"/>
  <c r="G879" i="44" s="1"/>
  <c r="G880" i="44" s="1"/>
  <c r="G881" i="44" s="1"/>
  <c r="G882" i="44" s="1"/>
  <c r="G883" i="44" s="1"/>
  <c r="G884" i="44" s="1"/>
  <c r="G885" i="44" s="1"/>
  <c r="G886" i="44" s="1"/>
  <c r="G887" i="44" s="1"/>
  <c r="G888" i="44" s="1"/>
  <c r="G889" i="44" s="1"/>
  <c r="G890" i="44" s="1"/>
  <c r="G891" i="44" s="1"/>
  <c r="G892" i="44" s="1"/>
  <c r="G893" i="44" s="1"/>
  <c r="G894" i="44" s="1"/>
  <c r="G895" i="44" s="1"/>
  <c r="G896" i="44" s="1"/>
  <c r="G897" i="44" s="1"/>
  <c r="G898" i="44" s="1"/>
  <c r="G899" i="44" s="1"/>
  <c r="G900" i="44" s="1"/>
  <c r="G901" i="44" s="1"/>
  <c r="G902" i="44" s="1"/>
  <c r="G903" i="44" s="1"/>
  <c r="G904" i="44" s="1"/>
  <c r="G905" i="44" s="1"/>
  <c r="G906" i="44" s="1"/>
  <c r="G907" i="44" s="1"/>
  <c r="G908" i="44" s="1"/>
  <c r="G909" i="44" s="1"/>
  <c r="G910" i="44" s="1"/>
  <c r="G911" i="44" s="1"/>
  <c r="G912" i="44" s="1"/>
  <c r="G913" i="44" s="1"/>
  <c r="G914" i="44" s="1"/>
  <c r="G915" i="44" s="1"/>
  <c r="G916" i="44" s="1"/>
  <c r="G917" i="44" s="1"/>
  <c r="G918" i="44" s="1"/>
  <c r="A13" i="21" s="1"/>
  <c r="A2854" i="44"/>
  <c r="A3120" i="44"/>
  <c r="A2919" i="44"/>
  <c r="A2628" i="44"/>
  <c r="A2665" i="44"/>
  <c r="A1831" i="44"/>
  <c r="A1756" i="44"/>
  <c r="A1603" i="44"/>
  <c r="A2089" i="44"/>
  <c r="A1605" i="44"/>
  <c r="A2772" i="44"/>
  <c r="A164" i="44"/>
  <c r="A2111" i="44"/>
  <c r="A2514" i="44"/>
  <c r="A1934" i="44"/>
  <c r="A2141" i="44"/>
  <c r="A3053" i="44"/>
  <c r="A2019" i="44"/>
  <c r="A2999" i="44"/>
  <c r="A2843" i="44"/>
  <c r="A1657" i="44"/>
  <c r="A1975" i="44"/>
  <c r="A2024" i="44"/>
  <c r="A2996" i="44"/>
  <c r="A2602" i="44"/>
  <c r="A2228" i="44"/>
  <c r="A2660" i="44"/>
  <c r="A2875" i="44"/>
  <c r="A1797" i="44"/>
  <c r="A2119" i="44"/>
  <c r="A1675" i="44"/>
  <c r="A2541" i="44"/>
  <c r="A2053" i="44"/>
  <c r="A1688" i="44"/>
  <c r="A1883" i="44"/>
  <c r="A2512" i="44"/>
  <c r="A2675" i="44"/>
  <c r="A1722" i="44"/>
  <c r="A1632" i="44"/>
  <c r="A1835" i="44"/>
  <c r="A2832" i="44"/>
  <c r="A1778" i="44"/>
  <c r="A2519" i="44"/>
  <c r="A2847" i="44"/>
  <c r="A2608" i="44"/>
  <c r="A1656" i="44"/>
  <c r="G1509" i="44"/>
  <c r="G1510" i="44" s="1"/>
  <c r="G1511" i="44" s="1"/>
  <c r="G1512" i="44" s="1"/>
  <c r="G1513" i="44" s="1"/>
  <c r="G1514" i="44" s="1"/>
  <c r="G1515" i="44" s="1"/>
  <c r="G1516" i="44" s="1"/>
  <c r="G1517" i="44" s="1"/>
  <c r="G1518" i="44" s="1"/>
  <c r="G1519" i="44" s="1"/>
  <c r="G1520" i="44" s="1"/>
  <c r="G1521" i="44" s="1"/>
  <c r="G1522" i="44" s="1"/>
  <c r="G1523" i="44" s="1"/>
  <c r="G1524" i="44" s="1"/>
  <c r="G1525" i="44" s="1"/>
  <c r="G1526" i="44" s="1"/>
  <c r="G1527" i="44" s="1"/>
  <c r="G1528" i="44" s="1"/>
  <c r="G1529" i="44" s="1"/>
  <c r="G1530" i="44" s="1"/>
  <c r="G1531" i="44" s="1"/>
  <c r="G1532" i="44" s="1"/>
  <c r="G1533" i="44" s="1"/>
  <c r="G1534" i="44" s="1"/>
  <c r="G1535" i="44" s="1"/>
  <c r="G1536" i="44" s="1"/>
  <c r="G1537" i="44" s="1"/>
  <c r="G1538" i="44" s="1"/>
  <c r="G1539" i="44" s="1"/>
  <c r="G1540" i="44" s="1"/>
  <c r="G1541" i="44" s="1"/>
  <c r="G1542" i="44" s="1"/>
  <c r="G1543" i="44" s="1"/>
  <c r="G1544" i="44" s="1"/>
  <c r="G1545" i="44" s="1"/>
  <c r="G1546" i="44" s="1"/>
  <c r="G1547" i="44" s="1"/>
  <c r="G1548" i="44" s="1"/>
  <c r="G1549" i="44" s="1"/>
  <c r="G1550" i="44" s="1"/>
  <c r="G1551" i="44" s="1"/>
  <c r="G1552" i="44" s="1"/>
  <c r="G1553" i="44" s="1"/>
  <c r="G1554" i="44" s="1"/>
  <c r="G1555" i="44" s="1"/>
  <c r="G1556" i="44" s="1"/>
  <c r="G1557" i="44" s="1"/>
  <c r="G1558" i="44" s="1"/>
  <c r="G1559" i="44" s="1"/>
  <c r="G1560" i="44" s="1"/>
  <c r="G1561" i="44" s="1"/>
  <c r="G1562" i="44" s="1"/>
  <c r="A21" i="21" s="1"/>
  <c r="A1940" i="44"/>
  <c r="A2374" i="44"/>
  <c r="A2775" i="44"/>
  <c r="A2779" i="44"/>
  <c r="A2042" i="44"/>
  <c r="A2157" i="44"/>
  <c r="A176" i="44"/>
  <c r="A1988" i="44"/>
  <c r="A1634" i="44"/>
  <c r="A2303" i="44"/>
  <c r="A2114" i="44"/>
  <c r="A2909" i="44"/>
  <c r="A2118" i="44"/>
  <c r="A2895" i="44"/>
  <c r="A2173" i="44"/>
  <c r="A2162" i="44"/>
  <c r="A1839" i="44"/>
  <c r="A1987" i="44"/>
  <c r="A2964" i="44"/>
  <c r="A1847" i="44"/>
  <c r="A2159" i="44"/>
  <c r="A2382" i="44"/>
  <c r="A1633" i="44"/>
  <c r="A2239" i="44"/>
  <c r="A2346" i="44"/>
  <c r="A2456" i="44"/>
  <c r="L210" i="44"/>
  <c r="N210" i="44" s="1"/>
  <c r="F210" i="44" s="1"/>
  <c r="A2459" i="44"/>
  <c r="A3047" i="44"/>
  <c r="A1995" i="44"/>
  <c r="A1618" i="44"/>
  <c r="A2835" i="44"/>
  <c r="A3005" i="44"/>
  <c r="A2043" i="44"/>
  <c r="A3037" i="44"/>
  <c r="A1867" i="44"/>
  <c r="A2668" i="44"/>
  <c r="A2970" i="44"/>
  <c r="A2898" i="44"/>
  <c r="A2315" i="44"/>
  <c r="A2905" i="44"/>
  <c r="A2260" i="44"/>
  <c r="A2368" i="44"/>
  <c r="A1978" i="44"/>
  <c r="A2347" i="44"/>
  <c r="A1759" i="44"/>
  <c r="A1805" i="44"/>
  <c r="A2021" i="44"/>
  <c r="A2217" i="44"/>
  <c r="A2517" i="44"/>
  <c r="A1662" i="44"/>
  <c r="A2310" i="44"/>
  <c r="A1761" i="44"/>
  <c r="A1750" i="44"/>
  <c r="A2460" i="44"/>
  <c r="A2419" i="44"/>
  <c r="A2813" i="44"/>
  <c r="A2750" i="44"/>
  <c r="A2573" i="44"/>
  <c r="A1638" i="44"/>
  <c r="A2979" i="44"/>
  <c r="A2160" i="44"/>
  <c r="A3145" i="44"/>
  <c r="A2392" i="44"/>
  <c r="A2353" i="44"/>
  <c r="A2906" i="44"/>
  <c r="M152" i="44"/>
  <c r="A2113" i="44"/>
  <c r="A1781" i="44"/>
  <c r="A2969" i="44"/>
  <c r="A1869" i="44"/>
  <c r="A1981" i="44"/>
  <c r="A2164" i="44"/>
  <c r="A1980" i="44"/>
  <c r="A3043" i="44"/>
  <c r="L160" i="44"/>
  <c r="N160" i="44" s="1"/>
  <c r="F160" i="44" s="1"/>
  <c r="A1650" i="44"/>
  <c r="A2744" i="44"/>
  <c r="A2495" i="44"/>
  <c r="A1849" i="44"/>
  <c r="A3048" i="44"/>
  <c r="A1820" i="44"/>
  <c r="A2922" i="44"/>
  <c r="A2285" i="44"/>
  <c r="A2135" i="44"/>
  <c r="A3072" i="44"/>
  <c r="A2983" i="44"/>
  <c r="A2487" i="44"/>
  <c r="A2527" i="44"/>
  <c r="A2855" i="44"/>
  <c r="A1925" i="44"/>
  <c r="A3030" i="44"/>
  <c r="A1864" i="44"/>
  <c r="A2316" i="44"/>
  <c r="A2901" i="44"/>
  <c r="A2846" i="44"/>
  <c r="A2344" i="44"/>
  <c r="A1875" i="44"/>
  <c r="A2670" i="44"/>
  <c r="A2486" i="44"/>
  <c r="A2780" i="44"/>
  <c r="A1943" i="44"/>
  <c r="A2899" i="44"/>
  <c r="A1640" i="44"/>
  <c r="A1677" i="44"/>
  <c r="A1824" i="44"/>
  <c r="A1897" i="44"/>
  <c r="A1885" i="44"/>
  <c r="A2378" i="44"/>
  <c r="A2648" i="44"/>
  <c r="A3092" i="44"/>
  <c r="A1775" i="44"/>
  <c r="A2258" i="44"/>
  <c r="A2207" i="44"/>
  <c r="A2693" i="44"/>
  <c r="A1643" i="44"/>
  <c r="L158" i="44"/>
  <c r="N158" i="44" s="1"/>
  <c r="F158" i="44" s="1"/>
  <c r="A1771" i="44"/>
  <c r="A2518" i="44"/>
  <c r="A1851" i="44"/>
  <c r="A2261" i="44"/>
  <c r="A1895" i="44"/>
  <c r="A2629" i="44"/>
  <c r="A1654" i="44"/>
  <c r="A1777" i="44"/>
  <c r="A2932" i="44"/>
  <c r="A2121" i="44"/>
  <c r="A2870" i="44"/>
  <c r="A2809" i="44"/>
  <c r="A2380" i="44"/>
  <c r="A1798" i="44"/>
  <c r="A2595" i="44"/>
  <c r="A2366" i="44"/>
  <c r="A1610" i="44"/>
  <c r="A2717" i="44"/>
  <c r="A1811" i="44"/>
  <c r="A1655" i="44"/>
  <c r="A1765" i="44"/>
  <c r="A1774" i="44"/>
  <c r="A1727" i="44"/>
  <c r="A2639" i="44"/>
  <c r="A2049" i="44"/>
  <c r="A1782" i="44"/>
  <c r="A2130" i="44"/>
  <c r="A3128" i="44"/>
  <c r="A2560" i="44"/>
  <c r="A1930" i="44"/>
  <c r="A166" i="44"/>
  <c r="A1922" i="44"/>
  <c r="A1799" i="44"/>
  <c r="A3084" i="44"/>
  <c r="A2972" i="44"/>
  <c r="A2860" i="44"/>
  <c r="A2182" i="44"/>
  <c r="A2862" i="44"/>
  <c r="A2504" i="44"/>
  <c r="L202" i="44"/>
  <c r="N202" i="44" s="1"/>
  <c r="F202" i="44" s="1"/>
  <c r="A1668" i="44"/>
  <c r="A2214" i="44"/>
  <c r="A1709" i="44"/>
  <c r="A2900" i="44"/>
  <c r="A2377" i="44"/>
  <c r="A2632" i="44"/>
  <c r="A1846" i="44"/>
  <c r="A156" i="44"/>
  <c r="A2312" i="44"/>
  <c r="A2653" i="44"/>
  <c r="A1691" i="44"/>
  <c r="A1976" i="44"/>
  <c r="A2603" i="44"/>
  <c r="A2494" i="44"/>
  <c r="A1937" i="44"/>
  <c r="A2115" i="44"/>
  <c r="A1843" i="44"/>
  <c r="A1673" i="44"/>
  <c r="A3023" i="44"/>
  <c r="A2799" i="44"/>
  <c r="A2531" i="44"/>
  <c r="A2570" i="44"/>
  <c r="A2279" i="44"/>
  <c r="A1735" i="44"/>
  <c r="A2973" i="44"/>
  <c r="A2646" i="44"/>
  <c r="A2270" i="44"/>
  <c r="A2038" i="44"/>
  <c r="A1841" i="44"/>
  <c r="A2033" i="44"/>
  <c r="A2679" i="44"/>
  <c r="A1769" i="44"/>
  <c r="A1936" i="44"/>
  <c r="A2993" i="44"/>
  <c r="A2391" i="44"/>
  <c r="A2112" i="44"/>
  <c r="A1616" i="44"/>
  <c r="A1753" i="44"/>
  <c r="A1599" i="44"/>
  <c r="A1985" i="44"/>
  <c r="A2724" i="44"/>
  <c r="A2787" i="44"/>
  <c r="A2929" i="44"/>
  <c r="A2960" i="44"/>
  <c r="A1591" i="44"/>
  <c r="A1583" i="44"/>
  <c r="G1583" i="44" s="1"/>
  <c r="A2140" i="44"/>
  <c r="A1674" i="44"/>
  <c r="A2187" i="44"/>
  <c r="A1764" i="44"/>
  <c r="A2596" i="44"/>
  <c r="A1879" i="44"/>
  <c r="G924" i="44"/>
  <c r="G925" i="44" s="1"/>
  <c r="G926" i="44" s="1"/>
  <c r="G927" i="44" s="1"/>
  <c r="G928" i="44" s="1"/>
  <c r="G929" i="44" s="1"/>
  <c r="G930" i="44" s="1"/>
  <c r="G931" i="44" s="1"/>
  <c r="G932" i="44" s="1"/>
  <c r="G933" i="44" s="1"/>
  <c r="G934" i="44" s="1"/>
  <c r="G935" i="44" s="1"/>
  <c r="G936" i="44" s="1"/>
  <c r="G937" i="44" s="1"/>
  <c r="A2128" i="44"/>
  <c r="A1907" i="44"/>
  <c r="A2617" i="44"/>
  <c r="A2267" i="44"/>
  <c r="A2466" i="44"/>
  <c r="A2811" i="44"/>
  <c r="J81" i="3"/>
  <c r="K83" i="3"/>
  <c r="F78" i="3"/>
  <c r="C83" i="3"/>
  <c r="F79" i="3"/>
  <c r="B84" i="3"/>
  <c r="B81" i="3"/>
  <c r="C78" i="3"/>
  <c r="E78" i="3"/>
  <c r="D80" i="3"/>
  <c r="C82" i="3"/>
  <c r="E79" i="3"/>
  <c r="F81" i="3"/>
  <c r="B83" i="3"/>
  <c r="K82" i="3"/>
  <c r="C79" i="3"/>
  <c r="F83" i="3"/>
  <c r="K81" i="3"/>
  <c r="E82" i="3"/>
  <c r="J80" i="3"/>
  <c r="K79" i="3"/>
  <c r="F80" i="3"/>
  <c r="D79" i="3"/>
  <c r="J79" i="3"/>
  <c r="D84" i="3"/>
  <c r="K84" i="3"/>
  <c r="J82" i="3"/>
  <c r="D82" i="3"/>
  <c r="B78" i="3"/>
  <c r="J84" i="3"/>
  <c r="F84" i="3"/>
  <c r="E83" i="3"/>
  <c r="D78" i="3"/>
  <c r="B79" i="3"/>
  <c r="K78" i="3"/>
  <c r="C81" i="3"/>
  <c r="F82" i="3"/>
  <c r="J83" i="3"/>
  <c r="K80" i="3"/>
  <c r="B82" i="3"/>
  <c r="B80" i="3"/>
  <c r="C80" i="3"/>
  <c r="C84" i="3"/>
  <c r="D83" i="3"/>
  <c r="D81" i="3"/>
  <c r="E80" i="3"/>
  <c r="J78" i="3"/>
  <c r="E81" i="3"/>
  <c r="E84" i="3"/>
  <c r="A196" i="44" l="1"/>
  <c r="A182" i="44"/>
  <c r="A178" i="44"/>
  <c r="G1584" i="44"/>
  <c r="G1585" i="44" s="1"/>
  <c r="G1586" i="44" s="1"/>
  <c r="G1587" i="44" s="1"/>
  <c r="G1588" i="44" s="1"/>
  <c r="G1589" i="44" s="1"/>
  <c r="G1590" i="44" s="1"/>
  <c r="G1591" i="44" s="1"/>
  <c r="G1592" i="44" s="1"/>
  <c r="G1593" i="44" s="1"/>
  <c r="G1594" i="44" s="1"/>
  <c r="G1595" i="44" s="1"/>
  <c r="G1596" i="44" s="1"/>
  <c r="G1597" i="44" s="1"/>
  <c r="G1598" i="44" s="1"/>
  <c r="G1599" i="44" s="1"/>
  <c r="G1600" i="44" s="1"/>
  <c r="G1601" i="44" s="1"/>
  <c r="G1602" i="44" s="1"/>
  <c r="G1603" i="44" s="1"/>
  <c r="G1604" i="44" s="1"/>
  <c r="G1605" i="44" s="1"/>
  <c r="G1606" i="44" s="1"/>
  <c r="G1607" i="44" s="1"/>
  <c r="G1608" i="44" s="1"/>
  <c r="G1609" i="44" s="1"/>
  <c r="G1610" i="44" s="1"/>
  <c r="G1611" i="44" s="1"/>
  <c r="G1612" i="44" s="1"/>
  <c r="G1613" i="44" s="1"/>
  <c r="G1614" i="44" s="1"/>
  <c r="G1615" i="44" s="1"/>
  <c r="G1616" i="44" s="1"/>
  <c r="G1617" i="44" s="1"/>
  <c r="G1618" i="44" s="1"/>
  <c r="G1619" i="44" s="1"/>
  <c r="G1620" i="44" s="1"/>
  <c r="G1621" i="44" s="1"/>
  <c r="G1622" i="44" s="1"/>
  <c r="G1623" i="44" s="1"/>
  <c r="G1624" i="44" s="1"/>
  <c r="G1625" i="44" s="1"/>
  <c r="G1626" i="44" s="1"/>
  <c r="G1627" i="44" s="1"/>
  <c r="G1628" i="44" s="1"/>
  <c r="G1629" i="44" s="1"/>
  <c r="G1630" i="44" s="1"/>
  <c r="G1631" i="44" s="1"/>
  <c r="G1632" i="44" s="1"/>
  <c r="G1633" i="44" s="1"/>
  <c r="G1634" i="44" s="1"/>
  <c r="G1635" i="44" s="1"/>
  <c r="G1636" i="44" s="1"/>
  <c r="G1637" i="44" s="1"/>
  <c r="G1638" i="44" s="1"/>
  <c r="G1639" i="44" s="1"/>
  <c r="G1640" i="44" s="1"/>
  <c r="G1641" i="44" s="1"/>
  <c r="G1642" i="44" s="1"/>
  <c r="G1643" i="44" s="1"/>
  <c r="G1644" i="44" s="1"/>
  <c r="G1645" i="44" s="1"/>
  <c r="G1646" i="44" s="1"/>
  <c r="G1647" i="44" s="1"/>
  <c r="G1648" i="44" s="1"/>
  <c r="G1649" i="44" s="1"/>
  <c r="G1650" i="44" s="1"/>
  <c r="G1651" i="44" s="1"/>
  <c r="G1652" i="44" s="1"/>
  <c r="G1653" i="44" s="1"/>
  <c r="G1654" i="44" s="1"/>
  <c r="G1655" i="44" s="1"/>
  <c r="G1656" i="44" s="1"/>
  <c r="G1657" i="44" s="1"/>
  <c r="G1658" i="44" s="1"/>
  <c r="G1659" i="44" s="1"/>
  <c r="G1660" i="44" s="1"/>
  <c r="G1661" i="44" s="1"/>
  <c r="G1662" i="44" s="1"/>
  <c r="G1663" i="44" s="1"/>
  <c r="G1664" i="44" s="1"/>
  <c r="G1665" i="44" s="1"/>
  <c r="G1666" i="44" s="1"/>
  <c r="G1667" i="44" s="1"/>
  <c r="G1668" i="44" s="1"/>
  <c r="G1669" i="44" s="1"/>
  <c r="G1670" i="44" s="1"/>
  <c r="G1671" i="44" s="1"/>
  <c r="G1672" i="44" s="1"/>
  <c r="G1673" i="44" s="1"/>
  <c r="G1674" i="44" s="1"/>
  <c r="G1675" i="44" s="1"/>
  <c r="G1676" i="44" s="1"/>
  <c r="G1677" i="44" s="1"/>
  <c r="G1678" i="44" s="1"/>
  <c r="G1679" i="44" s="1"/>
  <c r="G1680" i="44" s="1"/>
  <c r="G1681" i="44" s="1"/>
  <c r="G1682" i="44" s="1"/>
  <c r="G1683" i="44" s="1"/>
  <c r="G1684" i="44" s="1"/>
  <c r="G1685" i="44" s="1"/>
  <c r="G1686" i="44" s="1"/>
  <c r="G1687" i="44" s="1"/>
  <c r="G1688" i="44" s="1"/>
  <c r="G1689" i="44" s="1"/>
  <c r="G1690" i="44" s="1"/>
  <c r="G1691" i="44" s="1"/>
  <c r="G1692" i="44" s="1"/>
  <c r="G1693" i="44" s="1"/>
  <c r="G1694" i="44" s="1"/>
  <c r="G1695" i="44" s="1"/>
  <c r="G1696" i="44" s="1"/>
  <c r="G1697" i="44" s="1"/>
  <c r="G1698" i="44" s="1"/>
  <c r="G1699" i="44" s="1"/>
  <c r="G1700" i="44" s="1"/>
  <c r="G1701" i="44" s="1"/>
  <c r="G1702" i="44" s="1"/>
  <c r="G1703" i="44" s="1"/>
  <c r="G1704" i="44" s="1"/>
  <c r="G1705" i="44" s="1"/>
  <c r="G1706" i="44" s="1"/>
  <c r="G1707" i="44" s="1"/>
  <c r="G1708" i="44" s="1"/>
  <c r="G1709" i="44" s="1"/>
  <c r="G1710" i="44" s="1"/>
  <c r="G1711" i="44" s="1"/>
  <c r="G1712" i="44" s="1"/>
  <c r="G1713" i="44" s="1"/>
  <c r="G1714" i="44" s="1"/>
  <c r="G1715" i="44" s="1"/>
  <c r="G1716" i="44" s="1"/>
  <c r="G1717" i="44" s="1"/>
  <c r="G1718" i="44" s="1"/>
  <c r="G1719" i="44" s="1"/>
  <c r="G1720" i="44" s="1"/>
  <c r="G1721" i="44" s="1"/>
  <c r="G1722" i="44" s="1"/>
  <c r="G1723" i="44" s="1"/>
  <c r="G1724" i="44" s="1"/>
  <c r="G1725" i="44" s="1"/>
  <c r="G1726" i="44" s="1"/>
  <c r="G1727" i="44" s="1"/>
  <c r="G1728" i="44" s="1"/>
  <c r="G1729" i="44" s="1"/>
  <c r="G1730" i="44" s="1"/>
  <c r="G1731" i="44" s="1"/>
  <c r="G1732" i="44" s="1"/>
  <c r="G1733" i="44" s="1"/>
  <c r="G1734" i="44" s="1"/>
  <c r="G1735" i="44" s="1"/>
  <c r="G1736" i="44" s="1"/>
  <c r="G1737" i="44" s="1"/>
  <c r="G1738" i="44" s="1"/>
  <c r="G1739" i="44" s="1"/>
  <c r="G1740" i="44" s="1"/>
  <c r="G1741" i="44" s="1"/>
  <c r="G1742" i="44" s="1"/>
  <c r="G1743" i="44" s="1"/>
  <c r="G1744" i="44" s="1"/>
  <c r="G1745" i="44" s="1"/>
  <c r="G1746" i="44" s="1"/>
  <c r="G1747" i="44" s="1"/>
  <c r="G1748" i="44" s="1"/>
  <c r="G1749" i="44" s="1"/>
  <c r="G1750" i="44" s="1"/>
  <c r="G1751" i="44" s="1"/>
  <c r="G1752" i="44" s="1"/>
  <c r="G1753" i="44" s="1"/>
  <c r="G1754" i="44" s="1"/>
  <c r="G1755" i="44" s="1"/>
  <c r="G1756" i="44" s="1"/>
  <c r="G1757" i="44" s="1"/>
  <c r="G1758" i="44" s="1"/>
  <c r="G1759" i="44" s="1"/>
  <c r="G1760" i="44" s="1"/>
  <c r="G1761" i="44" s="1"/>
  <c r="G1762" i="44" s="1"/>
  <c r="G1763" i="44" s="1"/>
  <c r="G1764" i="44" s="1"/>
  <c r="G1765" i="44" s="1"/>
  <c r="G1766" i="44" s="1"/>
  <c r="G1767" i="44" s="1"/>
  <c r="G1768" i="44" s="1"/>
  <c r="G1769" i="44" s="1"/>
  <c r="G1770" i="44" s="1"/>
  <c r="G1771" i="44" s="1"/>
  <c r="G1772" i="44" s="1"/>
  <c r="G1773" i="44" s="1"/>
  <c r="G1774" i="44" s="1"/>
  <c r="G1775" i="44" s="1"/>
  <c r="G1776" i="44" s="1"/>
  <c r="G1777" i="44" s="1"/>
  <c r="G1778" i="44" s="1"/>
  <c r="G1779" i="44" s="1"/>
  <c r="G1780" i="44" s="1"/>
  <c r="G1781" i="44" s="1"/>
  <c r="G1782" i="44" s="1"/>
  <c r="G1783" i="44" s="1"/>
  <c r="G1784" i="44" s="1"/>
  <c r="G1785" i="44" s="1"/>
  <c r="G1786" i="44" s="1"/>
  <c r="G1787" i="44" s="1"/>
  <c r="G1788" i="44" s="1"/>
  <c r="G1789" i="44" s="1"/>
  <c r="G1790" i="44" s="1"/>
  <c r="G1791" i="44" s="1"/>
  <c r="G1792" i="44" s="1"/>
  <c r="G1793" i="44" s="1"/>
  <c r="G1794" i="44" s="1"/>
  <c r="G1795" i="44" s="1"/>
  <c r="G1796" i="44" s="1"/>
  <c r="G1797" i="44" s="1"/>
  <c r="G1798" i="44" s="1"/>
  <c r="G1799" i="44" s="1"/>
  <c r="G1800" i="44" s="1"/>
  <c r="G1801" i="44" s="1"/>
  <c r="G1802" i="44" s="1"/>
  <c r="G1803" i="44" s="1"/>
  <c r="G1804" i="44" s="1"/>
  <c r="G1805" i="44" s="1"/>
  <c r="G1806" i="44" s="1"/>
  <c r="G1807" i="44" s="1"/>
  <c r="G1808" i="44" s="1"/>
  <c r="G1809" i="44" s="1"/>
  <c r="G1810" i="44" s="1"/>
  <c r="G1811" i="44" s="1"/>
  <c r="G1812" i="44" s="1"/>
  <c r="G1813" i="44" s="1"/>
  <c r="G1814" i="44" s="1"/>
  <c r="G1815" i="44" s="1"/>
  <c r="G1816" i="44" s="1"/>
  <c r="G1817" i="44" s="1"/>
  <c r="G1818" i="44" s="1"/>
  <c r="G1819" i="44" s="1"/>
  <c r="G1820" i="44" s="1"/>
  <c r="G1821" i="44" s="1"/>
  <c r="G1822" i="44" s="1"/>
  <c r="G1823" i="44" s="1"/>
  <c r="G1824" i="44" s="1"/>
  <c r="G1825" i="44" s="1"/>
  <c r="G1826" i="44" s="1"/>
  <c r="G1827" i="44" s="1"/>
  <c r="G1828" i="44" s="1"/>
  <c r="G1829" i="44" s="1"/>
  <c r="G1830" i="44" s="1"/>
  <c r="G1831" i="44" s="1"/>
  <c r="G1832" i="44" s="1"/>
  <c r="G1833" i="44" s="1"/>
  <c r="G1834" i="44" s="1"/>
  <c r="G1835" i="44" s="1"/>
  <c r="G1836" i="44" s="1"/>
  <c r="G1837" i="44" s="1"/>
  <c r="G1838" i="44" s="1"/>
  <c r="G1839" i="44" s="1"/>
  <c r="G1840" i="44" s="1"/>
  <c r="G1841" i="44" s="1"/>
  <c r="G1842" i="44" s="1"/>
  <c r="G1843" i="44" s="1"/>
  <c r="G1844" i="44" s="1"/>
  <c r="G1845" i="44" s="1"/>
  <c r="G1846" i="44" s="1"/>
  <c r="G1847" i="44" s="1"/>
  <c r="G1848" i="44" s="1"/>
  <c r="G1849" i="44" s="1"/>
  <c r="G1850" i="44" s="1"/>
  <c r="G1851" i="44" s="1"/>
  <c r="G1852" i="44" s="1"/>
  <c r="G1853" i="44" s="1"/>
  <c r="G1854" i="44" s="1"/>
  <c r="G1855" i="44" s="1"/>
  <c r="G1856" i="44" s="1"/>
  <c r="G1857" i="44" s="1"/>
  <c r="G1858" i="44" s="1"/>
  <c r="G1859" i="44" s="1"/>
  <c r="G1860" i="44" s="1"/>
  <c r="G1861" i="44" s="1"/>
  <c r="G1862" i="44" s="1"/>
  <c r="G1863" i="44" s="1"/>
  <c r="G1864" i="44" s="1"/>
  <c r="G1865" i="44" s="1"/>
  <c r="G1866" i="44" s="1"/>
  <c r="G1867" i="44" s="1"/>
  <c r="G1868" i="44" s="1"/>
  <c r="G1869" i="44" s="1"/>
  <c r="G1870" i="44" s="1"/>
  <c r="G1871" i="44" s="1"/>
  <c r="G1872" i="44" s="1"/>
  <c r="G1873" i="44" s="1"/>
  <c r="G1874" i="44" s="1"/>
  <c r="G1875" i="44" s="1"/>
  <c r="G1876" i="44" s="1"/>
  <c r="G1877" i="44" s="1"/>
  <c r="G1878" i="44" s="1"/>
  <c r="G1879" i="44" s="1"/>
  <c r="G1880" i="44" s="1"/>
  <c r="G1881" i="44" s="1"/>
  <c r="G1882" i="44" s="1"/>
  <c r="G1883" i="44" s="1"/>
  <c r="G1884" i="44" s="1"/>
  <c r="G1885" i="44" s="1"/>
  <c r="G1886" i="44" s="1"/>
  <c r="G1887" i="44" s="1"/>
  <c r="G1888" i="44" s="1"/>
  <c r="G1889" i="44" s="1"/>
  <c r="G1890" i="44" s="1"/>
  <c r="G1891" i="44" s="1"/>
  <c r="G1892" i="44" s="1"/>
  <c r="G1893" i="44" s="1"/>
  <c r="G1894" i="44" s="1"/>
  <c r="G1895" i="44" s="1"/>
  <c r="G1896" i="44" s="1"/>
  <c r="G1897" i="44" s="1"/>
  <c r="G1898" i="44" s="1"/>
  <c r="G1899" i="44" s="1"/>
  <c r="G1900" i="44" s="1"/>
  <c r="G1901" i="44" s="1"/>
  <c r="G1902" i="44" s="1"/>
  <c r="G1903" i="44" s="1"/>
  <c r="G1904" i="44" s="1"/>
  <c r="G1905" i="44" s="1"/>
  <c r="G1906" i="44" s="1"/>
  <c r="G1907" i="44" s="1"/>
  <c r="G1908" i="44" s="1"/>
  <c r="G1909" i="44" s="1"/>
  <c r="G1910" i="44" s="1"/>
  <c r="G1911" i="44" s="1"/>
  <c r="G1912" i="44" s="1"/>
  <c r="G1913" i="44" s="1"/>
  <c r="G1914" i="44" s="1"/>
  <c r="G1915" i="44" s="1"/>
  <c r="G1916" i="44" s="1"/>
  <c r="G1917" i="44" s="1"/>
  <c r="G1918" i="44" s="1"/>
  <c r="G1919" i="44" s="1"/>
  <c r="G1920" i="44" s="1"/>
  <c r="G1921" i="44" s="1"/>
  <c r="G1922" i="44" s="1"/>
  <c r="G1923" i="44" s="1"/>
  <c r="G1924" i="44" s="1"/>
  <c r="G1925" i="44" s="1"/>
  <c r="G1926" i="44" s="1"/>
  <c r="G1927" i="44" s="1"/>
  <c r="G1928" i="44" s="1"/>
  <c r="G1929" i="44" s="1"/>
  <c r="G1930" i="44" s="1"/>
  <c r="G1931" i="44" s="1"/>
  <c r="G1932" i="44" s="1"/>
  <c r="G1933" i="44" s="1"/>
  <c r="G1934" i="44" s="1"/>
  <c r="G1935" i="44" s="1"/>
  <c r="G1936" i="44" s="1"/>
  <c r="G1937" i="44" s="1"/>
  <c r="G1938" i="44" s="1"/>
  <c r="G1939" i="44" s="1"/>
  <c r="G1940" i="44" s="1"/>
  <c r="G1941" i="44" s="1"/>
  <c r="G1942" i="44" s="1"/>
  <c r="G1943" i="44" s="1"/>
  <c r="G1944" i="44" s="1"/>
  <c r="G1945" i="44" s="1"/>
  <c r="G1946" i="44" s="1"/>
  <c r="G1947" i="44" s="1"/>
  <c r="G1948" i="44" s="1"/>
  <c r="G1949" i="44" s="1"/>
  <c r="G1950" i="44" s="1"/>
  <c r="G1951" i="44" s="1"/>
  <c r="G1952" i="44" s="1"/>
  <c r="G1953" i="44" s="1"/>
  <c r="G1954" i="44" s="1"/>
  <c r="G1955" i="44" s="1"/>
  <c r="G1956" i="44" s="1"/>
  <c r="G1957" i="44" s="1"/>
  <c r="G1958" i="44" s="1"/>
  <c r="G1959" i="44" s="1"/>
  <c r="G1960" i="44" s="1"/>
  <c r="G1961" i="44" s="1"/>
  <c r="G1962" i="44" s="1"/>
  <c r="G1963" i="44" s="1"/>
  <c r="G1964" i="44" s="1"/>
  <c r="G1965" i="44" s="1"/>
  <c r="G1966" i="44" s="1"/>
  <c r="G1967" i="44" s="1"/>
  <c r="G1968" i="44" s="1"/>
  <c r="G1969" i="44" s="1"/>
  <c r="G1970" i="44" s="1"/>
  <c r="G1971" i="44" s="1"/>
  <c r="G1972" i="44" s="1"/>
  <c r="G1973" i="44" s="1"/>
  <c r="G1974" i="44" s="1"/>
  <c r="G1975" i="44" s="1"/>
  <c r="G1976" i="44" s="1"/>
  <c r="G1977" i="44" s="1"/>
  <c r="G1978" i="44" s="1"/>
  <c r="G1979" i="44" s="1"/>
  <c r="G1980" i="44" s="1"/>
  <c r="G1981" i="44" s="1"/>
  <c r="G1982" i="44" s="1"/>
  <c r="G1983" i="44" s="1"/>
  <c r="G1984" i="44" s="1"/>
  <c r="G1985" i="44" s="1"/>
  <c r="G1986" i="44" s="1"/>
  <c r="G1987" i="44" s="1"/>
  <c r="G1988" i="44" s="1"/>
  <c r="G1989" i="44" s="1"/>
  <c r="G1990" i="44" s="1"/>
  <c r="G1991" i="44" s="1"/>
  <c r="G1992" i="44" s="1"/>
  <c r="G1993" i="44" s="1"/>
  <c r="G1994" i="44" s="1"/>
  <c r="G1995" i="44" s="1"/>
  <c r="G1996" i="44" s="1"/>
  <c r="G1997" i="44" s="1"/>
  <c r="G1998" i="44" s="1"/>
  <c r="G1999" i="44" s="1"/>
  <c r="G2000" i="44" s="1"/>
  <c r="G2001" i="44" s="1"/>
  <c r="G2002" i="44" s="1"/>
  <c r="G2003" i="44" s="1"/>
  <c r="G2004" i="44" s="1"/>
  <c r="G2005" i="44" s="1"/>
  <c r="G2006" i="44" s="1"/>
  <c r="G2007" i="44" s="1"/>
  <c r="G2008" i="44" s="1"/>
  <c r="G2009" i="44" s="1"/>
  <c r="G2010" i="44" s="1"/>
  <c r="G2011" i="44" s="1"/>
  <c r="G2012" i="44" s="1"/>
  <c r="G2013" i="44" s="1"/>
  <c r="G2014" i="44" s="1"/>
  <c r="G2015" i="44" s="1"/>
  <c r="G2016" i="44" s="1"/>
  <c r="G2017" i="44" s="1"/>
  <c r="G2018" i="44" s="1"/>
  <c r="G2019" i="44" s="1"/>
  <c r="G2020" i="44" s="1"/>
  <c r="G2021" i="44" s="1"/>
  <c r="G2022" i="44" s="1"/>
  <c r="G2023" i="44" s="1"/>
  <c r="G2024" i="44" s="1"/>
  <c r="G2025" i="44" s="1"/>
  <c r="G2026" i="44" s="1"/>
  <c r="G2027" i="44" s="1"/>
  <c r="G2028" i="44" s="1"/>
  <c r="G2029" i="44" s="1"/>
  <c r="G2030" i="44" s="1"/>
  <c r="G2031" i="44" s="1"/>
  <c r="G2032" i="44" s="1"/>
  <c r="G2033" i="44" s="1"/>
  <c r="G2034" i="44" s="1"/>
  <c r="G2035" i="44" s="1"/>
  <c r="G2036" i="44" s="1"/>
  <c r="G2037" i="44" s="1"/>
  <c r="G2038" i="44" s="1"/>
  <c r="G2039" i="44" s="1"/>
  <c r="G2040" i="44" s="1"/>
  <c r="G2041" i="44" s="1"/>
  <c r="G2042" i="44" s="1"/>
  <c r="G2043" i="44" s="1"/>
  <c r="G2044" i="44" s="1"/>
  <c r="G2045" i="44" s="1"/>
  <c r="G2046" i="44" s="1"/>
  <c r="G2047" i="44" s="1"/>
  <c r="G2048" i="44" s="1"/>
  <c r="G2049" i="44" s="1"/>
  <c r="G2050" i="44" s="1"/>
  <c r="G2051" i="44" s="1"/>
  <c r="G2052" i="44" s="1"/>
  <c r="G2053" i="44" s="1"/>
  <c r="G2054" i="44" s="1"/>
  <c r="G2055" i="44" s="1"/>
  <c r="G2056" i="44" s="1"/>
  <c r="G2057" i="44" s="1"/>
  <c r="G2058" i="44" s="1"/>
  <c r="G2059" i="44" s="1"/>
  <c r="G2060" i="44" s="1"/>
  <c r="G2061" i="44" s="1"/>
  <c r="G2062" i="44" s="1"/>
  <c r="G2063" i="44" s="1"/>
  <c r="G2064" i="44" s="1"/>
  <c r="G2065" i="44" s="1"/>
  <c r="G2066" i="44" s="1"/>
  <c r="G2067" i="44" s="1"/>
  <c r="G2068" i="44" s="1"/>
  <c r="G2069" i="44" s="1"/>
  <c r="G2070" i="44" s="1"/>
  <c r="G2071" i="44" s="1"/>
  <c r="G2072" i="44" s="1"/>
  <c r="G2073" i="44" s="1"/>
  <c r="G2074" i="44" s="1"/>
  <c r="G2075" i="44" s="1"/>
  <c r="G2076" i="44" s="1"/>
  <c r="G2077" i="44" s="1"/>
  <c r="G2078" i="44" s="1"/>
  <c r="G2079" i="44" s="1"/>
  <c r="G2080" i="44" s="1"/>
  <c r="G2081" i="44" s="1"/>
  <c r="G2082" i="44" s="1"/>
  <c r="G2083" i="44" s="1"/>
  <c r="G2084" i="44" s="1"/>
  <c r="G2085" i="44" s="1"/>
  <c r="G2086" i="44" s="1"/>
  <c r="G2087" i="44" s="1"/>
  <c r="G2088" i="44" s="1"/>
  <c r="G2089" i="44" s="1"/>
  <c r="G2090" i="44" s="1"/>
  <c r="G2091" i="44" s="1"/>
  <c r="G2092" i="44" s="1"/>
  <c r="G2093" i="44" s="1"/>
  <c r="G2094" i="44" s="1"/>
  <c r="G2095" i="44" s="1"/>
  <c r="G2096" i="44" s="1"/>
  <c r="G2097" i="44" s="1"/>
  <c r="G2098" i="44" s="1"/>
  <c r="G2099" i="44" s="1"/>
  <c r="G2100" i="44" s="1"/>
  <c r="G2101" i="44" s="1"/>
  <c r="G2102" i="44" s="1"/>
  <c r="G2103" i="44" s="1"/>
  <c r="G2104" i="44" s="1"/>
  <c r="G2105" i="44" s="1"/>
  <c r="G2106" i="44" s="1"/>
  <c r="G2107" i="44" s="1"/>
  <c r="G2108" i="44" s="1"/>
  <c r="G2109" i="44" s="1"/>
  <c r="G2110" i="44" s="1"/>
  <c r="G2111" i="44" s="1"/>
  <c r="G2112" i="44" s="1"/>
  <c r="G2113" i="44" s="1"/>
  <c r="G2114" i="44" s="1"/>
  <c r="G2115" i="44" s="1"/>
  <c r="G2116" i="44" s="1"/>
  <c r="G2117" i="44" s="1"/>
  <c r="G2118" i="44" s="1"/>
  <c r="G2119" i="44" s="1"/>
  <c r="G2120" i="44" s="1"/>
  <c r="G2121" i="44" s="1"/>
  <c r="G2122" i="44" s="1"/>
  <c r="G2123" i="44" s="1"/>
  <c r="G2124" i="44" s="1"/>
  <c r="G2125" i="44" s="1"/>
  <c r="G2126" i="44" s="1"/>
  <c r="G2127" i="44" s="1"/>
  <c r="G2128" i="44" s="1"/>
  <c r="G2129" i="44" s="1"/>
  <c r="G2130" i="44" s="1"/>
  <c r="G2131" i="44" s="1"/>
  <c r="G2132" i="44" s="1"/>
  <c r="G2133" i="44" s="1"/>
  <c r="G2134" i="44" s="1"/>
  <c r="G2135" i="44" s="1"/>
  <c r="G2136" i="44" s="1"/>
  <c r="G2137" i="44" s="1"/>
  <c r="G2138" i="44" s="1"/>
  <c r="G2139" i="44" s="1"/>
  <c r="G2140" i="44" s="1"/>
  <c r="G2141" i="44" s="1"/>
  <c r="G2142" i="44" s="1"/>
  <c r="G2143" i="44" s="1"/>
  <c r="G2144" i="44" s="1"/>
  <c r="G2145" i="44" s="1"/>
  <c r="G2146" i="44" s="1"/>
  <c r="G2147" i="44" s="1"/>
  <c r="G2148" i="44" s="1"/>
  <c r="G2149" i="44" s="1"/>
  <c r="G2150" i="44" s="1"/>
  <c r="G2151" i="44" s="1"/>
  <c r="G2152" i="44" s="1"/>
  <c r="G2153" i="44" s="1"/>
  <c r="G2154" i="44" s="1"/>
  <c r="G2155" i="44" s="1"/>
  <c r="G2156" i="44" s="1"/>
  <c r="G2157" i="44" s="1"/>
  <c r="G2158" i="44" s="1"/>
  <c r="G2159" i="44" s="1"/>
  <c r="G2160" i="44" s="1"/>
  <c r="G2161" i="44" s="1"/>
  <c r="G2162" i="44" s="1"/>
  <c r="G2163" i="44" s="1"/>
  <c r="G2164" i="44" s="1"/>
  <c r="G2165" i="44" s="1"/>
  <c r="G2166" i="44" s="1"/>
  <c r="G2167" i="44" s="1"/>
  <c r="G2168" i="44" s="1"/>
  <c r="G2169" i="44" s="1"/>
  <c r="G2170" i="44" s="1"/>
  <c r="G2171" i="44" s="1"/>
  <c r="G2172" i="44" s="1"/>
  <c r="G2173" i="44" s="1"/>
  <c r="G2174" i="44" s="1"/>
  <c r="G2175" i="44" s="1"/>
  <c r="G2176" i="44" s="1"/>
  <c r="G2177" i="44" s="1"/>
  <c r="G2178" i="44" s="1"/>
  <c r="G2179" i="44" s="1"/>
  <c r="G2180" i="44" s="1"/>
  <c r="G2181" i="44" s="1"/>
  <c r="G2182" i="44" s="1"/>
  <c r="G2183" i="44" s="1"/>
  <c r="G2184" i="44" s="1"/>
  <c r="G2185" i="44" s="1"/>
  <c r="G2186" i="44" s="1"/>
  <c r="G2187" i="44" s="1"/>
  <c r="G2188" i="44" s="1"/>
  <c r="G2189" i="44" s="1"/>
  <c r="G2190" i="44" s="1"/>
  <c r="G2191" i="44" s="1"/>
  <c r="G2192" i="44" s="1"/>
  <c r="G2193" i="44" s="1"/>
  <c r="G2194" i="44" s="1"/>
  <c r="G2195" i="44" s="1"/>
  <c r="G2196" i="44" s="1"/>
  <c r="G2197" i="44" s="1"/>
  <c r="G2198" i="44" s="1"/>
  <c r="G2199" i="44" s="1"/>
  <c r="G2200" i="44" s="1"/>
  <c r="G2201" i="44" s="1"/>
  <c r="G2202" i="44" s="1"/>
  <c r="G2203" i="44" s="1"/>
  <c r="G2204" i="44" s="1"/>
  <c r="G2205" i="44" s="1"/>
  <c r="G2206" i="44" s="1"/>
  <c r="G2207" i="44" s="1"/>
  <c r="G2208" i="44" s="1"/>
  <c r="G2209" i="44" s="1"/>
  <c r="G2210" i="44" s="1"/>
  <c r="G2211" i="44" s="1"/>
  <c r="G2212" i="44" s="1"/>
  <c r="G2213" i="44" s="1"/>
  <c r="G2214" i="44" s="1"/>
  <c r="G2215" i="44" s="1"/>
  <c r="G2216" i="44" s="1"/>
  <c r="G2217" i="44" s="1"/>
  <c r="G2218" i="44" s="1"/>
  <c r="G2219" i="44" s="1"/>
  <c r="G2220" i="44" s="1"/>
  <c r="G2221" i="44" s="1"/>
  <c r="G2222" i="44" s="1"/>
  <c r="G2223" i="44" s="1"/>
  <c r="G2224" i="44" s="1"/>
  <c r="G2225" i="44" s="1"/>
  <c r="G2226" i="44" s="1"/>
  <c r="G2227" i="44" s="1"/>
  <c r="G2228" i="44" s="1"/>
  <c r="G2229" i="44" s="1"/>
  <c r="G2230" i="44" s="1"/>
  <c r="G2231" i="44" s="1"/>
  <c r="G2232" i="44" s="1"/>
  <c r="G2233" i="44" s="1"/>
  <c r="G2234" i="44" s="1"/>
  <c r="G2235" i="44" s="1"/>
  <c r="G2236" i="44" s="1"/>
  <c r="G2237" i="44" s="1"/>
  <c r="G2238" i="44" s="1"/>
  <c r="G2239" i="44" s="1"/>
  <c r="G2240" i="44" s="1"/>
  <c r="G2241" i="44" s="1"/>
  <c r="G2242" i="44" s="1"/>
  <c r="G2243" i="44" s="1"/>
  <c r="G2244" i="44" s="1"/>
  <c r="G2245" i="44" s="1"/>
  <c r="G2246" i="44" s="1"/>
  <c r="G2247" i="44" s="1"/>
  <c r="G2248" i="44" s="1"/>
  <c r="G2249" i="44" s="1"/>
  <c r="G2250" i="44" s="1"/>
  <c r="G2251" i="44" s="1"/>
  <c r="G2252" i="44" s="1"/>
  <c r="G2253" i="44" s="1"/>
  <c r="G2254" i="44" s="1"/>
  <c r="G2255" i="44" s="1"/>
  <c r="G2256" i="44" s="1"/>
  <c r="G2257" i="44" s="1"/>
  <c r="G2258" i="44" s="1"/>
  <c r="G2259" i="44" s="1"/>
  <c r="G2260" i="44" s="1"/>
  <c r="G2261" i="44" s="1"/>
  <c r="G2262" i="44" s="1"/>
  <c r="G2263" i="44" s="1"/>
  <c r="G2264" i="44" s="1"/>
  <c r="G2265" i="44" s="1"/>
  <c r="G2266" i="44" s="1"/>
  <c r="G2267" i="44" s="1"/>
  <c r="G2268" i="44" s="1"/>
  <c r="G2269" i="44" s="1"/>
  <c r="G2270" i="44" s="1"/>
  <c r="G2271" i="44" s="1"/>
  <c r="G2272" i="44" s="1"/>
  <c r="G2273" i="44" s="1"/>
  <c r="G2274" i="44" s="1"/>
  <c r="G2275" i="44" s="1"/>
  <c r="G2276" i="44" s="1"/>
  <c r="G2277" i="44" s="1"/>
  <c r="G2278" i="44" s="1"/>
  <c r="G2279" i="44" s="1"/>
  <c r="G2280" i="44" s="1"/>
  <c r="G2281" i="44" s="1"/>
  <c r="G2282" i="44" s="1"/>
  <c r="G2283" i="44" s="1"/>
  <c r="G2284" i="44" s="1"/>
  <c r="G2285" i="44" s="1"/>
  <c r="G2286" i="44" s="1"/>
  <c r="G2287" i="44" s="1"/>
  <c r="G2288" i="44" s="1"/>
  <c r="G2289" i="44" s="1"/>
  <c r="G2290" i="44" s="1"/>
  <c r="G2291" i="44" s="1"/>
  <c r="G2292" i="44" s="1"/>
  <c r="G2293" i="44" s="1"/>
  <c r="G2294" i="44" s="1"/>
  <c r="G2295" i="44" s="1"/>
  <c r="G2296" i="44" s="1"/>
  <c r="G2297" i="44" s="1"/>
  <c r="G2298" i="44" s="1"/>
  <c r="G2299" i="44" s="1"/>
  <c r="G2300" i="44" s="1"/>
  <c r="G2301" i="44" s="1"/>
  <c r="G2302" i="44" s="1"/>
  <c r="G2303" i="44" s="1"/>
  <c r="G2304" i="44" s="1"/>
  <c r="G2305" i="44" s="1"/>
  <c r="G2306" i="44" s="1"/>
  <c r="G2307" i="44" s="1"/>
  <c r="G2308" i="44" s="1"/>
  <c r="G2309" i="44" s="1"/>
  <c r="G2310" i="44" s="1"/>
  <c r="G2311" i="44" s="1"/>
  <c r="G2312" i="44" s="1"/>
  <c r="G2313" i="44" s="1"/>
  <c r="G2314" i="44" s="1"/>
  <c r="G2315" i="44" s="1"/>
  <c r="G2316" i="44" s="1"/>
  <c r="G2317" i="44" s="1"/>
  <c r="G2318" i="44" s="1"/>
  <c r="G2319" i="44" s="1"/>
  <c r="G2320" i="44" s="1"/>
  <c r="G2321" i="44" s="1"/>
  <c r="G2322" i="44" s="1"/>
  <c r="G2323" i="44" s="1"/>
  <c r="G2324" i="44" s="1"/>
  <c r="G2325" i="44" s="1"/>
  <c r="G2326" i="44" s="1"/>
  <c r="G2327" i="44" s="1"/>
  <c r="G2328" i="44" s="1"/>
  <c r="G2329" i="44" s="1"/>
  <c r="G2330" i="44" s="1"/>
  <c r="G2331" i="44" s="1"/>
  <c r="G2332" i="44" s="1"/>
  <c r="G2333" i="44" s="1"/>
  <c r="G2334" i="44" s="1"/>
  <c r="G2335" i="44" s="1"/>
  <c r="G2336" i="44" s="1"/>
  <c r="G2337" i="44" s="1"/>
  <c r="G2338" i="44" s="1"/>
  <c r="G2339" i="44" s="1"/>
  <c r="G2340" i="44" s="1"/>
  <c r="G2341" i="44" s="1"/>
  <c r="G2342" i="44" s="1"/>
  <c r="G2343" i="44" s="1"/>
  <c r="G2344" i="44" s="1"/>
  <c r="G2345" i="44" s="1"/>
  <c r="G2346" i="44" s="1"/>
  <c r="G2347" i="44" s="1"/>
  <c r="G2348" i="44" s="1"/>
  <c r="G2349" i="44" s="1"/>
  <c r="G2350" i="44" s="1"/>
  <c r="G2351" i="44" s="1"/>
  <c r="G2352" i="44" s="1"/>
  <c r="G2353" i="44" s="1"/>
  <c r="G2354" i="44" s="1"/>
  <c r="G2355" i="44" s="1"/>
  <c r="G2356" i="44" s="1"/>
  <c r="G2357" i="44" s="1"/>
  <c r="G2358" i="44" s="1"/>
  <c r="G2359" i="44" s="1"/>
  <c r="G2360" i="44" s="1"/>
  <c r="G2361" i="44" s="1"/>
  <c r="G2362" i="44" s="1"/>
  <c r="G2363" i="44" s="1"/>
  <c r="G2364" i="44" s="1"/>
  <c r="G2365" i="44" s="1"/>
  <c r="G2366" i="44" s="1"/>
  <c r="G2367" i="44" s="1"/>
  <c r="G2368" i="44" s="1"/>
  <c r="G2369" i="44" s="1"/>
  <c r="G2370" i="44" s="1"/>
  <c r="G2371" i="44" s="1"/>
  <c r="G2372" i="44" s="1"/>
  <c r="G2373" i="44" s="1"/>
  <c r="G2374" i="44" s="1"/>
  <c r="G2375" i="44" s="1"/>
  <c r="G2376" i="44" s="1"/>
  <c r="G2377" i="44" s="1"/>
  <c r="G2378" i="44" s="1"/>
  <c r="G2379" i="44" s="1"/>
  <c r="G2380" i="44" s="1"/>
  <c r="G2381" i="44" s="1"/>
  <c r="G2382" i="44" s="1"/>
  <c r="G2383" i="44" s="1"/>
  <c r="G2384" i="44" s="1"/>
  <c r="G2385" i="44" s="1"/>
  <c r="G2386" i="44" s="1"/>
  <c r="G2387" i="44" s="1"/>
  <c r="G2388" i="44" s="1"/>
  <c r="G2389" i="44" s="1"/>
  <c r="G2390" i="44" s="1"/>
  <c r="G2391" i="44" s="1"/>
  <c r="G2392" i="44" s="1"/>
  <c r="G2393" i="44" s="1"/>
  <c r="G2394" i="44" s="1"/>
  <c r="G2395" i="44" s="1"/>
  <c r="G2396" i="44" s="1"/>
  <c r="G2397" i="44" s="1"/>
  <c r="G2398" i="44" s="1"/>
  <c r="G2399" i="44" s="1"/>
  <c r="G2400" i="44" s="1"/>
  <c r="G2401" i="44" s="1"/>
  <c r="G2402" i="44" s="1"/>
  <c r="G2403" i="44" s="1"/>
  <c r="G2404" i="44" s="1"/>
  <c r="G2405" i="44" s="1"/>
  <c r="G2406" i="44" s="1"/>
  <c r="G2407" i="44" s="1"/>
  <c r="G2408" i="44" s="1"/>
  <c r="G2409" i="44" s="1"/>
  <c r="G2410" i="44" s="1"/>
  <c r="G2411" i="44" s="1"/>
  <c r="G2412" i="44" s="1"/>
  <c r="G2413" i="44" s="1"/>
  <c r="G2414" i="44" s="1"/>
  <c r="G2415" i="44" s="1"/>
  <c r="G2416" i="44" s="1"/>
  <c r="G2417" i="44" s="1"/>
  <c r="G2418" i="44" s="1"/>
  <c r="G2419" i="44" s="1"/>
  <c r="G2420" i="44" s="1"/>
  <c r="G2421" i="44" s="1"/>
  <c r="G2422" i="44" s="1"/>
  <c r="G2423" i="44" s="1"/>
  <c r="G2424" i="44" s="1"/>
  <c r="G2425" i="44" s="1"/>
  <c r="G2426" i="44" s="1"/>
  <c r="G2427" i="44" s="1"/>
  <c r="G2428" i="44" s="1"/>
  <c r="G2429" i="44" s="1"/>
  <c r="G2430" i="44" s="1"/>
  <c r="G2431" i="44" s="1"/>
  <c r="G2432" i="44" s="1"/>
  <c r="G2433" i="44" s="1"/>
  <c r="G2434" i="44" s="1"/>
  <c r="G2435" i="44" s="1"/>
  <c r="G2436" i="44" s="1"/>
  <c r="G2437" i="44" s="1"/>
  <c r="G2438" i="44" s="1"/>
  <c r="G2439" i="44" s="1"/>
  <c r="G2440" i="44" s="1"/>
  <c r="G2441" i="44" s="1"/>
  <c r="G2442" i="44" s="1"/>
  <c r="G2443" i="44" s="1"/>
  <c r="G2444" i="44" s="1"/>
  <c r="G2445" i="44" s="1"/>
  <c r="G2446" i="44" s="1"/>
  <c r="G2447" i="44" s="1"/>
  <c r="G2448" i="44" s="1"/>
  <c r="G2449" i="44" s="1"/>
  <c r="G2450" i="44" s="1"/>
  <c r="G2451" i="44" s="1"/>
  <c r="G2452" i="44" s="1"/>
  <c r="G2453" i="44" s="1"/>
  <c r="G2454" i="44" s="1"/>
  <c r="G2455" i="44" s="1"/>
  <c r="G2456" i="44" s="1"/>
  <c r="G2457" i="44" s="1"/>
  <c r="G2458" i="44" s="1"/>
  <c r="G2459" i="44" s="1"/>
  <c r="G2460" i="44" s="1"/>
  <c r="G2461" i="44" s="1"/>
  <c r="G2462" i="44" s="1"/>
  <c r="G2463" i="44" s="1"/>
  <c r="G2464" i="44" s="1"/>
  <c r="G2465" i="44" s="1"/>
  <c r="G2466" i="44" s="1"/>
  <c r="G2467" i="44" s="1"/>
  <c r="G2468" i="44" s="1"/>
  <c r="G2469" i="44" s="1"/>
  <c r="G2470" i="44" s="1"/>
  <c r="G2471" i="44" s="1"/>
  <c r="G2472" i="44" s="1"/>
  <c r="G2473" i="44" s="1"/>
  <c r="G2474" i="44" s="1"/>
  <c r="G2475" i="44" s="1"/>
  <c r="G2476" i="44" s="1"/>
  <c r="G2477" i="44" s="1"/>
  <c r="G2478" i="44" s="1"/>
  <c r="G2479" i="44" s="1"/>
  <c r="G2480" i="44" s="1"/>
  <c r="G2481" i="44" s="1"/>
  <c r="G2482" i="44" s="1"/>
  <c r="G2483" i="44" s="1"/>
  <c r="G2484" i="44" s="1"/>
  <c r="G2485" i="44" s="1"/>
  <c r="G2486" i="44" s="1"/>
  <c r="G2487" i="44" s="1"/>
  <c r="G2488" i="44" s="1"/>
  <c r="G2489" i="44" s="1"/>
  <c r="G2490" i="44" s="1"/>
  <c r="G2491" i="44" s="1"/>
  <c r="G2492" i="44" s="1"/>
  <c r="G2493" i="44" s="1"/>
  <c r="G2494" i="44" s="1"/>
  <c r="G2495" i="44" s="1"/>
  <c r="G2496" i="44" s="1"/>
  <c r="G2497" i="44" s="1"/>
  <c r="G2498" i="44" s="1"/>
  <c r="G2499" i="44" s="1"/>
  <c r="G2500" i="44" s="1"/>
  <c r="G2501" i="44" s="1"/>
  <c r="G2502" i="44" s="1"/>
  <c r="G2503" i="44" s="1"/>
  <c r="G2504" i="44" s="1"/>
  <c r="G2505" i="44" s="1"/>
  <c r="G2506" i="44" s="1"/>
  <c r="G2507" i="44" s="1"/>
  <c r="G2508" i="44" s="1"/>
  <c r="G2509" i="44" s="1"/>
  <c r="G2510" i="44" s="1"/>
  <c r="G2511" i="44" s="1"/>
  <c r="G2512" i="44" s="1"/>
  <c r="G2513" i="44" s="1"/>
  <c r="G2514" i="44" s="1"/>
  <c r="G2515" i="44" s="1"/>
  <c r="G2516" i="44" s="1"/>
  <c r="G2517" i="44" s="1"/>
  <c r="G2518" i="44" s="1"/>
  <c r="G2519" i="44" s="1"/>
  <c r="G2520" i="44" s="1"/>
  <c r="G2521" i="44" s="1"/>
  <c r="G2522" i="44" s="1"/>
  <c r="G2523" i="44" s="1"/>
  <c r="G2524" i="44" s="1"/>
  <c r="G2525" i="44" s="1"/>
  <c r="G2526" i="44" s="1"/>
  <c r="G2527" i="44" s="1"/>
  <c r="G2528" i="44" s="1"/>
  <c r="G2529" i="44" s="1"/>
  <c r="G2530" i="44" s="1"/>
  <c r="G2531" i="44" s="1"/>
  <c r="G2532" i="44" s="1"/>
  <c r="G2533" i="44" s="1"/>
  <c r="G2534" i="44" s="1"/>
  <c r="G2535" i="44" s="1"/>
  <c r="G2536" i="44" s="1"/>
  <c r="G2537" i="44" s="1"/>
  <c r="G2538" i="44" s="1"/>
  <c r="G2539" i="44" s="1"/>
  <c r="G2540" i="44" s="1"/>
  <c r="G2541" i="44" s="1"/>
  <c r="G2542" i="44" s="1"/>
  <c r="G2543" i="44" s="1"/>
  <c r="G2544" i="44" s="1"/>
  <c r="G2545" i="44" s="1"/>
  <c r="G2546" i="44" s="1"/>
  <c r="G2547" i="44" s="1"/>
  <c r="G2548" i="44" s="1"/>
  <c r="G2549" i="44" s="1"/>
  <c r="G2550" i="44" s="1"/>
  <c r="G2551" i="44" s="1"/>
  <c r="G2552" i="44" s="1"/>
  <c r="G2553" i="44" s="1"/>
  <c r="G2554" i="44" s="1"/>
  <c r="G2555" i="44" s="1"/>
  <c r="G2556" i="44" s="1"/>
  <c r="G2557" i="44" s="1"/>
  <c r="G2558" i="44" s="1"/>
  <c r="G2559" i="44" s="1"/>
  <c r="G2560" i="44" s="1"/>
  <c r="G2561" i="44" s="1"/>
  <c r="G2562" i="44" s="1"/>
  <c r="G2563" i="44" s="1"/>
  <c r="G2564" i="44" s="1"/>
  <c r="G2565" i="44" s="1"/>
  <c r="G2566" i="44" s="1"/>
  <c r="G2567" i="44" s="1"/>
  <c r="G2568" i="44" s="1"/>
  <c r="G2569" i="44" s="1"/>
  <c r="G2570" i="44" s="1"/>
  <c r="G2571" i="44" s="1"/>
  <c r="G2572" i="44" s="1"/>
  <c r="G2573" i="44" s="1"/>
  <c r="G2574" i="44" s="1"/>
  <c r="G2575" i="44" s="1"/>
  <c r="G2576" i="44" s="1"/>
  <c r="G2577" i="44" s="1"/>
  <c r="G2578" i="44" s="1"/>
  <c r="G2579" i="44" s="1"/>
  <c r="G2580" i="44" s="1"/>
  <c r="G2581" i="44" s="1"/>
  <c r="G2582" i="44" s="1"/>
  <c r="G2583" i="44" s="1"/>
  <c r="G2584" i="44" s="1"/>
  <c r="G2585" i="44" s="1"/>
  <c r="G2586" i="44" s="1"/>
  <c r="G2587" i="44" s="1"/>
  <c r="G2588" i="44" s="1"/>
  <c r="G2589" i="44" s="1"/>
  <c r="G2590" i="44" s="1"/>
  <c r="G2591" i="44" s="1"/>
  <c r="G2592" i="44" s="1"/>
  <c r="G2593" i="44" s="1"/>
  <c r="G2594" i="44" s="1"/>
  <c r="G2595" i="44" s="1"/>
  <c r="G2596" i="44" s="1"/>
  <c r="G2597" i="44" s="1"/>
  <c r="G2598" i="44" s="1"/>
  <c r="G2599" i="44" s="1"/>
  <c r="G2600" i="44" s="1"/>
  <c r="G2601" i="44" s="1"/>
  <c r="G2602" i="44" s="1"/>
  <c r="G2603" i="44" s="1"/>
  <c r="G2604" i="44" s="1"/>
  <c r="G2605" i="44" s="1"/>
  <c r="G2606" i="44" s="1"/>
  <c r="G2607" i="44" s="1"/>
  <c r="G2608" i="44" s="1"/>
  <c r="G2609" i="44" s="1"/>
  <c r="G2610" i="44" s="1"/>
  <c r="G2611" i="44" s="1"/>
  <c r="G2612" i="44" s="1"/>
  <c r="G2613" i="44" s="1"/>
  <c r="G2614" i="44" s="1"/>
  <c r="G2615" i="44" s="1"/>
  <c r="G2616" i="44" s="1"/>
  <c r="G2617" i="44" s="1"/>
  <c r="G2618" i="44" s="1"/>
  <c r="G2619" i="44" s="1"/>
  <c r="G2620" i="44" s="1"/>
  <c r="G2621" i="44" s="1"/>
  <c r="G2622" i="44" s="1"/>
  <c r="G2623" i="44" s="1"/>
  <c r="G2624" i="44" s="1"/>
  <c r="G2625" i="44" s="1"/>
  <c r="G2626" i="44" s="1"/>
  <c r="G2627" i="44" s="1"/>
  <c r="G2628" i="44" s="1"/>
  <c r="G2629" i="44" s="1"/>
  <c r="G2630" i="44" s="1"/>
  <c r="G2631" i="44" s="1"/>
  <c r="G2632" i="44" s="1"/>
  <c r="G2633" i="44" s="1"/>
  <c r="G2634" i="44" s="1"/>
  <c r="G2635" i="44" s="1"/>
  <c r="G2636" i="44" s="1"/>
  <c r="G2637" i="44" s="1"/>
  <c r="G2638" i="44" s="1"/>
  <c r="G2639" i="44" s="1"/>
  <c r="G2640" i="44" s="1"/>
  <c r="G2641" i="44" s="1"/>
  <c r="G2642" i="44" s="1"/>
  <c r="G2643" i="44" s="1"/>
  <c r="G2644" i="44" s="1"/>
  <c r="G2645" i="44" s="1"/>
  <c r="G2646" i="44" s="1"/>
  <c r="G2647" i="44" s="1"/>
  <c r="G2648" i="44" s="1"/>
  <c r="G2649" i="44" s="1"/>
  <c r="G2650" i="44" s="1"/>
  <c r="G2651" i="44" s="1"/>
  <c r="G2652" i="44" s="1"/>
  <c r="G2653" i="44" s="1"/>
  <c r="G2654" i="44" s="1"/>
  <c r="G2655" i="44" s="1"/>
  <c r="G2656" i="44" s="1"/>
  <c r="G2657" i="44" s="1"/>
  <c r="G2658" i="44" s="1"/>
  <c r="G2659" i="44" s="1"/>
  <c r="G2660" i="44" s="1"/>
  <c r="G2661" i="44" s="1"/>
  <c r="G2662" i="44" s="1"/>
  <c r="G2663" i="44" s="1"/>
  <c r="G2664" i="44" s="1"/>
  <c r="G2665" i="44" s="1"/>
  <c r="G2666" i="44" s="1"/>
  <c r="G2667" i="44" s="1"/>
  <c r="G2668" i="44" s="1"/>
  <c r="G2669" i="44" s="1"/>
  <c r="G2670" i="44" s="1"/>
  <c r="G2671" i="44" s="1"/>
  <c r="G2672" i="44" s="1"/>
  <c r="G2673" i="44" s="1"/>
  <c r="G2674" i="44" s="1"/>
  <c r="G2675" i="44" s="1"/>
  <c r="G2676" i="44" s="1"/>
  <c r="G2677" i="44" s="1"/>
  <c r="G2678" i="44" s="1"/>
  <c r="G2679" i="44" s="1"/>
  <c r="G2680" i="44" s="1"/>
  <c r="G2681" i="44" s="1"/>
  <c r="G2682" i="44" s="1"/>
  <c r="G2683" i="44" s="1"/>
  <c r="G2684" i="44" s="1"/>
  <c r="G2685" i="44" s="1"/>
  <c r="G2686" i="44" s="1"/>
  <c r="G2687" i="44" s="1"/>
  <c r="G2688" i="44" s="1"/>
  <c r="G2689" i="44" s="1"/>
  <c r="G2690" i="44" s="1"/>
  <c r="G2691" i="44" s="1"/>
  <c r="G2692" i="44" s="1"/>
  <c r="G2693" i="44" s="1"/>
  <c r="G2694" i="44" s="1"/>
  <c r="G2695" i="44" s="1"/>
  <c r="G2696" i="44" s="1"/>
  <c r="G2697" i="44" s="1"/>
  <c r="G2698" i="44" s="1"/>
  <c r="G2699" i="44" s="1"/>
  <c r="G2700" i="44" s="1"/>
  <c r="G2701" i="44" s="1"/>
  <c r="G2702" i="44" s="1"/>
  <c r="G2703" i="44" s="1"/>
  <c r="G2704" i="44" s="1"/>
  <c r="G2705" i="44" s="1"/>
  <c r="G2706" i="44" s="1"/>
  <c r="G2707" i="44" s="1"/>
  <c r="G2708" i="44" s="1"/>
  <c r="G2709" i="44" s="1"/>
  <c r="G2710" i="44" s="1"/>
  <c r="G2711" i="44" s="1"/>
  <c r="G2712" i="44" s="1"/>
  <c r="G2713" i="44" s="1"/>
  <c r="G2714" i="44" s="1"/>
  <c r="G2715" i="44" s="1"/>
  <c r="G2716" i="44" s="1"/>
  <c r="G2717" i="44" s="1"/>
  <c r="G2718" i="44" s="1"/>
  <c r="G2719" i="44" s="1"/>
  <c r="G2720" i="44" s="1"/>
  <c r="G2721" i="44" s="1"/>
  <c r="G2722" i="44" s="1"/>
  <c r="G2723" i="44" s="1"/>
  <c r="G2724" i="44" s="1"/>
  <c r="G2725" i="44" s="1"/>
  <c r="G2726" i="44" s="1"/>
  <c r="G2727" i="44" s="1"/>
  <c r="G2728" i="44" s="1"/>
  <c r="G2729" i="44" s="1"/>
  <c r="G2730" i="44" s="1"/>
  <c r="G2731" i="44" s="1"/>
  <c r="G2732" i="44" s="1"/>
  <c r="G2733" i="44" s="1"/>
  <c r="G2734" i="44" s="1"/>
  <c r="G2735" i="44" s="1"/>
  <c r="G2736" i="44" s="1"/>
  <c r="G2737" i="44" s="1"/>
  <c r="G2738" i="44" s="1"/>
  <c r="G2739" i="44" s="1"/>
  <c r="G2740" i="44" s="1"/>
  <c r="G2741" i="44" s="1"/>
  <c r="G2742" i="44" s="1"/>
  <c r="G2743" i="44" s="1"/>
  <c r="G2744" i="44" s="1"/>
  <c r="G2745" i="44" s="1"/>
  <c r="G2746" i="44" s="1"/>
  <c r="G2747" i="44" s="1"/>
  <c r="G2748" i="44" s="1"/>
  <c r="G2749" i="44" s="1"/>
  <c r="G2750" i="44" s="1"/>
  <c r="G2751" i="44" s="1"/>
  <c r="G2752" i="44" s="1"/>
  <c r="G2753" i="44" s="1"/>
  <c r="G2754" i="44" s="1"/>
  <c r="G2755" i="44" s="1"/>
  <c r="G2756" i="44" s="1"/>
  <c r="G2757" i="44" s="1"/>
  <c r="G2758" i="44" s="1"/>
  <c r="G2759" i="44" s="1"/>
  <c r="G2760" i="44" s="1"/>
  <c r="G2761" i="44" s="1"/>
  <c r="G2762" i="44" s="1"/>
  <c r="G2763" i="44" s="1"/>
  <c r="G2764" i="44" s="1"/>
  <c r="G2765" i="44" s="1"/>
  <c r="G2766" i="44" s="1"/>
  <c r="G2767" i="44" s="1"/>
  <c r="G2768" i="44" s="1"/>
  <c r="G2769" i="44" s="1"/>
  <c r="G2770" i="44" s="1"/>
  <c r="G2771" i="44" s="1"/>
  <c r="G2772" i="44" s="1"/>
  <c r="G2773" i="44" s="1"/>
  <c r="G2774" i="44" s="1"/>
  <c r="G2775" i="44" s="1"/>
  <c r="G2776" i="44" s="1"/>
  <c r="G2777" i="44" s="1"/>
  <c r="G2778" i="44" s="1"/>
  <c r="G2779" i="44" s="1"/>
  <c r="G2780" i="44" s="1"/>
  <c r="G2781" i="44" s="1"/>
  <c r="G2782" i="44" s="1"/>
  <c r="G2783" i="44" s="1"/>
  <c r="G2784" i="44" s="1"/>
  <c r="G2785" i="44" s="1"/>
  <c r="G2786" i="44" s="1"/>
  <c r="G2787" i="44" s="1"/>
  <c r="G2788" i="44" s="1"/>
  <c r="G2789" i="44" s="1"/>
  <c r="G2790" i="44" s="1"/>
  <c r="G2791" i="44" s="1"/>
  <c r="G2792" i="44" s="1"/>
  <c r="G2793" i="44" s="1"/>
  <c r="G2794" i="44" s="1"/>
  <c r="G2795" i="44" s="1"/>
  <c r="G2796" i="44" s="1"/>
  <c r="G2797" i="44" s="1"/>
  <c r="G2798" i="44" s="1"/>
  <c r="G2799" i="44" s="1"/>
  <c r="G2800" i="44" s="1"/>
  <c r="G2801" i="44" s="1"/>
  <c r="G2802" i="44" s="1"/>
  <c r="G2803" i="44" s="1"/>
  <c r="G2804" i="44" s="1"/>
  <c r="G2805" i="44" s="1"/>
  <c r="G2806" i="44" s="1"/>
  <c r="G2807" i="44" s="1"/>
  <c r="G2808" i="44" s="1"/>
  <c r="G2809" i="44" s="1"/>
  <c r="G2810" i="44" s="1"/>
  <c r="G2811" i="44" s="1"/>
  <c r="G2812" i="44" s="1"/>
  <c r="G2813" i="44" s="1"/>
  <c r="G2814" i="44" s="1"/>
  <c r="G2815" i="44" s="1"/>
  <c r="G2816" i="44" s="1"/>
  <c r="G2817" i="44" s="1"/>
  <c r="G2818" i="44" s="1"/>
  <c r="G2819" i="44" s="1"/>
  <c r="G2820" i="44" s="1"/>
  <c r="G2821" i="44" s="1"/>
  <c r="G2822" i="44" s="1"/>
  <c r="G2823" i="44" s="1"/>
  <c r="G2824" i="44" s="1"/>
  <c r="G2825" i="44" s="1"/>
  <c r="G2826" i="44" s="1"/>
  <c r="G2827" i="44" s="1"/>
  <c r="G2828" i="44" s="1"/>
  <c r="G2829" i="44" s="1"/>
  <c r="G2830" i="44" s="1"/>
  <c r="G2831" i="44" s="1"/>
  <c r="G2832" i="44" s="1"/>
  <c r="G2833" i="44" s="1"/>
  <c r="G2834" i="44" s="1"/>
  <c r="G2835" i="44" s="1"/>
  <c r="G2836" i="44" s="1"/>
  <c r="G2837" i="44" s="1"/>
  <c r="G2838" i="44" s="1"/>
  <c r="G2839" i="44" s="1"/>
  <c r="G2840" i="44" s="1"/>
  <c r="G2841" i="44" s="1"/>
  <c r="G2842" i="44" s="1"/>
  <c r="G2843" i="44" s="1"/>
  <c r="G2844" i="44" s="1"/>
  <c r="G2845" i="44" s="1"/>
  <c r="G2846" i="44" s="1"/>
  <c r="G2847" i="44" s="1"/>
  <c r="G2848" i="44" s="1"/>
  <c r="G2849" i="44" s="1"/>
  <c r="G2850" i="44" s="1"/>
  <c r="G2851" i="44" s="1"/>
  <c r="G2852" i="44" s="1"/>
  <c r="G2853" i="44" s="1"/>
  <c r="G2854" i="44" s="1"/>
  <c r="G2855" i="44" s="1"/>
  <c r="G2856" i="44" s="1"/>
  <c r="G2857" i="44" s="1"/>
  <c r="G2858" i="44" s="1"/>
  <c r="G2859" i="44" s="1"/>
  <c r="G2860" i="44" s="1"/>
  <c r="G2861" i="44" s="1"/>
  <c r="G2862" i="44" s="1"/>
  <c r="G2863" i="44" s="1"/>
  <c r="G2864" i="44" s="1"/>
  <c r="G2865" i="44" s="1"/>
  <c r="G2866" i="44" s="1"/>
  <c r="G2867" i="44" s="1"/>
  <c r="G2868" i="44" s="1"/>
  <c r="G2869" i="44" s="1"/>
  <c r="G2870" i="44" s="1"/>
  <c r="G2871" i="44" s="1"/>
  <c r="G2872" i="44" s="1"/>
  <c r="G2873" i="44" s="1"/>
  <c r="G2874" i="44" s="1"/>
  <c r="G2875" i="44" s="1"/>
  <c r="G2876" i="44" s="1"/>
  <c r="G2877" i="44" s="1"/>
  <c r="G2878" i="44" s="1"/>
  <c r="G2879" i="44" s="1"/>
  <c r="G2880" i="44" s="1"/>
  <c r="G2881" i="44" s="1"/>
  <c r="G2882" i="44" s="1"/>
  <c r="G2883" i="44" s="1"/>
  <c r="G2884" i="44" s="1"/>
  <c r="G2885" i="44" s="1"/>
  <c r="G2886" i="44" s="1"/>
  <c r="G2887" i="44" s="1"/>
  <c r="G2888" i="44" s="1"/>
  <c r="G2889" i="44" s="1"/>
  <c r="G2890" i="44" s="1"/>
  <c r="G2891" i="44" s="1"/>
  <c r="G2892" i="44" s="1"/>
  <c r="G2893" i="44" s="1"/>
  <c r="G2894" i="44" s="1"/>
  <c r="G2895" i="44" s="1"/>
  <c r="G2896" i="44" s="1"/>
  <c r="G2897" i="44" s="1"/>
  <c r="G2898" i="44" s="1"/>
  <c r="G2899" i="44" s="1"/>
  <c r="G2900" i="44" s="1"/>
  <c r="G2901" i="44" s="1"/>
  <c r="G2902" i="44" s="1"/>
  <c r="G2903" i="44" s="1"/>
  <c r="G2904" i="44" s="1"/>
  <c r="G2905" i="44" s="1"/>
  <c r="G2906" i="44" s="1"/>
  <c r="G2907" i="44" s="1"/>
  <c r="G2908" i="44" s="1"/>
  <c r="G2909" i="44" s="1"/>
  <c r="G2910" i="44" s="1"/>
  <c r="G2911" i="44" s="1"/>
  <c r="G2912" i="44" s="1"/>
  <c r="G2913" i="44" s="1"/>
  <c r="G2914" i="44" s="1"/>
  <c r="G2915" i="44" s="1"/>
  <c r="G2916" i="44" s="1"/>
  <c r="G2917" i="44" s="1"/>
  <c r="G2918" i="44" s="1"/>
  <c r="G2919" i="44" s="1"/>
  <c r="G2920" i="44" s="1"/>
  <c r="G2921" i="44" s="1"/>
  <c r="G2922" i="44" s="1"/>
  <c r="G2923" i="44" s="1"/>
  <c r="G2924" i="44" s="1"/>
  <c r="G2925" i="44" s="1"/>
  <c r="G2926" i="44" s="1"/>
  <c r="G2927" i="44" s="1"/>
  <c r="G2928" i="44" s="1"/>
  <c r="G2929" i="44" s="1"/>
  <c r="G2930" i="44" s="1"/>
  <c r="G2931" i="44" s="1"/>
  <c r="G2932" i="44" s="1"/>
  <c r="G2933" i="44" s="1"/>
  <c r="G2934" i="44" s="1"/>
  <c r="G2935" i="44" s="1"/>
  <c r="G2936" i="44" s="1"/>
  <c r="G2937" i="44" s="1"/>
  <c r="G2938" i="44" s="1"/>
  <c r="G2939" i="44" s="1"/>
  <c r="G2940" i="44" s="1"/>
  <c r="G2941" i="44" s="1"/>
  <c r="G2942" i="44" s="1"/>
  <c r="G2943" i="44" s="1"/>
  <c r="G2944" i="44" s="1"/>
  <c r="G2945" i="44" s="1"/>
  <c r="G2946" i="44" s="1"/>
  <c r="G2947" i="44" s="1"/>
  <c r="G2948" i="44" s="1"/>
  <c r="G2949" i="44" s="1"/>
  <c r="G2950" i="44" s="1"/>
  <c r="G2951" i="44" s="1"/>
  <c r="G2952" i="44" s="1"/>
  <c r="G2953" i="44" s="1"/>
  <c r="G2954" i="44" s="1"/>
  <c r="G2955" i="44" s="1"/>
  <c r="G2956" i="44" s="1"/>
  <c r="G2957" i="44" s="1"/>
  <c r="G2958" i="44" s="1"/>
  <c r="G2959" i="44" s="1"/>
  <c r="G2960" i="44" s="1"/>
  <c r="G2961" i="44" s="1"/>
  <c r="G2962" i="44" s="1"/>
  <c r="G2963" i="44" s="1"/>
  <c r="G2964" i="44" s="1"/>
  <c r="G2965" i="44" s="1"/>
  <c r="G2966" i="44" s="1"/>
  <c r="G2967" i="44" s="1"/>
  <c r="G2968" i="44" s="1"/>
  <c r="G2969" i="44" s="1"/>
  <c r="G2970" i="44" s="1"/>
  <c r="G2971" i="44" s="1"/>
  <c r="G2972" i="44" s="1"/>
  <c r="G2973" i="44" s="1"/>
  <c r="G2974" i="44" s="1"/>
  <c r="G2975" i="44" s="1"/>
  <c r="G2976" i="44" s="1"/>
  <c r="G2977" i="44" s="1"/>
  <c r="G2978" i="44" s="1"/>
  <c r="G2979" i="44" s="1"/>
  <c r="G2980" i="44" s="1"/>
  <c r="G2981" i="44" s="1"/>
  <c r="G2982" i="44" s="1"/>
  <c r="G2983" i="44" s="1"/>
  <c r="G2984" i="44" s="1"/>
  <c r="G2985" i="44" s="1"/>
  <c r="G2986" i="44" s="1"/>
  <c r="G2987" i="44" s="1"/>
  <c r="G2988" i="44" s="1"/>
  <c r="G2989" i="44" s="1"/>
  <c r="G2990" i="44" s="1"/>
  <c r="G2991" i="44" s="1"/>
  <c r="G2992" i="44" s="1"/>
  <c r="G2993" i="44" s="1"/>
  <c r="G2994" i="44" s="1"/>
  <c r="G2995" i="44" s="1"/>
  <c r="G2996" i="44" s="1"/>
  <c r="G2997" i="44" s="1"/>
  <c r="G2998" i="44" s="1"/>
  <c r="G2999" i="44" s="1"/>
  <c r="G3000" i="44" s="1"/>
  <c r="G3001" i="44" s="1"/>
  <c r="G3002" i="44" s="1"/>
  <c r="G3003" i="44" s="1"/>
  <c r="G3004" i="44" s="1"/>
  <c r="G3005" i="44" s="1"/>
  <c r="G3006" i="44" s="1"/>
  <c r="G3007" i="44" s="1"/>
  <c r="G3008" i="44" s="1"/>
  <c r="G3009" i="44" s="1"/>
  <c r="G3010" i="44" s="1"/>
  <c r="G3011" i="44" s="1"/>
  <c r="G3012" i="44" s="1"/>
  <c r="G3013" i="44" s="1"/>
  <c r="G3014" i="44" s="1"/>
  <c r="G3015" i="44" s="1"/>
  <c r="G3016" i="44" s="1"/>
  <c r="G3017" i="44" s="1"/>
  <c r="G3018" i="44" s="1"/>
  <c r="G3019" i="44" s="1"/>
  <c r="G3020" i="44" s="1"/>
  <c r="G3021" i="44" s="1"/>
  <c r="G3022" i="44" s="1"/>
  <c r="G3023" i="44" s="1"/>
  <c r="G3024" i="44" s="1"/>
  <c r="G3025" i="44" s="1"/>
  <c r="G3026" i="44" s="1"/>
  <c r="G3027" i="44" s="1"/>
  <c r="G3028" i="44" s="1"/>
  <c r="G3029" i="44" s="1"/>
  <c r="G3030" i="44" s="1"/>
  <c r="G3031" i="44" s="1"/>
  <c r="G3032" i="44" s="1"/>
  <c r="G3033" i="44" s="1"/>
  <c r="G3034" i="44" s="1"/>
  <c r="G3035" i="44" s="1"/>
  <c r="G3036" i="44" s="1"/>
  <c r="G3037" i="44" s="1"/>
  <c r="G3038" i="44" s="1"/>
  <c r="G3039" i="44" s="1"/>
  <c r="G3040" i="44" s="1"/>
  <c r="G3041" i="44" s="1"/>
  <c r="G3042" i="44" s="1"/>
  <c r="G3043" i="44" s="1"/>
  <c r="G3044" i="44" s="1"/>
  <c r="G3045" i="44" s="1"/>
  <c r="G3046" i="44" s="1"/>
  <c r="G3047" i="44" s="1"/>
  <c r="G3048" i="44" s="1"/>
  <c r="G3049" i="44" s="1"/>
  <c r="G3050" i="44" s="1"/>
  <c r="G3051" i="44" s="1"/>
  <c r="G3052" i="44" s="1"/>
  <c r="G3053" i="44" s="1"/>
  <c r="G3054" i="44" s="1"/>
  <c r="G3055" i="44" s="1"/>
  <c r="G3056" i="44" s="1"/>
  <c r="G3057" i="44" s="1"/>
  <c r="G3058" i="44" s="1"/>
  <c r="G3059" i="44" s="1"/>
  <c r="G3060" i="44" s="1"/>
  <c r="G3061" i="44" s="1"/>
  <c r="G3062" i="44" s="1"/>
  <c r="G3063" i="44" s="1"/>
  <c r="G3064" i="44" s="1"/>
  <c r="G3065" i="44" s="1"/>
  <c r="G3066" i="44" s="1"/>
  <c r="G3067" i="44" s="1"/>
  <c r="G3068" i="44" s="1"/>
  <c r="G3069" i="44" s="1"/>
  <c r="G3070" i="44" s="1"/>
  <c r="G3071" i="44" s="1"/>
  <c r="G3072" i="44" s="1"/>
  <c r="G3073" i="44" s="1"/>
  <c r="G3074" i="44" s="1"/>
  <c r="G3075" i="44" s="1"/>
  <c r="G3076" i="44" s="1"/>
  <c r="G3077" i="44" s="1"/>
  <c r="G3078" i="44" s="1"/>
  <c r="G3079" i="44" s="1"/>
  <c r="G3080" i="44" s="1"/>
  <c r="G3081" i="44" s="1"/>
  <c r="G3082" i="44" s="1"/>
  <c r="G3083" i="44" s="1"/>
  <c r="G3084" i="44" s="1"/>
  <c r="G3085" i="44" s="1"/>
  <c r="G3086" i="44" s="1"/>
  <c r="G3087" i="44" s="1"/>
  <c r="G3088" i="44" s="1"/>
  <c r="G3089" i="44" s="1"/>
  <c r="G3090" i="44" s="1"/>
  <c r="G3091" i="44" s="1"/>
  <c r="G3092" i="44" s="1"/>
  <c r="G3093" i="44" s="1"/>
  <c r="G3094" i="44" s="1"/>
  <c r="G3095" i="44" s="1"/>
  <c r="G3096" i="44" s="1"/>
  <c r="G3097" i="44" s="1"/>
  <c r="G3098" i="44" s="1"/>
  <c r="G3099" i="44" s="1"/>
  <c r="G3100" i="44" s="1"/>
  <c r="G3101" i="44" s="1"/>
  <c r="G3102" i="44" s="1"/>
  <c r="G3103" i="44" s="1"/>
  <c r="G3104" i="44" s="1"/>
  <c r="G3105" i="44" s="1"/>
  <c r="G3106" i="44" s="1"/>
  <c r="G3107" i="44" s="1"/>
  <c r="G3108" i="44" s="1"/>
  <c r="G3109" i="44" s="1"/>
  <c r="G3110" i="44" s="1"/>
  <c r="G3111" i="44" s="1"/>
  <c r="G3112" i="44" s="1"/>
  <c r="G3113" i="44" s="1"/>
  <c r="G3114" i="44" s="1"/>
  <c r="G3115" i="44" s="1"/>
  <c r="G3116" i="44" s="1"/>
  <c r="G3117" i="44" s="1"/>
  <c r="G3118" i="44" s="1"/>
  <c r="G3119" i="44" s="1"/>
  <c r="G3120" i="44" s="1"/>
  <c r="G3121" i="44" s="1"/>
  <c r="G3122" i="44" s="1"/>
  <c r="G3123" i="44" s="1"/>
  <c r="G3124" i="44" s="1"/>
  <c r="G3125" i="44" s="1"/>
  <c r="G3126" i="44" s="1"/>
  <c r="G3127" i="44" s="1"/>
  <c r="G3128" i="44" s="1"/>
  <c r="G3129" i="44" s="1"/>
  <c r="G3130" i="44" s="1"/>
  <c r="G3131" i="44" s="1"/>
  <c r="G3132" i="44" s="1"/>
  <c r="G3133" i="44" s="1"/>
  <c r="G3134" i="44" s="1"/>
  <c r="G3135" i="44" s="1"/>
  <c r="G3136" i="44" s="1"/>
  <c r="G3137" i="44" s="1"/>
  <c r="G3138" i="44" s="1"/>
  <c r="G3139" i="44" s="1"/>
  <c r="G3140" i="44" s="1"/>
  <c r="G3141" i="44" s="1"/>
  <c r="G3142" i="44" s="1"/>
  <c r="G3143" i="44" s="1"/>
  <c r="G3144" i="44" s="1"/>
  <c r="G3145" i="44" s="1"/>
  <c r="G3146" i="44" s="1"/>
  <c r="G3147" i="44" s="1"/>
  <c r="G3148" i="44" s="1"/>
  <c r="G3149" i="44" s="1"/>
  <c r="G3150" i="44" s="1"/>
  <c r="G3151" i="44" s="1"/>
  <c r="G3152" i="44" s="1"/>
  <c r="G3153" i="44" s="1"/>
  <c r="G3154" i="44" s="1"/>
  <c r="G3155" i="44" s="1"/>
  <c r="G3156" i="44" s="1"/>
  <c r="G3157" i="44" s="1"/>
  <c r="G3158" i="44" s="1"/>
  <c r="G3159" i="44" s="1"/>
  <c r="G3160" i="44" s="1"/>
  <c r="G3161" i="44" s="1"/>
  <c r="G3162" i="44" s="1"/>
  <c r="G3163" i="44" s="1"/>
  <c r="G3164" i="44" s="1"/>
  <c r="G3165" i="44" s="1"/>
  <c r="G3166" i="44" s="1"/>
  <c r="G3167" i="44" s="1"/>
  <c r="G3168" i="44" s="1"/>
  <c r="G3169" i="44" s="1"/>
  <c r="G3170" i="44" s="1"/>
  <c r="G3171" i="44" s="1"/>
  <c r="G3172" i="44" s="1"/>
  <c r="G3173" i="44" s="1"/>
  <c r="G3174" i="44" s="1"/>
  <c r="G3175" i="44" s="1"/>
  <c r="G3176" i="44" s="1"/>
  <c r="G3177" i="44" s="1"/>
  <c r="G3178" i="44" s="1"/>
  <c r="G3179" i="44" s="1"/>
  <c r="G3180" i="44" s="1"/>
  <c r="G3181" i="44" s="1"/>
  <c r="G3182" i="44" s="1"/>
  <c r="G3183" i="44" s="1"/>
  <c r="G3184" i="44" s="1"/>
  <c r="G3185" i="44" s="1"/>
  <c r="G3186" i="44" s="1"/>
  <c r="G3187" i="44" s="1"/>
  <c r="G3188" i="44" s="1"/>
  <c r="G3189" i="44" s="1"/>
  <c r="G3190" i="44" s="1"/>
  <c r="G3191" i="44" s="1"/>
  <c r="G3192" i="44" s="1"/>
  <c r="G3193" i="44" s="1"/>
  <c r="G3194" i="44" s="1"/>
  <c r="G3195" i="44" s="1"/>
  <c r="G3196" i="44" s="1"/>
  <c r="G3197" i="44" s="1"/>
  <c r="G3198" i="44" s="1"/>
  <c r="G3199" i="44" s="1"/>
  <c r="G3200" i="44" s="1"/>
  <c r="G3201" i="44" s="1"/>
  <c r="G3202" i="44" s="1"/>
  <c r="G3203" i="44" s="1"/>
  <c r="G3204" i="44" s="1"/>
  <c r="G3205" i="44" s="1"/>
  <c r="G3206" i="44" s="1"/>
  <c r="G3207" i="44" s="1"/>
  <c r="G3208" i="44" s="1"/>
  <c r="G3209" i="44" s="1"/>
  <c r="G3210" i="44" s="1"/>
  <c r="G3211" i="44" s="1"/>
  <c r="G3212" i="44" s="1"/>
  <c r="G3213" i="44" s="1"/>
  <c r="G3214" i="44" s="1"/>
  <c r="G3215" i="44" s="1"/>
  <c r="G3216" i="44" s="1"/>
  <c r="G3217" i="44" s="1"/>
  <c r="G3218" i="44" s="1"/>
  <c r="G3219" i="44" s="1"/>
  <c r="G3220" i="44" s="1"/>
  <c r="G3221" i="44" s="1"/>
  <c r="G3222" i="44" s="1"/>
  <c r="G3223" i="44" s="1"/>
  <c r="G3224" i="44" s="1"/>
  <c r="G3225" i="44" s="1"/>
  <c r="G3226" i="44" s="1"/>
  <c r="G3227" i="44" s="1"/>
  <c r="G3228" i="44" s="1"/>
  <c r="G3229" i="44" s="1"/>
  <c r="G3230" i="44" s="1"/>
  <c r="G3231" i="44" s="1"/>
  <c r="G3232" i="44" s="1"/>
  <c r="G3233" i="44" s="1"/>
  <c r="G3234" i="44" s="1"/>
  <c r="G3235" i="44" s="1"/>
  <c r="G3236" i="44" s="1"/>
  <c r="G3237" i="44" s="1"/>
  <c r="G3238" i="44" s="1"/>
  <c r="G3239" i="44" s="1"/>
  <c r="G3240" i="44" s="1"/>
  <c r="G3241" i="44" s="1"/>
  <c r="G3242" i="44" s="1"/>
  <c r="G3243" i="44" s="1"/>
  <c r="G3244" i="44" s="1"/>
  <c r="G3245" i="44" s="1"/>
  <c r="G3246" i="44" s="1"/>
  <c r="G3247" i="44" s="1"/>
  <c r="G3248" i="44" s="1"/>
  <c r="G3249" i="44" s="1"/>
  <c r="G3250" i="44" s="1"/>
  <c r="G3251" i="44" s="1"/>
  <c r="G3252" i="44" s="1"/>
  <c r="G3253" i="44" s="1"/>
  <c r="G3254" i="44" s="1"/>
  <c r="G3255" i="44" s="1"/>
  <c r="G3256" i="44" s="1"/>
  <c r="G3257" i="44" s="1"/>
  <c r="G3258" i="44" s="1"/>
  <c r="G3259" i="44" s="1"/>
  <c r="G3260" i="44" s="1"/>
  <c r="G3261" i="44" s="1"/>
  <c r="G3262" i="44" s="1"/>
  <c r="G3263" i="44" s="1"/>
  <c r="G3264" i="44" s="1"/>
  <c r="G3265" i="44" s="1"/>
  <c r="G3266" i="44" s="1"/>
  <c r="G3267" i="44" s="1"/>
  <c r="G3268" i="44" s="1"/>
  <c r="G3269" i="44" s="1"/>
  <c r="G3270" i="44" s="1"/>
  <c r="G3271" i="44" s="1"/>
  <c r="G3272" i="44" s="1"/>
  <c r="G3273" i="44" s="1"/>
  <c r="G3274" i="44" s="1"/>
  <c r="G3275" i="44" s="1"/>
  <c r="G3276" i="44" s="1"/>
  <c r="G3277" i="44" s="1"/>
  <c r="G3278" i="44" s="1"/>
  <c r="G3279" i="44" s="1"/>
  <c r="G3280" i="44" s="1"/>
  <c r="G3281" i="44" s="1"/>
  <c r="G3282" i="44" s="1"/>
  <c r="G3283" i="44" s="1"/>
  <c r="G3284" i="44" s="1"/>
  <c r="G3285" i="44" s="1"/>
  <c r="G3286" i="44" s="1"/>
  <c r="G3287" i="44" s="1"/>
  <c r="G3288" i="44" s="1"/>
  <c r="G3289" i="44" s="1"/>
  <c r="G3290" i="44" s="1"/>
  <c r="G3291" i="44" s="1"/>
  <c r="G3292" i="44" s="1"/>
  <c r="G3293" i="44" s="1"/>
  <c r="G3294" i="44" s="1"/>
  <c r="G3295" i="44" s="1"/>
  <c r="G3296" i="44" s="1"/>
  <c r="G3297" i="44" s="1"/>
  <c r="G3298" i="44" s="1"/>
  <c r="G3299" i="44" s="1"/>
  <c r="G3300" i="44" s="1"/>
  <c r="G3301" i="44" s="1"/>
  <c r="G3302" i="44" s="1"/>
  <c r="G3303" i="44" s="1"/>
  <c r="G3304" i="44" s="1"/>
  <c r="G3305" i="44" s="1"/>
  <c r="G3306" i="44" s="1"/>
  <c r="G3307" i="44" s="1"/>
  <c r="G3308" i="44" s="1"/>
  <c r="G3309" i="44" s="1"/>
  <c r="G3310" i="44" s="1"/>
  <c r="G3311" i="44" s="1"/>
  <c r="G3312" i="44" s="1"/>
  <c r="G3313" i="44" s="1"/>
  <c r="G3314" i="44" s="1"/>
  <c r="G3315" i="44" s="1"/>
  <c r="G3316" i="44" s="1"/>
  <c r="G3317" i="44" s="1"/>
  <c r="G3318" i="44" s="1"/>
  <c r="G3319" i="44" s="1"/>
  <c r="G3320" i="44" s="1"/>
  <c r="G3321" i="44" s="1"/>
  <c r="G3322" i="44" s="1"/>
  <c r="G3323" i="44" s="1"/>
  <c r="G3324" i="44" s="1"/>
  <c r="G3325" i="44" s="1"/>
  <c r="G3326" i="44" s="1"/>
  <c r="G3327" i="44" s="1"/>
  <c r="G3328" i="44" s="1"/>
  <c r="G3329" i="44" s="1"/>
  <c r="G3330" i="44" s="1"/>
  <c r="G3331" i="44" s="1"/>
  <c r="G3332" i="44" s="1"/>
  <c r="G3333" i="44" s="1"/>
  <c r="G3334" i="44" s="1"/>
  <c r="G3335" i="44" s="1"/>
  <c r="G3336" i="44" s="1"/>
  <c r="G3337" i="44" s="1"/>
  <c r="G3338" i="44" s="1"/>
  <c r="G3339" i="44" s="1"/>
  <c r="G3340" i="44" s="1"/>
  <c r="G3341" i="44" s="1"/>
  <c r="G3342" i="44" s="1"/>
  <c r="G3343" i="44" s="1"/>
  <c r="G3344" i="44" s="1"/>
  <c r="G3345" i="44" s="1"/>
  <c r="G3346" i="44" s="1"/>
  <c r="G3347" i="44" s="1"/>
  <c r="G3348" i="44" s="1"/>
  <c r="G3349" i="44" s="1"/>
  <c r="G3350" i="44" s="1"/>
  <c r="G3351" i="44" s="1"/>
  <c r="G3352" i="44" s="1"/>
  <c r="G3353" i="44" s="1"/>
  <c r="G3354" i="44" s="1"/>
  <c r="G3355" i="44" s="1"/>
  <c r="G3356" i="44" s="1"/>
  <c r="G3357" i="44" s="1"/>
  <c r="G3358" i="44" s="1"/>
  <c r="G3359" i="44" s="1"/>
  <c r="G3360" i="44" s="1"/>
  <c r="G3361" i="44" s="1"/>
  <c r="G3362" i="44" s="1"/>
  <c r="G3363" i="44" s="1"/>
  <c r="G3364" i="44" s="1"/>
  <c r="G3365" i="44" s="1"/>
  <c r="G3366" i="44" s="1"/>
  <c r="G3367" i="44" s="1"/>
  <c r="G3368" i="44" s="1"/>
  <c r="G3369" i="44" s="1"/>
  <c r="G3370" i="44" s="1"/>
  <c r="A23" i="21" s="1"/>
  <c r="A186" i="44"/>
  <c r="A170" i="44"/>
  <c r="L148" i="44"/>
  <c r="N148" i="44" s="1"/>
  <c r="A188" i="44"/>
  <c r="A174" i="44"/>
  <c r="A194" i="44"/>
  <c r="A180" i="44"/>
  <c r="A160" i="44"/>
  <c r="G78" i="3"/>
  <c r="G90" i="3" s="1"/>
  <c r="P891" i="3" s="1"/>
  <c r="B96" i="3"/>
  <c r="K897" i="3" s="1"/>
  <c r="F91" i="3"/>
  <c r="O892" i="3" s="1"/>
  <c r="D90" i="3"/>
  <c r="M891" i="3" s="1"/>
  <c r="E94" i="3"/>
  <c r="N895" i="3" s="1"/>
  <c r="B95" i="3"/>
  <c r="K896" i="3" s="1"/>
  <c r="D94" i="3"/>
  <c r="M895" i="3" s="1"/>
  <c r="G82" i="3"/>
  <c r="G94" i="3" s="1"/>
  <c r="P895" i="3" s="1"/>
  <c r="C91" i="3"/>
  <c r="L892" i="3" s="1"/>
  <c r="G81" i="3"/>
  <c r="G93" i="3" s="1"/>
  <c r="P894" i="3" s="1"/>
  <c r="E95" i="3"/>
  <c r="N896" i="3" s="1"/>
  <c r="D96" i="3"/>
  <c r="M897" i="3" s="1"/>
  <c r="D91" i="3"/>
  <c r="F90" i="3"/>
  <c r="O891" i="3" s="1"/>
  <c r="F891" i="3" s="1"/>
  <c r="F94" i="3"/>
  <c r="O895" i="3" s="1"/>
  <c r="F93" i="3"/>
  <c r="O894" i="3" s="1"/>
  <c r="B90" i="3"/>
  <c r="K891" i="3" s="1"/>
  <c r="F96" i="3"/>
  <c r="O897" i="3" s="1"/>
  <c r="C96" i="3"/>
  <c r="L897" i="3" s="1"/>
  <c r="B93" i="3"/>
  <c r="K894" i="3" s="1"/>
  <c r="E96" i="3"/>
  <c r="N897" i="3" s="1"/>
  <c r="G80" i="3"/>
  <c r="G92" i="3" s="1"/>
  <c r="P893" i="3" s="1"/>
  <c r="C93" i="3"/>
  <c r="L894" i="3" s="1"/>
  <c r="C94" i="3"/>
  <c r="L895" i="3" s="1"/>
  <c r="B92" i="3"/>
  <c r="K893" i="3" s="1"/>
  <c r="D93" i="3"/>
  <c r="M894" i="3" s="1"/>
  <c r="E90" i="3"/>
  <c r="N891" i="3" s="1"/>
  <c r="D95" i="3"/>
  <c r="M896" i="3" s="1"/>
  <c r="C95" i="3"/>
  <c r="L896" i="3" s="1"/>
  <c r="F95" i="3"/>
  <c r="O896" i="3" s="1"/>
  <c r="G83" i="3"/>
  <c r="G95" i="3" s="1"/>
  <c r="P896" i="3" s="1"/>
  <c r="E91" i="3"/>
  <c r="N892" i="3" s="1"/>
  <c r="C92" i="3"/>
  <c r="L893" i="3" s="1"/>
  <c r="G84" i="3"/>
  <c r="G96" i="3" s="1"/>
  <c r="P897" i="3" s="1"/>
  <c r="E92" i="3"/>
  <c r="N893" i="3" s="1"/>
  <c r="B94" i="3"/>
  <c r="K895" i="3" s="1"/>
  <c r="G79" i="3"/>
  <c r="G91" i="3" s="1"/>
  <c r="P892" i="3" s="1"/>
  <c r="C90" i="3"/>
  <c r="L891" i="3" s="1"/>
  <c r="B91" i="3"/>
  <c r="K892" i="3" s="1"/>
  <c r="E93" i="3"/>
  <c r="N894" i="3" s="1"/>
  <c r="D92" i="3"/>
  <c r="M893" i="3" s="1"/>
  <c r="F92" i="3"/>
  <c r="O893" i="3" s="1"/>
  <c r="A158" i="44"/>
  <c r="A3" i="21"/>
  <c r="G1476" i="44"/>
  <c r="G1477" i="44" s="1"/>
  <c r="G1478" i="44" s="1"/>
  <c r="G1479" i="44" s="1"/>
  <c r="G1480" i="44" s="1"/>
  <c r="G1481" i="44" s="1"/>
  <c r="G1482" i="44" s="1"/>
  <c r="G1483" i="44" s="1"/>
  <c r="G1484" i="44" s="1"/>
  <c r="G1485" i="44" s="1"/>
  <c r="G1486" i="44" s="1"/>
  <c r="G1487" i="44" s="1"/>
  <c r="G1488" i="44" s="1"/>
  <c r="G1489" i="44" s="1"/>
  <c r="G1490" i="44" s="1"/>
  <c r="G1491" i="44" s="1"/>
  <c r="G1492" i="44" s="1"/>
  <c r="G1493" i="44" s="1"/>
  <c r="G1494" i="44" s="1"/>
  <c r="G1495" i="44" s="1"/>
  <c r="G1496" i="44" s="1"/>
  <c r="G1497" i="44" s="1"/>
  <c r="G1498" i="44" s="1"/>
  <c r="G1499" i="44" s="1"/>
  <c r="G1500" i="44" s="1"/>
  <c r="G1501" i="44" s="1"/>
  <c r="A190" i="44"/>
  <c r="A210" i="44"/>
  <c r="A202" i="44"/>
  <c r="G215" i="24" l="1"/>
  <c r="H891" i="3"/>
  <c r="H153" i="32"/>
  <c r="M892" i="3"/>
  <c r="F890" i="3" s="1"/>
  <c r="M148" i="44"/>
  <c r="F148" i="44"/>
  <c r="A148" i="44" s="1"/>
  <c r="G148" i="44" s="1"/>
  <c r="G149" i="44" s="1"/>
  <c r="G150" i="44" s="1"/>
  <c r="G151" i="44" s="1"/>
  <c r="G152" i="44" s="1"/>
  <c r="G153" i="44" s="1"/>
  <c r="G154" i="44" s="1"/>
  <c r="G155" i="44" s="1"/>
  <c r="G156" i="44" s="1"/>
  <c r="G157" i="44" s="1"/>
  <c r="G158" i="44" s="1"/>
  <c r="G159" i="44" s="1"/>
  <c r="G160" i="44" s="1"/>
  <c r="G161" i="44" s="1"/>
  <c r="G162" i="44" s="1"/>
  <c r="G163" i="44" s="1"/>
  <c r="G164" i="44" s="1"/>
  <c r="G165" i="44" s="1"/>
  <c r="G166" i="44" s="1"/>
  <c r="G167" i="44" s="1"/>
  <c r="G168" i="44" s="1"/>
  <c r="G169" i="44" s="1"/>
  <c r="G170" i="44" s="1"/>
  <c r="G171" i="44" s="1"/>
  <c r="G172" i="44" s="1"/>
  <c r="G173" i="44" s="1"/>
  <c r="G174" i="44" s="1"/>
  <c r="G175" i="44" s="1"/>
  <c r="G176" i="44" s="1"/>
  <c r="G177" i="44" s="1"/>
  <c r="G178" i="44" s="1"/>
  <c r="G179" i="44" s="1"/>
  <c r="G180" i="44" s="1"/>
  <c r="G181" i="44" s="1"/>
  <c r="G182" i="44" s="1"/>
  <c r="G183" i="44" s="1"/>
  <c r="G184" i="44" s="1"/>
  <c r="G185" i="44" s="1"/>
  <c r="G186" i="44" s="1"/>
  <c r="G187" i="44" s="1"/>
  <c r="G188" i="44" s="1"/>
  <c r="G189" i="44" s="1"/>
  <c r="G190" i="44" s="1"/>
  <c r="G191" i="44" s="1"/>
  <c r="G192" i="44" s="1"/>
  <c r="G193" i="44" s="1"/>
  <c r="G194" i="44" s="1"/>
  <c r="G195" i="44" s="1"/>
  <c r="G196" i="44" s="1"/>
  <c r="G197" i="44" s="1"/>
  <c r="G198" i="44" s="1"/>
  <c r="G199" i="44" s="1"/>
  <c r="G200" i="44" s="1"/>
  <c r="G201" i="44" s="1"/>
  <c r="G202" i="44" s="1"/>
  <c r="G203" i="44" s="1"/>
  <c r="G204" i="44" s="1"/>
  <c r="G205" i="44" s="1"/>
  <c r="G206" i="44" s="1"/>
  <c r="G207" i="44" s="1"/>
  <c r="G208" i="44" s="1"/>
  <c r="G209" i="44" s="1"/>
  <c r="G210" i="44" s="1"/>
  <c r="G211" i="44" s="1"/>
  <c r="G212" i="44" s="1"/>
  <c r="G213" i="44" s="1"/>
  <c r="G214" i="44" s="1"/>
  <c r="G215" i="44" s="1"/>
  <c r="A7" i="21" s="1"/>
  <c r="J153" i="32" l="1"/>
  <c r="I215" i="24"/>
  <c r="H890" i="3"/>
  <c r="H152" i="32"/>
  <c r="G214" i="24"/>
  <c r="J152" i="32"/>
  <c r="I214"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Paula Harrison</author>
    <author>Megan Herrera</author>
    <author>Kaylen Lanser</author>
  </authors>
  <commentList>
    <comment ref="A12" authorId="0" shapeId="0" xr:uid="{042D1A2B-3A70-4A4E-A31C-78AD7BF967F1}">
      <text>
        <r>
          <rPr>
            <b/>
            <sz val="9"/>
            <color indexed="81"/>
            <rFont val="Tahoma"/>
            <family val="2"/>
          </rPr>
          <t>The entity that is applying for Housing Credits for a Project pursuant to this QAP. The Applicant shall
Control the Owner of the Project and shall not be a single purpose entity. Project consultants and other
like professionals shall not be considered Applicants.</t>
        </r>
        <r>
          <rPr>
            <sz val="9"/>
            <color indexed="81"/>
            <rFont val="Tahoma"/>
            <family val="2"/>
          </rPr>
          <t xml:space="preserve">
</t>
        </r>
      </text>
    </comment>
    <comment ref="A25" authorId="1" shapeId="0" xr:uid="{B6D758E1-515B-4B1E-9559-7F121B1B9B2F}">
      <text>
        <r>
          <rPr>
            <sz val="9"/>
            <color indexed="81"/>
            <rFont val="Tahoma"/>
            <family val="2"/>
          </rPr>
          <t xml:space="preserve">For entities that will be members of the General Partner, such as a joint venture or co-general partners. Fee/turn-key developers, please complete the fee/turn-key developer section in rows B194 through B206.
</t>
        </r>
      </text>
    </comment>
    <comment ref="A53" authorId="2" shapeId="0" xr:uid="{71922C60-0944-45F7-BF06-CB27583C4F8E}">
      <text>
        <r>
          <rPr>
            <sz val="9"/>
            <color indexed="81"/>
            <rFont val="Tahoma"/>
            <family val="2"/>
          </rPr>
          <t xml:space="preserve">With respect to its programs, services, activities, and employment practices, Colorado Housing and Finance Authority does not discriminate on the basis of race, color, religion, sex (including gender, gender identity, sexual orientation, and sexual harassment), age, national origin, disability, or any other protected classification under federal, state, or local law.
</t>
        </r>
      </text>
    </comment>
    <comment ref="A101" authorId="0" shapeId="0" xr:uid="{E54402F2-B98A-4BD2-8856-0E7ED249ACE0}">
      <text>
        <r>
          <rPr>
            <b/>
            <sz val="9"/>
            <color indexed="81"/>
            <rFont val="Tahoma"/>
            <family val="2"/>
          </rPr>
          <t>The single purpose entity that is awarded Housing Credits for a Project pursuant to this QAP and which
owns or will own the Project; the Owner shall be Controlled by the Applicant.</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Paula Harrison</author>
    <author>Kaylen Lanser</author>
    <author>Pablo Payan</author>
    <author>Megan Herrera</author>
    <author>Sara Surprenant</author>
  </authors>
  <commentList>
    <comment ref="C2" authorId="0" shapeId="0" xr:uid="{895F9530-5E8A-444E-BC74-389AC95D1E92}">
      <text>
        <r>
          <rPr>
            <b/>
            <sz val="9"/>
            <color indexed="81"/>
            <rFont val="Tahoma"/>
            <family val="2"/>
          </rPr>
          <t>&lt;[[TCDeals] - [TC Property Current Stage (Seq: 1)] TC Total Vacancy Allowance - Both]&gt;</t>
        </r>
      </text>
    </comment>
    <comment ref="C3" authorId="0" shapeId="0" xr:uid="{5F91CD73-97B0-4E67-BA73-7EC9A64BE18A}">
      <text>
        <r>
          <rPr>
            <b/>
            <sz val="9"/>
            <color indexed="81"/>
            <rFont val="Tahoma"/>
            <family val="2"/>
          </rPr>
          <t>&lt;[[TCDeals] - [TC Property Current Stage (Seq: 1)] Annual EGI Low Income Units - Both]&gt;</t>
        </r>
      </text>
    </comment>
    <comment ref="C4" authorId="0" shapeId="0" xr:uid="{5B474844-DD22-4828-8E9C-EFA9C04FE59E}">
      <text>
        <r>
          <rPr>
            <b/>
            <sz val="9"/>
            <color indexed="81"/>
            <rFont val="Tahoma"/>
            <family val="2"/>
          </rPr>
          <t>&lt;[[TCDeals] - [TC Property Current Stage (Seq: 1)] Debt Coverage Ratio Year 1 - Both]&gt;</t>
        </r>
      </text>
    </comment>
    <comment ref="C5" authorId="0" shapeId="0" xr:uid="{2BB8216E-508A-4064-9433-B8C3B91A6B12}">
      <text>
        <r>
          <rPr>
            <b/>
            <sz val="9"/>
            <color indexed="81"/>
            <rFont val="Tahoma"/>
            <family val="2"/>
          </rPr>
          <t>&lt;[[TCDeals] - [TC Property Current Stage (Seq: 1)] Debt Coverage Ratio Year 2 - Both]&gt;</t>
        </r>
      </text>
    </comment>
    <comment ref="C6" authorId="0" shapeId="0" xr:uid="{476AD571-4D4A-46B6-84BF-0A0BB194060A}">
      <text>
        <r>
          <rPr>
            <b/>
            <sz val="9"/>
            <color indexed="81"/>
            <rFont val="Tahoma"/>
            <family val="2"/>
          </rPr>
          <t>&lt;[[TCDeals] - [TC Property Current Stage (Seq: 1)] Debt Coverage Ratio Year 15 - Both]&gt;</t>
        </r>
      </text>
    </comment>
    <comment ref="C7" authorId="0" shapeId="0" xr:uid="{AB3C2DBD-3BC7-4738-8810-3CE1A468D338}">
      <text>
        <r>
          <rPr>
            <b/>
            <sz val="9"/>
            <color indexed="81"/>
            <rFont val="Tahoma"/>
            <family val="2"/>
          </rPr>
          <t>&lt;[[TCDeals] - [TC Property Current Stage (Seq: 1)] - [Property Points (Seq: 1)] Partnership/Asset Mgt Fees (Year 1) - Both]&gt;</t>
        </r>
      </text>
    </comment>
    <comment ref="C8" authorId="1" shapeId="0" xr:uid="{9C3E5021-F814-4EDC-B0BC-AC6BBDD78FBD}">
      <text>
        <r>
          <rPr>
            <b/>
            <sz val="9"/>
            <color indexed="81"/>
            <rFont val="Tahoma"/>
            <family val="2"/>
          </rPr>
          <t>&lt;[[TCDeals] - [TC Property Current Stage (Seq: 1)] - [Property Points (Seq: 1)] Bond Fees (Year1) - Both]&gt;</t>
        </r>
      </text>
    </comment>
    <comment ref="C9" authorId="1" shapeId="0" xr:uid="{FA107A18-CBB2-4E31-9793-E76B6AA0CAC9}">
      <text>
        <r>
          <rPr>
            <b/>
            <sz val="9"/>
            <color indexed="81"/>
            <rFont val="Tahoma"/>
            <family val="2"/>
          </rPr>
          <t>&lt;[[TCDeals] - [TC Property Current Stage (Seq: 1)] - [Property Points (Seq: 1)] Deferred Developer Fee Year 1 - Both]&gt;</t>
        </r>
      </text>
    </comment>
    <comment ref="C10" authorId="1" shapeId="0" xr:uid="{85D01A46-A533-405F-B8F5-885F38B186C3}">
      <text>
        <r>
          <rPr>
            <b/>
            <sz val="9"/>
            <color indexed="81"/>
            <rFont val="Tahoma"/>
            <family val="2"/>
          </rPr>
          <t>&lt;[[TCDeals] - [TC Property Current Stage (Seq: 1)] - [Property Points (Seq: 1)] Other Number year 1 - Both]&gt;</t>
        </r>
      </text>
    </comment>
    <comment ref="C11" authorId="1" shapeId="0" xr:uid="{70B17157-4F59-4482-A55A-0E03D96A522F}">
      <text>
        <r>
          <rPr>
            <b/>
            <sz val="9"/>
            <color indexed="81"/>
            <rFont val="Tahoma"/>
            <family val="2"/>
          </rPr>
          <t>&lt;[[TCDeals] - [TC Property Current Stage (Seq: 1)] - [Property Points (Seq: 1)] Other Specify Name year 1 - Both]&gt;</t>
        </r>
      </text>
    </comment>
    <comment ref="C12" authorId="0" shapeId="0" xr:uid="{0AB889AD-5DFD-4A9B-84D4-CAB2C7AC1F73}">
      <text>
        <r>
          <rPr>
            <b/>
            <sz val="9"/>
            <color indexed="81"/>
            <rFont val="Tahoma"/>
            <family val="2"/>
          </rPr>
          <t>&lt;[[TCDeals] - [TC Property Current Stage (Seq: 1)] - [Property Points (Seq: 1)] Cash Flow Pledged to PSH Services (Year 1) - Both]&gt;</t>
        </r>
      </text>
    </comment>
    <comment ref="C13" authorId="0" shapeId="0" xr:uid="{13371318-1ED7-4826-BCD9-05C7FC70A3C5}">
      <text>
        <r>
          <rPr>
            <b/>
            <sz val="9"/>
            <color indexed="81"/>
            <rFont val="Tahoma"/>
            <family val="2"/>
          </rPr>
          <t>&lt;[[TCDeals] - [TC Property Current Stage (Seq: 1)] - [Property Points (Seq: 1)] Proforma, Income &amp; Expense Other (Year 1) - Both]&gt;</t>
        </r>
      </text>
    </comment>
    <comment ref="C14" authorId="0" shapeId="0" xr:uid="{E96B3149-8846-4A58-BFBA-802EF64A81C5}">
      <text>
        <r>
          <rPr>
            <b/>
            <sz val="9"/>
            <color indexed="81"/>
            <rFont val="Tahoma"/>
            <family val="2"/>
          </rPr>
          <t>&lt;[[TCDeals] - [TC Property Current Stage (Seq: 1)] - [Property Points (Seq: 1)] Partnership/Asset Mgt. Fees (Year 2) - Both]&gt;</t>
        </r>
      </text>
    </comment>
    <comment ref="C15" authorId="1" shapeId="0" xr:uid="{17399038-61F7-4058-9825-C6D4B32BAFB3}">
      <text>
        <r>
          <rPr>
            <b/>
            <sz val="9"/>
            <color indexed="81"/>
            <rFont val="Tahoma"/>
            <family val="2"/>
          </rPr>
          <t>&lt;[[TCDeals] - [TC Property Current Stage (Seq: 1)] - [Property Points (Seq: 1)] Bond Fees (Year 2) - Both]&gt;</t>
        </r>
      </text>
    </comment>
    <comment ref="C16" authorId="1" shapeId="0" xr:uid="{EB1AFCFA-27E9-4E5E-B161-E88F1411584C}">
      <text>
        <r>
          <rPr>
            <b/>
            <sz val="9"/>
            <color indexed="81"/>
            <rFont val="Tahoma"/>
            <family val="2"/>
          </rPr>
          <t>&lt;[[TCDeals] - [TC Property Current Stage (Seq: 1)] - [Property Points (Seq: 1)] Deferred Developer Fee (Year 2) - Both]&gt;</t>
        </r>
      </text>
    </comment>
    <comment ref="C17" authorId="1" shapeId="0" xr:uid="{3AA22FF0-3F2F-4542-A75D-3B3C34D21DC1}">
      <text>
        <r>
          <rPr>
            <b/>
            <sz val="9"/>
            <color indexed="81"/>
            <rFont val="Tahoma"/>
            <family val="2"/>
          </rPr>
          <t>&lt;[[TCDeals] - [TC Property Current Stage (Seq: 1)] - [Property Points (Seq: 1)] Other Number year 2 - Both]&gt;</t>
        </r>
      </text>
    </comment>
    <comment ref="C18" authorId="1" shapeId="0" xr:uid="{75884086-936A-403F-B84C-45811E07DD89}">
      <text>
        <r>
          <rPr>
            <b/>
            <sz val="9"/>
            <color indexed="81"/>
            <rFont val="Tahoma"/>
            <family val="2"/>
          </rPr>
          <t>&lt;[[TCDeals] - [TC Property Current Stage (Seq: 1)] - [Property Points (Seq: 1)] Other Specify Name year 2 - Both]&gt;</t>
        </r>
      </text>
    </comment>
    <comment ref="C19" authorId="0" shapeId="0" xr:uid="{D9404C6F-BB57-4AA6-B47D-FA30F8A99ED3}">
      <text>
        <r>
          <rPr>
            <b/>
            <sz val="9"/>
            <color indexed="81"/>
            <rFont val="Tahoma"/>
            <family val="2"/>
          </rPr>
          <t>&lt;[[TCDeals] - [TC Property Current Stage (Seq: 1)] - [Property Points (Seq: 1)] Cash Flow Pledged to PSH Services (Year 2) - Both]&gt;</t>
        </r>
      </text>
    </comment>
    <comment ref="C20" authorId="0" shapeId="0" xr:uid="{1795508E-EC3E-4D7B-8306-3C925E856E31}">
      <text>
        <r>
          <rPr>
            <b/>
            <sz val="9"/>
            <color indexed="81"/>
            <rFont val="Tahoma"/>
            <family val="2"/>
          </rPr>
          <t>&lt;[[TCDeals] - [TC Property Current Stage (Seq: 1)] - [Property Points (Seq: 1)] Proforma, Income &amp; Expense Other (Year 2) - Both]&gt;</t>
        </r>
      </text>
    </comment>
    <comment ref="C21" authorId="0" shapeId="0" xr:uid="{3A5A05B0-D0A0-4DD0-BF6C-5201AF1D7DE8}">
      <text>
        <r>
          <rPr>
            <b/>
            <sz val="9"/>
            <color indexed="81"/>
            <rFont val="Tahoma"/>
            <family val="2"/>
          </rPr>
          <t>&lt;[[TCDeals] - [TC Property Current Stage (Seq: 1)] - [Property Points (Seq: 1)] Partnership/Asset Mgt. Fees (Year 3) - Both]&gt;</t>
        </r>
      </text>
    </comment>
    <comment ref="C22" authorId="1" shapeId="0" xr:uid="{C9B2C704-5017-461B-B0E1-83AAF549D008}">
      <text>
        <r>
          <rPr>
            <b/>
            <sz val="9"/>
            <color indexed="81"/>
            <rFont val="Tahoma"/>
            <family val="2"/>
          </rPr>
          <t>&lt;[[TCDeals] - [TC Property Current Stage (Seq: 1)] - [Property Points (Seq: 1)] Bond Fees (Year 3) - Both]&gt;</t>
        </r>
      </text>
    </comment>
    <comment ref="C23" authorId="1" shapeId="0" xr:uid="{73B72D99-E663-4707-9F29-807812C475CC}">
      <text>
        <r>
          <rPr>
            <b/>
            <sz val="9"/>
            <color indexed="81"/>
            <rFont val="Tahoma"/>
            <family val="2"/>
          </rPr>
          <t>&lt;[[TCDeals] - [TC Property Current Stage (Seq: 1)] - [Property Points (Seq: 1)] Deferred Developer Fee Year 3 - Both]&gt;</t>
        </r>
      </text>
    </comment>
    <comment ref="C24" authorId="1" shapeId="0" xr:uid="{9ECF2C8A-9129-4E38-B1A6-5F07BA636FC3}">
      <text>
        <r>
          <rPr>
            <b/>
            <sz val="9"/>
            <color indexed="81"/>
            <rFont val="Tahoma"/>
            <family val="2"/>
          </rPr>
          <t>&lt;[[TCDeals] - [TC Property Current Stage (Seq: 1)] - [Property Points (Seq: 1)] Other Number year 3 - Both]&gt;</t>
        </r>
      </text>
    </comment>
    <comment ref="C25" authorId="1" shapeId="0" xr:uid="{00339FBA-22A2-4A31-98BB-BE3CFA6CAA74}">
      <text>
        <r>
          <rPr>
            <b/>
            <sz val="9"/>
            <color indexed="81"/>
            <rFont val="Tahoma"/>
            <family val="2"/>
          </rPr>
          <t>&lt;[[TCDeals] - [TC Property Current Stage (Seq: 1)] - [Property Points (Seq: 1)] Other Specify Name year 3 - Both]&gt;</t>
        </r>
      </text>
    </comment>
    <comment ref="C26" authorId="0" shapeId="0" xr:uid="{1DE47484-50EA-4676-9B6B-38AD4C6BB95D}">
      <text>
        <r>
          <rPr>
            <b/>
            <sz val="9"/>
            <color indexed="81"/>
            <rFont val="Tahoma"/>
            <family val="2"/>
          </rPr>
          <t>&lt;[[TCDeals] - [TC Property Current Stage (Seq: 1)] - [Property Points (Seq: 1)] Cash Flow Pledged to PSH Services (Year 3) - Both]&gt;</t>
        </r>
      </text>
    </comment>
    <comment ref="C27" authorId="0" shapeId="0" xr:uid="{341006E7-76AE-43E7-B90B-F0DA9C07FE35}">
      <text>
        <r>
          <rPr>
            <b/>
            <sz val="9"/>
            <color indexed="81"/>
            <rFont val="Tahoma"/>
            <family val="2"/>
          </rPr>
          <t>&lt;[[TCDeals] - [TC Property Current Stage (Seq: 1)] - [Property Points (Seq: 1)] Proforma, Income &amp; Expense Other (Year 3) - Both]&gt;</t>
        </r>
      </text>
    </comment>
    <comment ref="C28" authorId="0" shapeId="0" xr:uid="{A9E24240-886A-4ED6-9D14-C81115B36D3B}">
      <text>
        <r>
          <rPr>
            <b/>
            <sz val="9"/>
            <color indexed="81"/>
            <rFont val="Tahoma"/>
            <family val="2"/>
          </rPr>
          <t>&lt;[[TCDeals] - [TC Property Current Stage (Seq: 1)] - [Property Points (Seq: 1)] Partnership/Asset Mgt. Fees (Year 4) - Both]&gt;</t>
        </r>
      </text>
    </comment>
    <comment ref="C29" authorId="1" shapeId="0" xr:uid="{79737873-6783-41E8-B903-EFAF9795F179}">
      <text>
        <r>
          <rPr>
            <b/>
            <sz val="9"/>
            <color indexed="81"/>
            <rFont val="Tahoma"/>
            <family val="2"/>
          </rPr>
          <t>&lt;[[TCDeals] - [TC Property Current Stage (Seq: 1)] - [Property Points (Seq: 1)] Bond Fees (Year 4) - Both]&gt;</t>
        </r>
      </text>
    </comment>
    <comment ref="C30" authorId="1" shapeId="0" xr:uid="{C3ABE6E2-B948-4900-9BCB-74E1BA5AFACE}">
      <text>
        <r>
          <rPr>
            <b/>
            <sz val="9"/>
            <color indexed="81"/>
            <rFont val="Tahoma"/>
            <family val="2"/>
          </rPr>
          <t>&lt;[[TCDeals] - [TC Property Current Stage (Seq: 1)] - [Property Points (Seq: 1)] Deferred Developer Fee Year 4 - Both]&gt;</t>
        </r>
      </text>
    </comment>
    <comment ref="C31" authorId="1" shapeId="0" xr:uid="{4D6AEC46-E3C4-4896-809D-FF2CB673BB6A}">
      <text>
        <r>
          <rPr>
            <b/>
            <sz val="9"/>
            <color indexed="81"/>
            <rFont val="Tahoma"/>
            <family val="2"/>
          </rPr>
          <t>&lt;[[TCDeals] - [TC Property Current Stage (Seq: 1)] - [Property Points (Seq: 1)] Other Number year 4 - Both]&gt;</t>
        </r>
      </text>
    </comment>
    <comment ref="C32" authorId="1" shapeId="0" xr:uid="{CB5E7213-6DCE-4320-A08A-D35DFD6DB282}">
      <text>
        <r>
          <rPr>
            <b/>
            <sz val="9"/>
            <color indexed="81"/>
            <rFont val="Tahoma"/>
            <family val="2"/>
          </rPr>
          <t>&lt;[[TCDeals] - [TC Property Current Stage (Seq: 1)] - [Property Points (Seq: 1)] Other Specify Name year 4 - Both]&gt;</t>
        </r>
      </text>
    </comment>
    <comment ref="C33" authorId="0" shapeId="0" xr:uid="{CF873C83-D402-4DDC-8019-B33E864763E3}">
      <text>
        <r>
          <rPr>
            <b/>
            <sz val="9"/>
            <color indexed="81"/>
            <rFont val="Tahoma"/>
            <family val="2"/>
          </rPr>
          <t>&lt;[[TCDeals] - [TC Property Current Stage (Seq: 1)] - [Property Points (Seq: 1)] Cash Flow Pledged to PSH Services (Year 4) - Both]&gt;</t>
        </r>
      </text>
    </comment>
    <comment ref="C34" authorId="0" shapeId="0" xr:uid="{C47B3948-FFC2-4B9F-AA4D-03DD3C96E32D}">
      <text>
        <r>
          <rPr>
            <b/>
            <sz val="9"/>
            <color indexed="81"/>
            <rFont val="Tahoma"/>
            <family val="2"/>
          </rPr>
          <t>&lt;[[TCDeals] - [TC Property Current Stage (Seq: 1)] - [Property Points (Seq: 1)] Proforma, Income &amp; Expense Other (Year 4) - Both]&gt;</t>
        </r>
      </text>
    </comment>
    <comment ref="C35" authorId="0" shapeId="0" xr:uid="{CEDAD75F-44AD-4DF9-8ADD-F19B081DB535}">
      <text>
        <r>
          <rPr>
            <b/>
            <sz val="9"/>
            <color indexed="81"/>
            <rFont val="Tahoma"/>
            <family val="2"/>
          </rPr>
          <t>&lt;[[TCDeals] - [TC Property Current Stage (Seq: 1)] - [Property Points (Seq: 1)] Partnership/Asset Mgt. Fees (Year 5) - Both]&gt;</t>
        </r>
      </text>
    </comment>
    <comment ref="C36" authorId="1" shapeId="0" xr:uid="{A76304AE-27C4-4C0F-AD57-C99366FFD88E}">
      <text>
        <r>
          <rPr>
            <b/>
            <sz val="9"/>
            <color indexed="81"/>
            <rFont val="Tahoma"/>
            <family val="2"/>
          </rPr>
          <t>&lt;[[TCDeals] - [TC Property Current Stage (Seq: 1)] - [Property Points (Seq: 1)] Bond Fees Year 5 - Both]&gt;</t>
        </r>
      </text>
    </comment>
    <comment ref="C37" authorId="1" shapeId="0" xr:uid="{C57F88AE-B98E-4C63-A950-849A819B9E2B}">
      <text>
        <r>
          <rPr>
            <b/>
            <sz val="9"/>
            <color indexed="81"/>
            <rFont val="Tahoma"/>
            <family val="2"/>
          </rPr>
          <t>&lt;[[TCDeals] - [TC Property Current Stage (Seq: 1)] - [Property Points (Seq: 1)] Deferred Developer Fee Year 5 - Both]&gt;</t>
        </r>
      </text>
    </comment>
    <comment ref="C38" authorId="1" shapeId="0" xr:uid="{52776AAC-1558-4B7A-8992-787629E4C1EB}">
      <text>
        <r>
          <rPr>
            <b/>
            <sz val="9"/>
            <color indexed="81"/>
            <rFont val="Tahoma"/>
            <family val="2"/>
          </rPr>
          <t>&lt;[[TCDeals] - [TC Property Current Stage (Seq: 1)] - [Property Points (Seq: 1)] Other Number year 5 - Both]&gt;</t>
        </r>
      </text>
    </comment>
    <comment ref="C39" authorId="1" shapeId="0" xr:uid="{2FE551CD-71CD-44A7-8C5A-F140736B4B44}">
      <text>
        <r>
          <rPr>
            <b/>
            <sz val="9"/>
            <color indexed="81"/>
            <rFont val="Tahoma"/>
            <family val="2"/>
          </rPr>
          <t>&lt;[[TCDeals] - [TC Property Current Stage (Seq: 1)] - [Property Points (Seq: 1)] Other Specify Name year 5 - Both]&gt;</t>
        </r>
      </text>
    </comment>
    <comment ref="C40" authorId="0" shapeId="0" xr:uid="{5C956F68-12B9-4206-A019-07A0E25E7250}">
      <text>
        <r>
          <rPr>
            <b/>
            <sz val="9"/>
            <color indexed="81"/>
            <rFont val="Tahoma"/>
            <family val="2"/>
          </rPr>
          <t>&lt;[[TCDeals] - [TC Property Current Stage (Seq: 1)] - [Property Points (Seq: 1)] Cash Flow Pledged to PSH Services (Year 5) - Both]&gt;</t>
        </r>
      </text>
    </comment>
    <comment ref="C41" authorId="0" shapeId="0" xr:uid="{0E223AFD-22F7-4DF6-BEC2-FAA70B58A5F6}">
      <text>
        <r>
          <rPr>
            <b/>
            <sz val="9"/>
            <color indexed="81"/>
            <rFont val="Tahoma"/>
            <family val="2"/>
          </rPr>
          <t>&lt;[[TCDeals] - [TC Property Current Stage (Seq: 1)] - [Property Points (Seq: 1)] Proforma, Income &amp; Expense Other (Year 5) - Both]&gt;</t>
        </r>
      </text>
    </comment>
    <comment ref="C42" authorId="0" shapeId="0" xr:uid="{FFF24126-168D-42DE-B07A-0F9A7769913C}">
      <text>
        <r>
          <rPr>
            <b/>
            <sz val="9"/>
            <color indexed="81"/>
            <rFont val="Tahoma"/>
            <family val="2"/>
          </rPr>
          <t>&lt;[[TCDeals] - [TC Property Current Stage (Seq: 1)] - [Property Points (Seq: 1)] Partnership/Asset Mgt. Fees (Year 6) - Both]&gt;</t>
        </r>
      </text>
    </comment>
    <comment ref="C43" authorId="1" shapeId="0" xr:uid="{A2F08053-5500-42C1-96C4-C513CE7A77E6}">
      <text>
        <r>
          <rPr>
            <b/>
            <sz val="9"/>
            <color indexed="81"/>
            <rFont val="Tahoma"/>
            <family val="2"/>
          </rPr>
          <t>&lt;[[TCDeals] - [TC Property Current Stage (Seq: 1)] - [Property Points (Seq: 1)] Bond Fees Year 6 - Both]&gt;</t>
        </r>
      </text>
    </comment>
    <comment ref="C44" authorId="1" shapeId="0" xr:uid="{61B54DDA-C503-42B1-BFBC-861B6F9E9084}">
      <text>
        <r>
          <rPr>
            <b/>
            <sz val="9"/>
            <color indexed="81"/>
            <rFont val="Tahoma"/>
            <family val="2"/>
          </rPr>
          <t>&lt;[[TCDeals] - [TC Property Current Stage (Seq: 1)] - [Property Points (Seq: 1)] Deferred Developer Fee Year 6 - Both]&gt;</t>
        </r>
      </text>
    </comment>
    <comment ref="C45" authorId="1" shapeId="0" xr:uid="{C574CA19-D848-4A5D-A82D-6D209427F1F4}">
      <text>
        <r>
          <rPr>
            <b/>
            <sz val="9"/>
            <color indexed="81"/>
            <rFont val="Tahoma"/>
            <family val="2"/>
          </rPr>
          <t>&lt;[[TCDeals] - [TC Property Current Stage (Seq: 1)] - [Property Points (Seq: 1)] Other Number year 6 - Both]&gt;</t>
        </r>
      </text>
    </comment>
    <comment ref="C46" authorId="1" shapeId="0" xr:uid="{E6FEDE31-CCF3-40EE-A517-3586AF4F4415}">
      <text>
        <r>
          <rPr>
            <b/>
            <sz val="9"/>
            <color indexed="81"/>
            <rFont val="Tahoma"/>
            <family val="2"/>
          </rPr>
          <t>&lt;[[TCDeals] - [TC Property Current Stage (Seq: 1)] - [Property Points (Seq: 1)] Other Specify Name year 6 - Both]&gt;</t>
        </r>
      </text>
    </comment>
    <comment ref="C47" authorId="0" shapeId="0" xr:uid="{FFA81610-A9BA-404B-A56F-CC568025087E}">
      <text>
        <r>
          <rPr>
            <b/>
            <sz val="9"/>
            <color indexed="81"/>
            <rFont val="Tahoma"/>
            <family val="2"/>
          </rPr>
          <t>&lt;[[TCDeals] - [TC Property Current Stage (Seq: 1)] - [Property Points (Seq: 1)] Cash Flow Pledged to PSH Services (Year 6) - Both]&gt;</t>
        </r>
      </text>
    </comment>
    <comment ref="C48" authorId="0" shapeId="0" xr:uid="{F51ABA82-AD7F-4A3F-B76A-13EF44750A05}">
      <text>
        <r>
          <rPr>
            <b/>
            <sz val="9"/>
            <color indexed="81"/>
            <rFont val="Tahoma"/>
            <family val="2"/>
          </rPr>
          <t>&lt;[[TCDeals] - [TC Property Current Stage (Seq: 1)] - [Property Points (Seq: 1)] Proforma, Income &amp; Expense Other (Year 6) - Both]&gt;</t>
        </r>
      </text>
    </comment>
    <comment ref="C49" authorId="0" shapeId="0" xr:uid="{4C0AA5A8-C25A-469F-85E9-072905E25886}">
      <text>
        <r>
          <rPr>
            <b/>
            <sz val="9"/>
            <color indexed="81"/>
            <rFont val="Tahoma"/>
            <family val="2"/>
          </rPr>
          <t>&lt;[[TCDeals] - [TC Property Current Stage (Seq: 1)] - [Property Points (Seq: 1)] Partnership/Asset Mgt. Fees (Year 7) - Both]&gt;</t>
        </r>
      </text>
    </comment>
    <comment ref="C50" authorId="1" shapeId="0" xr:uid="{2B4AA6E0-B0F7-4A80-B707-D4E5BBB0AD02}">
      <text>
        <r>
          <rPr>
            <b/>
            <sz val="9"/>
            <color indexed="81"/>
            <rFont val="Tahoma"/>
            <family val="2"/>
          </rPr>
          <t>&lt;[[TCDeals] - [TC Property Current Stage (Seq: 1)] - [Property Points (Seq: 1)] Bond Fees Year 7 - Both]&gt;</t>
        </r>
      </text>
    </comment>
    <comment ref="C51" authorId="1" shapeId="0" xr:uid="{34A2C507-59C5-47C3-81D9-256A6E6B436E}">
      <text>
        <r>
          <rPr>
            <b/>
            <sz val="9"/>
            <color indexed="81"/>
            <rFont val="Tahoma"/>
            <family val="2"/>
          </rPr>
          <t>&lt;[[TCDeals] - [TC Property Current Stage (Seq: 1)] - [Property Points (Seq: 1)] Deferred Developer Fee Year 7 - Both]&gt;</t>
        </r>
      </text>
    </comment>
    <comment ref="C52" authorId="1" shapeId="0" xr:uid="{40C60E5E-F1E0-4E94-9925-0A1C798843F3}">
      <text>
        <r>
          <rPr>
            <b/>
            <sz val="9"/>
            <color indexed="81"/>
            <rFont val="Tahoma"/>
            <family val="2"/>
          </rPr>
          <t>&lt;[[TCDeals] - [TC Property Current Stage (Seq: 1)] - [Property Points (Seq: 1)] Other Number year 7 - Both]&gt;</t>
        </r>
      </text>
    </comment>
    <comment ref="C53" authorId="1" shapeId="0" xr:uid="{4FC8FF03-571B-4D16-93AF-8D0EC8A412BC}">
      <text>
        <r>
          <rPr>
            <b/>
            <sz val="9"/>
            <color indexed="81"/>
            <rFont val="Tahoma"/>
            <family val="2"/>
          </rPr>
          <t>&lt;[[TCDeals] - [TC Property Current Stage (Seq: 1)] - [Property Points (Seq: 1)] Other Specify Name year 7 - Both]&gt;</t>
        </r>
      </text>
    </comment>
    <comment ref="C54" authorId="0" shapeId="0" xr:uid="{CE570208-6634-4999-9B85-EC2063AEC936}">
      <text>
        <r>
          <rPr>
            <b/>
            <sz val="9"/>
            <color indexed="81"/>
            <rFont val="Tahoma"/>
            <family val="2"/>
          </rPr>
          <t>&lt;[[TCDeals] - [TC Property Current Stage (Seq: 1)] - [Property Points (Seq: 1)] Cash Flow Pledged to PSH Services (Year 7) - Both]&gt;</t>
        </r>
      </text>
    </comment>
    <comment ref="C55" authorId="0" shapeId="0" xr:uid="{60C7ED14-F58E-4EB2-8C0E-452317DD5D4C}">
      <text>
        <r>
          <rPr>
            <b/>
            <sz val="9"/>
            <color indexed="81"/>
            <rFont val="Tahoma"/>
            <family val="2"/>
          </rPr>
          <t>&lt;[[TCDeals] - [TC Property Current Stage (Seq: 1)] - [Property Points (Seq: 1)] Proforma, Income &amp; Expense Other (Year 7) - Both]&gt;</t>
        </r>
      </text>
    </comment>
    <comment ref="C56" authorId="0" shapeId="0" xr:uid="{493DA4F6-2DDE-4374-A112-A64B96940059}">
      <text>
        <r>
          <rPr>
            <b/>
            <sz val="9"/>
            <color indexed="81"/>
            <rFont val="Tahoma"/>
            <family val="2"/>
          </rPr>
          <t>&lt;[[TCDeals] - [TC Property Current Stage (Seq: 1)] - [Property Points (Seq: 1)] Partnership/Asset Mgt. Fees (Year 8) - Both]&gt;</t>
        </r>
      </text>
    </comment>
    <comment ref="C57" authorId="1" shapeId="0" xr:uid="{9B968452-A2F6-438B-B122-89F2C3921154}">
      <text>
        <r>
          <rPr>
            <b/>
            <sz val="9"/>
            <color indexed="81"/>
            <rFont val="Tahoma"/>
            <family val="2"/>
          </rPr>
          <t>&lt;[[TCDeals] - [TC Property Current Stage (Seq: 1)] - [Property Points (Seq: 1)] Bond Fees Year 8 - Both]&gt;</t>
        </r>
      </text>
    </comment>
    <comment ref="C58" authorId="1" shapeId="0" xr:uid="{53F1819A-DC05-4BBF-838E-9F7130B86027}">
      <text>
        <r>
          <rPr>
            <b/>
            <sz val="9"/>
            <color indexed="81"/>
            <rFont val="Tahoma"/>
            <family val="2"/>
          </rPr>
          <t>&lt;[[TCDeals] - [TC Property Current Stage (Seq: 1)] - [Property Points (Seq: 1)] Deferred Developer Fee Year 8 - Both]&gt;</t>
        </r>
      </text>
    </comment>
    <comment ref="C59" authorId="1" shapeId="0" xr:uid="{86D9FD37-8D82-4336-9E4B-5582EC6C8859}">
      <text>
        <r>
          <rPr>
            <b/>
            <sz val="9"/>
            <color indexed="81"/>
            <rFont val="Tahoma"/>
            <family val="2"/>
          </rPr>
          <t>&lt;[[TCDeals] - [TC Property Current Stage (Seq: 1)] - [Property Points (Seq: 1)] Other Number year 8 - Both]&gt;</t>
        </r>
      </text>
    </comment>
    <comment ref="C60" authorId="1" shapeId="0" xr:uid="{0A3D10A6-151B-4FB0-9598-21A3A172385D}">
      <text>
        <r>
          <rPr>
            <b/>
            <sz val="9"/>
            <color indexed="81"/>
            <rFont val="Tahoma"/>
            <family val="2"/>
          </rPr>
          <t>&lt;[[TCDeals] - [TC Property Current Stage (Seq: 1)] - [Property Points (Seq: 1)] Other Specify Name year 8 - Both]&gt;</t>
        </r>
      </text>
    </comment>
    <comment ref="C61" authorId="0" shapeId="0" xr:uid="{AA8E6B02-6467-4E33-BAE2-CDD9A482CC14}">
      <text>
        <r>
          <rPr>
            <b/>
            <sz val="9"/>
            <color indexed="81"/>
            <rFont val="Tahoma"/>
            <family val="2"/>
          </rPr>
          <t>&lt;[[TCDeals] - [TC Property Current Stage (Seq: 1)] - [Property Points (Seq: 1)] Cash Flow Pledged to PSH Services (Year 8) - Both]&gt;</t>
        </r>
      </text>
    </comment>
    <comment ref="C62" authorId="0" shapeId="0" xr:uid="{9850BE2B-030F-40AF-A17E-08EF0B56EF25}">
      <text>
        <r>
          <rPr>
            <b/>
            <sz val="9"/>
            <color indexed="81"/>
            <rFont val="Tahoma"/>
            <family val="2"/>
          </rPr>
          <t>&lt;[[TCDeals] - [TC Property Current Stage (Seq: 1)] - [Property Points (Seq: 1)] Proforma, Income &amp; Expense Other (Year 8) - Both]&gt;</t>
        </r>
      </text>
    </comment>
    <comment ref="C63" authorId="0" shapeId="0" xr:uid="{35A7DF8C-C688-4AE1-A894-664B33E2272D}">
      <text>
        <r>
          <rPr>
            <b/>
            <sz val="9"/>
            <color indexed="81"/>
            <rFont val="Tahoma"/>
            <family val="2"/>
          </rPr>
          <t>&lt;[[TCDeals] - [TC Property Current Stage (Seq: 1)] - [Property Points (Seq: 1)] Partnership/Asset Mgt. Fees (Year 9) - Both]&gt;</t>
        </r>
      </text>
    </comment>
    <comment ref="C64" authorId="1" shapeId="0" xr:uid="{E24BC5CA-C522-4576-9A71-C6A714DC4A5F}">
      <text>
        <r>
          <rPr>
            <b/>
            <sz val="9"/>
            <color indexed="81"/>
            <rFont val="Tahoma"/>
            <family val="2"/>
          </rPr>
          <t>&lt;[[TCDeals] - [TC Property Current Stage (Seq: 1)] - [Property Points (Seq: 1)] Bond Fees Year 9 - Both]&gt;</t>
        </r>
      </text>
    </comment>
    <comment ref="C65" authorId="1" shapeId="0" xr:uid="{544A66D6-3BBB-4CBA-A89A-8E3ACE01772D}">
      <text>
        <r>
          <rPr>
            <b/>
            <sz val="9"/>
            <color indexed="81"/>
            <rFont val="Tahoma"/>
            <family val="2"/>
          </rPr>
          <t>&lt;[[TCDeals] - [TC Property Current Stage (Seq: 1)] - [Property Points (Seq: 1)] Deferred Developer Fee Year 9 - Both]&gt;</t>
        </r>
      </text>
    </comment>
    <comment ref="C66" authorId="1" shapeId="0" xr:uid="{D983BA8B-CDCE-4A2B-B322-5E7B5939FCFF}">
      <text>
        <r>
          <rPr>
            <b/>
            <sz val="9"/>
            <color indexed="81"/>
            <rFont val="Tahoma"/>
            <family val="2"/>
          </rPr>
          <t>&lt;[[TCDeals] - [TC Property Current Stage (Seq: 1)] - [Property Points (Seq: 1)] Other Number year 9 - Both]&gt;</t>
        </r>
      </text>
    </comment>
    <comment ref="C67" authorId="1" shapeId="0" xr:uid="{98F6B041-E812-4D19-BC78-2DCB9350FE9E}">
      <text>
        <r>
          <rPr>
            <b/>
            <sz val="9"/>
            <color indexed="81"/>
            <rFont val="Tahoma"/>
            <family val="2"/>
          </rPr>
          <t>&lt;[[TCDeals] - [TC Property Current Stage (Seq: 1)] - [Property Points (Seq: 1)] Other Specify Name year 9 - Both]&gt;</t>
        </r>
      </text>
    </comment>
    <comment ref="C68" authorId="0" shapeId="0" xr:uid="{1BC35A4B-6FBF-438B-A2BF-40015A88B1B5}">
      <text>
        <r>
          <rPr>
            <b/>
            <sz val="9"/>
            <color indexed="81"/>
            <rFont val="Tahoma"/>
            <family val="2"/>
          </rPr>
          <t>&lt;[[TCDeals] - [TC Property Current Stage (Seq: 1)] - [Property Points (Seq: 1)] Cash Flow Pledged to PSH Services (Year 9) - Both]&gt;</t>
        </r>
      </text>
    </comment>
    <comment ref="C69" authorId="0" shapeId="0" xr:uid="{25952B3B-5FD5-4BC9-B1B5-4A863DF220CB}">
      <text>
        <r>
          <rPr>
            <b/>
            <sz val="9"/>
            <color indexed="81"/>
            <rFont val="Tahoma"/>
            <family val="2"/>
          </rPr>
          <t>&lt;[[TCDeals] - [TC Property Current Stage (Seq: 1)] - [Property Points (Seq: 1)] Proforma, Income &amp; Expense Other (Year 9) - Both]&gt;</t>
        </r>
      </text>
    </comment>
    <comment ref="C70" authorId="0" shapeId="0" xr:uid="{72CBA6C5-0424-4433-82E6-78840ADD0841}">
      <text>
        <r>
          <rPr>
            <b/>
            <sz val="9"/>
            <color indexed="81"/>
            <rFont val="Tahoma"/>
            <family val="2"/>
          </rPr>
          <t>&lt;[[TCDeals] - [TC Property Current Stage (Seq: 1)] - [Property Points (Seq: 1)] Partnership/Asset Mgt. Fees (Year 10) - Both]&gt;</t>
        </r>
      </text>
    </comment>
    <comment ref="C71" authorId="1" shapeId="0" xr:uid="{6606469D-C21E-4BC3-B9B4-AF5BF7F6C805}">
      <text>
        <r>
          <rPr>
            <b/>
            <sz val="9"/>
            <color indexed="81"/>
            <rFont val="Tahoma"/>
            <family val="2"/>
          </rPr>
          <t>&lt;[[TCDeals] - [TC Property Current Stage (Seq: 1)] - [Property Points (Seq: 1)] Bond Fees Year 10 - Both]&gt;</t>
        </r>
      </text>
    </comment>
    <comment ref="C72" authorId="1" shapeId="0" xr:uid="{155CA323-B087-4245-AFA7-02E6FFBBD229}">
      <text>
        <r>
          <rPr>
            <b/>
            <sz val="9"/>
            <color indexed="81"/>
            <rFont val="Tahoma"/>
            <family val="2"/>
          </rPr>
          <t>&lt;[[TCDeals] - [TC Property Current Stage (Seq: 1)] - [Property Points (Seq: 1)] Deferred Developer Fee Year 10 - Both]&gt;</t>
        </r>
      </text>
    </comment>
    <comment ref="C73" authorId="1" shapeId="0" xr:uid="{950B0F28-B524-4B4E-A849-1EECD55E2E99}">
      <text>
        <r>
          <rPr>
            <b/>
            <sz val="9"/>
            <color indexed="81"/>
            <rFont val="Tahoma"/>
            <family val="2"/>
          </rPr>
          <t>&lt;[[TCDeals] - [TC Property Current Stage (Seq: 1)] - [Property Points (Seq: 1)] Other Number year 10 - Both]&gt;</t>
        </r>
      </text>
    </comment>
    <comment ref="C74" authorId="1" shapeId="0" xr:uid="{80DD4533-0D9F-43B1-8692-0AC8D9A462CE}">
      <text>
        <r>
          <rPr>
            <b/>
            <sz val="9"/>
            <color indexed="81"/>
            <rFont val="Tahoma"/>
            <family val="2"/>
          </rPr>
          <t>&lt;[[TCDeals] - [TC Property Current Stage (Seq: 1)] - [Property Points (Seq: 1)] Other Specify Name year 10 - Both]&gt;</t>
        </r>
      </text>
    </comment>
    <comment ref="C75" authorId="0" shapeId="0" xr:uid="{3323F0EA-27F8-45AA-897F-215B69FF4BA8}">
      <text>
        <r>
          <rPr>
            <b/>
            <sz val="9"/>
            <color indexed="81"/>
            <rFont val="Tahoma"/>
            <family val="2"/>
          </rPr>
          <t>&lt;[[TCDeals] - [TC Property Current Stage (Seq: 1)] - [Property Points (Seq: 1)] Cash Flow Pledged to PSH Services (Year 10) - Both]&gt;</t>
        </r>
      </text>
    </comment>
    <comment ref="C76" authorId="0" shapeId="0" xr:uid="{DA4755A7-E98E-4880-9238-199604CEC357}">
      <text>
        <r>
          <rPr>
            <b/>
            <sz val="9"/>
            <color indexed="81"/>
            <rFont val="Tahoma"/>
            <family val="2"/>
          </rPr>
          <t>&lt;[[TCDeals] - [TC Property Current Stage (Seq: 1)] - [Property Points (Seq: 1)] Proforma, Income &amp; Expense Other (Year 10) - Both]&gt;</t>
        </r>
      </text>
    </comment>
    <comment ref="C77" authorId="0" shapeId="0" xr:uid="{36F98EE6-9A61-422C-9271-6ECA9951AA99}">
      <text>
        <r>
          <rPr>
            <b/>
            <sz val="9"/>
            <color indexed="81"/>
            <rFont val="Tahoma"/>
            <family val="2"/>
          </rPr>
          <t>&lt;[[TCDeals] - [TC Property Current Stage (Seq: 1)] - [Property Points (Seq: 1)] Partnership/Asset Mgt. Fees (Year 11) - Both]&gt;</t>
        </r>
      </text>
    </comment>
    <comment ref="C78" authorId="1" shapeId="0" xr:uid="{803BCAFD-3AA4-4562-9834-2E5175E10A78}">
      <text>
        <r>
          <rPr>
            <b/>
            <sz val="9"/>
            <color indexed="81"/>
            <rFont val="Tahoma"/>
            <family val="2"/>
          </rPr>
          <t>&lt;[[TCDeals] - [TC Property Current Stage (Seq: 1)] - [Property Points (Seq: 1)] Bond Fees Year 11 - Both]&gt;</t>
        </r>
      </text>
    </comment>
    <comment ref="C79" authorId="1" shapeId="0" xr:uid="{3DBF6D73-51FE-4FF6-8142-DCA66D42D172}">
      <text>
        <r>
          <rPr>
            <b/>
            <sz val="9"/>
            <color indexed="81"/>
            <rFont val="Tahoma"/>
            <family val="2"/>
          </rPr>
          <t>&lt;[[TCDeals] - [TC Property Current Stage (Seq: 1)] - [Property Points (Seq: 1)] Deferred Developer Fee Year 11 - Both]&gt;</t>
        </r>
      </text>
    </comment>
    <comment ref="C80" authorId="1" shapeId="0" xr:uid="{1BAA8FE4-116F-4333-B86C-6603D7324470}">
      <text>
        <r>
          <rPr>
            <b/>
            <sz val="9"/>
            <color indexed="81"/>
            <rFont val="Tahoma"/>
            <family val="2"/>
          </rPr>
          <t>&lt;[[TCDeals] - [TC Property Current Stage (Seq: 1)] - [Property Points (Seq: 1)] Other Number year 11 - Both]&gt;</t>
        </r>
      </text>
    </comment>
    <comment ref="C81" authorId="1" shapeId="0" xr:uid="{FF66717C-29D1-444A-9676-2FADC56E6D0B}">
      <text>
        <r>
          <rPr>
            <b/>
            <sz val="9"/>
            <color indexed="81"/>
            <rFont val="Tahoma"/>
            <family val="2"/>
          </rPr>
          <t>&lt;[[TCDeals] - [TC Property Current Stage (Seq: 1)] - [Property Points (Seq: 1)] Other Specify Name year 11 - Both]&gt;</t>
        </r>
      </text>
    </comment>
    <comment ref="C82" authorId="0" shapeId="0" xr:uid="{41F2D80B-6085-479B-8497-6FFB386B89ED}">
      <text>
        <r>
          <rPr>
            <b/>
            <sz val="9"/>
            <color indexed="81"/>
            <rFont val="Tahoma"/>
            <family val="2"/>
          </rPr>
          <t>&lt;[[TCDeals] - [TC Property Current Stage (Seq: 1)] - [Property Points (Seq: 1)] Cash Flow Pledged to PSH Services (Year 11) - Both]&gt;</t>
        </r>
      </text>
    </comment>
    <comment ref="C83" authorId="0" shapeId="0" xr:uid="{19C13884-4980-4BF0-AAF5-8588C3BB3FBF}">
      <text>
        <r>
          <rPr>
            <b/>
            <sz val="9"/>
            <color indexed="81"/>
            <rFont val="Tahoma"/>
            <family val="2"/>
          </rPr>
          <t>&lt;[[TCDeals] - [TC Property Current Stage (Seq: 1)] - [Property Points (Seq: 1)] Proforma, Income &amp; Expense Other (Year 11) - Both]&gt;</t>
        </r>
      </text>
    </comment>
    <comment ref="C84" authorId="0" shapeId="0" xr:uid="{5BA4931C-2364-4826-9932-095893930C97}">
      <text>
        <r>
          <rPr>
            <b/>
            <sz val="9"/>
            <color indexed="81"/>
            <rFont val="Tahoma"/>
            <family val="2"/>
          </rPr>
          <t>&lt;[[TCDeals] - [TC Property Current Stage (Seq: 1)] - [Property Points (Seq: 1)] Partnership/Asset Mgt. Fees (Year 12) - Both]&gt;</t>
        </r>
      </text>
    </comment>
    <comment ref="C85" authorId="1" shapeId="0" xr:uid="{5F494026-18F4-49F2-B430-C5D98746A4F9}">
      <text>
        <r>
          <rPr>
            <b/>
            <sz val="9"/>
            <color indexed="81"/>
            <rFont val="Tahoma"/>
            <family val="2"/>
          </rPr>
          <t>&lt;[[TCDeals] - [TC Property Current Stage (Seq: 1)] - [Property Points (Seq: 1)] Bond Fees Year 12 - Both]&gt;</t>
        </r>
      </text>
    </comment>
    <comment ref="C86" authorId="1" shapeId="0" xr:uid="{4210698D-6C42-42AD-AA95-938F0A2ECF83}">
      <text>
        <r>
          <rPr>
            <b/>
            <sz val="9"/>
            <color indexed="81"/>
            <rFont val="Tahoma"/>
            <family val="2"/>
          </rPr>
          <t>&lt;[[TCDeals] - [TC Property Current Stage (Seq: 1)] - [Property Points (Seq: 1)] Deferred Developer Fee Year 12 - Both]&gt;</t>
        </r>
      </text>
    </comment>
    <comment ref="C87" authorId="1" shapeId="0" xr:uid="{6FD90B97-62E6-46A8-9B28-42C6D384FA9B}">
      <text>
        <r>
          <rPr>
            <b/>
            <sz val="9"/>
            <color indexed="81"/>
            <rFont val="Tahoma"/>
            <family val="2"/>
          </rPr>
          <t>&lt;[[TCDeals] - [TC Property Current Stage (Seq: 1)] - [Property Points (Seq: 1)] Other Number year 12 - Both]&gt;</t>
        </r>
      </text>
    </comment>
    <comment ref="C88" authorId="1" shapeId="0" xr:uid="{EB5BA614-F153-44EA-8988-47BD8C3EEDB3}">
      <text>
        <r>
          <rPr>
            <b/>
            <sz val="9"/>
            <color indexed="81"/>
            <rFont val="Tahoma"/>
            <family val="2"/>
          </rPr>
          <t>&lt;[[TCDeals] - [TC Property Current Stage (Seq: 1)] - [Property Points (Seq: 1)] Other Specify Name year 12 - Both]&gt;</t>
        </r>
      </text>
    </comment>
    <comment ref="C89" authorId="0" shapeId="0" xr:uid="{AEE18F78-7923-492A-8934-B2D4C6EF8F6B}">
      <text>
        <r>
          <rPr>
            <b/>
            <sz val="9"/>
            <color indexed="81"/>
            <rFont val="Tahoma"/>
            <family val="2"/>
          </rPr>
          <t>&lt;[[TCDeals] - [TC Property Current Stage (Seq: 1)] - [Property Points (Seq: 1)] Cash Flow Pledged to PSH Services (Year 12) - Both]&gt;</t>
        </r>
      </text>
    </comment>
    <comment ref="C90" authorId="0" shapeId="0" xr:uid="{A6A1179C-45CE-4ACA-8C03-C6FFCE7C78DF}">
      <text>
        <r>
          <rPr>
            <b/>
            <sz val="9"/>
            <color indexed="81"/>
            <rFont val="Tahoma"/>
            <family val="2"/>
          </rPr>
          <t>&lt;[[TCDeals] - [TC Property Current Stage (Seq: 1)] - [Property Points (Seq: 1)] Proforma, Income &amp; Expense Other (Year 12) - Both]&gt;</t>
        </r>
      </text>
    </comment>
    <comment ref="C91" authorId="0" shapeId="0" xr:uid="{D7F7A96C-9CB0-4750-9B65-C3B0583EC5B5}">
      <text>
        <r>
          <rPr>
            <b/>
            <sz val="9"/>
            <color indexed="81"/>
            <rFont val="Tahoma"/>
            <family val="2"/>
          </rPr>
          <t>&lt;[[TCDeals] - [TC Property Current Stage (Seq: 1)] - [Property Points (Seq: 1)] Partnership/Asset Mgt. Fees (Year 13) - Both]&gt;</t>
        </r>
      </text>
    </comment>
    <comment ref="C92" authorId="1" shapeId="0" xr:uid="{644A6BBB-83F2-469D-83AF-16A8C17ED36A}">
      <text>
        <r>
          <rPr>
            <b/>
            <sz val="9"/>
            <color indexed="81"/>
            <rFont val="Tahoma"/>
            <family val="2"/>
          </rPr>
          <t>&lt;[[TCDeals] - [TC Property Current Stage (Seq: 1)] - [Property Points (Seq: 1)] Bond Fees Year 13 - Both]&gt;</t>
        </r>
      </text>
    </comment>
    <comment ref="C93" authorId="1" shapeId="0" xr:uid="{14EA171F-19A0-4DB1-9F58-EF708553DF26}">
      <text>
        <r>
          <rPr>
            <b/>
            <sz val="9"/>
            <color indexed="81"/>
            <rFont val="Tahoma"/>
            <family val="2"/>
          </rPr>
          <t>&lt;[[TCDeals] - [TC Property Current Stage (Seq: 1)] - [Property Points (Seq: 1)] Deferred Developer Fee Year 13 - Both]&gt;</t>
        </r>
      </text>
    </comment>
    <comment ref="C94" authorId="1" shapeId="0" xr:uid="{547A441F-5EC2-4FFD-BB66-D356A35A92F8}">
      <text>
        <r>
          <rPr>
            <b/>
            <sz val="9"/>
            <color indexed="81"/>
            <rFont val="Tahoma"/>
            <family val="2"/>
          </rPr>
          <t>&lt;[[TCDeals] - [TC Property Current Stage (Seq: 1)] - [Property Points (Seq: 1)] Other Number year 13 - Both]&gt;</t>
        </r>
      </text>
    </comment>
    <comment ref="C95" authorId="1" shapeId="0" xr:uid="{2A72793F-87FC-4A14-B262-AC9BFBA0E9E5}">
      <text>
        <r>
          <rPr>
            <b/>
            <sz val="9"/>
            <color indexed="81"/>
            <rFont val="Tahoma"/>
            <family val="2"/>
          </rPr>
          <t>&lt;[[TCDeals] - [TC Property Current Stage (Seq: 1)] - [Property Points (Seq: 1)] Other Specify Name year 13 - Both]&gt;</t>
        </r>
      </text>
    </comment>
    <comment ref="C96" authorId="0" shapeId="0" xr:uid="{B6B962A9-A06C-45E3-B5EA-E24CAD71B34E}">
      <text>
        <r>
          <rPr>
            <b/>
            <sz val="9"/>
            <color indexed="81"/>
            <rFont val="Tahoma"/>
            <family val="2"/>
          </rPr>
          <t>&lt;[[TCDeals] - [TC Property Current Stage (Seq: 1)] - [Property Points (Seq: 1)] Cash Flow Pledged to PSH Services (Year 13) - Both]&gt;</t>
        </r>
      </text>
    </comment>
    <comment ref="C97" authorId="0" shapeId="0" xr:uid="{F8663120-64F4-45B9-80FE-D33C890549B2}">
      <text>
        <r>
          <rPr>
            <b/>
            <sz val="9"/>
            <color indexed="81"/>
            <rFont val="Tahoma"/>
            <family val="2"/>
          </rPr>
          <t>&lt;[[TCDeals] - [TC Property Current Stage (Seq: 1)] - [Property Points (Seq: 1)] Proforma, Income &amp; Expense Other (Year 13) - Both]&gt;</t>
        </r>
      </text>
    </comment>
    <comment ref="C98" authorId="0" shapeId="0" xr:uid="{4F8B3DB3-AD1E-4622-B77B-471AE9D81C28}">
      <text>
        <r>
          <rPr>
            <b/>
            <sz val="9"/>
            <color indexed="81"/>
            <rFont val="Tahoma"/>
            <family val="2"/>
          </rPr>
          <t>&lt;[[TCDeals] - [TC Property Current Stage (Seq: 1)] - [Property Points (Seq: 1)] Partnership/Asset Mgt. Fees (Year 14) - Both]&gt;</t>
        </r>
      </text>
    </comment>
    <comment ref="C99" authorId="1" shapeId="0" xr:uid="{53663D0F-56EE-4222-9D4C-ED1839D668C4}">
      <text>
        <r>
          <rPr>
            <b/>
            <sz val="9"/>
            <color indexed="81"/>
            <rFont val="Tahoma"/>
            <family val="2"/>
          </rPr>
          <t>&lt;[[TCDeals] - [TC Property Current Stage (Seq: 1)] - [Property Points (Seq: 1)] Bond Fees Year 14 - Both]&gt;</t>
        </r>
      </text>
    </comment>
    <comment ref="C100" authorId="1" shapeId="0" xr:uid="{CA27B476-0281-41CE-811B-C2182958C6E0}">
      <text>
        <r>
          <rPr>
            <b/>
            <sz val="9"/>
            <color indexed="81"/>
            <rFont val="Tahoma"/>
            <family val="2"/>
          </rPr>
          <t>&lt;[[TCDeals] - [TC Property Current Stage (Seq: 1)] - [Property Points (Seq: 1)] Deferred Developer Fee Year 14 - Both]&gt;</t>
        </r>
      </text>
    </comment>
    <comment ref="C101" authorId="1" shapeId="0" xr:uid="{D3D7B018-7713-4FD7-86A0-DCB486A677E1}">
      <text>
        <r>
          <rPr>
            <b/>
            <sz val="9"/>
            <color indexed="81"/>
            <rFont val="Tahoma"/>
            <family val="2"/>
          </rPr>
          <t>&lt;[[TCDeals] - [TC Property Current Stage (Seq: 1)] - [Property Points (Seq: 1)] Other Number year 14 - Both]&gt;</t>
        </r>
      </text>
    </comment>
    <comment ref="C102" authorId="1" shapeId="0" xr:uid="{FAC206EF-04B4-4FF8-8944-3057CE810C80}">
      <text>
        <r>
          <rPr>
            <b/>
            <sz val="9"/>
            <color indexed="81"/>
            <rFont val="Tahoma"/>
            <family val="2"/>
          </rPr>
          <t>&lt;[[TCDeals] - [TC Property Current Stage (Seq: 1)] - [Property Points (Seq: 1)] Other Specify Name year 14 - Both]&gt;</t>
        </r>
      </text>
    </comment>
    <comment ref="C103" authorId="0" shapeId="0" xr:uid="{5BD360F3-631D-4313-9FC5-8041997A9F8C}">
      <text>
        <r>
          <rPr>
            <b/>
            <sz val="9"/>
            <color indexed="81"/>
            <rFont val="Tahoma"/>
            <family val="2"/>
          </rPr>
          <t>&lt;[[TCDeals] - [TC Property Current Stage (Seq: 1)] - [Property Points (Seq: 1)] Cash Flow Pledged to PSH Services (Year 14) - Both]&gt;</t>
        </r>
      </text>
    </comment>
    <comment ref="C104" authorId="0" shapeId="0" xr:uid="{378FC9F5-EC1C-42BA-A13B-ACA626C354B5}">
      <text>
        <r>
          <rPr>
            <b/>
            <sz val="9"/>
            <color indexed="81"/>
            <rFont val="Tahoma"/>
            <family val="2"/>
          </rPr>
          <t>&lt;[[TCDeals] - [TC Property Current Stage (Seq: 1)] - [Property Points (Seq: 1)] Proforma, Income &amp; Expense Other (Year 14) - Both]&gt;</t>
        </r>
      </text>
    </comment>
    <comment ref="C105" authorId="0" shapeId="0" xr:uid="{7B6B7C12-5C5C-4433-8D9A-3FD80A4668CD}">
      <text>
        <r>
          <rPr>
            <b/>
            <sz val="9"/>
            <color indexed="81"/>
            <rFont val="Tahoma"/>
            <family val="2"/>
          </rPr>
          <t>&lt;[[TCDeals] - [TC Property Current Stage (Seq: 1)] - [Property Points (Seq: 1)] Partnership/Asset Mgt. Fees (Year 15) - Both]&gt;</t>
        </r>
      </text>
    </comment>
    <comment ref="C106" authorId="1" shapeId="0" xr:uid="{3E43A3DE-8AC3-4E3A-AB41-BF6BB02600D1}">
      <text>
        <r>
          <rPr>
            <b/>
            <sz val="9"/>
            <color indexed="81"/>
            <rFont val="Tahoma"/>
            <family val="2"/>
          </rPr>
          <t>&lt;[[TCDeals] - [TC Property Current Stage (Seq: 1)] - [Property Points (Seq: 1)] Bond Fees(Year 15) - Both]&gt;</t>
        </r>
      </text>
    </comment>
    <comment ref="C107" authorId="1" shapeId="0" xr:uid="{A29F5D12-9BF0-492C-87D1-58AF61686709}">
      <text>
        <r>
          <rPr>
            <b/>
            <sz val="9"/>
            <color indexed="81"/>
            <rFont val="Tahoma"/>
            <family val="2"/>
          </rPr>
          <t>&lt;[[TCDeals] - [TC Property Current Stage (Seq: 1)] - [Property Points (Seq: 1)] Deferred Developer Fee (Year 15) - Both]&gt;</t>
        </r>
      </text>
    </comment>
    <comment ref="C108" authorId="1" shapeId="0" xr:uid="{172101A1-CBCD-4961-AAF6-AB198524BED2}">
      <text>
        <r>
          <rPr>
            <b/>
            <sz val="9"/>
            <color indexed="81"/>
            <rFont val="Tahoma"/>
            <family val="2"/>
          </rPr>
          <t>&lt;[[TCDeals] - [TC Property Current Stage (Seq: 1)] - [Property Points (Seq: 1)] Other(Year 15) - Both]&gt;</t>
        </r>
      </text>
    </comment>
    <comment ref="C109" authorId="1" shapeId="0" xr:uid="{361A7EB6-EF06-4FF0-A7F4-A32FCDF530C9}">
      <text>
        <r>
          <rPr>
            <b/>
            <sz val="9"/>
            <color indexed="81"/>
            <rFont val="Tahoma"/>
            <family val="2"/>
          </rPr>
          <t>&lt;[[TCDeals] - [TC Property Current Stage (Seq: 1)] - [Property Points (Seq: 1)] Other Specify Name(Year 15) - Both]&gt;</t>
        </r>
      </text>
    </comment>
    <comment ref="C110" authorId="0" shapeId="0" xr:uid="{AEB19320-E757-47EB-800C-5C4B9E4DD741}">
      <text>
        <r>
          <rPr>
            <b/>
            <sz val="9"/>
            <color indexed="81"/>
            <rFont val="Tahoma"/>
            <family val="2"/>
          </rPr>
          <t>&lt;[[TCDeals] - [TC Property Current Stage (Seq: 1)] - [Property Points (Seq: 1)] Cash Flow Pledged to PSH Services (Year 15) - Both]&gt;</t>
        </r>
      </text>
    </comment>
    <comment ref="C111" authorId="0" shapeId="0" xr:uid="{707A9F21-334B-4967-8AD3-D926CD76E8B1}">
      <text>
        <r>
          <rPr>
            <b/>
            <sz val="9"/>
            <color indexed="81"/>
            <rFont val="Tahoma"/>
            <family val="2"/>
          </rPr>
          <t>&lt;[[TCDeals] - [TC Property Current Stage (Seq: 1)] - [Property Points (Seq: 1)] Proforma, Income &amp; Expense Other (Year 15) - Both]&gt;</t>
        </r>
      </text>
    </comment>
    <comment ref="C112" authorId="1" shapeId="0" xr:uid="{C107A0DB-38B8-4B22-ACA0-AC3497B529CA}">
      <text>
        <r>
          <rPr>
            <b/>
            <sz val="9"/>
            <color indexed="81"/>
            <rFont val="Tahoma"/>
            <family val="2"/>
          </rPr>
          <t>&lt;[[TCDeals] - [TC Property Current Stage (Seq: 1)] - [Property Points (Seq: 1)] Cash Flow Available for Distribution (Year 1) - Both]&gt;</t>
        </r>
      </text>
    </comment>
    <comment ref="C113" authorId="1" shapeId="0" xr:uid="{BFA5ED7D-5448-48BD-B269-13D253516A71}">
      <text>
        <r>
          <rPr>
            <b/>
            <sz val="9"/>
            <color indexed="81"/>
            <rFont val="Tahoma"/>
            <family val="2"/>
          </rPr>
          <t>&lt;[[TCDeals] - [TC Property Current Stage (Seq: 1)] - [Property Points (Seq: 1)] Cash Flow Available for Distribution (Year 2) - Both]&gt;</t>
        </r>
      </text>
    </comment>
    <comment ref="C114" authorId="1" shapeId="0" xr:uid="{65787866-CA4C-42AE-928A-083ECA5FB81A}">
      <text>
        <r>
          <rPr>
            <b/>
            <sz val="9"/>
            <color indexed="81"/>
            <rFont val="Tahoma"/>
            <family val="2"/>
          </rPr>
          <t>&lt;[[TCDeals] - [TC Property Current Stage (Seq: 1)] - [Property Points (Seq: 1)] Cash Flow Available for Distribution (Year 3) - Both]&gt;</t>
        </r>
      </text>
    </comment>
    <comment ref="C115" authorId="1" shapeId="0" xr:uid="{8114AB01-6372-4A5C-863A-949A0B308405}">
      <text>
        <r>
          <rPr>
            <b/>
            <sz val="9"/>
            <color indexed="81"/>
            <rFont val="Tahoma"/>
            <family val="2"/>
          </rPr>
          <t>&lt;[[TCDeals] - [TC Property Current Stage (Seq: 1)] - [Property Points (Seq: 1)] Cash Flow Available for Distribution (Year 4) - Both]&gt;</t>
        </r>
      </text>
    </comment>
    <comment ref="C116" authorId="1" shapeId="0" xr:uid="{9AC900D6-AF81-45DD-B8A0-26FE3FB44F06}">
      <text>
        <r>
          <rPr>
            <b/>
            <sz val="9"/>
            <color indexed="81"/>
            <rFont val="Tahoma"/>
            <family val="2"/>
          </rPr>
          <t>&lt;[[TCDeals] - [TC Property Current Stage (Seq: 1)] - [Property Points (Seq: 1)] Cash Flow Available for Distribution (Year 5) - Both]&gt;</t>
        </r>
      </text>
    </comment>
    <comment ref="C117" authorId="1" shapeId="0" xr:uid="{10D07129-9EFF-4036-94D7-3E58C2823D0B}">
      <text>
        <r>
          <rPr>
            <b/>
            <sz val="9"/>
            <color indexed="81"/>
            <rFont val="Tahoma"/>
            <family val="2"/>
          </rPr>
          <t>&lt;[[TCDeals] - [TC Property Current Stage (Seq: 1)] - [Property Points (Seq: 1)] Cash Flow Available for Distribution (Year 6) - Both]&gt;</t>
        </r>
      </text>
    </comment>
    <comment ref="C118" authorId="1" shapeId="0" xr:uid="{C69B298F-C8DE-43DB-A413-7A0B6C67AB43}">
      <text>
        <r>
          <rPr>
            <b/>
            <sz val="9"/>
            <color indexed="81"/>
            <rFont val="Tahoma"/>
            <family val="2"/>
          </rPr>
          <t>&lt;[[TCDeals] - [TC Property Current Stage (Seq: 1)] - [Property Points (Seq: 1)] Cash Flow Available for Distribution (Year 7) - Both]&gt;</t>
        </r>
      </text>
    </comment>
    <comment ref="C119" authorId="1" shapeId="0" xr:uid="{42289622-8007-40D8-85FE-2ED7A7322004}">
      <text>
        <r>
          <rPr>
            <b/>
            <sz val="9"/>
            <color indexed="81"/>
            <rFont val="Tahoma"/>
            <family val="2"/>
          </rPr>
          <t>&lt;[[TCDeals] - [TC Property Current Stage (Seq: 1)] - [Property Points (Seq: 1)] Cash Flow Available for Distribution (Year 8) - Both]&gt;</t>
        </r>
      </text>
    </comment>
    <comment ref="C120" authorId="1" shapeId="0" xr:uid="{BBCF1CEE-A925-4093-B6F4-33E37A023846}">
      <text>
        <r>
          <rPr>
            <b/>
            <sz val="9"/>
            <color indexed="81"/>
            <rFont val="Tahoma"/>
            <family val="2"/>
          </rPr>
          <t>&lt;[[TCDeals] - [TC Property Current Stage (Seq: 1)] - [Property Points (Seq: 1)] Cash Flow Available for Distribution (Year 9) - Both]&gt;</t>
        </r>
      </text>
    </comment>
    <comment ref="C121" authorId="1" shapeId="0" xr:uid="{CEE2CA67-0727-4C3C-B91D-7BA991D93AC0}">
      <text>
        <r>
          <rPr>
            <b/>
            <sz val="9"/>
            <color indexed="81"/>
            <rFont val="Tahoma"/>
            <family val="2"/>
          </rPr>
          <t>&lt;[[TCDeals] - [TC Property Current Stage (Seq: 1)] - [Property Points (Seq: 1)] Cash Flow Available for Distribution (Year 10) - Both]&gt;</t>
        </r>
      </text>
    </comment>
    <comment ref="C122" authorId="1" shapeId="0" xr:uid="{796EE5C5-47DB-4044-87E3-90D3208A6BA3}">
      <text>
        <r>
          <rPr>
            <b/>
            <sz val="9"/>
            <color indexed="81"/>
            <rFont val="Tahoma"/>
            <family val="2"/>
          </rPr>
          <t>&lt;[[TCDeals] - [TC Property Current Stage (Seq: 1)] - [Property Points (Seq: 1)] Cash Flow Available for Distribution (Year 11) - Both]&gt;</t>
        </r>
      </text>
    </comment>
    <comment ref="C123" authorId="1" shapeId="0" xr:uid="{D643BA36-697A-4387-9CC4-E346EE0C3E46}">
      <text>
        <r>
          <rPr>
            <b/>
            <sz val="9"/>
            <color indexed="81"/>
            <rFont val="Tahoma"/>
            <family val="2"/>
          </rPr>
          <t>&lt;[[TCDeals] - [TC Property Current Stage (Seq: 1)] - [Property Points (Seq: 1)] Cash Flow Available for Distribution (Year 12) - Both]&gt;</t>
        </r>
      </text>
    </comment>
    <comment ref="C124" authorId="1" shapeId="0" xr:uid="{4B759F66-1514-43C7-A1DB-1556ECA45437}">
      <text>
        <r>
          <rPr>
            <b/>
            <sz val="9"/>
            <color indexed="81"/>
            <rFont val="Tahoma"/>
            <family val="2"/>
          </rPr>
          <t>&lt;[[TCDeals] - [TC Property Current Stage (Seq: 1)] - [Property Points (Seq: 1)] Cash Flow Available for Distribution (Year 13) - Both]&gt;</t>
        </r>
      </text>
    </comment>
    <comment ref="C125" authorId="1" shapeId="0" xr:uid="{0C832623-594F-4DB9-9CA2-06B0E4D8CDF8}">
      <text>
        <r>
          <rPr>
            <b/>
            <sz val="9"/>
            <color indexed="81"/>
            <rFont val="Tahoma"/>
            <family val="2"/>
          </rPr>
          <t>&lt;[[TCDeals] - [TC Property Current Stage (Seq: 1)] - [Property Points (Seq: 1)] Cash Flow Available for Distribution (Year 14) - Both]&gt;</t>
        </r>
      </text>
    </comment>
    <comment ref="C126" authorId="1" shapeId="0" xr:uid="{A0A0FA69-5ED6-4012-895C-EA88FD1D92F4}">
      <text>
        <r>
          <rPr>
            <b/>
            <sz val="9"/>
            <color indexed="81"/>
            <rFont val="Tahoma"/>
            <family val="2"/>
          </rPr>
          <t>&lt;[[TCDeals] - [TC Property Current Stage (Seq: 1)] - [Property Points (Seq: 1)] Cash Flow Available for Distribution (Year 15) - Both]&gt;</t>
        </r>
      </text>
    </comment>
    <comment ref="C127" authorId="1" shapeId="0" xr:uid="{3E5924DC-8AA0-4412-85C9-5C4608A835C4}">
      <text>
        <r>
          <rPr>
            <b/>
            <sz val="9"/>
            <color indexed="81"/>
            <rFont val="Tahoma"/>
            <family val="2"/>
          </rPr>
          <t>&lt;[[TCDeals] - [TC Property Current Stage (Seq: 1)] - [Property Points (Seq: 1)] Cash Flow Available after above obligations (Year 1) - Both]&gt;</t>
        </r>
      </text>
    </comment>
    <comment ref="C128" authorId="1" shapeId="0" xr:uid="{23C0BBEC-7ED5-42F6-AEBC-58C509294EFF}">
      <text>
        <r>
          <rPr>
            <b/>
            <sz val="9"/>
            <color indexed="81"/>
            <rFont val="Tahoma"/>
            <family val="2"/>
          </rPr>
          <t>&lt;[[TCDeals] - [TC Property Current Stage (Seq: 1)] - [Property Points (Seq: 1)] Cash Flow Available after above obligations (Year 2) - Both]&gt;</t>
        </r>
      </text>
    </comment>
    <comment ref="C129" authorId="1" shapeId="0" xr:uid="{0C5EDDF7-6C39-467B-B503-B06A7C4A96E9}">
      <text>
        <r>
          <rPr>
            <b/>
            <sz val="9"/>
            <color indexed="81"/>
            <rFont val="Tahoma"/>
            <family val="2"/>
          </rPr>
          <t>&lt;[[TCDeals] - [TC Property Current Stage (Seq: 1)] - [Property Points (Seq: 1)] Cash Flow Available after above obligations (Year 3) - Both]&gt;</t>
        </r>
      </text>
    </comment>
    <comment ref="C130" authorId="1" shapeId="0" xr:uid="{7DCC4FCC-CEB1-4207-AA62-4E1D5ABF829A}">
      <text>
        <r>
          <rPr>
            <b/>
            <sz val="9"/>
            <color indexed="81"/>
            <rFont val="Tahoma"/>
            <family val="2"/>
          </rPr>
          <t>&lt;[[TCDeals] - [TC Property Current Stage (Seq: 1)] - [Property Points (Seq: 1)] Cash Flow Available after above obligations (Year 4) - Both]&gt;</t>
        </r>
      </text>
    </comment>
    <comment ref="C131" authorId="1" shapeId="0" xr:uid="{1AF4AF95-5F0B-4D92-9F64-59754E4D2F01}">
      <text>
        <r>
          <rPr>
            <b/>
            <sz val="9"/>
            <color indexed="81"/>
            <rFont val="Tahoma"/>
            <family val="2"/>
          </rPr>
          <t>&lt;[[TCDeals] - [TC Property Current Stage (Seq: 1)] - [Property Points (Seq: 1)] Cash Flow Available after above obligations (Year 5) - Both]&gt;</t>
        </r>
      </text>
    </comment>
    <comment ref="C132" authorId="1" shapeId="0" xr:uid="{9FEB6B70-EA45-444D-8C38-18C6DC2CA960}">
      <text>
        <r>
          <rPr>
            <b/>
            <sz val="9"/>
            <color indexed="81"/>
            <rFont val="Tahoma"/>
            <family val="2"/>
          </rPr>
          <t>&lt;[[TCDeals] - [TC Property Current Stage (Seq: 1)] - [Property Points (Seq: 1)] Cash Flow Available after above obligations (Year 6) - Both]&gt;</t>
        </r>
      </text>
    </comment>
    <comment ref="C133" authorId="1" shapeId="0" xr:uid="{C23BFD5E-D0DF-4913-9394-8A586DE8FF1E}">
      <text>
        <r>
          <rPr>
            <b/>
            <sz val="9"/>
            <color indexed="81"/>
            <rFont val="Tahoma"/>
            <family val="2"/>
          </rPr>
          <t>&lt;[[TCDeals] - [TC Property Current Stage (Seq: 1)] - [Property Points (Seq: 1)] Cash Flow Available after above obligations (Year 7) - Both]&gt;</t>
        </r>
      </text>
    </comment>
    <comment ref="C134" authorId="1" shapeId="0" xr:uid="{86B7580A-5886-40D5-84DC-0C81B478053D}">
      <text>
        <r>
          <rPr>
            <b/>
            <sz val="9"/>
            <color indexed="81"/>
            <rFont val="Tahoma"/>
            <family val="2"/>
          </rPr>
          <t>&lt;[[TCDeals] - [TC Property Current Stage (Seq: 1)] - [Property Points (Seq: 1)] Cash Flow Available after above obligations (Year 8) - Both]&gt;</t>
        </r>
      </text>
    </comment>
    <comment ref="C135" authorId="1" shapeId="0" xr:uid="{5920BB4D-D106-4930-BA27-5DDC7781345B}">
      <text>
        <r>
          <rPr>
            <b/>
            <sz val="9"/>
            <color indexed="81"/>
            <rFont val="Tahoma"/>
            <family val="2"/>
          </rPr>
          <t>&lt;[[TCDeals] - [TC Property Current Stage (Seq: 1)] - [Property Points (Seq: 1)] Cash Flow Available after above obligations (Year 9) - Both]&gt;</t>
        </r>
      </text>
    </comment>
    <comment ref="C136" authorId="1" shapeId="0" xr:uid="{DE408D07-DC12-4ABF-BD2F-232DB883EE45}">
      <text>
        <r>
          <rPr>
            <b/>
            <sz val="9"/>
            <color indexed="81"/>
            <rFont val="Tahoma"/>
            <family val="2"/>
          </rPr>
          <t>&lt;[[TCDeals] - [TC Property Current Stage (Seq: 1)] - [Property Points (Seq: 1)] Cash Flow Available after above obligations (Year 10) - Both]&gt;</t>
        </r>
      </text>
    </comment>
    <comment ref="C137" authorId="1" shapeId="0" xr:uid="{474E386F-21F9-4B7B-BA17-ACFAA73A18FF}">
      <text>
        <r>
          <rPr>
            <b/>
            <sz val="9"/>
            <color indexed="81"/>
            <rFont val="Tahoma"/>
            <family val="2"/>
          </rPr>
          <t>&lt;[[TCDeals] - [TC Property Current Stage (Seq: 1)] - [Property Points (Seq: 1)] Cash Flow Available after above obligations (Year 11) - Both]&gt;</t>
        </r>
      </text>
    </comment>
    <comment ref="C138" authorId="1" shapeId="0" xr:uid="{4A081420-CF40-4C55-B262-A329FAD945E9}">
      <text>
        <r>
          <rPr>
            <b/>
            <sz val="9"/>
            <color indexed="81"/>
            <rFont val="Tahoma"/>
            <family val="2"/>
          </rPr>
          <t>&lt;[[TCDeals] - [TC Property Current Stage (Seq: 1)] - [Property Points (Seq: 1)] Cash Flow Available after above obligations (Year 12) - Both]&gt;</t>
        </r>
      </text>
    </comment>
    <comment ref="C139" authorId="1" shapeId="0" xr:uid="{C730DC03-E6E0-4B8C-97CA-54FE79AC754B}">
      <text>
        <r>
          <rPr>
            <b/>
            <sz val="9"/>
            <color indexed="81"/>
            <rFont val="Tahoma"/>
            <family val="2"/>
          </rPr>
          <t>&lt;[[TCDeals] - [TC Property Current Stage (Seq: 1)] - [Property Points (Seq: 1)] Cash Flow Available after above obligations (Year 13) - Both]&gt;</t>
        </r>
      </text>
    </comment>
    <comment ref="C140" authorId="1" shapeId="0" xr:uid="{95876D37-BE9D-4929-BCFC-8AEDE7ACE3CD}">
      <text>
        <r>
          <rPr>
            <b/>
            <sz val="9"/>
            <color indexed="81"/>
            <rFont val="Tahoma"/>
            <family val="2"/>
          </rPr>
          <t>&lt;[[TCDeals] - [TC Property Current Stage (Seq: 1)] - [Property Points (Seq: 1)] Cash Flow Available after above obligations (Year 14) - Both]&gt;</t>
        </r>
      </text>
    </comment>
    <comment ref="C141" authorId="1" shapeId="0" xr:uid="{CCBB8487-B63D-4DB3-9F4E-ABAB52965E93}">
      <text>
        <r>
          <rPr>
            <b/>
            <sz val="9"/>
            <color indexed="81"/>
            <rFont val="Tahoma"/>
            <family val="2"/>
          </rPr>
          <t>&lt;[[TCDeals] - [TC Property Current Stage (Seq: 1)] - [Property Points (Seq: 1)] Cash Flow Available after above obligations (Year 15) - Both]&gt;</t>
        </r>
      </text>
    </comment>
    <comment ref="C142" authorId="1" shapeId="0" xr:uid="{742F92B8-A758-481A-92BC-477913F42FEC}">
      <text>
        <r>
          <rPr>
            <b/>
            <sz val="9"/>
            <color indexed="81"/>
            <rFont val="Tahoma"/>
            <family val="2"/>
          </rPr>
          <t>&lt;[[TCDeals] - [TC Property Current Stage (Seq: 1)] - [Property Points (Seq: 1)] Deferred Developer Fee - Both]&gt;</t>
        </r>
      </text>
    </comment>
    <comment ref="C143" authorId="1" shapeId="0" xr:uid="{C3B426A0-373D-47BC-A582-0B8F13DEF958}">
      <text>
        <r>
          <rPr>
            <b/>
            <sz val="9"/>
            <color indexed="81"/>
            <rFont val="Tahoma"/>
            <family val="2"/>
          </rPr>
          <t>&lt;[[TCDeals] - [TC Property Current Stage (Seq: 1)] - [Property Points (Seq: 1)] 10 Year Cash Flow After Debt Service - Both]&gt;</t>
        </r>
      </text>
    </comment>
    <comment ref="C144" authorId="1" shapeId="0" xr:uid="{57D99346-3751-4BEE-B93B-86A885892ACA}">
      <text>
        <r>
          <rPr>
            <b/>
            <sz val="9"/>
            <color indexed="81"/>
            <rFont val="Tahoma"/>
            <family val="2"/>
          </rPr>
          <t>&lt;[[TCDeals] - [TC Property Current Stage (Seq: 1)] - [Property Points (Seq: 1)] 15 Year Cash Flow After Debt Service - Both]&gt;</t>
        </r>
      </text>
    </comment>
    <comment ref="C145" authorId="1" shapeId="0" xr:uid="{334D7343-FC96-4921-8C98-1354AB26A43B}">
      <text>
        <r>
          <rPr>
            <b/>
            <sz val="9"/>
            <color indexed="81"/>
            <rFont val="Tahoma"/>
            <family val="2"/>
          </rPr>
          <t>&lt;[[TCDeals] - [TC Property Current Stage (Seq: 1)] - [Property Points (Seq: 1)] Is The 10 Year cash flow available after obligations payable test has been met - Both]&gt;</t>
        </r>
      </text>
    </comment>
    <comment ref="C146" authorId="1" shapeId="0" xr:uid="{8F464ABF-4B1B-4B99-8A41-6FE96BE88B21}">
      <text>
        <r>
          <rPr>
            <b/>
            <sz val="9"/>
            <color indexed="81"/>
            <rFont val="Tahoma"/>
            <family val="2"/>
          </rPr>
          <t>&lt;[[TCDeals] - [TC Property Current Stage (Seq: 1)] - [Property Points (Seq: 1)] Is The 15 Year cash flow available after obligations payable test has been met - Both]&gt;</t>
        </r>
      </text>
    </comment>
    <comment ref="C147" authorId="0" shapeId="0" xr:uid="{E5474BAE-F9F1-4AA8-A3D5-5BFED2B8E1BA}">
      <text>
        <r>
          <rPr>
            <b/>
            <sz val="9"/>
            <color indexed="81"/>
            <rFont val="Tahoma"/>
            <family val="2"/>
          </rPr>
          <t>&lt;[[TCDeals] - [TC Property Current Stage (Seq: 1)] Admin Bookkeeping Fees - Both]&gt;</t>
        </r>
      </text>
    </comment>
    <comment ref="C148" authorId="0" shapeId="0" xr:uid="{08EF60F5-FFBA-455E-B0F6-D27E184740B0}">
      <text>
        <r>
          <rPr>
            <b/>
            <sz val="9"/>
            <color indexed="81"/>
            <rFont val="Tahoma"/>
            <family val="2"/>
          </rPr>
          <t>&lt;[[TCDeals] - [TC Property Current Stage (Seq: 1)] Admin Adv Mrktg - Both]&gt;</t>
        </r>
      </text>
    </comment>
    <comment ref="C149" authorId="0" shapeId="0" xr:uid="{2A194129-E8F7-4E2B-8F86-D024CA793DC7}">
      <text>
        <r>
          <rPr>
            <b/>
            <sz val="9"/>
            <color indexed="81"/>
            <rFont val="Tahoma"/>
            <family val="2"/>
          </rPr>
          <t>&lt;[[TCDeals] - [TC Property Current Stage (Seq: 1)] Admin Legal - Both]&gt;</t>
        </r>
      </text>
    </comment>
    <comment ref="C150" authorId="0" shapeId="0" xr:uid="{2EFAD475-CB18-49B9-A427-8A91EDD52D43}">
      <text>
        <r>
          <rPr>
            <b/>
            <sz val="9"/>
            <color indexed="81"/>
            <rFont val="Tahoma"/>
            <family val="2"/>
          </rPr>
          <t>&lt;[[TCDeals] - [TC Property Current Stage (Seq: 1)] - [Property Points (Seq: 1)] Leased Equipment - Both]&gt;</t>
        </r>
      </text>
    </comment>
    <comment ref="C151" authorId="0" shapeId="0" xr:uid="{7DA7ADAC-E8AC-41DC-BFAD-4C48B1A29D55}">
      <text>
        <r>
          <rPr>
            <b/>
            <sz val="9"/>
            <color indexed="81"/>
            <rFont val="Tahoma"/>
            <family val="2"/>
          </rPr>
          <t>&lt;[[TCDeals] - [TC Property Current Stage (Seq: 1)] Admin Mgt Fee - Both]&gt;</t>
        </r>
      </text>
    </comment>
    <comment ref="C152" authorId="0" shapeId="0" xr:uid="{859030CB-FE93-44C2-AF9D-5CE0C800D5F5}">
      <text>
        <r>
          <rPr>
            <b/>
            <sz val="9"/>
            <color indexed="81"/>
            <rFont val="Tahoma"/>
            <family val="2"/>
          </rPr>
          <t>&lt;[[TCDeals] - [TC Property Current Stage (Seq: 1)] Admin Mgt Salaries - Both]&gt;</t>
        </r>
      </text>
    </comment>
    <comment ref="C153" authorId="0" shapeId="0" xr:uid="{5802FFAD-E11B-4349-9574-22377B81080A}">
      <text>
        <r>
          <rPr>
            <b/>
            <sz val="9"/>
            <color indexed="81"/>
            <rFont val="Tahoma"/>
            <family val="2"/>
          </rPr>
          <t>&lt;[[TCDeals] - [TC Property Current Stage (Seq: 1)] - [Property Points (Seq: 1)] Management Payroll Tax - Both]&gt;</t>
        </r>
      </text>
    </comment>
    <comment ref="C154" authorId="0" shapeId="0" xr:uid="{83DC5CFB-F57F-4D2E-88EB-0DEEE7AF301E}">
      <text>
        <r>
          <rPr>
            <b/>
            <sz val="9"/>
            <color indexed="81"/>
            <rFont val="Tahoma"/>
            <family val="2"/>
          </rPr>
          <t>&lt;[[TCDeals] - [TC Property Current Stage (Seq: 1)] Admin Office Model Apt - Both]&gt;</t>
        </r>
      </text>
    </comment>
    <comment ref="C155" authorId="0" shapeId="0" xr:uid="{2BE97AAD-127E-4743-BA5D-3561E8A211A2}">
      <text>
        <r>
          <rPr>
            <b/>
            <sz val="9"/>
            <color indexed="81"/>
            <rFont val="Tahoma"/>
            <family val="2"/>
          </rPr>
          <t>&lt;[[TCDeals] - [TC Property Current Stage (Seq: 1)] Admin Office Salaries - Both]&gt;</t>
        </r>
      </text>
    </comment>
    <comment ref="C156" authorId="0" shapeId="0" xr:uid="{73BF1BBD-81E8-44E6-917A-42A0260DBC83}">
      <text>
        <r>
          <rPr>
            <b/>
            <sz val="9"/>
            <color indexed="81"/>
            <rFont val="Tahoma"/>
            <family val="2"/>
          </rPr>
          <t>&lt;[[TCDeals] - [TC Property Current Stage (Seq: 1)] Admin Telephone Answering Svc - Both]&gt;</t>
        </r>
      </text>
    </comment>
    <comment ref="A157" authorId="0" shapeId="0" xr:uid="{62788570-BF2C-49F4-9D50-6BB5E67D6B1B}">
      <text>
        <r>
          <rPr>
            <b/>
            <sz val="9"/>
            <color indexed="81"/>
            <rFont val="Tahoma"/>
            <family val="2"/>
          </rPr>
          <t>&lt;[[TCDeals] - [TC Property Current Stage (Seq: 1)] - [Property Points (Seq: 1)] Administration Other Comment - Both]&gt;</t>
        </r>
      </text>
    </comment>
    <comment ref="C157" authorId="0" shapeId="0" xr:uid="{C84D21E4-42A1-47E1-8851-B31459C82A0A}">
      <text>
        <r>
          <rPr>
            <b/>
            <sz val="9"/>
            <color indexed="81"/>
            <rFont val="Tahoma"/>
            <family val="2"/>
          </rPr>
          <t>&lt;[[TCDeals] - [TC Property Current Stage (Seq: 1)] - [Property Points (Seq: 1)] Administration - Other - Both]&gt;</t>
        </r>
      </text>
    </comment>
    <comment ref="A158" authorId="0" shapeId="0" xr:uid="{D151FCD8-4012-4F98-AA0E-4317EC070734}">
      <text>
        <r>
          <rPr>
            <b/>
            <sz val="9"/>
            <color indexed="81"/>
            <rFont val="Tahoma"/>
            <family val="2"/>
          </rPr>
          <t>&lt;[[TCDeals] - [TC Property Current Stage (Seq: 1)] - [Property Points (Seq: 1)] Administration Other 2  Comment - Both]&gt;</t>
        </r>
      </text>
    </comment>
    <comment ref="C158" authorId="0" shapeId="0" xr:uid="{F15BE53F-2A9F-4B05-854B-CF8EF3DD027D}">
      <text>
        <r>
          <rPr>
            <b/>
            <sz val="9"/>
            <color indexed="81"/>
            <rFont val="Tahoma"/>
            <family val="2"/>
          </rPr>
          <t>&lt;[[TCDeals] - [TC Property Current Stage (Seq: 1)] - [Property Points (Seq: 1)] Administration - Other 2 - Both]&gt;</t>
        </r>
      </text>
    </comment>
    <comment ref="A159" authorId="0" shapeId="0" xr:uid="{B55DE795-B9CA-412A-BCF3-5D60C06543EB}">
      <text>
        <r>
          <rPr>
            <b/>
            <sz val="9"/>
            <color indexed="81"/>
            <rFont val="Tahoma"/>
            <family val="2"/>
          </rPr>
          <t>&lt;[[TCDeals] - [TC Property Current Stage (Seq: 1)] - [Property Points (Seq: 1)] Administration Other 3  Comment - Both]&gt;</t>
        </r>
      </text>
    </comment>
    <comment ref="C159" authorId="0" shapeId="0" xr:uid="{35B911DF-07E4-41C7-A55A-D5EDD57623E2}">
      <text>
        <r>
          <rPr>
            <b/>
            <sz val="9"/>
            <color indexed="81"/>
            <rFont val="Tahoma"/>
            <family val="2"/>
          </rPr>
          <t>&lt;[[TCDeals] - [TC Property Current Stage (Seq: 1)] - [Property Points (Seq: 1)] Administration - Other 3 - Both]&gt;</t>
        </r>
      </text>
    </comment>
    <comment ref="C160" authorId="0" shapeId="0" xr:uid="{741AD41B-9F21-4B4E-AD8F-8FCF931ECF6E}">
      <text>
        <r>
          <rPr>
            <b/>
            <sz val="9"/>
            <color indexed="81"/>
            <rFont val="Tahoma"/>
            <family val="2"/>
          </rPr>
          <t>&lt;[[TCDeals] - [TC Property Current Stage (Seq: 1)] Utilities Fuel Oil - Both]&gt;</t>
        </r>
      </text>
    </comment>
    <comment ref="C161" authorId="0" shapeId="0" xr:uid="{B8AFC99A-25A2-4E73-A5E2-5FEC412D7141}">
      <text>
        <r>
          <rPr>
            <b/>
            <sz val="9"/>
            <color indexed="81"/>
            <rFont val="Tahoma"/>
            <family val="2"/>
          </rPr>
          <t>&lt;[[TCDeals] - [TC Property Current Stage (Seq: 1)] Utilities Electricity - Both]&gt;</t>
        </r>
      </text>
    </comment>
    <comment ref="C162" authorId="0" shapeId="0" xr:uid="{E7522431-E0F1-48CF-BB2D-1E59F154A3AC}">
      <text>
        <r>
          <rPr>
            <b/>
            <sz val="9"/>
            <color indexed="81"/>
            <rFont val="Tahoma"/>
            <family val="2"/>
          </rPr>
          <t>&lt;[[TCDeals] - [TC Property Current Stage (Seq: 1)] Utilities Water - Both]&gt;</t>
        </r>
      </text>
    </comment>
    <comment ref="C163" authorId="0" shapeId="0" xr:uid="{EDED8B66-EC36-4D66-9D5E-1FE6C220F0AC}">
      <text>
        <r>
          <rPr>
            <b/>
            <sz val="9"/>
            <color indexed="81"/>
            <rFont val="Tahoma"/>
            <family val="2"/>
          </rPr>
          <t>&lt;[[TCDeals] - [TC Property Current Stage (Seq: 1)] Utilities Sewer - Both]&gt;</t>
        </r>
      </text>
    </comment>
    <comment ref="C164" authorId="0" shapeId="0" xr:uid="{C17F80A4-FB84-4845-AB5F-3EAA1FF2EE45}">
      <text>
        <r>
          <rPr>
            <b/>
            <sz val="9"/>
            <color indexed="81"/>
            <rFont val="Tahoma"/>
            <family val="2"/>
          </rPr>
          <t>&lt;[[TCDeals] - [TC Property Current Stage (Seq: 1)] Utilities Gas - Both]&gt;</t>
        </r>
      </text>
    </comment>
    <comment ref="C165" authorId="0" shapeId="0" xr:uid="{0DA70E49-2C20-47D1-A18D-C516EAE52EF4}">
      <text>
        <r>
          <rPr>
            <b/>
            <sz val="9"/>
            <color indexed="81"/>
            <rFont val="Tahoma"/>
            <family val="2"/>
          </rPr>
          <t>&lt;[[TCDeals] - [TC Property Current Stage (Seq: 1)] Oper Trash Removal - Both]&gt;</t>
        </r>
      </text>
    </comment>
    <comment ref="C166" authorId="0" shapeId="0" xr:uid="{BE56A84F-4512-4C0A-A601-CDE117446F32}">
      <text>
        <r>
          <rPr>
            <b/>
            <sz val="9"/>
            <color indexed="81"/>
            <rFont val="Tahoma"/>
            <family val="2"/>
          </rPr>
          <t>&lt;[[TCDeals] - [TC Property Current Stage (Seq: 1)] Oper Security Payroll - Both]&gt;</t>
        </r>
      </text>
    </comment>
    <comment ref="C167" authorId="0" shapeId="0" xr:uid="{4001EEDC-B58C-49E1-924C-84C3982FB29B}">
      <text>
        <r>
          <rPr>
            <b/>
            <sz val="9"/>
            <color indexed="81"/>
            <rFont val="Tahoma"/>
            <family val="2"/>
          </rPr>
          <t>&lt;[[TCDeals] - [TC Property Current Stage (Seq: 1)] - [Property Points (Seq: 1)] Operation - Cable - Both]&gt;</t>
        </r>
      </text>
    </comment>
    <comment ref="A168" authorId="0" shapeId="0" xr:uid="{81B7FF5E-6369-48FC-A804-B33D53FDE20A}">
      <text>
        <r>
          <rPr>
            <b/>
            <sz val="9"/>
            <color indexed="81"/>
            <rFont val="Tahoma"/>
            <family val="2"/>
          </rPr>
          <t>&lt;[[TCDeals] - [TC Property Current Stage (Seq: 1)] - [Property Points (Seq: 1)] Operation Other Comment - Both]&gt;</t>
        </r>
      </text>
    </comment>
    <comment ref="C168" authorId="0" shapeId="0" xr:uid="{CDFBB760-760B-4327-AC95-C76FAD062696}">
      <text>
        <r>
          <rPr>
            <b/>
            <sz val="9"/>
            <color indexed="81"/>
            <rFont val="Tahoma"/>
            <family val="2"/>
          </rPr>
          <t>&lt;[[TCDeals] - [TC Property Current Stage (Seq: 1)] - [Property Points (Seq: 1)] Operation - Other - Both]&gt;</t>
        </r>
      </text>
    </comment>
    <comment ref="A169" authorId="0" shapeId="0" xr:uid="{A014B23A-7A20-4E6D-9AD6-7011DD3B465B}">
      <text>
        <r>
          <rPr>
            <b/>
            <sz val="9"/>
            <color indexed="81"/>
            <rFont val="Tahoma"/>
            <family val="2"/>
          </rPr>
          <t>&lt;[[TCDeals] - [TC Property Current Stage (Seq: 1)] - [Property Points (Seq: 1)] Operation Other 2 Comment - Both]&gt;</t>
        </r>
      </text>
    </comment>
    <comment ref="C169" authorId="0" shapeId="0" xr:uid="{1127992A-16FF-45AD-AEF1-F58B648F9F42}">
      <text>
        <r>
          <rPr>
            <b/>
            <sz val="9"/>
            <color indexed="81"/>
            <rFont val="Tahoma"/>
            <family val="2"/>
          </rPr>
          <t>&lt;[[TCDeals] - [TC Property Current Stage (Seq: 1)] - [Property Points (Seq: 1)] Operation - Other 2 - Both]&gt;</t>
        </r>
      </text>
    </comment>
    <comment ref="A170" authorId="0" shapeId="0" xr:uid="{F329FFC9-7FB3-4261-8DE8-BBD9E080591D}">
      <text>
        <r>
          <rPr>
            <b/>
            <sz val="9"/>
            <color indexed="81"/>
            <rFont val="Tahoma"/>
            <family val="2"/>
          </rPr>
          <t>&lt;[[TCDeals] - [TC Property Current Stage (Seq: 1)] - [Property Points (Seq: 1)] Operation Other 3 Comment - Both]&gt;</t>
        </r>
      </text>
    </comment>
    <comment ref="C170" authorId="0" shapeId="0" xr:uid="{7F139962-0840-4B88-8223-A2CF754027D7}">
      <text>
        <r>
          <rPr>
            <b/>
            <sz val="9"/>
            <color indexed="81"/>
            <rFont val="Tahoma"/>
            <family val="2"/>
          </rPr>
          <t>&lt;[[TCDeals] - [TC Property Current Stage (Seq: 1)] - [Property Points (Seq: 1)] Operation - Other 3 - Both]&gt;</t>
        </r>
      </text>
    </comment>
    <comment ref="A171" authorId="0" shapeId="0" xr:uid="{503FC021-F97D-47CC-8A71-0A2F7C8C4992}">
      <text>
        <r>
          <rPr>
            <b/>
            <sz val="9"/>
            <color indexed="81"/>
            <rFont val="Tahoma"/>
            <family val="2"/>
          </rPr>
          <t>&lt;[[TCDeals] - [TC Property Current Stage (Seq: 1)] - [Property Points (Seq: 1)] Operation Other 4 Comment - Both]&gt;</t>
        </r>
      </text>
    </comment>
    <comment ref="C171" authorId="0" shapeId="0" xr:uid="{7410D32F-5D96-4D0E-88F4-2E3EED3F518C}">
      <text>
        <r>
          <rPr>
            <b/>
            <sz val="9"/>
            <color indexed="81"/>
            <rFont val="Tahoma"/>
            <family val="2"/>
          </rPr>
          <t>&lt;[[TCDeals] - [TC Property Current Stage (Seq: 1)] - [Property Points (Seq: 1)] Operation - Other 4 - Both]&gt;</t>
        </r>
      </text>
    </comment>
    <comment ref="C172" authorId="0" shapeId="0" xr:uid="{29828C8B-D6FC-4225-851D-7064F59BDB2B}">
      <text>
        <r>
          <rPr>
            <b/>
            <sz val="9"/>
            <color indexed="81"/>
            <rFont val="Tahoma"/>
            <family val="2"/>
          </rPr>
          <t>&lt;[[TCDeals] - [TC Property Current Stage (Seq: 1)] Oper Elevator Maint Contract - Both]&gt;</t>
        </r>
      </text>
    </comment>
    <comment ref="C173" authorId="0" shapeId="0" xr:uid="{2C48700B-9D91-4F02-B35C-B117FA0FB423}">
      <text>
        <r>
          <rPr>
            <b/>
            <sz val="9"/>
            <color indexed="81"/>
            <rFont val="Tahoma"/>
            <family val="2"/>
          </rPr>
          <t>&lt;[[TCDeals] - [TC Property Current Stage (Seq: 1)] Oper Exterminating - Both]&gt;</t>
        </r>
      </text>
    </comment>
    <comment ref="C174" authorId="0" shapeId="0" xr:uid="{69C6FC2E-0E63-42A8-8E34-98F7CA810678}">
      <text>
        <r>
          <rPr>
            <b/>
            <sz val="9"/>
            <color indexed="81"/>
            <rFont val="Tahoma"/>
            <family val="2"/>
          </rPr>
          <t>&lt;[[TCDeals] - [TC Property Current Stage (Seq: 1)] Oper Grounds Contract - Both]&gt;</t>
        </r>
      </text>
    </comment>
    <comment ref="C175" authorId="0" shapeId="0" xr:uid="{D62FE61D-82D5-437A-83B0-F559FE2A65B9}">
      <text>
        <r>
          <rPr>
            <b/>
            <sz val="9"/>
            <color indexed="81"/>
            <rFont val="Tahoma"/>
            <family val="2"/>
          </rPr>
          <t>&lt;[[TCDeals] - [TC Property Current Stage (Seq: 1)] Oper Repairs Contract - Both]&gt;</t>
        </r>
      </text>
    </comment>
    <comment ref="C176" authorId="0" shapeId="0" xr:uid="{815D5CC7-F82C-4004-B2C3-445B67B116AE}">
      <text>
        <r>
          <rPr>
            <b/>
            <sz val="9"/>
            <color indexed="81"/>
            <rFont val="Tahoma"/>
            <family val="2"/>
          </rPr>
          <t>&lt;[[TCDeals] - [TC Property Current Stage (Seq: 1)] Oper Maint Repair Payroll - Both]&gt;</t>
        </r>
      </text>
    </comment>
    <comment ref="C177" authorId="0" shapeId="0" xr:uid="{66AC3ECB-B853-4570-8C56-2105837DA8A1}">
      <text>
        <r>
          <rPr>
            <b/>
            <sz val="9"/>
            <color indexed="81"/>
            <rFont val="Tahoma"/>
            <family val="2"/>
          </rPr>
          <t>&lt;[[TCDeals] - [TC Property Current Stage (Seq: 1)] Oper Repairs Material - Both]&gt;</t>
        </r>
      </text>
    </comment>
    <comment ref="C178" authorId="0" shapeId="0" xr:uid="{3CC4BD52-28B6-4F57-8F0C-F59FC00307E5}">
      <text>
        <r>
          <rPr>
            <b/>
            <sz val="9"/>
            <color indexed="81"/>
            <rFont val="Tahoma"/>
            <family val="2"/>
          </rPr>
          <t>&lt;[[TCDeals] - [TC Property Current Stage (Seq: 1)] - [Property Points (Seq: 1)] Maintenance - Contracts - Both]&gt;</t>
        </r>
      </text>
    </comment>
    <comment ref="C179" authorId="0" shapeId="0" xr:uid="{E796381C-3857-420D-862A-031A68825E69}">
      <text>
        <r>
          <rPr>
            <b/>
            <sz val="9"/>
            <color indexed="81"/>
            <rFont val="Tahoma"/>
            <family val="2"/>
          </rPr>
          <t>&lt;[[TCDeals] - [TC Property Current Stage (Seq: 1)] Oper Decorating Payroll Contract - Both]&gt;</t>
        </r>
      </text>
    </comment>
    <comment ref="C180" authorId="0" shapeId="0" xr:uid="{C87508E0-131A-49DB-B875-711A634ED836}">
      <text>
        <r>
          <rPr>
            <b/>
            <sz val="9"/>
            <color indexed="81"/>
            <rFont val="Tahoma"/>
            <family val="2"/>
          </rPr>
          <t>&lt;[[TCDeals] - [TC Property Current Stage (Seq: 1)] Oper Snow Removal - Both]&gt;</t>
        </r>
      </text>
    </comment>
    <comment ref="A181" authorId="0" shapeId="0" xr:uid="{A8FFC545-A13B-41BF-8800-623CC2860FF5}">
      <text>
        <r>
          <rPr>
            <b/>
            <sz val="9"/>
            <color indexed="81"/>
            <rFont val="Tahoma"/>
            <family val="2"/>
          </rPr>
          <t>&lt;[[TCDeals] - [TC Property Current Stage (Seq: 1)] - [Property Points (Seq: 1)] Maintenance Other Comment - Both]&gt;</t>
        </r>
      </text>
    </comment>
    <comment ref="C181" authorId="0" shapeId="0" xr:uid="{F5AD8EA0-7237-44A4-A9B6-377ACC886B04}">
      <text>
        <r>
          <rPr>
            <b/>
            <sz val="9"/>
            <color indexed="81"/>
            <rFont val="Tahoma"/>
            <family val="2"/>
          </rPr>
          <t>&lt;[[TCDeals] - [TC Property Current Stage (Seq: 1)] - [Property Points (Seq: 1)] Maintenance - Other - Both]&gt;</t>
        </r>
      </text>
    </comment>
    <comment ref="A182" authorId="0" shapeId="0" xr:uid="{8BF99BEE-96D4-41E4-A37D-121AFAAB19C2}">
      <text>
        <r>
          <rPr>
            <b/>
            <sz val="9"/>
            <color indexed="81"/>
            <rFont val="Tahoma"/>
            <family val="2"/>
          </rPr>
          <t>&lt;[[TCDeals] - [TC Property Current Stage (Seq: 1)] - [Property Points (Seq: 1)] Maintenance Other 2 Comment - Both]&gt;</t>
        </r>
      </text>
    </comment>
    <comment ref="C182" authorId="0" shapeId="0" xr:uid="{66284876-F72B-4DBB-91C3-200D28C478A6}">
      <text>
        <r>
          <rPr>
            <b/>
            <sz val="9"/>
            <color indexed="81"/>
            <rFont val="Tahoma"/>
            <family val="2"/>
          </rPr>
          <t>&lt;[[TCDeals] - [TC Property Current Stage (Seq: 1)] - [Property Points (Seq: 1)] Maintenance - Other 2 - Both]&gt;</t>
        </r>
      </text>
    </comment>
    <comment ref="A183" authorId="0" shapeId="0" xr:uid="{65582801-7B57-4A6B-A1EE-2C18C0CBC84E}">
      <text>
        <r>
          <rPr>
            <b/>
            <sz val="9"/>
            <color indexed="81"/>
            <rFont val="Tahoma"/>
            <family val="2"/>
          </rPr>
          <t>&lt;[[TCDeals] - [TC Property Current Stage (Seq: 1)] - [Property Points (Seq: 1)] Maintenance Other 3 Comment - Both]&gt;</t>
        </r>
      </text>
    </comment>
    <comment ref="C183" authorId="0" shapeId="0" xr:uid="{EEC12389-ED6D-4B84-AB83-F2D86AD007CF}">
      <text>
        <r>
          <rPr>
            <b/>
            <sz val="9"/>
            <color indexed="81"/>
            <rFont val="Tahoma"/>
            <family val="2"/>
          </rPr>
          <t>&lt;[[TCDeals] - [TC Property Current Stage (Seq: 1)] - [Property Points (Seq: 1)] Maintenance - Other 3 - Both]&gt;</t>
        </r>
      </text>
    </comment>
    <comment ref="C184" authorId="0" shapeId="0" xr:uid="{67734D0D-1C37-4723-A3B8-3FE247B0995B}">
      <text>
        <r>
          <rPr>
            <b/>
            <sz val="9"/>
            <color indexed="81"/>
            <rFont val="Tahoma"/>
            <family val="2"/>
          </rPr>
          <t>&lt;[[TCDeals] - [TC Property Current Stage (Seq: 1)] TI Real Estate Taxes - Both]&gt;</t>
        </r>
      </text>
    </comment>
    <comment ref="C185" authorId="0" shapeId="0" xr:uid="{E818BED3-C2B6-48EA-9061-828326203921}">
      <text>
        <r>
          <rPr>
            <b/>
            <sz val="9"/>
            <color indexed="81"/>
            <rFont val="Tahoma"/>
            <family val="2"/>
          </rPr>
          <t>&lt;[[TCDeals] - [TC Property Current Stage (Seq: 1)] - [Property Points (Seq: 1)] Fix Expenses - Payment in Lieu of Taxes - Both]&gt;</t>
        </r>
      </text>
    </comment>
    <comment ref="C186" authorId="0" shapeId="0" xr:uid="{055CDF68-225A-4D98-9B84-94629B258D7A}">
      <text>
        <r>
          <rPr>
            <b/>
            <sz val="9"/>
            <color indexed="81"/>
            <rFont val="Tahoma"/>
            <family val="2"/>
          </rPr>
          <t>&lt;[[TCDeals] - [TC Property Current Stage (Seq: 1)] TI Misc - Both]&gt;</t>
        </r>
      </text>
    </comment>
    <comment ref="C187" authorId="0" shapeId="0" xr:uid="{B1EBF35B-2C49-4FBE-B766-B6507ABD4626}">
      <text>
        <r>
          <rPr>
            <b/>
            <sz val="9"/>
            <color indexed="81"/>
            <rFont val="Tahoma"/>
            <family val="2"/>
          </rPr>
          <t>&lt;[[TCDeals] - [TC Property Current Stage (Seq: 1)] TI Prop Liability Insurance - Both]&gt;</t>
        </r>
      </text>
    </comment>
    <comment ref="C188" authorId="0" shapeId="0" xr:uid="{586008E4-7A51-495B-82A1-9CFD23DDD14D}">
      <text>
        <r>
          <rPr>
            <b/>
            <sz val="9"/>
            <color indexed="81"/>
            <rFont val="Tahoma"/>
            <family val="2"/>
          </rPr>
          <t>&lt;[[TCDeals] - [TC Property Current Stage (Seq: 1)] TI Payroll Taxes - Both]&gt;</t>
        </r>
      </text>
    </comment>
    <comment ref="A189" authorId="0" shapeId="0" xr:uid="{E7C4A041-30A7-4944-8B25-39C26592BE5B}">
      <text>
        <r>
          <rPr>
            <b/>
            <sz val="9"/>
            <color indexed="81"/>
            <rFont val="Tahoma"/>
            <family val="2"/>
          </rPr>
          <t>&lt;[[TCDeals] - [TC Property Current Stage (Seq: 1)] - [Property Points (Seq: 1)] Fix Expenses Other Comment - Both]&gt;</t>
        </r>
      </text>
    </comment>
    <comment ref="C189" authorId="0" shapeId="0" xr:uid="{9BB03F49-38FA-4DAB-9B9B-BA3EC5F05FC4}">
      <text>
        <r>
          <rPr>
            <b/>
            <sz val="9"/>
            <color indexed="81"/>
            <rFont val="Tahoma"/>
            <family val="2"/>
          </rPr>
          <t>&lt;[[TCDeals] - [TC Property Current Stage (Seq: 1)] - [Property Points (Seq: 1)] Fix Expenses - Other - Both]&gt;</t>
        </r>
      </text>
    </comment>
    <comment ref="A190" authorId="0" shapeId="0" xr:uid="{D84DA53A-50EC-4809-B901-ACCD2F649841}">
      <text>
        <r>
          <rPr>
            <b/>
            <sz val="9"/>
            <color indexed="81"/>
            <rFont val="Tahoma"/>
            <family val="2"/>
          </rPr>
          <t>&lt;[[TCDeals] - [TC Property Current Stage (Seq: 1)] - [Property Points (Seq: 1)] Fix Expenses Other 2 Comment - Both]&gt;</t>
        </r>
      </text>
    </comment>
    <comment ref="C190" authorId="0" shapeId="0" xr:uid="{28D6FC62-06A0-4912-AF85-A2878C176BFD}">
      <text>
        <r>
          <rPr>
            <b/>
            <sz val="9"/>
            <color indexed="81"/>
            <rFont val="Tahoma"/>
            <family val="2"/>
          </rPr>
          <t>&lt;[[TCDeals] - [TC Property Current Stage (Seq: 1)] - [Property Points (Seq: 1)] Fix Expenses - Other 2 - Both]&gt;</t>
        </r>
      </text>
    </comment>
    <comment ref="C192" authorId="0" shapeId="0" xr:uid="{E74A7F35-AB61-404F-BF91-4BAA7B7F2772}">
      <text>
        <r>
          <rPr>
            <b/>
            <sz val="9"/>
            <color indexed="81"/>
            <rFont val="Tahoma"/>
            <family val="2"/>
          </rPr>
          <t>&lt;[[TCDeals] - [TC Property Current Stage (Seq: 1)] - [Property Points (Seq: 1)] PUPA - Both]&gt;</t>
        </r>
      </text>
    </comment>
    <comment ref="C193" authorId="0" shapeId="0" xr:uid="{8D61A1B9-3D00-4968-8CC4-8ABAA02EE57C}">
      <text>
        <r>
          <rPr>
            <b/>
            <sz val="9"/>
            <color indexed="81"/>
            <rFont val="Tahoma"/>
            <family val="2"/>
          </rPr>
          <t>&lt;[[TCDeals] - [TC Property Current Stage (Seq: 1)] - [Property Points (Seq: 1)] Total Annual Residential Operating Expenses - Both]&gt;</t>
        </r>
      </text>
    </comment>
    <comment ref="C194" authorId="0" shapeId="0" xr:uid="{8EDD0617-7CF4-4B6C-9743-A33760AD74C6}">
      <text>
        <r>
          <rPr>
            <b/>
            <sz val="9"/>
            <color indexed="81"/>
            <rFont val="Tahoma"/>
            <family val="2"/>
          </rPr>
          <t>&lt;[[TCDeals] - [TC Property Current Stage (Seq: 1)] - [Property Points (Seq: 1)] Total Annual Commercial Operating Expenses - Both]&gt;</t>
        </r>
      </text>
    </comment>
    <comment ref="C195" authorId="0" shapeId="0" xr:uid="{07418BA2-3F6C-4EB1-99C7-4469797641CE}">
      <text>
        <r>
          <rPr>
            <b/>
            <sz val="9"/>
            <color indexed="81"/>
            <rFont val="Tahoma"/>
            <family val="2"/>
          </rPr>
          <t>&lt;[[TCDeals] - [TC Property Current Stage (Seq: 1)] - [Property Points (Seq: 1)] Total Per Unit Annual Replacement Reserves - Both]&gt;</t>
        </r>
      </text>
    </comment>
    <comment ref="C196" authorId="1" shapeId="0" xr:uid="{A62F9E02-2A81-41F1-8999-967839448CBA}">
      <text>
        <r>
          <rPr>
            <b/>
            <sz val="9"/>
            <color indexed="81"/>
            <rFont val="Tahoma"/>
            <family val="2"/>
          </rPr>
          <t>&lt;[[TCDeals] - [TC Property Current Stage (Seq: 1)] - [Property Points (Seq: 1)] Development Operating Reserve Requirement - Both]&gt;</t>
        </r>
      </text>
    </comment>
    <comment ref="C197" authorId="0" shapeId="0" xr:uid="{008A049D-8983-4715-A6B3-8897AB1FAE85}">
      <text>
        <r>
          <rPr>
            <b/>
            <sz val="9"/>
            <color indexed="81"/>
            <rFont val="Tahoma"/>
            <family val="2"/>
          </rPr>
          <t>&lt;[[TCDeals] - [TC Property Current Stage (Seq: 1)] - [Property Points (Seq: 1)] Method 1 Federal - Both]&gt;</t>
        </r>
      </text>
    </comment>
    <comment ref="C198" authorId="0" shapeId="0" xr:uid="{4DFAA02C-54B6-44E6-B503-9CD7FE565CE2}">
      <text>
        <r>
          <rPr>
            <b/>
            <sz val="9"/>
            <color indexed="81"/>
            <rFont val="Tahoma"/>
            <family val="2"/>
          </rPr>
          <t>&lt;[[TCDeals] - [TC Property Current Stage (Seq: 1)] - [Property Points (Seq: 1)] Method 1 State - Both]&gt;</t>
        </r>
      </text>
    </comment>
    <comment ref="C199" authorId="0" shapeId="0" xr:uid="{8F518231-4C6A-4C03-9958-120D2408AE8E}">
      <text>
        <r>
          <rPr>
            <b/>
            <sz val="9"/>
            <color indexed="81"/>
            <rFont val="Tahoma"/>
            <family val="2"/>
          </rPr>
          <t>&lt;[[TCDeals] - [TC Property Current Stage (Seq: 1)] - [Property Points (Seq: 1)] Method 2 Federal - Both]&gt;</t>
        </r>
      </text>
    </comment>
    <comment ref="C200" authorId="0" shapeId="0" xr:uid="{AF0F478A-0D53-448F-93BB-4CF64F0A766A}">
      <text>
        <r>
          <rPr>
            <b/>
            <sz val="9"/>
            <color indexed="81"/>
            <rFont val="Tahoma"/>
            <family val="2"/>
          </rPr>
          <t>&lt;[[TCDeals] - [TC Property Current Stage (Seq: 1)] - [Property Points (Seq: 1)] Method 2 State - Both]&gt;</t>
        </r>
      </text>
    </comment>
    <comment ref="C201" authorId="0" shapeId="0" xr:uid="{794929FC-C95E-4350-BAB6-429F5B6F8A66}">
      <text>
        <r>
          <rPr>
            <b/>
            <sz val="9"/>
            <color indexed="81"/>
            <rFont val="Tahoma"/>
            <family val="2"/>
          </rPr>
          <t>&lt;[[TCDeals] - [TC Property Current Stage (Seq: 1)] - [Property Points (Seq: 1)] Method 3 Federal - Both]&gt;</t>
        </r>
      </text>
    </comment>
    <comment ref="C202" authorId="0" shapeId="0" xr:uid="{3F08270D-D188-4F12-9E78-55AB1D10EA48}">
      <text>
        <r>
          <rPr>
            <b/>
            <sz val="9"/>
            <color indexed="81"/>
            <rFont val="Tahoma"/>
            <family val="2"/>
          </rPr>
          <t>&lt;[[TCDeals] - [TC Property Current Stage (Seq: 1)] - [Property Points (Seq: 1)] Method 3 State - Both]&gt;</t>
        </r>
      </text>
    </comment>
    <comment ref="C203" authorId="0" shapeId="0" xr:uid="{2078FE72-3422-43CB-958F-D69102FA41B6}">
      <text>
        <r>
          <rPr>
            <b/>
            <sz val="9"/>
            <color indexed="81"/>
            <rFont val="Tahoma"/>
            <family val="2"/>
          </rPr>
          <t>&lt;[[TCDeals] - [TC Property Current Stage (Seq: 1)] Deferred Dev Fee - Both]&gt;</t>
        </r>
      </text>
    </comment>
    <comment ref="C204" authorId="0" shapeId="0" xr:uid="{C7789472-4CC9-428D-B69F-27063FD1D59A}">
      <text>
        <r>
          <rPr>
            <b/>
            <sz val="9"/>
            <color indexed="81"/>
            <rFont val="Tahoma"/>
            <family val="2"/>
          </rPr>
          <t>&lt;[[TCDeals] - [TC Property Current Stage (Seq: 1)] Equity Gap - Both]&gt;</t>
        </r>
      </text>
    </comment>
    <comment ref="C205" authorId="0" shapeId="0" xr:uid="{F3417EE7-0353-4847-9988-EF0A0FEB8090}">
      <text>
        <r>
          <rPr>
            <b/>
            <sz val="9"/>
            <color indexed="81"/>
            <rFont val="Tahoma"/>
            <family val="2"/>
          </rPr>
          <t>&lt;[[TCDeals] - [TC Property Current Stage (Seq: 1)] - [Property Points (Seq: 1)] Gap Vaule - Both]&gt;</t>
        </r>
      </text>
    </comment>
    <comment ref="C206" authorId="0" shapeId="0" xr:uid="{69010831-470E-4224-8110-971BB25964DA}">
      <text>
        <r>
          <rPr>
            <b/>
            <sz val="9"/>
            <color indexed="81"/>
            <rFont val="Tahoma"/>
            <family val="2"/>
          </rPr>
          <t>&lt;[[TCDeals] - [TC Property Current Stage (Seq: 1)] Equity Dollars per Credit - Both]&gt;</t>
        </r>
      </text>
    </comment>
    <comment ref="C207" authorId="0" shapeId="0" xr:uid="{8726B6A7-D607-4FA7-B653-6B7B6DE725BF}">
      <text>
        <r>
          <rPr>
            <b/>
            <sz val="9"/>
            <color indexed="81"/>
            <rFont val="Tahoma"/>
            <family val="2"/>
          </rPr>
          <t>&lt;[[TCDeals] - [TC Property Current Stage (Seq: 1)] Annual Credit Required - Both]&gt;</t>
        </r>
      </text>
    </comment>
    <comment ref="C208" authorId="0" shapeId="0" xr:uid="{D0BA4367-D251-499D-AB79-C3D07CBE1DBB}">
      <text>
        <r>
          <rPr>
            <b/>
            <sz val="9"/>
            <color indexed="81"/>
            <rFont val="Tahoma"/>
            <family val="2"/>
          </rPr>
          <t>&lt;[[TCDeals] - [TC Property Current Stage (Seq: 1)] Total Annual Credit Amount Request - Both]&gt;</t>
        </r>
      </text>
    </comment>
    <comment ref="C209" authorId="0" shapeId="0" xr:uid="{1A964C53-2EB2-49D5-ABD2-B86F053BEC81}">
      <text>
        <r>
          <rPr>
            <b/>
            <sz val="9"/>
            <color indexed="81"/>
            <rFont val="Tahoma"/>
            <family val="2"/>
          </rPr>
          <t>&lt;[[TCDeals] - [TC Property Current Stage (Seq: 1)] Credit Amount Issued - Both]&gt;</t>
        </r>
      </text>
    </comment>
    <comment ref="C210" authorId="0" shapeId="0" xr:uid="{7A147598-9DB4-48F3-A1F8-C000AD67005B}">
      <text>
        <r>
          <rPr>
            <b/>
            <sz val="9"/>
            <color indexed="81"/>
            <rFont val="Tahoma"/>
            <family val="2"/>
          </rPr>
          <t>&lt;[[TCDeals] - [TC Property Current Stage (Seq: 1)] - [Property Points (Seq: 1)] State Credit Amount Issued - Both]&gt;</t>
        </r>
      </text>
    </comment>
    <comment ref="C211" authorId="1" shapeId="0" xr:uid="{4FAB60DE-45C5-4740-A4A0-75161F1D034B}">
      <text>
        <r>
          <rPr>
            <b/>
            <sz val="9"/>
            <color indexed="81"/>
            <rFont val="Tahoma"/>
            <family val="2"/>
          </rPr>
          <t>&lt;[[TCDeals] - [TC Property Current Stage (Seq: 1)] - [Property Points (Seq: 1)] State Tax Credit Equity - Both]&gt;</t>
        </r>
      </text>
    </comment>
    <comment ref="C212" authorId="0" shapeId="0" xr:uid="{44916AB8-E406-4808-8038-606955B8D02B}">
      <text>
        <r>
          <rPr>
            <b/>
            <sz val="9"/>
            <color indexed="81"/>
            <rFont val="Tahoma"/>
            <family val="2"/>
          </rPr>
          <t>&lt;[[TCDeals] - [TC Property Current Stage (Seq: 1)] - [Property Points (Seq: 1)] State Qualified - Both]&gt;</t>
        </r>
      </text>
    </comment>
    <comment ref="C213" authorId="0" shapeId="0" xr:uid="{62731728-4515-421C-A425-753A698A4F4F}">
      <text>
        <r>
          <rPr>
            <b/>
            <sz val="9"/>
            <color indexed="81"/>
            <rFont val="Tahoma"/>
            <family val="2"/>
          </rPr>
          <t>&lt;[[TCDeals] - [TC Property Current Stage (Seq: 1)] - [Property Points (Seq: 1)] Eligible Basis - Both]&gt;</t>
        </r>
      </text>
    </comment>
    <comment ref="C214" authorId="0" shapeId="0" xr:uid="{FB221258-A08D-4AE1-8573-646281EA4A96}">
      <text>
        <r>
          <rPr>
            <b/>
            <sz val="9"/>
            <color indexed="81"/>
            <rFont val="Tahoma"/>
            <family val="2"/>
          </rPr>
          <t>&lt;[[TCDeals] - [TC Property Current Stage (Seq: 1)] - [Property Points (Seq: 1)] Is Locking Applicable Percentage? - Both]&gt;</t>
        </r>
      </text>
    </comment>
    <comment ref="C215" authorId="0" shapeId="0" xr:uid="{A8E83900-77B6-4A86-B0F1-45A5DB8638CC}">
      <text>
        <r>
          <rPr>
            <b/>
            <sz val="9"/>
            <color indexed="81"/>
            <rFont val="Tahoma"/>
            <family val="2"/>
          </rPr>
          <t>&lt;[[TCDeals] - [TC Property Current Stage (Seq: 1)] - [Property Points (Seq: 1)] 9% APR - Both]&gt;</t>
        </r>
      </text>
    </comment>
    <comment ref="C216" authorId="0" shapeId="0" xr:uid="{A4F9AF66-C132-4F14-9C58-A87717A2F441}">
      <text>
        <r>
          <rPr>
            <b/>
            <sz val="9"/>
            <color indexed="81"/>
            <rFont val="Tahoma"/>
            <family val="2"/>
          </rPr>
          <t>&lt;[[TCDeals] RFO Date Received - Both]&gt;</t>
        </r>
      </text>
    </comment>
    <comment ref="C217" authorId="0" shapeId="0" xr:uid="{0BB0C9CD-78EC-46BD-9CAF-822009DD8768}">
      <text>
        <r>
          <rPr>
            <b/>
            <sz val="9"/>
            <color indexed="81"/>
            <rFont val="Tahoma"/>
            <family val="2"/>
          </rPr>
          <t>&lt;[[TCDeals] - [TC Property Current Stage (Seq: 1)] - [Property Points (Seq: 1)] Anticipated Placed in Service Date - Both]&gt;</t>
        </r>
      </text>
    </comment>
    <comment ref="C218" authorId="0" shapeId="0" xr:uid="{C6A69C13-15F0-463B-A92B-39E983C70782}">
      <text>
        <r>
          <rPr>
            <b/>
            <sz val="9"/>
            <color indexed="81"/>
            <rFont val="Tahoma"/>
            <family val="2"/>
          </rPr>
          <t>&lt;[[TCDeals] - [TC Property Current Stage (Seq: 1)] - [Property Points (Seq: 1)] Number of Floors in the Tallest Building - Both]&gt;</t>
        </r>
      </text>
    </comment>
    <comment ref="C219" authorId="0" shapeId="0" xr:uid="{86662CFA-6C64-4F3C-B0D8-0A7082A852C8}">
      <text>
        <r>
          <rPr>
            <b/>
            <sz val="9"/>
            <color indexed="81"/>
            <rFont val="Tahoma"/>
            <family val="2"/>
          </rPr>
          <t>&lt;[[TCDeals] - [TC Property Current Stage (Seq: 1)] - [Property Points (Seq: 1)] Number of Parking Spaces - Both]&gt;</t>
        </r>
      </text>
    </comment>
    <comment ref="C220" authorId="0" shapeId="0" xr:uid="{F6810612-DCF1-44E2-B3A6-72647C33B650}">
      <text>
        <r>
          <rPr>
            <b/>
            <sz val="9"/>
            <color indexed="81"/>
            <rFont val="Tahoma"/>
            <family val="2"/>
          </rPr>
          <t>&lt;[[TCDeals] - [TC Property Current Stage (Seq: 1)] - [Property Points (Seq: 1)] Optional Field 358 - Both]&gt;</t>
        </r>
      </text>
    </comment>
    <comment ref="C221" authorId="1" shapeId="0" xr:uid="{81ACEC72-DA79-4083-8B97-7AB46D5C4CB7}">
      <text>
        <r>
          <rPr>
            <b/>
            <sz val="9"/>
            <color indexed="81"/>
            <rFont val="Tahoma"/>
            <family val="2"/>
          </rPr>
          <t>&lt;[[TCDeals] - [TC Property Current Stage (Seq: 1)] - [Property Points (Seq: 1)] PAB Contact Name - Both]&gt;</t>
        </r>
      </text>
    </comment>
    <comment ref="C222" authorId="1" shapeId="0" xr:uid="{C20A6773-5B73-4A13-BDE1-2EBD5ECC7E09}">
      <text>
        <r>
          <rPr>
            <b/>
            <sz val="9"/>
            <color indexed="81"/>
            <rFont val="Tahoma"/>
            <family val="2"/>
          </rPr>
          <t>&lt;[[TCDeals] - [TC Property Current Stage (Seq: 1)] - [Property Points (Seq: 1)] PAB Issuer Address - Both]&gt;</t>
        </r>
      </text>
    </comment>
    <comment ref="C223" authorId="1" shapeId="0" xr:uid="{1261FDCC-A5B9-40AD-8517-AC510CACE6D1}">
      <text>
        <r>
          <rPr>
            <b/>
            <sz val="9"/>
            <color indexed="81"/>
            <rFont val="Tahoma"/>
            <family val="2"/>
          </rPr>
          <t>&lt;[[TCDeals] - [TC Property Current Stage (Seq: 1)] - [Property Points (Seq: 1)] PAB Issuer City - Both]&gt;</t>
        </r>
      </text>
    </comment>
    <comment ref="C224" authorId="1" shapeId="0" xr:uid="{04092283-88B9-4A49-8C9E-A2EDC647F521}">
      <text>
        <r>
          <rPr>
            <b/>
            <sz val="9"/>
            <color indexed="81"/>
            <rFont val="Tahoma"/>
            <family val="2"/>
          </rPr>
          <t>&lt;[[TCDeals] - [TC Property Current Stage (Seq: 1)] - [Property Points (Seq: 1)] PAB Issuer State - Both]&gt;</t>
        </r>
      </text>
    </comment>
    <comment ref="C225" authorId="1" shapeId="0" xr:uid="{79D488EB-7415-4C03-9F8C-1AC43FD71F1C}">
      <text>
        <r>
          <rPr>
            <b/>
            <sz val="9"/>
            <color indexed="81"/>
            <rFont val="Tahoma"/>
            <family val="2"/>
          </rPr>
          <t>&lt;[[TCDeals] - [TC Property Current Stage (Seq: 1)] - [Property Points (Seq: 1)] PAB Issuer Zip Code - Both]&gt;</t>
        </r>
      </text>
    </comment>
    <comment ref="C226" authorId="1" shapeId="0" xr:uid="{79B136E0-94BE-470E-8575-1BFF0C4D61FD}">
      <text>
        <r>
          <rPr>
            <b/>
            <sz val="9"/>
            <color indexed="81"/>
            <rFont val="Tahoma"/>
            <family val="2"/>
          </rPr>
          <t>&lt;[[TCDeals] - [TC Property Current Stage (Seq: 1)] - [Property Points (Seq: 1)] PAB Amount - Both]&gt;</t>
        </r>
      </text>
    </comment>
    <comment ref="C227" authorId="1" shapeId="0" xr:uid="{52B8BF34-D807-441A-B7A2-0A8BC64A06AF}">
      <text>
        <r>
          <rPr>
            <b/>
            <sz val="9"/>
            <color indexed="81"/>
            <rFont val="Tahoma"/>
            <family val="2"/>
          </rPr>
          <t>&lt;[[TCDeals] - [TC Property Current Stage (Seq: 1)] - [Property Points (Seq: 1)] PAB Amount Currency - Both]&gt;</t>
        </r>
      </text>
    </comment>
    <comment ref="C228" authorId="0" shapeId="0" xr:uid="{49C01B8E-A909-48FF-9CDB-C402EE49DFC8}">
      <text>
        <r>
          <rPr>
            <b/>
            <sz val="9"/>
            <color indexed="81"/>
            <rFont val="Tahoma"/>
            <family val="2"/>
          </rPr>
          <t>&lt;[[TCDeals] - [TC Property Current Stage (Seq: 1)] - [Property Points (Seq: 1)] PAB Mortgage % - Both]&gt;</t>
        </r>
      </text>
    </comment>
    <comment ref="C229" authorId="0" shapeId="0" xr:uid="{AADAF63E-1BDD-44F4-909B-60CE78E2C6FC}">
      <text>
        <r>
          <rPr>
            <b/>
            <sz val="9"/>
            <color indexed="81"/>
            <rFont val="Tahoma"/>
            <family val="2"/>
          </rPr>
          <t>&lt;[[TCDeals] - [TC Property Current Stage (Seq: 1)] - [Property Points (Seq: 1)] State CHFA DDA Boost Amount - Both]&gt;</t>
        </r>
      </text>
    </comment>
    <comment ref="C230" authorId="0" shapeId="0" xr:uid="{F0D1EF8E-61C3-477E-BB48-8A6BF9B88F59}">
      <text>
        <r>
          <rPr>
            <b/>
            <sz val="9"/>
            <color indexed="81"/>
            <rFont val="Tahoma"/>
            <family val="2"/>
          </rPr>
          <t>&lt;[[TCDeals] - [TC Property Current Stage (Seq: 1)] - [Property Points (Seq: 1)] State CHFA DDA Boost Percent - Both]&gt;</t>
        </r>
      </text>
    </comment>
    <comment ref="C231" authorId="1" shapeId="0" xr:uid="{9138AC00-D9E2-45AC-A7D3-D2C75D9E913C}">
      <text>
        <r>
          <rPr>
            <b/>
            <sz val="9"/>
            <color indexed="81"/>
            <rFont val="Tahoma"/>
            <family val="2"/>
          </rPr>
          <t>&lt;[[TCDeals] - [TC Property Current Stage (Seq: 1)] - [Property Points (Seq: 1)] Is CHFA Basis Boost - Both]&gt;</t>
        </r>
      </text>
    </comment>
    <comment ref="C232" authorId="0" shapeId="0" xr:uid="{30C017DA-40C9-4D7E-857C-A87D68A752E4}">
      <text>
        <r>
          <rPr>
            <b/>
            <sz val="9"/>
            <color indexed="81"/>
            <rFont val="Tahoma"/>
            <family val="2"/>
          </rPr>
          <t>&lt;[[TCDeals] - [TC Property Current Stage (Seq: 1)] Is Tax Exempt Bonds - Both]&gt;</t>
        </r>
      </text>
    </comment>
    <comment ref="C234" authorId="0" shapeId="0" xr:uid="{ABF5F66D-881F-4516-BAEF-BD8328F3C351}">
      <text>
        <r>
          <rPr>
            <b/>
            <sz val="9"/>
            <color indexed="81"/>
            <rFont val="Tahoma"/>
            <family val="2"/>
          </rPr>
          <t>&lt;[[TCDeals] - [TC Property Current Stage (Seq: 1)] Address 1 - Both]&gt;</t>
        </r>
      </text>
    </comment>
    <comment ref="C235" authorId="0" shapeId="0" xr:uid="{1F9269C5-3DF3-40E4-BBD1-80E41E8F78CA}">
      <text>
        <r>
          <rPr>
            <b/>
            <sz val="9"/>
            <color indexed="81"/>
            <rFont val="Tahoma"/>
            <family val="2"/>
          </rPr>
          <t>&lt;[[TCDeals] - [TC Property Current Stage (Seq: 1)] City - Both]&gt;</t>
        </r>
      </text>
    </comment>
    <comment ref="C236" authorId="0" shapeId="0" xr:uid="{16D71AB3-5F77-47EA-B861-BB511FF8DD71}">
      <text>
        <r>
          <rPr>
            <b/>
            <sz val="9"/>
            <color indexed="81"/>
            <rFont val="Tahoma"/>
            <family val="2"/>
          </rPr>
          <t>&lt;[[TCDeals] - [TC Property Current Stage (Seq: 1)] State - Both]&gt;</t>
        </r>
      </text>
    </comment>
    <comment ref="C237" authorId="0" shapeId="0" xr:uid="{E9CD31E9-02C3-40F2-AE1A-314D59F5040B}">
      <text>
        <r>
          <rPr>
            <b/>
            <sz val="9"/>
            <color indexed="81"/>
            <rFont val="Tahoma"/>
            <family val="2"/>
          </rPr>
          <t>&lt;[[TCDeals] - [TC Property Current Stage (Seq: 1)] Zip Code - Both]&gt;</t>
        </r>
      </text>
    </comment>
    <comment ref="C238" authorId="0" shapeId="0" xr:uid="{EC4ADF5E-FC15-4ED1-B14E-5D8F15F9B5BA}">
      <text>
        <r>
          <rPr>
            <b/>
            <sz val="9"/>
            <color indexed="81"/>
            <rFont val="Tahoma"/>
            <family val="2"/>
          </rPr>
          <t>&lt;[[TCDeals] - [TC Property Current Stage (Seq: 1)] Census Tract - Both]&gt;</t>
        </r>
      </text>
    </comment>
    <comment ref="C239" authorId="0" shapeId="0" xr:uid="{59FEB809-5CE1-4017-B12B-8C5E92496D1D}">
      <text>
        <r>
          <rPr>
            <b/>
            <sz val="9"/>
            <color indexed="81"/>
            <rFont val="Tahoma"/>
            <family val="2"/>
          </rPr>
          <t>&lt;[[TCDeals] - [TC Property Current Stage (Seq: 1)] Congressional District - Both]&gt;</t>
        </r>
      </text>
    </comment>
    <comment ref="C240" authorId="0" shapeId="0" xr:uid="{39DBCB53-0BCE-426C-9BD0-D4D892B99E15}">
      <text>
        <r>
          <rPr>
            <b/>
            <sz val="9"/>
            <color indexed="81"/>
            <rFont val="Tahoma"/>
            <family val="2"/>
          </rPr>
          <t>&lt;[[TCDeals] - [TC Property Current Stage (Seq: 1)] State Senate District - Both]&gt;</t>
        </r>
      </text>
    </comment>
    <comment ref="C241" authorId="0" shapeId="0" xr:uid="{5A31DC0E-49B5-4820-94F1-474499F15690}">
      <text>
        <r>
          <rPr>
            <b/>
            <sz val="9"/>
            <color indexed="81"/>
            <rFont val="Tahoma"/>
            <family val="2"/>
          </rPr>
          <t>&lt;[[TCDeals] - [TC Property Current Stage (Seq: 1)] State House District - Both]&gt;</t>
        </r>
      </text>
    </comment>
    <comment ref="C242" authorId="0" shapeId="0" xr:uid="{5C518D8E-8E7C-4EA0-80DD-CE7C9A9F5ABB}">
      <text>
        <r>
          <rPr>
            <b/>
            <sz val="9"/>
            <color indexed="81"/>
            <rFont val="Tahoma"/>
            <family val="2"/>
          </rPr>
          <t>&lt;[[TCDeals] - [TC Property Current Stage (Seq: 1)] Jurisdiction - Both]&gt;</t>
        </r>
      </text>
    </comment>
    <comment ref="C244" authorId="0" shapeId="0" xr:uid="{BB4B309F-5D86-4083-894D-1FDBCFA5691D}">
      <text>
        <r>
          <rPr>
            <b/>
            <sz val="9"/>
            <color indexed="81"/>
            <rFont val="Tahoma"/>
            <family val="2"/>
          </rPr>
          <t>&lt;[[TCDeals] - [TC Property Current Stage (Seq: 1)] Is Zoned Correctly - Both]&gt;</t>
        </r>
      </text>
    </comment>
    <comment ref="C245" authorId="0" shapeId="0" xr:uid="{62CA4A43-60DF-4BC8-A5B2-7E24581A5219}">
      <text>
        <r>
          <rPr>
            <b/>
            <sz val="9"/>
            <color indexed="81"/>
            <rFont val="Tahoma"/>
            <family val="2"/>
          </rPr>
          <t>&lt;[[TCDeals] - [TC Property Current Stage (Seq: 1)] Is Section 221d4 - Both]&gt;</t>
        </r>
      </text>
    </comment>
    <comment ref="C246" authorId="0" shapeId="0" xr:uid="{B93FD313-C625-4E91-82D5-C1C31922ECDC}">
      <text>
        <r>
          <rPr>
            <b/>
            <sz val="9"/>
            <color indexed="81"/>
            <rFont val="Tahoma"/>
            <family val="2"/>
          </rPr>
          <t>&lt;[[TCDeals] - [TC Property Current Stage (Seq: 1)] Is Section 223f - Both]&gt;</t>
        </r>
      </text>
    </comment>
    <comment ref="C247" authorId="0" shapeId="0" xr:uid="{9891A22A-E3D9-4169-970C-572375CF24CB}">
      <text>
        <r>
          <rPr>
            <b/>
            <sz val="9"/>
            <color indexed="81"/>
            <rFont val="Tahoma"/>
            <family val="2"/>
          </rPr>
          <t>&lt;[[TCDeals] - [TC Property Current Stage (Seq: 1)] Is HOME Funds - Both]&gt;</t>
        </r>
      </text>
    </comment>
    <comment ref="C248" authorId="0" shapeId="0" xr:uid="{21911AF0-E364-4FD7-A161-7B95DF947F82}">
      <text>
        <r>
          <rPr>
            <b/>
            <sz val="9"/>
            <color indexed="81"/>
            <rFont val="Tahoma"/>
            <family val="2"/>
          </rPr>
          <t>&lt;[[TCDeals] - [TC Property Current Stage (Seq: 1)] Is Taxable Bonds - Both]&gt;</t>
        </r>
      </text>
    </comment>
    <comment ref="C249" authorId="0" shapeId="0" xr:uid="{F2A2D8EF-F11B-407E-8E27-CAF1947DC3B9}">
      <text>
        <r>
          <rPr>
            <b/>
            <sz val="9"/>
            <color indexed="81"/>
            <rFont val="Tahoma"/>
            <family val="2"/>
          </rPr>
          <t>&lt;[[TCDeals] - [TC Property Current Stage (Seq: 1)] Is CDBG - Both]&gt;</t>
        </r>
      </text>
    </comment>
    <comment ref="C250" authorId="0" shapeId="0" xr:uid="{5D81F5CA-A23C-4878-ACB0-97C347041DEA}">
      <text>
        <r>
          <rPr>
            <b/>
            <sz val="9"/>
            <color indexed="81"/>
            <rFont val="Tahoma"/>
            <family val="2"/>
          </rPr>
          <t>&lt;[[TCDeals] - [TC Property Current Stage (Seq: 1)] Has Federal Subsidies - Both]&gt;</t>
        </r>
      </text>
    </comment>
    <comment ref="C251" authorId="0" shapeId="0" xr:uid="{1414F3CC-0578-48CF-BFE2-34DA81E17294}">
      <text>
        <r>
          <rPr>
            <b/>
            <sz val="9"/>
            <color indexed="81"/>
            <rFont val="Tahoma"/>
            <family val="2"/>
          </rPr>
          <t>&lt;[[TCDeals] - [TC Property Current Stage (Seq: 1)] - [Property Points (Seq: 1)] Is McKinney Act Homeless - Both]&gt;</t>
        </r>
      </text>
    </comment>
    <comment ref="C252" authorId="0" shapeId="0" xr:uid="{CC0DF604-6075-4B07-9512-29E1F0C27FD6}">
      <text>
        <r>
          <rPr>
            <b/>
            <sz val="9"/>
            <color indexed="81"/>
            <rFont val="Tahoma"/>
            <family val="2"/>
          </rPr>
          <t>&lt;[[TCDeals] - [TC Property Current Stage (Seq: 1)] - [Property Points (Seq: 1)] Is Federal Historic Rehabilitation Tax Credits - Both]&gt;</t>
        </r>
      </text>
    </comment>
    <comment ref="C253" authorId="0" shapeId="0" xr:uid="{05532E73-FD6C-49EF-8698-CDA50D94F61F}">
      <text>
        <r>
          <rPr>
            <b/>
            <sz val="9"/>
            <color indexed="81"/>
            <rFont val="Tahoma"/>
            <family val="2"/>
          </rPr>
          <t>&lt;[[TCDeals] - [TC Property Current Stage (Seq: 1)] - [Property Points (Seq: 1)] Is State Historic Rehabilitation Tax Credits - Both]&gt;</t>
        </r>
      </text>
    </comment>
    <comment ref="C254" authorId="1" shapeId="0" xr:uid="{24793632-2274-4AA6-942B-7F7D45D9B43F}">
      <text>
        <r>
          <rPr>
            <b/>
            <sz val="9"/>
            <color indexed="81"/>
            <rFont val="Tahoma"/>
            <family val="2"/>
          </rPr>
          <t>&lt;[[TCDeals] - [TC Property Current Stage (Seq: 1)] - [Property Points (Seq: 1)] Type of Heating in Unit - Both]&gt;</t>
        </r>
      </text>
    </comment>
    <comment ref="C255" authorId="1" shapeId="0" xr:uid="{A6D32A1E-190B-4BF8-BBFE-309CDFE2171B}">
      <text>
        <r>
          <rPr>
            <b/>
            <sz val="9"/>
            <color indexed="81"/>
            <rFont val="Tahoma"/>
            <family val="2"/>
          </rPr>
          <t>&lt;[[TCDeals] - [TC Property Current Stage (Seq: 1)] - [Property Points (Seq: 1)] Type of Heating Common Area - Both]&gt;</t>
        </r>
      </text>
    </comment>
    <comment ref="C256" authorId="1" shapeId="0" xr:uid="{D82E6DE2-93C2-44EB-8F45-950399F09390}">
      <text>
        <r>
          <rPr>
            <b/>
            <sz val="9"/>
            <color indexed="81"/>
            <rFont val="Tahoma"/>
            <family val="2"/>
          </rPr>
          <t>&lt;[[TCDeals] - [TC Property Current Stage (Seq: 1)] - [Property Points (Seq: 1)] Type of Cooling In-Unit2 - Both]&gt;</t>
        </r>
      </text>
    </comment>
    <comment ref="C257" authorId="1" shapeId="0" xr:uid="{5D17BD9D-18B5-4064-840E-C8374E83F1D1}">
      <text>
        <r>
          <rPr>
            <b/>
            <sz val="9"/>
            <color indexed="81"/>
            <rFont val="Tahoma"/>
            <family val="2"/>
          </rPr>
          <t>&lt;[[TCDeals] - [TC Property Current Stage (Seq: 1)] - [Property Points (Seq: 1)] Type of Cooling Common Areas - Both]&gt;</t>
        </r>
      </text>
    </comment>
    <comment ref="C258" authorId="1" shapeId="0" xr:uid="{97FAF4EF-1978-4B91-B116-E0B63648ACC7}">
      <text>
        <r>
          <rPr>
            <b/>
            <sz val="9"/>
            <color indexed="81"/>
            <rFont val="Tahoma"/>
            <family val="2"/>
          </rPr>
          <t>&lt;[[TCDeals] - [TC Property Current Stage (Seq: 1)] - [Property Points (Seq: 1)] Unit HVAC System - Both]&gt;</t>
        </r>
      </text>
    </comment>
    <comment ref="C259" authorId="1" shapeId="0" xr:uid="{E392C7AC-1B67-4BBF-8F33-C224BF640C6D}">
      <text>
        <r>
          <rPr>
            <b/>
            <sz val="9"/>
            <color indexed="81"/>
            <rFont val="Tahoma"/>
            <family val="2"/>
          </rPr>
          <t>&lt;[[TCDeals] - [TC Property Current Stage (Seq: 1)] - [Property Points (Seq: 1)] Type of Domestic Hot Water System - Both]&gt;</t>
        </r>
      </text>
    </comment>
    <comment ref="C260" authorId="1" shapeId="0" xr:uid="{413367F4-F8C8-46ED-A6EA-A98FEFE6A24C}">
      <text>
        <r>
          <rPr>
            <b/>
            <sz val="9"/>
            <color indexed="81"/>
            <rFont val="Tahoma"/>
            <family val="2"/>
          </rPr>
          <t>&lt;[[TCDeals] - [TC Property Current Stage (Seq: 1)] - [Property Points (Seq: 1)] Type of Ventilation System - Both]&gt;</t>
        </r>
      </text>
    </comment>
    <comment ref="C261" authorId="1" shapeId="0" xr:uid="{EDA03784-33CB-4BD8-9D7F-31E413EC4D3C}">
      <text>
        <r>
          <rPr>
            <b/>
            <sz val="9"/>
            <color indexed="81"/>
            <rFont val="Tahoma"/>
            <family val="2"/>
          </rPr>
          <t>&lt;[[TCDeals] - [TC Property Current Stage (Seq: 1)] - [Property Points (Seq: 1)] Is All-Electric Development - Both]&gt;</t>
        </r>
      </text>
    </comment>
    <comment ref="C262" authorId="1" shapeId="0" xr:uid="{858184D3-F7E9-44DE-A28D-9CDC63E0C168}">
      <text>
        <r>
          <rPr>
            <b/>
            <sz val="9"/>
            <color indexed="81"/>
            <rFont val="Tahoma"/>
            <family val="2"/>
          </rPr>
          <t>&lt;[[TCDeals] - [TC Property Current Stage (Seq: 1)] - [Property Points (Seq: 1)] Is Electrification-Ready Development - Both]&gt;</t>
        </r>
      </text>
    </comment>
    <comment ref="C263" authorId="1" shapeId="0" xr:uid="{23D53FB0-4CFC-40A7-BF36-C7E937546DB4}">
      <text>
        <r>
          <rPr>
            <b/>
            <sz val="9"/>
            <color indexed="81"/>
            <rFont val="Tahoma"/>
            <family val="2"/>
          </rPr>
          <t>&lt;[[TCDeals] - [TC Property Current Stage (Seq: 1)] - [Property Points (Seq: 1)] Green System - Both]&gt;</t>
        </r>
      </text>
    </comment>
    <comment ref="C264" authorId="2" shapeId="0" xr:uid="{1CBFE445-D26C-41BF-B645-484008161875}">
      <text>
        <r>
          <rPr>
            <b/>
            <sz val="9"/>
            <color indexed="81"/>
            <rFont val="Tahoma"/>
            <charset val="1"/>
          </rPr>
          <t>&lt;[[TCDeals] - [TC Property Current Stage (Seq: 1)] - [TC Property Current Stage - User Defined Field Values (Seq: 1)] Custom Fields - Type of Energy Efficiency Certification - Both]&gt;</t>
        </r>
      </text>
    </comment>
    <comment ref="C265" authorId="0" shapeId="0" xr:uid="{C868AAD7-B5A7-4E40-AB7A-66A89EF002A6}">
      <text>
        <r>
          <rPr>
            <b/>
            <sz val="9"/>
            <color indexed="81"/>
            <rFont val="Tahoma"/>
            <family val="2"/>
          </rPr>
          <t>&lt;[[TCDeals] - [TC Property Current Stage (Seq: 1)] Fed Historic Credit Amt - Both]&gt;</t>
        </r>
      </text>
    </comment>
    <comment ref="C266" authorId="0" shapeId="0" xr:uid="{F192BFC1-5C57-4915-8105-98BE97BBD0CC}">
      <text>
        <r>
          <rPr>
            <b/>
            <sz val="9"/>
            <color indexed="81"/>
            <rFont val="Tahoma"/>
            <family val="2"/>
          </rPr>
          <t>&lt;[[TCDeals] - [TC Property Current Stage (Seq: 1)] HFA Historic Credit Net - Both]&gt;</t>
        </r>
      </text>
    </comment>
    <comment ref="C267" authorId="0" shapeId="0" xr:uid="{C7C14068-257D-47CA-BFB7-46D0EA1D555D}">
      <text>
        <r>
          <rPr>
            <b/>
            <sz val="9"/>
            <color indexed="81"/>
            <rFont val="Tahoma"/>
            <family val="2"/>
          </rPr>
          <t>&lt;[[TCDeals] - [TC Property Current Stage (Seq: 1)] Total Grant Amount - Both]&gt;</t>
        </r>
      </text>
    </comment>
    <comment ref="C268" authorId="0" shapeId="0" xr:uid="{1CC73115-8A0C-41F4-93E1-F9105FAC3EB5}">
      <text>
        <r>
          <rPr>
            <b/>
            <sz val="9"/>
            <color indexed="81"/>
            <rFont val="Tahoma"/>
            <family val="2"/>
          </rPr>
          <t>&lt;[[TCDeals] - [TC Property Current Stage (Seq: 1)] Cash Inv Equity - Both]&gt;</t>
        </r>
      </text>
    </comment>
    <comment ref="C269" authorId="0" shapeId="0" xr:uid="{7279D7D5-FFE8-4A0F-B257-A28EC8CC5ED8}">
      <text>
        <r>
          <rPr>
            <b/>
            <sz val="9"/>
            <color indexed="81"/>
            <rFont val="Tahoma"/>
            <family val="2"/>
          </rPr>
          <t>&lt;[[TCDeals] - [TC Property Current Stage (Seq: 1)] - [Property Points (Seq: 1)] Is Solar Tax Credits/ETC - Both]&gt;</t>
        </r>
      </text>
    </comment>
    <comment ref="C270" authorId="1" shapeId="0" xr:uid="{124E8CA4-5961-4356-BE83-0952C6FD1698}">
      <text>
        <r>
          <rPr>
            <b/>
            <sz val="9"/>
            <color indexed="81"/>
            <rFont val="Tahoma"/>
            <family val="2"/>
          </rPr>
          <t>&lt;[[TCDeals] - [TC Property Current Stage (Seq: 1)] - [Property Points (Seq: 1)] 45L Energy Efficiency Home Credit - Both]&gt;</t>
        </r>
      </text>
    </comment>
    <comment ref="C271" authorId="1" shapeId="0" xr:uid="{D188AD1B-938D-44BE-85AD-0E85BFFCF4AF}">
      <text>
        <r>
          <rPr>
            <b/>
            <sz val="9"/>
            <color indexed="81"/>
            <rFont val="Tahoma"/>
            <family val="2"/>
          </rPr>
          <t>&lt;[[TCDeals] - [TC Property Current Stage (Seq: 1)] - [Property Points (Seq: 1)] Enter the Amount of the 45L EEH Credit - Both]&gt;</t>
        </r>
      </text>
    </comment>
    <comment ref="C272" authorId="1" shapeId="0" xr:uid="{7E009577-5115-409A-9CE8-A38A97ABE367}">
      <text>
        <r>
          <rPr>
            <b/>
            <sz val="9"/>
            <color indexed="81"/>
            <rFont val="Tahoma"/>
            <family val="2"/>
          </rPr>
          <t>&lt;[[TCDeals] - [TC Property Current Stage (Seq: 1)] - [Property Points (Seq: 1)] Investment Tax Credit (ITC) - Both]&gt;</t>
        </r>
      </text>
    </comment>
    <comment ref="C273" authorId="1" shapeId="0" xr:uid="{13FFE404-2C07-4ADE-9ADA-CAC98B8056D2}">
      <text>
        <r>
          <rPr>
            <b/>
            <sz val="9"/>
            <color indexed="81"/>
            <rFont val="Tahoma"/>
            <family val="2"/>
          </rPr>
          <t>&lt;[[TCDeals] - [TC Property Current Stage (Seq: 1)] - [Property Points (Seq: 1)] Enter the Amount of the ITC - Both]&gt;</t>
        </r>
      </text>
    </comment>
    <comment ref="C274" authorId="0" shapeId="0" xr:uid="{DEFDC7CF-F706-4919-8C17-2BC705459CC2}">
      <text>
        <r>
          <rPr>
            <b/>
            <sz val="9"/>
            <color indexed="81"/>
            <rFont val="Tahoma"/>
            <family val="2"/>
          </rPr>
          <t>&lt;[[TCDeals] - [TC Property Current Stage (Seq: 1)] - [Property Points (Seq: 1)] Is CDBG DR - Both]&gt;</t>
        </r>
      </text>
    </comment>
    <comment ref="C275" authorId="1" shapeId="0" xr:uid="{C066675E-1990-42A4-9590-E588F0769D49}">
      <text>
        <r>
          <rPr>
            <b/>
            <sz val="9"/>
            <color indexed="81"/>
            <rFont val="Tahoma"/>
            <family val="2"/>
          </rPr>
          <t>&lt;[[TCDeals] - [TC Property Current Stage (Seq: 1)] - [Property Points (Seq: 1)] Is FHA Insurance-Risk-Sharing - Both]&gt;</t>
        </r>
      </text>
    </comment>
    <comment ref="C276" authorId="1" shapeId="0" xr:uid="{56B01326-C7FE-4720-A45A-640D0E6DA316}">
      <text>
        <r>
          <rPr>
            <b/>
            <sz val="9"/>
            <color indexed="81"/>
            <rFont val="Tahoma"/>
            <family val="2"/>
          </rPr>
          <t>&lt;[[TCDeals] - [TC Property Current Stage (Seq: 1)] - [Property Points (Seq: 1)] Is Tax Exempt Bond Financing - Both]&gt;</t>
        </r>
      </text>
    </comment>
    <comment ref="C277" authorId="0" shapeId="0" xr:uid="{B91F2BEF-A0C2-4BA9-BF58-AD413CB7011B}">
      <text>
        <r>
          <rPr>
            <b/>
            <sz val="9"/>
            <color indexed="81"/>
            <rFont val="Tahoma"/>
            <family val="2"/>
          </rPr>
          <t>&lt;[[TCDeals] - [TC Property Current Stage (Seq: 1)] - [Property Points (Seq: 1)] Enter name of Entity Transferring Bond Cap - Both]&gt;</t>
        </r>
      </text>
    </comment>
    <comment ref="C278" authorId="1" shapeId="0" xr:uid="{FB6A66E4-A74E-42A3-91F6-AB25446B6F27}">
      <text>
        <r>
          <rPr>
            <b/>
            <sz val="9"/>
            <color indexed="81"/>
            <rFont val="Tahoma"/>
            <family val="2"/>
          </rPr>
          <t>&lt;[[TCDeals] - [TC Property Current Stage (Seq: 1)] - [Property Points (Seq: 1)] Enter the Total Amount of Bond Cap Being Transferred - Both]&gt;</t>
        </r>
      </text>
    </comment>
    <comment ref="C279" authorId="0" shapeId="0" xr:uid="{B43B5BF7-77B8-4121-B763-8C9B32A9CD80}">
      <text>
        <r>
          <rPr>
            <b/>
            <sz val="9"/>
            <color indexed="81"/>
            <rFont val="Tahoma"/>
            <family val="2"/>
          </rPr>
          <t>&lt;[[TCDeals] - [TC Property Current Stage (Seq: 1)] - [Property Points (Seq: 1)] Is FHLB Affordable Housing Program - Both]&gt;</t>
        </r>
      </text>
    </comment>
    <comment ref="C280" authorId="0" shapeId="0" xr:uid="{ACF5D408-8944-4267-8004-1E2190099118}">
      <text>
        <r>
          <rPr>
            <b/>
            <sz val="9"/>
            <color indexed="81"/>
            <rFont val="Tahoma"/>
            <family val="2"/>
          </rPr>
          <t>&lt;[[TCDeals] - [TC Property Current Stage (Seq: 1)] - [Property Points (Seq: 1)] Total Amount of A Bonds being issued - Both]&gt;</t>
        </r>
      </text>
    </comment>
    <comment ref="C281" authorId="0" shapeId="0" xr:uid="{25615C4F-44F8-4BB1-9C85-00C7BD70C993}">
      <text>
        <r>
          <rPr>
            <b/>
            <sz val="9"/>
            <color indexed="81"/>
            <rFont val="Tahoma"/>
            <family val="2"/>
          </rPr>
          <t>&lt;[[TCDeals] - [TC Property Current Stage (Seq: 1)] - [Property Points (Seq: 1)] Total Amount of B Bonds being issued - Both]&gt;</t>
        </r>
      </text>
    </comment>
    <comment ref="C282" authorId="1" shapeId="0" xr:uid="{A0C47569-9D55-41C4-95E2-B38E424ACC31}">
      <text>
        <r>
          <rPr>
            <b/>
            <sz val="9"/>
            <color indexed="81"/>
            <rFont val="Tahoma"/>
            <family val="2"/>
          </rPr>
          <t>&lt;[[TCDeals] - [TC Property Current Stage (Seq: 1)] - [Property Points (Seq: 1)] Total Amount of C Bonds being issued - Both]&gt;</t>
        </r>
      </text>
    </comment>
    <comment ref="C283" authorId="0" shapeId="0" xr:uid="{63676286-7BED-4D01-B86A-E4CA7785E1E3}">
      <text>
        <r>
          <rPr>
            <b/>
            <sz val="9"/>
            <color indexed="81"/>
            <rFont val="Tahoma"/>
            <family val="2"/>
          </rPr>
          <t>&lt;[[TCDeals] - [TC Property Current Stage (Seq: 1)] - [Property Points (Seq: 1)] Amount of the Solar Tax Credit - Both]&gt;</t>
        </r>
      </text>
    </comment>
    <comment ref="C284" authorId="0" shapeId="0" xr:uid="{96E7D5B8-AD33-4C5B-B305-9D1E28C95C3D}">
      <text>
        <r>
          <rPr>
            <b/>
            <sz val="9"/>
            <color indexed="81"/>
            <rFont val="Tahoma"/>
            <family val="2"/>
          </rPr>
          <t>&lt;[[TCDeals] - [TC Property Current Stage (Seq: 1)] - [Property Points (Seq: 1)] Number of Project-based Vouchers - Both]&gt;</t>
        </r>
      </text>
    </comment>
    <comment ref="C285" authorId="0" shapeId="0" xr:uid="{19A3A5E4-B183-42A0-9C25-3CFF379EBFC6}">
      <text>
        <r>
          <rPr>
            <b/>
            <sz val="9"/>
            <color indexed="81"/>
            <rFont val="Tahoma"/>
            <family val="2"/>
          </rPr>
          <t>&lt;[[TCDeals] - [TC Property Current Stage (Seq: 1)] Is S8 Project Based - Both]&gt;</t>
        </r>
      </text>
    </comment>
    <comment ref="C286" authorId="1" shapeId="0" xr:uid="{BB8EC506-A6DC-4726-B5B6-CA5974F9309F}">
      <text>
        <r>
          <rPr>
            <b/>
            <sz val="9"/>
            <color indexed="81"/>
            <rFont val="Tahoma"/>
            <family val="2"/>
          </rPr>
          <t>&lt;[[TCDeals] - [TC Property Current Stage (Seq: 1)] - [Property Points (Seq: 1)] State Funds - DOH Vouchers - Both]&gt;</t>
        </r>
      </text>
    </comment>
    <comment ref="C287" authorId="1" shapeId="0" xr:uid="{837E1607-F054-4F64-9352-C813966C1D16}">
      <text>
        <r>
          <rPr>
            <b/>
            <sz val="9"/>
            <color indexed="81"/>
            <rFont val="Tahoma"/>
            <family val="2"/>
          </rPr>
          <t>&lt;[[TCDeals] - [TC Property Current Stage (Seq: 1)] - [Property Points (Seq: 1)] Voucher Administrator(s) - Both]&gt;</t>
        </r>
      </text>
    </comment>
    <comment ref="C288" authorId="1" shapeId="0" xr:uid="{7278BE20-8479-40D9-8464-D93F63E40A31}">
      <text>
        <r>
          <rPr>
            <b/>
            <sz val="9"/>
            <color indexed="81"/>
            <rFont val="Tahoma"/>
            <family val="2"/>
          </rPr>
          <t>&lt;[[TCDeals] - [TC Property Current Stage (Seq: 1)] - [Property Points (Seq: 1)] Number of Vouchers - Both]&gt;</t>
        </r>
      </text>
    </comment>
    <comment ref="C289" authorId="1" shapeId="0" xr:uid="{EB88BFFC-C530-4C1F-9F2F-8E2440A6DEC6}">
      <text>
        <r>
          <rPr>
            <b/>
            <sz val="9"/>
            <color indexed="81"/>
            <rFont val="Tahoma"/>
            <family val="2"/>
          </rPr>
          <t>&lt;[[TCDeals] - [TC Property Current Stage (Seq: 1)] - [Property Points (Seq: 1)] Type of Vouchers - Both]&gt;</t>
        </r>
      </text>
    </comment>
    <comment ref="C290" authorId="0" shapeId="0" xr:uid="{286D94AE-4508-4220-B39B-6A3F2CD0C9A0}">
      <text>
        <r>
          <rPr>
            <b/>
            <sz val="9"/>
            <color indexed="81"/>
            <rFont val="Tahoma"/>
            <family val="2"/>
          </rPr>
          <t>&lt;[[TCDeals] - [TC Property Current Stage (Seq: 1)] - [Property Points (Seq: 1)] Is RD 514 - Both]&gt;</t>
        </r>
      </text>
    </comment>
    <comment ref="C291" authorId="0" shapeId="0" xr:uid="{10D606DB-33F9-4359-9333-E36EECBD52EE}">
      <text>
        <r>
          <rPr>
            <b/>
            <sz val="9"/>
            <color indexed="81"/>
            <rFont val="Tahoma"/>
            <family val="2"/>
          </rPr>
          <t>&lt;[[TCDeals] - [TC Property Current Stage (Seq: 1)] Has RD 515 Assistance - Both]&gt;</t>
        </r>
      </text>
    </comment>
    <comment ref="C292" authorId="1" shapeId="0" xr:uid="{0E5BF8CA-95C5-45F6-B0DA-38039746DC45}">
      <text>
        <r>
          <rPr>
            <b/>
            <sz val="9"/>
            <color indexed="81"/>
            <rFont val="Tahoma"/>
            <family val="2"/>
          </rPr>
          <t>&lt;[[TCDeals] - [TC Property Current Stage (Seq: 1)] - [Property Points (Seq: 1)] Radon Mitigation - Both]&gt;</t>
        </r>
      </text>
    </comment>
    <comment ref="C293" authorId="1" shapeId="0" xr:uid="{FED9464C-5203-44CE-A465-DAED6BCAEAC6}">
      <text>
        <r>
          <rPr>
            <b/>
            <sz val="9"/>
            <color indexed="81"/>
            <rFont val="Tahoma"/>
            <family val="2"/>
          </rPr>
          <t>&lt;[[TCDeals] - [TC Property Current Stage (Seq: 1)] - [Property Points (Seq: 1)] Is Water-Wise Landscaping2 - Both]&gt;</t>
        </r>
      </text>
    </comment>
    <comment ref="C294" authorId="0" shapeId="0" xr:uid="{4A262C40-2CDB-4C88-AF48-4C6F7E0E766D}">
      <text>
        <r>
          <rPr>
            <b/>
            <sz val="9"/>
            <color indexed="81"/>
            <rFont val="Tahoma"/>
            <family val="2"/>
          </rPr>
          <t>&lt;[[TCDeals] - [TC Property Current Stage (Seq: 1)] Is QCT - Both]&gt;</t>
        </r>
      </text>
    </comment>
    <comment ref="C295" authorId="0" shapeId="0" xr:uid="{7B374C9D-D636-416B-8045-24CF2ADDE697}">
      <text>
        <r>
          <rPr>
            <b/>
            <sz val="9"/>
            <color indexed="81"/>
            <rFont val="Tahoma"/>
            <family val="2"/>
          </rPr>
          <t>&lt;[[TCDeals] - [TC Property Current Stage (Seq: 1)] Is DDA - Both]&gt;</t>
        </r>
      </text>
    </comment>
    <comment ref="C296" authorId="0" shapeId="0" xr:uid="{A94D1347-5254-40A5-92C9-970BB27EF34D}">
      <text>
        <r>
          <rPr>
            <b/>
            <sz val="9"/>
            <color indexed="81"/>
            <rFont val="Tahoma"/>
            <family val="2"/>
          </rPr>
          <t>&lt;[[TCDeals] - [TC Property Current Stage (Seq: 1)] - [Property Points (Seq: 1)] Is SADDA - Both]&gt;</t>
        </r>
      </text>
    </comment>
    <comment ref="C297" authorId="1" shapeId="0" xr:uid="{3878D1AC-3FA9-4E33-B2A5-372C059B572B}">
      <text>
        <r>
          <rPr>
            <b/>
            <sz val="9"/>
            <color indexed="81"/>
            <rFont val="Tahoma"/>
            <family val="2"/>
          </rPr>
          <t>&lt;[[TCDeals] - [TC Property Current Stage (Seq: 1)] Is SADDA - Both]&gt;</t>
        </r>
      </text>
    </comment>
    <comment ref="C298" authorId="0" shapeId="0" xr:uid="{0F0BACFA-B50F-41C5-9657-ED1550FDDB8A}">
      <text>
        <r>
          <rPr>
            <b/>
            <sz val="9"/>
            <color indexed="81"/>
            <rFont val="Tahoma"/>
            <family val="2"/>
          </rPr>
          <t>&lt;[[TCDeals] - [TC Property Current Stage (Seq: 1)] AllocType Requested - Both]&gt;</t>
        </r>
      </text>
    </comment>
    <comment ref="C299" authorId="0" shapeId="0" xr:uid="{6D119EAB-BFB0-4E8D-8923-604ADFFF50F4}">
      <text>
        <r>
          <rPr>
            <b/>
            <sz val="9"/>
            <color indexed="81"/>
            <rFont val="Tahoma"/>
            <family val="2"/>
          </rPr>
          <t>&lt;[[TCDeals] - [TC Property Current Stage (Seq: 1)] - [Property Points (Seq: 1)] Is Resyndication - Both]&gt;</t>
        </r>
      </text>
    </comment>
    <comment ref="C300" authorId="0" shapeId="0" xr:uid="{14D118F3-8EF7-41CF-898C-98B3AB9C6729}">
      <text>
        <r>
          <rPr>
            <b/>
            <sz val="9"/>
            <color indexed="81"/>
            <rFont val="Tahoma"/>
            <family val="2"/>
          </rPr>
          <t>&lt;[[TCDeals] - [TC Property Current Stage (Seq: 1)] Site Control Type - Both]&gt;</t>
        </r>
      </text>
    </comment>
    <comment ref="C301" authorId="0" shapeId="0" xr:uid="{E10A9E88-6F15-4C5E-B31B-2F7F394012C9}">
      <text>
        <r>
          <rPr>
            <b/>
            <sz val="9"/>
            <color indexed="81"/>
            <rFont val="Tahoma"/>
            <family val="2"/>
          </rPr>
          <t>&lt;[[TCDeals] - [TC Property Current Stage (Seq: 1)] Bldg Alloc Type - Both]&gt;</t>
        </r>
      </text>
    </comment>
    <comment ref="C303" authorId="0" shapeId="0" xr:uid="{1DAA6C58-92CF-4F38-8BA7-6549C5B94E47}">
      <text>
        <r>
          <rPr>
            <b/>
            <sz val="9"/>
            <color indexed="81"/>
            <rFont val="Tahoma"/>
            <family val="2"/>
          </rPr>
          <t>&lt;[[TCDeals] - [TC Property Current Stage (Seq: 1)] Has Family Preference - Both]&gt;</t>
        </r>
      </text>
    </comment>
    <comment ref="C304" authorId="0" shapeId="0" xr:uid="{57E929D5-8626-4443-8E57-9AC8217F1D55}">
      <text>
        <r>
          <rPr>
            <b/>
            <sz val="9"/>
            <color indexed="81"/>
            <rFont val="Tahoma"/>
            <family val="2"/>
          </rPr>
          <t>&lt;[[TCDeals] - [TC Property Current Stage (Seq: 1)] Target Type - Both]&gt;</t>
        </r>
      </text>
    </comment>
    <comment ref="C305" authorId="0" shapeId="0" xr:uid="{83D849AE-04ED-4035-A404-65C36FA7C6A7}">
      <text>
        <r>
          <rPr>
            <b/>
            <sz val="9"/>
            <color indexed="81"/>
            <rFont val="Tahoma"/>
            <family val="2"/>
          </rPr>
          <t>&lt;[[TCDeals] - [TC Property Current Stage (Seq: 1)] - [Property Points (Seq: 1)] Special Needs - Both]&gt;</t>
        </r>
      </text>
    </comment>
    <comment ref="C306" authorId="0" shapeId="0" xr:uid="{2C420F00-9649-42AF-B449-3D0008B4E6BB}">
      <text>
        <r>
          <rPr>
            <b/>
            <sz val="9"/>
            <color indexed="81"/>
            <rFont val="Tahoma"/>
            <family val="2"/>
          </rPr>
          <t>&lt;[[TCDeals] - [TC Property Current Stage (Seq: 1)] - [Property Points (Seq: 1)] Family - Both]&gt;</t>
        </r>
      </text>
    </comment>
    <comment ref="C307" authorId="0" shapeId="0" xr:uid="{D60E77D1-48D0-41BA-B759-BDF26C928158}">
      <text>
        <r>
          <rPr>
            <b/>
            <sz val="9"/>
            <color indexed="81"/>
            <rFont val="Tahoma"/>
            <family val="2"/>
          </rPr>
          <t>&lt;[[TCDeals] - [TC Property Current Stage (Seq: 1)] - [Property Points (Seq: 1)] Homeless - Both]&gt;</t>
        </r>
      </text>
    </comment>
    <comment ref="C308" authorId="0" shapeId="0" xr:uid="{B58AEAD2-CBF8-4502-83D0-560E3654D5D6}">
      <text>
        <r>
          <rPr>
            <b/>
            <sz val="9"/>
            <color indexed="81"/>
            <rFont val="Tahoma"/>
            <family val="2"/>
          </rPr>
          <t>&lt;[[TCDeals] - [TC Property Current Stage (Seq: 1)] - [Property Points (Seq: 1)] Senior - Both]&gt;</t>
        </r>
      </text>
    </comment>
    <comment ref="C309" authorId="0" shapeId="0" xr:uid="{00097234-E8E2-4578-AC17-C62C29BE271E}">
      <text>
        <r>
          <rPr>
            <b/>
            <sz val="9"/>
            <color indexed="81"/>
            <rFont val="Tahoma"/>
            <family val="2"/>
          </rPr>
          <t>&lt;[[TCDeals] - [TC Property Current Stage (Seq: 1)] - [Property Points (Seq: 1)] Veterans - Both]&gt;</t>
        </r>
      </text>
    </comment>
    <comment ref="C310" authorId="0" shapeId="0" xr:uid="{6B5F5E5E-CDF5-42FC-A311-53A997A03797}">
      <text>
        <r>
          <rPr>
            <b/>
            <sz val="9"/>
            <color indexed="81"/>
            <rFont val="Tahoma"/>
            <family val="2"/>
          </rPr>
          <t>&lt;[[TCDeals] - [TC Property Current Stage (Seq: 1)] - [Property Points (Seq: 1)] Permanent Supportive Housing - Both]&gt;</t>
        </r>
      </text>
    </comment>
    <comment ref="C311" authorId="3" shapeId="0" xr:uid="{8213C2CA-090C-40A6-87D8-39EC5D6C1898}">
      <text>
        <r>
          <rPr>
            <b/>
            <sz val="9"/>
            <color indexed="81"/>
            <rFont val="Tahoma"/>
            <family val="2"/>
          </rPr>
          <t>&lt;[[TCDeals] - [TC Property Current Stage (Seq: 1)] - [Property Points (Seq: 1)] New Construction Units - Both]&gt;</t>
        </r>
      </text>
    </comment>
    <comment ref="C312" authorId="3" shapeId="0" xr:uid="{4E4920F9-D501-4701-9CB0-3DBD963B4422}">
      <text>
        <r>
          <rPr>
            <b/>
            <sz val="9"/>
            <color indexed="81"/>
            <rFont val="Tahoma"/>
            <family val="2"/>
          </rPr>
          <t>&lt;[[TCDeals] - [TC Property Current Stage (Seq: 1)] - [Property Points (Seq: 1)] Acq/Rehab or Rehab Only Units - Both]&gt;</t>
        </r>
      </text>
    </comment>
    <comment ref="C313" authorId="0" shapeId="0" xr:uid="{4171A08E-6702-4D26-AC3A-D38E10B0E260}">
      <text>
        <r>
          <rPr>
            <b/>
            <sz val="9"/>
            <color indexed="81"/>
            <rFont val="Tahoma"/>
            <family val="2"/>
          </rPr>
          <t>&lt;[[TCDeals] - [TC Property Current Stage (Seq: 1)] Num Buildings - Both]&gt;</t>
        </r>
      </text>
    </comment>
    <comment ref="C314" authorId="0" shapeId="0" xr:uid="{79001CC4-73FF-462D-AF88-E17CDA4508F5}">
      <text>
        <r>
          <rPr>
            <b/>
            <sz val="9"/>
            <color indexed="81"/>
            <rFont val="Tahoma"/>
            <family val="2"/>
          </rPr>
          <t>&lt;[[TCDeals] - [TC Property Current Stage (Seq: 1)] Is Low Rise - Both]&gt;</t>
        </r>
      </text>
    </comment>
    <comment ref="C315" authorId="0" shapeId="0" xr:uid="{1A4FEDCA-0587-4084-BAAA-2CFB8C94C02E}">
      <text>
        <r>
          <rPr>
            <b/>
            <sz val="9"/>
            <color indexed="81"/>
            <rFont val="Tahoma"/>
            <family val="2"/>
          </rPr>
          <t>&lt;[[TCDeals] - [TC Property Current Stage (Seq: 1)] Is Mid Rise - Both]&gt;</t>
        </r>
      </text>
    </comment>
    <comment ref="C316" authorId="0" shapeId="0" xr:uid="{85C28036-5E4F-4E59-A4F1-B8D19476F860}">
      <text>
        <r>
          <rPr>
            <b/>
            <sz val="9"/>
            <color indexed="81"/>
            <rFont val="Tahoma"/>
            <family val="2"/>
          </rPr>
          <t>&lt;[[TCDeals] - [TC Property Current Stage (Seq: 1)] Is High Rise - Both]&gt;</t>
        </r>
      </text>
    </comment>
    <comment ref="C317" authorId="0" shapeId="0" xr:uid="{431BA1E2-4104-4A7A-B64A-8FA06D1CD3C3}">
      <text>
        <r>
          <rPr>
            <b/>
            <sz val="9"/>
            <color indexed="81"/>
            <rFont val="Tahoma"/>
            <family val="2"/>
          </rPr>
          <t>&lt;[[TCDeals] - [TC Property Current Stage (Seq: 1)] Has Elevator - Both]&gt;</t>
        </r>
      </text>
    </comment>
    <comment ref="C318" authorId="0" shapeId="0" xr:uid="{8D4C3A1C-9519-49A0-8969-4F40742CF3DA}">
      <text>
        <r>
          <rPr>
            <b/>
            <sz val="9"/>
            <color indexed="81"/>
            <rFont val="Tahoma"/>
            <family val="2"/>
          </rPr>
          <t>&lt;[[TCDeals] - [TC Property Current Stage (Seq: 1)] - [Property Points (Seq: 1)] Parcel Size - Both]&gt;</t>
        </r>
      </text>
    </comment>
    <comment ref="C319" authorId="0" shapeId="0" xr:uid="{5D49C584-5B1C-48F4-828E-158F33D5E3F6}">
      <text>
        <r>
          <rPr>
            <b/>
            <sz val="9"/>
            <color indexed="81"/>
            <rFont val="Tahoma"/>
            <family val="2"/>
          </rPr>
          <t>&lt;[[TCDeals] - [TC Property Current Stage (Seq: 1)] - [Property Points (Seq: 1)] Building Construction - Both]&gt;</t>
        </r>
      </text>
    </comment>
    <comment ref="C320" authorId="0" shapeId="0" xr:uid="{77EAAF68-7A51-4803-BD8E-AE3A7F81D30E}">
      <text>
        <r>
          <rPr>
            <b/>
            <sz val="9"/>
            <color indexed="81"/>
            <rFont val="Tahoma"/>
            <family val="2"/>
          </rPr>
          <t>&lt;[[TCDeals] - [TC Property Current Stage (Seq: 1)] - [Property Points (Seq: 1)] Construction Duration - Both]&gt;</t>
        </r>
      </text>
    </comment>
    <comment ref="C321" authorId="0" shapeId="0" xr:uid="{5AFA2F6A-A83D-42F7-A9FC-E99D3392977A}">
      <text>
        <r>
          <rPr>
            <b/>
            <sz val="9"/>
            <color indexed="81"/>
            <rFont val="Tahoma"/>
            <family val="2"/>
          </rPr>
          <t>&lt;[[TCDeals] - [TC Property Current Stage (Seq: 1)] - [Property Points (Seq: 1)] Construction Loan Amount - Both]&gt;</t>
        </r>
      </text>
    </comment>
    <comment ref="C322" authorId="0" shapeId="0" xr:uid="{1CCE33B9-C0A2-47AD-83FD-3B92490D0F4E}">
      <text>
        <r>
          <rPr>
            <b/>
            <sz val="9"/>
            <color indexed="81"/>
            <rFont val="Tahoma"/>
            <family val="2"/>
          </rPr>
          <t>&lt;[[TCDeals] - [TC Property Current Stage (Seq: 1)] - [Property Points (Seq: 1)] Construction Loan Rate - Both]&gt;</t>
        </r>
      </text>
    </comment>
    <comment ref="C323" authorId="0" shapeId="0" xr:uid="{A1CB53A8-443A-454B-8F38-A3B76FE23720}">
      <text>
        <r>
          <rPr>
            <b/>
            <sz val="9"/>
            <color indexed="81"/>
            <rFont val="Tahoma"/>
            <family val="2"/>
          </rPr>
          <t>&lt;[[TCDeals] - [TC Property Current Stage (Seq: 1)] - [Property Points (Seq: 1)] Construction Interest From Budget - Both]&gt;</t>
        </r>
      </text>
    </comment>
    <comment ref="B325" authorId="1" shapeId="0" xr:uid="{C3234D3F-A46A-49C4-A21E-86CF45935AB7}">
      <text>
        <r>
          <rPr>
            <b/>
            <sz val="9"/>
            <color indexed="81"/>
            <rFont val="Tahoma"/>
            <family val="2"/>
          </rPr>
          <t>&lt;[[TCDeals] - [TC Property Current Stage (Seq: 1)] - [Property Points (Seq: 1)] Timeline - Inducement  Resolution - Both]&gt;</t>
        </r>
      </text>
    </comment>
    <comment ref="B326" authorId="1" shapeId="0" xr:uid="{B1889F4C-B414-4DCE-A4CC-02F562DB3277}">
      <text>
        <r>
          <rPr>
            <b/>
            <sz val="9"/>
            <color indexed="81"/>
            <rFont val="Tahoma"/>
            <family val="2"/>
          </rPr>
          <t>&lt;[[TCDeals] - [TC Property Current Stage (Seq: 1)] - [Property Points (Seq: 1)] Timeline - Final Resolution - Both]&gt;</t>
        </r>
      </text>
    </comment>
    <comment ref="B327" authorId="1" shapeId="0" xr:uid="{C7A80FC2-7481-4421-A214-BF9A1E90E24A}">
      <text>
        <r>
          <rPr>
            <b/>
            <sz val="9"/>
            <color indexed="81"/>
            <rFont val="Tahoma"/>
            <family val="2"/>
          </rPr>
          <t>&lt;[[TCDeals] - [TC Property Current Stage (Seq: 1)] - [Property Points (Seq: 1)] Timeline - Construction Loan Closing - Both]&gt;</t>
        </r>
      </text>
    </comment>
    <comment ref="B328" authorId="1" shapeId="0" xr:uid="{259AE36D-8B6F-460B-A0D1-2D5B35A0A60F}">
      <text>
        <r>
          <rPr>
            <b/>
            <sz val="9"/>
            <color indexed="81"/>
            <rFont val="Tahoma"/>
            <family val="2"/>
          </rPr>
          <t>&lt;[[TCDeals] - [TC Property Current Stage (Seq: 1)] - [Property Points (Seq: 1)] Timeline - Close Acquisition (if applicable) - Both]&gt;</t>
        </r>
      </text>
    </comment>
    <comment ref="B329" authorId="1" shapeId="0" xr:uid="{F545D689-5150-4D25-BD8D-28246D3195D7}">
      <text>
        <r>
          <rPr>
            <b/>
            <sz val="9"/>
            <color indexed="81"/>
            <rFont val="Tahoma"/>
            <family val="2"/>
          </rPr>
          <t>&lt;[[TCDeals] - [TC Property Current Stage (Seq: 1)] - [Property Points (Seq: 1)] All Loan Closed - Both]&gt;</t>
        </r>
      </text>
    </comment>
    <comment ref="B330" authorId="1" shapeId="0" xr:uid="{DAABE4E3-9DE7-4B2C-B66F-B584E8A2E282}">
      <text>
        <r>
          <rPr>
            <b/>
            <sz val="9"/>
            <color indexed="81"/>
            <rFont val="Tahoma"/>
            <family val="2"/>
          </rPr>
          <t>&lt;[[TCDeals] - [TC Property Current Stage (Seq: 1)] - [Property Points (Seq: 1)] Timeline - Execute Partnership Agreement - Both]&gt;</t>
        </r>
      </text>
    </comment>
    <comment ref="B331" authorId="1" shapeId="0" xr:uid="{90A17DC3-DB7F-4B5E-9F6F-D3095590EC15}">
      <text>
        <r>
          <rPr>
            <b/>
            <sz val="9"/>
            <color indexed="81"/>
            <rFont val="Tahoma"/>
            <family val="2"/>
          </rPr>
          <t>&lt;[[TCDeals] - [TC Property Current Stage (Seq: 1)] - [Property Points (Seq: 1)] Timeline - Submit Carryover Application for 9% Project - Both]&gt;</t>
        </r>
      </text>
    </comment>
    <comment ref="B332" authorId="1" shapeId="0" xr:uid="{1BE5FB20-8B61-46E5-BC71-74681F92206B}">
      <text>
        <r>
          <rPr>
            <b/>
            <sz val="9"/>
            <color indexed="81"/>
            <rFont val="Tahoma"/>
            <family val="2"/>
          </rPr>
          <t>&lt;[[TCDeals] - [TC Property Current Stage (Seq: 1)] - [Property Points (Seq: 1)] Submit Milestone Documentation for AHTC - Both]&gt;</t>
        </r>
      </text>
    </comment>
    <comment ref="B333" authorId="1" shapeId="0" xr:uid="{D9E04047-6248-499D-9374-940ACD24F87A}">
      <text>
        <r>
          <rPr>
            <b/>
            <sz val="9"/>
            <color indexed="81"/>
            <rFont val="Tahoma"/>
            <family val="2"/>
          </rPr>
          <t>&lt;[[TCDeals] - [TC Property Current Stage (Seq: 1)] - [Property Points (Seq: 1)] Construction Drawings approved by Plannin/Building Dept - Both]&gt;</t>
        </r>
      </text>
    </comment>
    <comment ref="B334" authorId="1" shapeId="0" xr:uid="{3F4F7A42-4DB1-4D6E-8A63-9139880BB07B}">
      <text>
        <r>
          <rPr>
            <b/>
            <sz val="9"/>
            <color indexed="81"/>
            <rFont val="Tahoma"/>
            <family val="2"/>
          </rPr>
          <t>&lt;[[TCDeals] - [TC Property Current Stage (Seq: 1)] - [Property Points (Seq: 1)] Timeline - Zoning or Rezoning Final Approved - Both]&gt;</t>
        </r>
      </text>
    </comment>
    <comment ref="B335" authorId="1" shapeId="0" xr:uid="{57064F30-7B2E-494F-A96F-62B65C65E53B}">
      <text>
        <r>
          <rPr>
            <b/>
            <sz val="9"/>
            <color indexed="81"/>
            <rFont val="Tahoma"/>
            <family val="2"/>
          </rPr>
          <t>&lt;[[TCDeals] - [TC Property Current Stage (Seq: 1)] - [Property Points (Seq: 1)] Groundbreaking Ceremony - Both]&gt;</t>
        </r>
      </text>
    </comment>
    <comment ref="B336" authorId="1" shapeId="0" xr:uid="{968A45F6-C863-41A2-883B-C51EBC4C7E47}">
      <text>
        <r>
          <rPr>
            <b/>
            <sz val="9"/>
            <color indexed="81"/>
            <rFont val="Tahoma"/>
            <family val="2"/>
          </rPr>
          <t>&lt;[[TCDeals] - [TC Property Current Stage (Seq: 1)] - [Property Points (Seq: 1)] Building Permit(s) Issued - Both]&gt;</t>
        </r>
      </text>
    </comment>
    <comment ref="B337" authorId="1" shapeId="0" xr:uid="{1DF12E77-F440-4883-8D4A-7F19FDE82FC1}">
      <text>
        <r>
          <rPr>
            <b/>
            <sz val="9"/>
            <color indexed="81"/>
            <rFont val="Tahoma"/>
            <family val="2"/>
          </rPr>
          <t>&lt;[[TCDeals] - [TC Property Current Stage (Seq: 1)] - [Property Points (Seq: 1)] Complete Construction &amp; Placed-In Service (Obtain Certs of Occupancy)Comments - Both]&gt;</t>
        </r>
      </text>
    </comment>
    <comment ref="B338" authorId="1" shapeId="0" xr:uid="{B6943813-C886-41F9-AB4F-F514F2333DB1}">
      <text>
        <r>
          <rPr>
            <b/>
            <sz val="9"/>
            <color indexed="81"/>
            <rFont val="Tahoma"/>
            <family val="2"/>
          </rPr>
          <t>&lt;[[TCDeals] - [TC Property Current Stage (Seq: 1)] - [Property Points (Seq: 1)] Timeline - Submit LIHTC PIS Application for LURA to CHFA - Both]&gt;</t>
        </r>
      </text>
    </comment>
    <comment ref="B339" authorId="1" shapeId="0" xr:uid="{5F0565E5-3722-4F10-9390-ECBEC2F3668D}">
      <text>
        <r>
          <rPr>
            <b/>
            <sz val="9"/>
            <color indexed="81"/>
            <rFont val="Tahoma"/>
            <family val="2"/>
          </rPr>
          <t>&lt;[[TCDeals] - [TC Property Current Stage (Seq: 1)] - [Property Points (Seq: 1)] Grand Opening - Both]&gt;</t>
        </r>
      </text>
    </comment>
    <comment ref="B340" authorId="1" shapeId="0" xr:uid="{9CAFFA06-05A4-44A0-A79C-CC6533D67435}">
      <text>
        <r>
          <rPr>
            <b/>
            <sz val="9"/>
            <color indexed="81"/>
            <rFont val="Tahoma"/>
            <family val="2"/>
          </rPr>
          <t>&lt;[[TCDeals] - [TC Property Current Stage (Seq: 1)] - [Property Points (Seq: 1)] Timeline - Stabilization Permanent Loan - Both]&gt;</t>
        </r>
      </text>
    </comment>
    <comment ref="B341" authorId="1" shapeId="0" xr:uid="{B410F127-B74F-42F8-A149-DBBD74746FA5}">
      <text>
        <r>
          <rPr>
            <b/>
            <sz val="9"/>
            <color indexed="81"/>
            <rFont val="Tahoma"/>
            <family val="2"/>
          </rPr>
          <t>&lt;[[TCDeals] - [TC Property Current Stage (Seq: 1)] - [Property Points (Seq: 1)] Convert to Permanent Loan - Both]&gt;</t>
        </r>
      </text>
    </comment>
    <comment ref="B342" authorId="1" shapeId="0" xr:uid="{6142DF3F-0D28-44CD-A14C-54B779843679}">
      <text>
        <r>
          <rPr>
            <b/>
            <sz val="9"/>
            <color indexed="81"/>
            <rFont val="Tahoma"/>
            <family val="2"/>
          </rPr>
          <t>&lt;[[TCDeals] - [TC Property Current Stage (Seq: 1)] - [Property Points (Seq: 1)] Timeline - Final Application to ColoradoHFA - Both]&gt;</t>
        </r>
      </text>
    </comment>
    <comment ref="C343" authorId="0" shapeId="0" xr:uid="{AA9E1EB3-9486-4759-84BD-83556B9D8639}">
      <text>
        <r>
          <rPr>
            <b/>
            <sz val="9"/>
            <color indexed="81"/>
            <rFont val="Tahoma"/>
            <family val="2"/>
          </rPr>
          <t>&lt;[[TCDeals] - [TC Property Current Stage (Seq: 1)] - [Actual Property Costs (Seq: 1)] Land Acq Cost - Both]&gt;</t>
        </r>
      </text>
    </comment>
    <comment ref="C344" authorId="0" shapeId="0" xr:uid="{0AF10BB7-42EF-4D19-AC72-948DEC773A53}">
      <text>
        <r>
          <rPr>
            <b/>
            <sz val="9"/>
            <color indexed="81"/>
            <rFont val="Tahoma"/>
            <family val="2"/>
          </rPr>
          <t>&lt;[[TCDeals] - [TC Property Current Stage (Seq: 1)] - [Actual Property Costs (Seq: 1)] Existing Improvements Cost - Both]&gt;</t>
        </r>
      </text>
    </comment>
    <comment ref="C345" authorId="0" shapeId="0" xr:uid="{0AFFA23D-4D38-4D4E-A10D-134C0B5D2BDE}">
      <text>
        <r>
          <rPr>
            <b/>
            <sz val="9"/>
            <color indexed="81"/>
            <rFont val="Tahoma"/>
            <family val="2"/>
          </rPr>
          <t>&lt;[[TCDeals] - [TC Property Current Stage (Seq: 1)] - [Actual Property Costs (Seq: 1)] Demolition - Both]&gt;</t>
        </r>
      </text>
    </comment>
    <comment ref="C346" authorId="0" shapeId="0" xr:uid="{1FD4444E-DA96-4DBD-92D5-4765B27E8631}">
      <text>
        <r>
          <rPr>
            <b/>
            <sz val="9"/>
            <color indexed="81"/>
            <rFont val="Tahoma"/>
            <family val="2"/>
          </rPr>
          <t>&lt;[[TCDeals] - [TC Property Current Stage (Seq: 1)] - [Actual Property Costs (Seq: 1)] Site Work - Both]&gt;</t>
        </r>
      </text>
    </comment>
    <comment ref="C347" authorId="0" shapeId="0" xr:uid="{8C967E98-DD22-434B-8FF2-F89679E9E6FA}">
      <text>
        <r>
          <rPr>
            <b/>
            <sz val="9"/>
            <color indexed="81"/>
            <rFont val="Tahoma"/>
            <family val="2"/>
          </rPr>
          <t>&lt;[[TCDeals] - [TC Property Current Stage (Seq: 1)] - [Actual Property Costs (Seq: 1)] Off Site Improvements - Both]&gt;</t>
        </r>
      </text>
    </comment>
    <comment ref="C348" authorId="0" shapeId="0" xr:uid="{521C41AE-4AF6-4A47-A9AF-EA483483967B}">
      <text>
        <r>
          <rPr>
            <b/>
            <sz val="9"/>
            <color indexed="81"/>
            <rFont val="Tahoma"/>
            <family val="2"/>
          </rPr>
          <t>&lt;[[TCDeals] - [TC Property Current Stage (Seq: 1)] - [Actual Property Costs (Seq: 1)] Unit Structures New - Both]&gt;</t>
        </r>
      </text>
    </comment>
    <comment ref="C349" authorId="0" shapeId="0" xr:uid="{A11E2D24-6B3D-48CD-B737-0B39A0F8AD9D}">
      <text>
        <r>
          <rPr>
            <b/>
            <sz val="9"/>
            <color indexed="81"/>
            <rFont val="Tahoma"/>
            <family val="2"/>
          </rPr>
          <t>&lt;[[TCDeals] - [TC Property Current Stage (Seq: 1)] - [Actual Property Costs (Seq: 1)] Unit Structures Rehab - Both]&gt;</t>
        </r>
      </text>
    </comment>
    <comment ref="C350" authorId="0" shapeId="0" xr:uid="{DF7A5204-0123-4921-BD43-2A78A35ED8DA}">
      <text>
        <r>
          <rPr>
            <b/>
            <sz val="9"/>
            <color indexed="81"/>
            <rFont val="Tahoma"/>
            <family val="2"/>
          </rPr>
          <t>&lt;[[TCDeals] - [TC Property Current Stage (Seq: 1)] - [Actual Property Costs (Seq: 1)] Accessory Buildings - Both]&gt;</t>
        </r>
      </text>
    </comment>
    <comment ref="C351" authorId="0" shapeId="0" xr:uid="{7E7F7A20-EA1B-49D8-A0D9-744725D981A7}">
      <text>
        <r>
          <rPr>
            <b/>
            <sz val="9"/>
            <color indexed="81"/>
            <rFont val="Tahoma"/>
            <family val="2"/>
          </rPr>
          <t>&lt;[[TCDeals] - [TC Property Current Stage (Seq: 1)] - [Actual Property Costs (Seq: 1)] Geothermal - Both]&gt;</t>
        </r>
      </text>
    </comment>
    <comment ref="C352" authorId="0" shapeId="0" xr:uid="{2AE16294-C99E-4BD2-ADBE-F35D4B8A94B6}">
      <text>
        <r>
          <rPr>
            <b/>
            <sz val="9"/>
            <color indexed="81"/>
            <rFont val="Tahoma"/>
            <family val="2"/>
          </rPr>
          <t>&lt;[[TCDeals] - [TC Property Current Stage (Seq: 1)] - [Actual Property Costs (Seq: 1)] General Requirements - Both]&gt;</t>
        </r>
      </text>
    </comment>
    <comment ref="C353" authorId="0" shapeId="0" xr:uid="{8658C90B-32BB-4D2D-A106-43B97DCD2BB6}">
      <text>
        <r>
          <rPr>
            <b/>
            <sz val="9"/>
            <color indexed="81"/>
            <rFont val="Tahoma"/>
            <family val="2"/>
          </rPr>
          <t>&lt;[[TCDeals] - [TC Property Current Stage (Seq: 1)] - [Actual Property Costs (Seq: 1)] Builders Overhead - Both]&gt;</t>
        </r>
      </text>
    </comment>
    <comment ref="C354" authorId="0" shapeId="0" xr:uid="{1603124C-2B32-40D1-AE98-A88FBB3044F6}">
      <text>
        <r>
          <rPr>
            <b/>
            <sz val="9"/>
            <color indexed="81"/>
            <rFont val="Tahoma"/>
            <family val="2"/>
          </rPr>
          <t>&lt;[[TCDeals] - [TC Property Current Stage (Seq: 1)] - [Actual Property Costs (Seq: 1)] Builders Profit - Both]&gt;</t>
        </r>
      </text>
    </comment>
    <comment ref="C355" authorId="0" shapeId="0" xr:uid="{7329F9DA-0E29-4C56-BC94-EE6F5123D78F}">
      <text>
        <r>
          <rPr>
            <b/>
            <sz val="9"/>
            <color indexed="81"/>
            <rFont val="Tahoma"/>
            <family val="2"/>
          </rPr>
          <t>&lt;[[TCDeals] - [TC Property Current Stage (Seq: 1)] - [Actual Property Costs (Seq: 1)] Other Contingency Total - Both]&gt;</t>
        </r>
      </text>
    </comment>
    <comment ref="C356" authorId="0" shapeId="0" xr:uid="{F3EE90AC-834D-48D3-9110-F562630D520F}">
      <text>
        <r>
          <rPr>
            <b/>
            <sz val="9"/>
            <color indexed="81"/>
            <rFont val="Tahoma"/>
            <family val="2"/>
          </rPr>
          <t>&lt;[[TCDeals] - [TC Property Current Stage (Seq: 1)] - [Property Points (Seq: 1)] Owner Hard Cost Contingency - Both]&gt;</t>
        </r>
      </text>
    </comment>
    <comment ref="C357" authorId="0" shapeId="0" xr:uid="{AD7C58E0-FD4D-405D-8DA1-460CB3162161}">
      <text>
        <r>
          <rPr>
            <b/>
            <sz val="9"/>
            <color indexed="81"/>
            <rFont val="Tahoma"/>
            <family val="2"/>
          </rPr>
          <t>&lt;[[TCDeals] - [TC Property Current Stage (Seq: 1)] - [Actual Property Costs (Seq: 1)] Special Equipment - Both]&gt;</t>
        </r>
      </text>
    </comment>
    <comment ref="C358" authorId="0" shapeId="0" xr:uid="{920539F1-5819-42ED-91D7-50102783C024}">
      <text>
        <r>
          <rPr>
            <b/>
            <sz val="9"/>
            <color indexed="81"/>
            <rFont val="Tahoma"/>
            <family val="2"/>
          </rPr>
          <t>&lt;[[TCDeals] - [TC Property Current Stage (Seq: 1)] - [Actual Property Costs (Seq: 1)] Building Permit - Both]&gt;</t>
        </r>
      </text>
    </comment>
    <comment ref="A359" authorId="0" shapeId="0" xr:uid="{3B142A66-1C7B-4E11-AA9A-F9EE2F615383}">
      <text>
        <r>
          <rPr>
            <b/>
            <sz val="9"/>
            <color indexed="81"/>
            <rFont val="Tahoma"/>
            <family val="2"/>
          </rPr>
          <t>&lt;[[TCDeals] - [TC Property Current Stage (Seq: 1)] - [Property Points (Seq: 1)] Rehab &amp; New Cost Other Comment - Both]&gt;</t>
        </r>
      </text>
    </comment>
    <comment ref="C359" authorId="0" shapeId="0" xr:uid="{E8BE2816-1681-4649-B20C-2DA04DA44668}">
      <text>
        <r>
          <rPr>
            <b/>
            <sz val="9"/>
            <color indexed="81"/>
            <rFont val="Tahoma"/>
            <family val="2"/>
          </rPr>
          <t>&lt;[[TCDeals] - [TC Property Current Stage (Seq: 1)] - [Property Points (Seq: 1)] Rehab &amp; New Other Cost 1 - Both]&gt;</t>
        </r>
      </text>
    </comment>
    <comment ref="A360" authorId="0" shapeId="0" xr:uid="{5FFC549B-E504-4D74-B672-12083EF209B7}">
      <text>
        <r>
          <rPr>
            <b/>
            <sz val="9"/>
            <color indexed="81"/>
            <rFont val="Tahoma"/>
            <family val="2"/>
          </rPr>
          <t>&lt;[[TCDeals] - [TC Property Current Stage (Seq: 1)] - [Property Points (Seq: 1)] Rehab &amp; New Cost Other 2 Comment - Both]&gt;</t>
        </r>
      </text>
    </comment>
    <comment ref="C360" authorId="0" shapeId="0" xr:uid="{FD78193F-D11F-4E50-A6DE-AB840E161ABB}">
      <text>
        <r>
          <rPr>
            <b/>
            <sz val="9"/>
            <color indexed="81"/>
            <rFont val="Tahoma"/>
            <family val="2"/>
          </rPr>
          <t>&lt;[[TCDeals] - [TC Property Current Stage (Seq: 1)] - [Property Points (Seq: 1)] Rehab &amp; New Other Cost 2 - Both]&gt;</t>
        </r>
      </text>
    </comment>
    <comment ref="A361" authorId="0" shapeId="0" xr:uid="{D1EB4359-CC70-484D-A505-A6099180EED2}">
      <text>
        <r>
          <rPr>
            <b/>
            <sz val="9"/>
            <color indexed="81"/>
            <rFont val="Tahoma"/>
            <family val="2"/>
          </rPr>
          <t>&lt;[[TCDeals] - [TC Property Current Stage (Seq: 1)] - [Property Points (Seq: 1)] Rehab &amp; New Cost Other 3 Comment - Both]&gt;</t>
        </r>
      </text>
    </comment>
    <comment ref="C361" authorId="0" shapeId="0" xr:uid="{862A0CEC-EF00-45C9-9092-52D2CC376FB3}">
      <text>
        <r>
          <rPr>
            <b/>
            <sz val="9"/>
            <color indexed="81"/>
            <rFont val="Tahoma"/>
            <family val="2"/>
          </rPr>
          <t>&lt;[[TCDeals] - [TC Property Current Stage (Seq: 1)] - [Property Points (Seq: 1)] Rehab &amp; New Other Cost 3 - Both]&gt;</t>
        </r>
      </text>
    </comment>
    <comment ref="C362" authorId="0" shapeId="0" xr:uid="{B78C403B-69E7-40B1-ADAE-C7D4BF5C1754}">
      <text>
        <r>
          <rPr>
            <b/>
            <sz val="9"/>
            <color indexed="81"/>
            <rFont val="Tahoma"/>
            <family val="2"/>
          </rPr>
          <t>&lt;[[TCDeals] - [TC Property Current Stage (Seq: 1)] - [Actual Property Costs (Seq: 1)] Arch Engin Design Fee - Both]&gt;</t>
        </r>
      </text>
    </comment>
    <comment ref="C363" authorId="0" shapeId="0" xr:uid="{55D04405-D86A-485F-8E6E-2BBF704ACA65}">
      <text>
        <r>
          <rPr>
            <b/>
            <sz val="9"/>
            <color indexed="81"/>
            <rFont val="Tahoma"/>
            <family val="2"/>
          </rPr>
          <t>&lt;[[TCDeals] - [TC Property Current Stage (Seq: 1)] - [Actual Property Costs (Seq: 1)] Arch Supervision Fee - Both]&gt;</t>
        </r>
      </text>
    </comment>
    <comment ref="C364" authorId="0" shapeId="0" xr:uid="{7A957F00-5041-4C84-AD17-3E763C3A476D}">
      <text>
        <r>
          <rPr>
            <b/>
            <sz val="9"/>
            <color indexed="81"/>
            <rFont val="Tahoma"/>
            <family val="2"/>
          </rPr>
          <t>&lt;[[TCDeals] - [TC Property Current Stage (Seq: 1)] - [Actual Property Costs (Seq: 1)] Lawns - Both]&gt;</t>
        </r>
      </text>
    </comment>
    <comment ref="C365" authorId="0" shapeId="0" xr:uid="{6F27E50D-3BE9-4D59-B8AC-6D9D9EA69BEB}">
      <text>
        <r>
          <rPr>
            <b/>
            <sz val="9"/>
            <color indexed="81"/>
            <rFont val="Tahoma"/>
            <family val="2"/>
          </rPr>
          <t>&lt;[[TCDeals] - [TC Property Current Stage (Seq: 1)] - [Actual Property Costs (Seq: 1)] Structure Mech Study - Both]&gt;</t>
        </r>
      </text>
    </comment>
    <comment ref="C366" authorId="0" shapeId="0" xr:uid="{14A04995-51B5-4900-9053-1EA8A1C7288F}">
      <text>
        <r>
          <rPr>
            <b/>
            <sz val="9"/>
            <color indexed="81"/>
            <rFont val="Tahoma"/>
            <family val="2"/>
          </rPr>
          <t>&lt;[[TCDeals] - [TC Property Current Stage (Seq: 1)] - [Actual Property Costs (Seq: 1)] Engineering - Both]&gt;</t>
        </r>
      </text>
    </comment>
    <comment ref="C367" authorId="0" shapeId="0" xr:uid="{16E8B710-E147-4D9F-9077-200798C7F9D4}">
      <text>
        <r>
          <rPr>
            <b/>
            <sz val="9"/>
            <color indexed="81"/>
            <rFont val="Tahoma"/>
            <family val="2"/>
          </rPr>
          <t>&lt;[[TCDeals] - [TC Property Current Stage (Seq: 1)] - [Property Points (Seq: 1)] Other Engineering - Both]&gt;</t>
        </r>
      </text>
    </comment>
    <comment ref="C368" authorId="0" shapeId="0" xr:uid="{34218A20-9915-49AA-A22E-4FFE8B839D54}">
      <text>
        <r>
          <rPr>
            <b/>
            <sz val="9"/>
            <color indexed="81"/>
            <rFont val="Tahoma"/>
            <family val="2"/>
          </rPr>
          <t>&lt;[[TCDeals] - [TC Property Current Stage (Seq: 1)] - [Property Points (Seq: 1)] Surveyor - Both]&gt;</t>
        </r>
      </text>
    </comment>
    <comment ref="C369" authorId="0" shapeId="0" xr:uid="{9F349418-E1C4-45AD-B7E3-3B9EB52597B1}">
      <text>
        <r>
          <rPr>
            <b/>
            <sz val="9"/>
            <color indexed="81"/>
            <rFont val="Tahoma"/>
            <family val="2"/>
          </rPr>
          <t>&lt;[[TCDeals] - [TC Property Current Stage (Seq: 1)] - [Actual Property Costs (Seq: 1)] Closing Legal Fees - Both]&gt;</t>
        </r>
      </text>
    </comment>
    <comment ref="C370" authorId="0" shapeId="0" xr:uid="{1007F042-E600-4C9E-A793-BE3680335941}">
      <text>
        <r>
          <rPr>
            <b/>
            <sz val="9"/>
            <color indexed="81"/>
            <rFont val="Tahoma"/>
            <family val="2"/>
          </rPr>
          <t>&lt;[[TCDeals] - [TC Property Current Stage (Seq: 1)] - [Property Points (Seq: 1)] Green Consultant - Both]&gt;</t>
        </r>
      </text>
    </comment>
    <comment ref="C371" authorId="0" shapeId="0" xr:uid="{A79CEDC8-6F57-4902-BA25-A000BB2F3BEA}">
      <text>
        <r>
          <rPr>
            <b/>
            <sz val="9"/>
            <color indexed="81"/>
            <rFont val="Tahoma"/>
            <family val="2"/>
          </rPr>
          <t>&lt;[[TCDeals] - [TC Property Current Stage (Seq: 1)] - [Property Points (Seq: 1)] Green Charrette - Both]&gt;</t>
        </r>
      </text>
    </comment>
    <comment ref="C372" authorId="0" shapeId="0" xr:uid="{572F2064-B466-4180-A377-C1D1B8EB4A67}">
      <text>
        <r>
          <rPr>
            <b/>
            <sz val="9"/>
            <color indexed="81"/>
            <rFont val="Tahoma"/>
            <family val="2"/>
          </rPr>
          <t>&lt;[[TCDeals] - [TC Property Current Stage (Seq: 1)] - [Property Points (Seq: 1)] Construction Accounting - Both]&gt;</t>
        </r>
      </text>
    </comment>
    <comment ref="A373" authorId="0" shapeId="0" xr:uid="{8A533632-A2E4-4E49-BB68-834DB7B226C5}">
      <text>
        <r>
          <rPr>
            <b/>
            <sz val="9"/>
            <color indexed="81"/>
            <rFont val="Tahoma"/>
            <family val="2"/>
          </rPr>
          <t>&lt;[[TCDeals] - [TC Property Current Stage (Seq: 1)] - [Property Points (Seq: 1)] Professional Fees Other Comment - Both]&gt;</t>
        </r>
      </text>
    </comment>
    <comment ref="C373" authorId="0" shapeId="0" xr:uid="{2C37A486-452B-42B4-968F-F86D3BC1B607}">
      <text>
        <r>
          <rPr>
            <b/>
            <sz val="9"/>
            <color indexed="81"/>
            <rFont val="Tahoma"/>
            <family val="2"/>
          </rPr>
          <t>&lt;[[TCDeals] - [TC Property Current Stage (Seq: 1)] - [Property Points (Seq: 1)] Professional Fees Other 1 - Both]&gt;</t>
        </r>
      </text>
    </comment>
    <comment ref="A374" authorId="0" shapeId="0" xr:uid="{8B1DC804-C678-4747-BFF4-8031807C0DD3}">
      <text>
        <r>
          <rPr>
            <b/>
            <sz val="9"/>
            <color indexed="81"/>
            <rFont val="Tahoma"/>
            <family val="2"/>
          </rPr>
          <t>&lt;[[TCDeals] - [TC Property Current Stage (Seq: 1)] - [Property Points (Seq: 1)] Professional Fees Other 2 Comment - Both]&gt;</t>
        </r>
      </text>
    </comment>
    <comment ref="C374" authorId="0" shapeId="0" xr:uid="{3D06CA74-052F-45AB-8454-3C655098CEEF}">
      <text>
        <r>
          <rPr>
            <b/>
            <sz val="9"/>
            <color indexed="81"/>
            <rFont val="Tahoma"/>
            <family val="2"/>
          </rPr>
          <t>&lt;[[TCDeals] - [TC Property Current Stage (Seq: 1)] - [Property Points (Seq: 1)] Professional Fees Other 2 - Both]&gt;</t>
        </r>
      </text>
    </comment>
    <comment ref="A375" authorId="0" shapeId="0" xr:uid="{BDF4A705-0CE0-45A3-B2DF-1A93104EA133}">
      <text>
        <r>
          <rPr>
            <b/>
            <sz val="9"/>
            <color indexed="81"/>
            <rFont val="Tahoma"/>
            <family val="2"/>
          </rPr>
          <t>&lt;[[TCDeals] - [TC Property Current Stage (Seq: 1)] - [Property Points (Seq: 1)] Professional Fees Other 3 Comment - Both]&gt;</t>
        </r>
      </text>
    </comment>
    <comment ref="C375" authorId="0" shapeId="0" xr:uid="{6B220424-0688-4C8F-908F-FA33A90DA95F}">
      <text>
        <r>
          <rPr>
            <b/>
            <sz val="9"/>
            <color indexed="81"/>
            <rFont val="Tahoma"/>
            <family val="2"/>
          </rPr>
          <t>&lt;[[TCDeals] - [TC Property Current Stage (Seq: 1)] - [Property Points (Seq: 1)] Professional Fees Other 3 - Both]&gt;</t>
        </r>
      </text>
    </comment>
    <comment ref="C376" authorId="0" shapeId="0" xr:uid="{10A142DB-7A32-4D12-81B9-39C454ACA1CB}">
      <text>
        <r>
          <rPr>
            <b/>
            <sz val="9"/>
            <color indexed="81"/>
            <rFont val="Tahoma"/>
            <family val="2"/>
          </rPr>
          <t>&lt;[[TCDeals] - [TC Property Current Stage (Seq: 1)] - [Actual Property Costs (Seq: 1)] Insurance Construction - Both]&gt;</t>
        </r>
      </text>
    </comment>
    <comment ref="C377" authorId="0" shapeId="0" xr:uid="{05B04E91-B448-4E50-BDD7-C9D01AAF8726}">
      <text>
        <r>
          <rPr>
            <b/>
            <sz val="9"/>
            <color indexed="81"/>
            <rFont val="Tahoma"/>
            <family val="2"/>
          </rPr>
          <t>&lt;[[TCDeals] - [TC Property Current Stage (Seq: 1)] - [Property Points (Seq: 1)] Builder's Risk Insurance - Both]&gt;</t>
        </r>
      </text>
    </comment>
    <comment ref="C378" authorId="0" shapeId="0" xr:uid="{51AC5CF1-85D8-4FC1-9BB7-36F94F0C4DDD}">
      <text>
        <r>
          <rPr>
            <b/>
            <sz val="9"/>
            <color indexed="81"/>
            <rFont val="Tahoma"/>
            <family val="2"/>
          </rPr>
          <t>&lt;[[TCDeals] - [TC Property Current Stage (Seq: 1)] - [Actual Property Costs (Seq: 1)] Bonding Fee - Both]&gt;</t>
        </r>
      </text>
    </comment>
    <comment ref="C379" authorId="0" shapeId="0" xr:uid="{705F4BD5-7795-411E-BFC5-4847CFB74D6D}">
      <text>
        <r>
          <rPr>
            <b/>
            <sz val="9"/>
            <color indexed="81"/>
            <rFont val="Tahoma"/>
            <family val="2"/>
          </rPr>
          <t>&lt;[[TCDeals] - [TC Property Current Stage (Seq: 1)] - [Actual Property Costs (Seq: 1)] Constr Interest - Both]&gt;</t>
        </r>
      </text>
    </comment>
    <comment ref="C380" authorId="0" shapeId="0" xr:uid="{D84143BB-9327-46CD-B90A-DE36F955F6F4}">
      <text>
        <r>
          <rPr>
            <b/>
            <sz val="9"/>
            <color indexed="81"/>
            <rFont val="Tahoma"/>
            <family val="2"/>
          </rPr>
          <t>&lt;[[TCDeals] - [TC Property Current Stage (Seq: 1)] - [Actual Property Costs (Seq: 1)] Constr Loan Orig Fee - Both]&gt;</t>
        </r>
      </text>
    </comment>
    <comment ref="C381" authorId="0" shapeId="0" xr:uid="{BBD6E304-3286-4100-9C47-BE7C3ABC93C5}">
      <text>
        <r>
          <rPr>
            <b/>
            <sz val="9"/>
            <color indexed="81"/>
            <rFont val="Tahoma"/>
            <family val="2"/>
          </rPr>
          <t>&lt;[[TCDeals] - [TC Property Current Stage (Seq: 1)] - [Actual Property Costs (Seq: 1)] Tap Fees - Both]&gt;</t>
        </r>
      </text>
    </comment>
    <comment ref="C382" authorId="0" shapeId="0" xr:uid="{6423E492-23F4-4EE5-9359-5F813F9721DB}">
      <text>
        <r>
          <rPr>
            <b/>
            <sz val="9"/>
            <color indexed="81"/>
            <rFont val="Tahoma"/>
            <family val="2"/>
          </rPr>
          <t>&lt;[[TCDeals] - [TC Property Current Stage (Seq: 1)] - [Property Points (Seq: 1)] Impact fees - Both]&gt;</t>
        </r>
      </text>
    </comment>
    <comment ref="C383" authorId="0" shapeId="0" xr:uid="{1DEA7C81-950D-4CDD-B4C2-920246584036}">
      <text>
        <r>
          <rPr>
            <b/>
            <sz val="9"/>
            <color indexed="81"/>
            <rFont val="Tahoma"/>
            <family val="2"/>
          </rPr>
          <t>&lt;[[TCDeals] - [TC Property Current Stage (Seq: 1)] - [Actual Property Costs (Seq: 1)] Other Construction1 - Both]&gt;</t>
        </r>
      </text>
    </comment>
    <comment ref="C384" authorId="0" shapeId="0" xr:uid="{7D674F97-39D3-4E13-B5BB-182B013D8E5C}">
      <text>
        <r>
          <rPr>
            <b/>
            <sz val="9"/>
            <color indexed="81"/>
            <rFont val="Tahoma"/>
            <family val="2"/>
          </rPr>
          <t>&lt;[[TCDeals] - [TC Property Current Stage (Seq: 1)] - [Actual Property Costs (Seq: 1)] Other Construction2 - Both]&gt;</t>
        </r>
      </text>
    </comment>
    <comment ref="C385" authorId="0" shapeId="0" xr:uid="{E23A31A8-F10B-4C51-8371-B00D7116362C}">
      <text>
        <r>
          <rPr>
            <b/>
            <sz val="9"/>
            <color indexed="81"/>
            <rFont val="Tahoma"/>
            <family val="2"/>
          </rPr>
          <t>&lt;[[TCDeals] - [TC Property Current Stage (Seq: 1)] - [Property Points (Seq: 1)] 3rd Party/Bank Inspections/Admin - Both]&gt;</t>
        </r>
      </text>
    </comment>
    <comment ref="C386" authorId="0" shapeId="0" xr:uid="{8F4E9FD2-68B9-4291-B349-EB8DE50AE791}">
      <text>
        <r>
          <rPr>
            <b/>
            <sz val="9"/>
            <color indexed="81"/>
            <rFont val="Tahoma"/>
            <family val="2"/>
          </rPr>
          <t>&lt;[[TCDeals] - [TC Property Current Stage (Seq: 1)] - [Property Points (Seq: 1)] Title &amp; Recording - Both]&gt;</t>
        </r>
      </text>
    </comment>
    <comment ref="C387" authorId="0" shapeId="0" xr:uid="{3D5A5A91-59F7-4DB3-ACC9-46600B26807F}">
      <text>
        <r>
          <rPr>
            <b/>
            <sz val="9"/>
            <color indexed="81"/>
            <rFont val="Tahoma"/>
            <family val="2"/>
          </rPr>
          <t>&lt;[[TCDeals] - [TC Property Current Stage (Seq: 1)] - [Actual Property Costs (Seq: 1)] Other Perm Loan Fees - Both]&gt;</t>
        </r>
      </text>
    </comment>
    <comment ref="C388" authorId="0" shapeId="0" xr:uid="{0EE2A583-9164-4EF2-B764-B6EB27057D1B}">
      <text>
        <r>
          <rPr>
            <b/>
            <sz val="9"/>
            <color indexed="81"/>
            <rFont val="Tahoma"/>
            <family val="2"/>
          </rPr>
          <t>&lt;[[TCDeals] - [TC Property Current Stage (Seq: 1)] - [Actual Property Costs (Seq: 1)] Taxes Construction - Both]&gt;</t>
        </r>
      </text>
    </comment>
    <comment ref="C389" authorId="0" shapeId="0" xr:uid="{4D362601-63E5-4F92-BBAB-0780D7259F3E}">
      <text>
        <r>
          <rPr>
            <b/>
            <sz val="9"/>
            <color indexed="81"/>
            <rFont val="Tahoma"/>
            <family val="2"/>
          </rPr>
          <t>&lt;[[TCDeals] - [TC Property Current Stage (Seq: 1)] - [Property Points (Seq: 1)] Bridge Loan - Both]&gt;</t>
        </r>
      </text>
    </comment>
    <comment ref="C390" authorId="3" shapeId="0" xr:uid="{CEB532EB-FB75-4C96-A487-89899AC2E468}">
      <text>
        <r>
          <rPr>
            <b/>
            <sz val="9"/>
            <color indexed="81"/>
            <rFont val="Tahoma"/>
            <family val="2"/>
          </rPr>
          <t>&lt;[[TCDeals] - [TC Property Current Stage (Seq: 1)] - [Property Points (Seq: 1)] Bond Issuance Costs amortized during construction - Both]&gt;</t>
        </r>
      </text>
    </comment>
    <comment ref="C391" authorId="0" shapeId="0" xr:uid="{93B07E0B-B9F3-4358-B270-E1C803E84115}">
      <text>
        <r>
          <rPr>
            <b/>
            <sz val="9"/>
            <color indexed="81"/>
            <rFont val="Tahoma"/>
            <family val="2"/>
          </rPr>
          <t>&lt;[[TCDeals] - [TC Property Current Stage (Seq: 1)] - [Actual Property Costs (Seq: 1)] Other Construction3 - Both]&gt;</t>
        </r>
      </text>
    </comment>
    <comment ref="A392" authorId="0" shapeId="0" xr:uid="{46FBFC06-C8A5-442A-A2E1-A9F072245444}">
      <text>
        <r>
          <rPr>
            <b/>
            <sz val="9"/>
            <color indexed="81"/>
            <rFont val="Tahoma"/>
            <family val="2"/>
          </rPr>
          <t>&lt;[[TCDeals] - [TC Property Current Stage (Seq: 1)] - [Property Points (Seq: 1)] Construction Interim Cost Other 1 Comment - Both]&gt;</t>
        </r>
      </text>
    </comment>
    <comment ref="C392" authorId="0" shapeId="0" xr:uid="{D22386BE-A183-41EF-817E-B20CD27585AE}">
      <text>
        <r>
          <rPr>
            <b/>
            <sz val="9"/>
            <color indexed="81"/>
            <rFont val="Tahoma"/>
            <family val="2"/>
          </rPr>
          <t>&lt;[[TCDeals] - [TC Property Current Stage (Seq: 1)] - [Property Points (Seq: 1)] Construction Interim Cost Other 1 - Both]&gt;</t>
        </r>
      </text>
    </comment>
    <comment ref="A393" authorId="0" shapeId="0" xr:uid="{0E5E4B94-635B-4836-84A0-5200C03D212E}">
      <text>
        <r>
          <rPr>
            <b/>
            <sz val="9"/>
            <color indexed="81"/>
            <rFont val="Tahoma"/>
            <family val="2"/>
          </rPr>
          <t>&lt;[[TCDeals] - [TC Property Current Stage (Seq: 1)] - [Property Points (Seq: 1)] Construction Interim Cost Other 2 Comment - Both]&gt;</t>
        </r>
      </text>
    </comment>
    <comment ref="C393" authorId="0" shapeId="0" xr:uid="{7F3DAB63-C4D2-42A4-ADBD-B21E7F2A1673}">
      <text>
        <r>
          <rPr>
            <b/>
            <sz val="9"/>
            <color indexed="81"/>
            <rFont val="Tahoma"/>
            <family val="2"/>
          </rPr>
          <t>&lt;[[TCDeals] - [TC Property Current Stage (Seq: 1)] - [Property Points (Seq: 1)] Construction Interim Cost Other 2 - Both]&gt;</t>
        </r>
      </text>
    </comment>
    <comment ref="C394" authorId="0" shapeId="0" xr:uid="{AA27C44A-0996-4E7C-8BB3-4789154A257C}">
      <text>
        <r>
          <rPr>
            <b/>
            <sz val="9"/>
            <color indexed="81"/>
            <rFont val="Tahoma"/>
            <family val="2"/>
          </rPr>
          <t>&lt;[[TCDeals] - [TC Property Current Stage (Seq: 1)] - [Property Points (Seq: 1)] Bond Premium - Both]&gt;</t>
        </r>
      </text>
    </comment>
    <comment ref="C395" authorId="0" shapeId="0" xr:uid="{70CE71DB-71DE-407A-8FF8-9F757E67E1A9}">
      <text>
        <r>
          <rPr>
            <b/>
            <sz val="9"/>
            <color indexed="81"/>
            <rFont val="Tahoma"/>
            <family val="2"/>
          </rPr>
          <t>&lt;[[TCDeals] - [TC Property Current Stage (Seq: 1)] - [Property Points (Seq: 1)] Bond Issue 30-day lag reserve - Both]&gt;</t>
        </r>
      </text>
    </comment>
    <comment ref="C396" authorId="0" shapeId="0" xr:uid="{70F35218-B933-46AB-B73E-AA204ECAE8F9}">
      <text>
        <r>
          <rPr>
            <b/>
            <sz val="9"/>
            <color indexed="81"/>
            <rFont val="Tahoma"/>
            <family val="2"/>
          </rPr>
          <t>&lt;[[TCDeals] - [TC Property Current Stage (Seq: 1)] - [Property Points (Seq: 1)] Bond Cost of Issuance - Both]&gt;</t>
        </r>
      </text>
    </comment>
    <comment ref="C397" authorId="0" shapeId="0" xr:uid="{91C776B2-6C8A-4C7B-9E2E-D5B6C05CD729}">
      <text>
        <r>
          <rPr>
            <b/>
            <sz val="9"/>
            <color indexed="81"/>
            <rFont val="Tahoma"/>
            <family val="2"/>
          </rPr>
          <t>&lt;[[TCDeals] - [TC Property Current Stage (Seq: 1)] - [Property Points (Seq: 1)] Discount Points - Both]&gt;</t>
        </r>
      </text>
    </comment>
    <comment ref="C398" authorId="0" shapeId="0" xr:uid="{A9011E0E-6E1D-47EB-B570-4C7B43485D22}">
      <text>
        <r>
          <rPr>
            <b/>
            <sz val="9"/>
            <color indexed="81"/>
            <rFont val="Tahoma"/>
            <family val="2"/>
          </rPr>
          <t>&lt;[[TCDeals] - [TC Property Current Stage (Seq: 1)] - [Actual Property Costs (Seq: 1)] Perm Loan Fee - Both]&gt;</t>
        </r>
      </text>
    </comment>
    <comment ref="C399" authorId="0" shapeId="0" xr:uid="{0CB8E67C-97E2-429E-976A-85887D25BE6D}">
      <text>
        <r>
          <rPr>
            <b/>
            <sz val="9"/>
            <color indexed="81"/>
            <rFont val="Tahoma"/>
            <family val="2"/>
          </rPr>
          <t>&lt;[[TCDeals] - [TC Property Current Stage (Seq: 1)] - [Actual Property Costs (Seq: 1)] Credit Enhancement - Both]&gt;</t>
        </r>
      </text>
    </comment>
    <comment ref="C400" authorId="0" shapeId="0" xr:uid="{E7FE311D-B758-4D4F-BC66-DBCA4F310D3A}">
      <text>
        <r>
          <rPr>
            <b/>
            <sz val="9"/>
            <color indexed="81"/>
            <rFont val="Tahoma"/>
            <family val="2"/>
          </rPr>
          <t>&lt;[[TCDeals] - [TC Property Current Stage (Seq: 1)] - [Actual Property Costs (Seq: 1)] Title And Recording - Both]&gt;</t>
        </r>
      </text>
    </comment>
    <comment ref="C401" authorId="0" shapeId="0" xr:uid="{EF62DCD0-0E19-4917-859F-493980CE6725}">
      <text>
        <r>
          <rPr>
            <b/>
            <sz val="9"/>
            <color indexed="81"/>
            <rFont val="Tahoma"/>
            <family val="2"/>
          </rPr>
          <t>&lt;[[TCDeals] - [TC Property Current Stage (Seq: 1)] - [Property Points (Seq: 1)] Legal Fees - Both]&gt;</t>
        </r>
      </text>
    </comment>
    <comment ref="C402" authorId="0" shapeId="0" xr:uid="{22FF3C41-EF8A-43E9-9367-6A58537056B0}">
      <text>
        <r>
          <rPr>
            <b/>
            <sz val="9"/>
            <color indexed="81"/>
            <rFont val="Tahoma"/>
            <family val="2"/>
          </rPr>
          <t>&lt;[[TCDeals] - [TC Property Current Stage (Seq: 1)] - [Property Points (Seq: 1)] Prepaid MIP - Both]&gt;</t>
        </r>
      </text>
    </comment>
    <comment ref="C403" authorId="0" shapeId="0" xr:uid="{9FC90BC1-E21F-4FC9-A0FF-7DB03D946C72}">
      <text>
        <r>
          <rPr>
            <b/>
            <sz val="9"/>
            <color indexed="81"/>
            <rFont val="Tahoma"/>
            <family val="2"/>
          </rPr>
          <t>&lt;[[TCDeals] - [TC Property Current Stage (Seq: 1)] - [Property Points (Seq: 1)] Forward Rate Lock - Both]&gt;</t>
        </r>
      </text>
    </comment>
    <comment ref="C404" authorId="0" shapeId="0" xr:uid="{1357EBC7-C1A9-4D90-A71A-311296B79A3D}">
      <text>
        <r>
          <rPr>
            <b/>
            <sz val="9"/>
            <color indexed="81"/>
            <rFont val="Tahoma"/>
            <family val="2"/>
          </rPr>
          <t>&lt;[[TCDeals] - [TC Property Current Stage (Seq: 1)] - [Property Points (Seq: 1)] Conversion Fee - Both]&gt;</t>
        </r>
      </text>
    </comment>
    <comment ref="A405" authorId="0" shapeId="0" xr:uid="{D05B5404-E60E-4930-A7B9-56803EA89BCB}">
      <text>
        <r>
          <rPr>
            <b/>
            <sz val="9"/>
            <color indexed="81"/>
            <rFont val="Tahoma"/>
            <family val="2"/>
          </rPr>
          <t>&lt;[[TCDeals] - [TC Property Current Stage (Seq: 1)] - [Property Points (Seq: 1)] Permanent Financing Other Cost 1 Comment - Both]&gt;</t>
        </r>
      </text>
    </comment>
    <comment ref="C405" authorId="0" shapeId="0" xr:uid="{6AC66F15-E8E1-4B7B-9C93-04069379C910}">
      <text>
        <r>
          <rPr>
            <b/>
            <sz val="9"/>
            <color indexed="81"/>
            <rFont val="Tahoma"/>
            <family val="2"/>
          </rPr>
          <t>&lt;[[TCDeals] - [TC Property Current Stage (Seq: 1)] - [Property Points (Seq: 1)] Permanent Financing Other Cost 1 - Both]&gt;</t>
        </r>
      </text>
    </comment>
    <comment ref="A406" authorId="0" shapeId="0" xr:uid="{1902F908-9874-4F53-835E-A5651BF8A84A}">
      <text>
        <r>
          <rPr>
            <b/>
            <sz val="9"/>
            <color indexed="81"/>
            <rFont val="Tahoma"/>
            <family val="2"/>
          </rPr>
          <t>&lt;[[TCDeals] - [TC Property Current Stage (Seq: 1)] - [Property Points (Seq: 1)] Permanent Financing Other Cost 2 Comment - Both]&gt;</t>
        </r>
      </text>
    </comment>
    <comment ref="C406" authorId="0" shapeId="0" xr:uid="{F019B8CD-B739-4AA9-9F3D-36A07B31CE3A}">
      <text>
        <r>
          <rPr>
            <b/>
            <sz val="9"/>
            <color indexed="81"/>
            <rFont val="Tahoma"/>
            <family val="2"/>
          </rPr>
          <t>&lt;[[TCDeals] - [TC Property Current Stage (Seq: 1)] - [Property Points (Seq: 1)] Permanent Financing Other Cost 2 - Both]&gt;</t>
        </r>
      </text>
    </comment>
    <comment ref="A407" authorId="0" shapeId="0" xr:uid="{339F9223-CB5A-4638-9A8A-159DBA5585E1}">
      <text>
        <r>
          <rPr>
            <b/>
            <sz val="9"/>
            <color indexed="81"/>
            <rFont val="Tahoma"/>
            <family val="2"/>
          </rPr>
          <t>&lt;[[TCDeals] - [TC Property Current Stage (Seq: 1)] - [Property Points (Seq: 1)] Permanent Financing Other Cost 3 Comment - Both]&gt;</t>
        </r>
      </text>
    </comment>
    <comment ref="C407" authorId="0" shapeId="0" xr:uid="{966A21D9-2CE8-4C27-8EB7-7ADDACB0F392}">
      <text>
        <r>
          <rPr>
            <b/>
            <sz val="9"/>
            <color indexed="81"/>
            <rFont val="Tahoma"/>
            <family val="2"/>
          </rPr>
          <t>&lt;[[TCDeals] - [TC Property Current Stage (Seq: 1)] - [Property Points (Seq: 1)] Permanent Financing Other Cost 3 - Both]&gt;</t>
        </r>
      </text>
    </comment>
    <comment ref="C408" authorId="0" shapeId="0" xr:uid="{4745F769-046D-4C48-9A62-4F43604C3CFA}">
      <text>
        <r>
          <rPr>
            <b/>
            <sz val="9"/>
            <color indexed="81"/>
            <rFont val="Tahoma"/>
            <family val="2"/>
          </rPr>
          <t>&lt;[[TCDeals] - [TC Property Current Stage (Seq: 1)] - [Property Points (Seq: 1)] Marketing/Leasing Costs - Both]&gt;</t>
        </r>
      </text>
    </comment>
    <comment ref="C409" authorId="0" shapeId="0" xr:uid="{58036896-ADAA-472A-A762-5A13B75C8C5C}">
      <text>
        <r>
          <rPr>
            <b/>
            <sz val="9"/>
            <color indexed="81"/>
            <rFont val="Tahoma"/>
            <family val="2"/>
          </rPr>
          <t>&lt;[[TCDeals] - [TC Property Current Stage (Seq: 1)] - [Property Points (Seq: 1)] Cost Estimating/Capital Needs Assessment - Both]&gt;</t>
        </r>
      </text>
    </comment>
    <comment ref="C410" authorId="0" shapeId="0" xr:uid="{792CF891-A968-42D2-8F51-D2DC5E67CE8D}">
      <text>
        <r>
          <rPr>
            <b/>
            <sz val="9"/>
            <color indexed="81"/>
            <rFont val="Tahoma"/>
            <family val="2"/>
          </rPr>
          <t>&lt;[[TCDeals] - [TC Property Current Stage (Seq: 1)] - [Actual Property Costs (Seq: 1)] Soil Borings - Both]&gt;</t>
        </r>
      </text>
    </comment>
    <comment ref="C411" authorId="0" shapeId="0" xr:uid="{2755F3F0-6099-47A9-99DD-F10E69FBA2F7}">
      <text>
        <r>
          <rPr>
            <b/>
            <sz val="9"/>
            <color indexed="81"/>
            <rFont val="Tahoma"/>
            <family val="2"/>
          </rPr>
          <t>&lt;[[TCDeals] - [TC Property Current Stage (Seq: 1)] - [Actual Property Costs (Seq: 1)] Appraisal Fee - Both]&gt;</t>
        </r>
      </text>
    </comment>
    <comment ref="C412" authorId="0" shapeId="0" xr:uid="{CE20041E-BFA5-45C0-9E16-7877A840737A}">
      <text>
        <r>
          <rPr>
            <b/>
            <sz val="9"/>
            <color indexed="81"/>
            <rFont val="Tahoma"/>
            <family val="2"/>
          </rPr>
          <t>&lt;[[TCDeals] - [TC Property Current Stage (Seq: 1)] - [Actual Property Costs (Seq: 1)] Market Study - Both]&gt;</t>
        </r>
      </text>
    </comment>
    <comment ref="C413" authorId="0" shapeId="0" xr:uid="{FFE0F954-8F18-45EE-9336-B7DBC6A65C9B}">
      <text>
        <r>
          <rPr>
            <b/>
            <sz val="9"/>
            <color indexed="81"/>
            <rFont val="Tahoma"/>
            <family val="2"/>
          </rPr>
          <t>&lt;[[TCDeals] - [TC Property Current Stage (Seq: 1)] - [Actual Property Costs (Seq: 1)] Enviro Study - Both]&gt;</t>
        </r>
      </text>
    </comment>
    <comment ref="C414" authorId="0" shapeId="0" xr:uid="{5A6FDFAF-F064-4187-B3FC-C81F94D7EDA9}">
      <text>
        <r>
          <rPr>
            <b/>
            <sz val="9"/>
            <color indexed="81"/>
            <rFont val="Tahoma"/>
            <family val="2"/>
          </rPr>
          <t>&lt;[[TCDeals] - [TC Property Current Stage (Seq: 1)] - [Property Points (Seq: 1)] Other Studies (traffic, wetlands, etc.) - Both]&gt;</t>
        </r>
      </text>
    </comment>
    <comment ref="C415" authorId="0" shapeId="0" xr:uid="{86AA9410-2CA4-4BCD-ACFF-545B4FC1F3AE}">
      <text>
        <r>
          <rPr>
            <b/>
            <sz val="9"/>
            <color indexed="81"/>
            <rFont val="Tahoma"/>
            <family val="2"/>
          </rPr>
          <t>&lt;[[TCDeals] - [TC Property Current Stage (Seq: 1)] - [Actual Property Costs (Seq: 1)] Tax Credit Fee - Both]&gt;</t>
        </r>
      </text>
    </comment>
    <comment ref="C416" authorId="0" shapeId="0" xr:uid="{4FD3F6B1-6063-42AB-8D52-465581C5034D}">
      <text>
        <r>
          <rPr>
            <b/>
            <sz val="9"/>
            <color indexed="81"/>
            <rFont val="Tahoma"/>
            <family val="2"/>
          </rPr>
          <t>&lt;[[TCDeals] - [TC Property Current Stage (Seq: 1)] - [Property Points (Seq: 1)] Compliance Fees - Both]&gt;</t>
        </r>
      </text>
    </comment>
    <comment ref="C417" authorId="0" shapeId="0" xr:uid="{CAFAAAAC-8994-4670-821B-37D00F12D134}">
      <text>
        <r>
          <rPr>
            <b/>
            <sz val="9"/>
            <color indexed="81"/>
            <rFont val="Tahoma"/>
            <family val="2"/>
          </rPr>
          <t>&lt;[[TCDeals] - [TC Property Current Stage (Seq: 1)] - [Actual Property Costs (Seq: 1)] Cost Cert Fee - Both]&gt;</t>
        </r>
      </text>
    </comment>
    <comment ref="C418" authorId="0" shapeId="0" xr:uid="{D47873CC-EE69-4119-A854-D889B3CB74DC}">
      <text>
        <r>
          <rPr>
            <b/>
            <sz val="9"/>
            <color indexed="81"/>
            <rFont val="Tahoma"/>
            <family val="2"/>
          </rPr>
          <t>&lt;[[TCDeals] - [TC Property Current Stage (Seq: 1)] - [Property Points (Seq: 1)] Green Certification Fees (LEED Certification, etc.) - Both]&gt;</t>
        </r>
      </text>
    </comment>
    <comment ref="C419" authorId="0" shapeId="0" xr:uid="{2F47F274-B516-4BF2-BEF9-B331B361BB7C}">
      <text>
        <r>
          <rPr>
            <b/>
            <sz val="9"/>
            <color indexed="81"/>
            <rFont val="Tahoma"/>
            <family val="2"/>
          </rPr>
          <t>&lt;[[TCDeals] - [TC Property Current Stage (Seq: 1)] - [Property Points (Seq: 1)] Relocation - Temporary - Both]&gt;</t>
        </r>
      </text>
    </comment>
    <comment ref="C420" authorId="0" shapeId="0" xr:uid="{CCAA5D68-4BFB-408C-834B-CB1FC939C5C4}">
      <text>
        <r>
          <rPr>
            <b/>
            <sz val="9"/>
            <color indexed="81"/>
            <rFont val="Tahoma"/>
            <family val="2"/>
          </rPr>
          <t>&lt;[[TCDeals] - [TC Property Current Stage (Seq: 1)] - [Property Points (Seq: 1)] Relocation - Permanent - Both]&gt;</t>
        </r>
      </text>
    </comment>
    <comment ref="C421" authorId="0" shapeId="0" xr:uid="{6ED14D87-10F8-4433-9EC4-06D5D0BD1793}">
      <text>
        <r>
          <rPr>
            <b/>
            <sz val="9"/>
            <color indexed="81"/>
            <rFont val="Tahoma"/>
            <family val="2"/>
          </rPr>
          <t>&lt;[[TCDeals] - [TC Property Current Stage (Seq: 1)] - [Property Points (Seq: 1)] Soft Cost Contingency - Both]&gt;</t>
        </r>
      </text>
    </comment>
    <comment ref="A422" authorId="0" shapeId="0" xr:uid="{C51729B0-713E-4BF3-92E6-51695B7CE968}">
      <text>
        <r>
          <rPr>
            <b/>
            <sz val="9"/>
            <color indexed="81"/>
            <rFont val="Tahoma"/>
            <family val="2"/>
          </rPr>
          <t>&lt;[[TCDeals] - [TC Property Current Stage (Seq: 1)] - [Property Points (Seq: 1)] Soft Cost Other 1 Comment - Both]&gt;</t>
        </r>
      </text>
    </comment>
    <comment ref="C422" authorId="0" shapeId="0" xr:uid="{51B14673-D101-4700-B23E-4247F52E2F31}">
      <text>
        <r>
          <rPr>
            <b/>
            <sz val="9"/>
            <color indexed="81"/>
            <rFont val="Tahoma"/>
            <family val="2"/>
          </rPr>
          <t>&lt;[[TCDeals] - [TC Property Current Stage (Seq: 1)] - [Property Points (Seq: 1)] Soft Cost Other 1 - Both]&gt;</t>
        </r>
      </text>
    </comment>
    <comment ref="A423" authorId="0" shapeId="0" xr:uid="{6B9F71B0-2FF2-4AEE-A2B0-43497DB4CBA7}">
      <text>
        <r>
          <rPr>
            <b/>
            <sz val="9"/>
            <color indexed="81"/>
            <rFont val="Tahoma"/>
            <family val="2"/>
          </rPr>
          <t>&lt;[[TCDeals] - [TC Property Current Stage (Seq: 1)] - [Property Points (Seq: 1)] Soft Cost Other 2 Comment - Both]&gt;</t>
        </r>
      </text>
    </comment>
    <comment ref="C423" authorId="0" shapeId="0" xr:uid="{EFF8E93F-364B-4C4D-B14A-704DC474A3E0}">
      <text>
        <r>
          <rPr>
            <b/>
            <sz val="9"/>
            <color indexed="81"/>
            <rFont val="Tahoma"/>
            <family val="2"/>
          </rPr>
          <t>&lt;[[TCDeals] - [TC Property Current Stage (Seq: 1)] - [Property Points (Seq: 1)] Soft Cost Other 2 - Both]&gt;</t>
        </r>
      </text>
    </comment>
    <comment ref="A424" authorId="0" shapeId="0" xr:uid="{AF4BB61C-AF73-4A05-B7A4-44EE9B26F757}">
      <text>
        <r>
          <rPr>
            <b/>
            <sz val="9"/>
            <color indexed="81"/>
            <rFont val="Tahoma"/>
            <family val="2"/>
          </rPr>
          <t>&lt;[[TCDeals] - [TC Property Current Stage (Seq: 1)] - [Property Points (Seq: 1)] Soft Cost Other 3 Comment - Both]&gt;</t>
        </r>
      </text>
    </comment>
    <comment ref="C424" authorId="0" shapeId="0" xr:uid="{46A6FCBA-D657-4158-8C1A-4C6BE9F0D87E}">
      <text>
        <r>
          <rPr>
            <b/>
            <sz val="9"/>
            <color indexed="81"/>
            <rFont val="Tahoma"/>
            <family val="2"/>
          </rPr>
          <t>&lt;[[TCDeals] - [TC Property Current Stage (Seq: 1)] - [Property Points (Seq: 1)] Soft Cost Other 3 - Both]&gt;</t>
        </r>
      </text>
    </comment>
    <comment ref="C425" authorId="0" shapeId="0" xr:uid="{FE12B97C-BC9E-42F7-BC56-68309758AA81}">
      <text>
        <r>
          <rPr>
            <b/>
            <sz val="9"/>
            <color indexed="81"/>
            <rFont val="Tahoma"/>
            <family val="2"/>
          </rPr>
          <t>&lt;[[TCDeals] - [TC Property Current Stage (Seq: 1)] - [Property Points (Seq: 1)] Organization Costs - Both]&gt;</t>
        </r>
      </text>
    </comment>
    <comment ref="C426" authorId="0" shapeId="0" xr:uid="{645229B9-0AFF-4387-B723-C93CAE096378}">
      <text>
        <r>
          <rPr>
            <b/>
            <sz val="9"/>
            <color indexed="81"/>
            <rFont val="Tahoma"/>
            <family val="2"/>
          </rPr>
          <t>&lt;[[TCDeals] - [TC Property Current Stage (Seq: 1)] - [Property Points (Seq: 1)] Tax Opinion - Both]&gt;</t>
        </r>
      </text>
    </comment>
    <comment ref="C427" authorId="0" shapeId="0" xr:uid="{0956955B-C474-4B94-95C5-61CA866D99F4}">
      <text>
        <r>
          <rPr>
            <b/>
            <sz val="9"/>
            <color indexed="81"/>
            <rFont val="Tahoma"/>
            <family val="2"/>
          </rPr>
          <t>&lt;[[TCDeals] - [TC Property Current Stage (Seq: 1)] - [Property Points (Seq: 1)] Syndication Legal Fees - Both]&gt;</t>
        </r>
      </text>
    </comment>
    <comment ref="A428" authorId="0" shapeId="0" xr:uid="{47874130-A5C7-43E7-B643-245B95A58963}">
      <text>
        <r>
          <rPr>
            <b/>
            <sz val="9"/>
            <color indexed="81"/>
            <rFont val="Tahoma"/>
            <family val="2"/>
          </rPr>
          <t>&lt;[[TCDeals] - [TC Property Current Stage (Seq: 1)] - [Property Points (Seq: 1)] Syndication Cost Other 1 Comment - Both]&gt;</t>
        </r>
      </text>
    </comment>
    <comment ref="C428" authorId="0" shapeId="0" xr:uid="{D6D4F15C-464D-4B0E-8159-B83BC2497C9C}">
      <text>
        <r>
          <rPr>
            <b/>
            <sz val="9"/>
            <color indexed="81"/>
            <rFont val="Tahoma"/>
            <family val="2"/>
          </rPr>
          <t>&lt;[[TCDeals] - [TC Property Current Stage (Seq: 1)] - [Property Points (Seq: 1)] Syndication Cost Other 1 - Both]&gt;</t>
        </r>
      </text>
    </comment>
    <comment ref="A429" authorId="0" shapeId="0" xr:uid="{13F441FA-9388-4941-872D-FB65708E5D49}">
      <text>
        <r>
          <rPr>
            <b/>
            <sz val="9"/>
            <color indexed="81"/>
            <rFont val="Tahoma"/>
            <family val="2"/>
          </rPr>
          <t>&lt;[[TCDeals] - [TC Property Current Stage (Seq: 1)] - [Property Points (Seq: 1)] Syndication Cost Other 2 Comment - Both]&gt;</t>
        </r>
      </text>
    </comment>
    <comment ref="C429" authorId="0" shapeId="0" xr:uid="{5CE5270E-9FF6-4027-B980-801FA4C0F436}">
      <text>
        <r>
          <rPr>
            <b/>
            <sz val="9"/>
            <color indexed="81"/>
            <rFont val="Tahoma"/>
            <family val="2"/>
          </rPr>
          <t>&lt;[[TCDeals] - [TC Property Current Stage (Seq: 1)] - [Property Points (Seq: 1)] Syndication Cost Other 2 - Both]&gt;</t>
        </r>
      </text>
    </comment>
    <comment ref="A430" authorId="0" shapeId="0" xr:uid="{DBD05BA3-3390-4C6C-AA93-72C17FDD237C}">
      <text>
        <r>
          <rPr>
            <b/>
            <sz val="9"/>
            <color indexed="81"/>
            <rFont val="Tahoma"/>
            <family val="2"/>
          </rPr>
          <t>&lt;[[TCDeals] - [TC Property Current Stage (Seq: 1)] - [Property Points (Seq: 1)] Syndication Cost Other 3 Comment - Both]&gt;</t>
        </r>
      </text>
    </comment>
    <comment ref="C430" authorId="0" shapeId="0" xr:uid="{F41E9303-3E02-447A-80CF-0EB82927AA06}">
      <text>
        <r>
          <rPr>
            <b/>
            <sz val="9"/>
            <color indexed="81"/>
            <rFont val="Tahoma"/>
            <family val="2"/>
          </rPr>
          <t>&lt;[[TCDeals] - [TC Property Current Stage (Seq: 1)] - [Property Points (Seq: 1)] Syndication Cost Other 3 - Both]&gt;</t>
        </r>
      </text>
    </comment>
    <comment ref="C431" authorId="0" shapeId="0" xr:uid="{F299DC43-5333-47D8-B6F3-ADA50D34C1BE}">
      <text>
        <r>
          <rPr>
            <b/>
            <sz val="9"/>
            <color indexed="81"/>
            <rFont val="Tahoma"/>
            <family val="2"/>
          </rPr>
          <t>&lt;[[TCDeals] - [TC Property Current Stage (Seq: 1)] - [Actual Property Costs (Seq: 1)] Developer Fees - Both]&gt;</t>
        </r>
      </text>
    </comment>
    <comment ref="C432" authorId="0" shapeId="0" xr:uid="{D0C85303-9515-4784-B10A-F2ECCB59DF44}">
      <text>
        <r>
          <rPr>
            <b/>
            <sz val="9"/>
            <color indexed="81"/>
            <rFont val="Tahoma"/>
            <family val="2"/>
          </rPr>
          <t>&lt;[[TCDeals] - [TC Property Current Stage (Seq: 1)] - [Property Points (Seq: 1)] Developer Overhead - Both]&gt;</t>
        </r>
      </text>
    </comment>
    <comment ref="C433" authorId="0" shapeId="0" xr:uid="{55B252EE-9167-4989-91A5-495E00BC082D}">
      <text>
        <r>
          <rPr>
            <b/>
            <sz val="9"/>
            <color indexed="81"/>
            <rFont val="Tahoma"/>
            <family val="2"/>
          </rPr>
          <t>&lt;[[TCDeals] - [TC Property Current Stage (Seq: 1)] - [Property Points (Seq: 1)] Developer Profit - Both]&gt;</t>
        </r>
      </text>
    </comment>
    <comment ref="C434" authorId="0" shapeId="0" xr:uid="{1CE31F5E-B57E-496B-8E66-DAE608DF0671}">
      <text>
        <r>
          <rPr>
            <b/>
            <sz val="9"/>
            <color indexed="81"/>
            <rFont val="Tahoma"/>
            <family val="2"/>
          </rPr>
          <t>&lt;[[TCDeals] - [TC Property Current Stage (Seq: 1)] - [Property Points (Seq: 1)] PSH developer fee boost (up to 5%) - Both]&gt;</t>
        </r>
      </text>
    </comment>
    <comment ref="C435" authorId="0" shapeId="0" xr:uid="{4F5E23EF-35B9-44AE-8A45-3B964AC3928D}">
      <text>
        <r>
          <rPr>
            <b/>
            <sz val="9"/>
            <color indexed="81"/>
            <rFont val="Tahoma"/>
            <family val="2"/>
          </rPr>
          <t>&lt;[[TCDeals] - [TC Property Current Stage (Seq: 1)] - [Property Points (Seq: 1)] Third Party Development Management/Owner's Rep - Both]&gt;</t>
        </r>
      </text>
    </comment>
    <comment ref="C436" authorId="0" shapeId="0" xr:uid="{662BDEDF-AAA0-423F-8728-2EE958DE24FE}">
      <text>
        <r>
          <rPr>
            <b/>
            <sz val="9"/>
            <color indexed="81"/>
            <rFont val="Tahoma"/>
            <family val="2"/>
          </rPr>
          <t>&lt;[[TCDeals] - [TC Property Current Stage (Seq: 1)] - [Property Points (Seq: 1)] Financial/Tax Credit Consultant, Application Preparation, etc. - Both]&gt;</t>
        </r>
      </text>
    </comment>
    <comment ref="C437" authorId="0" shapeId="0" xr:uid="{DD0E1C75-5B81-4BE0-A1C4-47F374444D20}">
      <text>
        <r>
          <rPr>
            <b/>
            <sz val="9"/>
            <color indexed="81"/>
            <rFont val="Tahoma"/>
            <family val="2"/>
          </rPr>
          <t>&lt;[[TCDeals] - [TC Property Current Stage (Seq: 1)] - [Property Points (Seq: 1)] Other Consultant Fees - Both]&gt;</t>
        </r>
      </text>
    </comment>
    <comment ref="C438" authorId="0" shapeId="0" xr:uid="{1A474457-9ADB-4DBA-ACDD-4BCEB15EC3D8}">
      <text>
        <r>
          <rPr>
            <b/>
            <sz val="9"/>
            <color indexed="81"/>
            <rFont val="Tahoma"/>
            <family val="2"/>
          </rPr>
          <t>&lt;[[TCDeals] - [TC Property Current Stage (Seq: 1)] - [Property Points (Seq: 1)] Rent-up Reserves - Both]&gt;</t>
        </r>
      </text>
    </comment>
    <comment ref="C439" authorId="0" shapeId="0" xr:uid="{2E539AF1-EC72-43A5-89EB-20B55388564D}">
      <text>
        <r>
          <rPr>
            <b/>
            <sz val="9"/>
            <color indexed="81"/>
            <rFont val="Tahoma"/>
            <family val="2"/>
          </rPr>
          <t>&lt;[[TCDeals] - [TC Property Current Stage (Seq: 1)] - [Actual Property Costs (Seq: 1)] Oper Reserve - Both]&gt;</t>
        </r>
      </text>
    </comment>
    <comment ref="C440" authorId="0" shapeId="0" xr:uid="{A518EB8C-012C-4395-B014-69052383F1D7}">
      <text>
        <r>
          <rPr>
            <b/>
            <sz val="9"/>
            <color indexed="81"/>
            <rFont val="Tahoma"/>
            <family val="2"/>
          </rPr>
          <t>&lt;[[TCDeals] - [TC Property Current Stage (Seq: 1)] Replacement Reserves - Both]&gt;</t>
        </r>
      </text>
    </comment>
    <comment ref="C441" authorId="0" shapeId="0" xr:uid="{3F4BE609-469F-48A6-8B58-1A675E6D07AF}">
      <text>
        <r>
          <rPr>
            <b/>
            <sz val="9"/>
            <color indexed="81"/>
            <rFont val="Tahoma"/>
            <family val="2"/>
          </rPr>
          <t>&lt;[[TCDeals] - [TC Property Current Stage (Seq: 1)] - [Property Points (Seq: 1)] Debt Service Reserves - Both]&gt;</t>
        </r>
      </text>
    </comment>
    <comment ref="C442" authorId="0" shapeId="0" xr:uid="{190B870A-D7FA-4714-A410-FB1986A8198D}">
      <text>
        <r>
          <rPr>
            <b/>
            <sz val="9"/>
            <color indexed="81"/>
            <rFont val="Tahoma"/>
            <family val="2"/>
          </rPr>
          <t>&lt;[[TCDeals] - [TC Property Current Stage (Seq: 1)] - [Property Points (Seq: 1)] Operating Reserves - Both]&gt;</t>
        </r>
      </text>
    </comment>
    <comment ref="C443" authorId="0" shapeId="0" xr:uid="{C3016F21-E2A8-43D0-BE6B-6F457AC44604}">
      <text>
        <r>
          <rPr>
            <b/>
            <sz val="9"/>
            <color indexed="81"/>
            <rFont val="Tahoma"/>
            <family val="2"/>
          </rPr>
          <t>&lt;[[TCDeals] - [TC Property Current Stage (Seq: 1)] - [Property Points (Seq: 1)] Project Reserves Other 2 - Both]&gt;</t>
        </r>
      </text>
    </comment>
    <comment ref="C444" authorId="0" shapeId="0" xr:uid="{4049999D-2809-4461-8D7A-9EABA4BACB67}">
      <text>
        <r>
          <rPr>
            <b/>
            <sz val="9"/>
            <color indexed="81"/>
            <rFont val="Tahoma"/>
            <family val="2"/>
          </rPr>
          <t>&lt;[[TCDeals] - [TC Property Current Stage (Seq: 1)] - [Property Points (Seq: 1)] Total Project Costs - Both]&gt;</t>
        </r>
      </text>
    </comment>
    <comment ref="C445" authorId="0" shapeId="0" xr:uid="{737AA197-F785-453B-99CD-90615AEB65BA}">
      <text>
        <r>
          <rPr>
            <b/>
            <sz val="9"/>
            <color indexed="81"/>
            <rFont val="Tahoma"/>
            <family val="2"/>
          </rPr>
          <t>&lt;[[TCDeals] - [TC Property Current Stage (Seq: 1)] - [Property Points (Seq: 1)] 4% Eligible Basis - Both]&gt;</t>
        </r>
      </text>
    </comment>
    <comment ref="C446" authorId="0" shapeId="0" xr:uid="{E64D36E5-022A-4D19-BFE8-5A77CAEA643E}">
      <text>
        <r>
          <rPr>
            <b/>
            <sz val="9"/>
            <color indexed="81"/>
            <rFont val="Tahoma"/>
            <family val="2"/>
          </rPr>
          <t>&lt;[[TCDeals] - [TC Property Current Stage (Seq: 1)] - [Property Points (Seq: 1)] 9 Percent Eligible Basis - Both]&gt;</t>
        </r>
      </text>
    </comment>
    <comment ref="C447" authorId="0" shapeId="0" xr:uid="{070497CB-2EB8-4257-82AA-1AE5E2E373C9}">
      <text>
        <r>
          <rPr>
            <b/>
            <sz val="9"/>
            <color indexed="81"/>
            <rFont val="Tahoma"/>
            <family val="2"/>
          </rPr>
          <t>&lt;[[TCDeals] - [TC Property Current Stage (Seq: 1)] - [Property Points (Seq: 1)] Aggregate Basis for PAB-Financed Developments Only - Both]&gt;</t>
        </r>
      </text>
    </comment>
    <comment ref="C448" authorId="0" shapeId="0" xr:uid="{6CBB8152-9639-4826-AF77-D1B500F85419}">
      <text>
        <r>
          <rPr>
            <b/>
            <sz val="9"/>
            <color indexed="81"/>
            <rFont val="Tahoma"/>
            <family val="2"/>
          </rPr>
          <t>&lt;[[TCDeals] - [TC Property Current Stage (Seq: 1)] - [Property Points (Seq: 1)] Private Activity Bond Mortgage Amount - Both]&gt;</t>
        </r>
      </text>
    </comment>
    <comment ref="C449" authorId="0" shapeId="0" xr:uid="{C2C061F9-765E-4314-8EF7-5141753B2B54}">
      <text>
        <r>
          <rPr>
            <b/>
            <sz val="9"/>
            <color indexed="81"/>
            <rFont val="Tahoma"/>
            <family val="2"/>
          </rPr>
          <t>&lt;[[TCDeals] - [TC Property Current Stage (Seq: 1)] - [Property Points (Seq: 1)] Optional Field 468 - Both]&gt;</t>
        </r>
      </text>
    </comment>
    <comment ref="C450" authorId="0" shapeId="0" xr:uid="{AFA8CE07-75C9-400D-B67E-3FF87EE1F202}">
      <text>
        <r>
          <rPr>
            <b/>
            <sz val="9"/>
            <color indexed="81"/>
            <rFont val="Tahoma"/>
            <family val="2"/>
          </rPr>
          <t>&lt;[[TCDeals] - [TC Property Current Stage (Seq: 1)] - [Property Points (Seq: 1)] Hard Costs/Square Foot - Both]&gt;</t>
        </r>
      </text>
    </comment>
    <comment ref="C451" authorId="0" shapeId="0" xr:uid="{1E452E3A-25CE-438C-BA41-CE9ADDA417D2}">
      <text>
        <r>
          <rPr>
            <b/>
            <sz val="9"/>
            <color indexed="81"/>
            <rFont val="Tahoma"/>
            <family val="2"/>
          </rPr>
          <t>&lt;[[TCDeals] - [TC Property Current Stage (Seq: 1)] - [Property Points (Seq: 1)] Hard Costs/Unit - Both]&gt;</t>
        </r>
      </text>
    </comment>
    <comment ref="C452" authorId="0" shapeId="0" xr:uid="{43A16F64-573F-4359-A30B-933EC1DB3A62}">
      <text>
        <r>
          <rPr>
            <b/>
            <sz val="9"/>
            <color indexed="81"/>
            <rFont val="Tahoma"/>
            <family val="2"/>
          </rPr>
          <t>&lt;[[TCDeals] - [TC Property Current Stage (Seq: 1)] - [Property Points (Seq: 1)] Optional Field 459 - Both]&gt;</t>
        </r>
      </text>
    </comment>
    <comment ref="C453" authorId="0" shapeId="0" xr:uid="{E9C53475-4BAC-47CE-AD24-83B9965FADA5}">
      <text>
        <r>
          <rPr>
            <b/>
            <sz val="9"/>
            <color indexed="81"/>
            <rFont val="Tahoma"/>
            <family val="2"/>
          </rPr>
          <t>&lt;[[TCDeals] - [TC Property Current Stage (Seq: 1)] - [Property Points (Seq: 1)] Optional Field 460 - Both]&gt;</t>
        </r>
      </text>
    </comment>
    <comment ref="C454" authorId="0" shapeId="0" xr:uid="{C5E61F85-E4BC-46AD-9482-86677D060B8C}">
      <text>
        <r>
          <rPr>
            <b/>
            <sz val="9"/>
            <color indexed="81"/>
            <rFont val="Tahoma"/>
            <family val="2"/>
          </rPr>
          <t>&lt;[[TCDeals] - [TC Property Current Stage (Seq: 1)] - [Property Points (Seq: 1)] Dev Costs/Square Foot - Both]&gt;</t>
        </r>
      </text>
    </comment>
    <comment ref="C455" authorId="0" shapeId="0" xr:uid="{C100155E-3661-4FAA-9B6D-5E69032CE2C8}">
      <text>
        <r>
          <rPr>
            <b/>
            <sz val="9"/>
            <color indexed="81"/>
            <rFont val="Tahoma"/>
            <family val="2"/>
          </rPr>
          <t>&lt;[[TCDeals] - [TC Property Current Stage (Seq: 1)] - [Property Points (Seq: 1)] Dev Costs/Unit - Both]&gt;</t>
        </r>
      </text>
    </comment>
    <comment ref="C456" authorId="0" shapeId="0" xr:uid="{85186AB5-00AE-4F4A-B812-6B29E3993350}">
      <text>
        <r>
          <rPr>
            <b/>
            <sz val="9"/>
            <color indexed="81"/>
            <rFont val="Tahoma"/>
            <family val="2"/>
          </rPr>
          <t>&lt;[[TCDeals] - [TC Property Current Stage (Seq: 1)] - [Property Points (Seq: 1)] Reserves/Square Foot - Both]&gt;</t>
        </r>
      </text>
    </comment>
    <comment ref="C457" authorId="0" shapeId="0" xr:uid="{4FA2EE83-025E-49D3-8EA6-BF3D2FCC1C9E}">
      <text>
        <r>
          <rPr>
            <b/>
            <sz val="9"/>
            <color indexed="81"/>
            <rFont val="Tahoma"/>
            <family val="2"/>
          </rPr>
          <t>&lt;[[TCDeals] - [TC Property Current Stage (Seq: 1)] - [Property Points (Seq: 1)] Reserves/Unit - Both]&gt;</t>
        </r>
      </text>
    </comment>
    <comment ref="C458" authorId="0" shapeId="0" xr:uid="{08D2E655-9E5D-4C92-8C9B-CF1A8BB21171}">
      <text>
        <r>
          <rPr>
            <b/>
            <sz val="9"/>
            <color indexed="81"/>
            <rFont val="Tahoma"/>
            <family val="2"/>
          </rPr>
          <t>&lt;[[TCDeals] - [TC Property Current Stage (Seq: 1)] - [Property Points (Seq: 1)] Dev Fee/Square Foot - Both]&gt;</t>
        </r>
      </text>
    </comment>
    <comment ref="C459" authorId="0" shapeId="0" xr:uid="{F87CDB0F-39C0-4B12-B849-20889113DFB9}">
      <text>
        <r>
          <rPr>
            <b/>
            <sz val="9"/>
            <color indexed="81"/>
            <rFont val="Tahoma"/>
            <family val="2"/>
          </rPr>
          <t>&lt;[[TCDeals] - [TC Property Current Stage (Seq: 1)] - [Property Points (Seq: 1)] Dev Fee/Unit - Both]&gt;</t>
        </r>
      </text>
    </comment>
    <comment ref="C462" authorId="0" shapeId="0" xr:uid="{9D9C29C5-6740-43E5-895B-200F1A677162}">
      <text>
        <r>
          <rPr>
            <b/>
            <sz val="9"/>
            <color indexed="81"/>
            <rFont val="Tahoma"/>
            <family val="2"/>
          </rPr>
          <t>&lt;[[TCDeals] - [TC Property Current Stage (Seq: 1)] Finalized Accumulated Basis - Both]&gt;</t>
        </r>
      </text>
    </comment>
    <comment ref="C463" authorId="0" shapeId="0" xr:uid="{5504A0A6-9A00-43B3-8429-8B9045CA6E39}">
      <text>
        <r>
          <rPr>
            <b/>
            <sz val="9"/>
            <color indexed="81"/>
            <rFont val="Tahoma"/>
            <family val="2"/>
          </rPr>
          <t>&lt;[[TCDeals] - [TC Property Current Stage (Seq: 1)] Finalized Reasonably Expected Total Basis - Both]&gt;</t>
        </r>
      </text>
    </comment>
    <comment ref="C465" authorId="0" shapeId="0" xr:uid="{B41ABBA4-1C0F-4E67-8320-7F3AE67834F6}">
      <text>
        <r>
          <rPr>
            <b/>
            <sz val="9"/>
            <color indexed="81"/>
            <rFont val="Tahoma"/>
            <family val="2"/>
          </rPr>
          <t>&lt;[[TCDeals] - [TC Property Current Stage (Seq: 1)] - [TC Unit Detail (Seq: 1)] Issuing Authority - Both]&gt;</t>
        </r>
      </text>
    </comment>
    <comment ref="C466" authorId="0" shapeId="0" xr:uid="{78367758-D8E5-4F3F-83EA-D3691F0302FF}">
      <text>
        <r>
          <rPr>
            <b/>
            <sz val="9"/>
            <color indexed="81"/>
            <rFont val="Tahoma"/>
            <family val="2"/>
          </rPr>
          <t>&lt;[[TCDeals] - [TC Property Current Stage (Seq: 1)] - [TC Unit Detail (Seq: 1)] Income Percentage - Both]&gt;</t>
        </r>
      </text>
    </comment>
    <comment ref="C467" authorId="0" shapeId="0" xr:uid="{639BDF38-B5A2-48CA-AE18-B6E8F2C22EF9}">
      <text>
        <r>
          <rPr>
            <b/>
            <sz val="9"/>
            <color indexed="81"/>
            <rFont val="Tahoma"/>
            <family val="2"/>
          </rPr>
          <t>&lt;[[TCDeals] - [TC Property Current Stage (Seq: 1)] - [TC Unit Detail (Seq: 1)] Income Units - Both]&gt;</t>
        </r>
      </text>
    </comment>
    <comment ref="C468" authorId="0" shapeId="0" xr:uid="{6DB48AC5-5A87-4BA8-88BD-593F4F7A737E}">
      <text>
        <r>
          <rPr>
            <b/>
            <sz val="9"/>
            <color indexed="81"/>
            <rFont val="Tahoma"/>
            <family val="2"/>
          </rPr>
          <t>&lt;[[TCDeals] - [TC Property Current Stage (Seq: 1)] - [TC Unit Detail (Seq: 2)] Issuing Authority - Both]&gt;</t>
        </r>
      </text>
    </comment>
    <comment ref="C469" authorId="0" shapeId="0" xr:uid="{F63AFA72-A520-47EF-B1A1-FFCE52537637}">
      <text>
        <r>
          <rPr>
            <b/>
            <sz val="9"/>
            <color indexed="81"/>
            <rFont val="Tahoma"/>
            <family val="2"/>
          </rPr>
          <t>&lt;[[TCDeals] - [TC Property Current Stage (Seq: 1)] - [TC Unit Detail (Seq: 2)] Income Percentage - Both]&gt;</t>
        </r>
      </text>
    </comment>
    <comment ref="C470" authorId="0" shapeId="0" xr:uid="{EBAEC0D7-D95D-4D15-871C-3A7C860A505A}">
      <text>
        <r>
          <rPr>
            <b/>
            <sz val="9"/>
            <color indexed="81"/>
            <rFont val="Tahoma"/>
            <family val="2"/>
          </rPr>
          <t>&lt;[[TCDeals] - [TC Property Current Stage (Seq: 1)] - [TC Unit Detail (Seq: 2)] Income Units - Both]&gt;</t>
        </r>
      </text>
    </comment>
    <comment ref="C471" authorId="0" shapeId="0" xr:uid="{94E85930-BE1C-4CE5-91DA-C8AC2F34629D}">
      <text>
        <r>
          <rPr>
            <b/>
            <sz val="9"/>
            <color indexed="81"/>
            <rFont val="Tahoma"/>
            <family val="2"/>
          </rPr>
          <t>&lt;[[TCDeals] - [TC Property Current Stage (Seq: 1)] - [TC Unit Detail (Seq: 3)] Issuing Authority - Both]&gt;</t>
        </r>
      </text>
    </comment>
    <comment ref="C472" authorId="0" shapeId="0" xr:uid="{F0D45D72-50EA-40CA-96B8-178386D0634E}">
      <text>
        <r>
          <rPr>
            <b/>
            <sz val="9"/>
            <color indexed="81"/>
            <rFont val="Tahoma"/>
            <family val="2"/>
          </rPr>
          <t>&lt;[[TCDeals] - [TC Property Current Stage (Seq: 1)] - [TC Unit Detail (Seq: 3)] Income Percentage - Both]&gt;</t>
        </r>
      </text>
    </comment>
    <comment ref="C473" authorId="0" shapeId="0" xr:uid="{A6505BF3-049B-489B-A2AF-94FC8BE2D05A}">
      <text>
        <r>
          <rPr>
            <b/>
            <sz val="9"/>
            <color indexed="81"/>
            <rFont val="Tahoma"/>
            <family val="2"/>
          </rPr>
          <t>&lt;[[TCDeals] - [TC Property Current Stage (Seq: 1)] - [TC Unit Detail (Seq: 3)] Income Units - Both]&gt;</t>
        </r>
      </text>
    </comment>
    <comment ref="C474" authorId="0" shapeId="0" xr:uid="{4F6B624E-342A-484B-AFDB-59146D4C72DD}">
      <text>
        <r>
          <rPr>
            <b/>
            <sz val="9"/>
            <color indexed="81"/>
            <rFont val="Tahoma"/>
            <family val="2"/>
          </rPr>
          <t>&lt;[[TCDeals] - [TC Property Current Stage (Seq: 1)] - [TC Unit Detail (Seq: 4)] Issuing Authority - Both]&gt;</t>
        </r>
      </text>
    </comment>
    <comment ref="C475" authorId="0" shapeId="0" xr:uid="{4620799C-83BC-41CA-9B48-4494F8CC7A41}">
      <text>
        <r>
          <rPr>
            <b/>
            <sz val="9"/>
            <color indexed="81"/>
            <rFont val="Tahoma"/>
            <family val="2"/>
          </rPr>
          <t>&lt;[[TCDeals] - [TC Property Current Stage (Seq: 1)] - [TC Unit Detail (Seq: 4)] Income Percentage - Both]&gt;</t>
        </r>
      </text>
    </comment>
    <comment ref="C476" authorId="0" shapeId="0" xr:uid="{00AE769E-71D7-4CD8-84CE-4126B59ADC8F}">
      <text>
        <r>
          <rPr>
            <b/>
            <sz val="9"/>
            <color indexed="81"/>
            <rFont val="Tahoma"/>
            <family val="2"/>
          </rPr>
          <t>&lt;[[TCDeals] - [TC Property Current Stage (Seq: 1)] - [TC Unit Detail (Seq: 4)] Income Units - Both]&gt;</t>
        </r>
      </text>
    </comment>
    <comment ref="C477" authorId="0" shapeId="0" xr:uid="{A7012604-E7F5-414C-A51F-4CB65C41F202}">
      <text>
        <r>
          <rPr>
            <b/>
            <sz val="9"/>
            <color indexed="81"/>
            <rFont val="Tahoma"/>
            <family val="2"/>
          </rPr>
          <t>&lt;[[TCDeals] - [TC Property Current Stage (Seq: 1)] - [TC Unit Detail (Seq: 5)] Issuing Authority - Both]&gt;</t>
        </r>
      </text>
    </comment>
    <comment ref="C478" authorId="0" shapeId="0" xr:uid="{1098C428-3AC1-4607-A55F-5051261D3861}">
      <text>
        <r>
          <rPr>
            <b/>
            <sz val="9"/>
            <color indexed="81"/>
            <rFont val="Tahoma"/>
            <family val="2"/>
          </rPr>
          <t>&lt;[[TCDeals] - [TC Property Current Stage (Seq: 1)] - [TC Unit Detail (Seq: 5)] Income Percentage - Both]&gt;</t>
        </r>
      </text>
    </comment>
    <comment ref="C479" authorId="0" shapeId="0" xr:uid="{FBF3A5C3-E974-40CE-AD3A-BAD15696ED02}">
      <text>
        <r>
          <rPr>
            <b/>
            <sz val="9"/>
            <color indexed="81"/>
            <rFont val="Tahoma"/>
            <family val="2"/>
          </rPr>
          <t>&lt;[[TCDeals] - [TC Property Current Stage (Seq: 1)] - [TC Unit Detail (Seq: 5)] Income Units - Both]&gt;</t>
        </r>
      </text>
    </comment>
    <comment ref="C480" authorId="0" shapeId="0" xr:uid="{41D39894-6003-46F9-988B-12535C4033F3}">
      <text>
        <r>
          <rPr>
            <b/>
            <sz val="9"/>
            <color indexed="81"/>
            <rFont val="Tahoma"/>
            <family val="2"/>
          </rPr>
          <t>&lt;[[TCDeals] - [TC Property Current Stage (Seq: 1)] - [TC Unit Detail (Seq: 6)] Issuing Authority - Both]&gt;</t>
        </r>
      </text>
    </comment>
    <comment ref="C481" authorId="0" shapeId="0" xr:uid="{A9DA6049-AF45-41D3-B032-C5AF0CE75C72}">
      <text>
        <r>
          <rPr>
            <b/>
            <sz val="9"/>
            <color indexed="81"/>
            <rFont val="Tahoma"/>
            <family val="2"/>
          </rPr>
          <t>&lt;[[TCDeals] - [TC Property Current Stage (Seq: 1)] - [TC Unit Detail (Seq: 6)] Income Percentage - Both]&gt;</t>
        </r>
      </text>
    </comment>
    <comment ref="C482" authorId="0" shapeId="0" xr:uid="{3409014E-2721-4146-B54D-489F8D00EEB1}">
      <text>
        <r>
          <rPr>
            <b/>
            <sz val="9"/>
            <color indexed="81"/>
            <rFont val="Tahoma"/>
            <family val="2"/>
          </rPr>
          <t>&lt;[[TCDeals] - [TC Property Current Stage (Seq: 1)] - [TC Unit Detail (Seq: 6)] Income Units - Both]&gt;</t>
        </r>
      </text>
    </comment>
    <comment ref="C483" authorId="0" shapeId="0" xr:uid="{D312F8FC-84EF-4084-B25C-70F07625349C}">
      <text>
        <r>
          <rPr>
            <b/>
            <sz val="9"/>
            <color indexed="81"/>
            <rFont val="Tahoma"/>
            <family val="2"/>
          </rPr>
          <t>&lt;[[TCDeals] - [TC Property Current Stage (Seq: 1)] - [TC Unit Detail (Seq: 7)] Issuing Authority - Both]&gt;</t>
        </r>
      </text>
    </comment>
    <comment ref="C484" authorId="0" shapeId="0" xr:uid="{A57A7CC2-A4D2-410A-A727-4CD6B76D3038}">
      <text>
        <r>
          <rPr>
            <b/>
            <sz val="9"/>
            <color indexed="81"/>
            <rFont val="Tahoma"/>
            <family val="2"/>
          </rPr>
          <t>&lt;[[TCDeals] - [TC Property Current Stage (Seq: 1)] - [TC Unit Detail (Seq: 7)] Income Percentage - Both]&gt;</t>
        </r>
      </text>
    </comment>
    <comment ref="C485" authorId="0" shapeId="0" xr:uid="{6A12F888-2B14-47F6-A7D7-DD15E6083851}">
      <text>
        <r>
          <rPr>
            <b/>
            <sz val="9"/>
            <color indexed="81"/>
            <rFont val="Tahoma"/>
            <family val="2"/>
          </rPr>
          <t>&lt;[[TCDeals] - [TC Property Current Stage (Seq: 1)] - [TC Unit Detail (Seq: 7)] Income Units - Both]&gt;</t>
        </r>
      </text>
    </comment>
    <comment ref="C486" authorId="0" shapeId="0" xr:uid="{833B97EA-86CD-4AA7-A0C6-F71F3E00BEFC}">
      <text>
        <r>
          <rPr>
            <b/>
            <sz val="9"/>
            <color indexed="81"/>
            <rFont val="Tahoma"/>
            <family val="2"/>
          </rPr>
          <t>&lt;[[TCDeals] - [TC Property Current Stage (Seq: 1)] - [TC Unit Detail (Seq: 8)] Issuing Authority - Both]&gt;</t>
        </r>
      </text>
    </comment>
    <comment ref="C487" authorId="0" shapeId="0" xr:uid="{F55D8866-631F-4A71-80BD-B03B644784BD}">
      <text>
        <r>
          <rPr>
            <b/>
            <sz val="9"/>
            <color indexed="81"/>
            <rFont val="Tahoma"/>
            <family val="2"/>
          </rPr>
          <t>&lt;[[TCDeals] - [TC Property Current Stage (Seq: 1)] - [TC Unit Detail (Seq: 8)] Income Percentage - Both]&gt;</t>
        </r>
      </text>
    </comment>
    <comment ref="C488" authorId="0" shapeId="0" xr:uid="{96C33B0C-F89F-4C56-9E8B-31B49C935E08}">
      <text>
        <r>
          <rPr>
            <b/>
            <sz val="9"/>
            <color indexed="81"/>
            <rFont val="Tahoma"/>
            <family val="2"/>
          </rPr>
          <t>&lt;[[TCDeals] - [TC Property Current Stage (Seq: 1)] - [TC Unit Detail (Seq: 8)] Income Units - Both]&gt;</t>
        </r>
      </text>
    </comment>
    <comment ref="C490" authorId="0" shapeId="0" xr:uid="{2BA418A4-C420-4D35-A46E-FF78BEAD8721}">
      <text>
        <r>
          <rPr>
            <b/>
            <sz val="9"/>
            <color indexed="81"/>
            <rFont val="Tahoma"/>
            <family val="2"/>
          </rPr>
          <t>&lt;[[TCDeals] - [TC Property Current Stage (Seq: 1)] - [Property Points (Seq: 1)] Total Employee units - Both]&gt;</t>
        </r>
      </text>
    </comment>
    <comment ref="C491" authorId="0" shapeId="0" xr:uid="{9C083A0E-06BC-409E-8EAD-09DF3A46FBD1}">
      <text>
        <r>
          <rPr>
            <b/>
            <sz val="9"/>
            <color indexed="81"/>
            <rFont val="Tahoma"/>
            <family val="2"/>
          </rPr>
          <t>&lt;[[TCDeals] - [TC Property Current Stage (Seq: 1)] Total Floor Sq Ft - Both]&gt;</t>
        </r>
      </text>
    </comment>
    <comment ref="C492" authorId="0" shapeId="0" xr:uid="{429F5B82-A475-474F-A987-98F030D73D5A}">
      <text>
        <r>
          <rPr>
            <b/>
            <sz val="9"/>
            <color indexed="81"/>
            <rFont val="Tahoma"/>
            <family val="2"/>
          </rPr>
          <t>&lt;[[TCDeals] - [TC Property Current Stage (Seq: 1)] Total Units - Both]&gt;</t>
        </r>
      </text>
    </comment>
    <comment ref="C493" authorId="0" shapeId="0" xr:uid="{F28B6FC5-3CF4-4A8D-BD58-A28A1CCFFBDE}">
      <text>
        <r>
          <rPr>
            <b/>
            <sz val="9"/>
            <color indexed="81"/>
            <rFont val="Tahoma"/>
            <family val="2"/>
          </rPr>
          <t>&lt;[[TCDeals] - [TC Property Current Stage (Seq: 1)] Total Allowance0 BR - Both]&gt;</t>
        </r>
      </text>
    </comment>
    <comment ref="C494" authorId="0" shapeId="0" xr:uid="{05F4D520-E9ED-48E4-9064-0D17C84FA44D}">
      <text>
        <r>
          <rPr>
            <b/>
            <sz val="9"/>
            <color indexed="81"/>
            <rFont val="Tahoma"/>
            <family val="2"/>
          </rPr>
          <t>&lt;[[TCDeals] - [TC Property Current Stage (Seq: 1)] Total Allowance1 BR - Both]&gt;</t>
        </r>
      </text>
    </comment>
    <comment ref="C495" authorId="0" shapeId="0" xr:uid="{2705110C-663F-4EB0-9BAB-281F89F31E1E}">
      <text>
        <r>
          <rPr>
            <b/>
            <sz val="9"/>
            <color indexed="81"/>
            <rFont val="Tahoma"/>
            <family val="2"/>
          </rPr>
          <t>&lt;[[TCDeals] - [TC Property Current Stage (Seq: 1)] Total Allowance2 BR - Both]&gt;</t>
        </r>
      </text>
    </comment>
    <comment ref="C496" authorId="0" shapeId="0" xr:uid="{E57C39DE-F1E3-4F2C-A90B-B6C98596E6AE}">
      <text>
        <r>
          <rPr>
            <b/>
            <sz val="9"/>
            <color indexed="81"/>
            <rFont val="Tahoma"/>
            <family val="2"/>
          </rPr>
          <t>&lt;[[TCDeals] - [TC Property Current Stage (Seq: 1)] Total Allowance3 BR - Both]&gt;</t>
        </r>
      </text>
    </comment>
    <comment ref="C497" authorId="0" shapeId="0" xr:uid="{617B3D2C-FFEF-483A-94A3-930782E41803}">
      <text>
        <r>
          <rPr>
            <b/>
            <sz val="9"/>
            <color indexed="81"/>
            <rFont val="Tahoma"/>
            <family val="2"/>
          </rPr>
          <t>&lt;[[TCDeals] - [TC Property Current Stage (Seq: 1)] Total Allowance4 BR - Both]&gt;</t>
        </r>
      </text>
    </comment>
    <comment ref="C498" authorId="0" shapeId="0" xr:uid="{91B4550E-7894-452F-B487-21A3F58F3A00}">
      <text>
        <r>
          <rPr>
            <b/>
            <sz val="9"/>
            <color indexed="81"/>
            <rFont val="Tahoma"/>
            <family val="2"/>
          </rPr>
          <t>&lt;[[TCDeals] - [TC Property Current Stage (Seq: 1)] - [Property Points (Seq: 1)] Total Allowance 5BR - Both]&gt;</t>
        </r>
      </text>
    </comment>
    <comment ref="C499" authorId="0" shapeId="0" xr:uid="{40066AE8-DF46-4187-8144-7559468E8E3D}">
      <text>
        <r>
          <rPr>
            <b/>
            <sz val="9"/>
            <color indexed="81"/>
            <rFont val="Tahoma"/>
            <family val="2"/>
          </rPr>
          <t>&lt;[[TCDeals] - [TC Property Current Stage (Seq: 1)] - [Property Points (Seq: 1)] Is Do Rents Include Utilities? - Both]&gt;</t>
        </r>
      </text>
    </comment>
    <comment ref="C500" authorId="0" shapeId="0" xr:uid="{ADE795E0-934E-4133-9EB8-035E154DBF0F}">
      <text>
        <r>
          <rPr>
            <b/>
            <sz val="9"/>
            <color indexed="81"/>
            <rFont val="Tahoma"/>
            <family val="2"/>
          </rPr>
          <t>&lt;[[TCDeals] - [TC Property Current Stage (Seq: 1)] - [Property Points (Seq: 1)] Total Residential SF - Both]&gt;</t>
        </r>
      </text>
    </comment>
    <comment ref="C501" authorId="0" shapeId="0" xr:uid="{3749BDBA-626E-44DE-B0EB-6C0C2AF60A51}">
      <text>
        <r>
          <rPr>
            <b/>
            <sz val="9"/>
            <color indexed="81"/>
            <rFont val="Tahoma"/>
            <family val="2"/>
          </rPr>
          <t>&lt;[[TCDeals] - [TC Property Current Stage (Seq: 1)] - [Property Points (Seq: 1)] Total Employee SF - Both]&gt;</t>
        </r>
      </text>
    </comment>
    <comment ref="C502" authorId="0" shapeId="0" xr:uid="{D3917661-46F7-4A21-B0F7-9379F2504558}">
      <text>
        <r>
          <rPr>
            <b/>
            <sz val="9"/>
            <color indexed="81"/>
            <rFont val="Tahoma"/>
            <family val="2"/>
          </rPr>
          <t>&lt;[[TCDeals] - [TC Property Current Stage (Seq: 1)] - [Property Points (Seq: 1)] Common Space SF - Both]&gt;</t>
        </r>
      </text>
    </comment>
    <comment ref="C503" authorId="0" shapeId="0" xr:uid="{37978988-FF61-4132-8717-9D0E414CAB0F}">
      <text>
        <r>
          <rPr>
            <b/>
            <sz val="9"/>
            <color indexed="81"/>
            <rFont val="Tahoma"/>
            <family val="2"/>
          </rPr>
          <t>&lt;[[TCDeals] - [TC Property Current Stage (Seq: 1)] Total Low Income Units - Both]&gt;</t>
        </r>
      </text>
    </comment>
    <comment ref="C504" authorId="0" shapeId="0" xr:uid="{59168418-A195-4D5D-9D18-B89654BA13C0}">
      <text>
        <r>
          <rPr>
            <b/>
            <sz val="9"/>
            <color indexed="81"/>
            <rFont val="Tahoma"/>
            <family val="2"/>
          </rPr>
          <t>&lt;[[TCDeals] - [TC Property Current Stage (Seq: 1)] Commercial Sq Ft - Both]&gt;</t>
        </r>
      </text>
    </comment>
    <comment ref="C505" authorId="0" shapeId="0" xr:uid="{D9A52AE9-2C23-4CED-A85B-D3AEE1CC409C}">
      <text>
        <r>
          <rPr>
            <b/>
            <sz val="9"/>
            <color indexed="81"/>
            <rFont val="Tahoma"/>
            <family val="2"/>
          </rPr>
          <t>&lt;[[TCDeals] - [TC Property Current Stage (Seq: 1)] TC Net Rentable SF - Both]&gt;</t>
        </r>
      </text>
    </comment>
    <comment ref="C506" authorId="0" shapeId="0" xr:uid="{BA051946-955D-46B9-B427-9ADC706190BE}">
      <text>
        <r>
          <rPr>
            <b/>
            <sz val="9"/>
            <color indexed="81"/>
            <rFont val="Tahoma"/>
            <family val="2"/>
          </rPr>
          <t>&lt;[[TCDeals] - [TC Property Current Stage (Seq: 1)] Mkt Net Rentable SF - Both]&gt;</t>
        </r>
      </text>
    </comment>
    <comment ref="C507" authorId="0" shapeId="0" xr:uid="{5BE67F60-EBB4-4948-BA37-A098E5BE98F7}">
      <text>
        <r>
          <rPr>
            <b/>
            <sz val="9"/>
            <color indexed="81"/>
            <rFont val="Tahoma"/>
            <family val="2"/>
          </rPr>
          <t>&lt;[[TCDeals] - [TC Property Current Stage (Seq: 1)] Floor Space Fraction - Both]&gt;</t>
        </r>
      </text>
    </comment>
    <comment ref="C508" authorId="0" shapeId="0" xr:uid="{37C6BF1C-6873-4974-A2F1-E4EF247195F1}">
      <text>
        <r>
          <rPr>
            <b/>
            <sz val="9"/>
            <color indexed="81"/>
            <rFont val="Tahoma"/>
            <family val="2"/>
          </rPr>
          <t>&lt;[[TCDeals] - [TC Property Current Stage (Seq: 1)] Total Bedrooms - Both]&gt;</t>
        </r>
      </text>
    </comment>
    <comment ref="C510" authorId="0" shapeId="0" xr:uid="{56ABCC42-CEE1-4FC1-B55F-00EFA47F1DDB}">
      <text>
        <r>
          <rPr>
            <b/>
            <sz val="9"/>
            <color indexed="81"/>
            <rFont val="Tahoma"/>
            <family val="2"/>
          </rPr>
          <t>&lt;[[TCDeals] - [TC Property Current Stage (Seq: 1)] Extended Use Restriction - Both]&gt;</t>
        </r>
      </text>
    </comment>
    <comment ref="C511" authorId="0" shapeId="0" xr:uid="{F1F5AE0E-17BF-42B3-B4E0-9A4A7E0709D3}">
      <text>
        <r>
          <rPr>
            <b/>
            <sz val="9"/>
            <color indexed="81"/>
            <rFont val="Tahoma"/>
            <family val="2"/>
          </rPr>
          <t>&lt;[[TCDeals] - [TC Property Current Stage (Seq: 1)] Total Score - Both]&gt;</t>
        </r>
      </text>
    </comment>
    <comment ref="C512" authorId="0" shapeId="0" xr:uid="{3BB6CC8D-22C0-4BE0-8920-A9D6B3B85D28}">
      <text>
        <r>
          <rPr>
            <b/>
            <sz val="9"/>
            <color indexed="81"/>
            <rFont val="Tahoma"/>
            <family val="2"/>
          </rPr>
          <t>&lt;[[TCDeals] - [TC Property Current Stage (Seq: 1)] - [Property Points (Seq: 1)] Is Threshold: 40% at 60% of Area Median Income - Both]&gt;</t>
        </r>
      </text>
    </comment>
    <comment ref="C513" authorId="0" shapeId="0" xr:uid="{7678553D-F13B-4A3A-BFB5-2EA6C14B2CD4}">
      <text>
        <r>
          <rPr>
            <b/>
            <sz val="9"/>
            <color indexed="81"/>
            <rFont val="Tahoma"/>
            <family val="2"/>
          </rPr>
          <t>&lt;[[TCDeals] - [TC Property Current Stage (Seq: 1)] - [Property Points (Seq: 1)] Is Threshold: 20% at 50% of Area Median Income - Both]&gt;</t>
        </r>
      </text>
    </comment>
    <comment ref="C514" authorId="0" shapeId="0" xr:uid="{638BD83A-1667-4A39-AE11-6B7300FF3734}">
      <text>
        <r>
          <rPr>
            <b/>
            <sz val="9"/>
            <color indexed="81"/>
            <rFont val="Tahoma"/>
            <family val="2"/>
          </rPr>
          <t>&lt;[[TCDeals] - [TC Property Current Stage (Seq: 1)] - [Property Points (Seq: 1)] Is Optional Field 452 - Both]&gt;</t>
        </r>
      </text>
    </comment>
    <comment ref="C515" authorId="0" shapeId="0" xr:uid="{CBF8AFFC-BAEC-40C7-9810-1CBC64909BCA}">
      <text>
        <r>
          <rPr>
            <b/>
            <sz val="9"/>
            <color indexed="81"/>
            <rFont val="Tahoma"/>
            <family val="2"/>
          </rPr>
          <t>&lt;[[TCDeals] - [TC Property Current Stage (Seq: 1)] - [Property Points (Seq: 1)] Optional Field 469 - Both]&gt;</t>
        </r>
      </text>
    </comment>
    <comment ref="C516" authorId="0" shapeId="0" xr:uid="{3E7ACF03-92E0-4BE1-B0FC-8F45BF7C106C}">
      <text>
        <r>
          <rPr>
            <b/>
            <sz val="9"/>
            <color indexed="81"/>
            <rFont val="Tahoma"/>
            <family val="2"/>
          </rPr>
          <t>&lt;[[TCDeals] - [TC Property Current Stage (Seq: 1)] - [Property Score (Seq: 1)] Bonus A - Both]&gt;</t>
        </r>
      </text>
    </comment>
    <comment ref="C517" authorId="0" shapeId="0" xr:uid="{AC285633-E2D3-40D6-BC2C-6449E401BD0A}">
      <text>
        <r>
          <rPr>
            <b/>
            <sz val="9"/>
            <color indexed="81"/>
            <rFont val="Tahoma"/>
            <family val="2"/>
          </rPr>
          <t>&lt;[[TCDeals] - [TC Property Current Stage (Seq: 1)] - [Property Score (Seq: 1)] Bonus B - Both]&gt;</t>
        </r>
      </text>
    </comment>
    <comment ref="C518" authorId="0" shapeId="0" xr:uid="{45D760E6-DE6B-4262-8A40-1F744EAC1D64}">
      <text>
        <r>
          <rPr>
            <b/>
            <sz val="9"/>
            <color indexed="81"/>
            <rFont val="Tahoma"/>
            <family val="2"/>
          </rPr>
          <t>&lt;[[TCDeals] - [TC Property Current Stage (Seq: 1)] - [Property Score (Seq: 1)] Bonus C - Both]&gt;</t>
        </r>
      </text>
    </comment>
    <comment ref="C519" authorId="0" shapeId="0" xr:uid="{9B5ABF85-688C-4D71-A2FF-60B8544F3E7B}">
      <text>
        <r>
          <rPr>
            <b/>
            <sz val="9"/>
            <color indexed="81"/>
            <rFont val="Tahoma"/>
            <family val="2"/>
          </rPr>
          <t>&lt;[[TCDeals] - [TC Property Current Stage (Seq: 1)] - [Property Score (Seq: 1)] Bonus D - Both]&gt;</t>
        </r>
      </text>
    </comment>
    <comment ref="C520" authorId="0" shapeId="0" xr:uid="{6A06AFA8-636B-45FE-B6CD-09E708E0EDEB}">
      <text>
        <r>
          <rPr>
            <b/>
            <sz val="9"/>
            <color indexed="81"/>
            <rFont val="Tahoma"/>
            <family val="2"/>
          </rPr>
          <t>&lt;[[TCDeals] - [TC Property Current Stage (Seq: 1)] - [Property Score (Seq: 1)] Bonus E - Both]&gt;</t>
        </r>
      </text>
    </comment>
    <comment ref="C521" authorId="0" shapeId="0" xr:uid="{591EDEAB-21CE-499C-89E2-963654027AA6}">
      <text>
        <r>
          <rPr>
            <b/>
            <sz val="9"/>
            <color indexed="81"/>
            <rFont val="Tahoma"/>
            <family val="2"/>
          </rPr>
          <t>&lt;[[TCDeals] - [TC Property Current Stage (Seq: 1)] - [Property Score (Seq: 1)] Bonus F - Both]&gt;</t>
        </r>
      </text>
    </comment>
    <comment ref="C522" authorId="0" shapeId="0" xr:uid="{2BF6BB27-0B05-412B-826A-126B046ABF68}">
      <text>
        <r>
          <rPr>
            <b/>
            <sz val="9"/>
            <color indexed="81"/>
            <rFont val="Tahoma"/>
            <family val="2"/>
          </rPr>
          <t>&lt;[[TCDeals] - [TC Property Current Stage (Seq: 1)] - [Property Score (Seq: 1)] Bonus G - Both]&gt;</t>
        </r>
      </text>
    </comment>
    <comment ref="C523" authorId="0" shapeId="0" xr:uid="{B4558E34-420D-4CE6-806B-05A075107977}">
      <text>
        <r>
          <rPr>
            <b/>
            <sz val="9"/>
            <color indexed="81"/>
            <rFont val="Tahoma"/>
            <family val="2"/>
          </rPr>
          <t>&lt;[[TCDeals] - [TC Property Current Stage (Seq: 1)] - [Property Score (Seq: 1)] Bonus H - Both]&gt;</t>
        </r>
      </text>
    </comment>
    <comment ref="C524" authorId="0" shapeId="0" xr:uid="{AAE7B0A3-3019-4A5B-AA9D-5B0B829D0F78}">
      <text>
        <r>
          <rPr>
            <b/>
            <sz val="9"/>
            <color indexed="81"/>
            <rFont val="Tahoma"/>
            <family val="2"/>
          </rPr>
          <t>&lt;[[TCDeals] - [TC Property Current Stage (Seq: 1)] - [Property Score (Seq: 1)] Bonus K - Both]&gt;</t>
        </r>
      </text>
    </comment>
    <comment ref="C525" authorId="0" shapeId="0" xr:uid="{3AF71094-6319-4CE0-9EC6-7F4F4D658C15}">
      <text>
        <r>
          <rPr>
            <b/>
            <sz val="9"/>
            <color indexed="81"/>
            <rFont val="Tahoma"/>
            <family val="2"/>
          </rPr>
          <t>&lt;[[TCDeals] - [TC Property Current Stage (Seq: 1)] - [Property Score (Seq: 1)] Bonus M - Both]&gt;</t>
        </r>
      </text>
    </comment>
    <comment ref="C526" authorId="0" shapeId="0" xr:uid="{7E559095-5C32-43C8-A009-8B808744F55D}">
      <text>
        <r>
          <rPr>
            <b/>
            <sz val="9"/>
            <color indexed="81"/>
            <rFont val="Tahoma"/>
            <family val="2"/>
          </rPr>
          <t>&lt;[[TCDeals] - [TC Property Current Stage (Seq: 1)] - [Property Score (Seq: 1)] Housing Needs A - Both]&gt;</t>
        </r>
      </text>
    </comment>
    <comment ref="C527" authorId="0" shapeId="0" xr:uid="{9EE6A225-CB75-4236-9F6C-0208D1C29DB1}">
      <text>
        <r>
          <rPr>
            <b/>
            <sz val="9"/>
            <color indexed="81"/>
            <rFont val="Tahoma"/>
            <family val="2"/>
          </rPr>
          <t>&lt;[[TCDeals] - [TC Property Current Stage (Seq: 1)] - [Property Score (Seq: 1)] Housing Needs B - Both]&gt;</t>
        </r>
      </text>
    </comment>
    <comment ref="C528" authorId="0" shapeId="0" xr:uid="{1E0978A5-FA31-4537-889E-245A01C5F71F}">
      <text>
        <r>
          <rPr>
            <b/>
            <sz val="9"/>
            <color indexed="81"/>
            <rFont val="Tahoma"/>
            <family val="2"/>
          </rPr>
          <t>&lt;[[TCDeals] - [TC Property Current Stage (Seq: 1)] - [Property Score (Seq: 1)] Housing Needs C - Both]&gt;</t>
        </r>
      </text>
    </comment>
    <comment ref="C529" authorId="0" shapeId="0" xr:uid="{3B0F1676-33F7-4170-B0D1-D7DCA7FE7986}">
      <text>
        <r>
          <rPr>
            <b/>
            <sz val="9"/>
            <color indexed="81"/>
            <rFont val="Tahoma"/>
            <family val="2"/>
          </rPr>
          <t>&lt;[[TCDeals] - [TC Property Current Stage (Seq: 1)] - [Property Score (Seq: 1)] Housing Needs D - Both]&gt;</t>
        </r>
      </text>
    </comment>
    <comment ref="C530" authorId="0" shapeId="0" xr:uid="{05CC1DA8-37A0-4D95-BE14-84F67B51C3CB}">
      <text>
        <r>
          <rPr>
            <b/>
            <sz val="9"/>
            <color indexed="81"/>
            <rFont val="Tahoma"/>
            <family val="2"/>
          </rPr>
          <t>&lt;[[TCDeals] - [TC Property Current Stage (Seq: 1)] - [Property Score (Seq: 1)] Dev Char A - Both]&gt;</t>
        </r>
      </text>
    </comment>
    <comment ref="C531" authorId="0" shapeId="0" xr:uid="{F51DFE0B-F687-4C69-9552-6136B9F8D4F9}">
      <text>
        <r>
          <rPr>
            <b/>
            <sz val="9"/>
            <color indexed="81"/>
            <rFont val="Tahoma"/>
            <family val="2"/>
          </rPr>
          <t>&lt;[[TCDeals] - [TC Property Current Stage (Seq: 1)] - [Property Score (Seq: 1)] Dev Char B - Both]&gt;</t>
        </r>
      </text>
    </comment>
    <comment ref="C532" authorId="0" shapeId="0" xr:uid="{FE2A68EE-8E21-4A90-B069-4A675555AFBE}">
      <text>
        <r>
          <rPr>
            <b/>
            <sz val="9"/>
            <color indexed="81"/>
            <rFont val="Tahoma"/>
            <family val="2"/>
          </rPr>
          <t>&lt;[[TCDeals] - [TC Property Current Stage (Seq: 1)] - [Property Score (Seq: 1)] Dev Char C - Both]&gt;</t>
        </r>
      </text>
    </comment>
    <comment ref="C533" authorId="0" shapeId="0" xr:uid="{15621177-C997-4938-BDCA-66B8D239B348}">
      <text>
        <r>
          <rPr>
            <b/>
            <sz val="9"/>
            <color indexed="81"/>
            <rFont val="Tahoma"/>
            <family val="2"/>
          </rPr>
          <t>&lt;[[TCDeals] - [TC Property Current Stage (Seq: 1)] - [Property Score (Seq: 1)] Dev Char D - Both]&gt;</t>
        </r>
      </text>
    </comment>
    <comment ref="C534" authorId="0" shapeId="0" xr:uid="{FE1B7283-91F0-4568-BFDC-D063F7236518}">
      <text>
        <r>
          <rPr>
            <b/>
            <sz val="9"/>
            <color indexed="81"/>
            <rFont val="Tahoma"/>
            <family val="2"/>
          </rPr>
          <t>&lt;[[TCDeals] - [TC Property Current Stage (Seq: 1)] - [Property Score (Seq: 1)] Dev Char E - Both]&gt;</t>
        </r>
      </text>
    </comment>
    <comment ref="C535" authorId="0" shapeId="0" xr:uid="{F0150116-2BCC-4321-94FF-F9A2B763586B}">
      <text>
        <r>
          <rPr>
            <b/>
            <sz val="9"/>
            <color indexed="81"/>
            <rFont val="Tahoma"/>
            <family val="2"/>
          </rPr>
          <t>&lt;[[TCDeals] - [TC Property Current Stage (Seq: 1)] - [Property Score (Seq: 1)] Dev Char F - Both]&gt;</t>
        </r>
      </text>
    </comment>
    <comment ref="C536" authorId="0" shapeId="0" xr:uid="{5BA58652-22C5-4970-82A9-CB217708F5D3}">
      <text>
        <r>
          <rPr>
            <b/>
            <sz val="9"/>
            <color indexed="81"/>
            <rFont val="Tahoma"/>
            <family val="2"/>
          </rPr>
          <t>&lt;[[TCDeals] - [TC Property Current Stage (Seq: 1)] - [Property Score (Seq: 1)] Dev Char G - Both]&gt;</t>
        </r>
      </text>
    </comment>
    <comment ref="C537" authorId="0" shapeId="0" xr:uid="{C9F7747B-DBBE-451D-9B77-DB27424C6EB6}">
      <text>
        <r>
          <rPr>
            <b/>
            <sz val="9"/>
            <color indexed="81"/>
            <rFont val="Tahoma"/>
            <family val="2"/>
          </rPr>
          <t>&lt;[[TCDeals] - [TC Property Current Stage (Seq: 1)] - [Property Score (Seq: 1)] Dev Char H - Both]&gt;</t>
        </r>
      </text>
    </comment>
    <comment ref="C538" authorId="3" shapeId="0" xr:uid="{74C92545-C938-4E5C-9A1E-EE0418819C87}">
      <text>
        <r>
          <rPr>
            <b/>
            <sz val="9"/>
            <color indexed="81"/>
            <rFont val="Tahoma"/>
            <family val="2"/>
          </rPr>
          <t>&lt;[[TCDeals] - [TC Property Current Stage (Seq: 1)] - [Property Score (Seq: 1)] Dev Char I - Both]&gt;</t>
        </r>
      </text>
    </comment>
    <comment ref="C539" authorId="3" shapeId="0" xr:uid="{06B9EB84-B570-4D9C-B848-EA6172D9930C}">
      <text>
        <r>
          <rPr>
            <b/>
            <sz val="9"/>
            <color indexed="81"/>
            <rFont val="Tahoma"/>
            <family val="2"/>
          </rPr>
          <t>&lt;[[TCDeals] - [TC Property Current Stage (Seq: 1)] - [Property Score (Seq: 1)] Dev Char J - Both]&gt;</t>
        </r>
      </text>
    </comment>
    <comment ref="C540" authorId="2" shapeId="0" xr:uid="{59189BB6-DE95-4A4A-8853-49F6AAF0E0A2}">
      <text>
        <r>
          <rPr>
            <b/>
            <sz val="9"/>
            <color indexed="81"/>
            <rFont val="Tahoma"/>
            <family val="2"/>
          </rPr>
          <t>&lt;[[TCDeals] - [TC Property Current Stage (Seq: 1)] - [Property Score (Seq: 1)] Dev Char K - Both]&gt;</t>
        </r>
      </text>
    </comment>
    <comment ref="C541" authorId="0" shapeId="0" xr:uid="{8E9372FE-F4C9-46A5-A75C-FD7FEB766C59}">
      <text>
        <r>
          <rPr>
            <b/>
            <sz val="9"/>
            <color indexed="81"/>
            <rFont val="Tahoma"/>
            <family val="2"/>
          </rPr>
          <t>&lt;[[TCDeals] - [TC Property Current Stage (Seq: 1)] - [Property Score (Seq: 1)] Sponsor Char A - Both]&gt;</t>
        </r>
      </text>
    </comment>
    <comment ref="C542" authorId="0" shapeId="0" xr:uid="{262D8E22-B913-42AC-BB0B-B8D96467F5E4}">
      <text>
        <r>
          <rPr>
            <b/>
            <sz val="9"/>
            <color indexed="81"/>
            <rFont val="Tahoma"/>
            <family val="2"/>
          </rPr>
          <t>&lt;[[TCDeals] - [TC Property Current Stage (Seq: 1)] - [Property Score (Seq: 1)] Tenant Char A - Both]&gt;</t>
        </r>
      </text>
    </comment>
    <comment ref="C543" authorId="0" shapeId="0" xr:uid="{36D8DB5C-2664-4B23-A130-BF85C6DE4602}">
      <text>
        <r>
          <rPr>
            <b/>
            <sz val="9"/>
            <color indexed="81"/>
            <rFont val="Tahoma"/>
            <family val="2"/>
          </rPr>
          <t>&lt;[[TCDeals] - [TC Property Current Stage (Seq: 1)] - [Property Points (Seq: 1)] Applicant/Sponsor Organization - Both]&gt;</t>
        </r>
      </text>
    </comment>
    <comment ref="C544" authorId="0" shapeId="0" xr:uid="{4DD0E17E-7557-4456-BDD4-C94C8B277BEE}">
      <text>
        <r>
          <rPr>
            <b/>
            <sz val="9"/>
            <color indexed="81"/>
            <rFont val="Tahoma"/>
            <family val="2"/>
          </rPr>
          <t>&lt;[[TCDeals] - [TC Property Current Stage (Seq: 1)] - [Property Points (Seq: 1)] Applicant/Sponsor Contact First Name - Both]&gt;</t>
        </r>
      </text>
    </comment>
    <comment ref="C545" authorId="0" shapeId="0" xr:uid="{6A9603DA-99BD-4176-93F3-735250F44CEB}">
      <text>
        <r>
          <rPr>
            <b/>
            <sz val="9"/>
            <color indexed="81"/>
            <rFont val="Tahoma"/>
            <family val="2"/>
          </rPr>
          <t>&lt;[[TCDeals] - [TC Property Current Stage (Seq: 1)] - [Property Points (Seq: 1)] Applicant/Sponsor Contact Last Name - Both]&gt;</t>
        </r>
      </text>
    </comment>
    <comment ref="C546" authorId="0" shapeId="0" xr:uid="{4BFE5953-6A52-4A80-86B0-FC0EC792FA48}">
      <text>
        <r>
          <rPr>
            <b/>
            <sz val="9"/>
            <color indexed="81"/>
            <rFont val="Tahoma"/>
            <family val="2"/>
          </rPr>
          <t>&lt;[[TCDeals] - [TC Property Current Stage (Seq: 1)] - [Property Points (Seq: 1)] Applicant/Sponsor Address - Both]&gt;</t>
        </r>
      </text>
    </comment>
    <comment ref="C547" authorId="0" shapeId="0" xr:uid="{371CF4FB-342F-4CFD-9CCE-87CA8E3244DF}">
      <text>
        <r>
          <rPr>
            <b/>
            <sz val="9"/>
            <color indexed="81"/>
            <rFont val="Tahoma"/>
            <family val="2"/>
          </rPr>
          <t>&lt;[[TCDeals] - [TC Property Current Stage (Seq: 1)] - [Property Points (Seq: 1)] Applicant/Sponsor City - Both]&gt;</t>
        </r>
      </text>
    </comment>
    <comment ref="C548" authorId="0" shapeId="0" xr:uid="{58C76A72-4861-4FCE-8F84-554597FA7E75}">
      <text>
        <r>
          <rPr>
            <b/>
            <sz val="9"/>
            <color indexed="81"/>
            <rFont val="Tahoma"/>
            <family val="2"/>
          </rPr>
          <t>&lt;[[TCDeals] - [TC Property Current Stage (Seq: 1)] - [Property Points (Seq: 1)] Applicant/Sponsor Phone # - Both]&gt;</t>
        </r>
      </text>
    </comment>
    <comment ref="C549" authorId="0" shapeId="0" xr:uid="{98303806-5868-4A76-A283-72501F134484}">
      <text>
        <r>
          <rPr>
            <b/>
            <sz val="9"/>
            <color indexed="81"/>
            <rFont val="Tahoma"/>
            <family val="2"/>
          </rPr>
          <t>&lt;[[TCDeals] - [TC Property Current Stage (Seq: 1)] - [Property Points (Seq: 1)] Applicant/Sponsor Email - Both]&gt;</t>
        </r>
      </text>
    </comment>
    <comment ref="C550" authorId="0" shapeId="0" xr:uid="{0DC25B0F-4F9D-4E95-895A-4547BA9AAD1A}">
      <text>
        <r>
          <rPr>
            <b/>
            <sz val="9"/>
            <color indexed="81"/>
            <rFont val="Tahoma"/>
            <family val="2"/>
          </rPr>
          <t>&lt;[[TCDeals] - [TC Property Current Stage (Seq: 1)] - [Property Points (Seq: 1)] Applicant/Sponsor State - Both]&gt;</t>
        </r>
      </text>
    </comment>
    <comment ref="C551" authorId="0" shapeId="0" xr:uid="{6B990B07-186C-42B9-B4C6-F3F5A2647E4F}">
      <text>
        <r>
          <rPr>
            <b/>
            <sz val="9"/>
            <color indexed="81"/>
            <rFont val="Tahoma"/>
            <family val="2"/>
          </rPr>
          <t>&lt;[[TCDeals] - [TC Property Current Stage (Seq: 1)] - [Property Points (Seq: 1)] Applicant/Sponsor Zip Code - Both]&gt;</t>
        </r>
      </text>
    </comment>
    <comment ref="C552" authorId="1" shapeId="0" xr:uid="{C6C9B9C3-DE27-4335-AEED-6210C22D93BB}">
      <text>
        <r>
          <rPr>
            <b/>
            <sz val="9"/>
            <color indexed="81"/>
            <rFont val="Tahoma"/>
            <family val="2"/>
          </rPr>
          <t>&lt;[[TCDeals] - [TC Property Current Stage (Seq: 1)] - [Property Points (Seq: 1)] Applicant racial/ethnic composition - Both]&gt;</t>
        </r>
      </text>
    </comment>
    <comment ref="C553" authorId="1" shapeId="0" xr:uid="{EC3B12FC-51DA-4C77-BC2B-15698F0ED4B1}">
      <text>
        <r>
          <rPr>
            <b/>
            <sz val="9"/>
            <color indexed="81"/>
            <rFont val="Tahoma"/>
            <family val="2"/>
          </rPr>
          <t>&lt;[[TCDeals] - [TC Property Current Stage (Seq: 1)] - [Property Points (Seq: 1)] Applicant gender composition - Both]&gt;</t>
        </r>
      </text>
    </comment>
    <comment ref="C554" authorId="2" shapeId="0" xr:uid="{B4F64405-A218-459B-9C10-56E9713CF813}">
      <text>
        <r>
          <rPr>
            <b/>
            <sz val="9"/>
            <color indexed="81"/>
            <rFont val="Tahoma"/>
            <family val="2"/>
          </rPr>
          <t>&lt;[[TCDeals] - [TC Property Current Stage (Seq: 1)] - [TC Property Current Stage - User Defined Field Values (Seq: 1)] Custom Fields - Affiliate of the Applicant Org Name - Both]&gt;</t>
        </r>
      </text>
    </comment>
    <comment ref="C555" authorId="2" shapeId="0" xr:uid="{83684E63-9649-4411-9DEF-10941691ED06}">
      <text>
        <r>
          <rPr>
            <b/>
            <sz val="9"/>
            <color indexed="81"/>
            <rFont val="Tahoma"/>
            <family val="2"/>
          </rPr>
          <t>&lt;[[TCDeals] - [TC Property Current Stage (Seq: 1)] - [TC Property Current Stage - User Defined Field Values (Seq: 1)] Custom Fields - Affiliate of the Applicant Address - Both]&gt;</t>
        </r>
      </text>
    </comment>
    <comment ref="C556" authorId="2" shapeId="0" xr:uid="{9806B02E-BE8F-4A23-8E69-073C01C75A33}">
      <text>
        <r>
          <rPr>
            <b/>
            <sz val="9"/>
            <color indexed="81"/>
            <rFont val="Tahoma"/>
            <family val="2"/>
          </rPr>
          <t>&lt;[[TCDeals] - [TC Property Current Stage (Seq: 1)] - [TC Property Current Stage - User Defined Field Values (Seq: 1)] Custom Fields - Affiliate of the Applicant City - Both]&gt;</t>
        </r>
      </text>
    </comment>
    <comment ref="C557" authorId="2" shapeId="0" xr:uid="{386450A2-0663-42FD-B87D-9CE9196768E5}">
      <text>
        <r>
          <rPr>
            <b/>
            <sz val="9"/>
            <color indexed="81"/>
            <rFont val="Tahoma"/>
            <family val="2"/>
          </rPr>
          <t>&lt;[[TCDeals] - [TC Property Current Stage (Seq: 1)] - [TC Property Current Stage - User Defined Field Values (Seq: 1)] Custom Fields - Affiliate of the Applicant State - Both]&gt;</t>
        </r>
      </text>
    </comment>
    <comment ref="C558" authorId="2" shapeId="0" xr:uid="{3A4F4F0C-9487-4BCB-B185-BF214025F8B1}">
      <text>
        <r>
          <rPr>
            <b/>
            <sz val="9"/>
            <color indexed="81"/>
            <rFont val="Tahoma"/>
            <family val="2"/>
          </rPr>
          <t>&lt;[[TCDeals] - [TC Property Current Stage (Seq: 1)] - [TC Property Current Stage - User Defined Field Values (Seq: 1)] Custom Fields - Affiliate of the Applicant Zip - Both]&gt;</t>
        </r>
      </text>
    </comment>
    <comment ref="C559" authorId="2" shapeId="0" xr:uid="{FFC1A649-0A4D-4B51-A114-0F5C9646707E}">
      <text>
        <r>
          <rPr>
            <b/>
            <sz val="9"/>
            <color indexed="81"/>
            <rFont val="Tahoma"/>
            <family val="2"/>
          </rPr>
          <t>&lt;[[TCDeals] - [TC Property Current Stage (Seq: 1)] - [TC Property Current Stage - User Defined Field Values (Seq: 1)] Custom Fields - Affiliate of the Applicant Contact First Name - Both]&gt;</t>
        </r>
      </text>
    </comment>
    <comment ref="C560" authorId="2" shapeId="0" xr:uid="{47F328ED-4418-4A10-A600-107FF9B09F2E}">
      <text>
        <r>
          <rPr>
            <b/>
            <sz val="9"/>
            <color indexed="81"/>
            <rFont val="Tahoma"/>
            <family val="2"/>
          </rPr>
          <t>&lt;[[TCDeals] - [TC Property Current Stage (Seq: 1)] - [TC Property Current Stage - User Defined Field Values (Seq: 1)] Custom Fields - Affiliate of the Applicant Contact Last Name - Both]&gt;</t>
        </r>
      </text>
    </comment>
    <comment ref="C561" authorId="2" shapeId="0" xr:uid="{D91EEAAE-3EF2-4364-89B2-24A700C82C51}">
      <text>
        <r>
          <rPr>
            <b/>
            <sz val="9"/>
            <color indexed="81"/>
            <rFont val="Tahoma"/>
            <family val="2"/>
          </rPr>
          <t>&lt;[[TCDeals] - [TC Property Current Stage (Seq: 1)] - [TC Property Current Stage - User Defined Field Values (Seq: 1)] Custom Fields - Affiliate of the Applicant Phone - Both]&gt;</t>
        </r>
      </text>
    </comment>
    <comment ref="C562" authorId="2" shapeId="0" xr:uid="{03FE932F-370C-4D48-A36B-F0819A3C1392}">
      <text>
        <r>
          <rPr>
            <b/>
            <sz val="9"/>
            <color indexed="81"/>
            <rFont val="Tahoma"/>
            <family val="2"/>
          </rPr>
          <t>&lt;[[TCDeals] - [TC Property Current Stage (Seq: 1)] - [TC Property Current Stage - User Defined Field Values (Seq: 1)] Custom Fields - Affiliate of the Applicant Email - Both]&gt;</t>
        </r>
      </text>
    </comment>
    <comment ref="C563" authorId="2" shapeId="0" xr:uid="{B1DD4B22-88C3-4140-B576-EFB926ED30FC}">
      <text>
        <r>
          <rPr>
            <b/>
            <sz val="9"/>
            <color indexed="81"/>
            <rFont val="Tahoma"/>
            <family val="2"/>
          </rPr>
          <t>&lt;[[TCDeals] - [TC Property Current Stage (Seq: 1)] - [TC Property Current Stage - User Defined Field Values (Seq: 1)] Custom Fields - Affiliate of the Applicant racial/ethnic comp - Both]&gt;</t>
        </r>
      </text>
    </comment>
    <comment ref="C564" authorId="2" shapeId="0" xr:uid="{30410558-09F2-4C38-AB07-7C38B13F8B60}">
      <text>
        <r>
          <rPr>
            <b/>
            <sz val="9"/>
            <color indexed="81"/>
            <rFont val="Tahoma"/>
            <family val="2"/>
          </rPr>
          <t>&lt;[[TCDeals] - [TC Property Current Stage (Seq: 1)] - [TC Property Current Stage - User Defined Field Values (Seq: 1)] Custom Fields - Affiliate of the Applicant gender comp - Both]&gt;</t>
        </r>
      </text>
    </comment>
    <comment ref="C565" authorId="0" shapeId="0" xr:uid="{0026AAA0-53C4-40C6-BA68-B1913ABA62FC}">
      <text>
        <r>
          <rPr>
            <b/>
            <sz val="9"/>
            <color indexed="81"/>
            <rFont val="Tahoma"/>
            <family val="2"/>
          </rPr>
          <t>&lt;[[TCDeals] - [TC Property Current Stage (Seq: 1)] Owner Name - Both]&gt;</t>
        </r>
      </text>
    </comment>
    <comment ref="C566" authorId="0" shapeId="0" xr:uid="{848E222B-9285-4DA9-BC68-E31104221409}">
      <text>
        <r>
          <rPr>
            <b/>
            <sz val="9"/>
            <color indexed="81"/>
            <rFont val="Tahoma"/>
            <family val="2"/>
          </rPr>
          <t>&lt;[[TCDeals] - [TC Property Current Stage (Seq: 1)] Owner Contact First Name - Both]&gt;</t>
        </r>
      </text>
    </comment>
    <comment ref="C567" authorId="0" shapeId="0" xr:uid="{D5ABAD21-4075-40C5-85A6-A8C179D54BE9}">
      <text>
        <r>
          <rPr>
            <b/>
            <sz val="9"/>
            <color indexed="81"/>
            <rFont val="Tahoma"/>
            <family val="2"/>
          </rPr>
          <t>&lt;[[TCDeals] - [TC Property Current Stage (Seq: 1)] Owner Contact Last Name - Both]&gt;</t>
        </r>
      </text>
    </comment>
    <comment ref="C568" authorId="0" shapeId="0" xr:uid="{F4E2DD78-E409-44FA-9285-3D9DDFFFFA8D}">
      <text>
        <r>
          <rPr>
            <b/>
            <sz val="9"/>
            <color indexed="81"/>
            <rFont val="Tahoma"/>
            <family val="2"/>
          </rPr>
          <t>&lt;[[TCDeals] - [TC Property Current Stage (Seq: 1)] Owner Address - Both]&gt;</t>
        </r>
      </text>
    </comment>
    <comment ref="C569" authorId="0" shapeId="0" xr:uid="{EAF56B6A-E851-4DBF-9C1C-A6BE4188C67E}">
      <text>
        <r>
          <rPr>
            <b/>
            <sz val="9"/>
            <color indexed="81"/>
            <rFont val="Tahoma"/>
            <family val="2"/>
          </rPr>
          <t>&lt;[[TCDeals] - [TC Property Current Stage (Seq: 1)] Owner City - Both]&gt;</t>
        </r>
      </text>
    </comment>
    <comment ref="C570" authorId="2" shapeId="0" xr:uid="{8CEE24D3-443A-4256-B884-B584729A0D4C}">
      <text>
        <r>
          <rPr>
            <b/>
            <sz val="9"/>
            <color indexed="81"/>
            <rFont val="Tahoma"/>
            <charset val="1"/>
          </rPr>
          <t>&lt;[[TCDeals] - [TC Property Current Stage (Seq: 1)] Owner State - Both]&gt;</t>
        </r>
      </text>
    </comment>
    <comment ref="C571" authorId="0" shapeId="0" xr:uid="{4C3C76FB-67D4-4644-877D-EACBA36FF85E}">
      <text>
        <r>
          <rPr>
            <b/>
            <sz val="9"/>
            <color indexed="81"/>
            <rFont val="Tahoma"/>
            <family val="2"/>
          </rPr>
          <t>&lt;[[TCDeals] - [TC Property Current Stage (Seq: 1)] Owner Zip - Both]&gt;</t>
        </r>
      </text>
    </comment>
    <comment ref="C572" authorId="0" shapeId="0" xr:uid="{E15A52A6-965C-4CD4-B2C6-BAA306262836}">
      <text>
        <r>
          <rPr>
            <b/>
            <sz val="9"/>
            <color indexed="81"/>
            <rFont val="Tahoma"/>
            <family val="2"/>
          </rPr>
          <t>&lt;[[TCDeals] - [TC Property Current Stage (Seq: 1)] Owner Fed Tax Id Number - Both]&gt;</t>
        </r>
      </text>
    </comment>
    <comment ref="C573" authorId="0" shapeId="0" xr:uid="{BA88CF6A-8EF4-48B8-B034-DD35AD45D0F9}">
      <text>
        <r>
          <rPr>
            <b/>
            <sz val="9"/>
            <color indexed="81"/>
            <rFont val="Tahoma"/>
            <family val="2"/>
          </rPr>
          <t>&lt;[[TCDeals] - [TC Property Current Stage (Seq: 1)] Owner Phone - Both]&gt;</t>
        </r>
      </text>
    </comment>
    <comment ref="C574" authorId="0" shapeId="0" xr:uid="{545AA95F-923A-4EC1-AB83-6BC7459AF30C}">
      <text>
        <r>
          <rPr>
            <b/>
            <sz val="9"/>
            <color indexed="81"/>
            <rFont val="Tahoma"/>
            <family val="2"/>
          </rPr>
          <t>&lt;[[TCDeals] - [TC Property Current Stage (Seq: 1)] Owner Email - Both]&gt;</t>
        </r>
      </text>
    </comment>
    <comment ref="C575" authorId="0" shapeId="0" xr:uid="{A210F44A-47F7-4993-A453-79D0E083A8C2}">
      <text>
        <r>
          <rPr>
            <b/>
            <sz val="9"/>
            <color indexed="81"/>
            <rFont val="Tahoma"/>
            <family val="2"/>
          </rPr>
          <t>&lt;[[TCDeals] - [TC Property Current Stage (Seq: 1)] - [Property Points (Seq: 1)] Optional Field 461 - Both]&gt;</t>
        </r>
      </text>
    </comment>
    <comment ref="C576" authorId="1" shapeId="0" xr:uid="{5EDC9F8D-1169-41C7-940C-E83E32720DC2}">
      <text>
        <r>
          <rPr>
            <b/>
            <sz val="9"/>
            <color indexed="81"/>
            <rFont val="Tahoma"/>
            <family val="2"/>
          </rPr>
          <t>&lt;[[TCDeals] - [TC Property Current Stage (Seq: 1)] - [Property Points (Seq: 1)] OWNER Name(s) and State(s) of previous LIHTC properties2 - Both]&gt;</t>
        </r>
      </text>
    </comment>
    <comment ref="C577" authorId="1" shapeId="0" xr:uid="{419FAA1C-E74C-492B-A9E4-2E8200390C28}">
      <text>
        <r>
          <rPr>
            <b/>
            <sz val="9"/>
            <color indexed="81"/>
            <rFont val="Tahoma"/>
            <family val="2"/>
          </rPr>
          <t>&lt;[[TCDeals] - [TC Property Current Stage (Seq: 1)] - [Property Points (Seq: 1)] Owner racial/ethnic composition - Both]&gt;</t>
        </r>
      </text>
    </comment>
    <comment ref="C578" authorId="1" shapeId="0" xr:uid="{DBCC0DD1-B6C7-4BAC-B055-3B092AFBB15A}">
      <text>
        <r>
          <rPr>
            <b/>
            <sz val="9"/>
            <color indexed="81"/>
            <rFont val="Tahoma"/>
            <family val="2"/>
          </rPr>
          <t>&lt;[[TCDeals] - [TC Property Current Stage (Seq: 1)] - [Property Points (Seq: 1)] Owner gender composition - Both]&gt;</t>
        </r>
      </text>
    </comment>
    <comment ref="C579" authorId="0" shapeId="0" xr:uid="{273B7A1D-72B5-4093-8D8D-75C87B101C80}">
      <text>
        <r>
          <rPr>
            <b/>
            <sz val="9"/>
            <color indexed="81"/>
            <rFont val="Tahoma"/>
            <family val="2"/>
          </rPr>
          <t>&lt;[[TCDeals] - [TC Property Current Stage (Seq: 1)] Is Non Profit Involvement - Both]&gt;</t>
        </r>
      </text>
    </comment>
    <comment ref="C580" authorId="0" shapeId="0" xr:uid="{A8B2ACE7-7F92-4E77-927E-48E815F93D66}">
      <text>
        <r>
          <rPr>
            <b/>
            <sz val="9"/>
            <color indexed="81"/>
            <rFont val="Tahoma"/>
            <family val="2"/>
          </rPr>
          <t>&lt;[[TCDeals] - [TC Property Current Stage (Seq: 1)] Contractor Contact Name - Both]&gt;</t>
        </r>
      </text>
    </comment>
    <comment ref="C581" authorId="0" shapeId="0" xr:uid="{628FC45C-2678-49F8-8C22-AEB13FB5A7AD}">
      <text>
        <r>
          <rPr>
            <b/>
            <sz val="9"/>
            <color indexed="81"/>
            <rFont val="Tahoma"/>
            <family val="2"/>
          </rPr>
          <t>&lt;[[TCDeals] - [TC Property Current Stage (Seq: 1)] Contractor Firm Name - Both]&gt;</t>
        </r>
      </text>
    </comment>
    <comment ref="C582" authorId="0" shapeId="0" xr:uid="{CAC11E6E-29BC-4D34-9539-B6A63E008401}">
      <text>
        <r>
          <rPr>
            <b/>
            <sz val="9"/>
            <color indexed="81"/>
            <rFont val="Tahoma"/>
            <family val="2"/>
          </rPr>
          <t>&lt;[[TCDeals] - [TC Property Current Stage (Seq: 1)] Mgt Entity Contact Name - Both]&gt;</t>
        </r>
      </text>
    </comment>
    <comment ref="C583" authorId="0" shapeId="0" xr:uid="{B6240601-6202-40A7-949E-075F66939438}">
      <text>
        <r>
          <rPr>
            <b/>
            <sz val="9"/>
            <color indexed="81"/>
            <rFont val="Tahoma"/>
            <family val="2"/>
          </rPr>
          <t>&lt;[[TCDeals] - [TC Property Current Stage (Seq: 1)] Mgt Entity Firm Name - Both]&gt;</t>
        </r>
      </text>
    </comment>
    <comment ref="C584" authorId="0" shapeId="0" xr:uid="{7CD96426-6957-4D5E-8BA1-8B85243CE4F2}">
      <text>
        <r>
          <rPr>
            <b/>
            <sz val="9"/>
            <color indexed="81"/>
            <rFont val="Tahoma"/>
            <family val="2"/>
          </rPr>
          <t>&lt;[[TCDeals] - [TC Property Current Stage (Seq: 1)] - [Property Points (Seq: 1)] Management Contact Email - Both]&gt;</t>
        </r>
      </text>
    </comment>
    <comment ref="C585" authorId="0" shapeId="0" xr:uid="{27B6FD8C-676B-403A-99D7-A5372701F792}">
      <text>
        <r>
          <rPr>
            <b/>
            <sz val="9"/>
            <color indexed="81"/>
            <rFont val="Tahoma"/>
            <family val="2"/>
          </rPr>
          <t>&lt;[[TCDeals] - [TC Property Current Stage (Seq: 1)] - [Property Points (Seq: 1)] Management Contact Phone - Both]&gt;</t>
        </r>
      </text>
    </comment>
    <comment ref="C586" authorId="0" shapeId="0" xr:uid="{50E955D9-514A-4F25-BE2E-6213CEC174D4}">
      <text>
        <r>
          <rPr>
            <b/>
            <sz val="9"/>
            <color indexed="81"/>
            <rFont val="Tahoma"/>
            <family val="2"/>
          </rPr>
          <t>&lt;[[TCDeals] - [TC Property Current Stage (Seq: 1)] Consultant Contact Name - Both]&gt;</t>
        </r>
      </text>
    </comment>
    <comment ref="C587" authorId="0" shapeId="0" xr:uid="{3EF8CBB4-2961-42D3-8169-130F791592C1}">
      <text>
        <r>
          <rPr>
            <b/>
            <sz val="9"/>
            <color indexed="81"/>
            <rFont val="Tahoma"/>
            <family val="2"/>
          </rPr>
          <t>&lt;[[TCDeals] - [TC Property Current Stage (Seq: 1)] Consultant Firm Name - Both]&gt;</t>
        </r>
      </text>
    </comment>
    <comment ref="C588" authorId="0" shapeId="0" xr:uid="{8171FBCE-8C72-4F9B-ACF4-19FF8B045EDD}">
      <text>
        <r>
          <rPr>
            <b/>
            <sz val="9"/>
            <color indexed="81"/>
            <rFont val="Tahoma"/>
            <family val="2"/>
          </rPr>
          <t>&lt;[[TCDeals] - [TC Property Current Stage (Seq: 1)] Tax Accountant Contact Name - Both]&gt;</t>
        </r>
      </text>
    </comment>
    <comment ref="C589" authorId="0" shapeId="0" xr:uid="{09DC72B1-E02E-42E7-B542-623BC09D945C}">
      <text>
        <r>
          <rPr>
            <b/>
            <sz val="9"/>
            <color indexed="81"/>
            <rFont val="Tahoma"/>
            <family val="2"/>
          </rPr>
          <t>&lt;[[TCDeals] - [TC Property Current Stage (Seq: 1)] Tax Accountant Firm Name - Both]&gt;</t>
        </r>
      </text>
    </comment>
    <comment ref="C590" authorId="0" shapeId="0" xr:uid="{FA778CCA-3A6B-4F0C-A66F-B459BA29E01B}">
      <text>
        <r>
          <rPr>
            <b/>
            <sz val="9"/>
            <color indexed="81"/>
            <rFont val="Tahoma"/>
            <family val="2"/>
          </rPr>
          <t>&lt;[[TCDeals] - [TC Property Current Stage (Seq: 1)] Architect Contact Name - Both]&gt;</t>
        </r>
      </text>
    </comment>
    <comment ref="C591" authorId="0" shapeId="0" xr:uid="{9D437406-7403-4242-8320-9173ADCF6AC9}">
      <text>
        <r>
          <rPr>
            <b/>
            <sz val="9"/>
            <color indexed="81"/>
            <rFont val="Tahoma"/>
            <family val="2"/>
          </rPr>
          <t>&lt;[[TCDeals] - [TC Property Current Stage (Seq: 1)] Architect Firm Name - Both]&gt;</t>
        </r>
      </text>
    </comment>
    <comment ref="C592" authorId="0" shapeId="0" xr:uid="{4937C3F5-DFED-4235-BABD-698BDB1F30C5}">
      <text>
        <r>
          <rPr>
            <b/>
            <sz val="9"/>
            <color indexed="81"/>
            <rFont val="Tahoma"/>
            <family val="2"/>
          </rPr>
          <t>&lt;[[TCDeals] - [TC Property Current Stage (Seq: 1)] Non Profit Name - Both]&gt;</t>
        </r>
      </text>
    </comment>
    <comment ref="C593" authorId="0" shapeId="0" xr:uid="{8929D144-BBBB-4FA5-9DC3-5F03D538CD88}">
      <text>
        <r>
          <rPr>
            <b/>
            <sz val="9"/>
            <color indexed="81"/>
            <rFont val="Tahoma"/>
            <family val="2"/>
          </rPr>
          <t>&lt;[[TCDeals] - [TC Property Current Stage (Seq: 1)] Syndicator - Both]&gt;</t>
        </r>
      </text>
    </comment>
    <comment ref="C594" authorId="0" shapeId="0" xr:uid="{56840161-5368-4042-9DC2-8311E0472197}">
      <text>
        <r>
          <rPr>
            <b/>
            <sz val="9"/>
            <color indexed="81"/>
            <rFont val="Tahoma"/>
            <family val="2"/>
          </rPr>
          <t>&lt;[[TCDeals] - [TC Property Current Stage (Seq: 1)] - [Property Points (Seq: 1)] 3rd Party Estimator Name - Both]&gt;</t>
        </r>
      </text>
    </comment>
    <comment ref="C595" authorId="1" shapeId="0" xr:uid="{FB489BCF-A96E-42DE-AEC0-C5987E4F0981}">
      <text>
        <r>
          <rPr>
            <b/>
            <sz val="9"/>
            <color indexed="81"/>
            <rFont val="Tahoma"/>
            <family val="2"/>
          </rPr>
          <t>&lt;[[TCDeals] - [TC Property Current Stage (Seq: 1)] - [Property Points (Seq: 1)] Construction Lender - Both]&gt;</t>
        </r>
      </text>
    </comment>
    <comment ref="C596" authorId="1" shapeId="0" xr:uid="{AA98BEC9-756A-4FAF-A87F-D8CF9C350D28}">
      <text>
        <r>
          <rPr>
            <b/>
            <sz val="9"/>
            <color indexed="81"/>
            <rFont val="Tahoma"/>
            <family val="2"/>
          </rPr>
          <t>&lt;[[TCDeals] - [TC Property Current Stage (Seq: 1)] - [Property Points (Seq: 1)] Developer Org - Both]&gt;</t>
        </r>
      </text>
    </comment>
    <comment ref="C597" authorId="1" shapeId="0" xr:uid="{777B80A7-E753-4D8E-BBC0-50C1885414AE}">
      <text>
        <r>
          <rPr>
            <b/>
            <sz val="9"/>
            <color indexed="81"/>
            <rFont val="Tahoma"/>
            <family val="2"/>
          </rPr>
          <t>&lt;[[TCDeals] - [TC Property Current Stage (Seq: 1)] - [Property Points (Seq: 1)] Developer First Name - Both]&gt;</t>
        </r>
      </text>
    </comment>
    <comment ref="C598" authorId="1" shapeId="0" xr:uid="{7F5AB4D4-9C0F-4692-8D75-0E2287DA293A}">
      <text>
        <r>
          <rPr>
            <b/>
            <sz val="9"/>
            <color indexed="81"/>
            <rFont val="Tahoma"/>
            <family val="2"/>
          </rPr>
          <t>&lt;[[TCDeals] - [TC Property Current Stage (Seq: 1)] - [Property Points (Seq: 1)] Developer Last Name - Both]&gt;</t>
        </r>
      </text>
    </comment>
    <comment ref="C599" authorId="1" shapeId="0" xr:uid="{FF65BFD0-3C43-478A-B911-282FEF0A1ACA}">
      <text>
        <r>
          <rPr>
            <b/>
            <sz val="9"/>
            <color indexed="81"/>
            <rFont val="Tahoma"/>
            <family val="2"/>
          </rPr>
          <t>&lt;[[TCDeals] - [TC Property Current Stage (Seq: 1)] - [Property Points (Seq: 1)] Developer Phone - Both]&gt;</t>
        </r>
      </text>
    </comment>
    <comment ref="C600" authorId="1" shapeId="0" xr:uid="{E654BB81-C703-4717-875E-9646D4A4E202}">
      <text>
        <r>
          <rPr>
            <b/>
            <sz val="9"/>
            <color indexed="81"/>
            <rFont val="Tahoma"/>
            <family val="2"/>
          </rPr>
          <t>&lt;[[TCDeals] - [TC Property Current Stage (Seq: 1)] - [Property Points (Seq: 1)] Developer Email - Both]&gt;</t>
        </r>
      </text>
    </comment>
    <comment ref="C601" authorId="1" shapeId="0" xr:uid="{B396BE3D-25A7-4444-AFB3-1EBB79BB835B}">
      <text>
        <r>
          <rPr>
            <b/>
            <sz val="9"/>
            <color indexed="81"/>
            <rFont val="Tahoma"/>
            <family val="2"/>
          </rPr>
          <t>&lt;[[TCDeals] - [TC Property Current Stage (Seq: 1)] - [Property Points (Seq: 1)] 3RD PARTY Name(s) and State(s) of previous LIHTC properties - Both]&gt;</t>
        </r>
      </text>
    </comment>
    <comment ref="C602" authorId="1" shapeId="0" xr:uid="{57D75772-0382-4B34-AF91-0A40D344F61C}">
      <text>
        <r>
          <rPr>
            <b/>
            <sz val="9"/>
            <color indexed="81"/>
            <rFont val="Tahoma"/>
            <family val="2"/>
          </rPr>
          <t>&lt;[[TCDeals] - [TC Property Current Stage (Seq: 1)] - [Property Points (Seq: 1)] Developer racial/ethnic composition - Both]&gt;</t>
        </r>
      </text>
    </comment>
    <comment ref="C603" authorId="1" shapeId="0" xr:uid="{54C25C53-32DD-4C70-A4CD-FB78BA253007}">
      <text>
        <r>
          <rPr>
            <b/>
            <sz val="9"/>
            <color indexed="81"/>
            <rFont val="Tahoma"/>
            <family val="2"/>
          </rPr>
          <t>&lt;[[TCDeals] - [TC Property Current Stage (Seq: 1)] - [Property Points (Seq: 1)] Developer gender composition - Both]&gt;</t>
        </r>
      </text>
    </comment>
    <comment ref="C604" authorId="1" shapeId="0" xr:uid="{9E201594-482C-48CC-90DE-7643B301553C}">
      <text>
        <r>
          <rPr>
            <b/>
            <sz val="9"/>
            <color indexed="81"/>
            <rFont val="Tahoma"/>
            <family val="2"/>
          </rPr>
          <t>&lt;[[TCDeals] - [TC Property Current Stage (Seq: 1)] - [Property Points (Seq: 1)] General Partner Contact to be Published Org - Both]&gt;</t>
        </r>
      </text>
    </comment>
    <comment ref="C605" authorId="1" shapeId="0" xr:uid="{5D2CDFF7-8D0C-4699-8EBF-0F98F8F1369C}">
      <text>
        <r>
          <rPr>
            <b/>
            <sz val="9"/>
            <color indexed="81"/>
            <rFont val="Tahoma"/>
            <family val="2"/>
          </rPr>
          <t>&lt;[[TCDeals] - [TC Property Current Stage (Seq: 1)] - [Property Points (Seq: 1)] General Partner Contact to be Published First Name - Both]&gt;</t>
        </r>
      </text>
    </comment>
    <comment ref="C606" authorId="1" shapeId="0" xr:uid="{C4D4BE14-9B2A-44E1-A1F6-D4C642A012A1}">
      <text>
        <r>
          <rPr>
            <b/>
            <sz val="9"/>
            <color indexed="81"/>
            <rFont val="Tahoma"/>
            <family val="2"/>
          </rPr>
          <t>&lt;[[TCDeals] - [TC Property Current Stage (Seq: 1)] - [Property Points (Seq: 1)] General Partner Contact to be Published Last Name - Both]&gt;</t>
        </r>
      </text>
    </comment>
    <comment ref="C607" authorId="1" shapeId="0" xr:uid="{19A9BB75-F94D-4382-8A14-2C13E4633FCA}">
      <text>
        <r>
          <rPr>
            <b/>
            <sz val="9"/>
            <color indexed="81"/>
            <rFont val="Tahoma"/>
            <family val="2"/>
          </rPr>
          <t>&lt;[[TCDeals] - [TC Property Current Stage (Seq: 1)] - [Property Points (Seq: 1)] General Partner Contact to be Published Phone - Both]&gt;</t>
        </r>
      </text>
    </comment>
    <comment ref="C608" authorId="1" shapeId="0" xr:uid="{206BD5BB-489B-4BF9-A90E-FA65009267EF}">
      <text>
        <r>
          <rPr>
            <b/>
            <sz val="9"/>
            <color indexed="81"/>
            <rFont val="Tahoma"/>
            <family val="2"/>
          </rPr>
          <t>&lt;[[TCDeals] - [TC Property Current Stage (Seq: 1)] - [Property Points (Seq: 1)] General Partner Contact to be Published Email - Both]&gt;</t>
        </r>
      </text>
    </comment>
    <comment ref="C609" authorId="1" shapeId="0" xr:uid="{2EA8A265-4BAE-406C-8333-0457AB2D60A4}">
      <text>
        <r>
          <rPr>
            <b/>
            <sz val="9"/>
            <color indexed="81"/>
            <rFont val="Tahoma"/>
            <family val="2"/>
          </rPr>
          <t>&lt;[[TCDeals] - [TC Property Current Stage (Seq: 1)] - [Property Points (Seq: 1)] GENERAL P Name(s) and State(s) of previous LIHTC properties - Both]&gt;</t>
        </r>
      </text>
    </comment>
    <comment ref="C610" authorId="1" shapeId="0" xr:uid="{CF8DD938-A0F4-4E34-AC3F-B824F56AA3C7}">
      <text>
        <r>
          <rPr>
            <b/>
            <sz val="9"/>
            <color indexed="81"/>
            <rFont val="Tahoma"/>
            <family val="2"/>
          </rPr>
          <t>&lt;[[TCDeals] - [TC Property Current Stage (Seq: 1)] - [Property Points (Seq: 1)] General Partner racial/ethnic composition - Both]&gt;</t>
        </r>
      </text>
    </comment>
    <comment ref="C611" authorId="1" shapeId="0" xr:uid="{6FD768CE-06AB-4360-988E-9E994FA1DBEF}">
      <text>
        <r>
          <rPr>
            <b/>
            <sz val="9"/>
            <color indexed="81"/>
            <rFont val="Tahoma"/>
            <family val="2"/>
          </rPr>
          <t>&lt;[[TCDeals] - [TC Property Current Stage (Seq: 1)] - [Property Points (Seq: 1)] General Partner gender composition - Both]&gt;</t>
        </r>
      </text>
    </comment>
    <comment ref="C612" authorId="1" shapeId="0" xr:uid="{5092696D-678F-4449-A1C9-3F868202DD61}">
      <text>
        <r>
          <rPr>
            <b/>
            <sz val="9"/>
            <color indexed="81"/>
            <rFont val="Tahoma"/>
            <family val="2"/>
          </rPr>
          <t>&lt;[[TCDeals] - [TC Property Current Stage (Seq: 1)] - [Property Points (Seq: 1)] Syndicator Organization Name - Both]&gt;</t>
        </r>
      </text>
    </comment>
    <comment ref="C613" authorId="1" shapeId="0" xr:uid="{85EC2D7D-32EF-401F-A644-767B3F1080E7}">
      <text>
        <r>
          <rPr>
            <b/>
            <sz val="9"/>
            <color indexed="81"/>
            <rFont val="Tahoma"/>
            <family val="2"/>
          </rPr>
          <t>&lt;[[TCDeals] - [TC Property Current Stage (Seq: 1)] - [Property Points (Seq: 1)] Syndicator Contact Name - Both]&gt;</t>
        </r>
      </text>
    </comment>
    <comment ref="C614" authorId="1" shapeId="0" xr:uid="{A391D110-EFC7-47C8-941A-21158A24E605}">
      <text>
        <r>
          <rPr>
            <b/>
            <sz val="9"/>
            <color indexed="81"/>
            <rFont val="Tahoma"/>
            <family val="2"/>
          </rPr>
          <t>&lt;[[TCDeals] - [TC Property Current Stage (Seq: 1)] - [Property Points (Seq: 1)] Syndicator Last Name - Both]&gt;</t>
        </r>
      </text>
    </comment>
    <comment ref="C615" authorId="1" shapeId="0" xr:uid="{0B997B97-5BA6-4B99-90A8-EB37E83F2995}">
      <text>
        <r>
          <rPr>
            <b/>
            <sz val="9"/>
            <color indexed="81"/>
            <rFont val="Tahoma"/>
            <family val="2"/>
          </rPr>
          <t>&lt;[[TCDeals] - [TC Property Current Stage (Seq: 1)] - [Property Points (Seq: 1)] Syndicator Phone - Both]&gt;</t>
        </r>
      </text>
    </comment>
    <comment ref="C616" authorId="1" shapeId="0" xr:uid="{8B078BEA-B400-4A48-9042-553815049125}">
      <text>
        <r>
          <rPr>
            <b/>
            <sz val="9"/>
            <color indexed="81"/>
            <rFont val="Tahoma"/>
            <family val="2"/>
          </rPr>
          <t>&lt;[[TCDeals] - [TC Property Current Stage (Seq: 1)] - [Property Points (Seq: 1)] Syndicator Email - Both]&gt;</t>
        </r>
      </text>
    </comment>
    <comment ref="C617" authorId="1" shapeId="0" xr:uid="{AFA77B92-B682-4641-88AD-E5968561E516}">
      <text>
        <r>
          <rPr>
            <b/>
            <sz val="9"/>
            <color indexed="81"/>
            <rFont val="Tahoma"/>
            <family val="2"/>
          </rPr>
          <t>&lt;[[TCDeals] - [TC Property Current Stage (Seq: 1)] - [Property Points (Seq: 1)] State TC Syndicator/Investor Org - Both]&gt;</t>
        </r>
      </text>
    </comment>
    <comment ref="C618" authorId="1" shapeId="0" xr:uid="{8CAA10B3-3E52-4326-8937-8E45E0627C4F}">
      <text>
        <r>
          <rPr>
            <b/>
            <sz val="9"/>
            <color indexed="81"/>
            <rFont val="Tahoma"/>
            <family val="2"/>
          </rPr>
          <t>&lt;[[TCDeals] - [TC Property Current Stage (Seq: 1)] - [Property Points (Seq: 1)] State TC Syndicator/Investor Contact First Name - Both]&gt;</t>
        </r>
      </text>
    </comment>
    <comment ref="C619" authorId="1" shapeId="0" xr:uid="{3EC62541-0477-486F-A9AA-899F579E7CFE}">
      <text>
        <r>
          <rPr>
            <b/>
            <sz val="9"/>
            <color indexed="81"/>
            <rFont val="Tahoma"/>
            <family val="2"/>
          </rPr>
          <t>&lt;[[TCDeals] - [TC Property Current Stage (Seq: 1)] - [Property Points (Seq: 1)] State TC Syndicator/Investor Contact Last Name - Both]&gt;</t>
        </r>
      </text>
    </comment>
    <comment ref="C620" authorId="1" shapeId="0" xr:uid="{54898643-92E4-43C6-998F-4CBF7013B5D2}">
      <text>
        <r>
          <rPr>
            <b/>
            <sz val="9"/>
            <color indexed="81"/>
            <rFont val="Tahoma"/>
            <family val="2"/>
          </rPr>
          <t>&lt;[[TCDeals] - [TC Property Current Stage (Seq: 1)] - [Property Points (Seq: 1)] State TC Syndicator/Investor Phone - Both]&gt;</t>
        </r>
      </text>
    </comment>
    <comment ref="C621" authorId="1" shapeId="0" xr:uid="{FDADAB36-6843-491C-B4AE-6F0AD0F52CDB}">
      <text>
        <r>
          <rPr>
            <b/>
            <sz val="9"/>
            <color indexed="81"/>
            <rFont val="Tahoma"/>
            <family val="2"/>
          </rPr>
          <t>&lt;[[TCDeals] - [TC Property Current Stage (Seq: 1)] - [Property Points (Seq: 1)] State TC Syndicator/Investor Email - Both]&gt;</t>
        </r>
      </text>
    </comment>
    <comment ref="C622" authorId="1" shapeId="0" xr:uid="{DBEE0EC4-3EF9-4BDE-9AB4-BCAF3CD345F3}">
      <text>
        <r>
          <rPr>
            <b/>
            <sz val="9"/>
            <color indexed="81"/>
            <rFont val="Tahoma"/>
            <family val="2"/>
          </rPr>
          <t>&lt;[[TCDeals] - [TC Property Current Stage (Seq: 1)] - [Property Points (Seq: 1)] 3rd Party Estimator Org - Both]&gt;</t>
        </r>
      </text>
    </comment>
    <comment ref="C623" authorId="1" shapeId="0" xr:uid="{D70F9DA8-7AE0-4A23-B19C-3A07DB78F948}">
      <text>
        <r>
          <rPr>
            <b/>
            <sz val="9"/>
            <color indexed="81"/>
            <rFont val="Tahoma"/>
            <family val="2"/>
          </rPr>
          <t>&lt;[[TCDeals] - [TC Property Current Stage (Seq: 1)] - [Property Points (Seq: 1)] 3rd Party Estimator Contact First Name - Both]&gt;</t>
        </r>
      </text>
    </comment>
    <comment ref="C624" authorId="1" shapeId="0" xr:uid="{7171C5DD-C9E2-4F06-82B6-B24D4129AFAF}">
      <text>
        <r>
          <rPr>
            <b/>
            <sz val="9"/>
            <color indexed="81"/>
            <rFont val="Tahoma"/>
            <family val="2"/>
          </rPr>
          <t>&lt;[[TCDeals] - [TC Property Current Stage (Seq: 1)] - [Property Points (Seq: 1)] 3rd Party Estimator Contact Last Name - Both]&gt;</t>
        </r>
      </text>
    </comment>
    <comment ref="C625" authorId="1" shapeId="0" xr:uid="{03A3A0C2-22D7-48AE-A8BE-B9EBDD76BCAF}">
      <text>
        <r>
          <rPr>
            <b/>
            <sz val="9"/>
            <color indexed="81"/>
            <rFont val="Tahoma"/>
            <family val="2"/>
          </rPr>
          <t>&lt;[[TCDeals] - [TC Property Current Stage (Seq: 1)] - [Property Points (Seq: 1)] 3rd Party Estimator Contact Phone - Both]&gt;</t>
        </r>
      </text>
    </comment>
    <comment ref="C626" authorId="1" shapeId="0" xr:uid="{B63E7A72-AD8E-4D69-8621-53A6CDC52FB8}">
      <text>
        <r>
          <rPr>
            <b/>
            <sz val="9"/>
            <color indexed="81"/>
            <rFont val="Tahoma"/>
            <family val="2"/>
          </rPr>
          <t>&lt;[[TCDeals] - [TC Property Current Stage (Seq: 1)] - [Property Points (Seq: 1)] 3rd Party Estimator Email - Both]&gt;</t>
        </r>
      </text>
    </comment>
    <comment ref="C627" authorId="1" shapeId="0" xr:uid="{5CCE21FB-E2C3-448D-A753-4604281AA248}">
      <text>
        <r>
          <rPr>
            <b/>
            <sz val="9"/>
            <color indexed="81"/>
            <rFont val="Tahoma"/>
            <family val="2"/>
          </rPr>
          <t>&lt;[[TCDeals] - [TC Property Current Stage (Seq: 1)] - [Property Points (Seq: 1)] Contractor/General Contractor Org - Both]&gt;</t>
        </r>
      </text>
    </comment>
    <comment ref="C628" authorId="1" shapeId="0" xr:uid="{E89ADA1C-7C6E-4D57-B953-1AD1F70EF865}">
      <text>
        <r>
          <rPr>
            <b/>
            <sz val="9"/>
            <color indexed="81"/>
            <rFont val="Tahoma"/>
            <family val="2"/>
          </rPr>
          <t>&lt;[[TCDeals] - [TC Property Current Stage (Seq: 1)] - [Property Points (Seq: 1)] Contractor/General Contractor First Name - Both]&gt;</t>
        </r>
      </text>
    </comment>
    <comment ref="C629" authorId="1" shapeId="0" xr:uid="{E51FE537-F30D-4A5E-AEC8-6132F883FB61}">
      <text>
        <r>
          <rPr>
            <b/>
            <sz val="9"/>
            <color indexed="81"/>
            <rFont val="Tahoma"/>
            <family val="2"/>
          </rPr>
          <t>&lt;[[TCDeals] - [TC Property Current Stage (Seq: 1)] - [Property Points (Seq: 1)] Contractor/General Contractor Last Name - Both]&gt;</t>
        </r>
      </text>
    </comment>
    <comment ref="C630" authorId="1" shapeId="0" xr:uid="{CBB73AE4-1405-473C-AF1D-5AFD026EC9AF}">
      <text>
        <r>
          <rPr>
            <b/>
            <sz val="9"/>
            <color indexed="81"/>
            <rFont val="Tahoma"/>
            <family val="2"/>
          </rPr>
          <t>&lt;[[TCDeals] - [TC Property Current Stage (Seq: 1)] - [Property Points (Seq: 1)] Contractor/General Contractor Phone - Both]&gt;</t>
        </r>
      </text>
    </comment>
    <comment ref="C631" authorId="1" shapeId="0" xr:uid="{4DD3AFEE-7A02-4A75-88F4-C10FED3360BC}">
      <text>
        <r>
          <rPr>
            <b/>
            <sz val="9"/>
            <color indexed="81"/>
            <rFont val="Tahoma"/>
            <family val="2"/>
          </rPr>
          <t>&lt;[[TCDeals] - [TC Property Current Stage (Seq: 1)] - [Property Points (Seq: 1)] Contractor/General Contractor Email - Both]&gt;</t>
        </r>
      </text>
    </comment>
    <comment ref="C632" authorId="1" shapeId="0" xr:uid="{0821A89E-A184-4F89-8C7A-130370742059}">
      <text>
        <r>
          <rPr>
            <b/>
            <sz val="9"/>
            <color indexed="81"/>
            <rFont val="Tahoma"/>
            <family val="2"/>
          </rPr>
          <t>&lt;[[TCDeals] - [TC Property Current Stage (Seq: 1)] - [Property Points (Seq: 1)] general con Name(s) and State(s) of previous LIHTC properties - Both]&gt;</t>
        </r>
      </text>
    </comment>
    <comment ref="C633" authorId="1" shapeId="0" xr:uid="{31AE60CB-DA84-41EA-B7D0-D8E50B734457}">
      <text>
        <r>
          <rPr>
            <b/>
            <sz val="9"/>
            <color indexed="81"/>
            <rFont val="Tahoma"/>
            <family val="2"/>
          </rPr>
          <t>&lt;[[TCDeals] - [TC Property Current Stage (Seq: 1)] - [Property Points (Seq: 1)] General Contractor racial/ethnic composition - Both]&gt;</t>
        </r>
      </text>
    </comment>
    <comment ref="C634" authorId="1" shapeId="0" xr:uid="{E3C807B1-0E0E-4005-8875-4FEB8A6891D2}">
      <text>
        <r>
          <rPr>
            <b/>
            <sz val="9"/>
            <color indexed="81"/>
            <rFont val="Tahoma"/>
            <family val="2"/>
          </rPr>
          <t>&lt;[[TCDeals] - [TC Property Current Stage (Seq: 1)] - [Property Points (Seq: 1)] General Contractor gender composition - Both]&gt;</t>
        </r>
      </text>
    </comment>
    <comment ref="C635" authorId="1" shapeId="0" xr:uid="{366E358B-6101-4F82-87B9-E2FCF07A1941}">
      <text>
        <r>
          <rPr>
            <b/>
            <sz val="9"/>
            <color indexed="81"/>
            <rFont val="Tahoma"/>
            <family val="2"/>
          </rPr>
          <t>&lt;[[TCDeals] - [TC Property Current Stage (Seq: 1)] - [Property Points (Seq: 1)] Management Company/Management Agent  Org - Both]&gt;</t>
        </r>
      </text>
    </comment>
    <comment ref="C636" authorId="1" shapeId="0" xr:uid="{D3CFD6B3-F2A6-4506-8500-6F56545D1718}">
      <text>
        <r>
          <rPr>
            <b/>
            <sz val="9"/>
            <color indexed="81"/>
            <rFont val="Tahoma"/>
            <family val="2"/>
          </rPr>
          <t>&lt;[[TCDeals] - [TC Property Current Stage (Seq: 1)] - [Property Points (Seq: 1)] Management Company/Management Agent Contact First Name - Both]&gt;</t>
        </r>
      </text>
    </comment>
    <comment ref="C637" authorId="1" shapeId="0" xr:uid="{9EF6BDA6-EFE9-48A3-89D1-5E7B9938BADA}">
      <text>
        <r>
          <rPr>
            <b/>
            <sz val="9"/>
            <color indexed="81"/>
            <rFont val="Tahoma"/>
            <family val="2"/>
          </rPr>
          <t>&lt;[[TCDeals] - [TC Property Current Stage (Seq: 1)] - [Property Points (Seq: 1)] Management Company/Management Agent Contact Last Name - Both]&gt;</t>
        </r>
      </text>
    </comment>
    <comment ref="C638" authorId="1" shapeId="0" xr:uid="{04BE1A25-A2A5-4AEC-8841-5BBD43991793}">
      <text>
        <r>
          <rPr>
            <b/>
            <sz val="9"/>
            <color indexed="81"/>
            <rFont val="Tahoma"/>
            <family val="2"/>
          </rPr>
          <t>&lt;[[TCDeals] - [TC Property Current Stage (Seq: 1)] - [Property Points (Seq: 1)] Management Company/Management Agent Phone - Both]&gt;</t>
        </r>
      </text>
    </comment>
    <comment ref="C639" authorId="1" shapeId="0" xr:uid="{6E208DBF-1164-41E8-9A7E-CB3341087872}">
      <text>
        <r>
          <rPr>
            <b/>
            <sz val="9"/>
            <color indexed="81"/>
            <rFont val="Tahoma"/>
            <family val="2"/>
          </rPr>
          <t>&lt;[[TCDeals] - [TC Property Current Stage (Seq: 1)] - [Property Points (Seq: 1)] Management Company/Management Agent email - Both]&gt;</t>
        </r>
      </text>
    </comment>
    <comment ref="C640" authorId="2" shapeId="0" xr:uid="{217ECFCA-2220-45E7-B759-36CDBB806424}">
      <text>
        <r>
          <rPr>
            <b/>
            <sz val="9"/>
            <color indexed="81"/>
            <rFont val="Tahoma"/>
            <family val="2"/>
          </rPr>
          <t>&lt;[[TCDeals] - [TC Property Current Stage (Seq: 1)] - [TC Property Current Stage - User Defined Field Values (Seq: 1)] Custom Fields - Management Company racial/ethnic composition - Both]&gt;</t>
        </r>
      </text>
    </comment>
    <comment ref="C641" authorId="2" shapeId="0" xr:uid="{A8298167-541C-4E1E-9A7D-2739C691E377}">
      <text>
        <r>
          <rPr>
            <b/>
            <sz val="9"/>
            <color indexed="81"/>
            <rFont val="Tahoma"/>
            <family val="2"/>
          </rPr>
          <t>&lt;[[TCDeals] - [TC Property Current Stage (Seq: 1)] - [TC Property Current Stage - User Defined Field Values (Seq: 1)] Custom Fields - Management Company/Management Agent LIHTC Properties - Both]&gt;</t>
        </r>
      </text>
    </comment>
    <comment ref="C642" authorId="1" shapeId="0" xr:uid="{8E7DB5E3-E602-46F3-AC95-93138358023D}">
      <text>
        <r>
          <rPr>
            <b/>
            <sz val="9"/>
            <color indexed="81"/>
            <rFont val="Tahoma"/>
            <family val="2"/>
          </rPr>
          <t>&lt;[[TCDeals] - [TC Property Current Stage (Seq: 1)] - [Property Points (Seq: 1)] Consultant Org - Both]&gt;</t>
        </r>
      </text>
    </comment>
    <comment ref="C643" authorId="1" shapeId="0" xr:uid="{A49B77C7-AC88-4AC8-8B1C-3B1BDAAA6EF7}">
      <text>
        <r>
          <rPr>
            <b/>
            <sz val="9"/>
            <color indexed="81"/>
            <rFont val="Tahoma"/>
            <family val="2"/>
          </rPr>
          <t>&lt;[[TCDeals] - [TC Property Current Stage (Seq: 1)] - [Property Points (Seq: 1)] Consultant Contact First Name - Both]&gt;</t>
        </r>
      </text>
    </comment>
    <comment ref="C644" authorId="1" shapeId="0" xr:uid="{25F17FD6-EEC3-4326-BDD6-61123655737D}">
      <text>
        <r>
          <rPr>
            <b/>
            <sz val="9"/>
            <color indexed="81"/>
            <rFont val="Tahoma"/>
            <family val="2"/>
          </rPr>
          <t>&lt;[[TCDeals] - [TC Property Current Stage (Seq: 1)] - [Property Points (Seq: 1)] Consultant Contact Last Name - Both]&gt;</t>
        </r>
      </text>
    </comment>
    <comment ref="C645" authorId="1" shapeId="0" xr:uid="{B46F8E3E-31A7-4165-8EB3-312DADCB64BA}">
      <text>
        <r>
          <rPr>
            <b/>
            <sz val="9"/>
            <color indexed="81"/>
            <rFont val="Tahoma"/>
            <family val="2"/>
          </rPr>
          <t>&lt;[[TCDeals] - [TC Property Current Stage (Seq: 1)] - [Property Points (Seq: 1)] Consultant phone - Both]&gt;</t>
        </r>
      </text>
    </comment>
    <comment ref="C646" authorId="1" shapeId="0" xr:uid="{BA7B896B-2EFC-4203-B6A7-BA64B4546240}">
      <text>
        <r>
          <rPr>
            <b/>
            <sz val="9"/>
            <color indexed="81"/>
            <rFont val="Tahoma"/>
            <family val="2"/>
          </rPr>
          <t>&lt;[[TCDeals] - [TC Property Current Stage (Seq: 1)] - [Property Points (Seq: 1)] Consultant email - Both]&gt;</t>
        </r>
      </text>
    </comment>
    <comment ref="C647" authorId="1" shapeId="0" xr:uid="{E933E579-E466-4456-8531-D6A2DF3A2BF3}">
      <text>
        <r>
          <rPr>
            <b/>
            <sz val="9"/>
            <color indexed="81"/>
            <rFont val="Tahoma"/>
            <family val="2"/>
          </rPr>
          <t>&lt;[[TCDeals] - [TC Property Current Stage (Seq: 1)] - [Property Points (Seq: 1)] Consultant 2 Org Name - Both]&gt;</t>
        </r>
      </text>
    </comment>
    <comment ref="C648" authorId="1" shapeId="0" xr:uid="{654316A3-9DA9-4174-A02D-1243325FD3B3}">
      <text>
        <r>
          <rPr>
            <b/>
            <sz val="9"/>
            <color indexed="81"/>
            <rFont val="Tahoma"/>
            <family val="2"/>
          </rPr>
          <t>&lt;[[TCDeals] - [TC Property Current Stage (Seq: 1)] - [Property Points (Seq: 1)] Consultant 2 Contact First Name - Both]&gt;</t>
        </r>
      </text>
    </comment>
    <comment ref="C649" authorId="1" shapeId="0" xr:uid="{2BE98CCD-A1BC-4579-B184-8CD305E5639D}">
      <text>
        <r>
          <rPr>
            <b/>
            <sz val="9"/>
            <color indexed="81"/>
            <rFont val="Tahoma"/>
            <family val="2"/>
          </rPr>
          <t>&lt;[[TCDeals] - [TC Property Current Stage (Seq: 1)] - [Property Points (Seq: 1)] Consultant 2 Contact Last Name - Both]&gt;</t>
        </r>
      </text>
    </comment>
    <comment ref="C650" authorId="1" shapeId="0" xr:uid="{E50B5B3F-4AE9-49BD-B9FE-8DDC50382938}">
      <text>
        <r>
          <rPr>
            <b/>
            <sz val="9"/>
            <color indexed="81"/>
            <rFont val="Tahoma"/>
            <family val="2"/>
          </rPr>
          <t>&lt;[[TCDeals] - [TC Property Current Stage (Seq: 1)] - [Property Points (Seq: 1)] Consultant 2 Phone - Both]&gt;</t>
        </r>
      </text>
    </comment>
    <comment ref="C651" authorId="1" shapeId="0" xr:uid="{E81139CE-C2F5-456C-9F74-2DE52C832CAE}">
      <text>
        <r>
          <rPr>
            <b/>
            <sz val="9"/>
            <color indexed="81"/>
            <rFont val="Tahoma"/>
            <family val="2"/>
          </rPr>
          <t>&lt;[[TCDeals] - [TC Property Current Stage (Seq: 1)] - [Property Points (Seq: 1)] Consultant 2 Email - Both]&gt;</t>
        </r>
      </text>
    </comment>
    <comment ref="C653" authorId="1" shapeId="0" xr:uid="{30700B53-7A52-4443-9325-C8A26EA9A3FC}">
      <text>
        <r>
          <rPr>
            <b/>
            <sz val="9"/>
            <color indexed="81"/>
            <rFont val="Tahoma"/>
            <family val="2"/>
          </rPr>
          <t>&lt;[[TCDeals] - [TC Property Current Stage (Seq: 1)] - [Property Points (Seq: 1)] Consultant 3 Org Name - Both]&gt;</t>
        </r>
      </text>
    </comment>
    <comment ref="C654" authorId="1" shapeId="0" xr:uid="{EFA89C30-75FD-4D81-9B3F-B79C49EBB738}">
      <text>
        <r>
          <rPr>
            <b/>
            <sz val="9"/>
            <color indexed="81"/>
            <rFont val="Tahoma"/>
            <family val="2"/>
          </rPr>
          <t>&lt;[[TCDeals] - [TC Property Current Stage (Seq: 1)] - [Property Points (Seq: 1)] Consultant 3 Contact First Name - Both]&gt;</t>
        </r>
      </text>
    </comment>
    <comment ref="C655" authorId="1" shapeId="0" xr:uid="{7FCD4A00-7795-4903-A18A-92DE46E552A3}">
      <text>
        <r>
          <rPr>
            <b/>
            <sz val="9"/>
            <color indexed="81"/>
            <rFont val="Tahoma"/>
            <family val="2"/>
          </rPr>
          <t>&lt;[[TCDeals] - [TC Property Current Stage (Seq: 1)] - [Property Points (Seq: 1)] Consultant 3 Contact Last Name - Both]&gt;</t>
        </r>
      </text>
    </comment>
    <comment ref="C656" authorId="1" shapeId="0" xr:uid="{581EA78D-1C06-4776-8512-55BA61118A6A}">
      <text>
        <r>
          <rPr>
            <b/>
            <sz val="9"/>
            <color indexed="81"/>
            <rFont val="Tahoma"/>
            <family val="2"/>
          </rPr>
          <t>&lt;[[TCDeals] - [TC Property Current Stage (Seq: 1)] - [Property Points (Seq: 1)] Consultant 3 Phone - Both]&gt;</t>
        </r>
      </text>
    </comment>
    <comment ref="C657" authorId="1" shapeId="0" xr:uid="{CFABE379-A085-41E3-8934-7D555358B360}">
      <text>
        <r>
          <rPr>
            <b/>
            <sz val="9"/>
            <color indexed="81"/>
            <rFont val="Tahoma"/>
            <family val="2"/>
          </rPr>
          <t>&lt;[[TCDeals] - [TC Property Current Stage (Seq: 1)] - [Property Points (Seq: 1)] Consultant 3 Email - Both]&gt;</t>
        </r>
      </text>
    </comment>
    <comment ref="C658" authorId="1" shapeId="0" xr:uid="{1E9067C8-CC03-462C-AEDF-2C9559544049}">
      <text>
        <r>
          <rPr>
            <b/>
            <sz val="9"/>
            <color indexed="81"/>
            <rFont val="Tahoma"/>
            <family val="2"/>
          </rPr>
          <t>&lt;[[TCDeals] - [TC Property Current Stage (Seq: 1)] - [Property Points (Seq: 1)] Tax Attorney Firm/Law Firm Org - Both]&gt;</t>
        </r>
      </text>
    </comment>
    <comment ref="C659" authorId="1" shapeId="0" xr:uid="{BC5BD7E6-697C-4454-BB7C-CD304B74E72D}">
      <text>
        <r>
          <rPr>
            <b/>
            <sz val="9"/>
            <color indexed="81"/>
            <rFont val="Tahoma"/>
            <family val="2"/>
          </rPr>
          <t>&lt;[[TCDeals] - [TC Property Current Stage (Seq: 1)] - [Property Points (Seq: 1)] Tax Attorney Firm/Law Firm Contact First Name - Both]&gt;</t>
        </r>
      </text>
    </comment>
    <comment ref="C660" authorId="1" shapeId="0" xr:uid="{D1CE0462-2858-45B5-9CD7-63D059BAE6F9}">
      <text>
        <r>
          <rPr>
            <b/>
            <sz val="9"/>
            <color indexed="81"/>
            <rFont val="Tahoma"/>
            <family val="2"/>
          </rPr>
          <t>&lt;[[TCDeals] - [TC Property Current Stage (Seq: 1)] - [Property Points (Seq: 1)] Tax Attorney Firm/Law Firm Contact Last Name - Both]&gt;</t>
        </r>
      </text>
    </comment>
    <comment ref="C661" authorId="1" shapeId="0" xr:uid="{CCA5C8E3-93D8-4728-9206-FEE895E64929}">
      <text>
        <r>
          <rPr>
            <b/>
            <sz val="9"/>
            <color indexed="81"/>
            <rFont val="Tahoma"/>
            <family val="2"/>
          </rPr>
          <t>&lt;[[TCDeals] - [TC Property Current Stage (Seq: 1)] - [Property Points (Seq: 1)] Tax Attorney Firm/Law Firm Phone - Both]&gt;</t>
        </r>
      </text>
    </comment>
    <comment ref="C662" authorId="1" shapeId="0" xr:uid="{64FEA609-E585-488A-B37F-9EF1D0D18199}">
      <text>
        <r>
          <rPr>
            <b/>
            <sz val="9"/>
            <color indexed="81"/>
            <rFont val="Tahoma"/>
            <family val="2"/>
          </rPr>
          <t>&lt;[[TCDeals] - [TC Property Current Stage (Seq: 1)] - [Property Points (Seq: 1)] Tax Attorney Firm/Law Firm Email - Both]&gt;</t>
        </r>
      </text>
    </comment>
    <comment ref="C663" authorId="1" shapeId="0" xr:uid="{F0350B93-7AF6-44F4-B638-F500009203BE}">
      <text>
        <r>
          <rPr>
            <b/>
            <sz val="9"/>
            <color indexed="81"/>
            <rFont val="Tahoma"/>
            <family val="2"/>
          </rPr>
          <t>&lt;[[TCDeals] - [TC Property Current Stage (Seq: 1)] - [Property Points (Seq: 1)] CPA Firm/Accountant Org - Both]&gt;</t>
        </r>
      </text>
    </comment>
    <comment ref="C664" authorId="1" shapeId="0" xr:uid="{5511B0EB-FE42-4247-A28B-99028B739332}">
      <text>
        <r>
          <rPr>
            <b/>
            <sz val="9"/>
            <color indexed="81"/>
            <rFont val="Tahoma"/>
            <family val="2"/>
          </rPr>
          <t>&lt;[[TCDeals] - [TC Property Current Stage (Seq: 1)] - [Property Points (Seq: 1)] CPA Firm/Accountant Contact First Name - Both]&gt;</t>
        </r>
      </text>
    </comment>
    <comment ref="C665" authorId="1" shapeId="0" xr:uid="{52917DF6-CC2C-4CA0-9A42-492B6B8AA444}">
      <text>
        <r>
          <rPr>
            <b/>
            <sz val="9"/>
            <color indexed="81"/>
            <rFont val="Tahoma"/>
            <family val="2"/>
          </rPr>
          <t>&lt;[[TCDeals] - [TC Property Current Stage (Seq: 1)] - [Property Points (Seq: 1)] CPA Firm/Accountant Contact Last Name - Both]&gt;</t>
        </r>
      </text>
    </comment>
    <comment ref="C666" authorId="1" shapeId="0" xr:uid="{C77F773D-4AD2-44A9-85E0-3FF67C72A62C}">
      <text>
        <r>
          <rPr>
            <b/>
            <sz val="9"/>
            <color indexed="81"/>
            <rFont val="Tahoma"/>
            <family val="2"/>
          </rPr>
          <t>&lt;[[TCDeals] - [TC Property Current Stage (Seq: 1)] - [Property Points (Seq: 1)] CPA Firm/Accountant Phone - Both]&gt;</t>
        </r>
      </text>
    </comment>
    <comment ref="C667" authorId="1" shapeId="0" xr:uid="{10878A68-5CA2-4FF9-A074-337123060A75}">
      <text>
        <r>
          <rPr>
            <b/>
            <sz val="9"/>
            <color indexed="81"/>
            <rFont val="Tahoma"/>
            <family val="2"/>
          </rPr>
          <t>&lt;[[TCDeals] - [TC Property Current Stage (Seq: 1)] - [Property Points (Seq: 1)] CPA Firm/Accountant Email - Both]&gt;</t>
        </r>
      </text>
    </comment>
    <comment ref="C668" authorId="1" shapeId="0" xr:uid="{A17B45A5-388D-4AFA-A4E9-F07FB62CB5D8}">
      <text>
        <r>
          <rPr>
            <b/>
            <sz val="9"/>
            <color indexed="81"/>
            <rFont val="Tahoma"/>
            <family val="2"/>
          </rPr>
          <t>&lt;[[TCDeals] - [TC Property Current Stage (Seq: 1)] - [Property Points (Seq: 1)] Architect Org - Both]&gt;</t>
        </r>
      </text>
    </comment>
    <comment ref="C669" authorId="1" shapeId="0" xr:uid="{E5B0F778-51F5-4583-A133-587746A8F86E}">
      <text>
        <r>
          <rPr>
            <b/>
            <sz val="9"/>
            <color indexed="81"/>
            <rFont val="Tahoma"/>
            <family val="2"/>
          </rPr>
          <t>&lt;[[TCDeals] - [TC Property Current Stage (Seq: 1)] - [Property Points (Seq: 1)] Architect Contact First Name - Both]&gt;</t>
        </r>
      </text>
    </comment>
    <comment ref="C670" authorId="1" shapeId="0" xr:uid="{B532BDCD-A827-4A8B-8914-0D1E7CC4EE91}">
      <text>
        <r>
          <rPr>
            <b/>
            <sz val="9"/>
            <color indexed="81"/>
            <rFont val="Tahoma"/>
            <family val="2"/>
          </rPr>
          <t>&lt;[[TCDeals] - [TC Property Current Stage (Seq: 1)] - [Property Points (Seq: 1)] Architect Contact Last Name - Both]&gt;</t>
        </r>
      </text>
    </comment>
    <comment ref="C671" authorId="1" shapeId="0" xr:uid="{5509697C-98D3-4BB7-96BD-D544EF290749}">
      <text>
        <r>
          <rPr>
            <b/>
            <sz val="9"/>
            <color indexed="81"/>
            <rFont val="Tahoma"/>
            <family val="2"/>
          </rPr>
          <t>&lt;[[TCDeals] - [TC Property Current Stage (Seq: 1)] - [Property Points (Seq: 1)] Architect Phone - Both]&gt;</t>
        </r>
      </text>
    </comment>
    <comment ref="C672" authorId="1" shapeId="0" xr:uid="{5F668FAC-35F6-413A-B39A-9F36DA6425D9}">
      <text>
        <r>
          <rPr>
            <b/>
            <sz val="9"/>
            <color indexed="81"/>
            <rFont val="Tahoma"/>
            <family val="2"/>
          </rPr>
          <t>&lt;[[TCDeals] - [TC Property Current Stage (Seq: 1)] - [Property Points (Seq: 1)] Architect Email - Both]&gt;</t>
        </r>
      </text>
    </comment>
    <comment ref="C673" authorId="1" shapeId="0" xr:uid="{2E9BC5C5-EFC4-4371-A8E0-C55C935B795D}">
      <text>
        <r>
          <rPr>
            <b/>
            <sz val="9"/>
            <color indexed="81"/>
            <rFont val="Tahoma"/>
            <family val="2"/>
          </rPr>
          <t>&lt;[[TCDeals] - [TC Property Current Stage (Seq: 1)] - [Property Points (Seq: 1)] Perm Lender Org - Both]&gt;</t>
        </r>
      </text>
    </comment>
    <comment ref="C674" authorId="1" shapeId="0" xr:uid="{CDA7B354-BC45-4F4E-9A1F-20AD59C47839}">
      <text>
        <r>
          <rPr>
            <b/>
            <sz val="9"/>
            <color indexed="81"/>
            <rFont val="Tahoma"/>
            <family val="2"/>
          </rPr>
          <t>&lt;[[TCDeals] - [TC Property Current Stage (Seq: 1)] - [Property Points (Seq: 1)] Perm Lender Contact First Name - Both]&gt;</t>
        </r>
      </text>
    </comment>
    <comment ref="C675" authorId="1" shapeId="0" xr:uid="{270A5CA1-E980-448A-B2A9-EEC1C951EE5E}">
      <text>
        <r>
          <rPr>
            <b/>
            <sz val="9"/>
            <color indexed="81"/>
            <rFont val="Tahoma"/>
            <family val="2"/>
          </rPr>
          <t>&lt;[[TCDeals] - [TC Property Current Stage (Seq: 1)] - [Property Points (Seq: 1)] Perm Lender Contact Last Name - Both]&gt;</t>
        </r>
      </text>
    </comment>
    <comment ref="C676" authorId="1" shapeId="0" xr:uid="{8B8DA5B4-3958-4176-9019-9380269D2786}">
      <text>
        <r>
          <rPr>
            <b/>
            <sz val="9"/>
            <color indexed="81"/>
            <rFont val="Tahoma"/>
            <family val="2"/>
          </rPr>
          <t>&lt;[[TCDeals] - [TC Property Current Stage (Seq: 1)] - [Property Points (Seq: 1)] Perm Lender Phone - Both]&gt;</t>
        </r>
      </text>
    </comment>
    <comment ref="C677" authorId="1" shapeId="0" xr:uid="{3B9679CA-2508-4C2A-B5F5-240F4D95E338}">
      <text>
        <r>
          <rPr>
            <b/>
            <sz val="9"/>
            <color indexed="81"/>
            <rFont val="Tahoma"/>
            <family val="2"/>
          </rPr>
          <t>&lt;[[TCDeals] - [TC Property Current Stage (Seq: 1)] - [Property Points (Seq: 1)] Perm Lender Email - Both]&gt;</t>
        </r>
      </text>
    </comment>
    <comment ref="C678" authorId="1" shapeId="0" xr:uid="{F4DB065A-4576-41EC-B5BE-DC01221B1887}">
      <text>
        <r>
          <rPr>
            <b/>
            <sz val="9"/>
            <color indexed="81"/>
            <rFont val="Tahoma"/>
            <family val="2"/>
          </rPr>
          <t>&lt;[[TCDeals] - [TC Property Current Stage (Seq: 1)] - [Property Points (Seq: 1)] Construction Lender Org - Both]&gt;</t>
        </r>
      </text>
    </comment>
    <comment ref="C679" authorId="1" shapeId="0" xr:uid="{FB24754A-F6E2-4DE2-958A-794BEE9F0943}">
      <text>
        <r>
          <rPr>
            <b/>
            <sz val="9"/>
            <color indexed="81"/>
            <rFont val="Tahoma"/>
            <family val="2"/>
          </rPr>
          <t>&lt;[[TCDeals] - [TC Property Current Stage (Seq: 1)] - [Property Points (Seq: 1)] Construction Lender Contact First Name - Both]&gt;</t>
        </r>
      </text>
    </comment>
    <comment ref="C680" authorId="1" shapeId="0" xr:uid="{FF71EA60-D8FF-46A4-8302-CA45D96D52BB}">
      <text>
        <r>
          <rPr>
            <b/>
            <sz val="9"/>
            <color indexed="81"/>
            <rFont val="Tahoma"/>
            <family val="2"/>
          </rPr>
          <t>&lt;[[TCDeals] - [TC Property Current Stage (Seq: 1)] - [Property Points (Seq: 1)] Construction Lender Contact Last Name - Both]&gt;</t>
        </r>
      </text>
    </comment>
    <comment ref="C681" authorId="1" shapeId="0" xr:uid="{395FE6B0-CF22-4C11-B0A1-9534AD00EAB9}">
      <text>
        <r>
          <rPr>
            <b/>
            <sz val="9"/>
            <color indexed="81"/>
            <rFont val="Tahoma"/>
            <family val="2"/>
          </rPr>
          <t>&lt;[[TCDeals] - [TC Property Current Stage (Seq: 1)] - [Property Points (Seq: 1)] Construction Lender Phone - Both]&gt;</t>
        </r>
      </text>
    </comment>
    <comment ref="C682" authorId="1" shapeId="0" xr:uid="{F77DEB5A-0167-423D-887E-08F78E5BADDB}">
      <text>
        <r>
          <rPr>
            <b/>
            <sz val="9"/>
            <color indexed="81"/>
            <rFont val="Tahoma"/>
            <family val="2"/>
          </rPr>
          <t>&lt;[[TCDeals] - [TC Property Current Stage (Seq: 1)] - [Property Points (Seq: 1)] Construction Lender Email - Both]&gt;</t>
        </r>
      </text>
    </comment>
    <comment ref="C683" authorId="1" shapeId="0" xr:uid="{253140EF-DAC2-4029-AB49-AD69D03B4C73}">
      <text>
        <r>
          <rPr>
            <b/>
            <sz val="9"/>
            <color indexed="81"/>
            <rFont val="Tahoma"/>
            <family val="2"/>
          </rPr>
          <t>&lt;[[TCDeals] - [TC Property Current Stage (Seq: 1)] - [Property Points (Seq: 1)] Environment Review Org - Both]&gt;</t>
        </r>
      </text>
    </comment>
    <comment ref="C684" authorId="1" shapeId="0" xr:uid="{8A95B0EF-63EC-440A-9C2F-B1F6051ADAB3}">
      <text>
        <r>
          <rPr>
            <b/>
            <sz val="9"/>
            <color indexed="81"/>
            <rFont val="Tahoma"/>
            <family val="2"/>
          </rPr>
          <t>&lt;[[TCDeals] - [TC Property Current Stage (Seq: 1)] - [Property Points (Seq: 1)] Environment Review Contact First Name - Both]&gt;</t>
        </r>
      </text>
    </comment>
    <comment ref="C685" authorId="1" shapeId="0" xr:uid="{7AABC994-F907-4810-A198-55655C4F635D}">
      <text>
        <r>
          <rPr>
            <b/>
            <sz val="9"/>
            <color indexed="81"/>
            <rFont val="Tahoma"/>
            <family val="2"/>
          </rPr>
          <t>&lt;[[TCDeals] - [TC Property Current Stage (Seq: 1)] - [Property Points (Seq: 1)] Environment Review Contact Last Name - Both]&gt;</t>
        </r>
      </text>
    </comment>
    <comment ref="C686" authorId="1" shapeId="0" xr:uid="{859A56B1-ED32-4F2D-9794-0188F4861928}">
      <text>
        <r>
          <rPr>
            <b/>
            <sz val="9"/>
            <color indexed="81"/>
            <rFont val="Tahoma"/>
            <family val="2"/>
          </rPr>
          <t>&lt;[[TCDeals] - [TC Property Current Stage (Seq: 1)] - [Property Points (Seq: 1)] Environment Review Phone - Both]&gt;</t>
        </r>
      </text>
    </comment>
    <comment ref="C687" authorId="1" shapeId="0" xr:uid="{FAE17A76-57B8-47F6-800F-82863528A904}">
      <text>
        <r>
          <rPr>
            <b/>
            <sz val="9"/>
            <color indexed="81"/>
            <rFont val="Tahoma"/>
            <family val="2"/>
          </rPr>
          <t>&lt;[[TCDeals] - [TC Property Current Stage (Seq: 1)] - [Property Points (Seq: 1)] Environment Review Email - Both]&gt;</t>
        </r>
      </text>
    </comment>
    <comment ref="C688" authorId="1" shapeId="0" xr:uid="{E751199B-BFFF-4298-AB5F-2605447E2C5B}">
      <text>
        <r>
          <rPr>
            <b/>
            <sz val="9"/>
            <color indexed="81"/>
            <rFont val="Tahoma"/>
            <family val="2"/>
          </rPr>
          <t>&lt;[[TCDeals] - [TC Property Current Stage (Seq: 1)] - [Property Points (Seq: 1)] Capital Needs Preparer/Other Org - Both]&gt;</t>
        </r>
      </text>
    </comment>
    <comment ref="C689" authorId="1" shapeId="0" xr:uid="{5B1826CA-B8A8-4059-A224-31AB6856EED3}">
      <text>
        <r>
          <rPr>
            <b/>
            <sz val="9"/>
            <color indexed="81"/>
            <rFont val="Tahoma"/>
            <family val="2"/>
          </rPr>
          <t>&lt;[[TCDeals] - [TC Property Current Stage (Seq: 1)] - [Property Points (Seq: 1)] Capital Needs Preparer/Other Contact First Name - Both]&gt;</t>
        </r>
      </text>
    </comment>
    <comment ref="C690" authorId="1" shapeId="0" xr:uid="{ED1242F5-5A2C-4086-AB6D-D67778E250B1}">
      <text>
        <r>
          <rPr>
            <b/>
            <sz val="9"/>
            <color indexed="81"/>
            <rFont val="Tahoma"/>
            <family val="2"/>
          </rPr>
          <t>&lt;[[TCDeals] - [TC Property Current Stage (Seq: 1)] - [Property Points (Seq: 1)] Capital Needs Preparer/Other Contact Last Name - Both]&gt;</t>
        </r>
      </text>
    </comment>
    <comment ref="C691" authorId="1" shapeId="0" xr:uid="{B01BCC41-B644-460B-8C24-9D4098B652A9}">
      <text>
        <r>
          <rPr>
            <b/>
            <sz val="9"/>
            <color indexed="81"/>
            <rFont val="Tahoma"/>
            <family val="2"/>
          </rPr>
          <t>&lt;[[TCDeals] - [TC Property Current Stage (Seq: 1)] - [Property Points (Seq: 1)] Capital Needs Preparer/Other Phone - Both]&gt;</t>
        </r>
      </text>
    </comment>
    <comment ref="C692" authorId="1" shapeId="0" xr:uid="{4C54BA71-AC3E-4244-96E3-A1DE6C749CC9}">
      <text>
        <r>
          <rPr>
            <b/>
            <sz val="9"/>
            <color indexed="81"/>
            <rFont val="Tahoma"/>
            <family val="2"/>
          </rPr>
          <t>&lt;[[TCDeals] - [TC Property Current Stage (Seq: 1)] - [Property Points (Seq: 1)] Capital Needs Preparer/Other Email - Both]&gt;</t>
        </r>
      </text>
    </comment>
    <comment ref="C693" authorId="1" shapeId="0" xr:uid="{BCC4621C-E507-42A6-BBC1-5ACC3720CF0C}">
      <text>
        <r>
          <rPr>
            <b/>
            <sz val="9"/>
            <color indexed="81"/>
            <rFont val="Tahoma"/>
            <family val="2"/>
          </rPr>
          <t>&lt;[[TCDeals] - [TC Property Current Stage (Seq: 1)] - [Property Points (Seq: 1)] Green Consultant Org - Both]&gt;</t>
        </r>
      </text>
    </comment>
    <comment ref="C694" authorId="1" shapeId="0" xr:uid="{3264A97B-2E90-4747-A0FC-B27E4C8C46EC}">
      <text>
        <r>
          <rPr>
            <b/>
            <sz val="9"/>
            <color indexed="81"/>
            <rFont val="Tahoma"/>
            <family val="2"/>
          </rPr>
          <t>&lt;[[TCDeals] - [TC Property Current Stage (Seq: 1)] - [Property Points (Seq: 1)] Green Consultant Contact First Name - Both]&gt;</t>
        </r>
      </text>
    </comment>
    <comment ref="C695" authorId="1" shapeId="0" xr:uid="{C706E738-B5B6-46F4-9406-08D8DF4B7FA4}">
      <text>
        <r>
          <rPr>
            <b/>
            <sz val="9"/>
            <color indexed="81"/>
            <rFont val="Tahoma"/>
            <family val="2"/>
          </rPr>
          <t>&lt;[[TCDeals] - [TC Property Current Stage (Seq: 1)] - [Property Points (Seq: 1)] Green Consultant Contact Last Name - Both]&gt;</t>
        </r>
      </text>
    </comment>
    <comment ref="C696" authorId="1" shapeId="0" xr:uid="{91469A89-0361-49B3-9127-6ED656689B9F}">
      <text>
        <r>
          <rPr>
            <b/>
            <sz val="9"/>
            <color indexed="81"/>
            <rFont val="Tahoma"/>
            <family val="2"/>
          </rPr>
          <t>&lt;[[TCDeals] - [TC Property Current Stage (Seq: 1)] - [Property Points (Seq: 1)] Green Consultant Phone - Both]&gt;</t>
        </r>
      </text>
    </comment>
    <comment ref="C697" authorId="1" shapeId="0" xr:uid="{3BAE5637-68E3-4AC4-9810-FA50BBE20388}">
      <text>
        <r>
          <rPr>
            <b/>
            <sz val="9"/>
            <color indexed="81"/>
            <rFont val="Tahoma"/>
            <family val="2"/>
          </rPr>
          <t>&lt;[[TCDeals] - [TC Property Current Stage (Seq: 1)] - [Property Points (Seq: 1)] Green Consultant Email - Both]&gt;</t>
        </r>
      </text>
    </comment>
    <comment ref="C698" authorId="1" shapeId="0" xr:uid="{8F2CABCB-D3EA-4581-8996-90442CE28C70}">
      <text>
        <r>
          <rPr>
            <b/>
            <sz val="9"/>
            <color indexed="81"/>
            <rFont val="Tahoma"/>
            <family val="2"/>
          </rPr>
          <t>&lt;[[TCDeals] - [TC Property Current Stage (Seq: 1)] - [Property Points (Seq: 1)] Fee Turnkey Org - Both]&gt;</t>
        </r>
      </text>
    </comment>
    <comment ref="C699" authorId="1" shapeId="0" xr:uid="{AFA652A4-4151-4556-8F02-E016EC6FCAF7}">
      <text>
        <r>
          <rPr>
            <b/>
            <sz val="9"/>
            <color indexed="81"/>
            <rFont val="Tahoma"/>
            <family val="2"/>
          </rPr>
          <t>&lt;[[TCDeals] - [TC Property Current Stage (Seq: 1)] - [Property Points (Seq: 1)] Fee Turnkey Contact First Name - Both]&gt;</t>
        </r>
      </text>
    </comment>
    <comment ref="C700" authorId="1" shapeId="0" xr:uid="{A3A28887-BEC0-4772-8E89-D3BB4F0ED045}">
      <text>
        <r>
          <rPr>
            <b/>
            <sz val="9"/>
            <color indexed="81"/>
            <rFont val="Tahoma"/>
            <family val="2"/>
          </rPr>
          <t>&lt;[[TCDeals] - [TC Property Current Stage (Seq: 1)] - [Property Points (Seq: 1)] Fee Turnkey Contact Last Name - Both]&gt;</t>
        </r>
      </text>
    </comment>
    <comment ref="C701" authorId="1" shapeId="0" xr:uid="{FD3C2840-5A73-4A62-A120-EA289B28F563}">
      <text>
        <r>
          <rPr>
            <b/>
            <sz val="9"/>
            <color indexed="81"/>
            <rFont val="Tahoma"/>
            <family val="2"/>
          </rPr>
          <t>&lt;[[TCDeals] - [TC Property Current Stage (Seq: 1)] - [Property Points (Seq: 1)] Fee Turnkey Contact Phone - Both]&gt;</t>
        </r>
      </text>
    </comment>
    <comment ref="C702" authorId="1" shapeId="0" xr:uid="{7B0BDD64-33A9-4324-B990-91BF2AC3B975}">
      <text>
        <r>
          <rPr>
            <b/>
            <sz val="9"/>
            <color indexed="81"/>
            <rFont val="Tahoma"/>
            <family val="2"/>
          </rPr>
          <t>&lt;[[TCDeals] - [TC Property Current Stage (Seq: 1)] - [Property Points (Seq: 1)] Fee Turnkey Contact Email - Both]&gt;</t>
        </r>
      </text>
    </comment>
    <comment ref="C703" authorId="1" shapeId="0" xr:uid="{C7BE04D4-5167-4648-8298-BAF983315860}">
      <text>
        <r>
          <rPr>
            <b/>
            <sz val="9"/>
            <color indexed="81"/>
            <rFont val="Tahoma"/>
            <family val="2"/>
          </rPr>
          <t>&lt;[[TCDeals] - [TC Property Current Stage (Seq: 1)] - [Property Points (Seq: 1)] Fee Turnkey Name(s) and State(s) of previous LIHTC properties2 - Both]&gt;</t>
        </r>
      </text>
    </comment>
    <comment ref="C704" authorId="1" shapeId="0" xr:uid="{682BAEB9-B2BC-4CAE-BBA9-D61DD8307999}">
      <text>
        <r>
          <rPr>
            <b/>
            <sz val="9"/>
            <color indexed="81"/>
            <rFont val="Tahoma"/>
            <family val="2"/>
          </rPr>
          <t>&lt;[[TCDeals] - [TC Property Current Stage (Seq: 1)] - [Property Points (Seq: 1)] Fee/Turnkey Developer racial/ethnic composition - Both]&gt;</t>
        </r>
      </text>
    </comment>
    <comment ref="C705" authorId="1" shapeId="0" xr:uid="{D2742CB2-AA79-4FED-B1B8-85A777D53D70}">
      <text>
        <r>
          <rPr>
            <b/>
            <sz val="9"/>
            <color indexed="81"/>
            <rFont val="Tahoma"/>
            <family val="2"/>
          </rPr>
          <t>&lt;[[TCDeals] - [TC Property Current Stage (Seq: 1)] - [Property Points (Seq: 1)] Fee-Turnkey Developer gender composition - Both]&gt;</t>
        </r>
      </text>
    </comment>
    <comment ref="C708" authorId="1" shapeId="0" xr:uid="{37517386-F270-4557-9019-AF82F778EC39}">
      <text>
        <r>
          <rPr>
            <b/>
            <sz val="9"/>
            <color indexed="81"/>
            <rFont val="Tahoma"/>
            <family val="2"/>
          </rPr>
          <t>&lt;[[TCDeals] - [Proxy Entities (Seq: 1)] Name (Doing Business As) - Both]&gt;</t>
        </r>
      </text>
    </comment>
    <comment ref="D708" authorId="1" shapeId="0" xr:uid="{8EBDFEE4-4E3D-404A-B915-5D2F0016CBF8}">
      <text>
        <r>
          <rPr>
            <b/>
            <sz val="9"/>
            <color indexed="81"/>
            <rFont val="Tahoma"/>
            <family val="2"/>
          </rPr>
          <t>&lt;[[TCDeals] - [Proxy Entities (Seq: 1)] Address 1 - Both]&gt;</t>
        </r>
      </text>
    </comment>
    <comment ref="E708" authorId="1" shapeId="0" xr:uid="{E0C75D92-02DC-477A-BD81-158AF54EAA77}">
      <text>
        <r>
          <rPr>
            <b/>
            <sz val="9"/>
            <color indexed="81"/>
            <rFont val="Tahoma"/>
            <family val="2"/>
          </rPr>
          <t>&lt;[[TCDeals] - [Proxy Entities (Seq: 1)] City - Both]&gt;</t>
        </r>
      </text>
    </comment>
    <comment ref="F708" authorId="4" shapeId="0" xr:uid="{852B9AA1-E723-484C-9BC2-BC62B235DDA5}">
      <text>
        <r>
          <rPr>
            <b/>
            <sz val="9"/>
            <color indexed="81"/>
            <rFont val="Tahoma"/>
            <family val="2"/>
          </rPr>
          <t>&lt;[[TCDeals] - [Proxy Entities (Seq: 1)] State - Send]&gt;</t>
        </r>
      </text>
    </comment>
    <comment ref="G708" authorId="1" shapeId="0" xr:uid="{1431309C-F6EE-4F06-B2BA-7091BD449BCC}">
      <text>
        <r>
          <rPr>
            <b/>
            <sz val="9"/>
            <color indexed="81"/>
            <rFont val="Tahoma"/>
            <family val="2"/>
          </rPr>
          <t>&lt;[[TCDeals] - [Proxy Entities (Seq: 1)] Zip Code - Both]&gt;</t>
        </r>
      </text>
    </comment>
    <comment ref="H708" authorId="1" shapeId="0" xr:uid="{CFD40F10-9129-4C9A-8AD5-65E24557F147}">
      <text>
        <r>
          <rPr>
            <b/>
            <sz val="9"/>
            <color indexed="81"/>
            <rFont val="Tahoma"/>
            <family val="2"/>
          </rPr>
          <t>&lt;[[TCDeals] - [Proxy Entities (Seq: 1)] Direct Phone - Both]&gt;</t>
        </r>
      </text>
    </comment>
    <comment ref="I708" authorId="1" shapeId="0" xr:uid="{2AD7E45F-78A6-4652-9A35-2F65AF6B7624}">
      <text>
        <r>
          <rPr>
            <b/>
            <sz val="9"/>
            <color indexed="81"/>
            <rFont val="Tahoma"/>
            <family val="2"/>
          </rPr>
          <t>&lt;[[TCDeals] - [Proxy Entities (Seq: 1)] Email Address 1 - Both]&gt;</t>
        </r>
      </text>
    </comment>
    <comment ref="J708" authorId="1" shapeId="0" xr:uid="{4B03BA64-F1A2-4290-8AD5-390263129A34}">
      <text>
        <r>
          <rPr>
            <b/>
            <sz val="9"/>
            <color indexed="81"/>
            <rFont val="Tahoma"/>
            <family val="2"/>
          </rPr>
          <t>&lt;[[TCDeals] - [Proxy Entities (Seq: 1)] Deal Entity Role - Both]&gt;</t>
        </r>
      </text>
    </comment>
    <comment ref="K708" authorId="1" shapeId="0" xr:uid="{E70BD47C-C3BA-48FB-BF77-51C0D0109585}">
      <text>
        <r>
          <rPr>
            <b/>
            <sz val="9"/>
            <color indexed="81"/>
            <rFont val="Tahoma"/>
            <family val="2"/>
          </rPr>
          <t>&lt;[[TCDeals] - [Proxy Entities (Seq: 1)] Company or Individual? - Both]&gt;</t>
        </r>
      </text>
    </comment>
    <comment ref="C709" authorId="1" shapeId="0" xr:uid="{AEF99263-470A-4D32-902D-99F26655636D}">
      <text>
        <r>
          <rPr>
            <b/>
            <sz val="9"/>
            <color indexed="81"/>
            <rFont val="Tahoma"/>
            <family val="2"/>
          </rPr>
          <t>&lt;[[TCDeals] - [Proxy Entities (Seq: 2)] Name (Doing Business As) - Both]&gt;</t>
        </r>
      </text>
    </comment>
    <comment ref="D709" authorId="1" shapeId="0" xr:uid="{7617EF54-22CA-43F3-B2C2-A990691A5A01}">
      <text>
        <r>
          <rPr>
            <b/>
            <sz val="9"/>
            <color indexed="81"/>
            <rFont val="Tahoma"/>
            <family val="2"/>
          </rPr>
          <t>&lt;[[TCDeals] - [Proxy Entities (Seq: 2)] Address 1 - Both]&gt;</t>
        </r>
      </text>
    </comment>
    <comment ref="E709" authorId="1" shapeId="0" xr:uid="{45344F92-5215-4EE5-A967-672113FB9F75}">
      <text>
        <r>
          <rPr>
            <b/>
            <sz val="9"/>
            <color indexed="81"/>
            <rFont val="Tahoma"/>
            <family val="2"/>
          </rPr>
          <t>&lt;[[TCDeals] - [Proxy Entities (Seq: 2)] City - Both]&gt;</t>
        </r>
      </text>
    </comment>
    <comment ref="F709" authorId="4" shapeId="0" xr:uid="{C7D3FF00-C11D-41B2-A331-D7F0E05FF331}">
      <text>
        <r>
          <rPr>
            <b/>
            <sz val="9"/>
            <color indexed="81"/>
            <rFont val="Tahoma"/>
            <family val="2"/>
          </rPr>
          <t>&lt;[[TCDeals] - [Proxy Entities (Seq: 2)] State - Send]&gt;</t>
        </r>
      </text>
    </comment>
    <comment ref="G709" authorId="1" shapeId="0" xr:uid="{799268F8-C518-40CC-A036-E11E8F20763B}">
      <text>
        <r>
          <rPr>
            <b/>
            <sz val="9"/>
            <color indexed="81"/>
            <rFont val="Tahoma"/>
            <family val="2"/>
          </rPr>
          <t>&lt;[[TCDeals] - [Proxy Entities (Seq: 2)] Zip Code - Both]&gt;</t>
        </r>
      </text>
    </comment>
    <comment ref="H709" authorId="1" shapeId="0" xr:uid="{EDC48A7B-56C6-4482-9259-3AF4F421FBD9}">
      <text>
        <r>
          <rPr>
            <b/>
            <sz val="9"/>
            <color indexed="81"/>
            <rFont val="Tahoma"/>
            <family val="2"/>
          </rPr>
          <t>&lt;[[TCDeals] - [Proxy Entities (Seq: 2)] Direct Phone - Both]&gt;</t>
        </r>
      </text>
    </comment>
    <comment ref="I709" authorId="1" shapeId="0" xr:uid="{F8CDCCD9-C742-4729-ADE8-5B86F52FD5BF}">
      <text>
        <r>
          <rPr>
            <b/>
            <sz val="9"/>
            <color indexed="81"/>
            <rFont val="Tahoma"/>
            <family val="2"/>
          </rPr>
          <t>&lt;[[TCDeals] - [Proxy Entities (Seq: 2)] Email Address 1 - Both]&gt;</t>
        </r>
      </text>
    </comment>
    <comment ref="J709" authorId="1" shapeId="0" xr:uid="{17D8A768-C2B3-43FF-B098-456EB6778FBE}">
      <text>
        <r>
          <rPr>
            <b/>
            <sz val="9"/>
            <color indexed="81"/>
            <rFont val="Tahoma"/>
            <family val="2"/>
          </rPr>
          <t>&lt;[[TCDeals] - [Proxy Entities (Seq: 2)] Deal Entity Role - Both]&gt;</t>
        </r>
      </text>
    </comment>
    <comment ref="K709" authorId="1" shapeId="0" xr:uid="{36556948-C746-4B51-B7FF-A0ABBF833478}">
      <text>
        <r>
          <rPr>
            <b/>
            <sz val="9"/>
            <color indexed="81"/>
            <rFont val="Tahoma"/>
            <family val="2"/>
          </rPr>
          <t>&lt;[[TCDeals] - [Proxy Entities (Seq: 2)] Company or Individual? - Both]&gt;</t>
        </r>
      </text>
    </comment>
    <comment ref="C710" authorId="1" shapeId="0" xr:uid="{6807AC01-2DA9-4413-969A-069864AB0643}">
      <text>
        <r>
          <rPr>
            <b/>
            <sz val="9"/>
            <color indexed="81"/>
            <rFont val="Tahoma"/>
            <family val="2"/>
          </rPr>
          <t>&lt;[[TCDeals] - [Proxy Entities (Seq: 3)] Name (Doing Business As) - Both]&gt;</t>
        </r>
      </text>
    </comment>
    <comment ref="D710" authorId="1" shapeId="0" xr:uid="{F5EDE2DD-C330-482D-B492-3D3B9CFCD278}">
      <text>
        <r>
          <rPr>
            <b/>
            <sz val="9"/>
            <color indexed="81"/>
            <rFont val="Tahoma"/>
            <family val="2"/>
          </rPr>
          <t>&lt;[[TCDeals] - [Proxy Entities (Seq: 3)] Address 1 - Both]&gt;</t>
        </r>
      </text>
    </comment>
    <comment ref="E710" authorId="1" shapeId="0" xr:uid="{95689520-A25C-47BA-A0C5-78220F91171D}">
      <text>
        <r>
          <rPr>
            <b/>
            <sz val="9"/>
            <color indexed="81"/>
            <rFont val="Tahoma"/>
            <family val="2"/>
          </rPr>
          <t>&lt;[[TCDeals] - [Proxy Entities (Seq: 3)] City - Both]&gt;</t>
        </r>
      </text>
    </comment>
    <comment ref="F710" authorId="4" shapeId="0" xr:uid="{238A1912-FA43-44A9-8785-0A8C39893C8E}">
      <text>
        <r>
          <rPr>
            <b/>
            <sz val="9"/>
            <color indexed="81"/>
            <rFont val="Tahoma"/>
            <family val="2"/>
          </rPr>
          <t>&lt;[[TCDeals] - [Proxy Entities (Seq: 3)] State - Send]&gt;</t>
        </r>
      </text>
    </comment>
    <comment ref="G710" authorId="1" shapeId="0" xr:uid="{C7D34B6E-19B5-4913-B3E6-29B02D91ADBB}">
      <text>
        <r>
          <rPr>
            <b/>
            <sz val="9"/>
            <color indexed="81"/>
            <rFont val="Tahoma"/>
            <family val="2"/>
          </rPr>
          <t>&lt;[[TCDeals] - [Proxy Entities (Seq: 3)] Zip Code - Both]&gt;</t>
        </r>
      </text>
    </comment>
    <comment ref="H710" authorId="1" shapeId="0" xr:uid="{51F49A28-BDC8-4A25-B130-041937319FF0}">
      <text>
        <r>
          <rPr>
            <b/>
            <sz val="9"/>
            <color indexed="81"/>
            <rFont val="Tahoma"/>
            <family val="2"/>
          </rPr>
          <t>&lt;[[TCDeals] - [Proxy Entities (Seq: 3)] Direct Phone - Both]&gt;</t>
        </r>
      </text>
    </comment>
    <comment ref="I710" authorId="1" shapeId="0" xr:uid="{4E1AE4A5-1EB2-4BD4-913A-F47C65236773}">
      <text>
        <r>
          <rPr>
            <b/>
            <sz val="9"/>
            <color indexed="81"/>
            <rFont val="Tahoma"/>
            <family val="2"/>
          </rPr>
          <t>&lt;[[TCDeals] - [Proxy Entities (Seq: 3)] Email Address 1 - Both]&gt;</t>
        </r>
      </text>
    </comment>
    <comment ref="J710" authorId="1" shapeId="0" xr:uid="{4C852C63-573B-44B9-BE25-3067B2BF6B26}">
      <text>
        <r>
          <rPr>
            <b/>
            <sz val="9"/>
            <color indexed="81"/>
            <rFont val="Tahoma"/>
            <family val="2"/>
          </rPr>
          <t>&lt;[[TCDeals] - [Proxy Entities (Seq: 3)] Deal Entity Role - Both]&gt;</t>
        </r>
      </text>
    </comment>
    <comment ref="K710" authorId="1" shapeId="0" xr:uid="{9D5D3537-8A64-469B-85EE-55D07FC9A115}">
      <text>
        <r>
          <rPr>
            <b/>
            <sz val="9"/>
            <color indexed="81"/>
            <rFont val="Tahoma"/>
            <family val="2"/>
          </rPr>
          <t>&lt;[[TCDeals] - [Proxy Entities (Seq: 3)] Company or Individual? - Both]&gt;</t>
        </r>
      </text>
    </comment>
    <comment ref="C711" authorId="1" shapeId="0" xr:uid="{E8657BEE-CBA5-41A5-867B-F4B8D3761417}">
      <text>
        <r>
          <rPr>
            <b/>
            <sz val="9"/>
            <color indexed="81"/>
            <rFont val="Tahoma"/>
            <family val="2"/>
          </rPr>
          <t>&lt;[[TCDeals] - [Proxy Entities (Seq: 4)] Name (Doing Business As) - Both]&gt;</t>
        </r>
      </text>
    </comment>
    <comment ref="D711" authorId="1" shapeId="0" xr:uid="{D9E54F00-F05D-4A04-8271-F948C3A73992}">
      <text>
        <r>
          <rPr>
            <b/>
            <sz val="9"/>
            <color indexed="81"/>
            <rFont val="Tahoma"/>
            <family val="2"/>
          </rPr>
          <t>&lt;[[TCDeals] - [Proxy Entities (Seq: 4)] Address 1 - Both]&gt;</t>
        </r>
      </text>
    </comment>
    <comment ref="E711" authorId="1" shapeId="0" xr:uid="{390A7014-F444-4BB7-A93E-BFC90A614A56}">
      <text>
        <r>
          <rPr>
            <b/>
            <sz val="9"/>
            <color indexed="81"/>
            <rFont val="Tahoma"/>
            <family val="2"/>
          </rPr>
          <t>&lt;[[TCDeals] - [Proxy Entities (Seq: 4)] City - Both]&gt;</t>
        </r>
      </text>
    </comment>
    <comment ref="F711" authorId="4" shapeId="0" xr:uid="{E6ED927B-A234-4062-B737-C43E260EEB38}">
      <text>
        <r>
          <rPr>
            <b/>
            <sz val="9"/>
            <color indexed="81"/>
            <rFont val="Tahoma"/>
            <family val="2"/>
          </rPr>
          <t>&lt;[[TCDeals] - [Proxy Entities (Seq: 4)] State - Send]&gt;</t>
        </r>
      </text>
    </comment>
    <comment ref="G711" authorId="1" shapeId="0" xr:uid="{DCF6F512-D57E-43F5-A36F-ADFFAB43B2C0}">
      <text>
        <r>
          <rPr>
            <b/>
            <sz val="9"/>
            <color indexed="81"/>
            <rFont val="Tahoma"/>
            <family val="2"/>
          </rPr>
          <t>&lt;[[TCDeals] - [Proxy Entities (Seq: 4)] Zip Code - Both]&gt;</t>
        </r>
      </text>
    </comment>
    <comment ref="H711" authorId="1" shapeId="0" xr:uid="{557BDDC1-AFDC-4620-9D74-3E229089C2F0}">
      <text>
        <r>
          <rPr>
            <b/>
            <sz val="9"/>
            <color indexed="81"/>
            <rFont val="Tahoma"/>
            <family val="2"/>
          </rPr>
          <t>&lt;[[TCDeals] - [Proxy Entities (Seq: 4)] Direct Phone - Both]&gt;</t>
        </r>
      </text>
    </comment>
    <comment ref="I711" authorId="1" shapeId="0" xr:uid="{6082239B-7AE5-4FFA-9978-A1264A942006}">
      <text>
        <r>
          <rPr>
            <b/>
            <sz val="9"/>
            <color indexed="81"/>
            <rFont val="Tahoma"/>
            <family val="2"/>
          </rPr>
          <t>&lt;[[TCDeals] - [Proxy Entities (Seq: 4)] Email Address 1 - Both]&gt;</t>
        </r>
      </text>
    </comment>
    <comment ref="J711" authorId="1" shapeId="0" xr:uid="{CC647D29-78EE-4F33-9CB5-5DA4A2614168}">
      <text>
        <r>
          <rPr>
            <b/>
            <sz val="9"/>
            <color indexed="81"/>
            <rFont val="Tahoma"/>
            <family val="2"/>
          </rPr>
          <t>&lt;[[TCDeals] - [Proxy Entities (Seq: 4)] Deal Entity Role - Both]&gt;</t>
        </r>
      </text>
    </comment>
    <comment ref="K711" authorId="1" shapeId="0" xr:uid="{58C9A967-3620-4E48-AAB3-F5CD4E3BF026}">
      <text>
        <r>
          <rPr>
            <b/>
            <sz val="9"/>
            <color indexed="81"/>
            <rFont val="Tahoma"/>
            <family val="2"/>
          </rPr>
          <t>&lt;[[TCDeals] - [Proxy Entities (Seq: 4)] Company or Individual? - Both]&gt;</t>
        </r>
      </text>
    </comment>
    <comment ref="C712" authorId="1" shapeId="0" xr:uid="{A0BE99BE-4B28-4848-8C28-9E1741D85EC7}">
      <text>
        <r>
          <rPr>
            <b/>
            <sz val="9"/>
            <color indexed="81"/>
            <rFont val="Tahoma"/>
            <family val="2"/>
          </rPr>
          <t>&lt;[[TCDeals] - [Proxy Entities (Seq: 5)] Name (Doing Business As) - Both]&gt;</t>
        </r>
      </text>
    </comment>
    <comment ref="D712" authorId="1" shapeId="0" xr:uid="{DD7B1929-C549-423F-97FF-ABFC0A603FE3}">
      <text>
        <r>
          <rPr>
            <b/>
            <sz val="9"/>
            <color indexed="81"/>
            <rFont val="Tahoma"/>
            <family val="2"/>
          </rPr>
          <t>&lt;[[TCDeals] - [Proxy Entities (Seq: 5)] Address 1 - Both]&gt;</t>
        </r>
      </text>
    </comment>
    <comment ref="E712" authorId="1" shapeId="0" xr:uid="{EA1289D1-FFBE-49EA-A0CF-A285D015ADA9}">
      <text>
        <r>
          <rPr>
            <b/>
            <sz val="9"/>
            <color indexed="81"/>
            <rFont val="Tahoma"/>
            <family val="2"/>
          </rPr>
          <t>&lt;[[TCDeals] - [Proxy Entities (Seq: 5)] City - Both]&gt;</t>
        </r>
      </text>
    </comment>
    <comment ref="F712" authorId="4" shapeId="0" xr:uid="{F0F65819-9A27-4123-859C-5536C2F1DA14}">
      <text>
        <r>
          <rPr>
            <b/>
            <sz val="9"/>
            <color indexed="81"/>
            <rFont val="Tahoma"/>
            <family val="2"/>
          </rPr>
          <t>&lt;[[TCDeals] - [Proxy Entities (Seq: 5)] State - Send]&gt;</t>
        </r>
      </text>
    </comment>
    <comment ref="G712" authorId="1" shapeId="0" xr:uid="{362446F2-D7E5-4326-8849-21A696D022E4}">
      <text>
        <r>
          <rPr>
            <b/>
            <sz val="9"/>
            <color indexed="81"/>
            <rFont val="Tahoma"/>
            <family val="2"/>
          </rPr>
          <t>&lt;[[TCDeals] - [Proxy Entities (Seq: 5)] Zip Code - Both]&gt;</t>
        </r>
      </text>
    </comment>
    <comment ref="H712" authorId="1" shapeId="0" xr:uid="{BD11244C-6A97-406B-B89D-259382BF7F70}">
      <text>
        <r>
          <rPr>
            <b/>
            <sz val="9"/>
            <color indexed="81"/>
            <rFont val="Tahoma"/>
            <family val="2"/>
          </rPr>
          <t>&lt;[[TCDeals] - [Proxy Entities (Seq: 5)] Direct Phone - Both]&gt;</t>
        </r>
      </text>
    </comment>
    <comment ref="I712" authorId="1" shapeId="0" xr:uid="{E779AF04-570D-424D-8FCB-BDD407616BBB}">
      <text>
        <r>
          <rPr>
            <b/>
            <sz val="9"/>
            <color indexed="81"/>
            <rFont val="Tahoma"/>
            <family val="2"/>
          </rPr>
          <t>&lt;[[TCDeals] - [Proxy Entities (Seq: 5)] Email Address 1 - Both]&gt;</t>
        </r>
      </text>
    </comment>
    <comment ref="J712" authorId="1" shapeId="0" xr:uid="{9EA3C75A-2922-4DAE-B420-D4AC76BE1B49}">
      <text>
        <r>
          <rPr>
            <b/>
            <sz val="9"/>
            <color indexed="81"/>
            <rFont val="Tahoma"/>
            <family val="2"/>
          </rPr>
          <t>&lt;[[TCDeals] - [Proxy Entities (Seq: 5)] Deal Entity Role - Both]&gt;</t>
        </r>
      </text>
    </comment>
    <comment ref="K712" authorId="1" shapeId="0" xr:uid="{14796096-62D0-4785-A0D1-11FC83501149}">
      <text>
        <r>
          <rPr>
            <b/>
            <sz val="9"/>
            <color indexed="81"/>
            <rFont val="Tahoma"/>
            <family val="2"/>
          </rPr>
          <t>&lt;[[TCDeals] - [Proxy Entities (Seq: 5)] Company or Individual? - Both]&gt;</t>
        </r>
      </text>
    </comment>
    <comment ref="C713" authorId="1" shapeId="0" xr:uid="{39B68631-5B31-4394-BBD1-ACC5F2248095}">
      <text>
        <r>
          <rPr>
            <b/>
            <sz val="9"/>
            <color indexed="81"/>
            <rFont val="Tahoma"/>
            <family val="2"/>
          </rPr>
          <t>&lt;[[TCDeals] - [Proxy Entities (Seq: 6)] Name (Doing Business As) - Both]&gt;</t>
        </r>
      </text>
    </comment>
    <comment ref="D713" authorId="1" shapeId="0" xr:uid="{A72BAF23-97AA-4E23-A5EB-B343D4A1F9E4}">
      <text>
        <r>
          <rPr>
            <b/>
            <sz val="9"/>
            <color indexed="81"/>
            <rFont val="Tahoma"/>
            <family val="2"/>
          </rPr>
          <t>&lt;[[TCDeals] - [Proxy Entities (Seq: 6)] Address 1 - Both]&gt;</t>
        </r>
      </text>
    </comment>
    <comment ref="E713" authorId="1" shapeId="0" xr:uid="{331FA482-9E98-4FAE-ACB7-4DEB2435AB4A}">
      <text>
        <r>
          <rPr>
            <b/>
            <sz val="9"/>
            <color indexed="81"/>
            <rFont val="Tahoma"/>
            <family val="2"/>
          </rPr>
          <t>&lt;[[TCDeals] - [Proxy Entities (Seq: 6)] City - Both]&gt;</t>
        </r>
      </text>
    </comment>
    <comment ref="F713" authorId="4" shapeId="0" xr:uid="{03CE1B9F-03E5-4EEE-B19B-D09324AC92E3}">
      <text>
        <r>
          <rPr>
            <b/>
            <sz val="9"/>
            <color indexed="81"/>
            <rFont val="Tahoma"/>
            <family val="2"/>
          </rPr>
          <t>&lt;[[TCDeals] - [Proxy Entities (Seq: 6)] State - Send]&gt;</t>
        </r>
      </text>
    </comment>
    <comment ref="G713" authorId="1" shapeId="0" xr:uid="{9FA2A776-CCA2-415C-A6E1-DC52A2787418}">
      <text>
        <r>
          <rPr>
            <b/>
            <sz val="9"/>
            <color indexed="81"/>
            <rFont val="Tahoma"/>
            <family val="2"/>
          </rPr>
          <t>&lt;[[TCDeals] - [Proxy Entities (Seq: 6)] Zip Code - Both]&gt;</t>
        </r>
      </text>
    </comment>
    <comment ref="H713" authorId="1" shapeId="0" xr:uid="{904F0BBE-7784-4071-A98D-BA515BA057C7}">
      <text>
        <r>
          <rPr>
            <b/>
            <sz val="9"/>
            <color indexed="81"/>
            <rFont val="Tahoma"/>
            <family val="2"/>
          </rPr>
          <t>&lt;[[TCDeals] - [Proxy Entities (Seq: 6)] Direct Phone - Both]&gt;</t>
        </r>
      </text>
    </comment>
    <comment ref="I713" authorId="1" shapeId="0" xr:uid="{88D5D200-FCA5-4BC9-AA0E-5C2114FF070B}">
      <text>
        <r>
          <rPr>
            <b/>
            <sz val="9"/>
            <color indexed="81"/>
            <rFont val="Tahoma"/>
            <family val="2"/>
          </rPr>
          <t>&lt;[[TCDeals] - [Proxy Entities (Seq: 6)] Email Address 1 - Both]&gt;</t>
        </r>
      </text>
    </comment>
    <comment ref="J713" authorId="1" shapeId="0" xr:uid="{F7C1C665-3B79-4BF3-8B13-6FE973E3C882}">
      <text>
        <r>
          <rPr>
            <b/>
            <sz val="9"/>
            <color indexed="81"/>
            <rFont val="Tahoma"/>
            <family val="2"/>
          </rPr>
          <t>&lt;[[TCDeals] - [Proxy Entities (Seq: 6)] Deal Entity Role - Both]&gt;</t>
        </r>
      </text>
    </comment>
    <comment ref="K713" authorId="1" shapeId="0" xr:uid="{504E5D60-FF1F-4662-A8ED-DE8D9D8FA220}">
      <text>
        <r>
          <rPr>
            <b/>
            <sz val="9"/>
            <color indexed="81"/>
            <rFont val="Tahoma"/>
            <family val="2"/>
          </rPr>
          <t>&lt;[[TCDeals] - [Proxy Entities (Seq: 6)] Company or Individual? - Both]&gt;</t>
        </r>
      </text>
    </comment>
    <comment ref="C714" authorId="1" shapeId="0" xr:uid="{2D920416-FE4B-4E82-A8D4-1A2F23195233}">
      <text>
        <r>
          <rPr>
            <b/>
            <sz val="9"/>
            <color indexed="81"/>
            <rFont val="Tahoma"/>
            <family val="2"/>
          </rPr>
          <t>&lt;[[TCDeals] - [Proxy Entities (Seq: 7)] Name (Doing Business As) - Both]&gt;</t>
        </r>
      </text>
    </comment>
    <comment ref="D714" authorId="1" shapeId="0" xr:uid="{A2F51783-613F-48C4-B37B-BC6506FF0BBF}">
      <text>
        <r>
          <rPr>
            <b/>
            <sz val="9"/>
            <color indexed="81"/>
            <rFont val="Tahoma"/>
            <family val="2"/>
          </rPr>
          <t>&lt;[[TCDeals] - [Proxy Entities (Seq: 7)] Address 1 - Both]&gt;</t>
        </r>
      </text>
    </comment>
    <comment ref="E714" authorId="1" shapeId="0" xr:uid="{A8A4B14E-62A0-409D-81E9-2C51D88A8840}">
      <text>
        <r>
          <rPr>
            <b/>
            <sz val="9"/>
            <color indexed="81"/>
            <rFont val="Tahoma"/>
            <family val="2"/>
          </rPr>
          <t>&lt;[[TCDeals] - [Proxy Entities (Seq: 7)] City - Both]&gt;</t>
        </r>
      </text>
    </comment>
    <comment ref="F714" authorId="4" shapeId="0" xr:uid="{EA796649-DC32-4632-B000-B0ACFFFE6F1D}">
      <text>
        <r>
          <rPr>
            <b/>
            <sz val="9"/>
            <color indexed="81"/>
            <rFont val="Tahoma"/>
            <family val="2"/>
          </rPr>
          <t>&lt;[[TCDeals] - [Proxy Entities (Seq: 7)] State - Send]&gt;</t>
        </r>
      </text>
    </comment>
    <comment ref="G714" authorId="1" shapeId="0" xr:uid="{0D797071-0D56-4265-B652-2EDBDBD1FB7D}">
      <text>
        <r>
          <rPr>
            <b/>
            <sz val="9"/>
            <color indexed="81"/>
            <rFont val="Tahoma"/>
            <family val="2"/>
          </rPr>
          <t>&lt;[[TCDeals] - [Proxy Entities (Seq: 7)] Zip Code - Both]&gt;</t>
        </r>
      </text>
    </comment>
    <comment ref="H714" authorId="1" shapeId="0" xr:uid="{98FA34DE-102C-45A7-A95A-722ACB923ADC}">
      <text>
        <r>
          <rPr>
            <b/>
            <sz val="9"/>
            <color indexed="81"/>
            <rFont val="Tahoma"/>
            <family val="2"/>
          </rPr>
          <t>&lt;[[TCDeals] - [Proxy Entities (Seq: 7)] Direct Phone - Both]&gt;</t>
        </r>
      </text>
    </comment>
    <comment ref="I714" authorId="1" shapeId="0" xr:uid="{513C6ADA-8579-4D72-BF2A-C1572A20B265}">
      <text>
        <r>
          <rPr>
            <b/>
            <sz val="9"/>
            <color indexed="81"/>
            <rFont val="Tahoma"/>
            <family val="2"/>
          </rPr>
          <t>&lt;[[TCDeals] - [Proxy Entities (Seq: 7)] Email Address 1 - Both]&gt;</t>
        </r>
      </text>
    </comment>
    <comment ref="J714" authorId="1" shapeId="0" xr:uid="{8F389638-540D-4C68-A954-1B4B8D61F9F5}">
      <text>
        <r>
          <rPr>
            <b/>
            <sz val="9"/>
            <color indexed="81"/>
            <rFont val="Tahoma"/>
            <family val="2"/>
          </rPr>
          <t>&lt;[[TCDeals] - [Proxy Entities (Seq: 7)] Deal Entity Role - Both]&gt;</t>
        </r>
      </text>
    </comment>
    <comment ref="K714" authorId="1" shapeId="0" xr:uid="{068B8127-31D8-4D31-A6ED-50A778D7BC3E}">
      <text>
        <r>
          <rPr>
            <b/>
            <sz val="9"/>
            <color indexed="81"/>
            <rFont val="Tahoma"/>
            <family val="2"/>
          </rPr>
          <t>&lt;[[TCDeals] - [Proxy Entities (Seq: 7)] Company or Individual? - Both]&gt;</t>
        </r>
      </text>
    </comment>
    <comment ref="C715" authorId="1" shapeId="0" xr:uid="{F67A2564-7882-4479-9ED8-6BBF9B01BF44}">
      <text>
        <r>
          <rPr>
            <b/>
            <sz val="9"/>
            <color indexed="81"/>
            <rFont val="Tahoma"/>
            <family val="2"/>
          </rPr>
          <t>&lt;[[TCDeals] - [Proxy Entities (Seq: 8)] Name (Doing Business As) - Both]&gt;</t>
        </r>
      </text>
    </comment>
    <comment ref="D715" authorId="1" shapeId="0" xr:uid="{3D875AEE-6E92-4240-A6C7-4360455FBF5F}">
      <text>
        <r>
          <rPr>
            <b/>
            <sz val="9"/>
            <color indexed="81"/>
            <rFont val="Tahoma"/>
            <family val="2"/>
          </rPr>
          <t>&lt;[[TCDeals] - [Proxy Entities (Seq: 8)] Address 1 - Both]&gt;</t>
        </r>
      </text>
    </comment>
    <comment ref="E715" authorId="1" shapeId="0" xr:uid="{8E63B8C6-D351-46ED-B403-E720E6024156}">
      <text>
        <r>
          <rPr>
            <b/>
            <sz val="9"/>
            <color indexed="81"/>
            <rFont val="Tahoma"/>
            <family val="2"/>
          </rPr>
          <t>&lt;[[TCDeals] - [Proxy Entities (Seq: 8)] City - Both]&gt;</t>
        </r>
      </text>
    </comment>
    <comment ref="F715" authorId="4" shapeId="0" xr:uid="{BB1C09DA-E4F1-46AB-9FEE-DB257369391F}">
      <text>
        <r>
          <rPr>
            <b/>
            <sz val="9"/>
            <color indexed="81"/>
            <rFont val="Tahoma"/>
            <family val="2"/>
          </rPr>
          <t>&lt;[[TCDeals] - [Proxy Entities (Seq: 8)] State - Send]&gt;</t>
        </r>
      </text>
    </comment>
    <comment ref="G715" authorId="1" shapeId="0" xr:uid="{D31FDFA5-885B-4062-92E0-99E45EB03A2A}">
      <text>
        <r>
          <rPr>
            <b/>
            <sz val="9"/>
            <color indexed="81"/>
            <rFont val="Tahoma"/>
            <family val="2"/>
          </rPr>
          <t>&lt;[[TCDeals] - [Proxy Entities (Seq: 8)] Zip Code - Both]&gt;</t>
        </r>
      </text>
    </comment>
    <comment ref="H715" authorId="1" shapeId="0" xr:uid="{93823A4F-D200-4AAF-8E82-1EC6448C0231}">
      <text>
        <r>
          <rPr>
            <b/>
            <sz val="9"/>
            <color indexed="81"/>
            <rFont val="Tahoma"/>
            <family val="2"/>
          </rPr>
          <t>&lt;[[TCDeals] - [Proxy Entities (Seq: 8)] Direct Phone - Both]&gt;</t>
        </r>
      </text>
    </comment>
    <comment ref="I715" authorId="1" shapeId="0" xr:uid="{6B4977E7-5329-4D35-8997-7962342D36D8}">
      <text>
        <r>
          <rPr>
            <b/>
            <sz val="9"/>
            <color indexed="81"/>
            <rFont val="Tahoma"/>
            <family val="2"/>
          </rPr>
          <t>&lt;[[TCDeals] - [Proxy Entities (Seq: 8)] Email Address 1 - Both]&gt;</t>
        </r>
      </text>
    </comment>
    <comment ref="J715" authorId="1" shapeId="0" xr:uid="{1621088C-2D20-4348-ABB4-9134CE82804B}">
      <text>
        <r>
          <rPr>
            <b/>
            <sz val="9"/>
            <color indexed="81"/>
            <rFont val="Tahoma"/>
            <family val="2"/>
          </rPr>
          <t>&lt;[[TCDeals] - [Proxy Entities (Seq: 8)] Deal Entity Role - Both]&gt;</t>
        </r>
      </text>
    </comment>
    <comment ref="K715" authorId="1" shapeId="0" xr:uid="{ABCC3DC7-CD87-4EC4-B6D4-7461A751CEEC}">
      <text>
        <r>
          <rPr>
            <b/>
            <sz val="9"/>
            <color indexed="81"/>
            <rFont val="Tahoma"/>
            <family val="2"/>
          </rPr>
          <t>&lt;[[TCDeals] - [Proxy Entities (Seq: 8)] Company or Individual? - Both]&gt;</t>
        </r>
      </text>
    </comment>
    <comment ref="C716" authorId="1" shapeId="0" xr:uid="{08C67485-BFA8-426D-B975-77234327536C}">
      <text>
        <r>
          <rPr>
            <b/>
            <sz val="9"/>
            <color indexed="81"/>
            <rFont val="Tahoma"/>
            <family val="2"/>
          </rPr>
          <t>&lt;[[TCDeals] - [Proxy Entities (Seq: 9)] Name (Doing Business As) - Both]&gt;</t>
        </r>
      </text>
    </comment>
    <comment ref="D716" authorId="1" shapeId="0" xr:uid="{92D4D21D-9FE1-4DC0-9A9E-53AB5BADE143}">
      <text>
        <r>
          <rPr>
            <b/>
            <sz val="9"/>
            <color indexed="81"/>
            <rFont val="Tahoma"/>
            <family val="2"/>
          </rPr>
          <t>&lt;[[TCDeals] - [Proxy Entities (Seq: 9)] Address 1 - Both]&gt;</t>
        </r>
      </text>
    </comment>
    <comment ref="E716" authorId="1" shapeId="0" xr:uid="{E7CEEF4E-5674-4DD2-BCF8-DECDFC58C77C}">
      <text>
        <r>
          <rPr>
            <b/>
            <sz val="9"/>
            <color indexed="81"/>
            <rFont val="Tahoma"/>
            <family val="2"/>
          </rPr>
          <t>&lt;[[TCDeals] - [Proxy Entities (Seq: 9)] City - Both]&gt;</t>
        </r>
      </text>
    </comment>
    <comment ref="F716" authorId="4" shapeId="0" xr:uid="{234862D2-0F63-4B88-934C-BCB5C14C5BDB}">
      <text>
        <r>
          <rPr>
            <b/>
            <sz val="9"/>
            <color indexed="81"/>
            <rFont val="Tahoma"/>
            <family val="2"/>
          </rPr>
          <t>&lt;[[TCDeals] - [Proxy Entities (Seq: 9)] State - Send]&gt;</t>
        </r>
      </text>
    </comment>
    <comment ref="G716" authorId="1" shapeId="0" xr:uid="{802E36FF-2D6A-4FFD-9D7C-206240DA83C5}">
      <text>
        <r>
          <rPr>
            <b/>
            <sz val="9"/>
            <color indexed="81"/>
            <rFont val="Tahoma"/>
            <family val="2"/>
          </rPr>
          <t>&lt;[[TCDeals] - [Proxy Entities (Seq: 9)] Zip Code - Both]&gt;</t>
        </r>
      </text>
    </comment>
    <comment ref="H716" authorId="1" shapeId="0" xr:uid="{ACCD4CEC-FA60-4195-94B2-10CA63B4FC57}">
      <text>
        <r>
          <rPr>
            <b/>
            <sz val="9"/>
            <color indexed="81"/>
            <rFont val="Tahoma"/>
            <family val="2"/>
          </rPr>
          <t>&lt;[[TCDeals] - [Proxy Entities (Seq: 9)] Direct Phone - Both]&gt;</t>
        </r>
      </text>
    </comment>
    <comment ref="I716" authorId="1" shapeId="0" xr:uid="{71A9AC21-BC49-4B1E-A155-65D121438F71}">
      <text>
        <r>
          <rPr>
            <b/>
            <sz val="9"/>
            <color indexed="81"/>
            <rFont val="Tahoma"/>
            <family val="2"/>
          </rPr>
          <t>&lt;[[TCDeals] - [Proxy Entities (Seq: 9)] Email Address 1 - Both]&gt;</t>
        </r>
      </text>
    </comment>
    <comment ref="J716" authorId="1" shapeId="0" xr:uid="{47110F0B-3512-4B46-AE27-91FCD5D70119}">
      <text>
        <r>
          <rPr>
            <b/>
            <sz val="9"/>
            <color indexed="81"/>
            <rFont val="Tahoma"/>
            <family val="2"/>
          </rPr>
          <t>&lt;[[TCDeals] - [Proxy Entities (Seq: 9)] Deal Entity Role - Both]&gt;</t>
        </r>
      </text>
    </comment>
    <comment ref="K716" authorId="1" shapeId="0" xr:uid="{5571128B-C28D-4A2F-8A7B-C9FB8CCB8341}">
      <text>
        <r>
          <rPr>
            <b/>
            <sz val="9"/>
            <color indexed="81"/>
            <rFont val="Tahoma"/>
            <family val="2"/>
          </rPr>
          <t>&lt;[[TCDeals] - [Proxy Entities (Seq: 9)] Company or Individual? - Both]&gt;</t>
        </r>
      </text>
    </comment>
    <comment ref="C717" authorId="1" shapeId="0" xr:uid="{F5B61EEB-0D78-4692-82EE-8AFBF9AEF806}">
      <text>
        <r>
          <rPr>
            <b/>
            <sz val="9"/>
            <color indexed="81"/>
            <rFont val="Tahoma"/>
            <family val="2"/>
          </rPr>
          <t>&lt;[[TCDeals] - [Proxy Entities (Seq: 10)] Name (Doing Business As) - Both]&gt;</t>
        </r>
      </text>
    </comment>
    <comment ref="D717" authorId="1" shapeId="0" xr:uid="{DE39B304-EC7A-4240-8B5A-54535DE9DAE8}">
      <text>
        <r>
          <rPr>
            <b/>
            <sz val="9"/>
            <color indexed="81"/>
            <rFont val="Tahoma"/>
            <family val="2"/>
          </rPr>
          <t>&lt;[[TCDeals] - [Proxy Entities (Seq: 10)] Address 1 - Both]&gt;</t>
        </r>
      </text>
    </comment>
    <comment ref="E717" authorId="1" shapeId="0" xr:uid="{D9ED6988-FF75-49EA-B6BB-EB9D82CD3AA9}">
      <text>
        <r>
          <rPr>
            <b/>
            <sz val="9"/>
            <color indexed="81"/>
            <rFont val="Tahoma"/>
            <family val="2"/>
          </rPr>
          <t>&lt;[[TCDeals] - [Proxy Entities (Seq: 10)] City - Both]&gt;</t>
        </r>
      </text>
    </comment>
    <comment ref="F717" authorId="4" shapeId="0" xr:uid="{1590D2C2-1EFB-49F0-BF18-AACA8E7F23CD}">
      <text>
        <r>
          <rPr>
            <b/>
            <sz val="9"/>
            <color indexed="81"/>
            <rFont val="Tahoma"/>
            <family val="2"/>
          </rPr>
          <t>&lt;[[TCDeals] - [Proxy Entities (Seq: 10)] State - Send]&gt;</t>
        </r>
      </text>
    </comment>
    <comment ref="G717" authorId="1" shapeId="0" xr:uid="{53C18D7D-2938-460F-99D0-933B789FB52D}">
      <text>
        <r>
          <rPr>
            <b/>
            <sz val="9"/>
            <color indexed="81"/>
            <rFont val="Tahoma"/>
            <family val="2"/>
          </rPr>
          <t>&lt;[[TCDeals] - [Proxy Entities (Seq: 10)] Zip Code - Both]&gt;</t>
        </r>
      </text>
    </comment>
    <comment ref="H717" authorId="1" shapeId="0" xr:uid="{31B7429E-93EC-4820-8793-AE146E9D3F9B}">
      <text>
        <r>
          <rPr>
            <b/>
            <sz val="9"/>
            <color indexed="81"/>
            <rFont val="Tahoma"/>
            <family val="2"/>
          </rPr>
          <t>&lt;[[TCDeals] - [Proxy Entities (Seq: 10)] Direct Phone - Both]&gt;</t>
        </r>
      </text>
    </comment>
    <comment ref="I717" authorId="1" shapeId="0" xr:uid="{AFF2D4DD-CF9F-4B19-BCEF-D3DCA6E841E2}">
      <text>
        <r>
          <rPr>
            <b/>
            <sz val="9"/>
            <color indexed="81"/>
            <rFont val="Tahoma"/>
            <family val="2"/>
          </rPr>
          <t>&lt;[[TCDeals] - [Proxy Entities (Seq: 10)] Email Address 1 - Both]&gt;</t>
        </r>
      </text>
    </comment>
    <comment ref="J717" authorId="1" shapeId="0" xr:uid="{D82E6591-DA8B-4B51-9FD9-3A2A11143BCA}">
      <text>
        <r>
          <rPr>
            <b/>
            <sz val="9"/>
            <color indexed="81"/>
            <rFont val="Tahoma"/>
            <family val="2"/>
          </rPr>
          <t>&lt;[[TCDeals] - [Proxy Entities (Seq: 10)] Deal Entity Role - Both]&gt;</t>
        </r>
      </text>
    </comment>
    <comment ref="K717" authorId="1" shapeId="0" xr:uid="{2B420D0E-B3E0-4E6E-B538-43F122578FA5}">
      <text>
        <r>
          <rPr>
            <b/>
            <sz val="9"/>
            <color indexed="81"/>
            <rFont val="Tahoma"/>
            <family val="2"/>
          </rPr>
          <t>&lt;[[TCDeals] - [Proxy Entities (Seq: 10)] Company or Individual? - Both]&gt;</t>
        </r>
      </text>
    </comment>
    <comment ref="C718" authorId="1" shapeId="0" xr:uid="{840DF391-3920-407D-8F1B-5FC93D4ACCB5}">
      <text>
        <r>
          <rPr>
            <b/>
            <sz val="9"/>
            <color indexed="81"/>
            <rFont val="Tahoma"/>
            <family val="2"/>
          </rPr>
          <t>&lt;[[TCDeals] - [Proxy Entities (Seq: 11)] Name (Doing Business As) - Both]&gt;</t>
        </r>
      </text>
    </comment>
    <comment ref="D718" authorId="1" shapeId="0" xr:uid="{04635037-7967-478F-8FC3-3AE0B6A5B5A0}">
      <text>
        <r>
          <rPr>
            <b/>
            <sz val="9"/>
            <color indexed="81"/>
            <rFont val="Tahoma"/>
            <family val="2"/>
          </rPr>
          <t>&lt;[[TCDeals] - [Proxy Entities (Seq: 11)] Address 1 - Both]&gt;</t>
        </r>
      </text>
    </comment>
    <comment ref="E718" authorId="1" shapeId="0" xr:uid="{27B7871A-EB4D-4D2D-9288-D1F6ECD7788F}">
      <text>
        <r>
          <rPr>
            <b/>
            <sz val="9"/>
            <color indexed="81"/>
            <rFont val="Tahoma"/>
            <family val="2"/>
          </rPr>
          <t>&lt;[[TCDeals] - [Proxy Entities (Seq: 11)] City - Both]&gt;</t>
        </r>
      </text>
    </comment>
    <comment ref="F718" authorId="4" shapeId="0" xr:uid="{6EF55028-D218-48A7-94B5-20FEB43E1F69}">
      <text>
        <r>
          <rPr>
            <b/>
            <sz val="9"/>
            <color indexed="81"/>
            <rFont val="Tahoma"/>
            <family val="2"/>
          </rPr>
          <t>&lt;[[TCDeals] - [Proxy Entities (Seq: 11)] State - Send]&gt;</t>
        </r>
      </text>
    </comment>
    <comment ref="G718" authorId="1" shapeId="0" xr:uid="{1829F799-2E3E-4D5C-AB93-1021298FB0BF}">
      <text>
        <r>
          <rPr>
            <b/>
            <sz val="9"/>
            <color indexed="81"/>
            <rFont val="Tahoma"/>
            <family val="2"/>
          </rPr>
          <t>&lt;[[TCDeals] - [Proxy Entities (Seq: 11)] Zip Code - Both]&gt;</t>
        </r>
      </text>
    </comment>
    <comment ref="H718" authorId="1" shapeId="0" xr:uid="{48E858EF-ADA6-429D-BAAF-FB54109C7B31}">
      <text>
        <r>
          <rPr>
            <b/>
            <sz val="9"/>
            <color indexed="81"/>
            <rFont val="Tahoma"/>
            <family val="2"/>
          </rPr>
          <t>&lt;[[TCDeals] - [Proxy Entities (Seq: 11)] Direct Phone - Both]&gt;</t>
        </r>
      </text>
    </comment>
    <comment ref="I718" authorId="1" shapeId="0" xr:uid="{EB22D9E1-96ED-4AFA-ABD4-E9EE99FE456A}">
      <text>
        <r>
          <rPr>
            <b/>
            <sz val="9"/>
            <color indexed="81"/>
            <rFont val="Tahoma"/>
            <family val="2"/>
          </rPr>
          <t>&lt;[[TCDeals] - [Proxy Entities (Seq: 11)] Email Address 1 - Both]&gt;</t>
        </r>
      </text>
    </comment>
    <comment ref="J718" authorId="1" shapeId="0" xr:uid="{5BD5C0B7-ADFD-4974-A472-0328DE6BE6F3}">
      <text>
        <r>
          <rPr>
            <b/>
            <sz val="9"/>
            <color indexed="81"/>
            <rFont val="Tahoma"/>
            <family val="2"/>
          </rPr>
          <t>&lt;[[TCDeals] - [Proxy Entities (Seq: 11)] Deal Entity Role - Both]&gt;</t>
        </r>
      </text>
    </comment>
    <comment ref="K718" authorId="1" shapeId="0" xr:uid="{241C45C5-D1E9-49BF-9097-63C6E140CCC4}">
      <text>
        <r>
          <rPr>
            <b/>
            <sz val="9"/>
            <color indexed="81"/>
            <rFont val="Tahoma"/>
            <family val="2"/>
          </rPr>
          <t>&lt;[[TCDeals] - [Proxy Entities (Seq: 11)] Company or Individual? - Both]&gt;</t>
        </r>
      </text>
    </comment>
    <comment ref="C719" authorId="1" shapeId="0" xr:uid="{4D4B7C2D-84E2-4944-B5EB-38ADDE648BEB}">
      <text>
        <r>
          <rPr>
            <b/>
            <sz val="9"/>
            <color indexed="81"/>
            <rFont val="Tahoma"/>
            <family val="2"/>
          </rPr>
          <t>&lt;[[TCDeals] - [Proxy Entities (Seq: 12)] Name (Doing Business As) - Both]&gt;</t>
        </r>
      </text>
    </comment>
    <comment ref="D719" authorId="1" shapeId="0" xr:uid="{88BAFEE6-41C7-49F8-99B5-0755E9A2DE7E}">
      <text>
        <r>
          <rPr>
            <b/>
            <sz val="9"/>
            <color indexed="81"/>
            <rFont val="Tahoma"/>
            <family val="2"/>
          </rPr>
          <t>&lt;[[TCDeals] - [Proxy Entities (Seq: 12)] Address 1 - Both]&gt;</t>
        </r>
      </text>
    </comment>
    <comment ref="E719" authorId="1" shapeId="0" xr:uid="{06E5AF6D-3E6F-4EDF-87EC-AFAF2AB65FE3}">
      <text>
        <r>
          <rPr>
            <b/>
            <sz val="9"/>
            <color indexed="81"/>
            <rFont val="Tahoma"/>
            <family val="2"/>
          </rPr>
          <t>&lt;[[TCDeals] - [Proxy Entities (Seq: 12)] City - Both]&gt;</t>
        </r>
      </text>
    </comment>
    <comment ref="F719" authorId="4" shapeId="0" xr:uid="{20EBA923-5210-4FEE-85F4-E079BE7E3EEE}">
      <text>
        <r>
          <rPr>
            <b/>
            <sz val="9"/>
            <color indexed="81"/>
            <rFont val="Tahoma"/>
            <family val="2"/>
          </rPr>
          <t>&lt;[[TCDeals] - [Proxy Entities (Seq: 12)] State - Send]&gt;</t>
        </r>
      </text>
    </comment>
    <comment ref="G719" authorId="1" shapeId="0" xr:uid="{6C0F1B8A-A5A3-4EBC-8A54-87368A5761FE}">
      <text>
        <r>
          <rPr>
            <b/>
            <sz val="9"/>
            <color indexed="81"/>
            <rFont val="Tahoma"/>
            <family val="2"/>
          </rPr>
          <t>&lt;[[TCDeals] - [Proxy Entities (Seq: 12)] Zip Code - Both]&gt;</t>
        </r>
      </text>
    </comment>
    <comment ref="H719" authorId="1" shapeId="0" xr:uid="{2429A5B3-7769-4074-BA0E-C2DFD873CCF5}">
      <text>
        <r>
          <rPr>
            <b/>
            <sz val="9"/>
            <color indexed="81"/>
            <rFont val="Tahoma"/>
            <family val="2"/>
          </rPr>
          <t>&lt;[[TCDeals] - [Proxy Entities (Seq: 12)] Direct Phone - Both]&gt;</t>
        </r>
      </text>
    </comment>
    <comment ref="I719" authorId="1" shapeId="0" xr:uid="{A43C5C2D-188E-4397-9667-7C3BB345854A}">
      <text>
        <r>
          <rPr>
            <b/>
            <sz val="9"/>
            <color indexed="81"/>
            <rFont val="Tahoma"/>
            <family val="2"/>
          </rPr>
          <t>&lt;[[TCDeals] - [Proxy Entities (Seq: 12)] Email Address 1 - Both]&gt;</t>
        </r>
      </text>
    </comment>
    <comment ref="J719" authorId="1" shapeId="0" xr:uid="{6963D876-5CEA-4781-BC86-11B35BFA1D5E}">
      <text>
        <r>
          <rPr>
            <b/>
            <sz val="9"/>
            <color indexed="81"/>
            <rFont val="Tahoma"/>
            <family val="2"/>
          </rPr>
          <t>&lt;[[TCDeals] - [Proxy Entities (Seq: 12)] Deal Entity Role - Both]&gt;</t>
        </r>
      </text>
    </comment>
    <comment ref="K719" authorId="1" shapeId="0" xr:uid="{5BC49F74-F0EA-4544-BF11-E0F0AD703DCA}">
      <text>
        <r>
          <rPr>
            <b/>
            <sz val="9"/>
            <color indexed="81"/>
            <rFont val="Tahoma"/>
            <family val="2"/>
          </rPr>
          <t>&lt;[[TCDeals] - [Proxy Entities (Seq: 12)] Company or Individual? - Both]&gt;</t>
        </r>
      </text>
    </comment>
    <comment ref="C720" authorId="1" shapeId="0" xr:uid="{3F7BD172-5C7A-45EF-B04A-0B12321EC6B9}">
      <text>
        <r>
          <rPr>
            <b/>
            <sz val="9"/>
            <color indexed="81"/>
            <rFont val="Tahoma"/>
            <family val="2"/>
          </rPr>
          <t>&lt;[[TCDeals] - [Proxy Entities (Seq: 13)] Name (Doing Business As) - Both]&gt;</t>
        </r>
      </text>
    </comment>
    <comment ref="D720" authorId="1" shapeId="0" xr:uid="{A5E3B09B-1F2D-4ADF-837C-1D56BD8E7107}">
      <text>
        <r>
          <rPr>
            <b/>
            <sz val="9"/>
            <color indexed="81"/>
            <rFont val="Tahoma"/>
            <family val="2"/>
          </rPr>
          <t>&lt;[[TCDeals] - [Proxy Entities (Seq: 13)] Address 1 - Both]&gt;</t>
        </r>
      </text>
    </comment>
    <comment ref="E720" authorId="1" shapeId="0" xr:uid="{169AFF65-22D2-496A-ADB5-D31BA9167D87}">
      <text>
        <r>
          <rPr>
            <b/>
            <sz val="9"/>
            <color indexed="81"/>
            <rFont val="Tahoma"/>
            <family val="2"/>
          </rPr>
          <t>&lt;[[TCDeals] - [Proxy Entities (Seq: 13)] City - Both]&gt;</t>
        </r>
      </text>
    </comment>
    <comment ref="F720" authorId="4" shapeId="0" xr:uid="{72747132-D187-41A1-8EA1-4348CF17F467}">
      <text>
        <r>
          <rPr>
            <b/>
            <sz val="9"/>
            <color indexed="81"/>
            <rFont val="Tahoma"/>
            <family val="2"/>
          </rPr>
          <t>&lt;[[TCDeals] - [Proxy Entities (Seq: 13)] State - Send]&gt;</t>
        </r>
      </text>
    </comment>
    <comment ref="G720" authorId="1" shapeId="0" xr:uid="{D901B1C1-B37F-43AD-8B37-5DB6268B113A}">
      <text>
        <r>
          <rPr>
            <b/>
            <sz val="9"/>
            <color indexed="81"/>
            <rFont val="Tahoma"/>
            <family val="2"/>
          </rPr>
          <t>&lt;[[TCDeals] - [Proxy Entities (Seq: 13)] Zip Code - Both]&gt;</t>
        </r>
      </text>
    </comment>
    <comment ref="H720" authorId="1" shapeId="0" xr:uid="{62521FA6-C98A-4102-A73D-F28463844B45}">
      <text>
        <r>
          <rPr>
            <b/>
            <sz val="9"/>
            <color indexed="81"/>
            <rFont val="Tahoma"/>
            <family val="2"/>
          </rPr>
          <t>&lt;[[TCDeals] - [Proxy Entities (Seq: 13)] Direct Phone - Both]&gt;</t>
        </r>
      </text>
    </comment>
    <comment ref="I720" authorId="1" shapeId="0" xr:uid="{1DA84E16-91B1-4077-8466-31D45452877E}">
      <text>
        <r>
          <rPr>
            <b/>
            <sz val="9"/>
            <color indexed="81"/>
            <rFont val="Tahoma"/>
            <family val="2"/>
          </rPr>
          <t>&lt;[[TCDeals] - [Proxy Entities (Seq: 13)] Email Address 1 - Both]&gt;</t>
        </r>
      </text>
    </comment>
    <comment ref="J720" authorId="1" shapeId="0" xr:uid="{61653D01-2FB5-40C8-9567-7BA05B94453B}">
      <text>
        <r>
          <rPr>
            <b/>
            <sz val="9"/>
            <color indexed="81"/>
            <rFont val="Tahoma"/>
            <family val="2"/>
          </rPr>
          <t>&lt;[[TCDeals] - [Proxy Entities (Seq: 13)] Deal Entity Role - Both]&gt;</t>
        </r>
      </text>
    </comment>
    <comment ref="K720" authorId="1" shapeId="0" xr:uid="{BC84A971-EE6C-4D40-851A-5D4583CD8B78}">
      <text>
        <r>
          <rPr>
            <b/>
            <sz val="9"/>
            <color indexed="81"/>
            <rFont val="Tahoma"/>
            <family val="2"/>
          </rPr>
          <t>&lt;[[TCDeals] - [Proxy Entities (Seq: 13)] Company or Individual? - Both]&gt;</t>
        </r>
      </text>
    </comment>
    <comment ref="C721" authorId="1" shapeId="0" xr:uid="{0D3D0015-0C7E-4A48-A553-CB01D06E75F3}">
      <text>
        <r>
          <rPr>
            <b/>
            <sz val="9"/>
            <color indexed="81"/>
            <rFont val="Tahoma"/>
            <family val="2"/>
          </rPr>
          <t>&lt;[[TCDeals] - [Proxy Entities (Seq: 14)] Name (Doing Business As) - Both]&gt;</t>
        </r>
      </text>
    </comment>
    <comment ref="D721" authorId="1" shapeId="0" xr:uid="{148FD976-51B5-40B8-816D-AA40799FD981}">
      <text>
        <r>
          <rPr>
            <b/>
            <sz val="9"/>
            <color indexed="81"/>
            <rFont val="Tahoma"/>
            <family val="2"/>
          </rPr>
          <t>&lt;[[TCDeals] - [Proxy Entities (Seq: 14)] Address 1 - Both]&gt;</t>
        </r>
      </text>
    </comment>
    <comment ref="E721" authorId="1" shapeId="0" xr:uid="{03CF148A-4834-48AA-8BD9-937929213761}">
      <text>
        <r>
          <rPr>
            <b/>
            <sz val="9"/>
            <color indexed="81"/>
            <rFont val="Tahoma"/>
            <family val="2"/>
          </rPr>
          <t>&lt;[[TCDeals] - [Proxy Entities (Seq: 14)] City - Both]&gt;</t>
        </r>
      </text>
    </comment>
    <comment ref="F721" authorId="4" shapeId="0" xr:uid="{4EBA95E3-9D61-43EF-8FE2-8A24783138BF}">
      <text>
        <r>
          <rPr>
            <b/>
            <sz val="9"/>
            <color indexed="81"/>
            <rFont val="Tahoma"/>
            <family val="2"/>
          </rPr>
          <t>&lt;[[TCDeals] - [Proxy Entities (Seq: 14)] State - Send]&gt;</t>
        </r>
      </text>
    </comment>
    <comment ref="G721" authorId="1" shapeId="0" xr:uid="{167A6A73-B1CE-4777-9CE1-84F4C7C1E500}">
      <text>
        <r>
          <rPr>
            <b/>
            <sz val="9"/>
            <color indexed="81"/>
            <rFont val="Tahoma"/>
            <family val="2"/>
          </rPr>
          <t>&lt;[[TCDeals] - [Proxy Entities (Seq: 14)] Zip Code - Both]&gt;</t>
        </r>
      </text>
    </comment>
    <comment ref="H721" authorId="1" shapeId="0" xr:uid="{DC9B9D45-2F0C-4F24-98B0-64955046FE31}">
      <text>
        <r>
          <rPr>
            <b/>
            <sz val="9"/>
            <color indexed="81"/>
            <rFont val="Tahoma"/>
            <family val="2"/>
          </rPr>
          <t>&lt;[[TCDeals] - [Proxy Entities (Seq: 14)] Direct Phone - Both]&gt;</t>
        </r>
      </text>
    </comment>
    <comment ref="I721" authorId="1" shapeId="0" xr:uid="{9BE7A267-3F61-402A-A01D-819EC91C7B7B}">
      <text>
        <r>
          <rPr>
            <b/>
            <sz val="9"/>
            <color indexed="81"/>
            <rFont val="Tahoma"/>
            <family val="2"/>
          </rPr>
          <t>&lt;[[TCDeals] - [Proxy Entities (Seq: 14)] Email Address 1 - Both]&gt;</t>
        </r>
      </text>
    </comment>
    <comment ref="J721" authorId="1" shapeId="0" xr:uid="{8304C36A-4DF9-4518-9127-6F6315400930}">
      <text>
        <r>
          <rPr>
            <b/>
            <sz val="9"/>
            <color indexed="81"/>
            <rFont val="Tahoma"/>
            <family val="2"/>
          </rPr>
          <t>&lt;[[TCDeals] - [Proxy Entities (Seq: 14)] Deal Entity Role - Both]&gt;</t>
        </r>
      </text>
    </comment>
    <comment ref="K721" authorId="1" shapeId="0" xr:uid="{049FF5DF-0B5C-4B37-9826-8F8FBCFB56F4}">
      <text>
        <r>
          <rPr>
            <b/>
            <sz val="9"/>
            <color indexed="81"/>
            <rFont val="Tahoma"/>
            <family val="2"/>
          </rPr>
          <t>&lt;[[TCDeals] - [Proxy Entities (Seq: 14)] Company or Individual? - Both]&gt;</t>
        </r>
      </text>
    </comment>
    <comment ref="C722" authorId="1" shapeId="0" xr:uid="{2217BEC7-CF41-4B30-A25E-BB12A69BB3FC}">
      <text>
        <r>
          <rPr>
            <b/>
            <sz val="9"/>
            <color indexed="81"/>
            <rFont val="Tahoma"/>
            <family val="2"/>
          </rPr>
          <t>&lt;[[TCDeals] - [Proxy Entities (Seq: 15)] Name (Doing Business As) - Both]&gt;</t>
        </r>
      </text>
    </comment>
    <comment ref="D722" authorId="1" shapeId="0" xr:uid="{1D5893D0-41E3-4C99-89F1-2274BB304F28}">
      <text>
        <r>
          <rPr>
            <b/>
            <sz val="9"/>
            <color indexed="81"/>
            <rFont val="Tahoma"/>
            <family val="2"/>
          </rPr>
          <t>&lt;[[TCDeals] - [Proxy Entities (Seq: 15)] Address 1 - Both]&gt;</t>
        </r>
      </text>
    </comment>
    <comment ref="E722" authorId="1" shapeId="0" xr:uid="{6A08C8C7-8F43-4B0C-9DBB-E4CD97CD35BF}">
      <text>
        <r>
          <rPr>
            <b/>
            <sz val="9"/>
            <color indexed="81"/>
            <rFont val="Tahoma"/>
            <family val="2"/>
          </rPr>
          <t>&lt;[[TCDeals] - [Proxy Entities (Seq: 15)] City - Both]&gt;</t>
        </r>
      </text>
    </comment>
    <comment ref="F722" authorId="4" shapeId="0" xr:uid="{BB7D871B-6F97-47FB-B5F9-46C4D44A90DC}">
      <text>
        <r>
          <rPr>
            <b/>
            <sz val="9"/>
            <color indexed="81"/>
            <rFont val="Tahoma"/>
            <family val="2"/>
          </rPr>
          <t>&lt;[[TCDeals] - [Proxy Entities (Seq: 15)] State - Send]&gt;</t>
        </r>
      </text>
    </comment>
    <comment ref="G722" authorId="1" shapeId="0" xr:uid="{0888F8CA-8149-48EC-AE7E-3EDA596897DF}">
      <text>
        <r>
          <rPr>
            <b/>
            <sz val="9"/>
            <color indexed="81"/>
            <rFont val="Tahoma"/>
            <family val="2"/>
          </rPr>
          <t>&lt;[[TCDeals] - [Proxy Entities (Seq: 15)] Zip Code - Both]&gt;</t>
        </r>
      </text>
    </comment>
    <comment ref="H722" authorId="1" shapeId="0" xr:uid="{DBDD3FB1-669F-4210-8642-C18B01D3489A}">
      <text>
        <r>
          <rPr>
            <b/>
            <sz val="9"/>
            <color indexed="81"/>
            <rFont val="Tahoma"/>
            <family val="2"/>
          </rPr>
          <t>&lt;[[TCDeals] - [Proxy Entities (Seq: 15)] Direct Phone - Both]&gt;</t>
        </r>
      </text>
    </comment>
    <comment ref="I722" authorId="1" shapeId="0" xr:uid="{B6C225A6-8277-434A-8653-DFF385B61280}">
      <text>
        <r>
          <rPr>
            <b/>
            <sz val="9"/>
            <color indexed="81"/>
            <rFont val="Tahoma"/>
            <family val="2"/>
          </rPr>
          <t>&lt;[[TCDeals] - [Proxy Entities (Seq: 15)] Email Address 1 - Both]&gt;</t>
        </r>
      </text>
    </comment>
    <comment ref="J722" authorId="1" shapeId="0" xr:uid="{80789B56-88A4-4839-9CD1-AD0498835535}">
      <text>
        <r>
          <rPr>
            <b/>
            <sz val="9"/>
            <color indexed="81"/>
            <rFont val="Tahoma"/>
            <family val="2"/>
          </rPr>
          <t>&lt;[[TCDeals] - [Proxy Entities (Seq: 15)] Deal Entity Role - Both]&gt;</t>
        </r>
      </text>
    </comment>
    <comment ref="K722" authorId="1" shapeId="0" xr:uid="{4461ADF5-9961-4EDB-A90A-1BAED585D1F7}">
      <text>
        <r>
          <rPr>
            <b/>
            <sz val="9"/>
            <color indexed="81"/>
            <rFont val="Tahoma"/>
            <family val="2"/>
          </rPr>
          <t>&lt;[[TCDeals] - [Proxy Entities (Seq: 15)] Company or Individual? - Both]&gt;</t>
        </r>
      </text>
    </comment>
    <comment ref="C723" authorId="2" shapeId="0" xr:uid="{C064A93D-2932-4561-8F88-745AD94C5834}">
      <text>
        <r>
          <rPr>
            <b/>
            <sz val="9"/>
            <color indexed="81"/>
            <rFont val="Tahoma"/>
            <family val="2"/>
          </rPr>
          <t>&lt;[[TCDeals] - [Proxy Entities (Seq: 16)] Name (Doing Business As) - Both]&gt;</t>
        </r>
      </text>
    </comment>
    <comment ref="D723" authorId="2" shapeId="0" xr:uid="{58480F75-673B-481E-951B-9CE4BE0C6FDD}">
      <text>
        <r>
          <rPr>
            <b/>
            <sz val="9"/>
            <color indexed="81"/>
            <rFont val="Tahoma"/>
            <family val="2"/>
          </rPr>
          <t>&lt;[[TCDeals] - [Proxy Entities (Seq: 16)] Address 1 - Both]&gt;</t>
        </r>
      </text>
    </comment>
    <comment ref="E723" authorId="2" shapeId="0" xr:uid="{DF635F60-9545-4524-ACE4-DC7F12F4BA74}">
      <text>
        <r>
          <rPr>
            <b/>
            <sz val="9"/>
            <color indexed="81"/>
            <rFont val="Tahoma"/>
            <family val="2"/>
          </rPr>
          <t>&lt;[[TCDeals] - [Proxy Entities (Seq: 16)] City - Both]&gt;</t>
        </r>
      </text>
    </comment>
    <comment ref="F723" authorId="2" shapeId="0" xr:uid="{505809CD-8D3A-48CC-B209-D1F69E294954}">
      <text>
        <r>
          <rPr>
            <b/>
            <sz val="9"/>
            <color indexed="81"/>
            <rFont val="Tahoma"/>
            <family val="2"/>
          </rPr>
          <t>&lt;[[TCDeals] - [Proxy Entities (Seq: 16)] State - Send]&gt;</t>
        </r>
      </text>
    </comment>
    <comment ref="G723" authorId="2" shapeId="0" xr:uid="{AC4E551B-80CA-4B8F-B6BD-58C3EE9EA262}">
      <text>
        <r>
          <rPr>
            <b/>
            <sz val="9"/>
            <color indexed="81"/>
            <rFont val="Tahoma"/>
            <family val="2"/>
          </rPr>
          <t>&lt;[[TCDeals] - [Proxy Entities (Seq: 16)] Zip Code - Both]&gt;</t>
        </r>
      </text>
    </comment>
    <comment ref="H723" authorId="2" shapeId="0" xr:uid="{C97635A5-112B-4311-8B6F-44C9324707FF}">
      <text>
        <r>
          <rPr>
            <b/>
            <sz val="9"/>
            <color indexed="81"/>
            <rFont val="Tahoma"/>
            <family val="2"/>
          </rPr>
          <t>&lt;[[TCDeals] - [Proxy Entities (Seq: 16)] Direct Phone - Both]&gt;</t>
        </r>
      </text>
    </comment>
    <comment ref="I723" authorId="2" shapeId="0" xr:uid="{FB51655D-F53E-49CF-9DA5-3AE4F7882E08}">
      <text>
        <r>
          <rPr>
            <b/>
            <sz val="9"/>
            <color indexed="81"/>
            <rFont val="Tahoma"/>
            <family val="2"/>
          </rPr>
          <t>&lt;[[TCDeals] - [Proxy Entities (Seq: 16)] Email Address 1 - Both]&gt;</t>
        </r>
      </text>
    </comment>
    <comment ref="J723" authorId="2" shapeId="0" xr:uid="{6C00B1A0-3D88-4C57-B380-B44DAC635F62}">
      <text>
        <r>
          <rPr>
            <b/>
            <sz val="9"/>
            <color indexed="81"/>
            <rFont val="Tahoma"/>
            <family val="2"/>
          </rPr>
          <t>&lt;[[TCDeals] - [Proxy Entities (Seq: 16)] Deal Entity Role - Both]&gt;</t>
        </r>
      </text>
    </comment>
    <comment ref="K723" authorId="2" shapeId="0" xr:uid="{42F3BAE2-4397-4EC4-8EFE-028482A7143D}">
      <text>
        <r>
          <rPr>
            <b/>
            <sz val="9"/>
            <color indexed="81"/>
            <rFont val="Tahoma"/>
            <family val="2"/>
          </rPr>
          <t>&lt;[[TCDeals] - [Proxy Entities (Seq: 16)] Company or Individual? - Both]&gt;</t>
        </r>
      </text>
    </comment>
    <comment ref="C748" authorId="0" shapeId="0" xr:uid="{D2F4ED1C-751C-4C7F-B10B-046789C95C9D}">
      <text>
        <r>
          <rPr>
            <b/>
            <sz val="9"/>
            <color indexed="81"/>
            <rFont val="Tahoma"/>
            <family val="2"/>
          </rPr>
          <t>&lt;[[TCDeals] - [TC Property Current Stage (Seq: 1)] - [Property Points (Seq: 1)] Is principals of the development's ownership entity, previously received tax credits in Colorado? - Both]&gt;</t>
        </r>
      </text>
    </comment>
    <comment ref="C749" authorId="0" shapeId="0" xr:uid="{8E45B9A6-569D-4D21-A28B-A3ECEB698E0D}">
      <text>
        <r>
          <rPr>
            <b/>
            <sz val="9"/>
            <color indexed="81"/>
            <rFont val="Tahoma"/>
            <family val="2"/>
          </rPr>
          <t>&lt;[[TCDeals] - [TC Property Current Stage (Seq: 1)] - [Property Points (Seq: 1)] Is principals of the development's ownership entity, previously received tax credits in other states? - Both]&gt;</t>
        </r>
      </text>
    </comment>
    <comment ref="C750" authorId="0" shapeId="0" xr:uid="{EAC68052-1E81-4626-9BDD-5231FC55E6C8}">
      <text>
        <r>
          <rPr>
            <b/>
            <sz val="9"/>
            <color indexed="81"/>
            <rFont val="Tahoma"/>
            <family val="2"/>
          </rPr>
          <t>&lt;[[TCDeals] - [TC Property Current Stage (Seq: 1)] - [Property Points (Seq: 1)] Is Private Placement - Both]&gt;</t>
        </r>
      </text>
    </comment>
    <comment ref="C751" authorId="0" shapeId="0" xr:uid="{26FB8D31-57B8-464B-91F4-2AC2CE0E825B}">
      <text>
        <r>
          <rPr>
            <b/>
            <sz val="9"/>
            <color indexed="81"/>
            <rFont val="Tahoma"/>
            <family val="2"/>
          </rPr>
          <t>&lt;[[TCDeals] - [TC Property Current Stage (Seq: 1)] - [Property Points (Seq: 1)] Is Public Placement - Both]&gt;</t>
        </r>
      </text>
    </comment>
    <comment ref="C752" authorId="0" shapeId="0" xr:uid="{2528154D-AADB-493B-81AA-763313B331FD}">
      <text>
        <r>
          <rPr>
            <b/>
            <sz val="9"/>
            <color indexed="81"/>
            <rFont val="Tahoma"/>
            <family val="2"/>
          </rPr>
          <t>&lt;[[TCDeals] - [TC Property Current Stage (Seq: 1)] - [Property Points (Seq: 1)] Optional Field 154 - Both]&gt;</t>
        </r>
      </text>
    </comment>
    <comment ref="C753" authorId="0" shapeId="0" xr:uid="{9F77FA70-E801-4E23-B780-74946759D1B7}">
      <text>
        <r>
          <rPr>
            <b/>
            <sz val="9"/>
            <color indexed="81"/>
            <rFont val="Tahoma"/>
            <family val="2"/>
          </rPr>
          <t>&lt;[[TCDeals] - [TC Property Current Stage (Seq: 1)] - [Property Points (Seq: 1)] Optional Field 155 - Both]&gt;</t>
        </r>
      </text>
    </comment>
    <comment ref="C754" authorId="0" shapeId="0" xr:uid="{E2924A1B-9531-403B-AC67-79B323D5971F}">
      <text>
        <r>
          <rPr>
            <b/>
            <sz val="9"/>
            <color indexed="81"/>
            <rFont val="Tahoma"/>
            <family val="2"/>
          </rPr>
          <t>&lt;[[TCDeals] - [TC Property Current Stage (Seq: 1)] - [Property Points (Seq: 1)] Optional Field 156 - Both]&gt;</t>
        </r>
      </text>
    </comment>
    <comment ref="C755" authorId="0" shapeId="0" xr:uid="{BF6AEAA3-6097-471D-81EA-E7F2974D004A}">
      <text>
        <r>
          <rPr>
            <b/>
            <sz val="9"/>
            <color indexed="81"/>
            <rFont val="Tahoma"/>
            <family val="2"/>
          </rPr>
          <t>&lt;[[TCDeals] - [TC Property Current Stage (Seq: 1)] - [Property Points (Seq: 1)] Optional Field 157 - Both]&gt;</t>
        </r>
      </text>
    </comment>
    <comment ref="C756" authorId="0" shapeId="0" xr:uid="{88A43A9A-9A64-4FB5-9740-BB82A0704371}">
      <text>
        <r>
          <rPr>
            <b/>
            <sz val="9"/>
            <color indexed="81"/>
            <rFont val="Tahoma"/>
            <family val="2"/>
          </rPr>
          <t>&lt;[[TCDeals] - [TC Property Current Stage (Seq: 1)] - [Property Points (Seq: 1)] Optional Field 158 - Both]&gt;</t>
        </r>
      </text>
    </comment>
    <comment ref="C757" authorId="0" shapeId="0" xr:uid="{18B2695E-15F6-4BBF-83A3-175BDADA35ED}">
      <text>
        <r>
          <rPr>
            <b/>
            <sz val="9"/>
            <color indexed="81"/>
            <rFont val="Tahoma"/>
            <family val="2"/>
          </rPr>
          <t>&lt;[[TCDeals] - [TC Property Current Stage (Seq: 1)] - [Property Points (Seq: 1)] Optional Field 453 - Both]&gt;</t>
        </r>
      </text>
    </comment>
    <comment ref="C758" authorId="1" shapeId="0" xr:uid="{4E2597B8-640D-420F-A558-208BB71EAA9A}">
      <text>
        <r>
          <rPr>
            <b/>
            <sz val="9"/>
            <color indexed="81"/>
            <rFont val="Tahoma"/>
            <family val="2"/>
          </rPr>
          <t>&lt;[[TCDeals] - [TC Property Current Stage (Seq: 1)] - [Property Points (Seq: 1)] Mayor State - Both]&gt;</t>
        </r>
      </text>
    </comment>
    <comment ref="C759" authorId="1" shapeId="0" xr:uid="{655A39EF-03EE-4F45-909B-20BAAFB7FEF5}">
      <text>
        <r>
          <rPr>
            <b/>
            <sz val="9"/>
            <color indexed="81"/>
            <rFont val="Tahoma"/>
            <family val="2"/>
          </rPr>
          <t>&lt;[[TCDeals] - [TC Property Current Stage (Seq: 1)] - [Property Points (Seq: 1)] Mayor Email - Both]&gt;</t>
        </r>
      </text>
    </comment>
    <comment ref="C760" authorId="0" shapeId="0" xr:uid="{B0162736-F91B-4E86-8E4A-BFF8814F2FA6}">
      <text>
        <r>
          <rPr>
            <b/>
            <sz val="9"/>
            <color indexed="81"/>
            <rFont val="Tahoma"/>
            <family val="2"/>
          </rPr>
          <t>&lt;[[TCDeals] - [TC Property Current Stage (Seq: 1)] - [Property Points (Seq: 1)] Optional Field 160 - Both]&gt;</t>
        </r>
      </text>
    </comment>
    <comment ref="C761" authorId="0" shapeId="0" xr:uid="{C33EDB3F-7EC8-4E54-86B2-31F64845C0A9}">
      <text>
        <r>
          <rPr>
            <b/>
            <sz val="9"/>
            <color indexed="81"/>
            <rFont val="Tahoma"/>
            <family val="2"/>
          </rPr>
          <t>&lt;[[TCDeals] - [TC Property Current Stage (Seq: 1)] - [Property Points (Seq: 1)] Optional Field 161 - Both]&gt;</t>
        </r>
      </text>
    </comment>
    <comment ref="C762" authorId="0" shapeId="0" xr:uid="{A258FB41-8B5E-421B-8E56-E5115B1443B2}">
      <text>
        <r>
          <rPr>
            <b/>
            <sz val="9"/>
            <color indexed="81"/>
            <rFont val="Tahoma"/>
            <family val="2"/>
          </rPr>
          <t>&lt;[[TCDeals] - [TC Property Current Stage (Seq: 1)] - [Property Points (Seq: 1)] Optional Field 162 - Both]&gt;</t>
        </r>
      </text>
    </comment>
    <comment ref="C763" authorId="0" shapeId="0" xr:uid="{8BE563EC-4D4E-4695-A3EF-D074E24C07CD}">
      <text>
        <r>
          <rPr>
            <b/>
            <sz val="9"/>
            <color indexed="81"/>
            <rFont val="Tahoma"/>
            <family val="2"/>
          </rPr>
          <t>&lt;[[TCDeals] - [TC Property Current Stage (Seq: 1)] - [Property Points (Seq: 1)] Optional Field 163 - Both]&gt;</t>
        </r>
      </text>
    </comment>
    <comment ref="C764" authorId="0" shapeId="0" xr:uid="{D078799C-E1FD-4B86-87B5-820405595EB9}">
      <text>
        <r>
          <rPr>
            <b/>
            <sz val="9"/>
            <color indexed="81"/>
            <rFont val="Tahoma"/>
            <family val="2"/>
          </rPr>
          <t>&lt;[[TCDeals] - [TC Property Current Stage (Seq: 1)] - [Property Points (Seq: 1)] Optional Field 164 - Both]&gt;</t>
        </r>
      </text>
    </comment>
    <comment ref="C765" authorId="0" shapeId="0" xr:uid="{1DE5BA71-F3A0-4256-985C-670AA93D145A}">
      <text>
        <r>
          <rPr>
            <b/>
            <sz val="9"/>
            <color indexed="81"/>
            <rFont val="Tahoma"/>
            <family val="2"/>
          </rPr>
          <t>&lt;[[TCDeals] - [TC Property Current Stage (Seq: 1)] - [Property Points (Seq: 1)] Optional Field 454 - Both]&gt;</t>
        </r>
      </text>
    </comment>
    <comment ref="C766" authorId="1" shapeId="0" xr:uid="{D094FD66-8FFF-4FF9-AECD-52593BC1452C}">
      <text>
        <r>
          <rPr>
            <b/>
            <sz val="9"/>
            <color indexed="81"/>
            <rFont val="Tahoma"/>
            <family val="2"/>
          </rPr>
          <t>&lt;[[TCDeals] - [TC Property Current Stage (Seq: 1)] - [Property Points (Seq: 1)] Local Housing Authority State - Both]&gt;</t>
        </r>
      </text>
    </comment>
    <comment ref="C767" authorId="1" shapeId="0" xr:uid="{B86AC30E-A26C-46ED-8CF5-217A81D805DB}">
      <text>
        <r>
          <rPr>
            <b/>
            <sz val="9"/>
            <color indexed="81"/>
            <rFont val="Tahoma"/>
            <family val="2"/>
          </rPr>
          <t>&lt;[[TCDeals] - [TC Property Current Stage (Seq: 1)] - [Property Points (Seq: 1)] Local Housing Authority Email - Both]&gt;</t>
        </r>
      </text>
    </comment>
    <comment ref="C768" authorId="1" shapeId="0" xr:uid="{9DB86E99-2137-43C3-AB0A-438190301AAE}">
      <text>
        <r>
          <rPr>
            <b/>
            <sz val="9"/>
            <color indexed="81"/>
            <rFont val="Tahoma"/>
            <family val="2"/>
          </rPr>
          <t>&lt;[[TCDeals] - [TC Property Current Stage (Seq: 1)] - [Property Points (Seq: 1)] Council Member - Both]&gt;</t>
        </r>
      </text>
    </comment>
    <comment ref="C769" authorId="1" shapeId="0" xr:uid="{E5033234-A6E7-4781-B0B2-51D8FC2A0FE0}">
      <text>
        <r>
          <rPr>
            <b/>
            <sz val="9"/>
            <color indexed="81"/>
            <rFont val="Tahoma"/>
            <family val="2"/>
          </rPr>
          <t>&lt;[[TCDeals] - [TC Property Current Stage (Seq: 1)] - [Property Points (Seq: 1)] Council Email - Both]&gt;</t>
        </r>
      </text>
    </comment>
    <comment ref="C770" authorId="0" shapeId="0" xr:uid="{DA1F1808-9A1B-4A9F-853D-93243228BA4B}">
      <text>
        <r>
          <rPr>
            <b/>
            <sz val="9"/>
            <color indexed="81"/>
            <rFont val="Tahoma"/>
            <family val="2"/>
          </rPr>
          <t>&lt;[[TCDeals] - [TC Property Current Stage (Seq: 1)] - [Property Points (Seq: 1)] Total Commercial Project Costs - Both]&gt;</t>
        </r>
      </text>
    </comment>
    <comment ref="C771" authorId="0" shapeId="0" xr:uid="{5D7E1000-4DDB-4E47-86C2-363489C58EC2}">
      <text>
        <r>
          <rPr>
            <b/>
            <sz val="9"/>
            <color indexed="81"/>
            <rFont val="Tahoma"/>
            <family val="2"/>
          </rPr>
          <t>&lt;[[TCDeals] - [TC Property Current Stage (Seq: 1)] - [Property Points (Seq: 1)] Total Funds for Commercial Development - Both]&gt;</t>
        </r>
      </text>
    </comment>
    <comment ref="C772" authorId="3" shapeId="0" xr:uid="{3A401898-200C-4BFC-9B13-F881751C8122}">
      <text>
        <r>
          <rPr>
            <b/>
            <sz val="9"/>
            <color indexed="81"/>
            <rFont val="Tahoma"/>
            <family val="2"/>
          </rPr>
          <t>&lt;[[TCDeals] - [TC Property Current Stage (Seq: 1)] - [Property Points (Seq: 1)] Type of State Tax Credit - Both]&gt;</t>
        </r>
      </text>
    </comment>
    <comment ref="C773" authorId="0" shapeId="0" xr:uid="{6C1995B3-C0AE-42FE-8C3A-678AACE0264A}">
      <text>
        <r>
          <rPr>
            <b/>
            <sz val="9"/>
            <color indexed="81"/>
            <rFont val="Tahoma"/>
            <family val="2"/>
          </rPr>
          <t>&lt;[[TCDeals] - [TC Property Current Stage (Seq: 1)] - [Property Points (Seq: 1)] State Equity Factor - Both]&gt;</t>
        </r>
      </text>
    </comment>
    <comment ref="C774" authorId="2" shapeId="0" xr:uid="{68728BD5-E00F-4A8C-8E56-082944421D6F}">
      <text>
        <r>
          <rPr>
            <b/>
            <sz val="9"/>
            <color indexed="81"/>
            <rFont val="Tahoma"/>
            <family val="2"/>
          </rPr>
          <t>&lt;[[TCDeals] - [TC Property Current Stage (Seq: 1)] - [TC Property Current Stage - User Defined Field Values (Seq: 1)] Custom Fields - TOC Credit Equity Factor - Send]&gt;</t>
        </r>
      </text>
    </comment>
    <comment ref="C775" authorId="2" shapeId="0" xr:uid="{ABE6184D-BCD1-4332-8CD8-3EC542648023}">
      <text>
        <r>
          <rPr>
            <b/>
            <sz val="9"/>
            <color indexed="81"/>
            <rFont val="Tahoma"/>
            <family val="2"/>
          </rPr>
          <t>&lt;[[TCDeals] - [TC Property Current Stage (Seq: 1)] - [TC Property Current Stage - User Defined Field Values (Seq: 1)] Custom Fields - TOC Credit Equity Amount - Send]&gt;</t>
        </r>
      </text>
    </comment>
    <comment ref="C776" authorId="2" shapeId="0" xr:uid="{E37D6E0F-527A-49A3-A400-0595B4C8166B}">
      <text>
        <r>
          <rPr>
            <b/>
            <sz val="9"/>
            <color indexed="81"/>
            <rFont val="Tahoma"/>
            <family val="2"/>
          </rPr>
          <t>&lt;[[TCDeals] - [TC Property Current Stage (Seq: 1)] - [TC Property Current Stage - User Defined Field Values (Seq: 1)] Custom Fields - Is TOC Credit? Y/N - Send]&gt;</t>
        </r>
      </text>
    </comment>
    <comment ref="C777" authorId="2" shapeId="0" xr:uid="{61890E92-83A8-467F-9B62-E853DB7C2DAC}">
      <text>
        <r>
          <rPr>
            <b/>
            <sz val="9"/>
            <color indexed="81"/>
            <rFont val="Tahoma"/>
            <family val="2"/>
          </rPr>
          <t>&lt;[[TCDeals] - [TC Property Current Stage (Seq: 1)] - [TC Property Current Stage - User Defined Field Values (Seq: 1)] Custom Fields - TOC Credit Amount - Send]&gt;</t>
        </r>
      </text>
    </comment>
    <comment ref="C778" authorId="0" shapeId="0" xr:uid="{36CCF392-FC13-44CC-9ADE-52157F917E65}">
      <text>
        <r>
          <rPr>
            <b/>
            <sz val="9"/>
            <color indexed="81"/>
            <rFont val="Tahoma"/>
            <family val="2"/>
          </rPr>
          <t>&lt;[[TCDeals] - [TC Property Current Stage (Seq: 1)] - [Property Points (Seq: 1)] Other Owner Equity - Both]&gt;</t>
        </r>
      </text>
    </comment>
    <comment ref="C779" authorId="1" shapeId="0" xr:uid="{A6F0964A-0AA1-4785-9DA1-E41CFFBDC432}">
      <text>
        <r>
          <rPr>
            <b/>
            <sz val="9"/>
            <color indexed="81"/>
            <rFont val="Tahoma"/>
            <family val="2"/>
          </rPr>
          <t>&lt;[[TCDeals] - [TC Property Current Stage (Seq: 1)] - [Property Points (Seq: 1)] City Manager - Both]&gt;</t>
        </r>
      </text>
    </comment>
    <comment ref="C780" authorId="1" shapeId="0" xr:uid="{6FB675C9-67E3-452D-98BD-924CF59F78C1}">
      <text>
        <r>
          <rPr>
            <b/>
            <sz val="9"/>
            <color indexed="81"/>
            <rFont val="Tahoma"/>
            <family val="2"/>
          </rPr>
          <t>&lt;[[TCDeals] - [TC Property Current Stage (Seq: 1)] - [Property Points (Seq: 1)] City Manager Email - Both]&gt;</t>
        </r>
      </text>
    </comment>
    <comment ref="C781" authorId="0" shapeId="0" xr:uid="{14104D45-EB45-4269-B30A-94542296B0EF}">
      <text>
        <r>
          <rPr>
            <b/>
            <sz val="9"/>
            <color indexed="81"/>
            <rFont val="Tahoma"/>
            <family val="2"/>
          </rPr>
          <t>&lt;[[TCDeals] - [TC Property Current Stage (Seq: 1)] - [Property Points (Seq: 1)] Total Annual Miscellaneous Income - Both]&gt;</t>
        </r>
      </text>
    </comment>
    <comment ref="C782" authorId="0" shapeId="0" xr:uid="{120143D6-734E-4B14-A457-36BC5D1D16E3}">
      <text>
        <r>
          <rPr>
            <b/>
            <sz val="9"/>
            <color indexed="81"/>
            <rFont val="Tahoma"/>
            <family val="2"/>
          </rPr>
          <t>&lt;[[TCDeals] - [TC Property Current Stage (Seq: 1)] - [Property Points (Seq: 1)] Total Annual Rental Income - Both]&gt;</t>
        </r>
      </text>
    </comment>
    <comment ref="C783" authorId="0" shapeId="0" xr:uid="{E925B34B-3E21-4152-80FD-CA54CDCF6BB5}">
      <text>
        <r>
          <rPr>
            <b/>
            <sz val="9"/>
            <color indexed="81"/>
            <rFont val="Tahoma"/>
            <family val="2"/>
          </rPr>
          <t>&lt;[[TCDeals] - [TC Property Current Stage (Seq: 1)] - [Property Points (Seq: 1)] Total Annual Residential Income - Both]&gt;</t>
        </r>
      </text>
    </comment>
    <comment ref="C784" authorId="0" shapeId="0" xr:uid="{CE99F013-8090-4CC8-97D4-8A8DBF2B20C5}">
      <text>
        <r>
          <rPr>
            <b/>
            <sz val="9"/>
            <color indexed="81"/>
            <rFont val="Tahoma"/>
            <family val="2"/>
          </rPr>
          <t>&lt;[[TCDeals] - [TC Property Current Stage (Seq: 1)] - [Property Points (Seq: 1)] Total Annual Retail/Commercial Income - Both]&gt;</t>
        </r>
      </text>
    </comment>
    <comment ref="C787" authorId="0" shapeId="0" xr:uid="{1AEEBB14-FADB-4DA1-ACFB-E28B7DD26B99}">
      <text>
        <r>
          <rPr>
            <b/>
            <sz val="9"/>
            <color indexed="81"/>
            <rFont val="Tahoma"/>
            <family val="2"/>
          </rPr>
          <t>&lt;[[TCDeals] - [TC Property Current Stage (Seq: 1)] - [Property Points (Seq: 1)] Identity: # Units - Both]&gt;</t>
        </r>
      </text>
    </comment>
    <comment ref="C788" authorId="0" shapeId="0" xr:uid="{E8610FCB-44C0-483D-8283-8A92EF723F87}">
      <text>
        <r>
          <rPr>
            <b/>
            <sz val="9"/>
            <color indexed="81"/>
            <rFont val="Tahoma"/>
            <family val="2"/>
          </rPr>
          <t>&lt;[[TCDeals] - [TC Property Current Stage (Seq: 1)] - [Property Points (Seq: 1)] Identity: Max % - Both]&gt;</t>
        </r>
      </text>
    </comment>
    <comment ref="C789" authorId="0" shapeId="0" xr:uid="{7B4D23DF-E456-45CF-BC2A-EC92A34E9692}">
      <text>
        <r>
          <rPr>
            <b/>
            <sz val="9"/>
            <color indexed="81"/>
            <rFont val="Tahoma"/>
            <family val="2"/>
          </rPr>
          <t>&lt;[[TCDeals] - [TC Property Current Stage (Seq: 1)] - [Property Points (Seq: 1)] No Identity: # Units - Both]&gt;</t>
        </r>
      </text>
    </comment>
    <comment ref="C790" authorId="0" shapeId="0" xr:uid="{B78A978B-CF86-4945-BE2F-EEE337013760}">
      <text>
        <r>
          <rPr>
            <b/>
            <sz val="9"/>
            <color indexed="81"/>
            <rFont val="Tahoma"/>
            <family val="2"/>
          </rPr>
          <t>&lt;[[TCDeals] - [TC Property Current Stage (Seq: 1)] - [Property Points (Seq: 1)] No Identity: Max % - Both]&gt;</t>
        </r>
      </text>
    </comment>
    <comment ref="C794" authorId="0" shapeId="0" xr:uid="{36FA5C25-2B7D-4B0C-B8AF-1920634035CF}">
      <text>
        <r>
          <rPr>
            <b/>
            <sz val="9"/>
            <color indexed="81"/>
            <rFont val="Tahoma"/>
            <family val="2"/>
          </rPr>
          <t>&lt;[[TCDeals] - [TC Property Current Stage (Seq: 1)] - [Property Points (Seq: 1)] Is Prevail Wage - Both]&gt;</t>
        </r>
      </text>
    </comment>
    <comment ref="C795" authorId="0" shapeId="0" xr:uid="{C69F5ADF-9AEE-4098-8F96-534167C615CD}">
      <text>
        <r>
          <rPr>
            <b/>
            <sz val="9"/>
            <color indexed="81"/>
            <rFont val="Tahoma"/>
            <family val="2"/>
          </rPr>
          <t>&lt;[[TCDeals] - [TC Property Current Stage (Seq: 1)] - [Property Points (Seq: 1)] General Requirements - Both]&gt;</t>
        </r>
      </text>
    </comment>
    <comment ref="C796" authorId="0" shapeId="0" xr:uid="{BA6328FF-CD15-4CCD-9790-F49964387252}">
      <text>
        <r>
          <rPr>
            <b/>
            <sz val="9"/>
            <color indexed="81"/>
            <rFont val="Tahoma"/>
            <family val="2"/>
          </rPr>
          <t>&lt;[[TCDeals] - [TC Property Current Stage (Seq: 1)] - [Property Points (Seq: 1)] Existing Conditions - Both]&gt;</t>
        </r>
      </text>
    </comment>
    <comment ref="C797" authorId="0" shapeId="0" xr:uid="{FF9BD7A2-4F92-44A9-9F8A-7566E5C5857C}">
      <text>
        <r>
          <rPr>
            <b/>
            <sz val="9"/>
            <color indexed="81"/>
            <rFont val="Tahoma"/>
            <family val="2"/>
          </rPr>
          <t>&lt;[[TCDeals] - [TC Property Current Stage (Seq: 1)] - [Property Points (Seq: 1)] Concrete - Both]&gt;</t>
        </r>
      </text>
    </comment>
    <comment ref="C798" authorId="0" shapeId="0" xr:uid="{BC6F3A91-0904-45FB-9734-2F3BD7A3635C}">
      <text>
        <r>
          <rPr>
            <b/>
            <sz val="9"/>
            <color indexed="81"/>
            <rFont val="Tahoma"/>
            <family val="2"/>
          </rPr>
          <t>&lt;[[TCDeals] - [TC Property Current Stage (Seq: 1)] - [Property Points (Seq: 1)] Masonry - Both]&gt;</t>
        </r>
      </text>
    </comment>
    <comment ref="C799" authorId="0" shapeId="0" xr:uid="{4B20BE59-63DD-4693-A457-E9505D2D4D07}">
      <text>
        <r>
          <rPr>
            <b/>
            <sz val="9"/>
            <color indexed="81"/>
            <rFont val="Tahoma"/>
            <family val="2"/>
          </rPr>
          <t>&lt;[[TCDeals] - [TC Property Current Stage (Seq: 1)] - [Property Points (Seq: 1)] Metals - Both]&gt;</t>
        </r>
      </text>
    </comment>
    <comment ref="C800" authorId="0" shapeId="0" xr:uid="{B67A0D95-F7F3-43D4-956E-0E150C644DC0}">
      <text>
        <r>
          <rPr>
            <b/>
            <sz val="9"/>
            <color indexed="81"/>
            <rFont val="Tahoma"/>
            <family val="2"/>
          </rPr>
          <t>&lt;[[TCDeals] - [TC Property Current Stage (Seq: 1)] - [Property Points (Seq: 1)] Wood, Plastics &amp; Composites - Both]&gt;</t>
        </r>
      </text>
    </comment>
    <comment ref="C801" authorId="0" shapeId="0" xr:uid="{0C857C98-1CEA-4FB4-8582-84022D9257EF}">
      <text>
        <r>
          <rPr>
            <b/>
            <sz val="9"/>
            <color indexed="81"/>
            <rFont val="Tahoma"/>
            <family val="2"/>
          </rPr>
          <t>&lt;[[TCDeals] - [TC Property Current Stage (Seq: 1)] - [Property Points (Seq: 1)] Thermal and Moisture Protection - Both]&gt;</t>
        </r>
      </text>
    </comment>
    <comment ref="C802" authorId="0" shapeId="0" xr:uid="{B0130584-6F79-46FF-A292-F0F0D98EB62D}">
      <text>
        <r>
          <rPr>
            <b/>
            <sz val="9"/>
            <color indexed="81"/>
            <rFont val="Tahoma"/>
            <family val="2"/>
          </rPr>
          <t>&lt;[[TCDeals] - [TC Property Current Stage (Seq: 1)] - [Property Points (Seq: 1)] Openings - Both]&gt;</t>
        </r>
      </text>
    </comment>
    <comment ref="C803" authorId="0" shapeId="0" xr:uid="{37C19EE1-A36D-4D8D-A680-9A216DD955DC}">
      <text>
        <r>
          <rPr>
            <b/>
            <sz val="9"/>
            <color indexed="81"/>
            <rFont val="Tahoma"/>
            <family val="2"/>
          </rPr>
          <t>&lt;[[TCDeals] - [TC Property Current Stage (Seq: 1)] - [Property Points (Seq: 1)] Finishes - Both]&gt;</t>
        </r>
      </text>
    </comment>
    <comment ref="C804" authorId="0" shapeId="0" xr:uid="{76DACCD5-937D-4DDC-AB30-FE1E5C5FDECB}">
      <text>
        <r>
          <rPr>
            <b/>
            <sz val="9"/>
            <color indexed="81"/>
            <rFont val="Tahoma"/>
            <family val="2"/>
          </rPr>
          <t>&lt;[[TCDeals] - [TC Property Current Stage (Seq: 1)] - [Property Points (Seq: 1)] Specialties - Both]&gt;</t>
        </r>
      </text>
    </comment>
    <comment ref="C805" authorId="0" shapeId="0" xr:uid="{BA2C5A3A-BA71-4E35-834E-FF51F5FC3374}">
      <text>
        <r>
          <rPr>
            <b/>
            <sz val="9"/>
            <color indexed="81"/>
            <rFont val="Tahoma"/>
            <family val="2"/>
          </rPr>
          <t>&lt;[[TCDeals] - [TC Property Current Stage (Seq: 1)] - [Property Points (Seq: 1)] Equipment - Both]&gt;</t>
        </r>
      </text>
    </comment>
    <comment ref="C806" authorId="0" shapeId="0" xr:uid="{329ABE5E-FF99-46C5-A64E-8ECE4C2A3C4C}">
      <text>
        <r>
          <rPr>
            <b/>
            <sz val="9"/>
            <color indexed="81"/>
            <rFont val="Tahoma"/>
            <family val="2"/>
          </rPr>
          <t>&lt;[[TCDeals] - [TC Property Current Stage (Seq: 1)] - [Property Points (Seq: 1)] Furnishings - Both]&gt;</t>
        </r>
      </text>
    </comment>
    <comment ref="C807" authorId="0" shapeId="0" xr:uid="{1F7FA4F6-14A9-42BA-9EEB-3B58576934B9}">
      <text>
        <r>
          <rPr>
            <b/>
            <sz val="9"/>
            <color indexed="81"/>
            <rFont val="Tahoma"/>
            <family val="2"/>
          </rPr>
          <t>&lt;[[TCDeals] - [TC Property Current Stage (Seq: 1)] - [Property Points (Seq: 1)] Special Construction - Both]&gt;</t>
        </r>
      </text>
    </comment>
    <comment ref="C808" authorId="0" shapeId="0" xr:uid="{EB055FDB-066D-4C60-895A-1844E8BA6B94}">
      <text>
        <r>
          <rPr>
            <b/>
            <sz val="9"/>
            <color indexed="81"/>
            <rFont val="Tahoma"/>
            <family val="2"/>
          </rPr>
          <t>&lt;[[TCDeals] - [TC Property Current Stage (Seq: 1)] - [Property Points (Seq: 1)] Conveying Equipment - Both]&gt;</t>
        </r>
      </text>
    </comment>
    <comment ref="C809" authorId="0" shapeId="0" xr:uid="{5AD62947-2EE0-4BA1-977D-79F8D778F5DA}">
      <text>
        <r>
          <rPr>
            <b/>
            <sz val="9"/>
            <color indexed="81"/>
            <rFont val="Tahoma"/>
            <family val="2"/>
          </rPr>
          <t>&lt;[[TCDeals] - [TC Property Current Stage (Seq: 1)] - [Property Points (Seq: 1)] Fire Suppression - Both]&gt;</t>
        </r>
      </text>
    </comment>
    <comment ref="C810" authorId="0" shapeId="0" xr:uid="{2F895425-55B8-45A1-A707-0A80AF8A36B3}">
      <text>
        <r>
          <rPr>
            <b/>
            <sz val="9"/>
            <color indexed="81"/>
            <rFont val="Tahoma"/>
            <family val="2"/>
          </rPr>
          <t>&lt;[[TCDeals] - [TC Property Current Stage (Seq: 1)] - [Property Points (Seq: 1)] Plumbing - Both]&gt;</t>
        </r>
      </text>
    </comment>
    <comment ref="C811" authorId="0" shapeId="0" xr:uid="{1846B961-5DE3-48F4-906D-F8AA02FCD5C3}">
      <text>
        <r>
          <rPr>
            <b/>
            <sz val="9"/>
            <color indexed="81"/>
            <rFont val="Tahoma"/>
            <family val="2"/>
          </rPr>
          <t>&lt;[[TCDeals] - [TC Property Current Stage (Seq: 1)] - [Property Points (Seq: 1)] Heating Ventilation Air Conditioning - Both]&gt;</t>
        </r>
      </text>
    </comment>
    <comment ref="C812" authorId="0" shapeId="0" xr:uid="{C698059F-088D-449F-9EA9-3AD195E6E38A}">
      <text>
        <r>
          <rPr>
            <b/>
            <sz val="9"/>
            <color indexed="81"/>
            <rFont val="Tahoma"/>
            <family val="2"/>
          </rPr>
          <t>&lt;[[TCDeals] - [TC Property Current Stage (Seq: 1)] - [Property Points (Seq: 1)] Integrated Automation - Both]&gt;</t>
        </r>
      </text>
    </comment>
    <comment ref="C813" authorId="0" shapeId="0" xr:uid="{35244167-6F15-455B-8843-DD85A1A76F50}">
      <text>
        <r>
          <rPr>
            <b/>
            <sz val="9"/>
            <color indexed="81"/>
            <rFont val="Tahoma"/>
            <family val="2"/>
          </rPr>
          <t>&lt;[[TCDeals] - [TC Property Current Stage (Seq: 1)] - [Property Points (Seq: 1)] Electrical - Both]&gt;</t>
        </r>
      </text>
    </comment>
    <comment ref="C814" authorId="0" shapeId="0" xr:uid="{6F891DD3-3C10-4215-B17E-82665E0A9BFB}">
      <text>
        <r>
          <rPr>
            <b/>
            <sz val="9"/>
            <color indexed="81"/>
            <rFont val="Tahoma"/>
            <family val="2"/>
          </rPr>
          <t>&lt;[[TCDeals] - [TC Property Current Stage (Seq: 1)] - [Property Points (Seq: 1)] Communications - Both]&gt;</t>
        </r>
      </text>
    </comment>
    <comment ref="C815" authorId="0" shapeId="0" xr:uid="{43E8C262-BFE1-49EB-A3EA-34170BC1D4E2}">
      <text>
        <r>
          <rPr>
            <b/>
            <sz val="9"/>
            <color indexed="81"/>
            <rFont val="Tahoma"/>
            <family val="2"/>
          </rPr>
          <t>&lt;[[TCDeals] - [TC Property Current Stage (Seq: 1)] - [Property Points (Seq: 1)] Electronic Safety &amp; Security - Both]&gt;</t>
        </r>
      </text>
    </comment>
    <comment ref="C816" authorId="0" shapeId="0" xr:uid="{122BB2BE-EC0A-4CA8-8EC3-817BD6706246}">
      <text>
        <r>
          <rPr>
            <b/>
            <sz val="9"/>
            <color indexed="81"/>
            <rFont val="Tahoma"/>
            <family val="2"/>
          </rPr>
          <t>&lt;[[TCDeals] - [TC Property Current Stage (Seq: 1)] - [Property Points (Seq: 1)] Earthwork - Both]&gt;</t>
        </r>
      </text>
    </comment>
    <comment ref="C817" authorId="0" shapeId="0" xr:uid="{502A410F-69DE-42F9-AC08-46122914FDBC}">
      <text>
        <r>
          <rPr>
            <b/>
            <sz val="9"/>
            <color indexed="81"/>
            <rFont val="Tahoma"/>
            <family val="2"/>
          </rPr>
          <t>&lt;[[TCDeals] - [TC Property Current Stage (Seq: 1)] - [Property Points (Seq: 1)] Exterior Improvements - Both]&gt;</t>
        </r>
      </text>
    </comment>
    <comment ref="C818" authorId="0" shapeId="0" xr:uid="{98D55106-5CCF-42B1-A053-0847756E8EC5}">
      <text>
        <r>
          <rPr>
            <b/>
            <sz val="9"/>
            <color indexed="81"/>
            <rFont val="Tahoma"/>
            <family val="2"/>
          </rPr>
          <t>&lt;[[TCDeals] - [TC Property Current Stage (Seq: 1)] - [Property Points (Seq: 1)] Utilities - Both]&gt;</t>
        </r>
      </text>
    </comment>
    <comment ref="C819" authorId="0" shapeId="0" xr:uid="{CC63947A-DF65-4D59-93A4-058B1D776E3B}">
      <text>
        <r>
          <rPr>
            <b/>
            <sz val="9"/>
            <color indexed="81"/>
            <rFont val="Tahoma"/>
            <family val="2"/>
          </rPr>
          <t>&lt;[[TCDeals] - [TC Property Current Stage (Seq: 1)] - [Property Points (Seq: 1)] Transportation - Both]&gt;</t>
        </r>
      </text>
    </comment>
    <comment ref="C820" authorId="1" shapeId="0" xr:uid="{C2A0988D-BEAA-4C74-B1EE-B78A734B5586}">
      <text>
        <r>
          <rPr>
            <b/>
            <sz val="9"/>
            <color indexed="81"/>
            <rFont val="Tahoma"/>
            <family val="2"/>
          </rPr>
          <t>&lt;[[TCDeals] - [TC Property Current Stage (Seq: 1)] - [Property Points (Seq: 1)] Electric Power Generation - Both]&gt;</t>
        </r>
      </text>
    </comment>
    <comment ref="C821" authorId="0" shapeId="0" xr:uid="{3343D8B7-EE79-4713-B31D-DEC3B52BC129}">
      <text>
        <r>
          <rPr>
            <b/>
            <sz val="9"/>
            <color indexed="81"/>
            <rFont val="Tahoma"/>
            <family val="2"/>
          </rPr>
          <t>&lt;[[TCDeals] - [TC Property Current Stage (Seq: 1)] - [Property Points (Seq: 1)] Other Cost Summary - Both]&gt;</t>
        </r>
      </text>
    </comment>
    <comment ref="C822" authorId="0" shapeId="0" xr:uid="{71418831-3094-4B11-AA33-7F8D089B58E8}">
      <text>
        <r>
          <rPr>
            <b/>
            <sz val="9"/>
            <color indexed="81"/>
            <rFont val="Tahoma"/>
            <family val="2"/>
          </rPr>
          <t>&lt;[[TCDeals] - [TC Property Current Stage (Seq: 1)] - [Property Points (Seq: 1)] Other Cost Summary 2 - Both]&gt;</t>
        </r>
      </text>
    </comment>
    <comment ref="C823" authorId="0" shapeId="0" xr:uid="{D9E95444-31DF-4E22-82EC-37DC0F9BF576}">
      <text>
        <r>
          <rPr>
            <b/>
            <sz val="9"/>
            <color indexed="81"/>
            <rFont val="Tahoma"/>
            <family val="2"/>
          </rPr>
          <t>&lt;[[TCDeals] - [TC Property Current Stage (Seq: 1)] - [Property Points (Seq: 1)] Procurement Pre-constructon, Design-Build - Both]&gt;</t>
        </r>
      </text>
    </comment>
    <comment ref="C824" authorId="0" shapeId="0" xr:uid="{2DA8F053-E938-4CA5-ABB3-3D0792CE8174}">
      <text>
        <r>
          <rPr>
            <b/>
            <sz val="9"/>
            <color indexed="81"/>
            <rFont val="Tahoma"/>
            <family val="2"/>
          </rPr>
          <t>&lt;[[TCDeals] - [TC Property Current Stage (Seq: 1)] - [Property Points (Seq: 1)] Other Cost Summary 3 - Both]&gt;</t>
        </r>
      </text>
    </comment>
    <comment ref="C825" authorId="0" shapeId="0" xr:uid="{41A6E712-4435-4276-93C1-295AD87FC296}">
      <text>
        <r>
          <rPr>
            <b/>
            <sz val="9"/>
            <color indexed="81"/>
            <rFont val="Tahoma"/>
            <family val="2"/>
          </rPr>
          <t>&lt;[[TCDeals] - [TC Property Current Stage (Seq: 1)] - [Property Points (Seq: 1)] Other Cost Summary 4 - Both]&gt;</t>
        </r>
      </text>
    </comment>
    <comment ref="C826" authorId="0" shapeId="0" xr:uid="{C044BC1E-141D-42DB-AF33-72A31C7C62B5}">
      <text>
        <r>
          <rPr>
            <b/>
            <sz val="9"/>
            <color indexed="81"/>
            <rFont val="Tahoma"/>
            <family val="2"/>
          </rPr>
          <t>&lt;[[TCDeals] - [TC Property Current Stage (Seq: 1)] - [Property Points (Seq: 1)] Other Cost Summary 5 - Both]&gt;</t>
        </r>
      </text>
    </comment>
    <comment ref="C827" authorId="0" shapeId="0" xr:uid="{97C8C206-948E-4A28-88C7-62C1F6335EE1}">
      <text>
        <r>
          <rPr>
            <b/>
            <sz val="9"/>
            <color indexed="81"/>
            <rFont val="Tahoma"/>
            <family val="2"/>
          </rPr>
          <t>&lt;[[TCDeals] - [TC Property Current Stage (Seq: 1)] - [Property Points (Seq: 1)] Payment &amp; Performance Bond - Both]&gt;</t>
        </r>
      </text>
    </comment>
    <comment ref="C828" authorId="0" shapeId="0" xr:uid="{D65E8F3A-6FDF-4E13-B309-5A8917CBC5A5}">
      <text>
        <r>
          <rPr>
            <b/>
            <sz val="9"/>
            <color indexed="81"/>
            <rFont val="Tahoma"/>
            <family val="2"/>
          </rPr>
          <t>&lt;[[TCDeals] - [TC Property Current Stage (Seq: 1)] - [Property Points (Seq: 1)] Builders Risk - Both]&gt;</t>
        </r>
      </text>
    </comment>
    <comment ref="C829" authorId="0" shapeId="0" xr:uid="{19169DC0-4AD9-4786-9418-10E5251FF6A1}">
      <text>
        <r>
          <rPr>
            <b/>
            <sz val="9"/>
            <color indexed="81"/>
            <rFont val="Tahoma"/>
            <family val="2"/>
          </rPr>
          <t>&lt;[[TCDeals] - [TC Property Current Stage (Seq: 1)] - [Property Points (Seq: 1)] General Liability - Both]&gt;</t>
        </r>
      </text>
    </comment>
    <comment ref="C830" authorId="0" shapeId="0" xr:uid="{FB137E3D-1D39-4741-877B-B58845CEB442}">
      <text>
        <r>
          <rPr>
            <b/>
            <sz val="9"/>
            <color indexed="81"/>
            <rFont val="Tahoma"/>
            <family val="2"/>
          </rPr>
          <t>&lt;[[TCDeals] - [TC Property Current Stage (Seq: 1)] - [Property Points (Seq: 1)] Wrap Insurance Program - Both]&gt;</t>
        </r>
      </text>
    </comment>
    <comment ref="C831" authorId="0" shapeId="0" xr:uid="{1FE1D10C-39AF-4281-B497-B12846F10273}">
      <text>
        <r>
          <rPr>
            <b/>
            <sz val="9"/>
            <color indexed="81"/>
            <rFont val="Tahoma"/>
            <family val="2"/>
          </rPr>
          <t>&lt;[[TCDeals] - [TC Property Current Stage (Seq: 1)] - [Property Points (Seq: 1)] Other Cost Summary 6 - Both]&gt;</t>
        </r>
      </text>
    </comment>
    <comment ref="C832" authorId="0" shapeId="0" xr:uid="{149A807C-51A7-489B-9819-C886F25FDDB4}">
      <text>
        <r>
          <rPr>
            <b/>
            <sz val="9"/>
            <color indexed="81"/>
            <rFont val="Tahoma"/>
            <family val="2"/>
          </rPr>
          <t>&lt;[[TCDeals] - [TC Property Current Stage (Seq: 1)] - [Property Points (Seq: 1)] Contingency (Contractor's) - Both]&gt;</t>
        </r>
      </text>
    </comment>
    <comment ref="C833" authorId="0" shapeId="0" xr:uid="{9B98FD7B-3782-4C2C-BC83-2799214647FE}">
      <text>
        <r>
          <rPr>
            <b/>
            <sz val="9"/>
            <color indexed="81"/>
            <rFont val="Tahoma"/>
            <family val="2"/>
          </rPr>
          <t>&lt;[[TCDeals] - [TC Property Current Stage (Seq: 1)] - [Property Points (Seq: 1)] Contractor Overhead - Both]&gt;</t>
        </r>
      </text>
    </comment>
    <comment ref="C834" authorId="0" shapeId="0" xr:uid="{BA2D7FA6-3EC6-4D41-8DC1-934C6AAC34CB}">
      <text>
        <r>
          <rPr>
            <b/>
            <sz val="9"/>
            <color indexed="81"/>
            <rFont val="Tahoma"/>
            <family val="2"/>
          </rPr>
          <t>&lt;[[TCDeals] - [TC Property Current Stage (Seq: 1)] - [Property Points (Seq: 1)] Contractor Profit - Both]&gt;</t>
        </r>
      </text>
    </comment>
    <comment ref="C835" authorId="0" shapeId="0" xr:uid="{29B1A1DB-CD3E-438D-BC5D-94F7426FADA5}">
      <text>
        <r>
          <rPr>
            <b/>
            <sz val="9"/>
            <color indexed="81"/>
            <rFont val="Tahoma"/>
            <family val="2"/>
          </rPr>
          <t>&lt;[[TCDeals] - [TC Property Current Stage (Seq: 1)] - [Property Points (Seq: 1)] Cost progression/ escalation - Both]&gt;</t>
        </r>
      </text>
    </comment>
    <comment ref="C836" authorId="0" shapeId="0" xr:uid="{DD962E1F-A269-4B13-B900-509311A21395}">
      <text>
        <r>
          <rPr>
            <b/>
            <sz val="9"/>
            <color indexed="81"/>
            <rFont val="Tahoma"/>
            <family val="2"/>
          </rPr>
          <t>&lt;[[TCDeals] - [TC Property Current Stage (Seq: 1)] - [Property Points (Seq: 1)] Permits - Both]&gt;</t>
        </r>
      </text>
    </comment>
    <comment ref="C837" authorId="0" shapeId="0" xr:uid="{42A2563B-5FFC-4254-81A7-DBA4CC8140BA}">
      <text>
        <r>
          <rPr>
            <b/>
            <sz val="9"/>
            <color indexed="81"/>
            <rFont val="Tahoma"/>
            <family val="2"/>
          </rPr>
          <t>&lt;[[TCDeals] - [TC Property Current Stage (Seq: 1)] - [Property Points (Seq: 1)] Sales, Use Taxe, etc. - Both]&gt;</t>
        </r>
      </text>
    </comment>
    <comment ref="C838" authorId="0" shapeId="0" xr:uid="{291A2AD9-CE08-4F77-A600-43E6FBCFEE7F}">
      <text>
        <r>
          <rPr>
            <b/>
            <sz val="9"/>
            <color indexed="81"/>
            <rFont val="Tahoma"/>
            <family val="2"/>
          </rPr>
          <t>&lt;[[TCDeals] - [TC Property Current Stage (Seq: 1)] - [Property Points (Seq: 1)] Other Cost Summary 7 - Both]&gt;</t>
        </r>
      </text>
    </comment>
    <comment ref="C839" authorId="0" shapeId="0" xr:uid="{4C713A82-BDBD-45CB-92B3-E11A290CB442}">
      <text>
        <r>
          <rPr>
            <b/>
            <sz val="9"/>
            <color indexed="81"/>
            <rFont val="Tahoma"/>
            <family val="2"/>
          </rPr>
          <t>&lt;[[TCDeals] - [TC Property Current Stage (Seq: 1)] - [Property Points (Seq: 1)] Other Cost Summary 8 - Both]&gt;</t>
        </r>
      </text>
    </comment>
    <comment ref="C840" authorId="0" shapeId="0" xr:uid="{63B2F4C5-FC70-4FCC-A2A3-C3D957646362}">
      <text>
        <r>
          <rPr>
            <b/>
            <sz val="9"/>
            <color indexed="81"/>
            <rFont val="Tahoma"/>
            <family val="2"/>
          </rPr>
          <t>&lt;[[TCDeals] - [TC Property Current Stage (Seq: 1)] - [Property Points (Seq: 1)] Other Cost Summary 9 - Both]&gt;</t>
        </r>
      </text>
    </comment>
    <comment ref="C841" authorId="0" shapeId="0" xr:uid="{95D128AC-8E5C-4B71-A9D8-A1C0F5603C06}">
      <text>
        <r>
          <rPr>
            <b/>
            <sz val="9"/>
            <color indexed="81"/>
            <rFont val="Tahoma"/>
            <family val="2"/>
          </rPr>
          <t>&lt;[[TCDeals] - [TC Property Current Stage (Seq: 1)] - [Property Points (Seq: 1)] Other Cost Summary 10 - Both]&gt;</t>
        </r>
      </text>
    </comment>
    <comment ref="C842" authorId="0" shapeId="0" xr:uid="{766DCC91-BE90-42CF-B89C-2357E3B2260E}">
      <text>
        <r>
          <rPr>
            <b/>
            <sz val="9"/>
            <color indexed="81"/>
            <rFont val="Tahoma"/>
            <family val="2"/>
          </rPr>
          <t>&lt;[[TCDeals] - [TC Property Current Stage (Seq: 1)] - [Property Points (Seq: 1)] Other Cost Summary 11 - Both]&gt;</t>
        </r>
      </text>
    </comment>
    <comment ref="C843" authorId="0" shapeId="0" xr:uid="{4BF9B0FC-258C-4CC6-A879-FBC7DC886A2A}">
      <text>
        <r>
          <rPr>
            <b/>
            <sz val="9"/>
            <color indexed="81"/>
            <rFont val="Tahoma"/>
            <family val="2"/>
          </rPr>
          <t>&lt;[[TCDeals] - [TC Property Current Stage (Seq: 1)] - [Property Points (Seq: 1)] Other Cost Summary 12 - Both]&gt;</t>
        </r>
      </text>
    </comment>
    <comment ref="C866" authorId="0" shapeId="0" xr:uid="{EB4C0354-4949-4641-AE15-29CBA05E52F2}">
      <text>
        <r>
          <rPr>
            <b/>
            <sz val="9"/>
            <color indexed="81"/>
            <rFont val="Tahoma"/>
            <family val="2"/>
          </rPr>
          <t>&lt;[[TCDeals] - [TC Property Current Stage (Seq: 1)] - [Property Financing - Permanent (Seq: 1)] Source Name - Both]&gt;</t>
        </r>
      </text>
    </comment>
    <comment ref="D866" authorId="0" shapeId="0" xr:uid="{DCA81842-2327-4446-9E61-4F7C82FA8C7F}">
      <text>
        <r>
          <rPr>
            <b/>
            <sz val="9"/>
            <color indexed="81"/>
            <rFont val="Tahoma"/>
            <family val="2"/>
          </rPr>
          <t>&lt;[[TCDeals] - [TC Property Current Stage (Seq: 1)] - [Property Financing - Permanent (Seq: 1)] Amount - Both]&gt;</t>
        </r>
      </text>
    </comment>
    <comment ref="E866" authorId="0" shapeId="0" xr:uid="{F5841048-A866-49F6-98C3-70FF5B7CBE2B}">
      <text>
        <r>
          <rPr>
            <b/>
            <sz val="9"/>
            <color indexed="81"/>
            <rFont val="Tahoma"/>
            <family val="2"/>
          </rPr>
          <t>&lt;[[TCDeals] - [TC Property Current Stage (Seq: 1)] - [Property Financing - Permanent (Seq: 1)] Interest Rate - Both]&gt;</t>
        </r>
      </text>
    </comment>
    <comment ref="F866" authorId="0" shapeId="0" xr:uid="{6CCBBD7D-F2FE-4BFB-8DC7-93CFA9B871AA}">
      <text>
        <r>
          <rPr>
            <b/>
            <sz val="9"/>
            <color indexed="81"/>
            <rFont val="Tahoma"/>
            <family val="2"/>
          </rPr>
          <t>&lt;[[TCDeals] - [TC Property Current Stage (Seq: 1)] - [Property Financing - Permanent (Seq: 1)] Loan Term - Both]&gt;</t>
        </r>
      </text>
    </comment>
    <comment ref="G866" authorId="0" shapeId="0" xr:uid="{6425D1D9-124D-4849-BBDA-8AD75200CCF6}">
      <text>
        <r>
          <rPr>
            <b/>
            <sz val="9"/>
            <color indexed="81"/>
            <rFont val="Tahoma"/>
            <family val="2"/>
          </rPr>
          <t>&lt;[[TCDeals] - [TC Property Current Stage (Seq: 1)] - [Property Financing - Permanent (Seq: 1)] Num Amort Years - Both]&gt;</t>
        </r>
      </text>
    </comment>
    <comment ref="H866" authorId="0" shapeId="0" xr:uid="{398057D5-0046-458D-9DB6-4DA3E6F671F8}">
      <text>
        <r>
          <rPr>
            <b/>
            <sz val="9"/>
            <color indexed="81"/>
            <rFont val="Tahoma"/>
            <family val="2"/>
          </rPr>
          <t>&lt;[[TCDeals] - [TC Property Current Stage (Seq: 1)] - [Property Financing - Permanent (Seq: 1)] Annual Debt Svc Cost - Both]&gt;</t>
        </r>
      </text>
    </comment>
    <comment ref="I866" authorId="0" shapeId="0" xr:uid="{E9BE6C58-8214-4B68-82E0-DBE9D50C8C16}">
      <text>
        <r>
          <rPr>
            <b/>
            <sz val="9"/>
            <color indexed="81"/>
            <rFont val="Tahoma"/>
            <family val="2"/>
          </rPr>
          <t>&lt;[[TCDeals] - [TC Property Current Stage (Seq: 1)] - [Property Financing - Permanent (Seq: 1)] Financing Type - Both]&gt;</t>
        </r>
      </text>
    </comment>
    <comment ref="C867" authorId="0" shapeId="0" xr:uid="{A8EB8A4C-08B6-4DD7-9527-058C32B2D47C}">
      <text>
        <r>
          <rPr>
            <b/>
            <sz val="9"/>
            <color indexed="81"/>
            <rFont val="Tahoma"/>
            <family val="2"/>
          </rPr>
          <t>&lt;[[TCDeals] - [TC Property Current Stage (Seq: 1)] - [Property Financing - Permanent (Seq: 2)] Source Name - Both]&gt;</t>
        </r>
      </text>
    </comment>
    <comment ref="D867" authorId="0" shapeId="0" xr:uid="{41DF3651-5A1E-4CD2-A7F6-BC06E9E75E1E}">
      <text>
        <r>
          <rPr>
            <b/>
            <sz val="9"/>
            <color indexed="81"/>
            <rFont val="Tahoma"/>
            <family val="2"/>
          </rPr>
          <t>&lt;[[TCDeals] - [TC Property Current Stage (Seq: 1)] - [Property Financing - Permanent (Seq: 2)] Amount - Both]&gt;</t>
        </r>
      </text>
    </comment>
    <comment ref="E867" authorId="0" shapeId="0" xr:uid="{F3360A10-231B-4DF0-8C1B-2E3A97939D89}">
      <text>
        <r>
          <rPr>
            <b/>
            <sz val="9"/>
            <color indexed="81"/>
            <rFont val="Tahoma"/>
            <family val="2"/>
          </rPr>
          <t>&lt;[[TCDeals] - [TC Property Current Stage (Seq: 1)] - [Property Financing - Permanent (Seq: 2)] Interest Rate - Both]&gt;</t>
        </r>
      </text>
    </comment>
    <comment ref="F867" authorId="0" shapeId="0" xr:uid="{51A663BC-FF6D-4807-AD34-D2B680D42180}">
      <text>
        <r>
          <rPr>
            <b/>
            <sz val="9"/>
            <color indexed="81"/>
            <rFont val="Tahoma"/>
            <family val="2"/>
          </rPr>
          <t>&lt;[[TCDeals] - [TC Property Current Stage (Seq: 1)] - [Property Financing - Permanent (Seq: 2)] Loan Term - Both]&gt;</t>
        </r>
      </text>
    </comment>
    <comment ref="G867" authorId="0" shapeId="0" xr:uid="{5C98FCA3-C2E2-423F-A6BE-6D4F21B53F12}">
      <text>
        <r>
          <rPr>
            <b/>
            <sz val="9"/>
            <color indexed="81"/>
            <rFont val="Tahoma"/>
            <family val="2"/>
          </rPr>
          <t>&lt;[[TCDeals] - [TC Property Current Stage (Seq: 1)] - [Property Financing - Permanent (Seq: 2)] Num Amort Years - Both]&gt;</t>
        </r>
      </text>
    </comment>
    <comment ref="H867" authorId="0" shapeId="0" xr:uid="{E51D1D44-091A-458D-B6DC-8CBB3308C166}">
      <text>
        <r>
          <rPr>
            <b/>
            <sz val="9"/>
            <color indexed="81"/>
            <rFont val="Tahoma"/>
            <family val="2"/>
          </rPr>
          <t>&lt;[[TCDeals] - [TC Property Current Stage (Seq: 1)] - [Property Financing - Permanent (Seq: 2)] Annual Debt Svc Cost - Both]&gt;</t>
        </r>
      </text>
    </comment>
    <comment ref="I867" authorId="0" shapeId="0" xr:uid="{4324F69A-D9EF-4E04-9B6F-5E99C923195D}">
      <text>
        <r>
          <rPr>
            <b/>
            <sz val="9"/>
            <color indexed="81"/>
            <rFont val="Tahoma"/>
            <family val="2"/>
          </rPr>
          <t>&lt;[[TCDeals] - [TC Property Current Stage (Seq: 1)] - [Property Financing - Permanent (Seq: 2)] Financing Type - Both]&gt;</t>
        </r>
      </text>
    </comment>
    <comment ref="C868" authorId="0" shapeId="0" xr:uid="{F218DBE1-3057-4345-BD0E-1BA6A825E55A}">
      <text>
        <r>
          <rPr>
            <b/>
            <sz val="9"/>
            <color indexed="81"/>
            <rFont val="Tahoma"/>
            <family val="2"/>
          </rPr>
          <t>&lt;[[TCDeals] - [TC Property Current Stage (Seq: 1)] - [Property Financing - Permanent (Seq: 3)] Source Name - Both]&gt;</t>
        </r>
      </text>
    </comment>
    <comment ref="D868" authorId="0" shapeId="0" xr:uid="{6FE17A74-D463-4DA4-8D36-71A9CD344F6D}">
      <text>
        <r>
          <rPr>
            <b/>
            <sz val="9"/>
            <color indexed="81"/>
            <rFont val="Tahoma"/>
            <family val="2"/>
          </rPr>
          <t>&lt;[[TCDeals] - [TC Property Current Stage (Seq: 1)] - [Property Financing - Permanent (Seq: 3)] Amount - Both]&gt;</t>
        </r>
      </text>
    </comment>
    <comment ref="E868" authorId="0" shapeId="0" xr:uid="{26B91987-538C-4B1C-B12F-3AB539AEB31E}">
      <text>
        <r>
          <rPr>
            <b/>
            <sz val="9"/>
            <color indexed="81"/>
            <rFont val="Tahoma"/>
            <family val="2"/>
          </rPr>
          <t>&lt;[[TCDeals] - [TC Property Current Stage (Seq: 1)] - [Property Financing - Permanent (Seq: 3)] Interest Rate - Both]&gt;</t>
        </r>
      </text>
    </comment>
    <comment ref="F868" authorId="0" shapeId="0" xr:uid="{A0757C5F-C207-4C0D-800C-F7D9EDEB42E6}">
      <text>
        <r>
          <rPr>
            <b/>
            <sz val="9"/>
            <color indexed="81"/>
            <rFont val="Tahoma"/>
            <family val="2"/>
          </rPr>
          <t>&lt;[[TCDeals] - [TC Property Current Stage (Seq: 1)] - [Property Financing - Permanent (Seq: 3)] Loan Term - Both]&gt;</t>
        </r>
      </text>
    </comment>
    <comment ref="G868" authorId="0" shapeId="0" xr:uid="{E48367B5-A16D-4596-B184-F6E1BD1732FE}">
      <text>
        <r>
          <rPr>
            <b/>
            <sz val="9"/>
            <color indexed="81"/>
            <rFont val="Tahoma"/>
            <family val="2"/>
          </rPr>
          <t>&lt;[[TCDeals] - [TC Property Current Stage (Seq: 1)] - [Property Financing - Permanent (Seq: 3)] Num Amort Years - Both]&gt;</t>
        </r>
      </text>
    </comment>
    <comment ref="H868" authorId="0" shapeId="0" xr:uid="{4B96042D-8E63-4E30-999F-F0DC7BECC5E3}">
      <text>
        <r>
          <rPr>
            <b/>
            <sz val="9"/>
            <color indexed="81"/>
            <rFont val="Tahoma"/>
            <family val="2"/>
          </rPr>
          <t>&lt;[[TCDeals] - [TC Property Current Stage (Seq: 1)] - [Property Financing - Permanent (Seq: 3)] Annual Debt Svc Cost - Both]&gt;</t>
        </r>
      </text>
    </comment>
    <comment ref="I868" authorId="0" shapeId="0" xr:uid="{78CE54DD-8BC4-4F3C-A8EB-41A6FA09E801}">
      <text>
        <r>
          <rPr>
            <b/>
            <sz val="9"/>
            <color indexed="81"/>
            <rFont val="Tahoma"/>
            <family val="2"/>
          </rPr>
          <t>&lt;[[TCDeals] - [TC Property Current Stage (Seq: 1)] - [Property Financing - Permanent (Seq: 3)] Financing Type - Both]&gt;</t>
        </r>
      </text>
    </comment>
    <comment ref="C869" authorId="0" shapeId="0" xr:uid="{CC47293F-1679-44B6-805A-3CA188EE768C}">
      <text>
        <r>
          <rPr>
            <b/>
            <sz val="9"/>
            <color indexed="81"/>
            <rFont val="Tahoma"/>
            <family val="2"/>
          </rPr>
          <t>&lt;[[TCDeals] - [TC Property Current Stage (Seq: 1)] - [Property Financing - Permanent (Seq: 4)] Source Name - Both]&gt;</t>
        </r>
      </text>
    </comment>
    <comment ref="D869" authorId="0" shapeId="0" xr:uid="{3E604E94-B661-404E-9D7D-1F3C65C83BC7}">
      <text>
        <r>
          <rPr>
            <b/>
            <sz val="9"/>
            <color indexed="81"/>
            <rFont val="Tahoma"/>
            <family val="2"/>
          </rPr>
          <t>&lt;[[TCDeals] - [TC Property Current Stage (Seq: 1)] - [Property Financing - Permanent (Seq: 4)] Amount - Both]&gt;</t>
        </r>
      </text>
    </comment>
    <comment ref="E869" authorId="0" shapeId="0" xr:uid="{ACF3006E-5726-4907-A49C-BE2412E5684C}">
      <text>
        <r>
          <rPr>
            <b/>
            <sz val="9"/>
            <color indexed="81"/>
            <rFont val="Tahoma"/>
            <family val="2"/>
          </rPr>
          <t>&lt;[[TCDeals] - [TC Property Current Stage (Seq: 1)] - [Property Financing - Permanent (Seq: 4)] Interest Rate - Both]&gt;</t>
        </r>
      </text>
    </comment>
    <comment ref="F869" authorId="0" shapeId="0" xr:uid="{6780AEB3-5067-428F-98B8-E99082D58AAA}">
      <text>
        <r>
          <rPr>
            <b/>
            <sz val="9"/>
            <color indexed="81"/>
            <rFont val="Tahoma"/>
            <family val="2"/>
          </rPr>
          <t>&lt;[[TCDeals] - [TC Property Current Stage (Seq: 1)] - [Property Financing - Permanent (Seq: 4)] Loan Term - Both]&gt;</t>
        </r>
      </text>
    </comment>
    <comment ref="G869" authorId="0" shapeId="0" xr:uid="{309E8379-A340-4CA4-AE48-B56E0EB54350}">
      <text>
        <r>
          <rPr>
            <b/>
            <sz val="9"/>
            <color indexed="81"/>
            <rFont val="Tahoma"/>
            <family val="2"/>
          </rPr>
          <t>&lt;[[TCDeals] - [TC Property Current Stage (Seq: 1)] - [Property Financing - Permanent (Seq: 4)] Num Amort Years - Both]&gt;</t>
        </r>
      </text>
    </comment>
    <comment ref="H869" authorId="0" shapeId="0" xr:uid="{596296F1-6C56-4CB6-BEF8-7C6E56BB100D}">
      <text>
        <r>
          <rPr>
            <b/>
            <sz val="9"/>
            <color indexed="81"/>
            <rFont val="Tahoma"/>
            <family val="2"/>
          </rPr>
          <t>&lt;[[TCDeals] - [TC Property Current Stage (Seq: 1)] - [Property Financing - Permanent (Seq: 4)] Annual Debt Svc Cost - Both]&gt;</t>
        </r>
      </text>
    </comment>
    <comment ref="I869" authorId="0" shapeId="0" xr:uid="{45ED2D06-17AD-4AA8-9F79-1723D8AC31C1}">
      <text>
        <r>
          <rPr>
            <b/>
            <sz val="9"/>
            <color indexed="81"/>
            <rFont val="Tahoma"/>
            <family val="2"/>
          </rPr>
          <t>&lt;[[TCDeals] - [TC Property Current Stage (Seq: 1)] - [Property Financing - Permanent (Seq: 4)] Financing Type - Both]&gt;</t>
        </r>
      </text>
    </comment>
    <comment ref="C870" authorId="0" shapeId="0" xr:uid="{1F1D202A-C6F3-4E52-8825-D39A7B43218F}">
      <text>
        <r>
          <rPr>
            <b/>
            <sz val="9"/>
            <color indexed="81"/>
            <rFont val="Tahoma"/>
            <family val="2"/>
          </rPr>
          <t>&lt;[[TCDeals] - [TC Property Current Stage (Seq: 1)] - [Property Financing - Permanent (Seq: 5)] Source Name - Both]&gt;</t>
        </r>
      </text>
    </comment>
    <comment ref="D870" authorId="0" shapeId="0" xr:uid="{49C5C14F-32E7-4066-A068-E36253358A4B}">
      <text>
        <r>
          <rPr>
            <b/>
            <sz val="9"/>
            <color indexed="81"/>
            <rFont val="Tahoma"/>
            <family val="2"/>
          </rPr>
          <t>&lt;[[TCDeals] - [TC Property Current Stage (Seq: 1)] - [Property Financing - Permanent (Seq: 5)] Amount - Both]&gt;</t>
        </r>
      </text>
    </comment>
    <comment ref="E870" authorId="0" shapeId="0" xr:uid="{EEC76A79-35C6-4AA7-B2A4-F784C4AEACE7}">
      <text>
        <r>
          <rPr>
            <b/>
            <sz val="9"/>
            <color indexed="81"/>
            <rFont val="Tahoma"/>
            <family val="2"/>
          </rPr>
          <t>&lt;[[TCDeals] - [TC Property Current Stage (Seq: 1)] - [Property Financing - Permanent (Seq: 5)] Interest Rate - Both]&gt;</t>
        </r>
      </text>
    </comment>
    <comment ref="F870" authorId="0" shapeId="0" xr:uid="{8E5AE5D1-4C7D-4CDE-97B7-3B1550085388}">
      <text>
        <r>
          <rPr>
            <b/>
            <sz val="9"/>
            <color indexed="81"/>
            <rFont val="Tahoma"/>
            <family val="2"/>
          </rPr>
          <t>&lt;[[TCDeals] - [TC Property Current Stage (Seq: 1)] - [Property Financing - Permanent (Seq: 5)] Loan Term - Both]&gt;</t>
        </r>
      </text>
    </comment>
    <comment ref="G870" authorId="0" shapeId="0" xr:uid="{648EACAA-83CE-4CDD-884A-D3554C77B469}">
      <text>
        <r>
          <rPr>
            <b/>
            <sz val="9"/>
            <color indexed="81"/>
            <rFont val="Tahoma"/>
            <family val="2"/>
          </rPr>
          <t>&lt;[[TCDeals] - [TC Property Current Stage (Seq: 1)] - [Property Financing - Permanent (Seq: 5)] Num Amort Years - Both]&gt;</t>
        </r>
      </text>
    </comment>
    <comment ref="H870" authorId="0" shapeId="0" xr:uid="{0C191476-C337-493A-A634-77DB54F5B623}">
      <text>
        <r>
          <rPr>
            <b/>
            <sz val="9"/>
            <color indexed="81"/>
            <rFont val="Tahoma"/>
            <family val="2"/>
          </rPr>
          <t>&lt;[[TCDeals] - [TC Property Current Stage (Seq: 1)] - [Property Financing - Permanent (Seq: 5)] Annual Debt Svc Cost - Both]&gt;</t>
        </r>
      </text>
    </comment>
    <comment ref="I870" authorId="0" shapeId="0" xr:uid="{BE0F6886-D8CB-4DDA-8FF8-3C9AB2F88450}">
      <text>
        <r>
          <rPr>
            <b/>
            <sz val="9"/>
            <color indexed="81"/>
            <rFont val="Tahoma"/>
            <family val="2"/>
          </rPr>
          <t>&lt;[[TCDeals] - [TC Property Current Stage (Seq: 1)] - [Property Financing - Permanent (Seq: 5)] Financing Type - Both]&gt;</t>
        </r>
      </text>
    </comment>
    <comment ref="C871" authorId="0" shapeId="0" xr:uid="{87722E37-A696-4CD4-8937-FDA39AE473AB}">
      <text>
        <r>
          <rPr>
            <b/>
            <sz val="9"/>
            <color indexed="81"/>
            <rFont val="Tahoma"/>
            <family val="2"/>
          </rPr>
          <t>&lt;[[TCDeals] - [TC Property Current Stage (Seq: 1)] - [Property Financing - Permanent (Seq: 6)] Source Name - Both]&gt;</t>
        </r>
      </text>
    </comment>
    <comment ref="D871" authorId="0" shapeId="0" xr:uid="{83FD8736-F210-4049-B63D-991F88374BE5}">
      <text>
        <r>
          <rPr>
            <b/>
            <sz val="9"/>
            <color indexed="81"/>
            <rFont val="Tahoma"/>
            <family val="2"/>
          </rPr>
          <t>&lt;[[TCDeals] - [TC Property Current Stage (Seq: 1)] - [Property Financing - Permanent (Seq: 6)] Amount - Both]&gt;</t>
        </r>
      </text>
    </comment>
    <comment ref="E871" authorId="0" shapeId="0" xr:uid="{11D55389-1A6C-4295-8C2C-14C8A27F43FC}">
      <text>
        <r>
          <rPr>
            <b/>
            <sz val="9"/>
            <color indexed="81"/>
            <rFont val="Tahoma"/>
            <family val="2"/>
          </rPr>
          <t>&lt;[[TCDeals] - [TC Property Current Stage (Seq: 1)] - [Property Financing - Permanent (Seq: 6)] Interest Rate - Both]&gt;</t>
        </r>
      </text>
    </comment>
    <comment ref="F871" authorId="0" shapeId="0" xr:uid="{536B6B67-42E0-4897-93CD-12172AF3018D}">
      <text>
        <r>
          <rPr>
            <b/>
            <sz val="9"/>
            <color indexed="81"/>
            <rFont val="Tahoma"/>
            <family val="2"/>
          </rPr>
          <t>&lt;[[TCDeals] - [TC Property Current Stage (Seq: 1)] - [Property Financing - Permanent (Seq: 6)] Loan Term - Both]&gt;</t>
        </r>
      </text>
    </comment>
    <comment ref="G871" authorId="0" shapeId="0" xr:uid="{91E4F119-6306-4753-8FB1-426444E56848}">
      <text>
        <r>
          <rPr>
            <b/>
            <sz val="9"/>
            <color indexed="81"/>
            <rFont val="Tahoma"/>
            <family val="2"/>
          </rPr>
          <t>&lt;[[TCDeals] - [TC Property Current Stage (Seq: 1)] - [Property Financing - Permanent (Seq: 6)] Num Amort Years - Both]&gt;</t>
        </r>
      </text>
    </comment>
    <comment ref="H871" authorId="0" shapeId="0" xr:uid="{251B4F9B-7FA6-4F28-8486-CBAB8A836FFA}">
      <text>
        <r>
          <rPr>
            <b/>
            <sz val="9"/>
            <color indexed="81"/>
            <rFont val="Tahoma"/>
            <family val="2"/>
          </rPr>
          <t>&lt;[[TCDeals] - [TC Property Current Stage (Seq: 1)] - [Property Financing - Permanent (Seq: 6)] Annual Debt Svc Cost - Both]&gt;</t>
        </r>
      </text>
    </comment>
    <comment ref="I871" authorId="0" shapeId="0" xr:uid="{FC663300-37BC-4A92-8EC2-4BE78FFAAD74}">
      <text>
        <r>
          <rPr>
            <b/>
            <sz val="9"/>
            <color indexed="81"/>
            <rFont val="Tahoma"/>
            <family val="2"/>
          </rPr>
          <t>&lt;[[TCDeals] - [TC Property Current Stage (Seq: 1)] - [Property Financing - Permanent (Seq: 6)] Financing Type - Both]&gt;</t>
        </r>
      </text>
    </comment>
    <comment ref="C872" authorId="0" shapeId="0" xr:uid="{50A8C3D3-BDFC-4D26-A3C2-44B74ECADA92}">
      <text>
        <r>
          <rPr>
            <b/>
            <sz val="9"/>
            <color indexed="81"/>
            <rFont val="Tahoma"/>
            <family val="2"/>
          </rPr>
          <t>&lt;[[TCDeals] - [TC Property Current Stage (Seq: 1)] - [Property Financing - Permanent (Seq: 7)] Source Name - Both]&gt;</t>
        </r>
      </text>
    </comment>
    <comment ref="D872" authorId="0" shapeId="0" xr:uid="{21679F28-7B31-4743-8C41-E31A92A64DED}">
      <text>
        <r>
          <rPr>
            <b/>
            <sz val="9"/>
            <color indexed="81"/>
            <rFont val="Tahoma"/>
            <family val="2"/>
          </rPr>
          <t>&lt;[[TCDeals] - [TC Property Current Stage (Seq: 1)] - [Property Financing - Permanent (Seq: 7)] Amount - Both]&gt;</t>
        </r>
      </text>
    </comment>
    <comment ref="E872" authorId="0" shapeId="0" xr:uid="{B52B7CAE-888F-4394-A38B-5FDF56BD4940}">
      <text>
        <r>
          <rPr>
            <b/>
            <sz val="9"/>
            <color indexed="81"/>
            <rFont val="Tahoma"/>
            <family val="2"/>
          </rPr>
          <t>&lt;[[TCDeals] - [TC Property Current Stage (Seq: 1)] - [Property Financing - Permanent (Seq: 7)] Interest Rate - Both]&gt;</t>
        </r>
      </text>
    </comment>
    <comment ref="F872" authorId="0" shapeId="0" xr:uid="{0057BAB1-B827-4FC5-B236-AD1D9D360D6F}">
      <text>
        <r>
          <rPr>
            <b/>
            <sz val="9"/>
            <color indexed="81"/>
            <rFont val="Tahoma"/>
            <family val="2"/>
          </rPr>
          <t>&lt;[[TCDeals] - [TC Property Current Stage (Seq: 1)] - [Property Financing - Permanent (Seq: 7)] Loan Term - Both]&gt;</t>
        </r>
      </text>
    </comment>
    <comment ref="G872" authorId="0" shapeId="0" xr:uid="{A1357B6F-1A58-4006-B7AB-B3679B7CB44B}">
      <text>
        <r>
          <rPr>
            <b/>
            <sz val="9"/>
            <color indexed="81"/>
            <rFont val="Tahoma"/>
            <family val="2"/>
          </rPr>
          <t>&lt;[[TCDeals] - [TC Property Current Stage (Seq: 1)] - [Property Financing - Permanent (Seq: 7)] Num Amort Years - Both]&gt;</t>
        </r>
      </text>
    </comment>
    <comment ref="H872" authorId="0" shapeId="0" xr:uid="{579BEFFA-59FE-4DCE-8DBC-80BE12253078}">
      <text>
        <r>
          <rPr>
            <b/>
            <sz val="9"/>
            <color indexed="81"/>
            <rFont val="Tahoma"/>
            <family val="2"/>
          </rPr>
          <t>&lt;[[TCDeals] - [TC Property Current Stage (Seq: 1)] - [Property Financing - Permanent (Seq: 7)] Annual Debt Svc Cost - Both]&gt;</t>
        </r>
      </text>
    </comment>
    <comment ref="I872" authorId="0" shapeId="0" xr:uid="{29D6FF69-B777-4B66-919E-D53E9EA28062}">
      <text>
        <r>
          <rPr>
            <b/>
            <sz val="9"/>
            <color indexed="81"/>
            <rFont val="Tahoma"/>
            <family val="2"/>
          </rPr>
          <t>&lt;[[TCDeals] - [TC Property Current Stage (Seq: 1)] - [Property Financing - Permanent (Seq: 7)] Financing Type - Both]&gt;</t>
        </r>
      </text>
    </comment>
    <comment ref="C873" authorId="0" shapeId="0" xr:uid="{4CFBDE5D-2ED0-4431-96AA-F27866A2801E}">
      <text>
        <r>
          <rPr>
            <b/>
            <sz val="9"/>
            <color indexed="81"/>
            <rFont val="Tahoma"/>
            <family val="2"/>
          </rPr>
          <t>&lt;[[TCDeals] - [TC Property Current Stage (Seq: 1)] - [Property Financing - Permanent (Seq: 8)] Source Name - Both]&gt;</t>
        </r>
      </text>
    </comment>
    <comment ref="D873" authorId="0" shapeId="0" xr:uid="{A4FBA935-255D-4BA3-AB18-D83214D17814}">
      <text>
        <r>
          <rPr>
            <b/>
            <sz val="9"/>
            <color indexed="81"/>
            <rFont val="Tahoma"/>
            <family val="2"/>
          </rPr>
          <t>&lt;[[TCDeals] - [TC Property Current Stage (Seq: 1)] - [Property Financing - Permanent (Seq: 8)] Amount - Both]&gt;</t>
        </r>
      </text>
    </comment>
    <comment ref="E873" authorId="0" shapeId="0" xr:uid="{BA2B008C-CBA3-421C-AA11-2A1C4B6179EE}">
      <text>
        <r>
          <rPr>
            <b/>
            <sz val="9"/>
            <color indexed="81"/>
            <rFont val="Tahoma"/>
            <family val="2"/>
          </rPr>
          <t>&lt;[[TCDeals] - [TC Property Current Stage (Seq: 1)] - [Property Financing - Permanent (Seq: 8)] Interest Rate - Both]&gt;</t>
        </r>
      </text>
    </comment>
    <comment ref="F873" authorId="0" shapeId="0" xr:uid="{6129D148-FBC8-45D9-AC0C-B5E5808693BE}">
      <text>
        <r>
          <rPr>
            <b/>
            <sz val="9"/>
            <color indexed="81"/>
            <rFont val="Tahoma"/>
            <family val="2"/>
          </rPr>
          <t>&lt;[[TCDeals] - [TC Property Current Stage (Seq: 1)] - [Property Financing - Permanent (Seq: 8)] Loan Term - Both]&gt;</t>
        </r>
      </text>
    </comment>
    <comment ref="G873" authorId="0" shapeId="0" xr:uid="{D50D2222-1FDE-4593-B55B-EF51A377DE42}">
      <text>
        <r>
          <rPr>
            <b/>
            <sz val="9"/>
            <color indexed="81"/>
            <rFont val="Tahoma"/>
            <family val="2"/>
          </rPr>
          <t>&lt;[[TCDeals] - [TC Property Current Stage (Seq: 1)] - [Property Financing - Permanent (Seq: 8)] Num Amort Years - Both]&gt;</t>
        </r>
      </text>
    </comment>
    <comment ref="H873" authorId="0" shapeId="0" xr:uid="{4C8DC415-4DF9-4F6A-BDB1-E7E6684E388F}">
      <text>
        <r>
          <rPr>
            <b/>
            <sz val="9"/>
            <color indexed="81"/>
            <rFont val="Tahoma"/>
            <family val="2"/>
          </rPr>
          <t>&lt;[[TCDeals] - [TC Property Current Stage (Seq: 1)] - [Property Financing - Permanent (Seq: 8)] Annual Debt Svc Cost - Both]&gt;</t>
        </r>
      </text>
    </comment>
    <comment ref="I873" authorId="0" shapeId="0" xr:uid="{0C27CCC3-DDBF-4C15-8CA3-BAA6B87865B4}">
      <text>
        <r>
          <rPr>
            <b/>
            <sz val="9"/>
            <color indexed="81"/>
            <rFont val="Tahoma"/>
            <family val="2"/>
          </rPr>
          <t>&lt;[[TCDeals] - [TC Property Current Stage (Seq: 1)] - [Property Financing - Permanent (Seq: 8)] Financing Type - Both]&gt;</t>
        </r>
      </text>
    </comment>
    <comment ref="C874" authorId="0" shapeId="0" xr:uid="{A6F76C79-C977-4FD7-A532-3D9617933F5C}">
      <text>
        <r>
          <rPr>
            <b/>
            <sz val="9"/>
            <color indexed="81"/>
            <rFont val="Tahoma"/>
            <family val="2"/>
          </rPr>
          <t>&lt;[[TCDeals] - [TC Property Current Stage (Seq: 1)] - [Property Financing - Permanent (Seq: 9)] Source Name - Both]&gt;</t>
        </r>
      </text>
    </comment>
    <comment ref="D874" authorId="0" shapeId="0" xr:uid="{9439E666-CEB2-4F0A-A812-DC8A5D4553D4}">
      <text>
        <r>
          <rPr>
            <b/>
            <sz val="9"/>
            <color indexed="81"/>
            <rFont val="Tahoma"/>
            <family val="2"/>
          </rPr>
          <t>&lt;[[TCDeals] - [TC Property Current Stage (Seq: 1)] - [Property Financing - Permanent (Seq: 9)] Amount - Both]&gt;</t>
        </r>
      </text>
    </comment>
    <comment ref="E874" authorId="0" shapeId="0" xr:uid="{25CD67F6-2DE2-4475-8083-88B86A2B3650}">
      <text>
        <r>
          <rPr>
            <b/>
            <sz val="9"/>
            <color indexed="81"/>
            <rFont val="Tahoma"/>
            <family val="2"/>
          </rPr>
          <t>&lt;[[TCDeals] - [TC Property Current Stage (Seq: 1)] - [Property Financing - Permanent (Seq: 9)] Interest Rate - Both]&gt;</t>
        </r>
      </text>
    </comment>
    <comment ref="F874" authorId="0" shapeId="0" xr:uid="{9C7BBBB8-FDC7-46FF-974D-3A40AD137189}">
      <text>
        <r>
          <rPr>
            <b/>
            <sz val="9"/>
            <color indexed="81"/>
            <rFont val="Tahoma"/>
            <family val="2"/>
          </rPr>
          <t>&lt;[[TCDeals] - [TC Property Current Stage (Seq: 1)] - [Property Financing - Permanent (Seq: 9)] Loan Term - Both]&gt;</t>
        </r>
      </text>
    </comment>
    <comment ref="G874" authorId="0" shapeId="0" xr:uid="{24FE2251-39FE-4241-84FC-4791FA3FB70D}">
      <text>
        <r>
          <rPr>
            <b/>
            <sz val="9"/>
            <color indexed="81"/>
            <rFont val="Tahoma"/>
            <family val="2"/>
          </rPr>
          <t>&lt;[[TCDeals] - [TC Property Current Stage (Seq: 1)] - [Property Financing - Permanent (Seq: 9)] Num Amort Years - Both]&gt;</t>
        </r>
      </text>
    </comment>
    <comment ref="H874" authorId="0" shapeId="0" xr:uid="{D2239EBC-F776-4999-9FCE-FC559EF332E5}">
      <text>
        <r>
          <rPr>
            <b/>
            <sz val="9"/>
            <color indexed="81"/>
            <rFont val="Tahoma"/>
            <family val="2"/>
          </rPr>
          <t>&lt;[[TCDeals] - [TC Property Current Stage (Seq: 1)] - [Property Financing - Permanent (Seq: 9)] Annual Debt Svc Cost - Both]&gt;</t>
        </r>
      </text>
    </comment>
    <comment ref="I874" authorId="0" shapeId="0" xr:uid="{75866038-196A-479C-B8B6-ACC714D0EE45}">
      <text>
        <r>
          <rPr>
            <b/>
            <sz val="9"/>
            <color indexed="81"/>
            <rFont val="Tahoma"/>
            <family val="2"/>
          </rPr>
          <t>&lt;[[TCDeals] - [TC Property Current Stage (Seq: 1)] - [Property Financing - Permanent (Seq: 9)] Financing Type - Both]&gt;</t>
        </r>
      </text>
    </comment>
    <comment ref="C890" authorId="0" shapeId="0" xr:uid="{0990179E-F95A-4105-BF25-F568BA3EEAEC}">
      <text>
        <r>
          <rPr>
            <b/>
            <sz val="9"/>
            <color indexed="81"/>
            <rFont val="Tahoma"/>
            <family val="2"/>
          </rPr>
          <t>&lt;[[TCDeals] - [TC Property Current Stage (Seq: 1)] - [Property Financing - Grant (Seq: 1)] Source Name - Both]&gt;</t>
        </r>
      </text>
    </comment>
    <comment ref="D890" authorId="0" shapeId="0" xr:uid="{C0034B07-5756-49DD-A1FF-53CA25D5C162}">
      <text>
        <r>
          <rPr>
            <b/>
            <sz val="9"/>
            <color indexed="81"/>
            <rFont val="Tahoma"/>
            <family val="2"/>
          </rPr>
          <t>&lt;[[TCDeals] - [TC Property Current Stage (Seq: 1)] - [Property Financing - Grant (Seq: 1)] Amount - Both]&gt;</t>
        </r>
      </text>
    </comment>
    <comment ref="E890" authorId="0" shapeId="0" xr:uid="{BB54B072-6CB4-462A-BBB7-50F6249A811E}">
      <text>
        <r>
          <rPr>
            <b/>
            <sz val="9"/>
            <color indexed="81"/>
            <rFont val="Tahoma"/>
            <family val="2"/>
          </rPr>
          <t>&lt;[[TCDeals] - [TC Property Current Stage (Seq: 1)] - [Property Financing - Grant (Seq: 1)] Financing Type - Both]&gt;</t>
        </r>
      </text>
    </comment>
    <comment ref="C891" authorId="0" shapeId="0" xr:uid="{7FE9AE16-6A6D-4AF7-A038-71A37B6290CC}">
      <text>
        <r>
          <rPr>
            <b/>
            <sz val="9"/>
            <color indexed="81"/>
            <rFont val="Tahoma"/>
            <family val="2"/>
          </rPr>
          <t>&lt;[[TCDeals] - [TC Property Current Stage (Seq: 1)] - [Property Financing - Grant (Seq: 2)] Source Name - Both]&gt;</t>
        </r>
      </text>
    </comment>
    <comment ref="D891" authorId="0" shapeId="0" xr:uid="{ED3CB09F-C446-482E-9D57-F264F50B287C}">
      <text>
        <r>
          <rPr>
            <b/>
            <sz val="9"/>
            <color indexed="81"/>
            <rFont val="Tahoma"/>
            <family val="2"/>
          </rPr>
          <t>&lt;[[TCDeals] - [TC Property Current Stage (Seq: 1)] - [Property Financing - Grant (Seq: 2)] Amount - Both]&gt;</t>
        </r>
      </text>
    </comment>
    <comment ref="E891" authorId="0" shapeId="0" xr:uid="{93E42205-D10B-4CBC-9165-4BAF7933A010}">
      <text>
        <r>
          <rPr>
            <b/>
            <sz val="9"/>
            <color indexed="81"/>
            <rFont val="Tahoma"/>
            <family val="2"/>
          </rPr>
          <t>&lt;[[TCDeals] - [TC Property Current Stage (Seq: 1)] - [Property Financing - Grant (Seq: 2)] Financing Type - Both]&gt;</t>
        </r>
      </text>
    </comment>
    <comment ref="C892" authorId="0" shapeId="0" xr:uid="{56A14D5E-21D7-4023-861D-EAE69C3EDD75}">
      <text>
        <r>
          <rPr>
            <b/>
            <sz val="9"/>
            <color indexed="81"/>
            <rFont val="Tahoma"/>
            <family val="2"/>
          </rPr>
          <t>&lt;[[TCDeals] - [TC Property Current Stage (Seq: 1)] - [Property Financing - Grant (Seq: 3)] Source Name - Both]&gt;</t>
        </r>
      </text>
    </comment>
    <comment ref="D892" authorId="0" shapeId="0" xr:uid="{6BD732F3-1C28-4E21-A5EE-56F60214DF1E}">
      <text>
        <r>
          <rPr>
            <b/>
            <sz val="9"/>
            <color indexed="81"/>
            <rFont val="Tahoma"/>
            <family val="2"/>
          </rPr>
          <t>&lt;[[TCDeals] - [TC Property Current Stage (Seq: 1)] - [Property Financing - Grant (Seq: 3)] Amount - Both]&gt;</t>
        </r>
      </text>
    </comment>
    <comment ref="E892" authorId="0" shapeId="0" xr:uid="{79FA1121-CDDD-432F-BA84-23A950E57EEC}">
      <text>
        <r>
          <rPr>
            <b/>
            <sz val="9"/>
            <color indexed="81"/>
            <rFont val="Tahoma"/>
            <family val="2"/>
          </rPr>
          <t>&lt;[[TCDeals] - [TC Property Current Stage (Seq: 1)] - [Property Financing - Grant (Seq: 3)] Financing Type - Both]&gt;</t>
        </r>
      </text>
    </comment>
    <comment ref="C893" authorId="0" shapeId="0" xr:uid="{0E2CD2ED-AA9A-475E-B773-28F419AC31A5}">
      <text>
        <r>
          <rPr>
            <b/>
            <sz val="9"/>
            <color indexed="81"/>
            <rFont val="Tahoma"/>
            <family val="2"/>
          </rPr>
          <t>&lt;[[TCDeals] - [TC Property Current Stage (Seq: 1)] - [Property Financing - Grant (Seq: 4)] Source Name - Both]&gt;</t>
        </r>
      </text>
    </comment>
    <comment ref="D893" authorId="0" shapeId="0" xr:uid="{9B706F46-EA88-4A1F-9B8C-45199932BD83}">
      <text>
        <r>
          <rPr>
            <b/>
            <sz val="9"/>
            <color indexed="81"/>
            <rFont val="Tahoma"/>
            <family val="2"/>
          </rPr>
          <t>&lt;[[TCDeals] - [TC Property Current Stage (Seq: 1)] - [Property Financing - Grant (Seq: 4)] Amount - Both]&gt;</t>
        </r>
      </text>
    </comment>
    <comment ref="E893" authorId="0" shapeId="0" xr:uid="{C34032FC-2AD1-472E-9690-1B1A21CA84E7}">
      <text>
        <r>
          <rPr>
            <b/>
            <sz val="9"/>
            <color indexed="81"/>
            <rFont val="Tahoma"/>
            <family val="2"/>
          </rPr>
          <t>&lt;[[TCDeals] - [TC Property Current Stage (Seq: 1)] - [Property Financing - Grant (Seq: 4)] Financing Type - Both]&gt;</t>
        </r>
      </text>
    </comment>
    <comment ref="C894" authorId="0" shapeId="0" xr:uid="{E4C29F09-1197-41DC-A535-EB5C8DC8E734}">
      <text>
        <r>
          <rPr>
            <b/>
            <sz val="9"/>
            <color indexed="81"/>
            <rFont val="Tahoma"/>
            <family val="2"/>
          </rPr>
          <t>&lt;[[TCDeals] - [TC Property Current Stage (Seq: 1)] - [Property Financing - Grant (Seq: 5)] Source Name - Both]&gt;</t>
        </r>
      </text>
    </comment>
    <comment ref="D894" authorId="0" shapeId="0" xr:uid="{C94F1F07-DD94-4E5D-8067-EEC2A995BD72}">
      <text>
        <r>
          <rPr>
            <b/>
            <sz val="9"/>
            <color indexed="81"/>
            <rFont val="Tahoma"/>
            <family val="2"/>
          </rPr>
          <t>&lt;[[TCDeals] - [TC Property Current Stage (Seq: 1)] - [Property Financing - Grant (Seq: 5)] Amount - Both]&gt;</t>
        </r>
      </text>
    </comment>
    <comment ref="E894" authorId="0" shapeId="0" xr:uid="{DEC3E940-37A9-4F1F-BC85-7F5A274C7877}">
      <text>
        <r>
          <rPr>
            <b/>
            <sz val="9"/>
            <color indexed="81"/>
            <rFont val="Tahoma"/>
            <family val="2"/>
          </rPr>
          <t>&lt;[[TCDeals] - [TC Property Current Stage (Seq: 1)] - [Property Financing - Grant (Seq: 5)] Financing Type - Both]&gt;</t>
        </r>
      </text>
    </comment>
    <comment ref="C895" authorId="0" shapeId="0" xr:uid="{531F000D-5F51-4F91-AFA8-72216D8FAFEC}">
      <text>
        <r>
          <rPr>
            <b/>
            <sz val="9"/>
            <color indexed="81"/>
            <rFont val="Tahoma"/>
            <family val="2"/>
          </rPr>
          <t>&lt;[[TCDeals] - [TC Property Current Stage (Seq: 1)] - [Property Financing - Grant (Seq: 6)] Source Name - Both]&gt;</t>
        </r>
      </text>
    </comment>
    <comment ref="D895" authorId="0" shapeId="0" xr:uid="{711EE395-5309-45B7-AF3D-3D7FE847E782}">
      <text>
        <r>
          <rPr>
            <b/>
            <sz val="9"/>
            <color indexed="81"/>
            <rFont val="Tahoma"/>
            <family val="2"/>
          </rPr>
          <t>&lt;[[TCDeals] - [TC Property Current Stage (Seq: 1)] - [Property Financing - Grant (Seq: 6)] Amount - Both]&gt;</t>
        </r>
      </text>
    </comment>
    <comment ref="E895" authorId="0" shapeId="0" xr:uid="{5069D33E-6E3D-4101-BB48-710D1028B1E0}">
      <text>
        <r>
          <rPr>
            <b/>
            <sz val="9"/>
            <color indexed="81"/>
            <rFont val="Tahoma"/>
            <family val="2"/>
          </rPr>
          <t>&lt;[[TCDeals] - [TC Property Current Stage (Seq: 1)] - [Property Financing - Grant (Seq: 6)] Financing Type - Both]&gt;</t>
        </r>
      </text>
    </comment>
    <comment ref="C896" authorId="0" shapeId="0" xr:uid="{D3826437-4DE3-48D1-8527-DEDD447782BA}">
      <text>
        <r>
          <rPr>
            <b/>
            <sz val="9"/>
            <color indexed="81"/>
            <rFont val="Tahoma"/>
            <family val="2"/>
          </rPr>
          <t>&lt;[[TCDeals] - [TC Property Current Stage (Seq: 1)] - [Property Financing - Grant (Seq: 7)] Source Name - Both]&gt;</t>
        </r>
      </text>
    </comment>
    <comment ref="D896" authorId="0" shapeId="0" xr:uid="{82166BEB-73A5-4C4F-A968-F3F3FA490A4C}">
      <text>
        <r>
          <rPr>
            <b/>
            <sz val="9"/>
            <color indexed="81"/>
            <rFont val="Tahoma"/>
            <family val="2"/>
          </rPr>
          <t>&lt;[[TCDeals] - [TC Property Current Stage (Seq: 1)] - [Property Financing - Grant (Seq: 7)] Amount - Both]&gt;</t>
        </r>
      </text>
    </comment>
    <comment ref="E896" authorId="0" shapeId="0" xr:uid="{6D2E8A88-8BFA-41FA-9180-B2A4F6576A06}">
      <text>
        <r>
          <rPr>
            <b/>
            <sz val="9"/>
            <color indexed="81"/>
            <rFont val="Tahoma"/>
            <family val="2"/>
          </rPr>
          <t>&lt;[[TCDeals] - [TC Property Current Stage (Seq: 1)] - [Property Financing - Grant (Seq: 7)] Financing Type - Both]&gt;</t>
        </r>
      </text>
    </comment>
    <comment ref="C897" authorId="0" shapeId="0" xr:uid="{AF5AFB61-0B90-4AD3-8895-D3D953F77B0B}">
      <text>
        <r>
          <rPr>
            <b/>
            <sz val="9"/>
            <color indexed="81"/>
            <rFont val="Tahoma"/>
            <family val="2"/>
          </rPr>
          <t>&lt;[[TCDeals] - [TC Property Current Stage (Seq: 1)] - [Property Financing - Grant (Seq: 8)] Source Name - Both]&gt;</t>
        </r>
      </text>
    </comment>
    <comment ref="D897" authorId="0" shapeId="0" xr:uid="{FB6C51B1-B5D4-4335-8A2E-958145A5F61D}">
      <text>
        <r>
          <rPr>
            <b/>
            <sz val="9"/>
            <color indexed="81"/>
            <rFont val="Tahoma"/>
            <family val="2"/>
          </rPr>
          <t>&lt;[[TCDeals] - [TC Property Current Stage (Seq: 1)] - [Property Financing - Grant (Seq: 8)] Amount - Both]&gt;</t>
        </r>
      </text>
    </comment>
    <comment ref="E897" authorId="0" shapeId="0" xr:uid="{2B03BEDF-FBB3-463C-9CE3-DD0451C7528A}">
      <text>
        <r>
          <rPr>
            <b/>
            <sz val="9"/>
            <color indexed="81"/>
            <rFont val="Tahoma"/>
            <family val="2"/>
          </rPr>
          <t>&lt;[[TCDeals] - [TC Property Current Stage (Seq: 1)] - [Property Financing - Grant (Seq: 8)] Financing Type - Both]&gt;</t>
        </r>
      </text>
    </comment>
    <comment ref="C920" authorId="0" shapeId="0" xr:uid="{92B3E930-6B55-46EE-A250-298337AC9419}">
      <text>
        <r>
          <rPr>
            <b/>
            <sz val="9"/>
            <color indexed="81"/>
            <rFont val="Tahoma"/>
            <family val="2"/>
          </rPr>
          <t>&lt;[[TCDeals] - [Fees (Seq: 1)] TC Deal Fee Type - Both]&gt;</t>
        </r>
      </text>
    </comment>
    <comment ref="D920" authorId="0" shapeId="0" xr:uid="{9A81F5FE-412E-45BE-91EF-465FE1EA3BBA}">
      <text>
        <r>
          <rPr>
            <b/>
            <sz val="9"/>
            <color indexed="81"/>
            <rFont val="Tahoma"/>
            <family val="2"/>
          </rPr>
          <t>&lt;[[TCDeals] - [Fees (Seq: 1)] Amount - Both]&gt;</t>
        </r>
      </text>
    </comment>
    <comment ref="C921" authorId="0" shapeId="0" xr:uid="{1715008F-BB20-416A-9CD4-CACA60399EB0}">
      <text>
        <r>
          <rPr>
            <b/>
            <sz val="9"/>
            <color indexed="81"/>
            <rFont val="Tahoma"/>
            <family val="2"/>
          </rPr>
          <t>&lt;[[TCDeals] - [Fees (Seq: 2)] TC Deal Fee Type - Both]&gt;</t>
        </r>
      </text>
    </comment>
    <comment ref="D921" authorId="0" shapeId="0" xr:uid="{32CDBA55-11FB-4AC5-BC21-1FBAF681F080}">
      <text>
        <r>
          <rPr>
            <b/>
            <sz val="9"/>
            <color indexed="81"/>
            <rFont val="Tahoma"/>
            <family val="2"/>
          </rPr>
          <t>&lt;[[TCDeals] - [Fees (Seq: 2)] Amount - Both]&gt;</t>
        </r>
      </text>
    </comment>
    <comment ref="C922" authorId="0" shapeId="0" xr:uid="{CF8F4F7C-9723-40B4-9C4F-D3C3D0E6D8CF}">
      <text>
        <r>
          <rPr>
            <b/>
            <sz val="9"/>
            <color indexed="81"/>
            <rFont val="Tahoma"/>
            <family val="2"/>
          </rPr>
          <t>&lt;[[TCDeals] - [Fees (Seq: 3)] TC Deal Fee Type - Both]&gt;</t>
        </r>
      </text>
    </comment>
    <comment ref="D922" authorId="0" shapeId="0" xr:uid="{AE87752F-D1F2-4E05-8E0D-FCABCE26B8C4}">
      <text>
        <r>
          <rPr>
            <b/>
            <sz val="9"/>
            <color indexed="81"/>
            <rFont val="Tahoma"/>
            <family val="2"/>
          </rPr>
          <t>&lt;[[TCDeals] - [Fees (Seq: 3)] Amount - Both]&gt;</t>
        </r>
      </text>
    </comment>
    <comment ref="C923" authorId="0" shapeId="0" xr:uid="{AE289E7B-15F6-43B7-8165-6D451DD35B13}">
      <text>
        <r>
          <rPr>
            <b/>
            <sz val="9"/>
            <color indexed="81"/>
            <rFont val="Tahoma"/>
            <family val="2"/>
          </rPr>
          <t>&lt;[[TCDeals] - [Fees (Seq: 4)] TC Deal Fee Type - Both]&gt;</t>
        </r>
      </text>
    </comment>
    <comment ref="D923" authorId="0" shapeId="0" xr:uid="{A2479000-B5C6-4802-B2A7-1F3C805BC8C0}">
      <text>
        <r>
          <rPr>
            <b/>
            <sz val="9"/>
            <color indexed="81"/>
            <rFont val="Tahoma"/>
            <family val="2"/>
          </rPr>
          <t>&lt;[[TCDeals] - [Fees (Seq: 4)] Amount - Both]&gt;</t>
        </r>
      </text>
    </comment>
    <comment ref="C924" authorId="0" shapeId="0" xr:uid="{0590B2EA-B878-4F3A-84C2-D7A34F66D79A}">
      <text>
        <r>
          <rPr>
            <b/>
            <sz val="9"/>
            <color indexed="81"/>
            <rFont val="Tahoma"/>
            <family val="2"/>
          </rPr>
          <t>&lt;[[TCDeals] - [Fees (Seq: 5)] TC Deal Fee Type - Both]&gt;</t>
        </r>
      </text>
    </comment>
    <comment ref="D924" authorId="0" shapeId="0" xr:uid="{0B5D88FA-5DC8-416A-990E-C3B61DAA8BD1}">
      <text>
        <r>
          <rPr>
            <b/>
            <sz val="9"/>
            <color indexed="81"/>
            <rFont val="Tahoma"/>
            <family val="2"/>
          </rPr>
          <t>&lt;[[TCDeals] - [Fees (Seq: 5)] Amount - Both]&gt;</t>
        </r>
      </text>
    </comment>
    <comment ref="C925" authorId="0" shapeId="0" xr:uid="{E5B2F57F-DDCA-4012-9B49-6CA81FBDC469}">
      <text>
        <r>
          <rPr>
            <b/>
            <sz val="9"/>
            <color indexed="81"/>
            <rFont val="Tahoma"/>
            <family val="2"/>
          </rPr>
          <t>&lt;[[TCDeals] - [Fees (Seq: 6)] TC Deal Fee Type - Both]&gt;</t>
        </r>
      </text>
    </comment>
    <comment ref="D925" authorId="0" shapeId="0" xr:uid="{7CAF2348-29BB-49D8-B92B-73480891C7FF}">
      <text>
        <r>
          <rPr>
            <b/>
            <sz val="9"/>
            <color indexed="81"/>
            <rFont val="Tahoma"/>
            <family val="2"/>
          </rPr>
          <t>&lt;[[TCDeals] - [Fees (Seq: 6)] Amount - Both]&gt;</t>
        </r>
      </text>
    </comment>
    <comment ref="C926" authorId="0" shapeId="0" xr:uid="{3E4BB4CA-7025-4D8F-ABCB-3BD951CE7924}">
      <text>
        <r>
          <rPr>
            <b/>
            <sz val="9"/>
            <color indexed="81"/>
            <rFont val="Tahoma"/>
            <family val="2"/>
          </rPr>
          <t>&lt;[[TCDeals] - [Fees (Seq: 7)] TC Deal Fee Type - Both]&gt;</t>
        </r>
      </text>
    </comment>
    <comment ref="D926" authorId="0" shapeId="0" xr:uid="{4C56376F-E692-4D27-9701-14F465B89DD9}">
      <text>
        <r>
          <rPr>
            <b/>
            <sz val="9"/>
            <color indexed="81"/>
            <rFont val="Tahoma"/>
            <family val="2"/>
          </rPr>
          <t>&lt;[[TCDeals] - [Fees (Seq: 7)] Amount - Both]&gt;</t>
        </r>
      </text>
    </comment>
    <comment ref="C927" authorId="1" shapeId="0" xr:uid="{E8850E95-E479-4BEE-A9AD-D08839B908CB}">
      <text>
        <r>
          <rPr>
            <b/>
            <sz val="9"/>
            <color indexed="81"/>
            <rFont val="Tahoma"/>
            <family val="2"/>
          </rPr>
          <t>&lt;[[TCDeals] - [Fees (Seq: 8)] TC Deal Fee Type - Both]&gt;</t>
        </r>
      </text>
    </comment>
    <comment ref="D927" authorId="1" shapeId="0" xr:uid="{2D9F996F-5726-429C-9D62-0A5E60362823}">
      <text>
        <r>
          <rPr>
            <b/>
            <sz val="9"/>
            <color indexed="81"/>
            <rFont val="Tahoma"/>
            <family val="2"/>
          </rPr>
          <t>&lt;[[TCDeals] - [Fees (Seq: 8)] Amount - Both]&gt;</t>
        </r>
      </text>
    </comment>
    <comment ref="C928" authorId="2" shapeId="0" xr:uid="{AA82E232-643C-4E9C-89DF-1A61348AF713}">
      <text>
        <r>
          <rPr>
            <b/>
            <sz val="9"/>
            <color indexed="81"/>
            <rFont val="Tahoma"/>
            <family val="2"/>
          </rPr>
          <t>&lt;[[TCDeals] - [Fees (Seq: 9)] TC Deal Fee Type - Both]&gt;</t>
        </r>
      </text>
    </comment>
    <comment ref="D928" authorId="2" shapeId="0" xr:uid="{E6888D6D-1912-422C-B858-7B95DE5978AC}">
      <text>
        <r>
          <rPr>
            <b/>
            <sz val="9"/>
            <color indexed="81"/>
            <rFont val="Tahoma"/>
            <family val="2"/>
          </rPr>
          <t>&lt;[[TCDeals] - [Fees (Seq: 9)] Amount - Both]&gt;</t>
        </r>
      </text>
    </comment>
    <comment ref="C929" authorId="2" shapeId="0" xr:uid="{76CEF306-1135-4795-B4EB-C2C8C71BAF12}">
      <text>
        <r>
          <rPr>
            <b/>
            <sz val="9"/>
            <color indexed="81"/>
            <rFont val="Tahoma"/>
            <family val="2"/>
          </rPr>
          <t>&lt;[[TCDeals] - [Fees (Seq: 10)] TC Deal Fee Type - Both]&gt;</t>
        </r>
      </text>
    </comment>
    <comment ref="D929" authorId="2" shapeId="0" xr:uid="{072076D9-749C-419A-9A9A-6350B668DF06}">
      <text>
        <r>
          <rPr>
            <b/>
            <sz val="9"/>
            <color indexed="81"/>
            <rFont val="Tahoma"/>
            <family val="2"/>
          </rPr>
          <t>&lt;[[TCDeals] - [Fees (Seq: 10)] Amount - Both]&gt;</t>
        </r>
      </text>
    </comment>
    <comment ref="C939" authorId="0" shapeId="0" xr:uid="{0C09C40F-2491-4E1C-A35B-F76ACE8704DC}">
      <text>
        <r>
          <rPr>
            <b/>
            <sz val="9"/>
            <color indexed="81"/>
            <rFont val="Tahoma"/>
            <family val="2"/>
          </rPr>
          <t>&lt;[[TCDeals] - [TC Property Current Stage (Seq: 1)] - [Units (Seq: 1)] Num TC Units - Both]&gt;</t>
        </r>
      </text>
    </comment>
    <comment ref="D939" authorId="0" shapeId="0" xr:uid="{83E1866B-BFFF-4F62-9EA9-BCC045E9985D}">
      <text>
        <r>
          <rPr>
            <b/>
            <sz val="9"/>
            <color indexed="81"/>
            <rFont val="Tahoma"/>
            <family val="2"/>
          </rPr>
          <t>&lt;[[TCDeals] - [TC Property Current Stage (Seq: 1)] - [Units (Seq: 1)] TC Unit Type - Both]&gt;</t>
        </r>
      </text>
    </comment>
    <comment ref="C940" authorId="0" shapeId="0" xr:uid="{D809DAD0-FF13-479A-B321-7EE6E6643116}">
      <text>
        <r>
          <rPr>
            <b/>
            <sz val="9"/>
            <color indexed="81"/>
            <rFont val="Tahoma"/>
            <family val="2"/>
          </rPr>
          <t>&lt;[[TCDeals] - [TC Property Current Stage (Seq: 1)] - [Units (Seq: 2)] Num TC Units - Both]&gt;</t>
        </r>
      </text>
    </comment>
    <comment ref="D940" authorId="0" shapeId="0" xr:uid="{2173526C-1FF8-410A-9768-3084A02C6310}">
      <text>
        <r>
          <rPr>
            <b/>
            <sz val="9"/>
            <color indexed="81"/>
            <rFont val="Tahoma"/>
            <family val="2"/>
          </rPr>
          <t>&lt;[[TCDeals] - [TC Property Current Stage (Seq: 1)] - [Units (Seq: 2)] TC Unit Type - Both]&gt;</t>
        </r>
      </text>
    </comment>
    <comment ref="C941" authorId="0" shapeId="0" xr:uid="{5B379DB0-F118-45E4-BB29-5DF2AD64F6BA}">
      <text>
        <r>
          <rPr>
            <b/>
            <sz val="9"/>
            <color indexed="81"/>
            <rFont val="Tahoma"/>
            <family val="2"/>
          </rPr>
          <t>&lt;[[TCDeals] - [TC Property Current Stage (Seq: 1)] - [Units (Seq: 3)] Num TC Units - Both]&gt;</t>
        </r>
      </text>
    </comment>
    <comment ref="D941" authorId="0" shapeId="0" xr:uid="{B8971ADC-212F-472C-A5D5-8A20A1BC05B6}">
      <text>
        <r>
          <rPr>
            <b/>
            <sz val="9"/>
            <color indexed="81"/>
            <rFont val="Tahoma"/>
            <family val="2"/>
          </rPr>
          <t>&lt;[[TCDeals] - [TC Property Current Stage (Seq: 1)] - [Units (Seq: 3)] TC Unit Type - Both]&gt;</t>
        </r>
      </text>
    </comment>
    <comment ref="C942" authorId="0" shapeId="0" xr:uid="{8E934114-705F-440F-A8DF-56A25AD96559}">
      <text>
        <r>
          <rPr>
            <b/>
            <sz val="9"/>
            <color indexed="81"/>
            <rFont val="Tahoma"/>
            <family val="2"/>
          </rPr>
          <t>&lt;[[TCDeals] - [TC Property Current Stage (Seq: 1)] - [Units (Seq: 4)] Num TC Units - Both]&gt;</t>
        </r>
      </text>
    </comment>
    <comment ref="D942" authorId="0" shapeId="0" xr:uid="{8DEDEAE2-7D4F-440B-9E0A-586DB3A357D1}">
      <text>
        <r>
          <rPr>
            <b/>
            <sz val="9"/>
            <color indexed="81"/>
            <rFont val="Tahoma"/>
            <family val="2"/>
          </rPr>
          <t>&lt;[[TCDeals] - [TC Property Current Stage (Seq: 1)] - [Units (Seq: 4)] TC Unit Type - Both]&gt;</t>
        </r>
      </text>
    </comment>
    <comment ref="C943" authorId="0" shapeId="0" xr:uid="{7C508BE4-9458-47B9-A2D9-F6DCCC89A110}">
      <text>
        <r>
          <rPr>
            <b/>
            <sz val="9"/>
            <color indexed="81"/>
            <rFont val="Tahoma"/>
            <family val="2"/>
          </rPr>
          <t>&lt;[[TCDeals] - [TC Property Current Stage (Seq: 1)] - [Units (Seq: 5)] Num TC Units - Both]&gt;</t>
        </r>
      </text>
    </comment>
    <comment ref="D943" authorId="0" shapeId="0" xr:uid="{2DC51D3F-1569-432F-99B2-D945E0FB050D}">
      <text>
        <r>
          <rPr>
            <b/>
            <sz val="9"/>
            <color indexed="81"/>
            <rFont val="Tahoma"/>
            <family val="2"/>
          </rPr>
          <t>&lt;[[TCDeals] - [TC Property Current Stage (Seq: 1)] - [Units (Seq: 5)] TC Unit Type - Both]&gt;</t>
        </r>
      </text>
    </comment>
    <comment ref="C944" authorId="0" shapeId="0" xr:uid="{F4A7FA0E-ECC4-4A95-ACE7-10CB00AAF540}">
      <text>
        <r>
          <rPr>
            <b/>
            <sz val="9"/>
            <color indexed="81"/>
            <rFont val="Tahoma"/>
            <family val="2"/>
          </rPr>
          <t>&lt;[[TCDeals] - [TC Property Current Stage (Seq: 1)] - [Units (Seq: 6)] Num TC Units - Both]&gt;</t>
        </r>
      </text>
    </comment>
    <comment ref="D944" authorId="0" shapeId="0" xr:uid="{DC3D9034-B9CD-46E4-963B-823E746D92CE}">
      <text>
        <r>
          <rPr>
            <b/>
            <sz val="9"/>
            <color indexed="81"/>
            <rFont val="Tahoma"/>
            <family val="2"/>
          </rPr>
          <t>&lt;[[TCDeals] - [TC Property Current Stage (Seq: 1)] - [Units (Seq: 6)] TC Unit Type - Both]&gt;</t>
        </r>
      </text>
    </comment>
    <comment ref="C1016" authorId="1" shapeId="0" xr:uid="{48FCD760-C54A-48DE-9A6D-CEA03CCC7242}">
      <text>
        <r>
          <rPr>
            <b/>
            <sz val="9"/>
            <color indexed="81"/>
            <rFont val="Tahoma"/>
            <family val="2"/>
          </rPr>
          <t>&lt;[[TCDeals] - [TC Property Current Stage (Seq: 1)] - [Unit Mix (Seq: 1)] Income Target - Both]&gt;</t>
        </r>
      </text>
    </comment>
    <comment ref="D1016" authorId="0" shapeId="0" xr:uid="{347C5FA5-5217-4315-BA7E-1A5DD2AB0B65}">
      <text>
        <r>
          <rPr>
            <b/>
            <sz val="9"/>
            <color indexed="81"/>
            <rFont val="Tahoma"/>
            <family val="2"/>
          </rPr>
          <t>&lt;[[TCDeals] - [TC Property Current Stage (Seq: 1)] - [Unit Mix (Seq: 1)] TC Unit Mix Type - Both]&gt;</t>
        </r>
      </text>
    </comment>
    <comment ref="E1016" authorId="0" shapeId="0" xr:uid="{3D7115E5-E2DA-4B92-945E-C04CA694369F}">
      <text>
        <r>
          <rPr>
            <b/>
            <sz val="9"/>
            <color indexed="81"/>
            <rFont val="Tahoma"/>
            <family val="2"/>
          </rPr>
          <t>&lt;[[TCDeals] - [TC Property Current Stage (Seq: 1)] - [Unit Mix (Seq: 1)] Net Rentable Sq Ft - Both]&gt;</t>
        </r>
      </text>
    </comment>
    <comment ref="F1016" authorId="0" shapeId="0" xr:uid="{9E9182ED-2D41-43A5-87D9-5228880DE042}">
      <text>
        <r>
          <rPr>
            <b/>
            <sz val="9"/>
            <color indexed="81"/>
            <rFont val="Tahoma"/>
            <family val="2"/>
          </rPr>
          <t>&lt;[[TCDeals] - [TC Property Current Stage (Seq: 1)] - [Unit Mix (Seq: 1)] Num Units - Both]&gt;</t>
        </r>
      </text>
    </comment>
    <comment ref="G1016" authorId="0" shapeId="0" xr:uid="{58278505-84D4-4A66-87A9-C97202A36117}">
      <text>
        <r>
          <rPr>
            <b/>
            <sz val="9"/>
            <color indexed="81"/>
            <rFont val="Tahoma"/>
            <family val="2"/>
          </rPr>
          <t>&lt;[[TCDeals] - [TC Property Current Stage (Seq: 1)] - [Unit Mix (Seq: 1)] Monthly Rent Per Unit - Both]&gt;</t>
        </r>
      </text>
    </comment>
    <comment ref="C1017" authorId="1" shapeId="0" xr:uid="{4E0CEAFD-B879-45FA-B14B-F99E36B4D345}">
      <text>
        <r>
          <rPr>
            <b/>
            <sz val="9"/>
            <color indexed="81"/>
            <rFont val="Tahoma"/>
            <family val="2"/>
          </rPr>
          <t>&lt;[[TCDeals] - [TC Property Current Stage (Seq: 1)] - [Unit Mix (Seq: 2)] Income Target - Both]&gt;</t>
        </r>
      </text>
    </comment>
    <comment ref="D1017" authorId="0" shapeId="0" xr:uid="{CF35BD9D-6D8D-4C44-8FB4-5A9AED250D1C}">
      <text>
        <r>
          <rPr>
            <b/>
            <sz val="9"/>
            <color indexed="81"/>
            <rFont val="Tahoma"/>
            <family val="2"/>
          </rPr>
          <t>&lt;[[TCDeals] - [TC Property Current Stage (Seq: 1)] - [Unit Mix (Seq: 2)] TC Unit Mix Type - Both]&gt;</t>
        </r>
      </text>
    </comment>
    <comment ref="E1017" authorId="0" shapeId="0" xr:uid="{2CDCE524-DC9E-469F-8392-10DF35B4F294}">
      <text>
        <r>
          <rPr>
            <b/>
            <sz val="9"/>
            <color indexed="81"/>
            <rFont val="Tahoma"/>
            <family val="2"/>
          </rPr>
          <t>&lt;[[TCDeals] - [TC Property Current Stage (Seq: 1)] - [Unit Mix (Seq: 2)] Net Rentable Sq Ft - Both]&gt;</t>
        </r>
      </text>
    </comment>
    <comment ref="F1017" authorId="0" shapeId="0" xr:uid="{1B570894-3846-4F6B-9538-02FCAEB04E39}">
      <text>
        <r>
          <rPr>
            <b/>
            <sz val="9"/>
            <color indexed="81"/>
            <rFont val="Tahoma"/>
            <family val="2"/>
          </rPr>
          <t>&lt;[[TCDeals] - [TC Property Current Stage (Seq: 1)] - [Unit Mix (Seq: 2)] Num Units - Both]&gt;</t>
        </r>
      </text>
    </comment>
    <comment ref="G1017" authorId="0" shapeId="0" xr:uid="{F20F613E-8790-4435-BC0C-A748D558B682}">
      <text>
        <r>
          <rPr>
            <b/>
            <sz val="9"/>
            <color indexed="81"/>
            <rFont val="Tahoma"/>
            <family val="2"/>
          </rPr>
          <t>&lt;[[TCDeals] - [TC Property Current Stage (Seq: 1)] - [Unit Mix (Seq: 2)] Monthly Rent Per Unit - Both]&gt;</t>
        </r>
      </text>
    </comment>
    <comment ref="C1018" authorId="1" shapeId="0" xr:uid="{39676418-4A01-4666-87AB-FFFAB46BB336}">
      <text>
        <r>
          <rPr>
            <b/>
            <sz val="9"/>
            <color indexed="81"/>
            <rFont val="Tahoma"/>
            <family val="2"/>
          </rPr>
          <t>&lt;[[TCDeals] - [TC Property Current Stage (Seq: 1)] - [Unit Mix (Seq: 3)] Income Target - Both]&gt;</t>
        </r>
      </text>
    </comment>
    <comment ref="D1018" authorId="0" shapeId="0" xr:uid="{178BEDE6-E8D4-4987-8C62-9BF1198F07EE}">
      <text>
        <r>
          <rPr>
            <b/>
            <sz val="9"/>
            <color indexed="81"/>
            <rFont val="Tahoma"/>
            <family val="2"/>
          </rPr>
          <t>&lt;[[TCDeals] - [TC Property Current Stage (Seq: 1)] - [Unit Mix (Seq: 3)] TC Unit Mix Type - Both]&gt;</t>
        </r>
      </text>
    </comment>
    <comment ref="E1018" authorId="0" shapeId="0" xr:uid="{82C8121B-51EC-4757-9914-64F15231E5AD}">
      <text>
        <r>
          <rPr>
            <b/>
            <sz val="9"/>
            <color indexed="81"/>
            <rFont val="Tahoma"/>
            <family val="2"/>
          </rPr>
          <t>&lt;[[TCDeals] - [TC Property Current Stage (Seq: 1)] - [Unit Mix (Seq: 3)] Net Rentable Sq Ft - Both]&gt;</t>
        </r>
      </text>
    </comment>
    <comment ref="F1018" authorId="0" shapeId="0" xr:uid="{1B750A31-C8FF-48BB-9940-4CD439EB246C}">
      <text>
        <r>
          <rPr>
            <b/>
            <sz val="9"/>
            <color indexed="81"/>
            <rFont val="Tahoma"/>
            <family val="2"/>
          </rPr>
          <t>&lt;[[TCDeals] - [TC Property Current Stage (Seq: 1)] - [Unit Mix (Seq: 3)] Num Units - Both]&gt;</t>
        </r>
      </text>
    </comment>
    <comment ref="G1018" authorId="0" shapeId="0" xr:uid="{48340566-0D88-44AA-8499-A90A51D0FC72}">
      <text>
        <r>
          <rPr>
            <b/>
            <sz val="9"/>
            <color indexed="81"/>
            <rFont val="Tahoma"/>
            <family val="2"/>
          </rPr>
          <t>&lt;[[TCDeals] - [TC Property Current Stage (Seq: 1)] - [Unit Mix (Seq: 3)] Monthly Rent Per Unit - Both]&gt;</t>
        </r>
      </text>
    </comment>
    <comment ref="C1019" authorId="1" shapeId="0" xr:uid="{F11E2A4A-D909-4DD2-990E-8625CACBB1A3}">
      <text>
        <r>
          <rPr>
            <b/>
            <sz val="9"/>
            <color indexed="81"/>
            <rFont val="Tahoma"/>
            <family val="2"/>
          </rPr>
          <t>&lt;[[TCDeals] - [TC Property Current Stage (Seq: 1)] - [Unit Mix (Seq: 4)] Income Target - Both]&gt;</t>
        </r>
      </text>
    </comment>
    <comment ref="D1019" authorId="0" shapeId="0" xr:uid="{A7A7E92A-988E-4C82-933F-35C9CD9A9720}">
      <text>
        <r>
          <rPr>
            <b/>
            <sz val="9"/>
            <color indexed="81"/>
            <rFont val="Tahoma"/>
            <family val="2"/>
          </rPr>
          <t>&lt;[[TCDeals] - [TC Property Current Stage (Seq: 1)] - [Unit Mix (Seq: 4)] TC Unit Mix Type - Both]&gt;</t>
        </r>
      </text>
    </comment>
    <comment ref="E1019" authorId="0" shapeId="0" xr:uid="{7A672B32-203E-4EB9-8354-BC2826454779}">
      <text>
        <r>
          <rPr>
            <b/>
            <sz val="9"/>
            <color indexed="81"/>
            <rFont val="Tahoma"/>
            <family val="2"/>
          </rPr>
          <t>&lt;[[TCDeals] - [TC Property Current Stage (Seq: 1)] - [Unit Mix (Seq: 4)] Net Rentable Sq Ft - Both]&gt;</t>
        </r>
      </text>
    </comment>
    <comment ref="F1019" authorId="0" shapeId="0" xr:uid="{277C42A0-1709-451A-AB14-34000919E560}">
      <text>
        <r>
          <rPr>
            <b/>
            <sz val="9"/>
            <color indexed="81"/>
            <rFont val="Tahoma"/>
            <family val="2"/>
          </rPr>
          <t>&lt;[[TCDeals] - [TC Property Current Stage (Seq: 1)] - [Unit Mix (Seq: 4)] Num Units - Both]&gt;</t>
        </r>
      </text>
    </comment>
    <comment ref="G1019" authorId="0" shapeId="0" xr:uid="{ED1CAEC8-0344-4677-93C6-C08A4E537145}">
      <text>
        <r>
          <rPr>
            <b/>
            <sz val="9"/>
            <color indexed="81"/>
            <rFont val="Tahoma"/>
            <family val="2"/>
          </rPr>
          <t>&lt;[[TCDeals] - [TC Property Current Stage (Seq: 1)] - [Unit Mix (Seq: 4)] Monthly Rent Per Unit - Both]&gt;</t>
        </r>
      </text>
    </comment>
    <comment ref="C1020" authorId="1" shapeId="0" xr:uid="{3DE6456D-A67B-4ADC-AA9E-C85691125202}">
      <text>
        <r>
          <rPr>
            <b/>
            <sz val="9"/>
            <color indexed="81"/>
            <rFont val="Tahoma"/>
            <family val="2"/>
          </rPr>
          <t>&lt;[[TCDeals] - [TC Property Current Stage (Seq: 1)] - [Unit Mix (Seq: 5)] Income Target - Both]&gt;</t>
        </r>
      </text>
    </comment>
    <comment ref="D1020" authorId="0" shapeId="0" xr:uid="{611A4641-BF3E-4941-8686-7809CFE657F1}">
      <text>
        <r>
          <rPr>
            <b/>
            <sz val="9"/>
            <color indexed="81"/>
            <rFont val="Tahoma"/>
            <family val="2"/>
          </rPr>
          <t>&lt;[[TCDeals] - [TC Property Current Stage (Seq: 1)] - [Unit Mix (Seq: 5)] TC Unit Mix Type - Both]&gt;</t>
        </r>
      </text>
    </comment>
    <comment ref="E1020" authorId="0" shapeId="0" xr:uid="{A34360DF-FECF-4D7F-8F5F-613D8FE4678C}">
      <text>
        <r>
          <rPr>
            <b/>
            <sz val="9"/>
            <color indexed="81"/>
            <rFont val="Tahoma"/>
            <family val="2"/>
          </rPr>
          <t>&lt;[[TCDeals] - [TC Property Current Stage (Seq: 1)] - [Unit Mix (Seq: 5)] Net Rentable Sq Ft - Both]&gt;</t>
        </r>
      </text>
    </comment>
    <comment ref="F1020" authorId="0" shapeId="0" xr:uid="{3E2A2AE4-BDF8-4486-A229-8477C2FEE4FA}">
      <text>
        <r>
          <rPr>
            <b/>
            <sz val="9"/>
            <color indexed="81"/>
            <rFont val="Tahoma"/>
            <family val="2"/>
          </rPr>
          <t>&lt;[[TCDeals] - [TC Property Current Stage (Seq: 1)] - [Unit Mix (Seq: 5)] Num Units - Both]&gt;</t>
        </r>
      </text>
    </comment>
    <comment ref="G1020" authorId="0" shapeId="0" xr:uid="{CE650F58-B206-40EC-8862-2756DB3EF24A}">
      <text>
        <r>
          <rPr>
            <b/>
            <sz val="9"/>
            <color indexed="81"/>
            <rFont val="Tahoma"/>
            <family val="2"/>
          </rPr>
          <t>&lt;[[TCDeals] - [TC Property Current Stage (Seq: 1)] - [Unit Mix (Seq: 5)] Monthly Rent Per Unit - Both]&gt;</t>
        </r>
      </text>
    </comment>
    <comment ref="C1021" authorId="1" shapeId="0" xr:uid="{67FD00FC-4B77-4254-9657-4E7DB0DEF374}">
      <text>
        <r>
          <rPr>
            <b/>
            <sz val="9"/>
            <color indexed="81"/>
            <rFont val="Tahoma"/>
            <family val="2"/>
          </rPr>
          <t>&lt;[[TCDeals] - [TC Property Current Stage (Seq: 1)] - [Unit Mix (Seq: 6)] Income Target - Both]&gt;</t>
        </r>
      </text>
    </comment>
    <comment ref="D1021" authorId="0" shapeId="0" xr:uid="{722CBD0D-E910-45FF-9D3D-06C85B772F39}">
      <text>
        <r>
          <rPr>
            <b/>
            <sz val="9"/>
            <color indexed="81"/>
            <rFont val="Tahoma"/>
            <family val="2"/>
          </rPr>
          <t>&lt;[[TCDeals] - [TC Property Current Stage (Seq: 1)] - [Unit Mix (Seq: 6)] TC Unit Mix Type - Both]&gt;</t>
        </r>
      </text>
    </comment>
    <comment ref="E1021" authorId="0" shapeId="0" xr:uid="{02FEED85-D121-4499-8393-F1E95A93AB86}">
      <text>
        <r>
          <rPr>
            <b/>
            <sz val="9"/>
            <color indexed="81"/>
            <rFont val="Tahoma"/>
            <family val="2"/>
          </rPr>
          <t>&lt;[[TCDeals] - [TC Property Current Stage (Seq: 1)] - [Unit Mix (Seq: 6)] Net Rentable Sq Ft - Both]&gt;</t>
        </r>
      </text>
    </comment>
    <comment ref="F1021" authorId="0" shapeId="0" xr:uid="{941D454E-0742-4EAE-BB82-40BE26371DAE}">
      <text>
        <r>
          <rPr>
            <b/>
            <sz val="9"/>
            <color indexed="81"/>
            <rFont val="Tahoma"/>
            <family val="2"/>
          </rPr>
          <t>&lt;[[TCDeals] - [TC Property Current Stage (Seq: 1)] - [Unit Mix (Seq: 6)] Num Units - Both]&gt;</t>
        </r>
      </text>
    </comment>
    <comment ref="G1021" authorId="0" shapeId="0" xr:uid="{63341B06-0AA0-4DDE-8809-2F1C6BFDBE79}">
      <text>
        <r>
          <rPr>
            <b/>
            <sz val="9"/>
            <color indexed="81"/>
            <rFont val="Tahoma"/>
            <family val="2"/>
          </rPr>
          <t>&lt;[[TCDeals] - [TC Property Current Stage (Seq: 1)] - [Unit Mix (Seq: 6)] Monthly Rent Per Unit - Both]&gt;</t>
        </r>
      </text>
    </comment>
    <comment ref="C1022" authorId="1" shapeId="0" xr:uid="{0F5AFD13-6FF8-464A-9E62-9F2885823EA9}">
      <text>
        <r>
          <rPr>
            <b/>
            <sz val="9"/>
            <color indexed="81"/>
            <rFont val="Tahoma"/>
            <family val="2"/>
          </rPr>
          <t>&lt;[[TCDeals] - [TC Property Current Stage (Seq: 1)] - [Unit Mix (Seq: 7)] Income Target - Both]&gt;</t>
        </r>
      </text>
    </comment>
    <comment ref="D1022" authorId="0" shapeId="0" xr:uid="{71BE43BE-EF50-4FCE-B7C7-23C594D37C70}">
      <text>
        <r>
          <rPr>
            <b/>
            <sz val="9"/>
            <color indexed="81"/>
            <rFont val="Tahoma"/>
            <family val="2"/>
          </rPr>
          <t>&lt;[[TCDeals] - [TC Property Current Stage (Seq: 1)] - [Unit Mix (Seq: 7)] TC Unit Mix Type - Both]&gt;</t>
        </r>
      </text>
    </comment>
    <comment ref="E1022" authorId="0" shapeId="0" xr:uid="{69661D2D-BC7F-464B-ADAE-D0306CB2540B}">
      <text>
        <r>
          <rPr>
            <b/>
            <sz val="9"/>
            <color indexed="81"/>
            <rFont val="Tahoma"/>
            <family val="2"/>
          </rPr>
          <t>&lt;[[TCDeals] - [TC Property Current Stage (Seq: 1)] - [Unit Mix (Seq: 7)] Net Rentable Sq Ft - Both]&gt;</t>
        </r>
      </text>
    </comment>
    <comment ref="F1022" authorId="0" shapeId="0" xr:uid="{985CA209-EEF2-4C1F-82A5-6B783B5C23BA}">
      <text>
        <r>
          <rPr>
            <b/>
            <sz val="9"/>
            <color indexed="81"/>
            <rFont val="Tahoma"/>
            <family val="2"/>
          </rPr>
          <t>&lt;[[TCDeals] - [TC Property Current Stage (Seq: 1)] - [Unit Mix (Seq: 7)] Num Units - Both]&gt;</t>
        </r>
      </text>
    </comment>
    <comment ref="G1022" authorId="0" shapeId="0" xr:uid="{1ECC99C2-2522-4889-8777-4D767C93BFF1}">
      <text>
        <r>
          <rPr>
            <b/>
            <sz val="9"/>
            <color indexed="81"/>
            <rFont val="Tahoma"/>
            <family val="2"/>
          </rPr>
          <t>&lt;[[TCDeals] - [TC Property Current Stage (Seq: 1)] - [Unit Mix (Seq: 7)] Monthly Rent Per Unit - Both]&gt;</t>
        </r>
      </text>
    </comment>
    <comment ref="C1023" authorId="1" shapeId="0" xr:uid="{E1E327CE-CC47-4DE2-B776-75808C3088A8}">
      <text>
        <r>
          <rPr>
            <b/>
            <sz val="9"/>
            <color indexed="81"/>
            <rFont val="Tahoma"/>
            <family val="2"/>
          </rPr>
          <t>&lt;[[TCDeals] - [TC Property Current Stage (Seq: 1)] - [Unit Mix (Seq: 8)] Income Target - Both]&gt;</t>
        </r>
      </text>
    </comment>
    <comment ref="D1023" authorId="0" shapeId="0" xr:uid="{BABF7F03-499E-49C6-A06B-59E24720262F}">
      <text>
        <r>
          <rPr>
            <b/>
            <sz val="9"/>
            <color indexed="81"/>
            <rFont val="Tahoma"/>
            <family val="2"/>
          </rPr>
          <t>&lt;[[TCDeals] - [TC Property Current Stage (Seq: 1)] - [Unit Mix (Seq: 8)] TC Unit Mix Type - Both]&gt;</t>
        </r>
      </text>
    </comment>
    <comment ref="E1023" authorId="0" shapeId="0" xr:uid="{52FB9358-D2DA-4D9F-98DC-55FE030B4015}">
      <text>
        <r>
          <rPr>
            <b/>
            <sz val="9"/>
            <color indexed="81"/>
            <rFont val="Tahoma"/>
            <family val="2"/>
          </rPr>
          <t>&lt;[[TCDeals] - [TC Property Current Stage (Seq: 1)] - [Unit Mix (Seq: 8)] Net Rentable Sq Ft - Both]&gt;</t>
        </r>
      </text>
    </comment>
    <comment ref="F1023" authorId="0" shapeId="0" xr:uid="{7E0BE5A3-1578-4E5C-AE7E-D67275118AC0}">
      <text>
        <r>
          <rPr>
            <b/>
            <sz val="9"/>
            <color indexed="81"/>
            <rFont val="Tahoma"/>
            <family val="2"/>
          </rPr>
          <t>&lt;[[TCDeals] - [TC Property Current Stage (Seq: 1)] - [Unit Mix (Seq: 8)] Num Units - Both]&gt;</t>
        </r>
      </text>
    </comment>
    <comment ref="G1023" authorId="0" shapeId="0" xr:uid="{6E16422F-A8DB-4F8F-8FFB-6F08A9D3520F}">
      <text>
        <r>
          <rPr>
            <b/>
            <sz val="9"/>
            <color indexed="81"/>
            <rFont val="Tahoma"/>
            <family val="2"/>
          </rPr>
          <t>&lt;[[TCDeals] - [TC Property Current Stage (Seq: 1)] - [Unit Mix (Seq: 8)] Monthly Rent Per Unit - Both]&gt;</t>
        </r>
      </text>
    </comment>
    <comment ref="C1024" authorId="1" shapeId="0" xr:uid="{30961E71-CFA3-4531-957C-F4AD6A0A934B}">
      <text>
        <r>
          <rPr>
            <b/>
            <sz val="9"/>
            <color indexed="81"/>
            <rFont val="Tahoma"/>
            <family val="2"/>
          </rPr>
          <t>&lt;[[TCDeals] - [TC Property Current Stage (Seq: 1)] - [Unit Mix (Seq: 9)] Income Target - Both]&gt;</t>
        </r>
      </text>
    </comment>
    <comment ref="D1024" authorId="0" shapeId="0" xr:uid="{A2796FF9-1B75-4663-A881-D09E2B5924AA}">
      <text>
        <r>
          <rPr>
            <b/>
            <sz val="9"/>
            <color indexed="81"/>
            <rFont val="Tahoma"/>
            <family val="2"/>
          </rPr>
          <t>&lt;[[TCDeals] - [TC Property Current Stage (Seq: 1)] - [Unit Mix (Seq: 9)] TC Unit Mix Type - Both]&gt;</t>
        </r>
      </text>
    </comment>
    <comment ref="E1024" authorId="0" shapeId="0" xr:uid="{373FDC8F-8BD7-4E82-94E3-FCCB3A30C4CB}">
      <text>
        <r>
          <rPr>
            <b/>
            <sz val="9"/>
            <color indexed="81"/>
            <rFont val="Tahoma"/>
            <family val="2"/>
          </rPr>
          <t>&lt;[[TCDeals] - [TC Property Current Stage (Seq: 1)] - [Unit Mix (Seq: 9)] Net Rentable Sq Ft - Both]&gt;</t>
        </r>
      </text>
    </comment>
    <comment ref="F1024" authorId="0" shapeId="0" xr:uid="{5F72C3EC-5373-412C-A9B1-3833C42F464F}">
      <text>
        <r>
          <rPr>
            <b/>
            <sz val="9"/>
            <color indexed="81"/>
            <rFont val="Tahoma"/>
            <family val="2"/>
          </rPr>
          <t>&lt;[[TCDeals] - [TC Property Current Stage (Seq: 1)] - [Unit Mix (Seq: 9)] Num Units - Both]&gt;</t>
        </r>
      </text>
    </comment>
    <comment ref="G1024" authorId="0" shapeId="0" xr:uid="{E09264EF-E409-4BCB-8FD3-074D5D55E6DE}">
      <text>
        <r>
          <rPr>
            <b/>
            <sz val="9"/>
            <color indexed="81"/>
            <rFont val="Tahoma"/>
            <family val="2"/>
          </rPr>
          <t>&lt;[[TCDeals] - [TC Property Current Stage (Seq: 1)] - [Unit Mix (Seq: 9)] Monthly Rent Per Unit - Both]&gt;</t>
        </r>
      </text>
    </comment>
    <comment ref="C1025" authorId="1" shapeId="0" xr:uid="{B2A145AF-8F06-463F-B89A-3B3848FA0209}">
      <text>
        <r>
          <rPr>
            <b/>
            <sz val="9"/>
            <color indexed="81"/>
            <rFont val="Tahoma"/>
            <family val="2"/>
          </rPr>
          <t>&lt;[[TCDeals] - [TC Property Current Stage (Seq: 1)] - [Unit Mix (Seq: 10)] Income Target - Both]&gt;</t>
        </r>
      </text>
    </comment>
    <comment ref="D1025" authorId="0" shapeId="0" xr:uid="{BADBF334-CAD0-4B7D-9F5A-64BB4BAC2FE9}">
      <text>
        <r>
          <rPr>
            <b/>
            <sz val="9"/>
            <color indexed="81"/>
            <rFont val="Tahoma"/>
            <family val="2"/>
          </rPr>
          <t>&lt;[[TCDeals] - [TC Property Current Stage (Seq: 1)] - [Unit Mix (Seq: 10)] TC Unit Mix Type - Both]&gt;</t>
        </r>
      </text>
    </comment>
    <comment ref="E1025" authorId="0" shapeId="0" xr:uid="{EFBBE17A-23BE-42B5-8743-50F843620D0D}">
      <text>
        <r>
          <rPr>
            <b/>
            <sz val="9"/>
            <color indexed="81"/>
            <rFont val="Tahoma"/>
            <family val="2"/>
          </rPr>
          <t>&lt;[[TCDeals] - [TC Property Current Stage (Seq: 1)] - [Unit Mix (Seq: 10)] Net Rentable Sq Ft - Both]&gt;</t>
        </r>
      </text>
    </comment>
    <comment ref="F1025" authorId="0" shapeId="0" xr:uid="{F8F89489-902E-462A-9FEE-50BC8435879E}">
      <text>
        <r>
          <rPr>
            <b/>
            <sz val="9"/>
            <color indexed="81"/>
            <rFont val="Tahoma"/>
            <family val="2"/>
          </rPr>
          <t>&lt;[[TCDeals] - [TC Property Current Stage (Seq: 1)] - [Unit Mix (Seq: 10)] Num Units - Both]&gt;</t>
        </r>
      </text>
    </comment>
    <comment ref="G1025" authorId="0" shapeId="0" xr:uid="{FF2852FC-8FB8-4DA4-ADD0-9CF4C8AC9FDC}">
      <text>
        <r>
          <rPr>
            <b/>
            <sz val="9"/>
            <color indexed="81"/>
            <rFont val="Tahoma"/>
            <family val="2"/>
          </rPr>
          <t>&lt;[[TCDeals] - [TC Property Current Stage (Seq: 1)] - [Unit Mix (Seq: 10)] Monthly Rent Per Unit - Both]&gt;</t>
        </r>
      </text>
    </comment>
    <comment ref="C1026" authorId="1" shapeId="0" xr:uid="{0161165A-BF52-4A88-A3A3-10291FB5EBD7}">
      <text>
        <r>
          <rPr>
            <b/>
            <sz val="9"/>
            <color indexed="81"/>
            <rFont val="Tahoma"/>
            <family val="2"/>
          </rPr>
          <t>&lt;[[TCDeals] - [TC Property Current Stage (Seq: 1)] - [Unit Mix (Seq: 11)] Income Target - Both]&gt;</t>
        </r>
      </text>
    </comment>
    <comment ref="D1026" authorId="0" shapeId="0" xr:uid="{629FA029-2FF4-486D-A95D-A68ED6945EC8}">
      <text>
        <r>
          <rPr>
            <b/>
            <sz val="9"/>
            <color indexed="81"/>
            <rFont val="Tahoma"/>
            <family val="2"/>
          </rPr>
          <t>&lt;[[TCDeals] - [TC Property Current Stage (Seq: 1)] - [Unit Mix (Seq: 11)] TC Unit Mix Type - Both]&gt;</t>
        </r>
      </text>
    </comment>
    <comment ref="E1026" authorId="0" shapeId="0" xr:uid="{9147F3A4-B89F-475E-A931-47BE7CD04AC6}">
      <text>
        <r>
          <rPr>
            <b/>
            <sz val="9"/>
            <color indexed="81"/>
            <rFont val="Tahoma"/>
            <family val="2"/>
          </rPr>
          <t>&lt;[[TCDeals] - [TC Property Current Stage (Seq: 1)] - [Unit Mix (Seq: 11)] Net Rentable Sq Ft - Both]&gt;</t>
        </r>
      </text>
    </comment>
    <comment ref="F1026" authorId="0" shapeId="0" xr:uid="{E4B4FFE6-CAC1-4739-BE80-E85FDE37BBAA}">
      <text>
        <r>
          <rPr>
            <b/>
            <sz val="9"/>
            <color indexed="81"/>
            <rFont val="Tahoma"/>
            <family val="2"/>
          </rPr>
          <t>&lt;[[TCDeals] - [TC Property Current Stage (Seq: 1)] - [Unit Mix (Seq: 11)] Num Units - Both]&gt;</t>
        </r>
      </text>
    </comment>
    <comment ref="G1026" authorId="0" shapeId="0" xr:uid="{AFB91196-257C-4267-878A-9AC5DE1E4A80}">
      <text>
        <r>
          <rPr>
            <b/>
            <sz val="9"/>
            <color indexed="81"/>
            <rFont val="Tahoma"/>
            <family val="2"/>
          </rPr>
          <t>&lt;[[TCDeals] - [TC Property Current Stage (Seq: 1)] - [Unit Mix (Seq: 11)] Monthly Rent Per Unit - Both]&gt;</t>
        </r>
      </text>
    </comment>
    <comment ref="C1027" authorId="1" shapeId="0" xr:uid="{7A06F75B-3265-409E-B9D3-17BB727B8831}">
      <text>
        <r>
          <rPr>
            <b/>
            <sz val="9"/>
            <color indexed="81"/>
            <rFont val="Tahoma"/>
            <family val="2"/>
          </rPr>
          <t>&lt;[[TCDeals] - [TC Property Current Stage (Seq: 1)] - [Unit Mix (Seq: 12)] Income Target - Both]&gt;</t>
        </r>
      </text>
    </comment>
    <comment ref="D1027" authorId="0" shapeId="0" xr:uid="{68BAE1FF-D653-4206-9FE7-32B9A5437EBA}">
      <text>
        <r>
          <rPr>
            <b/>
            <sz val="9"/>
            <color indexed="81"/>
            <rFont val="Tahoma"/>
            <family val="2"/>
          </rPr>
          <t>&lt;[[TCDeals] - [TC Property Current Stage (Seq: 1)] - [Unit Mix (Seq: 12)] TC Unit Mix Type - Both]&gt;</t>
        </r>
      </text>
    </comment>
    <comment ref="E1027" authorId="0" shapeId="0" xr:uid="{55D19E13-2EB1-4FE7-8976-696FD6D21CBE}">
      <text>
        <r>
          <rPr>
            <b/>
            <sz val="9"/>
            <color indexed="81"/>
            <rFont val="Tahoma"/>
            <family val="2"/>
          </rPr>
          <t>&lt;[[TCDeals] - [TC Property Current Stage (Seq: 1)] - [Unit Mix (Seq: 12)] Net Rentable Sq Ft - Both]&gt;</t>
        </r>
      </text>
    </comment>
    <comment ref="F1027" authorId="0" shapeId="0" xr:uid="{406931E2-2D49-4546-A0A8-00CD718F9CB9}">
      <text>
        <r>
          <rPr>
            <b/>
            <sz val="9"/>
            <color indexed="81"/>
            <rFont val="Tahoma"/>
            <family val="2"/>
          </rPr>
          <t>&lt;[[TCDeals] - [TC Property Current Stage (Seq: 1)] - [Unit Mix (Seq: 12)] Num Units - Both]&gt;</t>
        </r>
      </text>
    </comment>
    <comment ref="G1027" authorId="0" shapeId="0" xr:uid="{00A45971-0FB8-4736-84AB-AADF92F21574}">
      <text>
        <r>
          <rPr>
            <b/>
            <sz val="9"/>
            <color indexed="81"/>
            <rFont val="Tahoma"/>
            <family val="2"/>
          </rPr>
          <t>&lt;[[TCDeals] - [TC Property Current Stage (Seq: 1)] - [Unit Mix (Seq: 12)] Monthly Rent Per Unit - Both]&gt;</t>
        </r>
      </text>
    </comment>
    <comment ref="C1028" authorId="1" shapeId="0" xr:uid="{C2E3A1CF-0767-4F4C-B093-6ED9AFE423D2}">
      <text>
        <r>
          <rPr>
            <b/>
            <sz val="9"/>
            <color indexed="81"/>
            <rFont val="Tahoma"/>
            <family val="2"/>
          </rPr>
          <t>&lt;[[TCDeals] - [TC Property Current Stage (Seq: 1)] - [Unit Mix (Seq: 13)] Income Target - Both]&gt;</t>
        </r>
      </text>
    </comment>
    <comment ref="D1028" authorId="0" shapeId="0" xr:uid="{5F1B4E55-F0C4-48E4-88C5-F313BB32FD18}">
      <text>
        <r>
          <rPr>
            <b/>
            <sz val="9"/>
            <color indexed="81"/>
            <rFont val="Tahoma"/>
            <family val="2"/>
          </rPr>
          <t>&lt;[[TCDeals] - [TC Property Current Stage (Seq: 1)] - [Unit Mix (Seq: 13)] TC Unit Mix Type - Both]&gt;</t>
        </r>
      </text>
    </comment>
    <comment ref="E1028" authorId="0" shapeId="0" xr:uid="{EA78DF9C-D4D9-4A40-8780-541FABDE9593}">
      <text>
        <r>
          <rPr>
            <b/>
            <sz val="9"/>
            <color indexed="81"/>
            <rFont val="Tahoma"/>
            <family val="2"/>
          </rPr>
          <t>&lt;[[TCDeals] - [TC Property Current Stage (Seq: 1)] - [Unit Mix (Seq: 13)] Net Rentable Sq Ft - Both]&gt;</t>
        </r>
      </text>
    </comment>
    <comment ref="F1028" authorId="0" shapeId="0" xr:uid="{2EAAE5D7-5F05-4B27-8313-D66936A76F82}">
      <text>
        <r>
          <rPr>
            <b/>
            <sz val="9"/>
            <color indexed="81"/>
            <rFont val="Tahoma"/>
            <family val="2"/>
          </rPr>
          <t>&lt;[[TCDeals] - [TC Property Current Stage (Seq: 1)] - [Unit Mix (Seq: 13)] Num Units - Both]&gt;</t>
        </r>
      </text>
    </comment>
    <comment ref="G1028" authorId="0" shapeId="0" xr:uid="{B6C472CE-7B76-4FD5-B060-15F1538B1BAA}">
      <text>
        <r>
          <rPr>
            <b/>
            <sz val="9"/>
            <color indexed="81"/>
            <rFont val="Tahoma"/>
            <family val="2"/>
          </rPr>
          <t>&lt;[[TCDeals] - [TC Property Current Stage (Seq: 1)] - [Unit Mix (Seq: 13)] Monthly Rent Per Unit - Both]&gt;</t>
        </r>
      </text>
    </comment>
    <comment ref="C1029" authorId="1" shapeId="0" xr:uid="{AED8E051-1ABE-4A12-AF7A-972C3244E15D}">
      <text>
        <r>
          <rPr>
            <b/>
            <sz val="9"/>
            <color indexed="81"/>
            <rFont val="Tahoma"/>
            <family val="2"/>
          </rPr>
          <t>&lt;[[TCDeals] - [TC Property Current Stage (Seq: 1)] - [Unit Mix (Seq: 14)] Income Target - Both]&gt;</t>
        </r>
      </text>
    </comment>
    <comment ref="D1029" authorId="0" shapeId="0" xr:uid="{823B4946-DF3A-4740-90C1-730FC987C8AD}">
      <text>
        <r>
          <rPr>
            <b/>
            <sz val="9"/>
            <color indexed="81"/>
            <rFont val="Tahoma"/>
            <family val="2"/>
          </rPr>
          <t>&lt;[[TCDeals] - [TC Property Current Stage (Seq: 1)] - [Unit Mix (Seq: 14)] TC Unit Mix Type - Both]&gt;</t>
        </r>
      </text>
    </comment>
    <comment ref="E1029" authorId="0" shapeId="0" xr:uid="{4254ED46-F9FF-4459-84B6-91152C8B5F4D}">
      <text>
        <r>
          <rPr>
            <b/>
            <sz val="9"/>
            <color indexed="81"/>
            <rFont val="Tahoma"/>
            <family val="2"/>
          </rPr>
          <t>&lt;[[TCDeals] - [TC Property Current Stage (Seq: 1)] - [Unit Mix (Seq: 14)] Net Rentable Sq Ft - Both]&gt;</t>
        </r>
      </text>
    </comment>
    <comment ref="F1029" authorId="0" shapeId="0" xr:uid="{ED7768CF-190F-4AFC-9EB8-788BDF8A75EB}">
      <text>
        <r>
          <rPr>
            <b/>
            <sz val="9"/>
            <color indexed="81"/>
            <rFont val="Tahoma"/>
            <family val="2"/>
          </rPr>
          <t>&lt;[[TCDeals] - [TC Property Current Stage (Seq: 1)] - [Unit Mix (Seq: 14)] Num Units - Both]&gt;</t>
        </r>
      </text>
    </comment>
    <comment ref="G1029" authorId="0" shapeId="0" xr:uid="{912E0E89-72A8-4331-ACBC-85DB4AE3183B}">
      <text>
        <r>
          <rPr>
            <b/>
            <sz val="9"/>
            <color indexed="81"/>
            <rFont val="Tahoma"/>
            <family val="2"/>
          </rPr>
          <t>&lt;[[TCDeals] - [TC Property Current Stage (Seq: 1)] - [Unit Mix (Seq: 14)] Monthly Rent Per Unit - Both]&gt;</t>
        </r>
      </text>
    </comment>
    <comment ref="C1030" authorId="1" shapeId="0" xr:uid="{2E14369D-475C-4137-B083-1C95450BC7D2}">
      <text>
        <r>
          <rPr>
            <b/>
            <sz val="9"/>
            <color indexed="81"/>
            <rFont val="Tahoma"/>
            <family val="2"/>
          </rPr>
          <t>&lt;[[TCDeals] - [TC Property Current Stage (Seq: 1)] - [Unit Mix (Seq: 15)] Income Target - Both]&gt;</t>
        </r>
      </text>
    </comment>
    <comment ref="D1030" authorId="0" shapeId="0" xr:uid="{762F13B3-DDD5-4D63-BE27-3B00088B55B9}">
      <text>
        <r>
          <rPr>
            <b/>
            <sz val="9"/>
            <color indexed="81"/>
            <rFont val="Tahoma"/>
            <family val="2"/>
          </rPr>
          <t>&lt;[[TCDeals] - [TC Property Current Stage (Seq: 1)] - [Unit Mix (Seq: 15)] TC Unit Mix Type - Both]&gt;</t>
        </r>
      </text>
    </comment>
    <comment ref="E1030" authorId="0" shapeId="0" xr:uid="{7440098F-A2A5-4A35-8EE4-42B4CA090017}">
      <text>
        <r>
          <rPr>
            <b/>
            <sz val="9"/>
            <color indexed="81"/>
            <rFont val="Tahoma"/>
            <family val="2"/>
          </rPr>
          <t>&lt;[[TCDeals] - [TC Property Current Stage (Seq: 1)] - [Unit Mix (Seq: 15)] Net Rentable Sq Ft - Both]&gt;</t>
        </r>
      </text>
    </comment>
    <comment ref="F1030" authorId="0" shapeId="0" xr:uid="{72A83E6E-D4F0-46AA-99C4-26BB7AB243CC}">
      <text>
        <r>
          <rPr>
            <b/>
            <sz val="9"/>
            <color indexed="81"/>
            <rFont val="Tahoma"/>
            <family val="2"/>
          </rPr>
          <t>&lt;[[TCDeals] - [TC Property Current Stage (Seq: 1)] - [Unit Mix (Seq: 15)] Num Units - Both]&gt;</t>
        </r>
      </text>
    </comment>
    <comment ref="G1030" authorId="0" shapeId="0" xr:uid="{79CA1E04-3870-4592-946A-4895F0F53082}">
      <text>
        <r>
          <rPr>
            <b/>
            <sz val="9"/>
            <color indexed="81"/>
            <rFont val="Tahoma"/>
            <family val="2"/>
          </rPr>
          <t>&lt;[[TCDeals] - [TC Property Current Stage (Seq: 1)] - [Unit Mix (Seq: 15)] Monthly Rent Per Unit - Both]&gt;</t>
        </r>
      </text>
    </comment>
    <comment ref="C1031" authorId="1" shapeId="0" xr:uid="{9BB28FBA-F75C-491A-8105-144E9AD31A6D}">
      <text>
        <r>
          <rPr>
            <b/>
            <sz val="9"/>
            <color indexed="81"/>
            <rFont val="Tahoma"/>
            <family val="2"/>
          </rPr>
          <t>&lt;[[TCDeals] - [TC Property Current Stage (Seq: 1)] - [Unit Mix (Seq: 16)] Income Target - Both]&gt;</t>
        </r>
      </text>
    </comment>
    <comment ref="D1031" authorId="0" shapeId="0" xr:uid="{6CBECA6E-2EDA-4FF1-9452-9449C75A82B5}">
      <text>
        <r>
          <rPr>
            <b/>
            <sz val="9"/>
            <color indexed="81"/>
            <rFont val="Tahoma"/>
            <family val="2"/>
          </rPr>
          <t>&lt;[[TCDeals] - [TC Property Current Stage (Seq: 1)] - [Unit Mix (Seq: 16)] TC Unit Mix Type - Both]&gt;</t>
        </r>
      </text>
    </comment>
    <comment ref="E1031" authorId="0" shapeId="0" xr:uid="{21424D35-68E0-4229-B783-AEC92C2F2817}">
      <text>
        <r>
          <rPr>
            <b/>
            <sz val="9"/>
            <color indexed="81"/>
            <rFont val="Tahoma"/>
            <family val="2"/>
          </rPr>
          <t>&lt;[[TCDeals] - [TC Property Current Stage (Seq: 1)] - [Unit Mix (Seq: 16)] Net Rentable Sq Ft - Both]&gt;</t>
        </r>
      </text>
    </comment>
    <comment ref="F1031" authorId="0" shapeId="0" xr:uid="{FB105CC0-E87B-4F4F-9A8D-E471BEB56F45}">
      <text>
        <r>
          <rPr>
            <b/>
            <sz val="9"/>
            <color indexed="81"/>
            <rFont val="Tahoma"/>
            <family val="2"/>
          </rPr>
          <t>&lt;[[TCDeals] - [TC Property Current Stage (Seq: 1)] - [Unit Mix (Seq: 16)] Num Units - Both]&gt;</t>
        </r>
      </text>
    </comment>
    <comment ref="G1031" authorId="0" shapeId="0" xr:uid="{50A1015B-61D9-41F9-86B2-49B2BEDBDB40}">
      <text>
        <r>
          <rPr>
            <b/>
            <sz val="9"/>
            <color indexed="81"/>
            <rFont val="Tahoma"/>
            <family val="2"/>
          </rPr>
          <t>&lt;[[TCDeals] - [TC Property Current Stage (Seq: 1)] - [Unit Mix (Seq: 16)] Monthly Rent Per Unit - Both]&gt;</t>
        </r>
      </text>
    </comment>
    <comment ref="C1032" authorId="1" shapeId="0" xr:uid="{5AE3B7AD-B95A-404B-9252-CDF937323B4E}">
      <text>
        <r>
          <rPr>
            <b/>
            <sz val="9"/>
            <color indexed="81"/>
            <rFont val="Tahoma"/>
            <family val="2"/>
          </rPr>
          <t>&lt;[[TCDeals] - [TC Property Current Stage (Seq: 1)] - [Unit Mix (Seq: 17)] Income Target - Both]&gt;</t>
        </r>
      </text>
    </comment>
    <comment ref="D1032" authorId="0" shapeId="0" xr:uid="{193434D0-AD1D-49FF-AA5F-9F43FB33B5DB}">
      <text>
        <r>
          <rPr>
            <b/>
            <sz val="9"/>
            <color indexed="81"/>
            <rFont val="Tahoma"/>
            <family val="2"/>
          </rPr>
          <t>&lt;[[TCDeals] - [TC Property Current Stage (Seq: 1)] - [Unit Mix (Seq: 17)] TC Unit Mix Type - Both]&gt;</t>
        </r>
      </text>
    </comment>
    <comment ref="E1032" authorId="0" shapeId="0" xr:uid="{02C1A9F5-D7DC-4028-AA2C-A248AB782CA8}">
      <text>
        <r>
          <rPr>
            <b/>
            <sz val="9"/>
            <color indexed="81"/>
            <rFont val="Tahoma"/>
            <family val="2"/>
          </rPr>
          <t>&lt;[[TCDeals] - [TC Property Current Stage (Seq: 1)] - [Unit Mix (Seq: 17)] Net Rentable Sq Ft - Both]&gt;</t>
        </r>
      </text>
    </comment>
    <comment ref="F1032" authorId="0" shapeId="0" xr:uid="{E21AB530-25B1-4F4D-BE20-A8103CF2276B}">
      <text>
        <r>
          <rPr>
            <b/>
            <sz val="9"/>
            <color indexed="81"/>
            <rFont val="Tahoma"/>
            <family val="2"/>
          </rPr>
          <t>&lt;[[TCDeals] - [TC Property Current Stage (Seq: 1)] - [Unit Mix (Seq: 17)] Num Units - Both]&gt;</t>
        </r>
      </text>
    </comment>
    <comment ref="G1032" authorId="0" shapeId="0" xr:uid="{6B17369A-BD3F-4AAF-A4F5-1CD0AF220639}">
      <text>
        <r>
          <rPr>
            <b/>
            <sz val="9"/>
            <color indexed="81"/>
            <rFont val="Tahoma"/>
            <family val="2"/>
          </rPr>
          <t>&lt;[[TCDeals] - [TC Property Current Stage (Seq: 1)] - [Unit Mix (Seq: 17)] Monthly Rent Per Unit - Both]&gt;</t>
        </r>
      </text>
    </comment>
    <comment ref="C1033" authorId="1" shapeId="0" xr:uid="{D23F4B58-1573-4647-9451-F679E014FE6B}">
      <text>
        <r>
          <rPr>
            <b/>
            <sz val="9"/>
            <color indexed="81"/>
            <rFont val="Tahoma"/>
            <family val="2"/>
          </rPr>
          <t>&lt;[[TCDeals] - [TC Property Current Stage (Seq: 1)] - [Unit Mix (Seq: 18)] Income Target - Both]&gt;</t>
        </r>
      </text>
    </comment>
    <comment ref="D1033" authorId="0" shapeId="0" xr:uid="{881DBCD2-29D2-4229-850F-788341BBD095}">
      <text>
        <r>
          <rPr>
            <b/>
            <sz val="9"/>
            <color indexed="81"/>
            <rFont val="Tahoma"/>
            <family val="2"/>
          </rPr>
          <t>&lt;[[TCDeals] - [TC Property Current Stage (Seq: 1)] - [Unit Mix (Seq: 18)] TC Unit Mix Type - Both]&gt;</t>
        </r>
      </text>
    </comment>
    <comment ref="E1033" authorId="0" shapeId="0" xr:uid="{9E17692F-17F4-46A3-8503-C72DF512DCA4}">
      <text>
        <r>
          <rPr>
            <b/>
            <sz val="9"/>
            <color indexed="81"/>
            <rFont val="Tahoma"/>
            <family val="2"/>
          </rPr>
          <t>&lt;[[TCDeals] - [TC Property Current Stage (Seq: 1)] - [Unit Mix (Seq: 18)] Net Rentable Sq Ft - Both]&gt;</t>
        </r>
      </text>
    </comment>
    <comment ref="F1033" authorId="0" shapeId="0" xr:uid="{085959D8-B16F-4458-B0FD-DFC7AB709B8B}">
      <text>
        <r>
          <rPr>
            <b/>
            <sz val="9"/>
            <color indexed="81"/>
            <rFont val="Tahoma"/>
            <family val="2"/>
          </rPr>
          <t>&lt;[[TCDeals] - [TC Property Current Stage (Seq: 1)] - [Unit Mix (Seq: 18)] Num Units - Both]&gt;</t>
        </r>
      </text>
    </comment>
    <comment ref="G1033" authorId="0" shapeId="0" xr:uid="{E3038A6A-766D-45A5-B872-F4594E397CE9}">
      <text>
        <r>
          <rPr>
            <b/>
            <sz val="9"/>
            <color indexed="81"/>
            <rFont val="Tahoma"/>
            <family val="2"/>
          </rPr>
          <t>&lt;[[TCDeals] - [TC Property Current Stage (Seq: 1)] - [Unit Mix (Seq: 18)] Monthly Rent Per Unit - Both]&gt;</t>
        </r>
      </text>
    </comment>
    <comment ref="C1034" authorId="1" shapeId="0" xr:uid="{0573AD93-6811-4C75-8BD5-E5F4B67E1648}">
      <text>
        <r>
          <rPr>
            <b/>
            <sz val="9"/>
            <color indexed="81"/>
            <rFont val="Tahoma"/>
            <family val="2"/>
          </rPr>
          <t>&lt;[[TCDeals] - [TC Property Current Stage (Seq: 1)] - [Unit Mix (Seq: 19)] Income Target - Both]&gt;</t>
        </r>
      </text>
    </comment>
    <comment ref="D1034" authorId="0" shapeId="0" xr:uid="{FDA7E66A-1D70-449E-9DF5-EA2855FB52F4}">
      <text>
        <r>
          <rPr>
            <b/>
            <sz val="9"/>
            <color indexed="81"/>
            <rFont val="Tahoma"/>
            <family val="2"/>
          </rPr>
          <t>&lt;[[TCDeals] - [TC Property Current Stage (Seq: 1)] - [Unit Mix (Seq: 19)] TC Unit Mix Type - Both]&gt;</t>
        </r>
      </text>
    </comment>
    <comment ref="E1034" authorId="0" shapeId="0" xr:uid="{D5302714-0DE3-4F6B-A949-0872E1025E2B}">
      <text>
        <r>
          <rPr>
            <b/>
            <sz val="9"/>
            <color indexed="81"/>
            <rFont val="Tahoma"/>
            <family val="2"/>
          </rPr>
          <t>&lt;[[TCDeals] - [TC Property Current Stage (Seq: 1)] - [Unit Mix (Seq: 19)] Net Rentable Sq Ft - Both]&gt;</t>
        </r>
      </text>
    </comment>
    <comment ref="F1034" authorId="0" shapeId="0" xr:uid="{2E971818-2F29-4342-B855-BEA4C43E401C}">
      <text>
        <r>
          <rPr>
            <b/>
            <sz val="9"/>
            <color indexed="81"/>
            <rFont val="Tahoma"/>
            <family val="2"/>
          </rPr>
          <t>&lt;[[TCDeals] - [TC Property Current Stage (Seq: 1)] - [Unit Mix (Seq: 19)] Num Units - Both]&gt;</t>
        </r>
      </text>
    </comment>
    <comment ref="G1034" authorId="0" shapeId="0" xr:uid="{0F6A81B3-2AF9-40F6-B071-71EA7102CACA}">
      <text>
        <r>
          <rPr>
            <b/>
            <sz val="9"/>
            <color indexed="81"/>
            <rFont val="Tahoma"/>
            <family val="2"/>
          </rPr>
          <t>&lt;[[TCDeals] - [TC Property Current Stage (Seq: 1)] - [Unit Mix (Seq: 19)] Monthly Rent Per Unit - Both]&gt;</t>
        </r>
      </text>
    </comment>
    <comment ref="C1035" authorId="1" shapeId="0" xr:uid="{5FE683E6-E6E4-46CF-BDC3-4C7AEFACCB7E}">
      <text>
        <r>
          <rPr>
            <b/>
            <sz val="9"/>
            <color indexed="81"/>
            <rFont val="Tahoma"/>
            <family val="2"/>
          </rPr>
          <t>&lt;[[TCDeals] - [TC Property Current Stage (Seq: 1)] - [Unit Mix (Seq: 20)] Income Target - Both]&gt;</t>
        </r>
      </text>
    </comment>
    <comment ref="D1035" authorId="0" shapeId="0" xr:uid="{FEB0E6ED-E596-445A-9B20-93251C803FED}">
      <text>
        <r>
          <rPr>
            <b/>
            <sz val="9"/>
            <color indexed="81"/>
            <rFont val="Tahoma"/>
            <family val="2"/>
          </rPr>
          <t>&lt;[[TCDeals] - [TC Property Current Stage (Seq: 1)] - [Unit Mix (Seq: 20)] TC Unit Mix Type - Both]&gt;</t>
        </r>
      </text>
    </comment>
    <comment ref="E1035" authorId="0" shapeId="0" xr:uid="{B510854A-AE18-4E64-83D4-1AE1D1E6A34A}">
      <text>
        <r>
          <rPr>
            <b/>
            <sz val="9"/>
            <color indexed="81"/>
            <rFont val="Tahoma"/>
            <family val="2"/>
          </rPr>
          <t>&lt;[[TCDeals] - [TC Property Current Stage (Seq: 1)] - [Unit Mix (Seq: 20)] Net Rentable Sq Ft - Both]&gt;</t>
        </r>
      </text>
    </comment>
    <comment ref="F1035" authorId="0" shapeId="0" xr:uid="{E01321B3-35C4-487D-BFF7-D9AD5BA94495}">
      <text>
        <r>
          <rPr>
            <b/>
            <sz val="9"/>
            <color indexed="81"/>
            <rFont val="Tahoma"/>
            <family val="2"/>
          </rPr>
          <t>&lt;[[TCDeals] - [TC Property Current Stage (Seq: 1)] - [Unit Mix (Seq: 20)] Num Units - Both]&gt;</t>
        </r>
      </text>
    </comment>
    <comment ref="G1035" authorId="0" shapeId="0" xr:uid="{F0F04747-BB65-489C-8261-E67331928E5C}">
      <text>
        <r>
          <rPr>
            <b/>
            <sz val="9"/>
            <color indexed="81"/>
            <rFont val="Tahoma"/>
            <family val="2"/>
          </rPr>
          <t>&lt;[[TCDeals] - [TC Property Current Stage (Seq: 1)] - [Unit Mix (Seq: 20)] Monthly Rent Per Unit - Both]&gt;</t>
        </r>
      </text>
    </comment>
    <comment ref="C1036" authorId="1" shapeId="0" xr:uid="{CE2B9D03-7388-4541-A1A2-BB756AE80E2B}">
      <text>
        <r>
          <rPr>
            <b/>
            <sz val="9"/>
            <color indexed="81"/>
            <rFont val="Tahoma"/>
            <family val="2"/>
          </rPr>
          <t>&lt;[[TCDeals] - [TC Property Current Stage (Seq: 1)] - [Unit Mix (Seq: 21)] Income Target - Both]&gt;</t>
        </r>
      </text>
    </comment>
    <comment ref="D1036" authorId="0" shapeId="0" xr:uid="{DB32AAC8-8A45-49C4-9292-B8A0B4BF1396}">
      <text>
        <r>
          <rPr>
            <b/>
            <sz val="9"/>
            <color indexed="81"/>
            <rFont val="Tahoma"/>
            <family val="2"/>
          </rPr>
          <t>&lt;[[TCDeals] - [TC Property Current Stage (Seq: 1)] - [Unit Mix (Seq: 21)] TC Unit Mix Type - Both]&gt;</t>
        </r>
      </text>
    </comment>
    <comment ref="E1036" authorId="0" shapeId="0" xr:uid="{8E8BA958-53FB-4642-AF49-1330DC6805F5}">
      <text>
        <r>
          <rPr>
            <b/>
            <sz val="9"/>
            <color indexed="81"/>
            <rFont val="Tahoma"/>
            <family val="2"/>
          </rPr>
          <t>&lt;[[TCDeals] - [TC Property Current Stage (Seq: 1)] - [Unit Mix (Seq: 21)] Net Rentable Sq Ft - Both]&gt;</t>
        </r>
      </text>
    </comment>
    <comment ref="F1036" authorId="0" shapeId="0" xr:uid="{73C00576-1549-40CE-BA8E-8D848849A111}">
      <text>
        <r>
          <rPr>
            <b/>
            <sz val="9"/>
            <color indexed="81"/>
            <rFont val="Tahoma"/>
            <family val="2"/>
          </rPr>
          <t>&lt;[[TCDeals] - [TC Property Current Stage (Seq: 1)] - [Unit Mix (Seq: 21)] Num Units - Both]&gt;</t>
        </r>
      </text>
    </comment>
    <comment ref="G1036" authorId="0" shapeId="0" xr:uid="{D19B3DD0-84A6-45D8-9322-7EE434762343}">
      <text>
        <r>
          <rPr>
            <b/>
            <sz val="9"/>
            <color indexed="81"/>
            <rFont val="Tahoma"/>
            <family val="2"/>
          </rPr>
          <t>&lt;[[TCDeals] - [TC Property Current Stage (Seq: 1)] - [Unit Mix (Seq: 21)] Monthly Rent Per Unit - Both]&gt;</t>
        </r>
      </text>
    </comment>
    <comment ref="C1037" authorId="1" shapeId="0" xr:uid="{1B8FE23A-5072-40B4-83FE-91F952BF0C4D}">
      <text>
        <r>
          <rPr>
            <b/>
            <sz val="9"/>
            <color indexed="81"/>
            <rFont val="Tahoma"/>
            <family val="2"/>
          </rPr>
          <t>&lt;[[TCDeals] - [TC Property Current Stage (Seq: 1)] - [Unit Mix (Seq: 22)] Income Target - Both]&gt;</t>
        </r>
      </text>
    </comment>
    <comment ref="D1037" authorId="0" shapeId="0" xr:uid="{396C8116-AF8C-4959-9E1F-6A6CFD9511CF}">
      <text>
        <r>
          <rPr>
            <b/>
            <sz val="9"/>
            <color indexed="81"/>
            <rFont val="Tahoma"/>
            <family val="2"/>
          </rPr>
          <t>&lt;[[TCDeals] - [TC Property Current Stage (Seq: 1)] - [Unit Mix (Seq: 22)] TC Unit Mix Type - Both]&gt;</t>
        </r>
      </text>
    </comment>
    <comment ref="E1037" authorId="0" shapeId="0" xr:uid="{EFC693B5-6A5D-4F37-B35E-21A52E191B43}">
      <text>
        <r>
          <rPr>
            <b/>
            <sz val="9"/>
            <color indexed="81"/>
            <rFont val="Tahoma"/>
            <family val="2"/>
          </rPr>
          <t>&lt;[[TCDeals] - [TC Property Current Stage (Seq: 1)] - [Unit Mix (Seq: 22)] Net Rentable Sq Ft - Both]&gt;</t>
        </r>
      </text>
    </comment>
    <comment ref="F1037" authorId="0" shapeId="0" xr:uid="{0DADF8D4-C556-4F94-AEC6-27EC001FCCCD}">
      <text>
        <r>
          <rPr>
            <b/>
            <sz val="9"/>
            <color indexed="81"/>
            <rFont val="Tahoma"/>
            <family val="2"/>
          </rPr>
          <t>&lt;[[TCDeals] - [TC Property Current Stage (Seq: 1)] - [Unit Mix (Seq: 22)] Num Units - Both]&gt;</t>
        </r>
      </text>
    </comment>
    <comment ref="G1037" authorId="0" shapeId="0" xr:uid="{E8C5C9DB-114B-4855-A020-338E957382E7}">
      <text>
        <r>
          <rPr>
            <b/>
            <sz val="9"/>
            <color indexed="81"/>
            <rFont val="Tahoma"/>
            <family val="2"/>
          </rPr>
          <t>&lt;[[TCDeals] - [TC Property Current Stage (Seq: 1)] - [Unit Mix (Seq: 22)] Monthly Rent Per Unit - Both]&gt;</t>
        </r>
      </text>
    </comment>
    <comment ref="C1038" authorId="1" shapeId="0" xr:uid="{6AEA4463-62CB-46A1-8CA1-9396075D8288}">
      <text>
        <r>
          <rPr>
            <b/>
            <sz val="9"/>
            <color indexed="81"/>
            <rFont val="Tahoma"/>
            <family val="2"/>
          </rPr>
          <t>&lt;[[TCDeals] - [TC Property Current Stage (Seq: 1)] - [Unit Mix (Seq: 23)] Income Target - Both]&gt;</t>
        </r>
      </text>
    </comment>
    <comment ref="D1038" authorId="0" shapeId="0" xr:uid="{09E60FD4-8312-4D11-A526-DF230AA9E629}">
      <text>
        <r>
          <rPr>
            <b/>
            <sz val="9"/>
            <color indexed="81"/>
            <rFont val="Tahoma"/>
            <family val="2"/>
          </rPr>
          <t>&lt;[[TCDeals] - [TC Property Current Stage (Seq: 1)] - [Unit Mix (Seq: 23)] TC Unit Mix Type - Both]&gt;</t>
        </r>
      </text>
    </comment>
    <comment ref="E1038" authorId="0" shapeId="0" xr:uid="{D0C60B6F-E665-457C-81FE-814E41C3E844}">
      <text>
        <r>
          <rPr>
            <b/>
            <sz val="9"/>
            <color indexed="81"/>
            <rFont val="Tahoma"/>
            <family val="2"/>
          </rPr>
          <t>&lt;[[TCDeals] - [TC Property Current Stage (Seq: 1)] - [Unit Mix (Seq: 23)] Net Rentable Sq Ft - Both]&gt;</t>
        </r>
      </text>
    </comment>
    <comment ref="F1038" authorId="0" shapeId="0" xr:uid="{F878FD4D-7CC8-44FD-A6CE-3C49708FB806}">
      <text>
        <r>
          <rPr>
            <b/>
            <sz val="9"/>
            <color indexed="81"/>
            <rFont val="Tahoma"/>
            <family val="2"/>
          </rPr>
          <t>&lt;[[TCDeals] - [TC Property Current Stage (Seq: 1)] - [Unit Mix (Seq: 23)] Num Units - Both]&gt;</t>
        </r>
      </text>
    </comment>
    <comment ref="G1038" authorId="0" shapeId="0" xr:uid="{2BEA3330-F702-4FCF-A824-F23170DC136A}">
      <text>
        <r>
          <rPr>
            <b/>
            <sz val="9"/>
            <color indexed="81"/>
            <rFont val="Tahoma"/>
            <family val="2"/>
          </rPr>
          <t>&lt;[[TCDeals] - [TC Property Current Stage (Seq: 1)] - [Unit Mix (Seq: 23)] Monthly Rent Per Unit - Both]&gt;</t>
        </r>
      </text>
    </comment>
    <comment ref="C1039" authorId="1" shapeId="0" xr:uid="{3971B38A-2C5E-4F88-9ABF-793817CDAAA9}">
      <text>
        <r>
          <rPr>
            <b/>
            <sz val="9"/>
            <color indexed="81"/>
            <rFont val="Tahoma"/>
            <family val="2"/>
          </rPr>
          <t>&lt;[[TCDeals] - [TC Property Current Stage (Seq: 1)] - [Unit Mix (Seq: 24)] Income Target - Both]&gt;</t>
        </r>
      </text>
    </comment>
    <comment ref="D1039" authorId="0" shapeId="0" xr:uid="{DE9A8B3E-5E1D-4BC9-B1FF-A302FAAA5A6B}">
      <text>
        <r>
          <rPr>
            <b/>
            <sz val="9"/>
            <color indexed="81"/>
            <rFont val="Tahoma"/>
            <family val="2"/>
          </rPr>
          <t>&lt;[[TCDeals] - [TC Property Current Stage (Seq: 1)] - [Unit Mix (Seq: 24)] TC Unit Mix Type - Both]&gt;</t>
        </r>
      </text>
    </comment>
    <comment ref="E1039" authorId="0" shapeId="0" xr:uid="{F27E8D3B-84D3-4EF3-9FB9-BB8A91D6373E}">
      <text>
        <r>
          <rPr>
            <b/>
            <sz val="9"/>
            <color indexed="81"/>
            <rFont val="Tahoma"/>
            <family val="2"/>
          </rPr>
          <t>&lt;[[TCDeals] - [TC Property Current Stage (Seq: 1)] - [Unit Mix (Seq: 24)] Net Rentable Sq Ft - Both]&gt;</t>
        </r>
      </text>
    </comment>
    <comment ref="F1039" authorId="0" shapeId="0" xr:uid="{7E24EE4A-C62A-4839-BF37-079AED52E216}">
      <text>
        <r>
          <rPr>
            <b/>
            <sz val="9"/>
            <color indexed="81"/>
            <rFont val="Tahoma"/>
            <family val="2"/>
          </rPr>
          <t>&lt;[[TCDeals] - [TC Property Current Stage (Seq: 1)] - [Unit Mix (Seq: 24)] Num Units - Both]&gt;</t>
        </r>
      </text>
    </comment>
    <comment ref="G1039" authorId="0" shapeId="0" xr:uid="{D05576B8-6C04-46E7-AC9E-D15A36B0F37C}">
      <text>
        <r>
          <rPr>
            <b/>
            <sz val="9"/>
            <color indexed="81"/>
            <rFont val="Tahoma"/>
            <family val="2"/>
          </rPr>
          <t>&lt;[[TCDeals] - [TC Property Current Stage (Seq: 1)] - [Unit Mix (Seq: 24)] Monthly Rent Per Unit - Both]&gt;</t>
        </r>
      </text>
    </comment>
    <comment ref="C1040" authorId="1" shapeId="0" xr:uid="{E50A53DF-630E-40C0-AEBB-FB03C1D6F13C}">
      <text>
        <r>
          <rPr>
            <b/>
            <sz val="9"/>
            <color indexed="81"/>
            <rFont val="Tahoma"/>
            <family val="2"/>
          </rPr>
          <t>&lt;[[TCDeals] - [TC Property Current Stage (Seq: 1)] - [Unit Mix (Seq: 25)] Income Target - Both]&gt;</t>
        </r>
      </text>
    </comment>
    <comment ref="D1040" authorId="0" shapeId="0" xr:uid="{1FD94BCF-5C69-47BD-8872-DE8D7EAEB670}">
      <text>
        <r>
          <rPr>
            <b/>
            <sz val="9"/>
            <color indexed="81"/>
            <rFont val="Tahoma"/>
            <family val="2"/>
          </rPr>
          <t>&lt;[[TCDeals] - [TC Property Current Stage (Seq: 1)] - [Unit Mix (Seq: 25)] TC Unit Mix Type - Both]&gt;</t>
        </r>
      </text>
    </comment>
    <comment ref="E1040" authorId="0" shapeId="0" xr:uid="{64080D8D-C11B-4773-8FFE-E14A6C023705}">
      <text>
        <r>
          <rPr>
            <b/>
            <sz val="9"/>
            <color indexed="81"/>
            <rFont val="Tahoma"/>
            <family val="2"/>
          </rPr>
          <t>&lt;[[TCDeals] - [TC Property Current Stage (Seq: 1)] - [Unit Mix (Seq: 25)] Net Rentable Sq Ft - Both]&gt;</t>
        </r>
      </text>
    </comment>
    <comment ref="F1040" authorId="0" shapeId="0" xr:uid="{9DC95D3D-DD25-460D-8420-95D60CEF8B77}">
      <text>
        <r>
          <rPr>
            <b/>
            <sz val="9"/>
            <color indexed="81"/>
            <rFont val="Tahoma"/>
            <family val="2"/>
          </rPr>
          <t>&lt;[[TCDeals] - [TC Property Current Stage (Seq: 1)] - [Unit Mix (Seq: 25)] Num Units - Both]&gt;</t>
        </r>
      </text>
    </comment>
    <comment ref="G1040" authorId="0" shapeId="0" xr:uid="{0DB0F347-ED86-430F-BCB3-2B69EFAE33AA}">
      <text>
        <r>
          <rPr>
            <b/>
            <sz val="9"/>
            <color indexed="81"/>
            <rFont val="Tahoma"/>
            <family val="2"/>
          </rPr>
          <t>&lt;[[TCDeals] - [TC Property Current Stage (Seq: 1)] - [Unit Mix (Seq: 25)] Monthly Rent Per Unit - Both]&gt;</t>
        </r>
      </text>
    </comment>
    <comment ref="C1041" authorId="1" shapeId="0" xr:uid="{0F6F1897-8C6E-4D4F-8AB8-6F1EC836145A}">
      <text>
        <r>
          <rPr>
            <b/>
            <sz val="9"/>
            <color indexed="81"/>
            <rFont val="Tahoma"/>
            <family val="2"/>
          </rPr>
          <t>&lt;[[TCDeals] - [TC Property Current Stage (Seq: 1)] - [Unit Mix (Seq: 26)] Income Target - Both]&gt;</t>
        </r>
      </text>
    </comment>
    <comment ref="D1041" authorId="0" shapeId="0" xr:uid="{3CC56FD2-4994-4A5A-BA56-A6C4E492EBE6}">
      <text>
        <r>
          <rPr>
            <b/>
            <sz val="9"/>
            <color indexed="81"/>
            <rFont val="Tahoma"/>
            <family val="2"/>
          </rPr>
          <t>&lt;[[TCDeals] - [TC Property Current Stage (Seq: 1)] - [Unit Mix (Seq: 26)] TC Unit Mix Type - Both]&gt;</t>
        </r>
      </text>
    </comment>
    <comment ref="E1041" authorId="0" shapeId="0" xr:uid="{4ED90FA9-A9EB-4318-AAF5-7225CC0E813F}">
      <text>
        <r>
          <rPr>
            <b/>
            <sz val="9"/>
            <color indexed="81"/>
            <rFont val="Tahoma"/>
            <family val="2"/>
          </rPr>
          <t>&lt;[[TCDeals] - [TC Property Current Stage (Seq: 1)] - [Unit Mix (Seq: 26)] Net Rentable Sq Ft - Both]&gt;</t>
        </r>
      </text>
    </comment>
    <comment ref="F1041" authorId="0" shapeId="0" xr:uid="{EE2E7403-F0D8-4948-8EEC-C17F2F6F983E}">
      <text>
        <r>
          <rPr>
            <b/>
            <sz val="9"/>
            <color indexed="81"/>
            <rFont val="Tahoma"/>
            <family val="2"/>
          </rPr>
          <t>&lt;[[TCDeals] - [TC Property Current Stage (Seq: 1)] - [Unit Mix (Seq: 26)] Num Units - Both]&gt;</t>
        </r>
      </text>
    </comment>
    <comment ref="G1041" authorId="0" shapeId="0" xr:uid="{644BF3A2-4B4F-4F63-9BF6-690F553ED777}">
      <text>
        <r>
          <rPr>
            <b/>
            <sz val="9"/>
            <color indexed="81"/>
            <rFont val="Tahoma"/>
            <family val="2"/>
          </rPr>
          <t>&lt;[[TCDeals] - [TC Property Current Stage (Seq: 1)] - [Unit Mix (Seq: 26)] Monthly Rent Per Unit - Both]&gt;</t>
        </r>
      </text>
    </comment>
    <comment ref="C1042" authorId="1" shapeId="0" xr:uid="{A50EC029-3455-4D71-9B6B-F90084D9409B}">
      <text>
        <r>
          <rPr>
            <b/>
            <sz val="9"/>
            <color indexed="81"/>
            <rFont val="Tahoma"/>
            <family val="2"/>
          </rPr>
          <t>&lt;[[TCDeals] - [TC Property Current Stage (Seq: 1)] - [Unit Mix (Seq: 27)] Income Target - Both]&gt;</t>
        </r>
      </text>
    </comment>
    <comment ref="D1042" authorId="0" shapeId="0" xr:uid="{45214B7E-8E4B-422D-91D8-F07580F1F996}">
      <text>
        <r>
          <rPr>
            <b/>
            <sz val="9"/>
            <color indexed="81"/>
            <rFont val="Tahoma"/>
            <family val="2"/>
          </rPr>
          <t>&lt;[[TCDeals] - [TC Property Current Stage (Seq: 1)] - [Unit Mix (Seq: 27)] TC Unit Mix Type - Both]&gt;</t>
        </r>
      </text>
    </comment>
    <comment ref="E1042" authorId="0" shapeId="0" xr:uid="{86EBA308-DA4C-44DE-A760-0B38E59BEA3C}">
      <text>
        <r>
          <rPr>
            <b/>
            <sz val="9"/>
            <color indexed="81"/>
            <rFont val="Tahoma"/>
            <family val="2"/>
          </rPr>
          <t>&lt;[[TCDeals] - [TC Property Current Stage (Seq: 1)] - [Unit Mix (Seq: 27)] Net Rentable Sq Ft - Both]&gt;</t>
        </r>
      </text>
    </comment>
    <comment ref="F1042" authorId="0" shapeId="0" xr:uid="{B4544C59-CD3C-4A3F-A020-E90A1B92C52F}">
      <text>
        <r>
          <rPr>
            <b/>
            <sz val="9"/>
            <color indexed="81"/>
            <rFont val="Tahoma"/>
            <family val="2"/>
          </rPr>
          <t>&lt;[[TCDeals] - [TC Property Current Stage (Seq: 1)] - [Unit Mix (Seq: 27)] Num Units - Both]&gt;</t>
        </r>
      </text>
    </comment>
    <comment ref="G1042" authorId="0" shapeId="0" xr:uid="{163E92CB-B82E-45E9-B7B1-5C8984E6E3C9}">
      <text>
        <r>
          <rPr>
            <b/>
            <sz val="9"/>
            <color indexed="81"/>
            <rFont val="Tahoma"/>
            <family val="2"/>
          </rPr>
          <t>&lt;[[TCDeals] - [TC Property Current Stage (Seq: 1)] - [Unit Mix (Seq: 27)] Monthly Rent Per Unit - Both]&gt;</t>
        </r>
      </text>
    </comment>
    <comment ref="C1043" authorId="1" shapeId="0" xr:uid="{D081E79F-776E-4029-87DC-050ECE97649F}">
      <text>
        <r>
          <rPr>
            <b/>
            <sz val="9"/>
            <color indexed="81"/>
            <rFont val="Tahoma"/>
            <family val="2"/>
          </rPr>
          <t>&lt;[[TCDeals] - [TC Property Current Stage (Seq: 1)] - [Unit Mix (Seq: 28)] Income Target - Both]&gt;</t>
        </r>
      </text>
    </comment>
    <comment ref="D1043" authorId="0" shapeId="0" xr:uid="{E7AF1A37-DCAE-4E57-ACC3-B4F1EB49BC80}">
      <text>
        <r>
          <rPr>
            <b/>
            <sz val="9"/>
            <color indexed="81"/>
            <rFont val="Tahoma"/>
            <family val="2"/>
          </rPr>
          <t>&lt;[[TCDeals] - [TC Property Current Stage (Seq: 1)] - [Unit Mix (Seq: 28)] TC Unit Mix Type - Both]&gt;</t>
        </r>
      </text>
    </comment>
    <comment ref="E1043" authorId="0" shapeId="0" xr:uid="{A0060B2C-ACFD-4DBF-8B0D-CABC0301605E}">
      <text>
        <r>
          <rPr>
            <b/>
            <sz val="9"/>
            <color indexed="81"/>
            <rFont val="Tahoma"/>
            <family val="2"/>
          </rPr>
          <t>&lt;[[TCDeals] - [TC Property Current Stage (Seq: 1)] - [Unit Mix (Seq: 28)] Net Rentable Sq Ft - Both]&gt;</t>
        </r>
      </text>
    </comment>
    <comment ref="F1043" authorId="0" shapeId="0" xr:uid="{4A75E897-CAD3-4284-89DA-3AD0DCBE2367}">
      <text>
        <r>
          <rPr>
            <b/>
            <sz val="9"/>
            <color indexed="81"/>
            <rFont val="Tahoma"/>
            <family val="2"/>
          </rPr>
          <t>&lt;[[TCDeals] - [TC Property Current Stage (Seq: 1)] - [Unit Mix (Seq: 28)] Num Units - Both]&gt;</t>
        </r>
      </text>
    </comment>
    <comment ref="G1043" authorId="0" shapeId="0" xr:uid="{9030DB64-30F7-4230-94A5-DE505B617876}">
      <text>
        <r>
          <rPr>
            <b/>
            <sz val="9"/>
            <color indexed="81"/>
            <rFont val="Tahoma"/>
            <family val="2"/>
          </rPr>
          <t>&lt;[[TCDeals] - [TC Property Current Stage (Seq: 1)] - [Unit Mix (Seq: 28)] Monthly Rent Per Unit - Both]&gt;</t>
        </r>
      </text>
    </comment>
    <comment ref="C1044" authorId="1" shapeId="0" xr:uid="{BD8CFE54-0E4E-4E79-9A43-1258E545FC42}">
      <text>
        <r>
          <rPr>
            <b/>
            <sz val="9"/>
            <color indexed="81"/>
            <rFont val="Tahoma"/>
            <family val="2"/>
          </rPr>
          <t>&lt;[[TCDeals] - [TC Property Current Stage (Seq: 1)] - [Unit Mix (Seq: 29)] Income Target - Both]&gt;</t>
        </r>
      </text>
    </comment>
    <comment ref="D1044" authorId="0" shapeId="0" xr:uid="{B3CC63D9-7BBF-4BCA-877F-6DA37198442F}">
      <text>
        <r>
          <rPr>
            <b/>
            <sz val="9"/>
            <color indexed="81"/>
            <rFont val="Tahoma"/>
            <family val="2"/>
          </rPr>
          <t>&lt;[[TCDeals] - [TC Property Current Stage (Seq: 1)] - [Unit Mix (Seq: 29)] TC Unit Mix Type - Both]&gt;</t>
        </r>
      </text>
    </comment>
    <comment ref="E1044" authorId="0" shapeId="0" xr:uid="{2B86996D-B4A3-474E-9C99-3C478F58F32B}">
      <text>
        <r>
          <rPr>
            <b/>
            <sz val="9"/>
            <color indexed="81"/>
            <rFont val="Tahoma"/>
            <family val="2"/>
          </rPr>
          <t>&lt;[[TCDeals] - [TC Property Current Stage (Seq: 1)] - [Unit Mix (Seq: 29)] Net Rentable Sq Ft - Both]&gt;</t>
        </r>
      </text>
    </comment>
    <comment ref="F1044" authorId="0" shapeId="0" xr:uid="{DE700198-BC56-4722-87D0-987E50C861A1}">
      <text>
        <r>
          <rPr>
            <b/>
            <sz val="9"/>
            <color indexed="81"/>
            <rFont val="Tahoma"/>
            <family val="2"/>
          </rPr>
          <t>&lt;[[TCDeals] - [TC Property Current Stage (Seq: 1)] - [Unit Mix (Seq: 29)] Num Units - Both]&gt;</t>
        </r>
      </text>
    </comment>
    <comment ref="G1044" authorId="0" shapeId="0" xr:uid="{0B141E21-DD1D-4861-B3C9-54F390B47170}">
      <text>
        <r>
          <rPr>
            <b/>
            <sz val="9"/>
            <color indexed="81"/>
            <rFont val="Tahoma"/>
            <family val="2"/>
          </rPr>
          <t>&lt;[[TCDeals] - [TC Property Current Stage (Seq: 1)] - [Unit Mix (Seq: 29)] Monthly Rent Per Unit - Both]&gt;</t>
        </r>
      </text>
    </comment>
    <comment ref="C1045" authorId="1" shapeId="0" xr:uid="{13C58A60-33AA-4991-9BE7-B4CC5503B8E7}">
      <text>
        <r>
          <rPr>
            <b/>
            <sz val="9"/>
            <color indexed="81"/>
            <rFont val="Tahoma"/>
            <family val="2"/>
          </rPr>
          <t>&lt;[[TCDeals] - [TC Property Current Stage (Seq: 1)] - [Unit Mix (Seq: 30)] Income Target - Both]&gt;</t>
        </r>
      </text>
    </comment>
    <comment ref="D1045" authorId="0" shapeId="0" xr:uid="{3F9A89D9-BC8B-4562-A1F7-84C21DBE8632}">
      <text>
        <r>
          <rPr>
            <b/>
            <sz val="9"/>
            <color indexed="81"/>
            <rFont val="Tahoma"/>
            <family val="2"/>
          </rPr>
          <t>&lt;[[TCDeals] - [TC Property Current Stage (Seq: 1)] - [Unit Mix (Seq: 30)] TC Unit Mix Type - Both]&gt;</t>
        </r>
      </text>
    </comment>
    <comment ref="E1045" authorId="0" shapeId="0" xr:uid="{115BC535-AEF6-47F6-AC4B-9BE6173D0E46}">
      <text>
        <r>
          <rPr>
            <b/>
            <sz val="9"/>
            <color indexed="81"/>
            <rFont val="Tahoma"/>
            <family val="2"/>
          </rPr>
          <t>&lt;[[TCDeals] - [TC Property Current Stage (Seq: 1)] - [Unit Mix (Seq: 30)] Net Rentable Sq Ft - Both]&gt;</t>
        </r>
      </text>
    </comment>
    <comment ref="F1045" authorId="0" shapeId="0" xr:uid="{B188BA81-EC79-4AA2-8A61-4CDDDE5678A6}">
      <text>
        <r>
          <rPr>
            <b/>
            <sz val="9"/>
            <color indexed="81"/>
            <rFont val="Tahoma"/>
            <family val="2"/>
          </rPr>
          <t>&lt;[[TCDeals] - [TC Property Current Stage (Seq: 1)] - [Unit Mix (Seq: 30)] Num Units - Both]&gt;</t>
        </r>
      </text>
    </comment>
    <comment ref="G1045" authorId="0" shapeId="0" xr:uid="{D57F9CF0-A027-4DA0-BAD9-31D20220B379}">
      <text>
        <r>
          <rPr>
            <b/>
            <sz val="9"/>
            <color indexed="81"/>
            <rFont val="Tahoma"/>
            <family val="2"/>
          </rPr>
          <t>&lt;[[TCDeals] - [TC Property Current Stage (Seq: 1)] - [Unit Mix (Seq: 30)] Monthly Rent Per Unit - Both]&gt;</t>
        </r>
      </text>
    </comment>
    <comment ref="C1046" authorId="1" shapeId="0" xr:uid="{C9A9492A-537E-4D2F-BEEF-23A0E3A100E9}">
      <text>
        <r>
          <rPr>
            <b/>
            <sz val="9"/>
            <color indexed="81"/>
            <rFont val="Tahoma"/>
            <family val="2"/>
          </rPr>
          <t>&lt;[[TCDeals] - [TC Property Current Stage (Seq: 1)] - [Unit Mix (Seq: 31)] Income Target - Both]&gt;</t>
        </r>
      </text>
    </comment>
    <comment ref="D1046" authorId="0" shapeId="0" xr:uid="{52B954AB-E3FB-4D56-AF48-020F9CD4AE19}">
      <text>
        <r>
          <rPr>
            <b/>
            <sz val="9"/>
            <color indexed="81"/>
            <rFont val="Tahoma"/>
            <family val="2"/>
          </rPr>
          <t>&lt;[[TCDeals] - [TC Property Current Stage (Seq: 1)] - [Unit Mix (Seq: 31)] TC Unit Mix Type - Both]&gt;</t>
        </r>
      </text>
    </comment>
    <comment ref="E1046" authorId="0" shapeId="0" xr:uid="{0D604461-99CE-493F-9572-DAFB567C3BE8}">
      <text>
        <r>
          <rPr>
            <b/>
            <sz val="9"/>
            <color indexed="81"/>
            <rFont val="Tahoma"/>
            <family val="2"/>
          </rPr>
          <t>&lt;[[TCDeals] - [TC Property Current Stage (Seq: 1)] - [Unit Mix (Seq: 31)] Net Rentable Sq Ft - Both]&gt;</t>
        </r>
      </text>
    </comment>
    <comment ref="F1046" authorId="0" shapeId="0" xr:uid="{06F4B48F-CE04-4A87-B0CE-B8387E2ACF9B}">
      <text>
        <r>
          <rPr>
            <b/>
            <sz val="9"/>
            <color indexed="81"/>
            <rFont val="Tahoma"/>
            <family val="2"/>
          </rPr>
          <t>&lt;[[TCDeals] - [TC Property Current Stage (Seq: 1)] - [Unit Mix (Seq: 31)] Num Units - Both]&gt;</t>
        </r>
      </text>
    </comment>
    <comment ref="G1046" authorId="0" shapeId="0" xr:uid="{FF3350FF-A02D-4544-A891-36A6105C8EA8}">
      <text>
        <r>
          <rPr>
            <b/>
            <sz val="9"/>
            <color indexed="81"/>
            <rFont val="Tahoma"/>
            <family val="2"/>
          </rPr>
          <t>&lt;[[TCDeals] - [TC Property Current Stage (Seq: 1)] - [Unit Mix (Seq: 31)] Monthly Rent Per Unit - Both]&gt;</t>
        </r>
      </text>
    </comment>
    <comment ref="C1047" authorId="1" shapeId="0" xr:uid="{BD9B9727-1DB2-4669-9B83-CD9240CF12E9}">
      <text>
        <r>
          <rPr>
            <b/>
            <sz val="9"/>
            <color indexed="81"/>
            <rFont val="Tahoma"/>
            <family val="2"/>
          </rPr>
          <t>&lt;[[TCDeals] - [TC Property Current Stage (Seq: 1)] - [Unit Mix (Seq: 32)] Income Target - Both]&gt;</t>
        </r>
      </text>
    </comment>
    <comment ref="D1047" authorId="0" shapeId="0" xr:uid="{83C68F34-99A0-4813-913C-D0B4175656C8}">
      <text>
        <r>
          <rPr>
            <b/>
            <sz val="9"/>
            <color indexed="81"/>
            <rFont val="Tahoma"/>
            <family val="2"/>
          </rPr>
          <t>&lt;[[TCDeals] - [TC Property Current Stage (Seq: 1)] - [Unit Mix (Seq: 32)] TC Unit Mix Type - Both]&gt;</t>
        </r>
      </text>
    </comment>
    <comment ref="E1047" authorId="0" shapeId="0" xr:uid="{E6162881-789B-4A09-8204-B6CAFA88F904}">
      <text>
        <r>
          <rPr>
            <b/>
            <sz val="9"/>
            <color indexed="81"/>
            <rFont val="Tahoma"/>
            <family val="2"/>
          </rPr>
          <t>&lt;[[TCDeals] - [TC Property Current Stage (Seq: 1)] - [Unit Mix (Seq: 32)] Net Rentable Sq Ft - Both]&gt;</t>
        </r>
      </text>
    </comment>
    <comment ref="F1047" authorId="0" shapeId="0" xr:uid="{E0BBFCCE-79CB-4B4E-A18A-A553F5D37318}">
      <text>
        <r>
          <rPr>
            <b/>
            <sz val="9"/>
            <color indexed="81"/>
            <rFont val="Tahoma"/>
            <family val="2"/>
          </rPr>
          <t>&lt;[[TCDeals] - [TC Property Current Stage (Seq: 1)] - [Unit Mix (Seq: 32)] Num Units - Both]&gt;</t>
        </r>
      </text>
    </comment>
    <comment ref="G1047" authorId="0" shapeId="0" xr:uid="{87ACC915-BB87-4D5E-8DD2-0AE7D2FBAB64}">
      <text>
        <r>
          <rPr>
            <b/>
            <sz val="9"/>
            <color indexed="81"/>
            <rFont val="Tahoma"/>
            <family val="2"/>
          </rPr>
          <t>&lt;[[TCDeals] - [TC Property Current Stage (Seq: 1)] - [Unit Mix (Seq: 32)] Monthly Rent Per Unit - Both]&gt;</t>
        </r>
      </text>
    </comment>
    <comment ref="C1048" authorId="1" shapeId="0" xr:uid="{D138EE93-1806-4FD1-B524-0916BF9CC4D9}">
      <text>
        <r>
          <rPr>
            <b/>
            <sz val="9"/>
            <color indexed="81"/>
            <rFont val="Tahoma"/>
            <family val="2"/>
          </rPr>
          <t>&lt;[[TCDeals] - [TC Property Current Stage (Seq: 1)] - [Unit Mix (Seq: 33)] Income Target - Both]&gt;</t>
        </r>
      </text>
    </comment>
    <comment ref="D1048" authorId="0" shapeId="0" xr:uid="{8B8FE8E9-B101-4729-B9E5-C47FE46E0A21}">
      <text>
        <r>
          <rPr>
            <b/>
            <sz val="9"/>
            <color indexed="81"/>
            <rFont val="Tahoma"/>
            <family val="2"/>
          </rPr>
          <t>&lt;[[TCDeals] - [TC Property Current Stage (Seq: 1)] - [Unit Mix (Seq: 33)] TC Unit Mix Type - Both]&gt;</t>
        </r>
      </text>
    </comment>
    <comment ref="E1048" authorId="0" shapeId="0" xr:uid="{E7E310B8-0A47-4954-BCE6-D0C31F4CC047}">
      <text>
        <r>
          <rPr>
            <b/>
            <sz val="9"/>
            <color indexed="81"/>
            <rFont val="Tahoma"/>
            <family val="2"/>
          </rPr>
          <t>&lt;[[TCDeals] - [TC Property Current Stage (Seq: 1)] - [Unit Mix (Seq: 33)] Net Rentable Sq Ft - Both]&gt;</t>
        </r>
      </text>
    </comment>
    <comment ref="F1048" authorId="0" shapeId="0" xr:uid="{5609631D-3FDA-4B4C-9CCE-4821B570B502}">
      <text>
        <r>
          <rPr>
            <b/>
            <sz val="9"/>
            <color indexed="81"/>
            <rFont val="Tahoma"/>
            <family val="2"/>
          </rPr>
          <t>&lt;[[TCDeals] - [TC Property Current Stage (Seq: 1)] - [Unit Mix (Seq: 33)] Num Units - Both]&gt;</t>
        </r>
      </text>
    </comment>
    <comment ref="G1048" authorId="0" shapeId="0" xr:uid="{71069168-26CB-4F92-9F19-B8878F97951F}">
      <text>
        <r>
          <rPr>
            <b/>
            <sz val="9"/>
            <color indexed="81"/>
            <rFont val="Tahoma"/>
            <family val="2"/>
          </rPr>
          <t>&lt;[[TCDeals] - [TC Property Current Stage (Seq: 1)] - [Unit Mix (Seq: 33)] Monthly Rent Per Unit - Both]&gt;</t>
        </r>
      </text>
    </comment>
    <comment ref="C1049" authorId="1" shapeId="0" xr:uid="{C54F859D-D02F-44CF-8312-C3AFF01A0334}">
      <text>
        <r>
          <rPr>
            <b/>
            <sz val="9"/>
            <color indexed="81"/>
            <rFont val="Tahoma"/>
            <family val="2"/>
          </rPr>
          <t>&lt;[[TCDeals] - [TC Property Current Stage (Seq: 1)] - [Unit Mix (Seq: 34)] Income Target - Both]&gt;</t>
        </r>
      </text>
    </comment>
    <comment ref="D1049" authorId="0" shapeId="0" xr:uid="{10F92BF7-8AB2-42BA-B5BE-2F246BE4D089}">
      <text>
        <r>
          <rPr>
            <b/>
            <sz val="9"/>
            <color indexed="81"/>
            <rFont val="Tahoma"/>
            <family val="2"/>
          </rPr>
          <t>&lt;[[TCDeals] - [TC Property Current Stage (Seq: 1)] - [Unit Mix (Seq: 34)] TC Unit Mix Type - Both]&gt;</t>
        </r>
      </text>
    </comment>
    <comment ref="E1049" authorId="0" shapeId="0" xr:uid="{F9C92992-9082-45E6-9E5B-6DD227ABC5C2}">
      <text>
        <r>
          <rPr>
            <b/>
            <sz val="9"/>
            <color indexed="81"/>
            <rFont val="Tahoma"/>
            <family val="2"/>
          </rPr>
          <t>&lt;[[TCDeals] - [TC Property Current Stage (Seq: 1)] - [Unit Mix (Seq: 34)] Net Rentable Sq Ft - Both]&gt;</t>
        </r>
      </text>
    </comment>
    <comment ref="F1049" authorId="0" shapeId="0" xr:uid="{C4A3AC05-A78B-4F05-BD29-B3CF5ACBF47A}">
      <text>
        <r>
          <rPr>
            <b/>
            <sz val="9"/>
            <color indexed="81"/>
            <rFont val="Tahoma"/>
            <family val="2"/>
          </rPr>
          <t>&lt;[[TCDeals] - [TC Property Current Stage (Seq: 1)] - [Unit Mix (Seq: 34)] Num Units - Both]&gt;</t>
        </r>
      </text>
    </comment>
    <comment ref="G1049" authorId="0" shapeId="0" xr:uid="{0B386845-34CB-4D72-9FF7-4B6414358F23}">
      <text>
        <r>
          <rPr>
            <b/>
            <sz val="9"/>
            <color indexed="81"/>
            <rFont val="Tahoma"/>
            <family val="2"/>
          </rPr>
          <t>&lt;[[TCDeals] - [TC Property Current Stage (Seq: 1)] - [Unit Mix (Seq: 34)] Monthly Rent Per Unit - Both]&gt;</t>
        </r>
      </text>
    </comment>
    <comment ref="C1050" authorId="1" shapeId="0" xr:uid="{93CB0B9D-9C39-4766-B687-6647EAB818E9}">
      <text>
        <r>
          <rPr>
            <b/>
            <sz val="9"/>
            <color indexed="81"/>
            <rFont val="Tahoma"/>
            <family val="2"/>
          </rPr>
          <t>&lt;[[TCDeals] - [TC Property Current Stage (Seq: 1)] - [Unit Mix (Seq: 35)] Income Target - Both]&gt;</t>
        </r>
      </text>
    </comment>
    <comment ref="D1050" authorId="0" shapeId="0" xr:uid="{91BE9B95-6AE3-4758-989C-A0B3CA403BD3}">
      <text>
        <r>
          <rPr>
            <b/>
            <sz val="9"/>
            <color indexed="81"/>
            <rFont val="Tahoma"/>
            <family val="2"/>
          </rPr>
          <t>&lt;[[TCDeals] - [TC Property Current Stage (Seq: 1)] - [Unit Mix (Seq: 35)] TC Unit Mix Type - Both]&gt;</t>
        </r>
      </text>
    </comment>
    <comment ref="E1050" authorId="0" shapeId="0" xr:uid="{A6892CCD-C245-4630-A1F5-33028CC5C8E3}">
      <text>
        <r>
          <rPr>
            <b/>
            <sz val="9"/>
            <color indexed="81"/>
            <rFont val="Tahoma"/>
            <family val="2"/>
          </rPr>
          <t>&lt;[[TCDeals] - [TC Property Current Stage (Seq: 1)] - [Unit Mix (Seq: 35)] Net Rentable Sq Ft - Both]&gt;</t>
        </r>
      </text>
    </comment>
    <comment ref="F1050" authorId="0" shapeId="0" xr:uid="{1F940ECE-3D61-4B7A-842A-11330BDA5220}">
      <text>
        <r>
          <rPr>
            <b/>
            <sz val="9"/>
            <color indexed="81"/>
            <rFont val="Tahoma"/>
            <family val="2"/>
          </rPr>
          <t>&lt;[[TCDeals] - [TC Property Current Stage (Seq: 1)] - [Unit Mix (Seq: 35)] Num Units - Both]&gt;</t>
        </r>
      </text>
    </comment>
    <comment ref="G1050" authorId="0" shapeId="0" xr:uid="{8B8A9478-5DD2-400C-8919-5B4137079BE0}">
      <text>
        <r>
          <rPr>
            <b/>
            <sz val="9"/>
            <color indexed="81"/>
            <rFont val="Tahoma"/>
            <family val="2"/>
          </rPr>
          <t>&lt;[[TCDeals] - [TC Property Current Stage (Seq: 1)] - [Unit Mix (Seq: 35)] Monthly Rent Per Unit - Both]&gt;</t>
        </r>
      </text>
    </comment>
    <comment ref="C1051" authorId="1" shapeId="0" xr:uid="{9D40D1FB-4011-4D0F-9EAB-5532C661D96A}">
      <text>
        <r>
          <rPr>
            <b/>
            <sz val="9"/>
            <color indexed="81"/>
            <rFont val="Tahoma"/>
            <family val="2"/>
          </rPr>
          <t>&lt;[[TCDeals] - [TC Property Current Stage (Seq: 1)] - [Unit Mix (Seq: 36)] Income Target - Both]&gt;</t>
        </r>
      </text>
    </comment>
    <comment ref="D1051" authorId="0" shapeId="0" xr:uid="{8361417F-74DD-49D8-A48E-866C39F55F50}">
      <text>
        <r>
          <rPr>
            <b/>
            <sz val="9"/>
            <color indexed="81"/>
            <rFont val="Tahoma"/>
            <family val="2"/>
          </rPr>
          <t>&lt;[[TCDeals] - [TC Property Current Stage (Seq: 1)] - [Unit Mix (Seq: 36)] TC Unit Mix Type - Both]&gt;</t>
        </r>
      </text>
    </comment>
    <comment ref="E1051" authorId="0" shapeId="0" xr:uid="{17048A7C-2016-46C5-BCEA-FF05B3F36977}">
      <text>
        <r>
          <rPr>
            <b/>
            <sz val="9"/>
            <color indexed="81"/>
            <rFont val="Tahoma"/>
            <family val="2"/>
          </rPr>
          <t>&lt;[[TCDeals] - [TC Property Current Stage (Seq: 1)] - [Unit Mix (Seq: 36)] Net Rentable Sq Ft - Both]&gt;</t>
        </r>
      </text>
    </comment>
    <comment ref="F1051" authorId="0" shapeId="0" xr:uid="{94011A03-12E6-4077-9B2C-CA987AAE8E85}">
      <text>
        <r>
          <rPr>
            <b/>
            <sz val="9"/>
            <color indexed="81"/>
            <rFont val="Tahoma"/>
            <family val="2"/>
          </rPr>
          <t>&lt;[[TCDeals] - [TC Property Current Stage (Seq: 1)] - [Unit Mix (Seq: 36)] Num Units - Both]&gt;</t>
        </r>
      </text>
    </comment>
    <comment ref="G1051" authorId="0" shapeId="0" xr:uid="{68F84953-CEB4-4C29-8E77-B8EF431CDB45}">
      <text>
        <r>
          <rPr>
            <b/>
            <sz val="9"/>
            <color indexed="81"/>
            <rFont val="Tahoma"/>
            <family val="2"/>
          </rPr>
          <t>&lt;[[TCDeals] - [TC Property Current Stage (Seq: 1)] - [Unit Mix (Seq: 36)] Monthly Rent Per Unit - Both]&gt;</t>
        </r>
      </text>
    </comment>
    <comment ref="C1052" authorId="1" shapeId="0" xr:uid="{3AAB8785-8CEB-4E4D-92BB-79428536C509}">
      <text>
        <r>
          <rPr>
            <b/>
            <sz val="9"/>
            <color indexed="81"/>
            <rFont val="Tahoma"/>
            <family val="2"/>
          </rPr>
          <t>&lt;[[TCDeals] - [TC Property Current Stage (Seq: 1)] - [Unit Mix (Seq: 37)] Income Target - Both]&gt;</t>
        </r>
      </text>
    </comment>
    <comment ref="D1052" authorId="0" shapeId="0" xr:uid="{4C84DEB7-4438-4ED7-8DE7-3A08DD268C09}">
      <text>
        <r>
          <rPr>
            <b/>
            <sz val="9"/>
            <color indexed="81"/>
            <rFont val="Tahoma"/>
            <family val="2"/>
          </rPr>
          <t>&lt;[[TCDeals] - [TC Property Current Stage (Seq: 1)] - [Unit Mix (Seq: 37)] TC Unit Mix Type - Both]&gt;</t>
        </r>
      </text>
    </comment>
    <comment ref="E1052" authorId="0" shapeId="0" xr:uid="{18F3131D-3C95-42D1-893C-7DEF769A721B}">
      <text>
        <r>
          <rPr>
            <b/>
            <sz val="9"/>
            <color indexed="81"/>
            <rFont val="Tahoma"/>
            <family val="2"/>
          </rPr>
          <t>&lt;[[TCDeals] - [TC Property Current Stage (Seq: 1)] - [Unit Mix (Seq: 37)] Net Rentable Sq Ft - Both]&gt;</t>
        </r>
      </text>
    </comment>
    <comment ref="F1052" authorId="0" shapeId="0" xr:uid="{4AA31C38-70C2-400C-AB9D-159FD70057A9}">
      <text>
        <r>
          <rPr>
            <b/>
            <sz val="9"/>
            <color indexed="81"/>
            <rFont val="Tahoma"/>
            <family val="2"/>
          </rPr>
          <t>&lt;[[TCDeals] - [TC Property Current Stage (Seq: 1)] - [Unit Mix (Seq: 37)] Num Units - Both]&gt;</t>
        </r>
      </text>
    </comment>
    <comment ref="G1052" authorId="0" shapeId="0" xr:uid="{CA7044FE-47A9-4A39-BAA5-FEF2DBAB87F8}">
      <text>
        <r>
          <rPr>
            <b/>
            <sz val="9"/>
            <color indexed="81"/>
            <rFont val="Tahoma"/>
            <family val="2"/>
          </rPr>
          <t>&lt;[[TCDeals] - [TC Property Current Stage (Seq: 1)] - [Unit Mix (Seq: 37)] Monthly Rent Per Unit - Both]&gt;</t>
        </r>
      </text>
    </comment>
    <comment ref="C1053" authorId="1" shapeId="0" xr:uid="{530DAD3D-CE86-4E57-A369-9BD6B7012041}">
      <text>
        <r>
          <rPr>
            <b/>
            <sz val="9"/>
            <color indexed="81"/>
            <rFont val="Tahoma"/>
            <family val="2"/>
          </rPr>
          <t>&lt;[[TCDeals] - [TC Property Current Stage (Seq: 1)] - [Unit Mix (Seq: 38)] Income Target - Both]&gt;</t>
        </r>
      </text>
    </comment>
    <comment ref="D1053" authorId="0" shapeId="0" xr:uid="{E8738C8E-C15F-41D5-9DED-77F4080EA678}">
      <text>
        <r>
          <rPr>
            <b/>
            <sz val="9"/>
            <color indexed="81"/>
            <rFont val="Tahoma"/>
            <family val="2"/>
          </rPr>
          <t>&lt;[[TCDeals] - [TC Property Current Stage (Seq: 1)] - [Unit Mix (Seq: 38)] TC Unit Mix Type - Both]&gt;</t>
        </r>
      </text>
    </comment>
    <comment ref="E1053" authorId="0" shapeId="0" xr:uid="{B0AE58BC-E27D-4619-A086-413109060862}">
      <text>
        <r>
          <rPr>
            <b/>
            <sz val="9"/>
            <color indexed="81"/>
            <rFont val="Tahoma"/>
            <family val="2"/>
          </rPr>
          <t>&lt;[[TCDeals] - [TC Property Current Stage (Seq: 1)] - [Unit Mix (Seq: 38)] Net Rentable Sq Ft - Both]&gt;</t>
        </r>
      </text>
    </comment>
    <comment ref="F1053" authorId="0" shapeId="0" xr:uid="{9B26E713-CEBB-468B-AF56-F198CDD71FF6}">
      <text>
        <r>
          <rPr>
            <b/>
            <sz val="9"/>
            <color indexed="81"/>
            <rFont val="Tahoma"/>
            <family val="2"/>
          </rPr>
          <t>&lt;[[TCDeals] - [TC Property Current Stage (Seq: 1)] - [Unit Mix (Seq: 38)] Num Units - Both]&gt;</t>
        </r>
      </text>
    </comment>
    <comment ref="G1053" authorId="0" shapeId="0" xr:uid="{480ACC55-55B3-4322-9816-F01BC1DE2295}">
      <text>
        <r>
          <rPr>
            <b/>
            <sz val="9"/>
            <color indexed="81"/>
            <rFont val="Tahoma"/>
            <family val="2"/>
          </rPr>
          <t>&lt;[[TCDeals] - [TC Property Current Stage (Seq: 1)] - [Unit Mix (Seq: 38)] Monthly Rent Per Unit - Both]&gt;</t>
        </r>
      </text>
    </comment>
    <comment ref="C1054" authorId="1" shapeId="0" xr:uid="{E4C14A76-AE88-415A-BCCF-FEE0233D2B25}">
      <text>
        <r>
          <rPr>
            <b/>
            <sz val="9"/>
            <color indexed="81"/>
            <rFont val="Tahoma"/>
            <family val="2"/>
          </rPr>
          <t>&lt;[[TCDeals] - [TC Property Current Stage (Seq: 1)] - [Unit Mix (Seq: 39)] Income Target - Both]&gt;</t>
        </r>
      </text>
    </comment>
    <comment ref="D1054" authorId="0" shapeId="0" xr:uid="{5A85B05C-F7C0-45FD-AEAB-DE25BD415F95}">
      <text>
        <r>
          <rPr>
            <b/>
            <sz val="9"/>
            <color indexed="81"/>
            <rFont val="Tahoma"/>
            <family val="2"/>
          </rPr>
          <t>&lt;[[TCDeals] - [TC Property Current Stage (Seq: 1)] - [Unit Mix (Seq: 39)] TC Unit Mix Type - Both]&gt;</t>
        </r>
      </text>
    </comment>
    <comment ref="E1054" authorId="0" shapeId="0" xr:uid="{4B671770-B9BE-4D89-BFCC-869AA6ADB55A}">
      <text>
        <r>
          <rPr>
            <b/>
            <sz val="9"/>
            <color indexed="81"/>
            <rFont val="Tahoma"/>
            <family val="2"/>
          </rPr>
          <t>&lt;[[TCDeals] - [TC Property Current Stage (Seq: 1)] - [Unit Mix (Seq: 39)] Net Rentable Sq Ft - Both]&gt;</t>
        </r>
      </text>
    </comment>
    <comment ref="F1054" authorId="0" shapeId="0" xr:uid="{DEF3B011-8D8C-4D6A-88A1-0F991D423784}">
      <text>
        <r>
          <rPr>
            <b/>
            <sz val="9"/>
            <color indexed="81"/>
            <rFont val="Tahoma"/>
            <family val="2"/>
          </rPr>
          <t>&lt;[[TCDeals] - [TC Property Current Stage (Seq: 1)] - [Unit Mix (Seq: 39)] Num Units - Both]&gt;</t>
        </r>
      </text>
    </comment>
    <comment ref="G1054" authorId="0" shapeId="0" xr:uid="{455A1769-69DA-4C78-B782-C1DAA2130B7A}">
      <text>
        <r>
          <rPr>
            <b/>
            <sz val="9"/>
            <color indexed="81"/>
            <rFont val="Tahoma"/>
            <family val="2"/>
          </rPr>
          <t>&lt;[[TCDeals] - [TC Property Current Stage (Seq: 1)] - [Unit Mix (Seq: 39)] Monthly Rent Per Unit - Both]&gt;</t>
        </r>
      </text>
    </comment>
    <comment ref="C1055" authorId="1" shapeId="0" xr:uid="{FE8F182D-E1A1-4988-8A6C-2C48FF48D9D7}">
      <text>
        <r>
          <rPr>
            <b/>
            <sz val="9"/>
            <color indexed="81"/>
            <rFont val="Tahoma"/>
            <family val="2"/>
          </rPr>
          <t>&lt;[[TCDeals] - [TC Property Current Stage (Seq: 1)] - [Unit Mix (Seq: 40)] Income Target - Both]&gt;</t>
        </r>
      </text>
    </comment>
    <comment ref="D1055" authorId="0" shapeId="0" xr:uid="{AE0E3E1F-882C-41BB-BF37-14BBEB3679B7}">
      <text>
        <r>
          <rPr>
            <b/>
            <sz val="9"/>
            <color indexed="81"/>
            <rFont val="Tahoma"/>
            <family val="2"/>
          </rPr>
          <t>&lt;[[TCDeals] - [TC Property Current Stage (Seq: 1)] - [Unit Mix (Seq: 40)] TC Unit Mix Type - Both]&gt;</t>
        </r>
      </text>
    </comment>
    <comment ref="E1055" authorId="0" shapeId="0" xr:uid="{5B7D2646-5307-4DC7-8035-B8F349A46D9B}">
      <text>
        <r>
          <rPr>
            <b/>
            <sz val="9"/>
            <color indexed="81"/>
            <rFont val="Tahoma"/>
            <family val="2"/>
          </rPr>
          <t>&lt;[[TCDeals] - [TC Property Current Stage (Seq: 1)] - [Unit Mix (Seq: 40)] Net Rentable Sq Ft - Both]&gt;</t>
        </r>
      </text>
    </comment>
    <comment ref="F1055" authorId="0" shapeId="0" xr:uid="{1502399C-2DE2-43A2-9EC4-78579BF349FD}">
      <text>
        <r>
          <rPr>
            <b/>
            <sz val="9"/>
            <color indexed="81"/>
            <rFont val="Tahoma"/>
            <family val="2"/>
          </rPr>
          <t>&lt;[[TCDeals] - [TC Property Current Stage (Seq: 1)] - [Unit Mix (Seq: 40)] Num Units - Both]&gt;</t>
        </r>
      </text>
    </comment>
    <comment ref="G1055" authorId="0" shapeId="0" xr:uid="{53BFEFF4-1ABE-46D2-A5CC-2CAB5D4B17AF}">
      <text>
        <r>
          <rPr>
            <b/>
            <sz val="9"/>
            <color indexed="81"/>
            <rFont val="Tahoma"/>
            <family val="2"/>
          </rPr>
          <t>&lt;[[TCDeals] - [TC Property Current Stage (Seq: 1)] - [Unit Mix (Seq: 40)] Monthly Rent Per Unit - Both]&gt;</t>
        </r>
      </text>
    </comment>
    <comment ref="C1056" authorId="1" shapeId="0" xr:uid="{2040BD15-B3D8-46B8-958A-EBCDD8020559}">
      <text>
        <r>
          <rPr>
            <b/>
            <sz val="9"/>
            <color indexed="81"/>
            <rFont val="Tahoma"/>
            <family val="2"/>
          </rPr>
          <t>&lt;[[TCDeals] - [TC Property Current Stage (Seq: 1)] - [Unit Mix (Seq: 41)] Income Target - Both]&gt;</t>
        </r>
      </text>
    </comment>
    <comment ref="D1056" authorId="0" shapeId="0" xr:uid="{FC8B6585-8FEF-4A3F-8DAF-C1FD40186898}">
      <text>
        <r>
          <rPr>
            <b/>
            <sz val="9"/>
            <color indexed="81"/>
            <rFont val="Tahoma"/>
            <family val="2"/>
          </rPr>
          <t>&lt;[[TCDeals] - [TC Property Current Stage (Seq: 1)] - [Unit Mix (Seq: 41)] TC Unit Mix Type - Both]&gt;</t>
        </r>
      </text>
    </comment>
    <comment ref="E1056" authorId="0" shapeId="0" xr:uid="{55F850B5-6BCF-4A59-AC92-55884C99105B}">
      <text>
        <r>
          <rPr>
            <b/>
            <sz val="9"/>
            <color indexed="81"/>
            <rFont val="Tahoma"/>
            <family val="2"/>
          </rPr>
          <t>&lt;[[TCDeals] - [TC Property Current Stage (Seq: 1)] - [Unit Mix (Seq: 41)] Net Rentable Sq Ft - Both]&gt;</t>
        </r>
      </text>
    </comment>
    <comment ref="F1056" authorId="0" shapeId="0" xr:uid="{DD45D4A3-150F-4D73-922F-232596F754DB}">
      <text>
        <r>
          <rPr>
            <b/>
            <sz val="9"/>
            <color indexed="81"/>
            <rFont val="Tahoma"/>
            <family val="2"/>
          </rPr>
          <t>&lt;[[TCDeals] - [TC Property Current Stage (Seq: 1)] - [Unit Mix (Seq: 41)] Num Units - Both]&gt;</t>
        </r>
      </text>
    </comment>
    <comment ref="G1056" authorId="0" shapeId="0" xr:uid="{590DC624-26CB-49AC-AA76-8483B31367DE}">
      <text>
        <r>
          <rPr>
            <b/>
            <sz val="9"/>
            <color indexed="81"/>
            <rFont val="Tahoma"/>
            <family val="2"/>
          </rPr>
          <t>&lt;[[TCDeals] - [TC Property Current Stage (Seq: 1)] - [Unit Mix (Seq: 41)] Monthly Rent Per Unit - Both]&gt;</t>
        </r>
      </text>
    </comment>
    <comment ref="C1057" authorId="1" shapeId="0" xr:uid="{54E698D8-C762-42FE-B30F-3B15DC0D656A}">
      <text>
        <r>
          <rPr>
            <b/>
            <sz val="9"/>
            <color indexed="81"/>
            <rFont val="Tahoma"/>
            <family val="2"/>
          </rPr>
          <t>&lt;[[TCDeals] - [TC Property Current Stage (Seq: 1)] - [Unit Mix (Seq: 42)] Income Target - Both]&gt;</t>
        </r>
      </text>
    </comment>
    <comment ref="D1057" authorId="0" shapeId="0" xr:uid="{16DC1B16-A5A9-4650-9AF2-A396E1BF15E1}">
      <text>
        <r>
          <rPr>
            <b/>
            <sz val="9"/>
            <color indexed="81"/>
            <rFont val="Tahoma"/>
            <family val="2"/>
          </rPr>
          <t>&lt;[[TCDeals] - [TC Property Current Stage (Seq: 1)] - [Unit Mix (Seq: 42)] TC Unit Mix Type - Both]&gt;</t>
        </r>
      </text>
    </comment>
    <comment ref="E1057" authorId="0" shapeId="0" xr:uid="{A853EB76-7D3F-480A-80A7-C2D5F648624F}">
      <text>
        <r>
          <rPr>
            <b/>
            <sz val="9"/>
            <color indexed="81"/>
            <rFont val="Tahoma"/>
            <family val="2"/>
          </rPr>
          <t>&lt;[[TCDeals] - [TC Property Current Stage (Seq: 1)] - [Unit Mix (Seq: 42)] Net Rentable Sq Ft - Both]&gt;</t>
        </r>
      </text>
    </comment>
    <comment ref="F1057" authorId="0" shapeId="0" xr:uid="{BD8E5EFD-4AE2-45D2-8620-B4F9B0B9F1F6}">
      <text>
        <r>
          <rPr>
            <b/>
            <sz val="9"/>
            <color indexed="81"/>
            <rFont val="Tahoma"/>
            <family val="2"/>
          </rPr>
          <t>&lt;[[TCDeals] - [TC Property Current Stage (Seq: 1)] - [Unit Mix (Seq: 42)] Num Units - Both]&gt;</t>
        </r>
      </text>
    </comment>
    <comment ref="G1057" authorId="0" shapeId="0" xr:uid="{CA80652C-5BBA-40F2-90DE-8B13217CDB1E}">
      <text>
        <r>
          <rPr>
            <b/>
            <sz val="9"/>
            <color indexed="81"/>
            <rFont val="Tahoma"/>
            <family val="2"/>
          </rPr>
          <t>&lt;[[TCDeals] - [TC Property Current Stage (Seq: 1)] - [Unit Mix (Seq: 42)] Monthly Rent Per Unit - Both]&gt;</t>
        </r>
      </text>
    </comment>
    <comment ref="C1058" authorId="1" shapeId="0" xr:uid="{DE25F9F2-4C1C-4564-96A9-AA297789A045}">
      <text>
        <r>
          <rPr>
            <b/>
            <sz val="9"/>
            <color indexed="81"/>
            <rFont val="Tahoma"/>
            <family val="2"/>
          </rPr>
          <t>&lt;[[TCDeals] - [TC Property Current Stage (Seq: 1)] - [Unit Mix (Seq: 43)] Income Target - Both]&gt;</t>
        </r>
      </text>
    </comment>
    <comment ref="D1058" authorId="0" shapeId="0" xr:uid="{BA68D5C9-3C74-4BF0-96C2-3E34A92E34AF}">
      <text>
        <r>
          <rPr>
            <b/>
            <sz val="9"/>
            <color indexed="81"/>
            <rFont val="Tahoma"/>
            <family val="2"/>
          </rPr>
          <t>&lt;[[TCDeals] - [TC Property Current Stage (Seq: 1)] - [Unit Mix (Seq: 43)] TC Unit Mix Type - Both]&gt;</t>
        </r>
      </text>
    </comment>
    <comment ref="E1058" authorId="0" shapeId="0" xr:uid="{64397E18-5428-4995-AE6F-C0D1FF69E373}">
      <text>
        <r>
          <rPr>
            <b/>
            <sz val="9"/>
            <color indexed="81"/>
            <rFont val="Tahoma"/>
            <family val="2"/>
          </rPr>
          <t>&lt;[[TCDeals] - [TC Property Current Stage (Seq: 1)] - [Unit Mix (Seq: 43)] Net Rentable Sq Ft - Both]&gt;</t>
        </r>
      </text>
    </comment>
    <comment ref="F1058" authorId="0" shapeId="0" xr:uid="{E716E4CE-CB18-40C1-B933-FD86D2E78CFC}">
      <text>
        <r>
          <rPr>
            <b/>
            <sz val="9"/>
            <color indexed="81"/>
            <rFont val="Tahoma"/>
            <family val="2"/>
          </rPr>
          <t>&lt;[[TCDeals] - [TC Property Current Stage (Seq: 1)] - [Unit Mix (Seq: 43)] Num Units - Both]&gt;</t>
        </r>
      </text>
    </comment>
    <comment ref="G1058" authorId="0" shapeId="0" xr:uid="{0922EF0A-2006-49F1-ABDA-0145D64548C3}">
      <text>
        <r>
          <rPr>
            <b/>
            <sz val="9"/>
            <color indexed="81"/>
            <rFont val="Tahoma"/>
            <family val="2"/>
          </rPr>
          <t>&lt;[[TCDeals] - [TC Property Current Stage (Seq: 1)] - [Unit Mix (Seq: 43)] Monthly Rent Per Unit - Both]&gt;</t>
        </r>
      </text>
    </comment>
    <comment ref="C1059" authorId="1" shapeId="0" xr:uid="{EEF7E6D0-A29C-46E6-ABE3-C97518B995B6}">
      <text>
        <r>
          <rPr>
            <b/>
            <sz val="9"/>
            <color indexed="81"/>
            <rFont val="Tahoma"/>
            <family val="2"/>
          </rPr>
          <t>&lt;[[TCDeals] - [TC Property Current Stage (Seq: 1)] - [Unit Mix (Seq: 44)] Income Target - Both]&gt;</t>
        </r>
      </text>
    </comment>
    <comment ref="D1059" authorId="0" shapeId="0" xr:uid="{2E5E6B63-89C1-4112-BA67-8C6E8E67ECDA}">
      <text>
        <r>
          <rPr>
            <b/>
            <sz val="9"/>
            <color indexed="81"/>
            <rFont val="Tahoma"/>
            <family val="2"/>
          </rPr>
          <t>&lt;[[TCDeals] - [TC Property Current Stage (Seq: 1)] - [Unit Mix (Seq: 44)] TC Unit Mix Type - Both]&gt;</t>
        </r>
      </text>
    </comment>
    <comment ref="E1059" authorId="0" shapeId="0" xr:uid="{EC5AF364-34F0-437B-B876-4C31E98435CC}">
      <text>
        <r>
          <rPr>
            <b/>
            <sz val="9"/>
            <color indexed="81"/>
            <rFont val="Tahoma"/>
            <family val="2"/>
          </rPr>
          <t>&lt;[[TCDeals] - [TC Property Current Stage (Seq: 1)] - [Unit Mix (Seq: 44)] Net Rentable Sq Ft - Both]&gt;</t>
        </r>
      </text>
    </comment>
    <comment ref="F1059" authorId="0" shapeId="0" xr:uid="{174C8D17-9445-4F90-B576-498CDDC52B63}">
      <text>
        <r>
          <rPr>
            <b/>
            <sz val="9"/>
            <color indexed="81"/>
            <rFont val="Tahoma"/>
            <family val="2"/>
          </rPr>
          <t>&lt;[[TCDeals] - [TC Property Current Stage (Seq: 1)] - [Unit Mix (Seq: 44)] Num Units - Both]&gt;</t>
        </r>
      </text>
    </comment>
    <comment ref="G1059" authorId="0" shapeId="0" xr:uid="{FFA33F83-1F73-47C4-B465-A13E3CE4CA43}">
      <text>
        <r>
          <rPr>
            <b/>
            <sz val="9"/>
            <color indexed="81"/>
            <rFont val="Tahoma"/>
            <family val="2"/>
          </rPr>
          <t>&lt;[[TCDeals] - [TC Property Current Stage (Seq: 1)] - [Unit Mix (Seq: 44)] Monthly Rent Per Unit - Both]&gt;</t>
        </r>
      </text>
    </comment>
    <comment ref="C1060" authorId="1" shapeId="0" xr:uid="{BEA6E9F4-6786-4355-BD1A-2B2733A9CF2D}">
      <text>
        <r>
          <rPr>
            <b/>
            <sz val="9"/>
            <color indexed="81"/>
            <rFont val="Tahoma"/>
            <family val="2"/>
          </rPr>
          <t>&lt;[[TCDeals] - [TC Property Current Stage (Seq: 1)] - [Unit Mix (Seq: 45)] Income Target - Both]&gt;</t>
        </r>
      </text>
    </comment>
    <comment ref="D1060" authorId="0" shapeId="0" xr:uid="{AE64A970-8666-4B95-A0CE-36CEFCABBA5D}">
      <text>
        <r>
          <rPr>
            <b/>
            <sz val="9"/>
            <color indexed="81"/>
            <rFont val="Tahoma"/>
            <family val="2"/>
          </rPr>
          <t>&lt;[[TCDeals] - [TC Property Current Stage (Seq: 1)] - [Unit Mix (Seq: 45)] TC Unit Mix Type - Both]&gt;</t>
        </r>
      </text>
    </comment>
    <comment ref="E1060" authorId="0" shapeId="0" xr:uid="{C29D35FD-013D-41CB-B757-A50AB36667AF}">
      <text>
        <r>
          <rPr>
            <b/>
            <sz val="9"/>
            <color indexed="81"/>
            <rFont val="Tahoma"/>
            <family val="2"/>
          </rPr>
          <t>&lt;[[TCDeals] - [TC Property Current Stage (Seq: 1)] - [Unit Mix (Seq: 45)] Net Rentable Sq Ft - Both]&gt;</t>
        </r>
      </text>
    </comment>
    <comment ref="F1060" authorId="0" shapeId="0" xr:uid="{7756877F-20F0-4F4F-A020-DE0699DF4278}">
      <text>
        <r>
          <rPr>
            <b/>
            <sz val="9"/>
            <color indexed="81"/>
            <rFont val="Tahoma"/>
            <family val="2"/>
          </rPr>
          <t>&lt;[[TCDeals] - [TC Property Current Stage (Seq: 1)] - [Unit Mix (Seq: 45)] Num Units - Both]&gt;</t>
        </r>
      </text>
    </comment>
    <comment ref="G1060" authorId="0" shapeId="0" xr:uid="{8A570CDC-5FD1-400B-9588-ECCA47E67C1E}">
      <text>
        <r>
          <rPr>
            <b/>
            <sz val="9"/>
            <color indexed="81"/>
            <rFont val="Tahoma"/>
            <family val="2"/>
          </rPr>
          <t>&lt;[[TCDeals] - [TC Property Current Stage (Seq: 1)] - [Unit Mix (Seq: 45)] Monthly Rent Per Unit - Both]&gt;</t>
        </r>
      </text>
    </comment>
    <comment ref="C1061" authorId="1" shapeId="0" xr:uid="{C818524F-B7AA-4C37-BF8D-945DFD506FB7}">
      <text>
        <r>
          <rPr>
            <b/>
            <sz val="9"/>
            <color indexed="81"/>
            <rFont val="Tahoma"/>
            <family val="2"/>
          </rPr>
          <t>&lt;[[TCDeals] - [TC Property Current Stage (Seq: 1)] - [Unit Mix (Seq: 46)] Income Target - Both]&gt;</t>
        </r>
      </text>
    </comment>
    <comment ref="D1061" authorId="0" shapeId="0" xr:uid="{FD2D2F51-CE8E-4191-BDBA-B4D515707F8E}">
      <text>
        <r>
          <rPr>
            <b/>
            <sz val="9"/>
            <color indexed="81"/>
            <rFont val="Tahoma"/>
            <family val="2"/>
          </rPr>
          <t>&lt;[[TCDeals] - [TC Property Current Stage (Seq: 1)] - [Unit Mix (Seq: 46)] TC Unit Mix Type - Both]&gt;</t>
        </r>
      </text>
    </comment>
    <comment ref="E1061" authorId="0" shapeId="0" xr:uid="{91ACD112-B4E8-4514-8556-C12B9F6CFE93}">
      <text>
        <r>
          <rPr>
            <b/>
            <sz val="9"/>
            <color indexed="81"/>
            <rFont val="Tahoma"/>
            <family val="2"/>
          </rPr>
          <t>&lt;[[TCDeals] - [TC Property Current Stage (Seq: 1)] - [Unit Mix (Seq: 46)] Net Rentable Sq Ft - Both]&gt;</t>
        </r>
      </text>
    </comment>
    <comment ref="F1061" authorId="0" shapeId="0" xr:uid="{66D028B6-096C-41E6-B886-A1638A09293D}">
      <text>
        <r>
          <rPr>
            <b/>
            <sz val="9"/>
            <color indexed="81"/>
            <rFont val="Tahoma"/>
            <family val="2"/>
          </rPr>
          <t>&lt;[[TCDeals] - [TC Property Current Stage (Seq: 1)] - [Unit Mix (Seq: 46)] Num Units - Both]&gt;</t>
        </r>
      </text>
    </comment>
    <comment ref="G1061" authorId="0" shapeId="0" xr:uid="{C40D0204-A565-4232-A4F4-ADC972D4ADA4}">
      <text>
        <r>
          <rPr>
            <b/>
            <sz val="9"/>
            <color indexed="81"/>
            <rFont val="Tahoma"/>
            <family val="2"/>
          </rPr>
          <t>&lt;[[TCDeals] - [TC Property Current Stage (Seq: 1)] - [Unit Mix (Seq: 46)] Monthly Rent Per Unit - Both]&gt;</t>
        </r>
      </text>
    </comment>
    <comment ref="C1062" authorId="1" shapeId="0" xr:uid="{6AF78F65-D354-4B83-8426-D2292007D4F6}">
      <text>
        <r>
          <rPr>
            <b/>
            <sz val="9"/>
            <color indexed="81"/>
            <rFont val="Tahoma"/>
            <family val="2"/>
          </rPr>
          <t>&lt;[[TCDeals] - [TC Property Current Stage (Seq: 1)] - [Unit Mix (Seq: 47)] Income Target - Both]&gt;</t>
        </r>
      </text>
    </comment>
    <comment ref="D1062" authorId="0" shapeId="0" xr:uid="{E46E4F9F-DB28-47F3-952F-36566ED30121}">
      <text>
        <r>
          <rPr>
            <b/>
            <sz val="9"/>
            <color indexed="81"/>
            <rFont val="Tahoma"/>
            <family val="2"/>
          </rPr>
          <t>&lt;[[TCDeals] - [TC Property Current Stage (Seq: 1)] - [Unit Mix (Seq: 47)] TC Unit Mix Type - Both]&gt;</t>
        </r>
      </text>
    </comment>
    <comment ref="E1062" authorId="0" shapeId="0" xr:uid="{88FDF696-AFCA-4C91-9B66-5C6AD76761AE}">
      <text>
        <r>
          <rPr>
            <b/>
            <sz val="9"/>
            <color indexed="81"/>
            <rFont val="Tahoma"/>
            <family val="2"/>
          </rPr>
          <t>&lt;[[TCDeals] - [TC Property Current Stage (Seq: 1)] - [Unit Mix (Seq: 47)] Net Rentable Sq Ft - Both]&gt;</t>
        </r>
      </text>
    </comment>
    <comment ref="F1062" authorId="0" shapeId="0" xr:uid="{3A00D06B-FCD3-4415-9CF0-FF3DEF5D915B}">
      <text>
        <r>
          <rPr>
            <b/>
            <sz val="9"/>
            <color indexed="81"/>
            <rFont val="Tahoma"/>
            <family val="2"/>
          </rPr>
          <t>&lt;[[TCDeals] - [TC Property Current Stage (Seq: 1)] - [Unit Mix (Seq: 47)] Num Units - Both]&gt;</t>
        </r>
      </text>
    </comment>
    <comment ref="G1062" authorId="0" shapeId="0" xr:uid="{BF53E05A-907A-4218-B335-1CCC7DBF8BFC}">
      <text>
        <r>
          <rPr>
            <b/>
            <sz val="9"/>
            <color indexed="81"/>
            <rFont val="Tahoma"/>
            <family val="2"/>
          </rPr>
          <t>&lt;[[TCDeals] - [TC Property Current Stage (Seq: 1)] - [Unit Mix (Seq: 47)] Monthly Rent Per Unit - Both]&gt;</t>
        </r>
      </text>
    </comment>
    <comment ref="C1063" authorId="1" shapeId="0" xr:uid="{026E315F-C60B-4718-B607-E415B9626B35}">
      <text>
        <r>
          <rPr>
            <b/>
            <sz val="9"/>
            <color indexed="81"/>
            <rFont val="Tahoma"/>
            <family val="2"/>
          </rPr>
          <t>&lt;[[TCDeals] - [TC Property Current Stage (Seq: 1)] - [Unit Mix (Seq: 48)] Income Target - Both]&gt;</t>
        </r>
      </text>
    </comment>
    <comment ref="D1063" authorId="0" shapeId="0" xr:uid="{8DD4CCD5-6401-4608-84CC-E3FEA260CDC1}">
      <text>
        <r>
          <rPr>
            <b/>
            <sz val="9"/>
            <color indexed="81"/>
            <rFont val="Tahoma"/>
            <family val="2"/>
          </rPr>
          <t>&lt;[[TCDeals] - [TC Property Current Stage (Seq: 1)] - [Unit Mix (Seq: 48)] TC Unit Mix Type - Both]&gt;</t>
        </r>
      </text>
    </comment>
    <comment ref="E1063" authorId="0" shapeId="0" xr:uid="{EEBA00B3-D7A4-4874-8880-9B8A5476BCE4}">
      <text>
        <r>
          <rPr>
            <b/>
            <sz val="9"/>
            <color indexed="81"/>
            <rFont val="Tahoma"/>
            <family val="2"/>
          </rPr>
          <t>&lt;[[TCDeals] - [TC Property Current Stage (Seq: 1)] - [Unit Mix (Seq: 48)] Net Rentable Sq Ft - Both]&gt;</t>
        </r>
      </text>
    </comment>
    <comment ref="F1063" authorId="0" shapeId="0" xr:uid="{5BDFF209-EA19-4208-8042-90754A506B9C}">
      <text>
        <r>
          <rPr>
            <b/>
            <sz val="9"/>
            <color indexed="81"/>
            <rFont val="Tahoma"/>
            <family val="2"/>
          </rPr>
          <t>&lt;[[TCDeals] - [TC Property Current Stage (Seq: 1)] - [Unit Mix (Seq: 48)] Num Units - Both]&gt;</t>
        </r>
      </text>
    </comment>
    <comment ref="G1063" authorId="0" shapeId="0" xr:uid="{4BA11899-6AAE-49F5-B8E2-84C3822BD7E1}">
      <text>
        <r>
          <rPr>
            <b/>
            <sz val="9"/>
            <color indexed="81"/>
            <rFont val="Tahoma"/>
            <family val="2"/>
          </rPr>
          <t>&lt;[[TCDeals] - [TC Property Current Stage (Seq: 1)] - [Unit Mix (Seq: 48)] Monthly Rent Per Unit - Both]&gt;</t>
        </r>
      </text>
    </comment>
    <comment ref="C1064" authorId="1" shapeId="0" xr:uid="{E5144B3B-FFD7-4E30-8723-2E0F4304BCA1}">
      <text>
        <r>
          <rPr>
            <b/>
            <sz val="9"/>
            <color indexed="81"/>
            <rFont val="Tahoma"/>
            <family val="2"/>
          </rPr>
          <t>&lt;[[TCDeals] - [TC Property Current Stage (Seq: 1)] - [Unit Mix (Seq: 49)] Income Target - Both]&gt;</t>
        </r>
      </text>
    </comment>
    <comment ref="D1064" authorId="0" shapeId="0" xr:uid="{EC409312-C8E9-4A10-A68C-0B69F4857DD3}">
      <text>
        <r>
          <rPr>
            <b/>
            <sz val="9"/>
            <color indexed="81"/>
            <rFont val="Tahoma"/>
            <family val="2"/>
          </rPr>
          <t>&lt;[[TCDeals] - [TC Property Current Stage (Seq: 1)] - [Unit Mix (Seq: 49)] TC Unit Mix Type - Both]&gt;</t>
        </r>
      </text>
    </comment>
    <comment ref="E1064" authorId="0" shapeId="0" xr:uid="{06BCF75A-41CF-44DE-8E41-19725E829E32}">
      <text>
        <r>
          <rPr>
            <b/>
            <sz val="9"/>
            <color indexed="81"/>
            <rFont val="Tahoma"/>
            <family val="2"/>
          </rPr>
          <t>&lt;[[TCDeals] - [TC Property Current Stage (Seq: 1)] - [Unit Mix (Seq: 49)] Net Rentable Sq Ft - Both]&gt;</t>
        </r>
      </text>
    </comment>
    <comment ref="F1064" authorId="0" shapeId="0" xr:uid="{99763373-7F67-45F7-9A5D-7CF7F4D1F8A8}">
      <text>
        <r>
          <rPr>
            <b/>
            <sz val="9"/>
            <color indexed="81"/>
            <rFont val="Tahoma"/>
            <family val="2"/>
          </rPr>
          <t>&lt;[[TCDeals] - [TC Property Current Stage (Seq: 1)] - [Unit Mix (Seq: 49)] Num Units - Both]&gt;</t>
        </r>
      </text>
    </comment>
    <comment ref="G1064" authorId="0" shapeId="0" xr:uid="{4C9CC6F6-43F8-40D0-8E6F-E0F3AC35DE03}">
      <text>
        <r>
          <rPr>
            <b/>
            <sz val="9"/>
            <color indexed="81"/>
            <rFont val="Tahoma"/>
            <family val="2"/>
          </rPr>
          <t>&lt;[[TCDeals] - [TC Property Current Stage (Seq: 1)] - [Unit Mix (Seq: 49)] Monthly Rent Per Unit - Both]&gt;</t>
        </r>
      </text>
    </comment>
    <comment ref="C1065" authorId="1" shapeId="0" xr:uid="{5132E47B-905D-402B-B7A2-5E9A355BB851}">
      <text>
        <r>
          <rPr>
            <b/>
            <sz val="9"/>
            <color indexed="81"/>
            <rFont val="Tahoma"/>
            <family val="2"/>
          </rPr>
          <t>&lt;[[TCDeals] - [TC Property Current Stage (Seq: 1)] - [Unit Mix (Seq: 50)] Income Target - Both]&gt;</t>
        </r>
      </text>
    </comment>
    <comment ref="D1065" authorId="0" shapeId="0" xr:uid="{BD271E80-09B5-4F05-AE4F-7ED8D05A5D14}">
      <text>
        <r>
          <rPr>
            <b/>
            <sz val="9"/>
            <color indexed="81"/>
            <rFont val="Tahoma"/>
            <family val="2"/>
          </rPr>
          <t>&lt;[[TCDeals] - [TC Property Current Stage (Seq: 1)] - [Unit Mix (Seq: 50)] TC Unit Mix Type - Both]&gt;</t>
        </r>
      </text>
    </comment>
    <comment ref="E1065" authorId="0" shapeId="0" xr:uid="{B13C2132-C60D-4F9C-B400-03816D0FA13C}">
      <text>
        <r>
          <rPr>
            <b/>
            <sz val="9"/>
            <color indexed="81"/>
            <rFont val="Tahoma"/>
            <family val="2"/>
          </rPr>
          <t>&lt;[[TCDeals] - [TC Property Current Stage (Seq: 1)] - [Unit Mix (Seq: 50)] Net Rentable Sq Ft - Both]&gt;</t>
        </r>
      </text>
    </comment>
    <comment ref="F1065" authorId="0" shapeId="0" xr:uid="{49F4756F-DD0C-4879-80A1-EC9B76AD4ADD}">
      <text>
        <r>
          <rPr>
            <b/>
            <sz val="9"/>
            <color indexed="81"/>
            <rFont val="Tahoma"/>
            <family val="2"/>
          </rPr>
          <t>&lt;[[TCDeals] - [TC Property Current Stage (Seq: 1)] - [Unit Mix (Seq: 50)] Num Units - Both]&gt;</t>
        </r>
      </text>
    </comment>
    <comment ref="G1065" authorId="0" shapeId="0" xr:uid="{E07B0E88-9F8C-4837-831E-3A114E54536A}">
      <text>
        <r>
          <rPr>
            <b/>
            <sz val="9"/>
            <color indexed="81"/>
            <rFont val="Tahoma"/>
            <family val="2"/>
          </rPr>
          <t>&lt;[[TCDeals] - [TC Property Current Stage (Seq: 1)] - [Unit Mix (Seq: 50)] Monthly Rent Per Unit - Both]&gt;</t>
        </r>
      </text>
    </comment>
    <comment ref="C1066" authorId="1" shapeId="0" xr:uid="{D838C3EF-DCD0-4E54-81FA-4DC8FC766DEB}">
      <text>
        <r>
          <rPr>
            <b/>
            <sz val="9"/>
            <color indexed="81"/>
            <rFont val="Tahoma"/>
            <family val="2"/>
          </rPr>
          <t>&lt;[[TCDeals] - [TC Property Current Stage (Seq: 1)] - [Unit Mix (Seq: 51)] Income Target - Both]&gt;</t>
        </r>
      </text>
    </comment>
    <comment ref="D1066" authorId="0" shapeId="0" xr:uid="{EDF7BC4D-FB29-46A8-9011-6B7EE1761FA9}">
      <text>
        <r>
          <rPr>
            <b/>
            <sz val="9"/>
            <color indexed="81"/>
            <rFont val="Tahoma"/>
            <family val="2"/>
          </rPr>
          <t>&lt;[[TCDeals] - [TC Property Current Stage (Seq: 1)] - [Unit Mix (Seq: 51)] TC Unit Mix Type - Both]&gt;</t>
        </r>
      </text>
    </comment>
    <comment ref="E1066" authorId="0" shapeId="0" xr:uid="{B19A544E-AC90-47C0-9796-941C0552E5F6}">
      <text>
        <r>
          <rPr>
            <b/>
            <sz val="9"/>
            <color indexed="81"/>
            <rFont val="Tahoma"/>
            <family val="2"/>
          </rPr>
          <t>&lt;[[TCDeals] - [TC Property Current Stage (Seq: 1)] - [Unit Mix (Seq: 51)] Net Rentable Sq Ft - Both]&gt;</t>
        </r>
      </text>
    </comment>
    <comment ref="F1066" authorId="0" shapeId="0" xr:uid="{30AF4BBF-85A1-4B61-8836-20484DCEF797}">
      <text>
        <r>
          <rPr>
            <b/>
            <sz val="9"/>
            <color indexed="81"/>
            <rFont val="Tahoma"/>
            <family val="2"/>
          </rPr>
          <t>&lt;[[TCDeals] - [TC Property Current Stage (Seq: 1)] - [Unit Mix (Seq: 51)] Num Units - Both]&gt;</t>
        </r>
      </text>
    </comment>
    <comment ref="G1066" authorId="0" shapeId="0" xr:uid="{B979C7EF-A29B-48D4-B61E-398A66745CBB}">
      <text>
        <r>
          <rPr>
            <b/>
            <sz val="9"/>
            <color indexed="81"/>
            <rFont val="Tahoma"/>
            <family val="2"/>
          </rPr>
          <t>&lt;[[TCDeals] - [TC Property Current Stage (Seq: 1)] - [Unit Mix (Seq: 51)] Monthly Rent Per Unit - Both]&gt;</t>
        </r>
      </text>
    </comment>
    <comment ref="C1067" authorId="1" shapeId="0" xr:uid="{E4BF9CEB-FB6C-48CF-BE1D-3409DB7ADBC6}">
      <text>
        <r>
          <rPr>
            <b/>
            <sz val="9"/>
            <color indexed="81"/>
            <rFont val="Tahoma"/>
            <family val="2"/>
          </rPr>
          <t>&lt;[[TCDeals] - [TC Property Current Stage (Seq: 1)] - [Unit Mix (Seq: 52)] Income Target - Both]&gt;</t>
        </r>
      </text>
    </comment>
    <comment ref="D1067" authorId="0" shapeId="0" xr:uid="{F27E4CC0-882C-4003-9FE7-001E4703A8F5}">
      <text>
        <r>
          <rPr>
            <b/>
            <sz val="9"/>
            <color indexed="81"/>
            <rFont val="Tahoma"/>
            <family val="2"/>
          </rPr>
          <t>&lt;[[TCDeals] - [TC Property Current Stage (Seq: 1)] - [Unit Mix (Seq: 52)] TC Unit Mix Type - Both]&gt;</t>
        </r>
      </text>
    </comment>
    <comment ref="E1067" authorId="0" shapeId="0" xr:uid="{0F85C81B-A4B8-4F67-8B30-B7CCB363EFDA}">
      <text>
        <r>
          <rPr>
            <b/>
            <sz val="9"/>
            <color indexed="81"/>
            <rFont val="Tahoma"/>
            <family val="2"/>
          </rPr>
          <t>&lt;[[TCDeals] - [TC Property Current Stage (Seq: 1)] - [Unit Mix (Seq: 52)] Net Rentable Sq Ft - Both]&gt;</t>
        </r>
      </text>
    </comment>
    <comment ref="F1067" authorId="0" shapeId="0" xr:uid="{2B38F60B-2FB4-429F-9E8D-C6202C9B57AC}">
      <text>
        <r>
          <rPr>
            <b/>
            <sz val="9"/>
            <color indexed="81"/>
            <rFont val="Tahoma"/>
            <family val="2"/>
          </rPr>
          <t>&lt;[[TCDeals] - [TC Property Current Stage (Seq: 1)] - [Unit Mix (Seq: 52)] Num Units - Both]&gt;</t>
        </r>
      </text>
    </comment>
    <comment ref="G1067" authorId="0" shapeId="0" xr:uid="{F52841E1-20FE-4DD2-B013-56A9E69ACE58}">
      <text>
        <r>
          <rPr>
            <b/>
            <sz val="9"/>
            <color indexed="81"/>
            <rFont val="Tahoma"/>
            <family val="2"/>
          </rPr>
          <t>&lt;[[TCDeals] - [TC Property Current Stage (Seq: 1)] - [Unit Mix (Seq: 52)] Monthly Rent Per Unit - Both]&gt;</t>
        </r>
      </text>
    </comment>
    <comment ref="C1068" authorId="1" shapeId="0" xr:uid="{759BAB33-09CB-461E-99DB-F147A33E01A0}">
      <text>
        <r>
          <rPr>
            <b/>
            <sz val="9"/>
            <color indexed="81"/>
            <rFont val="Tahoma"/>
            <family val="2"/>
          </rPr>
          <t>&lt;[[TCDeals] - [TC Property Current Stage (Seq: 1)] - [Unit Mix (Seq: 53)] Income Target - Both]&gt;</t>
        </r>
      </text>
    </comment>
    <comment ref="D1068" authorId="0" shapeId="0" xr:uid="{18EA2F3A-7B95-47BC-9277-B2B8BFC81454}">
      <text>
        <r>
          <rPr>
            <b/>
            <sz val="9"/>
            <color indexed="81"/>
            <rFont val="Tahoma"/>
            <family val="2"/>
          </rPr>
          <t>&lt;[[TCDeals] - [TC Property Current Stage (Seq: 1)] - [Unit Mix (Seq: 53)] TC Unit Mix Type - Both]&gt;</t>
        </r>
      </text>
    </comment>
    <comment ref="E1068" authorId="0" shapeId="0" xr:uid="{5D15E51D-9F56-4FD3-A4E7-B437CD76DA53}">
      <text>
        <r>
          <rPr>
            <b/>
            <sz val="9"/>
            <color indexed="81"/>
            <rFont val="Tahoma"/>
            <family val="2"/>
          </rPr>
          <t>&lt;[[TCDeals] - [TC Property Current Stage (Seq: 1)] - [Unit Mix (Seq: 53)] Net Rentable Sq Ft - Both]&gt;</t>
        </r>
      </text>
    </comment>
    <comment ref="F1068" authorId="0" shapeId="0" xr:uid="{D318FAD7-E054-4A0E-A122-7663ADFA1A99}">
      <text>
        <r>
          <rPr>
            <b/>
            <sz val="9"/>
            <color indexed="81"/>
            <rFont val="Tahoma"/>
            <family val="2"/>
          </rPr>
          <t>&lt;[[TCDeals] - [TC Property Current Stage (Seq: 1)] - [Unit Mix (Seq: 53)] Num Units - Both]&gt;</t>
        </r>
      </text>
    </comment>
    <comment ref="G1068" authorId="0" shapeId="0" xr:uid="{B52C066D-0984-4969-A50A-009257F9E228}">
      <text>
        <r>
          <rPr>
            <b/>
            <sz val="9"/>
            <color indexed="81"/>
            <rFont val="Tahoma"/>
            <family val="2"/>
          </rPr>
          <t>&lt;[[TCDeals] - [TC Property Current Stage (Seq: 1)] - [Unit Mix (Seq: 53)] Monthly Rent Per Unit - Both]&gt;</t>
        </r>
      </text>
    </comment>
    <comment ref="C1069" authorId="1" shapeId="0" xr:uid="{90BEEBFB-48F7-4EEB-8465-2C8D5961ECF9}">
      <text>
        <r>
          <rPr>
            <b/>
            <sz val="9"/>
            <color indexed="81"/>
            <rFont val="Tahoma"/>
            <family val="2"/>
          </rPr>
          <t>&lt;[[TCDeals] - [TC Property Current Stage (Seq: 1)] - [Unit Mix (Seq: 54)] Income Target - Both]&gt;</t>
        </r>
      </text>
    </comment>
    <comment ref="D1069" authorId="0" shapeId="0" xr:uid="{DAED0060-7218-4530-A60F-A4876B947F1D}">
      <text>
        <r>
          <rPr>
            <b/>
            <sz val="9"/>
            <color indexed="81"/>
            <rFont val="Tahoma"/>
            <family val="2"/>
          </rPr>
          <t>&lt;[[TCDeals] - [TC Property Current Stage (Seq: 1)] - [Unit Mix (Seq: 54)] TC Unit Mix Type - Both]&gt;</t>
        </r>
      </text>
    </comment>
    <comment ref="E1069" authorId="0" shapeId="0" xr:uid="{34600E30-476F-4239-8CC5-036066BBBA06}">
      <text>
        <r>
          <rPr>
            <b/>
            <sz val="9"/>
            <color indexed="81"/>
            <rFont val="Tahoma"/>
            <family val="2"/>
          </rPr>
          <t>&lt;[[TCDeals] - [TC Property Current Stage (Seq: 1)] - [Unit Mix (Seq: 54)] Net Rentable Sq Ft - Both]&gt;</t>
        </r>
      </text>
    </comment>
    <comment ref="F1069" authorId="0" shapeId="0" xr:uid="{0AA1E558-A685-4043-AFD9-18496F0CA876}">
      <text>
        <r>
          <rPr>
            <b/>
            <sz val="9"/>
            <color indexed="81"/>
            <rFont val="Tahoma"/>
            <family val="2"/>
          </rPr>
          <t>&lt;[[TCDeals] - [TC Property Current Stage (Seq: 1)] - [Unit Mix (Seq: 54)] Num Units - Both]&gt;</t>
        </r>
      </text>
    </comment>
    <comment ref="G1069" authorId="0" shapeId="0" xr:uid="{92339CF3-EB9D-4872-A1D7-9FEACF53ABE6}">
      <text>
        <r>
          <rPr>
            <b/>
            <sz val="9"/>
            <color indexed="81"/>
            <rFont val="Tahoma"/>
            <family val="2"/>
          </rPr>
          <t>&lt;[[TCDeals] - [TC Property Current Stage (Seq: 1)] - [Unit Mix (Seq: 54)] Monthly Rent Per Unit - Both]&gt;</t>
        </r>
      </text>
    </comment>
    <comment ref="C1070" authorId="1" shapeId="0" xr:uid="{B3AAC275-4CAE-43E4-B3F7-16DF5717899A}">
      <text>
        <r>
          <rPr>
            <b/>
            <sz val="9"/>
            <color indexed="81"/>
            <rFont val="Tahoma"/>
            <family val="2"/>
          </rPr>
          <t>&lt;[[TCDeals] - [TC Property Current Stage (Seq: 1)] - [Unit Mix (Seq: 55)] Income Target - Both]&gt;</t>
        </r>
      </text>
    </comment>
    <comment ref="D1070" authorId="0" shapeId="0" xr:uid="{082226A4-3007-440C-B432-DEB798B7AFE3}">
      <text>
        <r>
          <rPr>
            <b/>
            <sz val="9"/>
            <color indexed="81"/>
            <rFont val="Tahoma"/>
            <family val="2"/>
          </rPr>
          <t>&lt;[[TCDeals] - [TC Property Current Stage (Seq: 1)] - [Unit Mix (Seq: 55)] TC Unit Mix Type - Both]&gt;</t>
        </r>
      </text>
    </comment>
    <comment ref="E1070" authorId="0" shapeId="0" xr:uid="{C5F12E48-717C-4B95-9120-9F0196CD67A5}">
      <text>
        <r>
          <rPr>
            <b/>
            <sz val="9"/>
            <color indexed="81"/>
            <rFont val="Tahoma"/>
            <family val="2"/>
          </rPr>
          <t>&lt;[[TCDeals] - [TC Property Current Stage (Seq: 1)] - [Unit Mix (Seq: 55)] Net Rentable Sq Ft - Both]&gt;</t>
        </r>
      </text>
    </comment>
    <comment ref="F1070" authorId="0" shapeId="0" xr:uid="{32D53FA7-2A12-40CA-990A-7A7A780DF531}">
      <text>
        <r>
          <rPr>
            <b/>
            <sz val="9"/>
            <color indexed="81"/>
            <rFont val="Tahoma"/>
            <family val="2"/>
          </rPr>
          <t>&lt;[[TCDeals] - [TC Property Current Stage (Seq: 1)] - [Unit Mix (Seq: 55)] Num Units - Both]&gt;</t>
        </r>
      </text>
    </comment>
    <comment ref="G1070" authorId="0" shapeId="0" xr:uid="{47F58B10-3051-4B32-82A0-C6C6610233A8}">
      <text>
        <r>
          <rPr>
            <b/>
            <sz val="9"/>
            <color indexed="81"/>
            <rFont val="Tahoma"/>
            <family val="2"/>
          </rPr>
          <t>&lt;[[TCDeals] - [TC Property Current Stage (Seq: 1)] - [Unit Mix (Seq: 55)] Monthly Rent Per Unit - Both]&gt;</t>
        </r>
      </text>
    </comment>
    <comment ref="C1071" authorId="1" shapeId="0" xr:uid="{4A167F09-C6B4-436E-A831-D7AA8BC0C51F}">
      <text>
        <r>
          <rPr>
            <b/>
            <sz val="9"/>
            <color indexed="81"/>
            <rFont val="Tahoma"/>
            <family val="2"/>
          </rPr>
          <t>&lt;[[TCDeals] - [TC Property Current Stage (Seq: 1)] - [Unit Mix (Seq: 56)] Income Target - Both]&gt;</t>
        </r>
      </text>
    </comment>
    <comment ref="D1071" authorId="0" shapeId="0" xr:uid="{CE8F601E-1879-43EA-860E-F6E4ED7B2611}">
      <text>
        <r>
          <rPr>
            <b/>
            <sz val="9"/>
            <color indexed="81"/>
            <rFont val="Tahoma"/>
            <family val="2"/>
          </rPr>
          <t>&lt;[[TCDeals] - [TC Property Current Stage (Seq: 1)] - [Unit Mix (Seq: 56)] TC Unit Mix Type - Both]&gt;</t>
        </r>
      </text>
    </comment>
    <comment ref="E1071" authorId="0" shapeId="0" xr:uid="{D251B6F9-2937-4258-B8ED-294EA886BCAD}">
      <text>
        <r>
          <rPr>
            <b/>
            <sz val="9"/>
            <color indexed="81"/>
            <rFont val="Tahoma"/>
            <family val="2"/>
          </rPr>
          <t>&lt;[[TCDeals] - [TC Property Current Stage (Seq: 1)] - [Unit Mix (Seq: 56)] Net Rentable Sq Ft - Both]&gt;</t>
        </r>
      </text>
    </comment>
    <comment ref="F1071" authorId="0" shapeId="0" xr:uid="{6AF1C8D7-AA06-4026-8FA9-9C23ABC5A92A}">
      <text>
        <r>
          <rPr>
            <b/>
            <sz val="9"/>
            <color indexed="81"/>
            <rFont val="Tahoma"/>
            <family val="2"/>
          </rPr>
          <t>&lt;[[TCDeals] - [TC Property Current Stage (Seq: 1)] - [Unit Mix (Seq: 56)] Num Units - Both]&gt;</t>
        </r>
      </text>
    </comment>
    <comment ref="G1071" authorId="0" shapeId="0" xr:uid="{34EAAFF9-248F-4481-8CE2-4E482358CA9E}">
      <text>
        <r>
          <rPr>
            <b/>
            <sz val="9"/>
            <color indexed="81"/>
            <rFont val="Tahoma"/>
            <family val="2"/>
          </rPr>
          <t>&lt;[[TCDeals] - [TC Property Current Stage (Seq: 1)] - [Unit Mix (Seq: 56)] Monthly Rent Per Unit - Both]&gt;</t>
        </r>
      </text>
    </comment>
    <comment ref="C1072" authorId="1" shapeId="0" xr:uid="{42AE44C1-5A96-4B21-AEFD-2ED136811902}">
      <text>
        <r>
          <rPr>
            <b/>
            <sz val="9"/>
            <color indexed="81"/>
            <rFont val="Tahoma"/>
            <family val="2"/>
          </rPr>
          <t>&lt;[[TCDeals] - [TC Property Current Stage (Seq: 1)] - [Unit Mix (Seq: 57)] Income Target - Both]&gt;</t>
        </r>
      </text>
    </comment>
    <comment ref="D1072" authorId="0" shapeId="0" xr:uid="{45F49AEE-09A4-4FE4-B9B6-CD8D7612AE58}">
      <text>
        <r>
          <rPr>
            <b/>
            <sz val="9"/>
            <color indexed="81"/>
            <rFont val="Tahoma"/>
            <family val="2"/>
          </rPr>
          <t>&lt;[[TCDeals] - [TC Property Current Stage (Seq: 1)] - [Unit Mix (Seq: 57)] TC Unit Mix Type - Both]&gt;</t>
        </r>
      </text>
    </comment>
    <comment ref="E1072" authorId="0" shapeId="0" xr:uid="{12A176E7-C55C-4555-A83C-73B3967F3F56}">
      <text>
        <r>
          <rPr>
            <b/>
            <sz val="9"/>
            <color indexed="81"/>
            <rFont val="Tahoma"/>
            <family val="2"/>
          </rPr>
          <t>&lt;[[TCDeals] - [TC Property Current Stage (Seq: 1)] - [Unit Mix (Seq: 57)] Net Rentable Sq Ft - Both]&gt;</t>
        </r>
      </text>
    </comment>
    <comment ref="F1072" authorId="0" shapeId="0" xr:uid="{E7FC99B0-3F8C-483D-97F3-54244E2D8B83}">
      <text>
        <r>
          <rPr>
            <b/>
            <sz val="9"/>
            <color indexed="81"/>
            <rFont val="Tahoma"/>
            <family val="2"/>
          </rPr>
          <t>&lt;[[TCDeals] - [TC Property Current Stage (Seq: 1)] - [Unit Mix (Seq: 57)] Num Units - Both]&gt;</t>
        </r>
      </text>
    </comment>
    <comment ref="G1072" authorId="0" shapeId="0" xr:uid="{EA77C23B-FED4-4A17-AF67-0078A83359CB}">
      <text>
        <r>
          <rPr>
            <b/>
            <sz val="9"/>
            <color indexed="81"/>
            <rFont val="Tahoma"/>
            <family val="2"/>
          </rPr>
          <t>&lt;[[TCDeals] - [TC Property Current Stage (Seq: 1)] - [Unit Mix (Seq: 57)] Monthly Rent Per Unit - Both]&gt;</t>
        </r>
      </text>
    </comment>
    <comment ref="C1073" authorId="1" shapeId="0" xr:uid="{A52FD5BC-342A-4062-8D6B-1D8BA2673925}">
      <text>
        <r>
          <rPr>
            <b/>
            <sz val="9"/>
            <color indexed="81"/>
            <rFont val="Tahoma"/>
            <family val="2"/>
          </rPr>
          <t>&lt;[[TCDeals] - [TC Property Current Stage (Seq: 1)] - [Unit Mix (Seq: 58)] Income Target - Both]&gt;</t>
        </r>
      </text>
    </comment>
    <comment ref="D1073" authorId="0" shapeId="0" xr:uid="{10DD97DD-1217-42C1-B93F-D0E13C238D5E}">
      <text>
        <r>
          <rPr>
            <b/>
            <sz val="9"/>
            <color indexed="81"/>
            <rFont val="Tahoma"/>
            <family val="2"/>
          </rPr>
          <t>&lt;[[TCDeals] - [TC Property Current Stage (Seq: 1)] - [Unit Mix (Seq: 58)] TC Unit Mix Type - Both]&gt;</t>
        </r>
      </text>
    </comment>
    <comment ref="E1073" authorId="0" shapeId="0" xr:uid="{5AFA0D08-77AC-4F1A-B8F9-0F02877CBBBA}">
      <text>
        <r>
          <rPr>
            <b/>
            <sz val="9"/>
            <color indexed="81"/>
            <rFont val="Tahoma"/>
            <family val="2"/>
          </rPr>
          <t>&lt;[[TCDeals] - [TC Property Current Stage (Seq: 1)] - [Unit Mix (Seq: 58)] Net Rentable Sq Ft - Both]&gt;</t>
        </r>
      </text>
    </comment>
    <comment ref="F1073" authorId="0" shapeId="0" xr:uid="{F57F8EBF-2FEF-4A8F-8961-F789A88F1233}">
      <text>
        <r>
          <rPr>
            <b/>
            <sz val="9"/>
            <color indexed="81"/>
            <rFont val="Tahoma"/>
            <family val="2"/>
          </rPr>
          <t>&lt;[[TCDeals] - [TC Property Current Stage (Seq: 1)] - [Unit Mix (Seq: 58)] Num Units - Both]&gt;</t>
        </r>
      </text>
    </comment>
    <comment ref="G1073" authorId="0" shapeId="0" xr:uid="{BFC4CC68-E3D1-44FB-B7C4-7F0ED5B96E97}">
      <text>
        <r>
          <rPr>
            <b/>
            <sz val="9"/>
            <color indexed="81"/>
            <rFont val="Tahoma"/>
            <family val="2"/>
          </rPr>
          <t>&lt;[[TCDeals] - [TC Property Current Stage (Seq: 1)] - [Unit Mix (Seq: 58)] Monthly Rent Per Unit - Both]&gt;</t>
        </r>
      </text>
    </comment>
    <comment ref="C1074" authorId="1" shapeId="0" xr:uid="{0AAF414E-386D-40C6-8DCD-55F94B032CF4}">
      <text>
        <r>
          <rPr>
            <b/>
            <sz val="9"/>
            <color indexed="81"/>
            <rFont val="Tahoma"/>
            <family val="2"/>
          </rPr>
          <t>&lt;[[TCDeals] - [TC Property Current Stage (Seq: 1)] - [Unit Mix (Seq: 59)] Income Target - Both]&gt;</t>
        </r>
      </text>
    </comment>
    <comment ref="D1074" authorId="0" shapeId="0" xr:uid="{91CB176E-14DF-4BDB-BC42-D118B955DD32}">
      <text>
        <r>
          <rPr>
            <b/>
            <sz val="9"/>
            <color indexed="81"/>
            <rFont val="Tahoma"/>
            <family val="2"/>
          </rPr>
          <t>&lt;[[TCDeals] - [TC Property Current Stage (Seq: 1)] - [Unit Mix (Seq: 59)] TC Unit Mix Type - Both]&gt;</t>
        </r>
      </text>
    </comment>
    <comment ref="E1074" authorId="0" shapeId="0" xr:uid="{AD22E638-5CB7-4129-9E1E-609194869C74}">
      <text>
        <r>
          <rPr>
            <b/>
            <sz val="9"/>
            <color indexed="81"/>
            <rFont val="Tahoma"/>
            <family val="2"/>
          </rPr>
          <t>&lt;[[TCDeals] - [TC Property Current Stage (Seq: 1)] - [Unit Mix (Seq: 59)] Net Rentable Sq Ft - Both]&gt;</t>
        </r>
      </text>
    </comment>
    <comment ref="F1074" authorId="0" shapeId="0" xr:uid="{C37BAC54-74E5-4AA1-BD96-B8083A0F9A3F}">
      <text>
        <r>
          <rPr>
            <b/>
            <sz val="9"/>
            <color indexed="81"/>
            <rFont val="Tahoma"/>
            <family val="2"/>
          </rPr>
          <t>&lt;[[TCDeals] - [TC Property Current Stage (Seq: 1)] - [Unit Mix (Seq: 59)] Num Units - Both]&gt;</t>
        </r>
      </text>
    </comment>
    <comment ref="G1074" authorId="0" shapeId="0" xr:uid="{AB9277B5-F119-44A4-9CDE-C4A356A20674}">
      <text>
        <r>
          <rPr>
            <b/>
            <sz val="9"/>
            <color indexed="81"/>
            <rFont val="Tahoma"/>
            <family val="2"/>
          </rPr>
          <t>&lt;[[TCDeals] - [TC Property Current Stage (Seq: 1)] - [Unit Mix (Seq: 59)] Monthly Rent Per Unit - Both]&gt;</t>
        </r>
      </text>
    </comment>
    <comment ref="C1075" authorId="1" shapeId="0" xr:uid="{737D1D9B-2495-49C2-B770-1F0E3856CC7C}">
      <text>
        <r>
          <rPr>
            <b/>
            <sz val="9"/>
            <color indexed="81"/>
            <rFont val="Tahoma"/>
            <family val="2"/>
          </rPr>
          <t>&lt;[[TCDeals] - [TC Property Current Stage (Seq: 1)] - [Unit Mix (Seq: 60)] Income Target - Both]&gt;</t>
        </r>
      </text>
    </comment>
    <comment ref="D1075" authorId="0" shapeId="0" xr:uid="{7C0B11EC-68BF-4747-9954-177A0B51D8C1}">
      <text>
        <r>
          <rPr>
            <b/>
            <sz val="9"/>
            <color indexed="81"/>
            <rFont val="Tahoma"/>
            <family val="2"/>
          </rPr>
          <t>&lt;[[TCDeals] - [TC Property Current Stage (Seq: 1)] - [Unit Mix (Seq: 60)] TC Unit Mix Type - Both]&gt;</t>
        </r>
      </text>
    </comment>
    <comment ref="E1075" authorId="0" shapeId="0" xr:uid="{47FEC84C-F754-4E2F-99C2-3A18B2A506AD}">
      <text>
        <r>
          <rPr>
            <b/>
            <sz val="9"/>
            <color indexed="81"/>
            <rFont val="Tahoma"/>
            <family val="2"/>
          </rPr>
          <t>&lt;[[TCDeals] - [TC Property Current Stage (Seq: 1)] - [Unit Mix (Seq: 60)] Net Rentable Sq Ft - Both]&gt;</t>
        </r>
      </text>
    </comment>
    <comment ref="F1075" authorId="0" shapeId="0" xr:uid="{4B39FDF3-9DED-436D-BA40-2690D3FBC41D}">
      <text>
        <r>
          <rPr>
            <b/>
            <sz val="9"/>
            <color indexed="81"/>
            <rFont val="Tahoma"/>
            <family val="2"/>
          </rPr>
          <t>&lt;[[TCDeals] - [TC Property Current Stage (Seq: 1)] - [Unit Mix (Seq: 60)] Num Units - Both]&gt;</t>
        </r>
      </text>
    </comment>
    <comment ref="G1075" authorId="0" shapeId="0" xr:uid="{642EE297-95C4-4937-AA5A-270493568F60}">
      <text>
        <r>
          <rPr>
            <b/>
            <sz val="9"/>
            <color indexed="81"/>
            <rFont val="Tahoma"/>
            <family val="2"/>
          </rPr>
          <t>&lt;[[TCDeals] - [TC Property Current Stage (Seq: 1)] - [Unit Mix (Seq: 60)] Monthly Rent Per Unit - Both]&gt;</t>
        </r>
      </text>
    </comment>
    <comment ref="C1089" authorId="0" shapeId="0" xr:uid="{4BC6A7CB-2BB7-48D4-86A1-BD35D0B39B72}">
      <text>
        <r>
          <rPr>
            <b/>
            <sz val="9"/>
            <color indexed="81"/>
            <rFont val="Tahoma"/>
            <family val="2"/>
          </rPr>
          <t>&lt;[[TCDeals] - [TC Property Current Stage (Seq: 1)] - [Property Points (Seq: 1)] Annual Credit Amount - Both]&gt;</t>
        </r>
      </text>
    </comment>
    <comment ref="C1090" authorId="0" shapeId="0" xr:uid="{6E68F27F-3906-4CD3-BF42-949CAEA49CCA}">
      <text>
        <r>
          <rPr>
            <b/>
            <sz val="9"/>
            <color indexed="81"/>
            <rFont val="Tahoma"/>
            <family val="2"/>
          </rPr>
          <t>&lt;[[TCDeals] - [TC Property Current Stage (Seq: 1)] - [Property Points (Seq: 1)] New Con/Rehab Annual Credit Amount - Both]&gt;</t>
        </r>
      </text>
    </comment>
    <comment ref="C1091" authorId="0" shapeId="0" xr:uid="{B4095901-4B3F-4BE7-AD8E-F6997B851ADD}">
      <text>
        <r>
          <rPr>
            <b/>
            <sz val="9"/>
            <color indexed="81"/>
            <rFont val="Tahoma"/>
            <family val="2"/>
          </rPr>
          <t>&lt;[[TCDeals] - [TC Property Current Stage (Seq: 1)] - [Property Points (Seq: 1)] Acq Total Quaified Basis - Both]&gt;</t>
        </r>
      </text>
    </comment>
    <comment ref="C1092" authorId="0" shapeId="0" xr:uid="{2D22D473-E3B6-497E-A966-FAE23D6182AF}">
      <text>
        <r>
          <rPr>
            <b/>
            <sz val="9"/>
            <color indexed="81"/>
            <rFont val="Tahoma"/>
            <family val="2"/>
          </rPr>
          <t>&lt;[[TCDeals] - [TC Property Current Stage (Seq: 1)] - [Property Points (Seq: 1)] Acq Annual Credit Amount - Both]&gt;</t>
        </r>
      </text>
    </comment>
    <comment ref="C1093" authorId="0" shapeId="0" xr:uid="{CA130773-B16B-462D-966D-57230BB7C714}">
      <text>
        <r>
          <rPr>
            <b/>
            <sz val="9"/>
            <color indexed="81"/>
            <rFont val="Tahoma"/>
            <family val="2"/>
          </rPr>
          <t>&lt;[[TCDeals] - [TC Property Current Stage (Seq: 1)] - [Property Points (Seq: 1)] Optional Field 465 - Both]&gt;</t>
        </r>
      </text>
    </comment>
    <comment ref="C1094" authorId="0" shapeId="0" xr:uid="{1D47A742-B723-4B20-9554-D19F2C9321F3}">
      <text>
        <r>
          <rPr>
            <b/>
            <sz val="9"/>
            <color indexed="81"/>
            <rFont val="Tahoma"/>
            <family val="2"/>
          </rPr>
          <t>&lt;[[TCDeals] - [TC Property Current Stage (Seq: 1)] - [Property Points (Seq: 1)] Optional Field 466 - Both]&gt;</t>
        </r>
      </text>
    </comment>
    <comment ref="C1095" authorId="0" shapeId="0" xr:uid="{E2B6C553-E527-4236-9A88-3FE565B98A65}">
      <text>
        <r>
          <rPr>
            <b/>
            <sz val="9"/>
            <color indexed="81"/>
            <rFont val="Tahoma"/>
            <family val="2"/>
          </rPr>
          <t>&lt;[[TCDeals] - [TC Property Current Stage (Seq: 1)] - [Property Points (Seq: 1)] Optional Field 467 - Both]&gt;</t>
        </r>
      </text>
    </comment>
    <comment ref="C1204" authorId="0" shapeId="0" xr:uid="{53289E36-F342-48CD-B36D-760B292F6EB3}">
      <text>
        <r>
          <rPr>
            <b/>
            <sz val="9"/>
            <color indexed="81"/>
            <rFont val="Tahoma"/>
            <family val="2"/>
          </rPr>
          <t>&lt;[[TCDeals] - [TC Property Current Stage (Seq: 1)] - [Buildings (Seq: 1)] BIN - Both]&gt;</t>
        </r>
      </text>
    </comment>
    <comment ref="D1204" authorId="0" shapeId="0" xr:uid="{2ABA462A-4F96-4D43-A0E6-E8913857BF92}">
      <text>
        <r>
          <rPr>
            <b/>
            <sz val="9"/>
            <color indexed="81"/>
            <rFont val="Tahoma"/>
            <family val="2"/>
          </rPr>
          <t>&lt;[[TCDeals] - [TC Property Current Stage (Seq: 1)] - [Buildings (Seq: 1)] Address 1 - Both]&gt;</t>
        </r>
      </text>
    </comment>
    <comment ref="E1204" authorId="0" shapeId="0" xr:uid="{477F3BD8-0A47-43DF-9E55-F62BAF8796DA}">
      <text>
        <r>
          <rPr>
            <b/>
            <sz val="9"/>
            <color indexed="81"/>
            <rFont val="Tahoma"/>
            <family val="2"/>
          </rPr>
          <t>&lt;[[TCDeals] - [TC Property Current Stage (Seq: 1)] - [Buildings (Seq: 1)] Num TC Units - Both]&gt;</t>
        </r>
      </text>
    </comment>
    <comment ref="F1204" authorId="0" shapeId="0" xr:uid="{3E09065A-C97A-451E-B079-F7C6CE760D6A}">
      <text>
        <r>
          <rPr>
            <b/>
            <sz val="9"/>
            <color indexed="81"/>
            <rFont val="Tahoma"/>
            <family val="2"/>
          </rPr>
          <t>&lt;[[TCDeals] - [TC Property Current Stage (Seq: 1)] - [Buildings (Seq: 1)] PVC PIS Date - Both]&gt;</t>
        </r>
      </text>
    </comment>
    <comment ref="G1204" authorId="0" shapeId="0" xr:uid="{B2BD0B74-EC78-4A96-8302-C1DB3F4819B6}">
      <text>
        <r>
          <rPr>
            <b/>
            <sz val="9"/>
            <color indexed="81"/>
            <rFont val="Tahoma"/>
            <family val="2"/>
          </rPr>
          <t>&lt;[[TCDeals] - [TC Property Current Stage (Seq: 1)] - [Buildings (Seq: 1)] PVC Applicable Percentage - Both]&gt;</t>
        </r>
      </text>
    </comment>
    <comment ref="H1204" authorId="0" shapeId="0" xr:uid="{E1D2EBF5-D7E6-4647-B93B-82E13435972D}">
      <text>
        <r>
          <rPr>
            <b/>
            <sz val="9"/>
            <color indexed="81"/>
            <rFont val="Tahoma"/>
            <family val="2"/>
          </rPr>
          <t>&lt;[[TCDeals] - [TC Property Current Stage (Seq: 1)] - [Buildings (Seq: 1)] PVC Est Qual Basis - Both]&gt;</t>
        </r>
      </text>
    </comment>
    <comment ref="I1204" authorId="0" shapeId="0" xr:uid="{3EA4C465-3D03-4242-926C-FC183700A1F5}">
      <text>
        <r>
          <rPr>
            <b/>
            <sz val="9"/>
            <color indexed="81"/>
            <rFont val="Tahoma"/>
            <family val="2"/>
          </rPr>
          <t>&lt;[[TCDeals] - [TC Property Current Stage (Seq: 1)] - [Buildings (Seq: 1)] PVC8609 Basis - Both]&gt;</t>
        </r>
      </text>
    </comment>
    <comment ref="J1204" authorId="0" shapeId="0" xr:uid="{8E36187E-0840-459E-945F-3F8864AFE9B7}">
      <text>
        <r>
          <rPr>
            <b/>
            <sz val="9"/>
            <color indexed="81"/>
            <rFont val="Tahoma"/>
            <family val="2"/>
          </rPr>
          <t>&lt;[[TCDeals] - [TC Property Current Stage (Seq: 1)] - [Buildings (Seq: 1)] PVC8609 Credit - Both]&gt;</t>
        </r>
      </text>
    </comment>
    <comment ref="K1204" authorId="0" shapeId="0" xr:uid="{BEA942B5-16B2-45B4-A00F-AEE43E7FF9CC}">
      <text>
        <r>
          <rPr>
            <b/>
            <sz val="9"/>
            <color indexed="81"/>
            <rFont val="Tahoma"/>
            <family val="2"/>
          </rPr>
          <t>&lt;[[TCDeals] - [TC Property Current Stage (Seq: 1)] - [Buildings (Seq: 1)] Constr PIS Date - Both]&gt;</t>
        </r>
      </text>
    </comment>
    <comment ref="L1204" authorId="0" shapeId="0" xr:uid="{BE949012-B418-4F9F-B249-6D7942C969E7}">
      <text>
        <r>
          <rPr>
            <b/>
            <sz val="9"/>
            <color indexed="81"/>
            <rFont val="Tahoma"/>
            <family val="2"/>
          </rPr>
          <t>&lt;[[TCDeals] - [TC Property Current Stage (Seq: 1)] - [Buildings (Seq: 1)] Constr Applicable Percentage - Both]&gt;</t>
        </r>
      </text>
    </comment>
    <comment ref="M1204" authorId="0" shapeId="0" xr:uid="{B3474222-DB58-4670-87AE-AB9AA4987E91}">
      <text>
        <r>
          <rPr>
            <b/>
            <sz val="9"/>
            <color indexed="81"/>
            <rFont val="Tahoma"/>
            <family val="2"/>
          </rPr>
          <t>&lt;[[TCDeals] - [TC Property Current Stage (Seq: 1)] - [Buildings (Seq: 1)] Constr Est Qual Basis - Both]&gt;</t>
        </r>
      </text>
    </comment>
    <comment ref="N1204" authorId="0" shapeId="0" xr:uid="{07CBC026-DB5B-400C-BE38-0D4F05C99043}">
      <text>
        <r>
          <rPr>
            <b/>
            <sz val="9"/>
            <color indexed="81"/>
            <rFont val="Tahoma"/>
            <family val="2"/>
          </rPr>
          <t>&lt;[[TCDeals] - [TC Property Current Stage (Seq: 1)] - [Buildings (Seq: 1)] Constr 8609 Basis - Both]&gt;</t>
        </r>
      </text>
    </comment>
    <comment ref="O1204" authorId="0" shapeId="0" xr:uid="{FBA3B975-DADA-4BC0-8C6A-DB491147ED27}">
      <text>
        <r>
          <rPr>
            <b/>
            <sz val="9"/>
            <color indexed="81"/>
            <rFont val="Tahoma"/>
            <family val="2"/>
          </rPr>
          <t>&lt;[[TCDeals] - [TC Property Current Stage (Seq: 1)] - [Buildings (Seq: 1)] Constr 8609 Credit - Both]&gt;</t>
        </r>
      </text>
    </comment>
    <comment ref="P1204" authorId="0" shapeId="0" xr:uid="{B30FE97E-CA4B-44BF-808B-0EED71247865}">
      <text>
        <r>
          <rPr>
            <b/>
            <sz val="9"/>
            <color indexed="81"/>
            <rFont val="Tahoma"/>
            <family val="2"/>
          </rPr>
          <t>&lt;[[TCDeals] - [TC Property Current Stage (Seq: 1)] - [Buildings (Seq: 1)] Acq PIS Date - Both]&gt;</t>
        </r>
      </text>
    </comment>
    <comment ref="Q1204" authorId="0" shapeId="0" xr:uid="{372DFFF9-B8DB-4874-987C-23C94BDCC1A2}">
      <text>
        <r>
          <rPr>
            <b/>
            <sz val="9"/>
            <color indexed="81"/>
            <rFont val="Tahoma"/>
            <family val="2"/>
          </rPr>
          <t>&lt;[[TCDeals] - [TC Property Current Stage (Seq: 1)] - [Buildings (Seq: 1)] Acq Applicable Percentage - Both]&gt;</t>
        </r>
      </text>
    </comment>
    <comment ref="R1204" authorId="0" shapeId="0" xr:uid="{5908EB88-8769-40C4-AE35-14AB91ACE05D}">
      <text>
        <r>
          <rPr>
            <b/>
            <sz val="9"/>
            <color indexed="81"/>
            <rFont val="Tahoma"/>
            <family val="2"/>
          </rPr>
          <t>&lt;[[TCDeals] - [TC Property Current Stage (Seq: 1)] - [Buildings (Seq: 1)] Acq Est Qual Basis - Both]&gt;</t>
        </r>
      </text>
    </comment>
    <comment ref="S1204" authorId="0" shapeId="0" xr:uid="{6677448A-A386-4F5A-9E80-A1FC8B6955D1}">
      <text>
        <r>
          <rPr>
            <b/>
            <sz val="9"/>
            <color indexed="81"/>
            <rFont val="Tahoma"/>
            <family val="2"/>
          </rPr>
          <t>&lt;[[TCDeals] - [TC Property Current Stage (Seq: 1)] - [Buildings (Seq: 1)] Acq 8609 Basis - Both]&gt;</t>
        </r>
      </text>
    </comment>
    <comment ref="T1204" authorId="0" shapeId="0" xr:uid="{5D73C502-56DD-4A3A-86AF-A37569836366}">
      <text>
        <r>
          <rPr>
            <b/>
            <sz val="9"/>
            <color indexed="81"/>
            <rFont val="Tahoma"/>
            <family val="2"/>
          </rPr>
          <t>&lt;[[TCDeals] - [TC Property Current Stage (Seq: 1)] - [Buildings (Seq: 1)] Acq 8609 Credit - Both]&gt;</t>
        </r>
      </text>
    </comment>
    <comment ref="C1205" authorId="0" shapeId="0" xr:uid="{09FD0FD7-B26C-47E5-B123-5EBD2C8AE7DB}">
      <text>
        <r>
          <rPr>
            <b/>
            <sz val="9"/>
            <color indexed="81"/>
            <rFont val="Tahoma"/>
            <family val="2"/>
          </rPr>
          <t>&lt;[[TCDeals] - [TC Property Current Stage (Seq: 1)] - [Buildings (Seq: 2)] BIN - Both]&gt;</t>
        </r>
      </text>
    </comment>
    <comment ref="D1205" authorId="0" shapeId="0" xr:uid="{A355DCEE-0E51-43FF-B140-604230962701}">
      <text>
        <r>
          <rPr>
            <b/>
            <sz val="9"/>
            <color indexed="81"/>
            <rFont val="Tahoma"/>
            <family val="2"/>
          </rPr>
          <t>&lt;[[TCDeals] - [TC Property Current Stage (Seq: 1)] - [Buildings (Seq: 2)] Address 1 - Both]&gt;</t>
        </r>
      </text>
    </comment>
    <comment ref="E1205" authorId="0" shapeId="0" xr:uid="{2719AD26-B466-4F7D-BC70-DDDBE6BF85DD}">
      <text>
        <r>
          <rPr>
            <b/>
            <sz val="9"/>
            <color indexed="81"/>
            <rFont val="Tahoma"/>
            <family val="2"/>
          </rPr>
          <t>&lt;[[TCDeals] - [TC Property Current Stage (Seq: 1)] - [Buildings (Seq: 2)] Num TC Units - Both]&gt;</t>
        </r>
      </text>
    </comment>
    <comment ref="F1205" authorId="0" shapeId="0" xr:uid="{A232AB4A-E530-4683-9C29-9ED286559A0A}">
      <text>
        <r>
          <rPr>
            <b/>
            <sz val="9"/>
            <color indexed="81"/>
            <rFont val="Tahoma"/>
            <family val="2"/>
          </rPr>
          <t>&lt;[[TCDeals] - [TC Property Current Stage (Seq: 1)] - [Buildings (Seq: 2)] PVC PIS Date - Both]&gt;</t>
        </r>
      </text>
    </comment>
    <comment ref="G1205" authorId="0" shapeId="0" xr:uid="{9E250857-173F-4E6D-9B7A-94E8A28D66F3}">
      <text>
        <r>
          <rPr>
            <b/>
            <sz val="9"/>
            <color indexed="81"/>
            <rFont val="Tahoma"/>
            <family val="2"/>
          </rPr>
          <t>&lt;[[TCDeals] - [TC Property Current Stage (Seq: 1)] - [Buildings (Seq: 2)] PVC Applicable Percentage - Both]&gt;</t>
        </r>
      </text>
    </comment>
    <comment ref="H1205" authorId="0" shapeId="0" xr:uid="{267AD542-214A-45B6-9CC1-79E843E24EEA}">
      <text>
        <r>
          <rPr>
            <b/>
            <sz val="9"/>
            <color indexed="81"/>
            <rFont val="Tahoma"/>
            <family val="2"/>
          </rPr>
          <t>&lt;[[TCDeals] - [TC Property Current Stage (Seq: 1)] - [Buildings (Seq: 2)] PVC Est Qual Basis - Both]&gt;</t>
        </r>
      </text>
    </comment>
    <comment ref="I1205" authorId="0" shapeId="0" xr:uid="{65786346-7B0B-4394-8B86-ECC72F244D4A}">
      <text>
        <r>
          <rPr>
            <b/>
            <sz val="9"/>
            <color indexed="81"/>
            <rFont val="Tahoma"/>
            <family val="2"/>
          </rPr>
          <t>&lt;[[TCDeals] - [TC Property Current Stage (Seq: 1)] - [Buildings (Seq: 2)] PVC8609 Basis - Both]&gt;</t>
        </r>
      </text>
    </comment>
    <comment ref="J1205" authorId="0" shapeId="0" xr:uid="{9A9E7028-1500-4BC8-8F23-2F1232C77C41}">
      <text>
        <r>
          <rPr>
            <b/>
            <sz val="9"/>
            <color indexed="81"/>
            <rFont val="Tahoma"/>
            <family val="2"/>
          </rPr>
          <t>&lt;[[TCDeals] - [TC Property Current Stage (Seq: 1)] - [Buildings (Seq: 2)] PVC8609 Credit - Both]&gt;</t>
        </r>
      </text>
    </comment>
    <comment ref="K1205" authorId="0" shapeId="0" xr:uid="{92795CD9-8832-4424-9442-E54C4791B432}">
      <text>
        <r>
          <rPr>
            <b/>
            <sz val="9"/>
            <color indexed="81"/>
            <rFont val="Tahoma"/>
            <family val="2"/>
          </rPr>
          <t>&lt;[[TCDeals] - [TC Property Current Stage (Seq: 1)] - [Buildings (Seq: 2)] Constr PIS Date - Both]&gt;</t>
        </r>
      </text>
    </comment>
    <comment ref="L1205" authorId="0" shapeId="0" xr:uid="{4810D24C-6C43-4D36-ABDA-D8A9B39F21F8}">
      <text>
        <r>
          <rPr>
            <b/>
            <sz val="9"/>
            <color indexed="81"/>
            <rFont val="Tahoma"/>
            <family val="2"/>
          </rPr>
          <t>&lt;[[TCDeals] - [TC Property Current Stage (Seq: 1)] - [Buildings (Seq: 2)] Constr Applicable Percentage - Both]&gt;</t>
        </r>
      </text>
    </comment>
    <comment ref="M1205" authorId="0" shapeId="0" xr:uid="{DEA1BACD-DDF9-4B00-AC91-358625F76DA0}">
      <text>
        <r>
          <rPr>
            <b/>
            <sz val="9"/>
            <color indexed="81"/>
            <rFont val="Tahoma"/>
            <family val="2"/>
          </rPr>
          <t>&lt;[[TCDeals] - [TC Property Current Stage (Seq: 1)] - [Buildings (Seq: 2)] Constr Est Qual Basis - Both]&gt;</t>
        </r>
      </text>
    </comment>
    <comment ref="N1205" authorId="0" shapeId="0" xr:uid="{98575030-15F1-44C5-9197-890486DB4E42}">
      <text>
        <r>
          <rPr>
            <b/>
            <sz val="9"/>
            <color indexed="81"/>
            <rFont val="Tahoma"/>
            <family val="2"/>
          </rPr>
          <t>&lt;[[TCDeals] - [TC Property Current Stage (Seq: 1)] - [Buildings (Seq: 2)] Constr 8609 Basis - Both]&gt;</t>
        </r>
      </text>
    </comment>
    <comment ref="O1205" authorId="0" shapeId="0" xr:uid="{38AC0BF7-0EB5-4BA1-9D96-3FD69A2FC861}">
      <text>
        <r>
          <rPr>
            <b/>
            <sz val="9"/>
            <color indexed="81"/>
            <rFont val="Tahoma"/>
            <family val="2"/>
          </rPr>
          <t>&lt;[[TCDeals] - [TC Property Current Stage (Seq: 1)] - [Buildings (Seq: 2)] Constr 8609 Credit - Both]&gt;</t>
        </r>
      </text>
    </comment>
    <comment ref="P1205" authorId="0" shapeId="0" xr:uid="{15B44BF4-BD30-4F4B-93DC-EB0B6A60D8F2}">
      <text>
        <r>
          <rPr>
            <b/>
            <sz val="9"/>
            <color indexed="81"/>
            <rFont val="Tahoma"/>
            <family val="2"/>
          </rPr>
          <t>&lt;[[TCDeals] - [TC Property Current Stage (Seq: 1)] - [Buildings (Seq: 2)] Acq PIS Date - Both]&gt;</t>
        </r>
      </text>
    </comment>
    <comment ref="Q1205" authorId="0" shapeId="0" xr:uid="{CB2EC0A4-74E1-411A-9DCE-F690716D3D77}">
      <text>
        <r>
          <rPr>
            <b/>
            <sz val="9"/>
            <color indexed="81"/>
            <rFont val="Tahoma"/>
            <family val="2"/>
          </rPr>
          <t>&lt;[[TCDeals] - [TC Property Current Stage (Seq: 1)] - [Buildings (Seq: 2)] Acq Applicable Percentage - Both]&gt;</t>
        </r>
      </text>
    </comment>
    <comment ref="R1205" authorId="0" shapeId="0" xr:uid="{5AAF9471-D4EC-4587-B16F-FD1705456433}">
      <text>
        <r>
          <rPr>
            <b/>
            <sz val="9"/>
            <color indexed="81"/>
            <rFont val="Tahoma"/>
            <family val="2"/>
          </rPr>
          <t>&lt;[[TCDeals] - [TC Property Current Stage (Seq: 1)] - [Buildings (Seq: 2)] Acq Est Qual Basis - Both]&gt;</t>
        </r>
      </text>
    </comment>
    <comment ref="S1205" authorId="0" shapeId="0" xr:uid="{6E80B972-E36D-4BD1-BCAB-0561EE7D2B63}">
      <text>
        <r>
          <rPr>
            <b/>
            <sz val="9"/>
            <color indexed="81"/>
            <rFont val="Tahoma"/>
            <family val="2"/>
          </rPr>
          <t>&lt;[[TCDeals] - [TC Property Current Stage (Seq: 1)] - [Buildings (Seq: 2)] Acq 8609 Basis - Both]&gt;</t>
        </r>
      </text>
    </comment>
    <comment ref="T1205" authorId="0" shapeId="0" xr:uid="{1F4DA537-9272-4B28-9DD9-0F361934BFBA}">
      <text>
        <r>
          <rPr>
            <b/>
            <sz val="9"/>
            <color indexed="81"/>
            <rFont val="Tahoma"/>
            <family val="2"/>
          </rPr>
          <t>&lt;[[TCDeals] - [TC Property Current Stage (Seq: 1)] - [Buildings (Seq: 2)] Acq 8609 Credit - Both]&gt;</t>
        </r>
      </text>
    </comment>
    <comment ref="C1206" authorId="0" shapeId="0" xr:uid="{FFD558EB-E036-4EFD-AAC4-3BB182B46D17}">
      <text>
        <r>
          <rPr>
            <b/>
            <sz val="9"/>
            <color indexed="81"/>
            <rFont val="Tahoma"/>
            <family val="2"/>
          </rPr>
          <t>&lt;[[TCDeals] - [TC Property Current Stage (Seq: 1)] - [Buildings (Seq: 3)] BIN - Both]&gt;</t>
        </r>
      </text>
    </comment>
    <comment ref="D1206" authorId="0" shapeId="0" xr:uid="{E78CDB1B-A25C-40DF-ACAA-93EE1708AEF9}">
      <text>
        <r>
          <rPr>
            <b/>
            <sz val="9"/>
            <color indexed="81"/>
            <rFont val="Tahoma"/>
            <family val="2"/>
          </rPr>
          <t>&lt;[[TCDeals] - [TC Property Current Stage (Seq: 1)] - [Buildings (Seq: 3)] Address 1 - Both]&gt;</t>
        </r>
      </text>
    </comment>
    <comment ref="E1206" authorId="0" shapeId="0" xr:uid="{17831272-0002-44E8-9A64-6152A889BB92}">
      <text>
        <r>
          <rPr>
            <b/>
            <sz val="9"/>
            <color indexed="81"/>
            <rFont val="Tahoma"/>
            <family val="2"/>
          </rPr>
          <t>&lt;[[TCDeals] - [TC Property Current Stage (Seq: 1)] - [Buildings (Seq: 3)] Num TC Units - Both]&gt;</t>
        </r>
      </text>
    </comment>
    <comment ref="F1206" authorId="0" shapeId="0" xr:uid="{747EA259-7CAE-4162-A2FA-7FB1B7AC7809}">
      <text>
        <r>
          <rPr>
            <b/>
            <sz val="9"/>
            <color indexed="81"/>
            <rFont val="Tahoma"/>
            <family val="2"/>
          </rPr>
          <t>&lt;[[TCDeals] - [TC Property Current Stage (Seq: 1)] - [Buildings (Seq: 3)] PVC PIS Date - Both]&gt;</t>
        </r>
      </text>
    </comment>
    <comment ref="G1206" authorId="0" shapeId="0" xr:uid="{74A7CC02-21D7-4DAB-85B0-DE9CD0D9328E}">
      <text>
        <r>
          <rPr>
            <b/>
            <sz val="9"/>
            <color indexed="81"/>
            <rFont val="Tahoma"/>
            <family val="2"/>
          </rPr>
          <t>&lt;[[TCDeals] - [TC Property Current Stage (Seq: 1)] - [Buildings (Seq: 3)] PVC Applicable Percentage - Both]&gt;</t>
        </r>
      </text>
    </comment>
    <comment ref="H1206" authorId="0" shapeId="0" xr:uid="{576A767C-0B09-4D38-AF90-BAE8D9C7F5BC}">
      <text>
        <r>
          <rPr>
            <b/>
            <sz val="9"/>
            <color indexed="81"/>
            <rFont val="Tahoma"/>
            <family val="2"/>
          </rPr>
          <t>&lt;[[TCDeals] - [TC Property Current Stage (Seq: 1)] - [Buildings (Seq: 3)] PVC Est Qual Basis - Both]&gt;</t>
        </r>
      </text>
    </comment>
    <comment ref="I1206" authorId="0" shapeId="0" xr:uid="{16F8E7FB-A79C-402B-A753-436C100110EF}">
      <text>
        <r>
          <rPr>
            <b/>
            <sz val="9"/>
            <color indexed="81"/>
            <rFont val="Tahoma"/>
            <family val="2"/>
          </rPr>
          <t>&lt;[[TCDeals] - [TC Property Current Stage (Seq: 1)] - [Buildings (Seq: 3)] PVC8609 Basis - Both]&gt;</t>
        </r>
      </text>
    </comment>
    <comment ref="J1206" authorId="0" shapeId="0" xr:uid="{CC227F69-B4F1-4F08-9B43-F92DA6C5EE6E}">
      <text>
        <r>
          <rPr>
            <b/>
            <sz val="9"/>
            <color indexed="81"/>
            <rFont val="Tahoma"/>
            <family val="2"/>
          </rPr>
          <t>&lt;[[TCDeals] - [TC Property Current Stage (Seq: 1)] - [Buildings (Seq: 3)] PVC8609 Credit - Both]&gt;</t>
        </r>
      </text>
    </comment>
    <comment ref="K1206" authorId="0" shapeId="0" xr:uid="{63D771B3-CF4F-49DB-8E73-F1772B5222EA}">
      <text>
        <r>
          <rPr>
            <b/>
            <sz val="9"/>
            <color indexed="81"/>
            <rFont val="Tahoma"/>
            <family val="2"/>
          </rPr>
          <t>&lt;[[TCDeals] - [TC Property Current Stage (Seq: 1)] - [Buildings (Seq: 3)] Constr PIS Date - Both]&gt;</t>
        </r>
      </text>
    </comment>
    <comment ref="L1206" authorId="0" shapeId="0" xr:uid="{4E8EF88B-3280-4941-8969-4618FA8F821F}">
      <text>
        <r>
          <rPr>
            <b/>
            <sz val="9"/>
            <color indexed="81"/>
            <rFont val="Tahoma"/>
            <family val="2"/>
          </rPr>
          <t>&lt;[[TCDeals] - [TC Property Current Stage (Seq: 1)] - [Buildings (Seq: 3)] Constr Applicable Percentage - Both]&gt;</t>
        </r>
      </text>
    </comment>
    <comment ref="M1206" authorId="0" shapeId="0" xr:uid="{1526D467-0778-4520-8870-4453FA1DE1DA}">
      <text>
        <r>
          <rPr>
            <b/>
            <sz val="9"/>
            <color indexed="81"/>
            <rFont val="Tahoma"/>
            <family val="2"/>
          </rPr>
          <t>&lt;[[TCDeals] - [TC Property Current Stage (Seq: 1)] - [Buildings (Seq: 3)] Constr Est Qual Basis - Both]&gt;</t>
        </r>
      </text>
    </comment>
    <comment ref="N1206" authorId="0" shapeId="0" xr:uid="{C2DA466C-D8B5-4F77-9C8B-FF1DA84875FC}">
      <text>
        <r>
          <rPr>
            <b/>
            <sz val="9"/>
            <color indexed="81"/>
            <rFont val="Tahoma"/>
            <family val="2"/>
          </rPr>
          <t>&lt;[[TCDeals] - [TC Property Current Stage (Seq: 1)] - [Buildings (Seq: 3)] Constr 8609 Basis - Both]&gt;</t>
        </r>
      </text>
    </comment>
    <comment ref="O1206" authorId="0" shapeId="0" xr:uid="{BA629FCD-EC97-47D0-A192-35D44803BB04}">
      <text>
        <r>
          <rPr>
            <b/>
            <sz val="9"/>
            <color indexed="81"/>
            <rFont val="Tahoma"/>
            <family val="2"/>
          </rPr>
          <t>&lt;[[TCDeals] - [TC Property Current Stage (Seq: 1)] - [Buildings (Seq: 3)] Constr 8609 Credit - Both]&gt;</t>
        </r>
      </text>
    </comment>
    <comment ref="P1206" authorId="0" shapeId="0" xr:uid="{334159AB-DC09-4D19-B81C-E7FC65BB02CF}">
      <text>
        <r>
          <rPr>
            <b/>
            <sz val="9"/>
            <color indexed="81"/>
            <rFont val="Tahoma"/>
            <family val="2"/>
          </rPr>
          <t>&lt;[[TCDeals] - [TC Property Current Stage (Seq: 1)] - [Buildings (Seq: 3)] Acq PIS Date - Both]&gt;</t>
        </r>
      </text>
    </comment>
    <comment ref="Q1206" authorId="0" shapeId="0" xr:uid="{D13414FD-96DA-46B3-909C-667774A37926}">
      <text>
        <r>
          <rPr>
            <b/>
            <sz val="9"/>
            <color indexed="81"/>
            <rFont val="Tahoma"/>
            <family val="2"/>
          </rPr>
          <t>&lt;[[TCDeals] - [TC Property Current Stage (Seq: 1)] - [Buildings (Seq: 3)] Acq Applicable Percentage - Both]&gt;</t>
        </r>
      </text>
    </comment>
    <comment ref="R1206" authorId="0" shapeId="0" xr:uid="{29C519C5-6FC3-41EF-95CE-BA8D2DF8CCAB}">
      <text>
        <r>
          <rPr>
            <b/>
            <sz val="9"/>
            <color indexed="81"/>
            <rFont val="Tahoma"/>
            <family val="2"/>
          </rPr>
          <t>&lt;[[TCDeals] - [TC Property Current Stage (Seq: 1)] - [Buildings (Seq: 3)] Acq Est Qual Basis - Both]&gt;</t>
        </r>
      </text>
    </comment>
    <comment ref="S1206" authorId="0" shapeId="0" xr:uid="{DA6A0D33-C79C-4E1C-A6A6-90ABB27192C0}">
      <text>
        <r>
          <rPr>
            <b/>
            <sz val="9"/>
            <color indexed="81"/>
            <rFont val="Tahoma"/>
            <family val="2"/>
          </rPr>
          <t>&lt;[[TCDeals] - [TC Property Current Stage (Seq: 1)] - [Buildings (Seq: 3)] Acq 8609 Basis - Both]&gt;</t>
        </r>
      </text>
    </comment>
    <comment ref="T1206" authorId="0" shapeId="0" xr:uid="{ED062226-9683-4913-AEC8-3CEA1024E536}">
      <text>
        <r>
          <rPr>
            <b/>
            <sz val="9"/>
            <color indexed="81"/>
            <rFont val="Tahoma"/>
            <family val="2"/>
          </rPr>
          <t>&lt;[[TCDeals] - [TC Property Current Stage (Seq: 1)] - [Buildings (Seq: 3)] Acq 8609 Credit - Both]&gt;</t>
        </r>
      </text>
    </comment>
    <comment ref="C1207" authorId="0" shapeId="0" xr:uid="{DC703961-C898-48E9-8781-0DCA22AEADF1}">
      <text>
        <r>
          <rPr>
            <b/>
            <sz val="9"/>
            <color indexed="81"/>
            <rFont val="Tahoma"/>
            <family val="2"/>
          </rPr>
          <t>&lt;[[TCDeals] - [TC Property Current Stage (Seq: 1)] - [Buildings (Seq: 4)] BIN - Both]&gt;</t>
        </r>
      </text>
    </comment>
    <comment ref="D1207" authorId="0" shapeId="0" xr:uid="{664CB0DE-359F-40D6-9604-57D06D08F4EA}">
      <text>
        <r>
          <rPr>
            <b/>
            <sz val="9"/>
            <color indexed="81"/>
            <rFont val="Tahoma"/>
            <family val="2"/>
          </rPr>
          <t>&lt;[[TCDeals] - [TC Property Current Stage (Seq: 1)] - [Buildings (Seq: 4)] Address 1 - Both]&gt;</t>
        </r>
      </text>
    </comment>
    <comment ref="E1207" authorId="0" shapeId="0" xr:uid="{219C0786-7880-429C-B0DE-AF5D4BA82CFB}">
      <text>
        <r>
          <rPr>
            <b/>
            <sz val="9"/>
            <color indexed="81"/>
            <rFont val="Tahoma"/>
            <family val="2"/>
          </rPr>
          <t>&lt;[[TCDeals] - [TC Property Current Stage (Seq: 1)] - [Buildings (Seq: 4)] Num TC Units - Both]&gt;</t>
        </r>
      </text>
    </comment>
    <comment ref="F1207" authorId="0" shapeId="0" xr:uid="{03814A8C-18E6-4DAC-BA4A-FE35C7A05B8E}">
      <text>
        <r>
          <rPr>
            <b/>
            <sz val="9"/>
            <color indexed="81"/>
            <rFont val="Tahoma"/>
            <family val="2"/>
          </rPr>
          <t>&lt;[[TCDeals] - [TC Property Current Stage (Seq: 1)] - [Buildings (Seq: 4)] PVC PIS Date - Both]&gt;</t>
        </r>
      </text>
    </comment>
    <comment ref="G1207" authorId="0" shapeId="0" xr:uid="{9BA1189B-4AA2-4EB4-9E84-3AED6A2EDBFF}">
      <text>
        <r>
          <rPr>
            <b/>
            <sz val="9"/>
            <color indexed="81"/>
            <rFont val="Tahoma"/>
            <family val="2"/>
          </rPr>
          <t>&lt;[[TCDeals] - [TC Property Current Stage (Seq: 1)] - [Buildings (Seq: 4)] PVC Applicable Percentage - Both]&gt;</t>
        </r>
      </text>
    </comment>
    <comment ref="H1207" authorId="0" shapeId="0" xr:uid="{4BBEFCD0-F4B8-4B05-A8A9-0C077D3AAA02}">
      <text>
        <r>
          <rPr>
            <b/>
            <sz val="9"/>
            <color indexed="81"/>
            <rFont val="Tahoma"/>
            <family val="2"/>
          </rPr>
          <t>&lt;[[TCDeals] - [TC Property Current Stage (Seq: 1)] - [Buildings (Seq: 4)] PVC Est Qual Basis - Both]&gt;</t>
        </r>
      </text>
    </comment>
    <comment ref="I1207" authorId="0" shapeId="0" xr:uid="{0794DCD5-173F-4E73-AE0C-484581AD74F5}">
      <text>
        <r>
          <rPr>
            <b/>
            <sz val="9"/>
            <color indexed="81"/>
            <rFont val="Tahoma"/>
            <family val="2"/>
          </rPr>
          <t>&lt;[[TCDeals] - [TC Property Current Stage (Seq: 1)] - [Buildings (Seq: 4)] PVC8609 Basis - Both]&gt;</t>
        </r>
      </text>
    </comment>
    <comment ref="J1207" authorId="0" shapeId="0" xr:uid="{0C2F6957-2FA1-40F0-B573-CEA2AE993885}">
      <text>
        <r>
          <rPr>
            <b/>
            <sz val="9"/>
            <color indexed="81"/>
            <rFont val="Tahoma"/>
            <family val="2"/>
          </rPr>
          <t>&lt;[[TCDeals] - [TC Property Current Stage (Seq: 1)] - [Buildings (Seq: 4)] PVC8609 Credit - Both]&gt;</t>
        </r>
      </text>
    </comment>
    <comment ref="K1207" authorId="0" shapeId="0" xr:uid="{F158CA07-497F-46B9-8A44-A733F5B6E308}">
      <text>
        <r>
          <rPr>
            <b/>
            <sz val="9"/>
            <color indexed="81"/>
            <rFont val="Tahoma"/>
            <family val="2"/>
          </rPr>
          <t>&lt;[[TCDeals] - [TC Property Current Stage (Seq: 1)] - [Buildings (Seq: 4)] Constr PIS Date - Both]&gt;</t>
        </r>
      </text>
    </comment>
    <comment ref="L1207" authorId="0" shapeId="0" xr:uid="{3EF6FCB0-E786-4D59-9B9E-FB1966FBAD88}">
      <text>
        <r>
          <rPr>
            <b/>
            <sz val="9"/>
            <color indexed="81"/>
            <rFont val="Tahoma"/>
            <family val="2"/>
          </rPr>
          <t>&lt;[[TCDeals] - [TC Property Current Stage (Seq: 1)] - [Buildings (Seq: 4)] Constr Applicable Percentage - Both]&gt;</t>
        </r>
      </text>
    </comment>
    <comment ref="M1207" authorId="0" shapeId="0" xr:uid="{1EC7AF51-107F-4F72-89A8-49496AD2B260}">
      <text>
        <r>
          <rPr>
            <b/>
            <sz val="9"/>
            <color indexed="81"/>
            <rFont val="Tahoma"/>
            <family val="2"/>
          </rPr>
          <t>&lt;[[TCDeals] - [TC Property Current Stage (Seq: 1)] - [Buildings (Seq: 4)] Constr Est Qual Basis - Both]&gt;</t>
        </r>
      </text>
    </comment>
    <comment ref="N1207" authorId="0" shapeId="0" xr:uid="{ED983F6C-F324-41C0-8894-F6C478550D76}">
      <text>
        <r>
          <rPr>
            <b/>
            <sz val="9"/>
            <color indexed="81"/>
            <rFont val="Tahoma"/>
            <family val="2"/>
          </rPr>
          <t>&lt;[[TCDeals] - [TC Property Current Stage (Seq: 1)] - [Buildings (Seq: 4)] Constr 8609 Basis - Both]&gt;</t>
        </r>
      </text>
    </comment>
    <comment ref="O1207" authorId="0" shapeId="0" xr:uid="{2742D035-8504-43F2-B972-80A44D363529}">
      <text>
        <r>
          <rPr>
            <b/>
            <sz val="9"/>
            <color indexed="81"/>
            <rFont val="Tahoma"/>
            <family val="2"/>
          </rPr>
          <t>&lt;[[TCDeals] - [TC Property Current Stage (Seq: 1)] - [Buildings (Seq: 4)] Constr 8609 Credit - Both]&gt;</t>
        </r>
      </text>
    </comment>
    <comment ref="P1207" authorId="0" shapeId="0" xr:uid="{0B1E47E1-9FD1-4A7B-9ADF-C29F52BDAA2B}">
      <text>
        <r>
          <rPr>
            <b/>
            <sz val="9"/>
            <color indexed="81"/>
            <rFont val="Tahoma"/>
            <family val="2"/>
          </rPr>
          <t>&lt;[[TCDeals] - [TC Property Current Stage (Seq: 1)] - [Buildings (Seq: 4)] Acq PIS Date - Both]&gt;</t>
        </r>
      </text>
    </comment>
    <comment ref="Q1207" authorId="0" shapeId="0" xr:uid="{7227F310-DDD9-47E2-A2A4-2C5546E52981}">
      <text>
        <r>
          <rPr>
            <b/>
            <sz val="9"/>
            <color indexed="81"/>
            <rFont val="Tahoma"/>
            <family val="2"/>
          </rPr>
          <t>&lt;[[TCDeals] - [TC Property Current Stage (Seq: 1)] - [Buildings (Seq: 4)] Acq Applicable Percentage - Both]&gt;</t>
        </r>
      </text>
    </comment>
    <comment ref="R1207" authorId="0" shapeId="0" xr:uid="{FD83E607-C883-453C-9C91-6325F3DDD6C6}">
      <text>
        <r>
          <rPr>
            <b/>
            <sz val="9"/>
            <color indexed="81"/>
            <rFont val="Tahoma"/>
            <family val="2"/>
          </rPr>
          <t>&lt;[[TCDeals] - [TC Property Current Stage (Seq: 1)] - [Buildings (Seq: 4)] Acq Est Qual Basis - Both]&gt;</t>
        </r>
      </text>
    </comment>
    <comment ref="S1207" authorId="0" shapeId="0" xr:uid="{06BB1361-F566-4A2F-A385-EDD39512BB03}">
      <text>
        <r>
          <rPr>
            <b/>
            <sz val="9"/>
            <color indexed="81"/>
            <rFont val="Tahoma"/>
            <family val="2"/>
          </rPr>
          <t>&lt;[[TCDeals] - [TC Property Current Stage (Seq: 1)] - [Buildings (Seq: 4)] Acq 8609 Basis - Both]&gt;</t>
        </r>
      </text>
    </comment>
    <comment ref="T1207" authorId="0" shapeId="0" xr:uid="{13565E48-F449-440C-841C-7054E1278D46}">
      <text>
        <r>
          <rPr>
            <b/>
            <sz val="9"/>
            <color indexed="81"/>
            <rFont val="Tahoma"/>
            <family val="2"/>
          </rPr>
          <t>&lt;[[TCDeals] - [TC Property Current Stage (Seq: 1)] - [Buildings (Seq: 4)] Acq 8609 Credit - Both]&gt;</t>
        </r>
      </text>
    </comment>
    <comment ref="C1208" authorId="0" shapeId="0" xr:uid="{69170862-2791-4196-91CA-01E14F12FA92}">
      <text>
        <r>
          <rPr>
            <b/>
            <sz val="9"/>
            <color indexed="81"/>
            <rFont val="Tahoma"/>
            <family val="2"/>
          </rPr>
          <t>&lt;[[TCDeals] - [TC Property Current Stage (Seq: 1)] - [Buildings (Seq: 5)] BIN - Both]&gt;</t>
        </r>
      </text>
    </comment>
    <comment ref="D1208" authorId="0" shapeId="0" xr:uid="{5CA233C3-C20D-4C97-BC88-5B37F14DDA92}">
      <text>
        <r>
          <rPr>
            <b/>
            <sz val="9"/>
            <color indexed="81"/>
            <rFont val="Tahoma"/>
            <family val="2"/>
          </rPr>
          <t>&lt;[[TCDeals] - [TC Property Current Stage (Seq: 1)] - [Buildings (Seq: 5)] Address 1 - Both]&gt;</t>
        </r>
      </text>
    </comment>
    <comment ref="E1208" authorId="0" shapeId="0" xr:uid="{D8F57DD9-66B4-4816-8637-5581DF3FDBF6}">
      <text>
        <r>
          <rPr>
            <b/>
            <sz val="9"/>
            <color indexed="81"/>
            <rFont val="Tahoma"/>
            <family val="2"/>
          </rPr>
          <t>&lt;[[TCDeals] - [TC Property Current Stage (Seq: 1)] - [Buildings (Seq: 5)] Num TC Units - Both]&gt;</t>
        </r>
      </text>
    </comment>
    <comment ref="F1208" authorId="0" shapeId="0" xr:uid="{72BFE7BB-0EC3-4C43-BFAD-B11C61EB3E2E}">
      <text>
        <r>
          <rPr>
            <b/>
            <sz val="9"/>
            <color indexed="81"/>
            <rFont val="Tahoma"/>
            <family val="2"/>
          </rPr>
          <t>&lt;[[TCDeals] - [TC Property Current Stage (Seq: 1)] - [Buildings (Seq: 5)] PVC PIS Date - Both]&gt;</t>
        </r>
      </text>
    </comment>
    <comment ref="G1208" authorId="0" shapeId="0" xr:uid="{534609FF-B71C-4A5B-99A6-8DAA6078CA02}">
      <text>
        <r>
          <rPr>
            <b/>
            <sz val="9"/>
            <color indexed="81"/>
            <rFont val="Tahoma"/>
            <family val="2"/>
          </rPr>
          <t>&lt;[[TCDeals] - [TC Property Current Stage (Seq: 1)] - [Buildings (Seq: 5)] PVC Applicable Percentage - Both]&gt;</t>
        </r>
      </text>
    </comment>
    <comment ref="H1208" authorId="0" shapeId="0" xr:uid="{A519A491-658C-43AD-B993-7CF863A94CFE}">
      <text>
        <r>
          <rPr>
            <b/>
            <sz val="9"/>
            <color indexed="81"/>
            <rFont val="Tahoma"/>
            <family val="2"/>
          </rPr>
          <t>&lt;[[TCDeals] - [TC Property Current Stage (Seq: 1)] - [Buildings (Seq: 5)] PVC Est Qual Basis - Both]&gt;</t>
        </r>
      </text>
    </comment>
    <comment ref="I1208" authorId="0" shapeId="0" xr:uid="{F1824F8F-D45F-452D-857D-2076F169243F}">
      <text>
        <r>
          <rPr>
            <b/>
            <sz val="9"/>
            <color indexed="81"/>
            <rFont val="Tahoma"/>
            <family val="2"/>
          </rPr>
          <t>&lt;[[TCDeals] - [TC Property Current Stage (Seq: 1)] - [Buildings (Seq: 5)] PVC8609 Basis - Both]&gt;</t>
        </r>
      </text>
    </comment>
    <comment ref="J1208" authorId="0" shapeId="0" xr:uid="{FA9E40A6-F857-4867-B5D4-FA7C8A692B03}">
      <text>
        <r>
          <rPr>
            <b/>
            <sz val="9"/>
            <color indexed="81"/>
            <rFont val="Tahoma"/>
            <family val="2"/>
          </rPr>
          <t>&lt;[[TCDeals] - [TC Property Current Stage (Seq: 1)] - [Buildings (Seq: 5)] PVC8609 Credit - Both]&gt;</t>
        </r>
      </text>
    </comment>
    <comment ref="K1208" authorId="0" shapeId="0" xr:uid="{4F1D9D6F-956C-4209-852C-42FF5CB992E8}">
      <text>
        <r>
          <rPr>
            <b/>
            <sz val="9"/>
            <color indexed="81"/>
            <rFont val="Tahoma"/>
            <family val="2"/>
          </rPr>
          <t>&lt;[[TCDeals] - [TC Property Current Stage (Seq: 1)] - [Buildings (Seq: 5)] Constr PIS Date - Both]&gt;</t>
        </r>
      </text>
    </comment>
    <comment ref="L1208" authorId="0" shapeId="0" xr:uid="{C3696C2C-3739-4CDC-A892-5CA3AFB9C109}">
      <text>
        <r>
          <rPr>
            <b/>
            <sz val="9"/>
            <color indexed="81"/>
            <rFont val="Tahoma"/>
            <family val="2"/>
          </rPr>
          <t>&lt;[[TCDeals] - [TC Property Current Stage (Seq: 1)] - [Buildings (Seq: 5)] Constr Applicable Percentage - Both]&gt;</t>
        </r>
      </text>
    </comment>
    <comment ref="M1208" authorId="0" shapeId="0" xr:uid="{AC9EBBEA-8226-4EC0-BF10-F7BC3E9624BB}">
      <text>
        <r>
          <rPr>
            <b/>
            <sz val="9"/>
            <color indexed="81"/>
            <rFont val="Tahoma"/>
            <family val="2"/>
          </rPr>
          <t>&lt;[[TCDeals] - [TC Property Current Stage (Seq: 1)] - [Buildings (Seq: 5)] Constr Est Qual Basis - Both]&gt;</t>
        </r>
      </text>
    </comment>
    <comment ref="N1208" authorId="0" shapeId="0" xr:uid="{4AD338B3-7832-4803-B535-A5F43EC04F33}">
      <text>
        <r>
          <rPr>
            <b/>
            <sz val="9"/>
            <color indexed="81"/>
            <rFont val="Tahoma"/>
            <family val="2"/>
          </rPr>
          <t>&lt;[[TCDeals] - [TC Property Current Stage (Seq: 1)] - [Buildings (Seq: 5)] Constr 8609 Basis - Both]&gt;</t>
        </r>
      </text>
    </comment>
    <comment ref="O1208" authorId="0" shapeId="0" xr:uid="{2BB50D12-86A0-47C6-8421-1F72A27D978C}">
      <text>
        <r>
          <rPr>
            <b/>
            <sz val="9"/>
            <color indexed="81"/>
            <rFont val="Tahoma"/>
            <family val="2"/>
          </rPr>
          <t>&lt;[[TCDeals] - [TC Property Current Stage (Seq: 1)] - [Buildings (Seq: 5)] Constr 8609 Credit - Both]&gt;</t>
        </r>
      </text>
    </comment>
    <comment ref="P1208" authorId="0" shapeId="0" xr:uid="{4FA301C9-F84D-4D45-BBB9-07F74D120E95}">
      <text>
        <r>
          <rPr>
            <b/>
            <sz val="9"/>
            <color indexed="81"/>
            <rFont val="Tahoma"/>
            <family val="2"/>
          </rPr>
          <t>&lt;[[TCDeals] - [TC Property Current Stage (Seq: 1)] - [Buildings (Seq: 5)] Acq PIS Date - Both]&gt;</t>
        </r>
      </text>
    </comment>
    <comment ref="Q1208" authorId="0" shapeId="0" xr:uid="{14BDF2EA-B934-4D3C-A904-E48EA877FFAD}">
      <text>
        <r>
          <rPr>
            <b/>
            <sz val="9"/>
            <color indexed="81"/>
            <rFont val="Tahoma"/>
            <family val="2"/>
          </rPr>
          <t>&lt;[[TCDeals] - [TC Property Current Stage (Seq: 1)] - [Buildings (Seq: 5)] Acq Applicable Percentage - Both]&gt;</t>
        </r>
      </text>
    </comment>
    <comment ref="R1208" authorId="0" shapeId="0" xr:uid="{D3EC7560-FC41-4849-AD2D-ECBCD4E276C5}">
      <text>
        <r>
          <rPr>
            <b/>
            <sz val="9"/>
            <color indexed="81"/>
            <rFont val="Tahoma"/>
            <family val="2"/>
          </rPr>
          <t>&lt;[[TCDeals] - [TC Property Current Stage (Seq: 1)] - [Buildings (Seq: 5)] Acq Est Qual Basis - Both]&gt;</t>
        </r>
      </text>
    </comment>
    <comment ref="S1208" authorId="0" shapeId="0" xr:uid="{424C4A7B-1AD0-4094-942A-78B98B3901D4}">
      <text>
        <r>
          <rPr>
            <b/>
            <sz val="9"/>
            <color indexed="81"/>
            <rFont val="Tahoma"/>
            <family val="2"/>
          </rPr>
          <t>&lt;[[TCDeals] - [TC Property Current Stage (Seq: 1)] - [Buildings (Seq: 5)] Acq 8609 Basis - Both]&gt;</t>
        </r>
      </text>
    </comment>
    <comment ref="T1208" authorId="0" shapeId="0" xr:uid="{527DFE4F-5AE1-4DE9-8EBA-A7C4FE1F09D5}">
      <text>
        <r>
          <rPr>
            <b/>
            <sz val="9"/>
            <color indexed="81"/>
            <rFont val="Tahoma"/>
            <family val="2"/>
          </rPr>
          <t>&lt;[[TCDeals] - [TC Property Current Stage (Seq: 1)] - [Buildings (Seq: 5)] Acq 8609 Credit - Both]&gt;</t>
        </r>
      </text>
    </comment>
    <comment ref="C1209" authorId="0" shapeId="0" xr:uid="{D3167E36-2C4E-4728-B4E8-3FF41EEFC5DF}">
      <text>
        <r>
          <rPr>
            <b/>
            <sz val="9"/>
            <color indexed="81"/>
            <rFont val="Tahoma"/>
            <family val="2"/>
          </rPr>
          <t>&lt;[[TCDeals] - [TC Property Current Stage (Seq: 1)] - [Buildings (Seq: 6)] BIN - Both]&gt;</t>
        </r>
      </text>
    </comment>
    <comment ref="D1209" authorId="0" shapeId="0" xr:uid="{72F64212-DDB4-4895-A06C-D0E0DF5F8777}">
      <text>
        <r>
          <rPr>
            <b/>
            <sz val="9"/>
            <color indexed="81"/>
            <rFont val="Tahoma"/>
            <family val="2"/>
          </rPr>
          <t>&lt;[[TCDeals] - [TC Property Current Stage (Seq: 1)] - [Buildings (Seq: 6)] Address 1 - Both]&gt;</t>
        </r>
      </text>
    </comment>
    <comment ref="E1209" authorId="0" shapeId="0" xr:uid="{6B3933D1-9A3D-451C-8B8A-E6685E2FA493}">
      <text>
        <r>
          <rPr>
            <b/>
            <sz val="9"/>
            <color indexed="81"/>
            <rFont val="Tahoma"/>
            <family val="2"/>
          </rPr>
          <t>&lt;[[TCDeals] - [TC Property Current Stage (Seq: 1)] - [Buildings (Seq: 6)] Num TC Units - Both]&gt;</t>
        </r>
      </text>
    </comment>
    <comment ref="F1209" authorId="0" shapeId="0" xr:uid="{B183FFEF-F66B-4A70-8730-3A36B1EC9041}">
      <text>
        <r>
          <rPr>
            <b/>
            <sz val="9"/>
            <color indexed="81"/>
            <rFont val="Tahoma"/>
            <family val="2"/>
          </rPr>
          <t>&lt;[[TCDeals] - [TC Property Current Stage (Seq: 1)] - [Buildings (Seq: 6)] PVC PIS Date - Both]&gt;</t>
        </r>
      </text>
    </comment>
    <comment ref="G1209" authorId="0" shapeId="0" xr:uid="{4062BBA6-FC6C-4ADD-B321-97DD3DB08104}">
      <text>
        <r>
          <rPr>
            <b/>
            <sz val="9"/>
            <color indexed="81"/>
            <rFont val="Tahoma"/>
            <family val="2"/>
          </rPr>
          <t>&lt;[[TCDeals] - [TC Property Current Stage (Seq: 1)] - [Buildings (Seq: 6)] PVC Applicable Percentage - Both]&gt;</t>
        </r>
      </text>
    </comment>
    <comment ref="H1209" authorId="0" shapeId="0" xr:uid="{6726ADD5-1DFD-4FCC-A8A0-4BEBED1A8A1A}">
      <text>
        <r>
          <rPr>
            <b/>
            <sz val="9"/>
            <color indexed="81"/>
            <rFont val="Tahoma"/>
            <family val="2"/>
          </rPr>
          <t>&lt;[[TCDeals] - [TC Property Current Stage (Seq: 1)] - [Buildings (Seq: 6)] PVC Est Qual Basis - Both]&gt;</t>
        </r>
      </text>
    </comment>
    <comment ref="I1209" authorId="0" shapeId="0" xr:uid="{CB8FE619-9FE9-4DBD-BF6B-5A341B15CBD5}">
      <text>
        <r>
          <rPr>
            <b/>
            <sz val="9"/>
            <color indexed="81"/>
            <rFont val="Tahoma"/>
            <family val="2"/>
          </rPr>
          <t>&lt;[[TCDeals] - [TC Property Current Stage (Seq: 1)] - [Buildings (Seq: 6)] PVC8609 Basis - Both]&gt;</t>
        </r>
      </text>
    </comment>
    <comment ref="J1209" authorId="0" shapeId="0" xr:uid="{F9F54E76-25D7-4B4E-84E0-6FFD9946741E}">
      <text>
        <r>
          <rPr>
            <b/>
            <sz val="9"/>
            <color indexed="81"/>
            <rFont val="Tahoma"/>
            <family val="2"/>
          </rPr>
          <t>&lt;[[TCDeals] - [TC Property Current Stage (Seq: 1)] - [Buildings (Seq: 6)] PVC8609 Credit - Both]&gt;</t>
        </r>
      </text>
    </comment>
    <comment ref="K1209" authorId="0" shapeId="0" xr:uid="{2281CD75-DBDF-4B88-B9AA-9A7A1C3C0795}">
      <text>
        <r>
          <rPr>
            <b/>
            <sz val="9"/>
            <color indexed="81"/>
            <rFont val="Tahoma"/>
            <family val="2"/>
          </rPr>
          <t>&lt;[[TCDeals] - [TC Property Current Stage (Seq: 1)] - [Buildings (Seq: 6)] Constr PIS Date - Both]&gt;</t>
        </r>
      </text>
    </comment>
    <comment ref="L1209" authorId="0" shapeId="0" xr:uid="{33DD9098-BCD9-4328-86AB-80204B093FE7}">
      <text>
        <r>
          <rPr>
            <b/>
            <sz val="9"/>
            <color indexed="81"/>
            <rFont val="Tahoma"/>
            <family val="2"/>
          </rPr>
          <t>&lt;[[TCDeals] - [TC Property Current Stage (Seq: 1)] - [Buildings (Seq: 6)] Constr Applicable Percentage - Both]&gt;</t>
        </r>
      </text>
    </comment>
    <comment ref="M1209" authorId="0" shapeId="0" xr:uid="{560DA8B4-3B20-4865-AF51-B90A9FA85FB1}">
      <text>
        <r>
          <rPr>
            <b/>
            <sz val="9"/>
            <color indexed="81"/>
            <rFont val="Tahoma"/>
            <family val="2"/>
          </rPr>
          <t>&lt;[[TCDeals] - [TC Property Current Stage (Seq: 1)] - [Buildings (Seq: 6)] Constr Est Qual Basis - Both]&gt;</t>
        </r>
      </text>
    </comment>
    <comment ref="N1209" authorId="0" shapeId="0" xr:uid="{A0E6EA73-82CA-470F-8250-A5EAD45E214B}">
      <text>
        <r>
          <rPr>
            <b/>
            <sz val="9"/>
            <color indexed="81"/>
            <rFont val="Tahoma"/>
            <family val="2"/>
          </rPr>
          <t>&lt;[[TCDeals] - [TC Property Current Stage (Seq: 1)] - [Buildings (Seq: 6)] Constr 8609 Basis - Both]&gt;</t>
        </r>
      </text>
    </comment>
    <comment ref="O1209" authorId="0" shapeId="0" xr:uid="{97719F8E-A449-41A6-8883-D3E764A02AAD}">
      <text>
        <r>
          <rPr>
            <b/>
            <sz val="9"/>
            <color indexed="81"/>
            <rFont val="Tahoma"/>
            <family val="2"/>
          </rPr>
          <t>&lt;[[TCDeals] - [TC Property Current Stage (Seq: 1)] - [Buildings (Seq: 6)] Constr 8609 Credit - Both]&gt;</t>
        </r>
      </text>
    </comment>
    <comment ref="P1209" authorId="0" shapeId="0" xr:uid="{93AB1651-0054-48F3-9080-AA9CDB7C38F0}">
      <text>
        <r>
          <rPr>
            <b/>
            <sz val="9"/>
            <color indexed="81"/>
            <rFont val="Tahoma"/>
            <family val="2"/>
          </rPr>
          <t>&lt;[[TCDeals] - [TC Property Current Stage (Seq: 1)] - [Buildings (Seq: 6)] Acq PIS Date - Both]&gt;</t>
        </r>
      </text>
    </comment>
    <comment ref="Q1209" authorId="0" shapeId="0" xr:uid="{76E60BC1-E102-4F1E-A448-1E8B23022E20}">
      <text>
        <r>
          <rPr>
            <b/>
            <sz val="9"/>
            <color indexed="81"/>
            <rFont val="Tahoma"/>
            <family val="2"/>
          </rPr>
          <t>&lt;[[TCDeals] - [TC Property Current Stage (Seq: 1)] - [Buildings (Seq: 6)] Acq Applicable Percentage - Both]&gt;</t>
        </r>
      </text>
    </comment>
    <comment ref="R1209" authorId="0" shapeId="0" xr:uid="{A8BCB3B3-560C-4818-8B01-21F384C52BFF}">
      <text>
        <r>
          <rPr>
            <b/>
            <sz val="9"/>
            <color indexed="81"/>
            <rFont val="Tahoma"/>
            <family val="2"/>
          </rPr>
          <t>&lt;[[TCDeals] - [TC Property Current Stage (Seq: 1)] - [Buildings (Seq: 6)] Acq Est Qual Basis - Both]&gt;</t>
        </r>
      </text>
    </comment>
    <comment ref="S1209" authorId="0" shapeId="0" xr:uid="{F90AF18F-04DC-4782-BAEB-23021757C4FF}">
      <text>
        <r>
          <rPr>
            <b/>
            <sz val="9"/>
            <color indexed="81"/>
            <rFont val="Tahoma"/>
            <family val="2"/>
          </rPr>
          <t>&lt;[[TCDeals] - [TC Property Current Stage (Seq: 1)] - [Buildings (Seq: 6)] Acq 8609 Basis - Both]&gt;</t>
        </r>
      </text>
    </comment>
    <comment ref="T1209" authorId="0" shapeId="0" xr:uid="{2626E55B-89F6-4173-815B-DB1178310648}">
      <text>
        <r>
          <rPr>
            <b/>
            <sz val="9"/>
            <color indexed="81"/>
            <rFont val="Tahoma"/>
            <family val="2"/>
          </rPr>
          <t>&lt;[[TCDeals] - [TC Property Current Stage (Seq: 1)] - [Buildings (Seq: 6)] Acq 8609 Credit - Both]&gt;</t>
        </r>
      </text>
    </comment>
    <comment ref="C1210" authorId="0" shapeId="0" xr:uid="{656766CC-CE16-4063-B26A-2D17E7CCA84F}">
      <text>
        <r>
          <rPr>
            <b/>
            <sz val="9"/>
            <color indexed="81"/>
            <rFont val="Tahoma"/>
            <family val="2"/>
          </rPr>
          <t>&lt;[[TCDeals] - [TC Property Current Stage (Seq: 1)] - [Buildings (Seq: 7)] BIN - Both]&gt;</t>
        </r>
      </text>
    </comment>
    <comment ref="D1210" authorId="0" shapeId="0" xr:uid="{635E744E-EEAA-410B-9DC2-4C36423F732E}">
      <text>
        <r>
          <rPr>
            <b/>
            <sz val="9"/>
            <color indexed="81"/>
            <rFont val="Tahoma"/>
            <family val="2"/>
          </rPr>
          <t>&lt;[[TCDeals] - [TC Property Current Stage (Seq: 1)] - [Buildings (Seq: 7)] Address 1 - Both]&gt;</t>
        </r>
      </text>
    </comment>
    <comment ref="E1210" authorId="0" shapeId="0" xr:uid="{13E9476B-AB05-41F4-B58B-3F92A9E6F6EA}">
      <text>
        <r>
          <rPr>
            <b/>
            <sz val="9"/>
            <color indexed="81"/>
            <rFont val="Tahoma"/>
            <family val="2"/>
          </rPr>
          <t>&lt;[[TCDeals] - [TC Property Current Stage (Seq: 1)] - [Buildings (Seq: 7)] Num TC Units - Both]&gt;</t>
        </r>
      </text>
    </comment>
    <comment ref="F1210" authorId="0" shapeId="0" xr:uid="{77C8C4D2-BCF5-4902-95F1-A429FE29F3B3}">
      <text>
        <r>
          <rPr>
            <b/>
            <sz val="9"/>
            <color indexed="81"/>
            <rFont val="Tahoma"/>
            <family val="2"/>
          </rPr>
          <t>&lt;[[TCDeals] - [TC Property Current Stage (Seq: 1)] - [Buildings (Seq: 7)] PVC PIS Date - Both]&gt;</t>
        </r>
      </text>
    </comment>
    <comment ref="G1210" authorId="0" shapeId="0" xr:uid="{BB4DF8CF-71BA-4B60-848D-1A5AB40D2B8C}">
      <text>
        <r>
          <rPr>
            <b/>
            <sz val="9"/>
            <color indexed="81"/>
            <rFont val="Tahoma"/>
            <family val="2"/>
          </rPr>
          <t>&lt;[[TCDeals] - [TC Property Current Stage (Seq: 1)] - [Buildings (Seq: 7)] PVC Applicable Percentage - Both]&gt;</t>
        </r>
      </text>
    </comment>
    <comment ref="H1210" authorId="0" shapeId="0" xr:uid="{6746D2D0-1FC5-43E3-936B-0A785B6FF6FE}">
      <text>
        <r>
          <rPr>
            <b/>
            <sz val="9"/>
            <color indexed="81"/>
            <rFont val="Tahoma"/>
            <family val="2"/>
          </rPr>
          <t>&lt;[[TCDeals] - [TC Property Current Stage (Seq: 1)] - [Buildings (Seq: 7)] PVC Est Qual Basis - Both]&gt;</t>
        </r>
      </text>
    </comment>
    <comment ref="I1210" authorId="0" shapeId="0" xr:uid="{4D70E70B-5DA5-48A5-80C1-E8397B885F06}">
      <text>
        <r>
          <rPr>
            <b/>
            <sz val="9"/>
            <color indexed="81"/>
            <rFont val="Tahoma"/>
            <family val="2"/>
          </rPr>
          <t>&lt;[[TCDeals] - [TC Property Current Stage (Seq: 1)] - [Buildings (Seq: 7)] PVC8609 Basis - Both]&gt;</t>
        </r>
      </text>
    </comment>
    <comment ref="J1210" authorId="0" shapeId="0" xr:uid="{87151BB0-1815-4719-8C73-75C5823069FD}">
      <text>
        <r>
          <rPr>
            <b/>
            <sz val="9"/>
            <color indexed="81"/>
            <rFont val="Tahoma"/>
            <family val="2"/>
          </rPr>
          <t>&lt;[[TCDeals] - [TC Property Current Stage (Seq: 1)] - [Buildings (Seq: 7)] PVC8609 Credit - Both]&gt;</t>
        </r>
      </text>
    </comment>
    <comment ref="K1210" authorId="0" shapeId="0" xr:uid="{574BCFDF-5B2D-486A-8418-D86693D10024}">
      <text>
        <r>
          <rPr>
            <b/>
            <sz val="9"/>
            <color indexed="81"/>
            <rFont val="Tahoma"/>
            <family val="2"/>
          </rPr>
          <t>&lt;[[TCDeals] - [TC Property Current Stage (Seq: 1)] - [Buildings (Seq: 7)] Constr PIS Date - Both]&gt;</t>
        </r>
      </text>
    </comment>
    <comment ref="L1210" authorId="0" shapeId="0" xr:uid="{8C34A4D1-96A3-436A-B3AA-3CA768EF1A94}">
      <text>
        <r>
          <rPr>
            <b/>
            <sz val="9"/>
            <color indexed="81"/>
            <rFont val="Tahoma"/>
            <family val="2"/>
          </rPr>
          <t>&lt;[[TCDeals] - [TC Property Current Stage (Seq: 1)] - [Buildings (Seq: 7)] Constr Applicable Percentage - Both]&gt;</t>
        </r>
      </text>
    </comment>
    <comment ref="M1210" authorId="0" shapeId="0" xr:uid="{2C60F76D-2D39-47F3-B42D-26DFE20F0E1C}">
      <text>
        <r>
          <rPr>
            <b/>
            <sz val="9"/>
            <color indexed="81"/>
            <rFont val="Tahoma"/>
            <family val="2"/>
          </rPr>
          <t>&lt;[[TCDeals] - [TC Property Current Stage (Seq: 1)] - [Buildings (Seq: 7)] Constr Est Qual Basis - Both]&gt;</t>
        </r>
      </text>
    </comment>
    <comment ref="N1210" authorId="0" shapeId="0" xr:uid="{BBE5B009-0ABF-49E4-B998-FE202D82CB23}">
      <text>
        <r>
          <rPr>
            <b/>
            <sz val="9"/>
            <color indexed="81"/>
            <rFont val="Tahoma"/>
            <family val="2"/>
          </rPr>
          <t>&lt;[[TCDeals] - [TC Property Current Stage (Seq: 1)] - [Buildings (Seq: 7)] Constr 8609 Basis - Both]&gt;</t>
        </r>
      </text>
    </comment>
    <comment ref="O1210" authorId="0" shapeId="0" xr:uid="{13530C51-C8F8-41D2-8AE1-69A05EB755AA}">
      <text>
        <r>
          <rPr>
            <b/>
            <sz val="9"/>
            <color indexed="81"/>
            <rFont val="Tahoma"/>
            <family val="2"/>
          </rPr>
          <t>&lt;[[TCDeals] - [TC Property Current Stage (Seq: 1)] - [Buildings (Seq: 7)] Constr 8609 Credit - Both]&gt;</t>
        </r>
      </text>
    </comment>
    <comment ref="P1210" authorId="0" shapeId="0" xr:uid="{EDD74E67-C2D2-499C-BB33-6FE072041D93}">
      <text>
        <r>
          <rPr>
            <b/>
            <sz val="9"/>
            <color indexed="81"/>
            <rFont val="Tahoma"/>
            <family val="2"/>
          </rPr>
          <t>&lt;[[TCDeals] - [TC Property Current Stage (Seq: 1)] - [Buildings (Seq: 7)] Acq PIS Date - Both]&gt;</t>
        </r>
      </text>
    </comment>
    <comment ref="Q1210" authorId="0" shapeId="0" xr:uid="{AADA07F1-A493-42D5-8CA2-E0EE8B19D010}">
      <text>
        <r>
          <rPr>
            <b/>
            <sz val="9"/>
            <color indexed="81"/>
            <rFont val="Tahoma"/>
            <family val="2"/>
          </rPr>
          <t>&lt;[[TCDeals] - [TC Property Current Stage (Seq: 1)] - [Buildings (Seq: 7)] Acq Applicable Percentage - Both]&gt;</t>
        </r>
      </text>
    </comment>
    <comment ref="R1210" authorId="0" shapeId="0" xr:uid="{A391E432-48B4-4C3C-8FC6-46F188B97A99}">
      <text>
        <r>
          <rPr>
            <b/>
            <sz val="9"/>
            <color indexed="81"/>
            <rFont val="Tahoma"/>
            <family val="2"/>
          </rPr>
          <t>&lt;[[TCDeals] - [TC Property Current Stage (Seq: 1)] - [Buildings (Seq: 7)] Acq Est Qual Basis - Both]&gt;</t>
        </r>
      </text>
    </comment>
    <comment ref="S1210" authorId="0" shapeId="0" xr:uid="{ACF66553-E4B9-458C-A098-7EEF963C590D}">
      <text>
        <r>
          <rPr>
            <b/>
            <sz val="9"/>
            <color indexed="81"/>
            <rFont val="Tahoma"/>
            <family val="2"/>
          </rPr>
          <t>&lt;[[TCDeals] - [TC Property Current Stage (Seq: 1)] - [Buildings (Seq: 7)] Acq 8609 Basis - Both]&gt;</t>
        </r>
      </text>
    </comment>
    <comment ref="T1210" authorId="0" shapeId="0" xr:uid="{ED8D1C79-2727-4F64-8FDA-03BD5E881CD5}">
      <text>
        <r>
          <rPr>
            <b/>
            <sz val="9"/>
            <color indexed="81"/>
            <rFont val="Tahoma"/>
            <family val="2"/>
          </rPr>
          <t>&lt;[[TCDeals] - [TC Property Current Stage (Seq: 1)] - [Buildings (Seq: 7)] Acq 8609 Credit - Both]&gt;</t>
        </r>
      </text>
    </comment>
    <comment ref="C1211" authorId="0" shapeId="0" xr:uid="{508CC9CA-A422-42FF-A18E-808A92DAC369}">
      <text>
        <r>
          <rPr>
            <b/>
            <sz val="9"/>
            <color indexed="81"/>
            <rFont val="Tahoma"/>
            <family val="2"/>
          </rPr>
          <t>&lt;[[TCDeals] - [TC Property Current Stage (Seq: 1)] - [Buildings (Seq: 8)] BIN - Both]&gt;</t>
        </r>
      </text>
    </comment>
    <comment ref="D1211" authorId="0" shapeId="0" xr:uid="{7B17671A-DB1E-4FC2-995E-922B0D7BBBCF}">
      <text>
        <r>
          <rPr>
            <b/>
            <sz val="9"/>
            <color indexed="81"/>
            <rFont val="Tahoma"/>
            <family val="2"/>
          </rPr>
          <t>&lt;[[TCDeals] - [TC Property Current Stage (Seq: 1)] - [Buildings (Seq: 8)] Address 1 - Both]&gt;</t>
        </r>
      </text>
    </comment>
    <comment ref="E1211" authorId="0" shapeId="0" xr:uid="{04B3CB87-C1DF-4F35-BF5A-C082FDA6915D}">
      <text>
        <r>
          <rPr>
            <b/>
            <sz val="9"/>
            <color indexed="81"/>
            <rFont val="Tahoma"/>
            <family val="2"/>
          </rPr>
          <t>&lt;[[TCDeals] - [TC Property Current Stage (Seq: 1)] - [Buildings (Seq: 8)] Num TC Units - Both]&gt;</t>
        </r>
      </text>
    </comment>
    <comment ref="F1211" authorId="0" shapeId="0" xr:uid="{917C5E77-51D8-4EF3-9D1B-EC64830D7479}">
      <text>
        <r>
          <rPr>
            <b/>
            <sz val="9"/>
            <color indexed="81"/>
            <rFont val="Tahoma"/>
            <family val="2"/>
          </rPr>
          <t>&lt;[[TCDeals] - [TC Property Current Stage (Seq: 1)] - [Buildings (Seq: 8)] PVC PIS Date - Both]&gt;</t>
        </r>
      </text>
    </comment>
    <comment ref="G1211" authorId="0" shapeId="0" xr:uid="{BD8FE622-CF58-4458-9B4B-822898DE2ED0}">
      <text>
        <r>
          <rPr>
            <b/>
            <sz val="9"/>
            <color indexed="81"/>
            <rFont val="Tahoma"/>
            <family val="2"/>
          </rPr>
          <t>&lt;[[TCDeals] - [TC Property Current Stage (Seq: 1)] - [Buildings (Seq: 8)] PVC Applicable Percentage - Both]&gt;</t>
        </r>
      </text>
    </comment>
    <comment ref="H1211" authorId="0" shapeId="0" xr:uid="{4AEC3BCE-AB2B-406A-AB76-B822933F70AD}">
      <text>
        <r>
          <rPr>
            <b/>
            <sz val="9"/>
            <color indexed="81"/>
            <rFont val="Tahoma"/>
            <family val="2"/>
          </rPr>
          <t>&lt;[[TCDeals] - [TC Property Current Stage (Seq: 1)] - [Buildings (Seq: 8)] PVC Est Qual Basis - Both]&gt;</t>
        </r>
      </text>
    </comment>
    <comment ref="I1211" authorId="0" shapeId="0" xr:uid="{06185061-E774-487E-9177-ACCCCFEAEFE0}">
      <text>
        <r>
          <rPr>
            <b/>
            <sz val="9"/>
            <color indexed="81"/>
            <rFont val="Tahoma"/>
            <family val="2"/>
          </rPr>
          <t>&lt;[[TCDeals] - [TC Property Current Stage (Seq: 1)] - [Buildings (Seq: 8)] PVC8609 Basis - Both]&gt;</t>
        </r>
      </text>
    </comment>
    <comment ref="J1211" authorId="0" shapeId="0" xr:uid="{E0990803-3B3E-4031-9B54-957CC2CDCC80}">
      <text>
        <r>
          <rPr>
            <b/>
            <sz val="9"/>
            <color indexed="81"/>
            <rFont val="Tahoma"/>
            <family val="2"/>
          </rPr>
          <t>&lt;[[TCDeals] - [TC Property Current Stage (Seq: 1)] - [Buildings (Seq: 8)] PVC8609 Credit - Both]&gt;</t>
        </r>
      </text>
    </comment>
    <comment ref="K1211" authorId="0" shapeId="0" xr:uid="{A30DFE00-A6C1-4194-A27C-165535F285FA}">
      <text>
        <r>
          <rPr>
            <b/>
            <sz val="9"/>
            <color indexed="81"/>
            <rFont val="Tahoma"/>
            <family val="2"/>
          </rPr>
          <t>&lt;[[TCDeals] - [TC Property Current Stage (Seq: 1)] - [Buildings (Seq: 8)] Constr PIS Date - Both]&gt;</t>
        </r>
      </text>
    </comment>
    <comment ref="L1211" authorId="0" shapeId="0" xr:uid="{26A21F17-D61E-4F09-8F5B-AAB462377546}">
      <text>
        <r>
          <rPr>
            <b/>
            <sz val="9"/>
            <color indexed="81"/>
            <rFont val="Tahoma"/>
            <family val="2"/>
          </rPr>
          <t>&lt;[[TCDeals] - [TC Property Current Stage (Seq: 1)] - [Buildings (Seq: 8)] Constr Applicable Percentage - Both]&gt;</t>
        </r>
      </text>
    </comment>
    <comment ref="M1211" authorId="0" shapeId="0" xr:uid="{39D6272A-26EC-49E1-BE15-010FCEA4DB0B}">
      <text>
        <r>
          <rPr>
            <b/>
            <sz val="9"/>
            <color indexed="81"/>
            <rFont val="Tahoma"/>
            <family val="2"/>
          </rPr>
          <t>&lt;[[TCDeals] - [TC Property Current Stage (Seq: 1)] - [Buildings (Seq: 8)] Constr Est Qual Basis - Both]&gt;</t>
        </r>
      </text>
    </comment>
    <comment ref="N1211" authorId="0" shapeId="0" xr:uid="{AF30C9D4-BCAF-41C5-88DE-09C658FAC203}">
      <text>
        <r>
          <rPr>
            <b/>
            <sz val="9"/>
            <color indexed="81"/>
            <rFont val="Tahoma"/>
            <family val="2"/>
          </rPr>
          <t>&lt;[[TCDeals] - [TC Property Current Stage (Seq: 1)] - [Buildings (Seq: 8)] Constr 8609 Basis - Both]&gt;</t>
        </r>
      </text>
    </comment>
    <comment ref="O1211" authorId="0" shapeId="0" xr:uid="{E2B3CA15-EA45-4632-990E-649640390B94}">
      <text>
        <r>
          <rPr>
            <b/>
            <sz val="9"/>
            <color indexed="81"/>
            <rFont val="Tahoma"/>
            <family val="2"/>
          </rPr>
          <t>&lt;[[TCDeals] - [TC Property Current Stage (Seq: 1)] - [Buildings (Seq: 8)] Constr 8609 Credit - Both]&gt;</t>
        </r>
      </text>
    </comment>
    <comment ref="P1211" authorId="0" shapeId="0" xr:uid="{46E8B28F-6A64-4E7E-93C5-731926CD0ED8}">
      <text>
        <r>
          <rPr>
            <b/>
            <sz val="9"/>
            <color indexed="81"/>
            <rFont val="Tahoma"/>
            <family val="2"/>
          </rPr>
          <t>&lt;[[TCDeals] - [TC Property Current Stage (Seq: 1)] - [Buildings (Seq: 8)] Acq PIS Date - Both]&gt;</t>
        </r>
      </text>
    </comment>
    <comment ref="Q1211" authorId="0" shapeId="0" xr:uid="{6F551EF9-6B06-44E6-8DE5-D0D94E3589BB}">
      <text>
        <r>
          <rPr>
            <b/>
            <sz val="9"/>
            <color indexed="81"/>
            <rFont val="Tahoma"/>
            <family val="2"/>
          </rPr>
          <t>&lt;[[TCDeals] - [TC Property Current Stage (Seq: 1)] - [Buildings (Seq: 8)] Acq Applicable Percentage - Both]&gt;</t>
        </r>
      </text>
    </comment>
    <comment ref="R1211" authorId="0" shapeId="0" xr:uid="{73F87960-6864-4EFA-A141-58DDA1A5AE9F}">
      <text>
        <r>
          <rPr>
            <b/>
            <sz val="9"/>
            <color indexed="81"/>
            <rFont val="Tahoma"/>
            <family val="2"/>
          </rPr>
          <t>&lt;[[TCDeals] - [TC Property Current Stage (Seq: 1)] - [Buildings (Seq: 8)] Acq Est Qual Basis - Both]&gt;</t>
        </r>
      </text>
    </comment>
    <comment ref="S1211" authorId="0" shapeId="0" xr:uid="{FAFFDE90-6701-428C-B52B-4BCB0CCBC2E0}">
      <text>
        <r>
          <rPr>
            <b/>
            <sz val="9"/>
            <color indexed="81"/>
            <rFont val="Tahoma"/>
            <family val="2"/>
          </rPr>
          <t>&lt;[[TCDeals] - [TC Property Current Stage (Seq: 1)] - [Buildings (Seq: 8)] Acq 8609 Basis - Both]&gt;</t>
        </r>
      </text>
    </comment>
    <comment ref="T1211" authorId="0" shapeId="0" xr:uid="{C714D061-892B-449C-844C-887CE6FABB7D}">
      <text>
        <r>
          <rPr>
            <b/>
            <sz val="9"/>
            <color indexed="81"/>
            <rFont val="Tahoma"/>
            <family val="2"/>
          </rPr>
          <t>&lt;[[TCDeals] - [TC Property Current Stage (Seq: 1)] - [Buildings (Seq: 8)] Acq 8609 Credit - Both]&gt;</t>
        </r>
      </text>
    </comment>
    <comment ref="C1212" authorId="0" shapeId="0" xr:uid="{3FF44471-DCA3-4E6F-8869-2AD5C8FB7DDB}">
      <text>
        <r>
          <rPr>
            <b/>
            <sz val="9"/>
            <color indexed="81"/>
            <rFont val="Tahoma"/>
            <family val="2"/>
          </rPr>
          <t>&lt;[[TCDeals] - [TC Property Current Stage (Seq: 1)] - [Buildings (Seq: 9)] BIN - Both]&gt;</t>
        </r>
      </text>
    </comment>
    <comment ref="D1212" authorId="0" shapeId="0" xr:uid="{56EB0A83-25F8-4472-96F5-D4F3C63BA1C5}">
      <text>
        <r>
          <rPr>
            <b/>
            <sz val="9"/>
            <color indexed="81"/>
            <rFont val="Tahoma"/>
            <family val="2"/>
          </rPr>
          <t>&lt;[[TCDeals] - [TC Property Current Stage (Seq: 1)] - [Buildings (Seq: 9)] Address 1 - Both]&gt;</t>
        </r>
      </text>
    </comment>
    <comment ref="E1212" authorId="0" shapeId="0" xr:uid="{331D4CC2-AA9F-4865-87E1-F3FCD4DEB244}">
      <text>
        <r>
          <rPr>
            <b/>
            <sz val="9"/>
            <color indexed="81"/>
            <rFont val="Tahoma"/>
            <family val="2"/>
          </rPr>
          <t>&lt;[[TCDeals] - [TC Property Current Stage (Seq: 1)] - [Buildings (Seq: 9)] Num TC Units - Both]&gt;</t>
        </r>
      </text>
    </comment>
    <comment ref="F1212" authorId="0" shapeId="0" xr:uid="{C905EC8B-EF2D-4725-B237-9D13A2D61884}">
      <text>
        <r>
          <rPr>
            <b/>
            <sz val="9"/>
            <color indexed="81"/>
            <rFont val="Tahoma"/>
            <family val="2"/>
          </rPr>
          <t>&lt;[[TCDeals] - [TC Property Current Stage (Seq: 1)] - [Buildings (Seq: 9)] PVC PIS Date - Both]&gt;</t>
        </r>
      </text>
    </comment>
    <comment ref="G1212" authorId="0" shapeId="0" xr:uid="{E4E99941-E566-4DBC-BCE8-EFA688CD7161}">
      <text>
        <r>
          <rPr>
            <b/>
            <sz val="9"/>
            <color indexed="81"/>
            <rFont val="Tahoma"/>
            <family val="2"/>
          </rPr>
          <t>&lt;[[TCDeals] - [TC Property Current Stage (Seq: 1)] - [Buildings (Seq: 9)] PVC Applicable Percentage - Both]&gt;</t>
        </r>
      </text>
    </comment>
    <comment ref="H1212" authorId="0" shapeId="0" xr:uid="{1A6A29E4-39C0-42CD-BF94-7A70418AA43C}">
      <text>
        <r>
          <rPr>
            <b/>
            <sz val="9"/>
            <color indexed="81"/>
            <rFont val="Tahoma"/>
            <family val="2"/>
          </rPr>
          <t>&lt;[[TCDeals] - [TC Property Current Stage (Seq: 1)] - [Buildings (Seq: 9)] PVC Est Qual Basis - Both]&gt;</t>
        </r>
      </text>
    </comment>
    <comment ref="I1212" authorId="0" shapeId="0" xr:uid="{6D621F31-B615-4F46-B2E4-4DC2AB16CDD4}">
      <text>
        <r>
          <rPr>
            <b/>
            <sz val="9"/>
            <color indexed="81"/>
            <rFont val="Tahoma"/>
            <family val="2"/>
          </rPr>
          <t>&lt;[[TCDeals] - [TC Property Current Stage (Seq: 1)] - [Buildings (Seq: 9)] PVC8609 Basis - Both]&gt;</t>
        </r>
      </text>
    </comment>
    <comment ref="J1212" authorId="0" shapeId="0" xr:uid="{50DC5B6D-D6D9-4B63-B76A-624803334A41}">
      <text>
        <r>
          <rPr>
            <b/>
            <sz val="9"/>
            <color indexed="81"/>
            <rFont val="Tahoma"/>
            <family val="2"/>
          </rPr>
          <t>&lt;[[TCDeals] - [TC Property Current Stage (Seq: 1)] - [Buildings (Seq: 9)] PVC8609 Credit - Both]&gt;</t>
        </r>
      </text>
    </comment>
    <comment ref="K1212" authorId="0" shapeId="0" xr:uid="{552FB3C8-AAC8-4266-A141-5DF3E00B84D1}">
      <text>
        <r>
          <rPr>
            <b/>
            <sz val="9"/>
            <color indexed="81"/>
            <rFont val="Tahoma"/>
            <family val="2"/>
          </rPr>
          <t>&lt;[[TCDeals] - [TC Property Current Stage (Seq: 1)] - [Buildings (Seq: 9)] Constr PIS Date - Both]&gt;</t>
        </r>
      </text>
    </comment>
    <comment ref="L1212" authorId="0" shapeId="0" xr:uid="{AC0881D7-3544-4378-AB5F-4BF9C3F02A18}">
      <text>
        <r>
          <rPr>
            <b/>
            <sz val="9"/>
            <color indexed="81"/>
            <rFont val="Tahoma"/>
            <family val="2"/>
          </rPr>
          <t>&lt;[[TCDeals] - [TC Property Current Stage (Seq: 1)] - [Buildings (Seq: 9)] Constr Applicable Percentage - Both]&gt;</t>
        </r>
      </text>
    </comment>
    <comment ref="M1212" authorId="0" shapeId="0" xr:uid="{D03CF4EE-FD58-4BB4-96CD-118930BF01BD}">
      <text>
        <r>
          <rPr>
            <b/>
            <sz val="9"/>
            <color indexed="81"/>
            <rFont val="Tahoma"/>
            <family val="2"/>
          </rPr>
          <t>&lt;[[TCDeals] - [TC Property Current Stage (Seq: 1)] - [Buildings (Seq: 9)] Constr Est Qual Basis - Both]&gt;</t>
        </r>
      </text>
    </comment>
    <comment ref="N1212" authorId="0" shapeId="0" xr:uid="{BEFC760C-8960-4958-A5AC-9E915B7EC78E}">
      <text>
        <r>
          <rPr>
            <b/>
            <sz val="9"/>
            <color indexed="81"/>
            <rFont val="Tahoma"/>
            <family val="2"/>
          </rPr>
          <t>&lt;[[TCDeals] - [TC Property Current Stage (Seq: 1)] - [Buildings (Seq: 9)] Constr 8609 Basis - Both]&gt;</t>
        </r>
      </text>
    </comment>
    <comment ref="O1212" authorId="0" shapeId="0" xr:uid="{554783A3-A25E-479E-9480-D62665B6EE44}">
      <text>
        <r>
          <rPr>
            <b/>
            <sz val="9"/>
            <color indexed="81"/>
            <rFont val="Tahoma"/>
            <family val="2"/>
          </rPr>
          <t>&lt;[[TCDeals] - [TC Property Current Stage (Seq: 1)] - [Buildings (Seq: 9)] Constr 8609 Credit - Both]&gt;</t>
        </r>
      </text>
    </comment>
    <comment ref="P1212" authorId="0" shapeId="0" xr:uid="{7523679E-DD57-4350-A2A9-1875141317EE}">
      <text>
        <r>
          <rPr>
            <b/>
            <sz val="9"/>
            <color indexed="81"/>
            <rFont val="Tahoma"/>
            <family val="2"/>
          </rPr>
          <t>&lt;[[TCDeals] - [TC Property Current Stage (Seq: 1)] - [Buildings (Seq: 9)] Acq PIS Date - Both]&gt;</t>
        </r>
      </text>
    </comment>
    <comment ref="Q1212" authorId="0" shapeId="0" xr:uid="{A557C262-AF27-4734-9D58-F52BFF90C8C3}">
      <text>
        <r>
          <rPr>
            <b/>
            <sz val="9"/>
            <color indexed="81"/>
            <rFont val="Tahoma"/>
            <family val="2"/>
          </rPr>
          <t>&lt;[[TCDeals] - [TC Property Current Stage (Seq: 1)] - [Buildings (Seq: 9)] Acq Applicable Percentage - Both]&gt;</t>
        </r>
      </text>
    </comment>
    <comment ref="R1212" authorId="0" shapeId="0" xr:uid="{D0CFF4D3-7F78-47FD-92F4-37F68F0F7042}">
      <text>
        <r>
          <rPr>
            <b/>
            <sz val="9"/>
            <color indexed="81"/>
            <rFont val="Tahoma"/>
            <family val="2"/>
          </rPr>
          <t>&lt;[[TCDeals] - [TC Property Current Stage (Seq: 1)] - [Buildings (Seq: 9)] Acq Est Qual Basis - Both]&gt;</t>
        </r>
      </text>
    </comment>
    <comment ref="S1212" authorId="0" shapeId="0" xr:uid="{D94967E9-82AF-4B1B-870F-E7D6EE135BDB}">
      <text>
        <r>
          <rPr>
            <b/>
            <sz val="9"/>
            <color indexed="81"/>
            <rFont val="Tahoma"/>
            <family val="2"/>
          </rPr>
          <t>&lt;[[TCDeals] - [TC Property Current Stage (Seq: 1)] - [Buildings (Seq: 9)] Acq 8609 Basis - Both]&gt;</t>
        </r>
      </text>
    </comment>
    <comment ref="T1212" authorId="0" shapeId="0" xr:uid="{7751CE01-714E-43BD-B479-18B3403A2CB5}">
      <text>
        <r>
          <rPr>
            <b/>
            <sz val="9"/>
            <color indexed="81"/>
            <rFont val="Tahoma"/>
            <family val="2"/>
          </rPr>
          <t>&lt;[[TCDeals] - [TC Property Current Stage (Seq: 1)] - [Buildings (Seq: 9)] Acq 8609 Credit - Both]&gt;</t>
        </r>
      </text>
    </comment>
    <comment ref="C1213" authorId="0" shapeId="0" xr:uid="{DB214460-7A36-4276-B58E-DD3F6F2173E9}">
      <text>
        <r>
          <rPr>
            <b/>
            <sz val="9"/>
            <color indexed="81"/>
            <rFont val="Tahoma"/>
            <family val="2"/>
          </rPr>
          <t>&lt;[[TCDeals] - [TC Property Current Stage (Seq: 1)] - [Buildings (Seq: 10)] BIN - Both]&gt;</t>
        </r>
      </text>
    </comment>
    <comment ref="D1213" authorId="0" shapeId="0" xr:uid="{88F7716A-A149-40C6-A9BE-C00B2123F699}">
      <text>
        <r>
          <rPr>
            <b/>
            <sz val="9"/>
            <color indexed="81"/>
            <rFont val="Tahoma"/>
            <family val="2"/>
          </rPr>
          <t>&lt;[[TCDeals] - [TC Property Current Stage (Seq: 1)] - [Buildings (Seq: 10)] Address 1 - Both]&gt;</t>
        </r>
      </text>
    </comment>
    <comment ref="E1213" authorId="0" shapeId="0" xr:uid="{DCECE262-FB8D-437E-9624-91E907F61303}">
      <text>
        <r>
          <rPr>
            <b/>
            <sz val="9"/>
            <color indexed="81"/>
            <rFont val="Tahoma"/>
            <family val="2"/>
          </rPr>
          <t>&lt;[[TCDeals] - [TC Property Current Stage (Seq: 1)] - [Buildings (Seq: 10)] Num TC Units - Both]&gt;</t>
        </r>
      </text>
    </comment>
    <comment ref="F1213" authorId="0" shapeId="0" xr:uid="{BD0FF092-04F8-40E5-BD7E-E282B2A552EE}">
      <text>
        <r>
          <rPr>
            <b/>
            <sz val="9"/>
            <color indexed="81"/>
            <rFont val="Tahoma"/>
            <family val="2"/>
          </rPr>
          <t>&lt;[[TCDeals] - [TC Property Current Stage (Seq: 1)] - [Buildings (Seq: 10)] PVC PIS Date - Both]&gt;</t>
        </r>
      </text>
    </comment>
    <comment ref="G1213" authorId="0" shapeId="0" xr:uid="{1BBE9AE8-72B0-4576-B1C4-E647E3F51AE1}">
      <text>
        <r>
          <rPr>
            <b/>
            <sz val="9"/>
            <color indexed="81"/>
            <rFont val="Tahoma"/>
            <family val="2"/>
          </rPr>
          <t>&lt;[[TCDeals] - [TC Property Current Stage (Seq: 1)] - [Buildings (Seq: 10)] PVC Applicable Percentage - Both]&gt;</t>
        </r>
      </text>
    </comment>
    <comment ref="H1213" authorId="0" shapeId="0" xr:uid="{4C1A3473-8208-4FB6-AEDE-65C76CBD7B1C}">
      <text>
        <r>
          <rPr>
            <b/>
            <sz val="9"/>
            <color indexed="81"/>
            <rFont val="Tahoma"/>
            <family val="2"/>
          </rPr>
          <t>&lt;[[TCDeals] - [TC Property Current Stage (Seq: 1)] - [Buildings (Seq: 10)] PVC Est Qual Basis - Both]&gt;</t>
        </r>
      </text>
    </comment>
    <comment ref="I1213" authorId="0" shapeId="0" xr:uid="{F15EA870-C3CE-4CE6-A029-42A23BE1F3ED}">
      <text>
        <r>
          <rPr>
            <b/>
            <sz val="9"/>
            <color indexed="81"/>
            <rFont val="Tahoma"/>
            <family val="2"/>
          </rPr>
          <t>&lt;[[TCDeals] - [TC Property Current Stage (Seq: 1)] - [Buildings (Seq: 10)] PVC8609 Basis - Both]&gt;</t>
        </r>
      </text>
    </comment>
    <comment ref="J1213" authorId="0" shapeId="0" xr:uid="{818DEC6B-C558-46A0-9F6F-17D0C7DC2C7F}">
      <text>
        <r>
          <rPr>
            <b/>
            <sz val="9"/>
            <color indexed="81"/>
            <rFont val="Tahoma"/>
            <family val="2"/>
          </rPr>
          <t>&lt;[[TCDeals] - [TC Property Current Stage (Seq: 1)] - [Buildings (Seq: 10)] PVC8609 Credit - Both]&gt;</t>
        </r>
      </text>
    </comment>
    <comment ref="K1213" authorId="0" shapeId="0" xr:uid="{C6C137DF-4038-4954-BB6F-0E45F26478E0}">
      <text>
        <r>
          <rPr>
            <b/>
            <sz val="9"/>
            <color indexed="81"/>
            <rFont val="Tahoma"/>
            <family val="2"/>
          </rPr>
          <t>&lt;[[TCDeals] - [TC Property Current Stage (Seq: 1)] - [Buildings (Seq: 10)] Constr PIS Date - Both]&gt;</t>
        </r>
      </text>
    </comment>
    <comment ref="L1213" authorId="0" shapeId="0" xr:uid="{EF9A03CF-F5FF-4C18-B553-3F0E42478788}">
      <text>
        <r>
          <rPr>
            <b/>
            <sz val="9"/>
            <color indexed="81"/>
            <rFont val="Tahoma"/>
            <family val="2"/>
          </rPr>
          <t>&lt;[[TCDeals] - [TC Property Current Stage (Seq: 1)] - [Buildings (Seq: 10)] Constr Applicable Percentage - Both]&gt;</t>
        </r>
      </text>
    </comment>
    <comment ref="M1213" authorId="0" shapeId="0" xr:uid="{6A9B0A43-506C-4A0C-A7D7-986120E6B361}">
      <text>
        <r>
          <rPr>
            <b/>
            <sz val="9"/>
            <color indexed="81"/>
            <rFont val="Tahoma"/>
            <family val="2"/>
          </rPr>
          <t>&lt;[[TCDeals] - [TC Property Current Stage (Seq: 1)] - [Buildings (Seq: 10)] Constr Est Qual Basis - Both]&gt;</t>
        </r>
      </text>
    </comment>
    <comment ref="N1213" authorId="0" shapeId="0" xr:uid="{BEBD4757-7608-45F9-80B6-812D223E447B}">
      <text>
        <r>
          <rPr>
            <b/>
            <sz val="9"/>
            <color indexed="81"/>
            <rFont val="Tahoma"/>
            <family val="2"/>
          </rPr>
          <t>&lt;[[TCDeals] - [TC Property Current Stage (Seq: 1)] - [Buildings (Seq: 10)] Constr 8609 Basis - Both]&gt;</t>
        </r>
      </text>
    </comment>
    <comment ref="O1213" authorId="0" shapeId="0" xr:uid="{2131BEAD-E716-42A1-8D34-758820B35C7C}">
      <text>
        <r>
          <rPr>
            <b/>
            <sz val="9"/>
            <color indexed="81"/>
            <rFont val="Tahoma"/>
            <family val="2"/>
          </rPr>
          <t>&lt;[[TCDeals] - [TC Property Current Stage (Seq: 1)] - [Buildings (Seq: 10)] Constr 8609 Credit - Both]&gt;</t>
        </r>
      </text>
    </comment>
    <comment ref="P1213" authorId="0" shapeId="0" xr:uid="{471060FC-1C83-4123-8850-7947CE4B5D40}">
      <text>
        <r>
          <rPr>
            <b/>
            <sz val="9"/>
            <color indexed="81"/>
            <rFont val="Tahoma"/>
            <family val="2"/>
          </rPr>
          <t>&lt;[[TCDeals] - [TC Property Current Stage (Seq: 1)] - [Buildings (Seq: 10)] Acq PIS Date - Both]&gt;</t>
        </r>
      </text>
    </comment>
    <comment ref="Q1213" authorId="0" shapeId="0" xr:uid="{7AAD361E-8990-48E1-B3D6-1099DA2574F7}">
      <text>
        <r>
          <rPr>
            <b/>
            <sz val="9"/>
            <color indexed="81"/>
            <rFont val="Tahoma"/>
            <family val="2"/>
          </rPr>
          <t>&lt;[[TCDeals] - [TC Property Current Stage (Seq: 1)] - [Buildings (Seq: 10)] Acq Applicable Percentage - Both]&gt;</t>
        </r>
      </text>
    </comment>
    <comment ref="R1213" authorId="0" shapeId="0" xr:uid="{05A4E07C-E0A1-4307-BA86-FEB5FDFBDF43}">
      <text>
        <r>
          <rPr>
            <b/>
            <sz val="9"/>
            <color indexed="81"/>
            <rFont val="Tahoma"/>
            <family val="2"/>
          </rPr>
          <t>&lt;[[TCDeals] - [TC Property Current Stage (Seq: 1)] - [Buildings (Seq: 10)] Acq Est Qual Basis - Both]&gt;</t>
        </r>
      </text>
    </comment>
    <comment ref="S1213" authorId="0" shapeId="0" xr:uid="{71FB4AC8-AECC-408B-8ABB-FE5662AE7B4D}">
      <text>
        <r>
          <rPr>
            <b/>
            <sz val="9"/>
            <color indexed="81"/>
            <rFont val="Tahoma"/>
            <family val="2"/>
          </rPr>
          <t>&lt;[[TCDeals] - [TC Property Current Stage (Seq: 1)] - [Buildings (Seq: 10)] Acq 8609 Basis - Both]&gt;</t>
        </r>
      </text>
    </comment>
    <comment ref="T1213" authorId="0" shapeId="0" xr:uid="{3DC5C146-D307-4098-BB6A-DDF187A23E7B}">
      <text>
        <r>
          <rPr>
            <b/>
            <sz val="9"/>
            <color indexed="81"/>
            <rFont val="Tahoma"/>
            <family val="2"/>
          </rPr>
          <t>&lt;[[TCDeals] - [TC Property Current Stage (Seq: 1)] - [Buildings (Seq: 10)] Acq 8609 Credit - Both]&gt;</t>
        </r>
      </text>
    </comment>
    <comment ref="C1214" authorId="0" shapeId="0" xr:uid="{68BC7424-3DE7-4EEE-9A25-C18F48507F49}">
      <text>
        <r>
          <rPr>
            <b/>
            <sz val="9"/>
            <color indexed="81"/>
            <rFont val="Tahoma"/>
            <family val="2"/>
          </rPr>
          <t>&lt;[[TCDeals] - [TC Property Current Stage (Seq: 1)] - [Buildings (Seq: 11)] BIN - Both]&gt;</t>
        </r>
      </text>
    </comment>
    <comment ref="D1214" authorId="0" shapeId="0" xr:uid="{4B6EDCF2-5016-4DBF-B105-BBED709527EA}">
      <text>
        <r>
          <rPr>
            <b/>
            <sz val="9"/>
            <color indexed="81"/>
            <rFont val="Tahoma"/>
            <family val="2"/>
          </rPr>
          <t>&lt;[[TCDeals] - [TC Property Current Stage (Seq: 1)] - [Buildings (Seq: 11)] Address 1 - Both]&gt;</t>
        </r>
      </text>
    </comment>
    <comment ref="E1214" authorId="0" shapeId="0" xr:uid="{7C8B9C95-4FB5-458F-A4E8-C20DB9B44AB5}">
      <text>
        <r>
          <rPr>
            <b/>
            <sz val="9"/>
            <color indexed="81"/>
            <rFont val="Tahoma"/>
            <family val="2"/>
          </rPr>
          <t>&lt;[[TCDeals] - [TC Property Current Stage (Seq: 1)] - [Buildings (Seq: 11)] Num TC Units - Both]&gt;</t>
        </r>
      </text>
    </comment>
    <comment ref="F1214" authorId="0" shapeId="0" xr:uid="{BF697214-D7EA-4B6E-AC8A-C669CE1D0000}">
      <text>
        <r>
          <rPr>
            <b/>
            <sz val="9"/>
            <color indexed="81"/>
            <rFont val="Tahoma"/>
            <family val="2"/>
          </rPr>
          <t>&lt;[[TCDeals] - [TC Property Current Stage (Seq: 1)] - [Buildings (Seq: 11)] PVC PIS Date - Both]&gt;</t>
        </r>
      </text>
    </comment>
    <comment ref="G1214" authorId="0" shapeId="0" xr:uid="{7124E6B0-E91E-4906-A775-33DE6FF89155}">
      <text>
        <r>
          <rPr>
            <b/>
            <sz val="9"/>
            <color indexed="81"/>
            <rFont val="Tahoma"/>
            <family val="2"/>
          </rPr>
          <t>&lt;[[TCDeals] - [TC Property Current Stage (Seq: 1)] - [Buildings (Seq: 11)] PVC Applicable Percentage - Both]&gt;</t>
        </r>
      </text>
    </comment>
    <comment ref="H1214" authorId="0" shapeId="0" xr:uid="{6246A3AA-3439-442E-AA78-E4C627B2DCCC}">
      <text>
        <r>
          <rPr>
            <b/>
            <sz val="9"/>
            <color indexed="81"/>
            <rFont val="Tahoma"/>
            <family val="2"/>
          </rPr>
          <t>&lt;[[TCDeals] - [TC Property Current Stage (Seq: 1)] - [Buildings (Seq: 11)] PVC Est Qual Basis - Both]&gt;</t>
        </r>
      </text>
    </comment>
    <comment ref="I1214" authorId="0" shapeId="0" xr:uid="{118A3564-E16B-4B05-B939-0ED3F24039C5}">
      <text>
        <r>
          <rPr>
            <b/>
            <sz val="9"/>
            <color indexed="81"/>
            <rFont val="Tahoma"/>
            <family val="2"/>
          </rPr>
          <t>&lt;[[TCDeals] - [TC Property Current Stage (Seq: 1)] - [Buildings (Seq: 11)] PVC8609 Basis - Both]&gt;</t>
        </r>
      </text>
    </comment>
    <comment ref="J1214" authorId="0" shapeId="0" xr:uid="{22680DA5-3A56-4E64-9FCF-DBF785C1C9C3}">
      <text>
        <r>
          <rPr>
            <b/>
            <sz val="9"/>
            <color indexed="81"/>
            <rFont val="Tahoma"/>
            <family val="2"/>
          </rPr>
          <t>&lt;[[TCDeals] - [TC Property Current Stage (Seq: 1)] - [Buildings (Seq: 11)] PVC8609 Credit - Both]&gt;</t>
        </r>
      </text>
    </comment>
    <comment ref="K1214" authorId="0" shapeId="0" xr:uid="{95EFCF8F-9D97-46B6-9513-3DBB90662C29}">
      <text>
        <r>
          <rPr>
            <b/>
            <sz val="9"/>
            <color indexed="81"/>
            <rFont val="Tahoma"/>
            <family val="2"/>
          </rPr>
          <t>&lt;[[TCDeals] - [TC Property Current Stage (Seq: 1)] - [Buildings (Seq: 11)] Constr PIS Date - Both]&gt;</t>
        </r>
      </text>
    </comment>
    <comment ref="L1214" authorId="0" shapeId="0" xr:uid="{9979EEEF-A8D3-40E7-8CD1-934FB6C8CD6C}">
      <text>
        <r>
          <rPr>
            <b/>
            <sz val="9"/>
            <color indexed="81"/>
            <rFont val="Tahoma"/>
            <family val="2"/>
          </rPr>
          <t>&lt;[[TCDeals] - [TC Property Current Stage (Seq: 1)] - [Buildings (Seq: 11)] Constr Applicable Percentage - Both]&gt;</t>
        </r>
      </text>
    </comment>
    <comment ref="M1214" authorId="0" shapeId="0" xr:uid="{18FF0F81-7BFD-4ABB-BBF7-99F673CDD1D2}">
      <text>
        <r>
          <rPr>
            <b/>
            <sz val="9"/>
            <color indexed="81"/>
            <rFont val="Tahoma"/>
            <family val="2"/>
          </rPr>
          <t>&lt;[[TCDeals] - [TC Property Current Stage (Seq: 1)] - [Buildings (Seq: 11)] Constr Est Qual Basis - Both]&gt;</t>
        </r>
      </text>
    </comment>
    <comment ref="N1214" authorId="0" shapeId="0" xr:uid="{A5C1C7CE-6711-428E-88FC-687E94C0F3AD}">
      <text>
        <r>
          <rPr>
            <b/>
            <sz val="9"/>
            <color indexed="81"/>
            <rFont val="Tahoma"/>
            <family val="2"/>
          </rPr>
          <t>&lt;[[TCDeals] - [TC Property Current Stage (Seq: 1)] - [Buildings (Seq: 11)] Constr 8609 Basis - Both]&gt;</t>
        </r>
      </text>
    </comment>
    <comment ref="O1214" authorId="0" shapeId="0" xr:uid="{7B4E3347-49D1-433D-BCAF-7F7583ECCFDA}">
      <text>
        <r>
          <rPr>
            <b/>
            <sz val="9"/>
            <color indexed="81"/>
            <rFont val="Tahoma"/>
            <family val="2"/>
          </rPr>
          <t>&lt;[[TCDeals] - [TC Property Current Stage (Seq: 1)] - [Buildings (Seq: 11)] Constr 8609 Credit - Both]&gt;</t>
        </r>
      </text>
    </comment>
    <comment ref="P1214" authorId="0" shapeId="0" xr:uid="{C6163A3D-12E7-44F2-B090-5B5AF400EFEF}">
      <text>
        <r>
          <rPr>
            <b/>
            <sz val="9"/>
            <color indexed="81"/>
            <rFont val="Tahoma"/>
            <family val="2"/>
          </rPr>
          <t>&lt;[[TCDeals] - [TC Property Current Stage (Seq: 1)] - [Buildings (Seq: 11)] Acq PIS Date - Both]&gt;</t>
        </r>
      </text>
    </comment>
    <comment ref="Q1214" authorId="0" shapeId="0" xr:uid="{0523FE2F-E73D-48FD-9FB0-7645C66A8C36}">
      <text>
        <r>
          <rPr>
            <b/>
            <sz val="9"/>
            <color indexed="81"/>
            <rFont val="Tahoma"/>
            <family val="2"/>
          </rPr>
          <t>&lt;[[TCDeals] - [TC Property Current Stage (Seq: 1)] - [Buildings (Seq: 11)] Acq Applicable Percentage - Both]&gt;</t>
        </r>
      </text>
    </comment>
    <comment ref="R1214" authorId="0" shapeId="0" xr:uid="{D86085C0-43DE-4AF1-A4E6-AAE6ED22D268}">
      <text>
        <r>
          <rPr>
            <b/>
            <sz val="9"/>
            <color indexed="81"/>
            <rFont val="Tahoma"/>
            <family val="2"/>
          </rPr>
          <t>&lt;[[TCDeals] - [TC Property Current Stage (Seq: 1)] - [Buildings (Seq: 11)] Acq Est Qual Basis - Both]&gt;</t>
        </r>
      </text>
    </comment>
    <comment ref="S1214" authorId="0" shapeId="0" xr:uid="{51DDFA48-ECE0-4792-8410-DBC478C0A77C}">
      <text>
        <r>
          <rPr>
            <b/>
            <sz val="9"/>
            <color indexed="81"/>
            <rFont val="Tahoma"/>
            <family val="2"/>
          </rPr>
          <t>&lt;[[TCDeals] - [TC Property Current Stage (Seq: 1)] - [Buildings (Seq: 11)] Acq 8609 Basis - Both]&gt;</t>
        </r>
      </text>
    </comment>
    <comment ref="T1214" authorId="0" shapeId="0" xr:uid="{FB7C67FD-1D85-4F04-8A2B-10EEA5583031}">
      <text>
        <r>
          <rPr>
            <b/>
            <sz val="9"/>
            <color indexed="81"/>
            <rFont val="Tahoma"/>
            <family val="2"/>
          </rPr>
          <t>&lt;[[TCDeals] - [TC Property Current Stage (Seq: 1)] - [Buildings (Seq: 11)] Acq 8609 Credit - Both]&gt;</t>
        </r>
      </text>
    </comment>
    <comment ref="C1215" authorId="0" shapeId="0" xr:uid="{4F06FAEB-6D8B-472D-B86B-E1718F799C30}">
      <text>
        <r>
          <rPr>
            <b/>
            <sz val="9"/>
            <color indexed="81"/>
            <rFont val="Tahoma"/>
            <family val="2"/>
          </rPr>
          <t>&lt;[[TCDeals] - [TC Property Current Stage (Seq: 1)] - [Buildings (Seq: 12)] BIN - Both]&gt;</t>
        </r>
      </text>
    </comment>
    <comment ref="D1215" authorId="0" shapeId="0" xr:uid="{858DE7B6-4007-47E8-ADA3-5D44C9810612}">
      <text>
        <r>
          <rPr>
            <b/>
            <sz val="9"/>
            <color indexed="81"/>
            <rFont val="Tahoma"/>
            <family val="2"/>
          </rPr>
          <t>&lt;[[TCDeals] - [TC Property Current Stage (Seq: 1)] - [Buildings (Seq: 12)] Address 1 - Both]&gt;</t>
        </r>
      </text>
    </comment>
    <comment ref="E1215" authorId="0" shapeId="0" xr:uid="{999B5CB1-E9BB-4C73-ADE8-94558D893FBC}">
      <text>
        <r>
          <rPr>
            <b/>
            <sz val="9"/>
            <color indexed="81"/>
            <rFont val="Tahoma"/>
            <family val="2"/>
          </rPr>
          <t>&lt;[[TCDeals] - [TC Property Current Stage (Seq: 1)] - [Buildings (Seq: 12)] Num TC Units - Both]&gt;</t>
        </r>
      </text>
    </comment>
    <comment ref="F1215" authorId="0" shapeId="0" xr:uid="{CB5AE3C8-ED5E-410D-89C5-E53BBC12E612}">
      <text>
        <r>
          <rPr>
            <b/>
            <sz val="9"/>
            <color indexed="81"/>
            <rFont val="Tahoma"/>
            <family val="2"/>
          </rPr>
          <t>&lt;[[TCDeals] - [TC Property Current Stage (Seq: 1)] - [Buildings (Seq: 12)] PVC PIS Date - Both]&gt;</t>
        </r>
      </text>
    </comment>
    <comment ref="G1215" authorId="0" shapeId="0" xr:uid="{77C9FB99-D919-4123-B9A5-1C693B79EE3E}">
      <text>
        <r>
          <rPr>
            <b/>
            <sz val="9"/>
            <color indexed="81"/>
            <rFont val="Tahoma"/>
            <family val="2"/>
          </rPr>
          <t>&lt;[[TCDeals] - [TC Property Current Stage (Seq: 1)] - [Buildings (Seq: 12)] PVC Applicable Percentage - Both]&gt;</t>
        </r>
      </text>
    </comment>
    <comment ref="H1215" authorId="0" shapeId="0" xr:uid="{C5A7C4CC-EEA4-4026-8789-E62528A8DC2A}">
      <text>
        <r>
          <rPr>
            <b/>
            <sz val="9"/>
            <color indexed="81"/>
            <rFont val="Tahoma"/>
            <family val="2"/>
          </rPr>
          <t>&lt;[[TCDeals] - [TC Property Current Stage (Seq: 1)] - [Buildings (Seq: 12)] PVC Est Qual Basis - Both]&gt;</t>
        </r>
      </text>
    </comment>
    <comment ref="I1215" authorId="0" shapeId="0" xr:uid="{0646E4E8-2394-4A48-880A-2D42BD758264}">
      <text>
        <r>
          <rPr>
            <b/>
            <sz val="9"/>
            <color indexed="81"/>
            <rFont val="Tahoma"/>
            <family val="2"/>
          </rPr>
          <t>&lt;[[TCDeals] - [TC Property Current Stage (Seq: 1)] - [Buildings (Seq: 12)] PVC8609 Basis - Both]&gt;</t>
        </r>
      </text>
    </comment>
    <comment ref="J1215" authorId="0" shapeId="0" xr:uid="{69688260-8ED4-4335-97B4-21B7146698AF}">
      <text>
        <r>
          <rPr>
            <b/>
            <sz val="9"/>
            <color indexed="81"/>
            <rFont val="Tahoma"/>
            <family val="2"/>
          </rPr>
          <t>&lt;[[TCDeals] - [TC Property Current Stage (Seq: 1)] - [Buildings (Seq: 12)] PVC8609 Credit - Both]&gt;</t>
        </r>
      </text>
    </comment>
    <comment ref="K1215" authorId="0" shapeId="0" xr:uid="{37B431FB-4181-4574-8FE0-8E15BAF8503B}">
      <text>
        <r>
          <rPr>
            <b/>
            <sz val="9"/>
            <color indexed="81"/>
            <rFont val="Tahoma"/>
            <family val="2"/>
          </rPr>
          <t>&lt;[[TCDeals] - [TC Property Current Stage (Seq: 1)] - [Buildings (Seq: 12)] Constr PIS Date - Both]&gt;</t>
        </r>
      </text>
    </comment>
    <comment ref="L1215" authorId="0" shapeId="0" xr:uid="{7FAC0038-0A18-4F49-8B9E-27ACF2023173}">
      <text>
        <r>
          <rPr>
            <b/>
            <sz val="9"/>
            <color indexed="81"/>
            <rFont val="Tahoma"/>
            <family val="2"/>
          </rPr>
          <t>&lt;[[TCDeals] - [TC Property Current Stage (Seq: 1)] - [Buildings (Seq: 12)] Constr Applicable Percentage - Both]&gt;</t>
        </r>
      </text>
    </comment>
    <comment ref="M1215" authorId="0" shapeId="0" xr:uid="{B0643279-2BE4-48C7-9205-3623A36D81B8}">
      <text>
        <r>
          <rPr>
            <b/>
            <sz val="9"/>
            <color indexed="81"/>
            <rFont val="Tahoma"/>
            <family val="2"/>
          </rPr>
          <t>&lt;[[TCDeals] - [TC Property Current Stage (Seq: 1)] - [Buildings (Seq: 12)] Constr Est Qual Basis - Both]&gt;</t>
        </r>
      </text>
    </comment>
    <comment ref="N1215" authorId="0" shapeId="0" xr:uid="{6CFFF073-44A7-470A-A1F8-055DD34CD14E}">
      <text>
        <r>
          <rPr>
            <b/>
            <sz val="9"/>
            <color indexed="81"/>
            <rFont val="Tahoma"/>
            <family val="2"/>
          </rPr>
          <t>&lt;[[TCDeals] - [TC Property Current Stage (Seq: 1)] - [Buildings (Seq: 12)] Constr 8609 Basis - Both]&gt;</t>
        </r>
      </text>
    </comment>
    <comment ref="O1215" authorId="0" shapeId="0" xr:uid="{2674BE2C-9FCA-40EA-AFA9-4C558BF7388B}">
      <text>
        <r>
          <rPr>
            <b/>
            <sz val="9"/>
            <color indexed="81"/>
            <rFont val="Tahoma"/>
            <family val="2"/>
          </rPr>
          <t>&lt;[[TCDeals] - [TC Property Current Stage (Seq: 1)] - [Buildings (Seq: 12)] Constr 8609 Credit - Both]&gt;</t>
        </r>
      </text>
    </comment>
    <comment ref="P1215" authorId="0" shapeId="0" xr:uid="{B381CB9D-8C80-4251-8F4C-661F32B6A287}">
      <text>
        <r>
          <rPr>
            <b/>
            <sz val="9"/>
            <color indexed="81"/>
            <rFont val="Tahoma"/>
            <family val="2"/>
          </rPr>
          <t>&lt;[[TCDeals] - [TC Property Current Stage (Seq: 1)] - [Buildings (Seq: 12)] Acq PIS Date - Both]&gt;</t>
        </r>
      </text>
    </comment>
    <comment ref="Q1215" authorId="0" shapeId="0" xr:uid="{247EABB1-1C51-40D4-B04C-635097FE20A4}">
      <text>
        <r>
          <rPr>
            <b/>
            <sz val="9"/>
            <color indexed="81"/>
            <rFont val="Tahoma"/>
            <family val="2"/>
          </rPr>
          <t>&lt;[[TCDeals] - [TC Property Current Stage (Seq: 1)] - [Buildings (Seq: 12)] Acq Applicable Percentage - Both]&gt;</t>
        </r>
      </text>
    </comment>
    <comment ref="R1215" authorId="0" shapeId="0" xr:uid="{04FF9C13-B613-432E-807E-81208E25243A}">
      <text>
        <r>
          <rPr>
            <b/>
            <sz val="9"/>
            <color indexed="81"/>
            <rFont val="Tahoma"/>
            <family val="2"/>
          </rPr>
          <t>&lt;[[TCDeals] - [TC Property Current Stage (Seq: 1)] - [Buildings (Seq: 12)] Acq Est Qual Basis - Both]&gt;</t>
        </r>
      </text>
    </comment>
    <comment ref="S1215" authorId="0" shapeId="0" xr:uid="{31D3A893-DFDA-4A9E-947B-AC3407EDFF5E}">
      <text>
        <r>
          <rPr>
            <b/>
            <sz val="9"/>
            <color indexed="81"/>
            <rFont val="Tahoma"/>
            <family val="2"/>
          </rPr>
          <t>&lt;[[TCDeals] - [TC Property Current Stage (Seq: 1)] - [Buildings (Seq: 12)] Acq 8609 Basis - Both]&gt;</t>
        </r>
      </text>
    </comment>
    <comment ref="T1215" authorId="0" shapeId="0" xr:uid="{BD0252F8-F848-48E5-8EF9-5DEFC7DB14B5}">
      <text>
        <r>
          <rPr>
            <b/>
            <sz val="9"/>
            <color indexed="81"/>
            <rFont val="Tahoma"/>
            <family val="2"/>
          </rPr>
          <t>&lt;[[TCDeals] - [TC Property Current Stage (Seq: 1)] - [Buildings (Seq: 12)] Acq 8609 Credit - Both]&gt;</t>
        </r>
      </text>
    </comment>
    <comment ref="C1216" authorId="0" shapeId="0" xr:uid="{3DE51D9C-916E-472B-9107-42F59FBCD510}">
      <text>
        <r>
          <rPr>
            <b/>
            <sz val="9"/>
            <color indexed="81"/>
            <rFont val="Tahoma"/>
            <family val="2"/>
          </rPr>
          <t>&lt;[[TCDeals] - [TC Property Current Stage (Seq: 1)] - [Buildings (Seq: 13)] BIN - Both]&gt;</t>
        </r>
      </text>
    </comment>
    <comment ref="D1216" authorId="0" shapeId="0" xr:uid="{DDF34D53-93E2-4567-B161-A3E5EA85B24C}">
      <text>
        <r>
          <rPr>
            <b/>
            <sz val="9"/>
            <color indexed="81"/>
            <rFont val="Tahoma"/>
            <family val="2"/>
          </rPr>
          <t>&lt;[[TCDeals] - [TC Property Current Stage (Seq: 1)] - [Buildings (Seq: 13)] Address 1 - Both]&gt;</t>
        </r>
      </text>
    </comment>
    <comment ref="E1216" authorId="0" shapeId="0" xr:uid="{113ED461-5D71-4274-BE7F-DAA821250FEC}">
      <text>
        <r>
          <rPr>
            <b/>
            <sz val="9"/>
            <color indexed="81"/>
            <rFont val="Tahoma"/>
            <family val="2"/>
          </rPr>
          <t>&lt;[[TCDeals] - [TC Property Current Stage (Seq: 1)] - [Buildings (Seq: 13)] Num TC Units - Both]&gt;</t>
        </r>
      </text>
    </comment>
    <comment ref="F1216" authorId="0" shapeId="0" xr:uid="{DA354789-ADFD-46DE-BDD6-9A7EDA216433}">
      <text>
        <r>
          <rPr>
            <b/>
            <sz val="9"/>
            <color indexed="81"/>
            <rFont val="Tahoma"/>
            <family val="2"/>
          </rPr>
          <t>&lt;[[TCDeals] - [TC Property Current Stage (Seq: 1)] - [Buildings (Seq: 13)] PVC PIS Date - Both]&gt;</t>
        </r>
      </text>
    </comment>
    <comment ref="G1216" authorId="0" shapeId="0" xr:uid="{52D460F2-8D99-44F3-82AD-497BFE93FBDC}">
      <text>
        <r>
          <rPr>
            <b/>
            <sz val="9"/>
            <color indexed="81"/>
            <rFont val="Tahoma"/>
            <family val="2"/>
          </rPr>
          <t>&lt;[[TCDeals] - [TC Property Current Stage (Seq: 1)] - [Buildings (Seq: 13)] PVC Applicable Percentage - Both]&gt;</t>
        </r>
      </text>
    </comment>
    <comment ref="H1216" authorId="0" shapeId="0" xr:uid="{54F3C6B5-0AFC-497C-A2DA-A410F9A92B56}">
      <text>
        <r>
          <rPr>
            <b/>
            <sz val="9"/>
            <color indexed="81"/>
            <rFont val="Tahoma"/>
            <family val="2"/>
          </rPr>
          <t>&lt;[[TCDeals] - [TC Property Current Stage (Seq: 1)] - [Buildings (Seq: 13)] PVC Est Qual Basis - Both]&gt;</t>
        </r>
      </text>
    </comment>
    <comment ref="I1216" authorId="0" shapeId="0" xr:uid="{D24E621C-D62E-4CAD-8E79-34582ADFD02E}">
      <text>
        <r>
          <rPr>
            <b/>
            <sz val="9"/>
            <color indexed="81"/>
            <rFont val="Tahoma"/>
            <family val="2"/>
          </rPr>
          <t>&lt;[[TCDeals] - [TC Property Current Stage (Seq: 1)] - [Buildings (Seq: 13)] PVC8609 Basis - Both]&gt;</t>
        </r>
      </text>
    </comment>
    <comment ref="J1216" authorId="0" shapeId="0" xr:uid="{6AB4326B-B68C-4346-B0FA-88B27EEB334E}">
      <text>
        <r>
          <rPr>
            <b/>
            <sz val="9"/>
            <color indexed="81"/>
            <rFont val="Tahoma"/>
            <family val="2"/>
          </rPr>
          <t>&lt;[[TCDeals] - [TC Property Current Stage (Seq: 1)] - [Buildings (Seq: 13)] PVC8609 Credit - Both]&gt;</t>
        </r>
      </text>
    </comment>
    <comment ref="K1216" authorId="0" shapeId="0" xr:uid="{8E26056B-8355-442B-B343-B24F78D242A7}">
      <text>
        <r>
          <rPr>
            <b/>
            <sz val="9"/>
            <color indexed="81"/>
            <rFont val="Tahoma"/>
            <family val="2"/>
          </rPr>
          <t>&lt;[[TCDeals] - [TC Property Current Stage (Seq: 1)] - [Buildings (Seq: 13)] Constr PIS Date - Both]&gt;</t>
        </r>
      </text>
    </comment>
    <comment ref="L1216" authorId="0" shapeId="0" xr:uid="{8C93D1B9-B6BB-4481-9DA8-EE1D4F1F0A52}">
      <text>
        <r>
          <rPr>
            <b/>
            <sz val="9"/>
            <color indexed="81"/>
            <rFont val="Tahoma"/>
            <family val="2"/>
          </rPr>
          <t>&lt;[[TCDeals] - [TC Property Current Stage (Seq: 1)] - [Buildings (Seq: 13)] Constr Applicable Percentage - Both]&gt;</t>
        </r>
      </text>
    </comment>
    <comment ref="M1216" authorId="0" shapeId="0" xr:uid="{6718022C-A9B1-4280-B51F-D44885D5D164}">
      <text>
        <r>
          <rPr>
            <b/>
            <sz val="9"/>
            <color indexed="81"/>
            <rFont val="Tahoma"/>
            <family val="2"/>
          </rPr>
          <t>&lt;[[TCDeals] - [TC Property Current Stage (Seq: 1)] - [Buildings (Seq: 13)] Constr Est Qual Basis - Both]&gt;</t>
        </r>
      </text>
    </comment>
    <comment ref="N1216" authorId="0" shapeId="0" xr:uid="{7A1DDA1E-0EFD-4AE8-BD19-ED0A181B4540}">
      <text>
        <r>
          <rPr>
            <b/>
            <sz val="9"/>
            <color indexed="81"/>
            <rFont val="Tahoma"/>
            <family val="2"/>
          </rPr>
          <t>&lt;[[TCDeals] - [TC Property Current Stage (Seq: 1)] - [Buildings (Seq: 13)] Constr 8609 Basis - Both]&gt;</t>
        </r>
      </text>
    </comment>
    <comment ref="O1216" authorId="0" shapeId="0" xr:uid="{8E4F5638-9BBA-47D1-844E-9E8C93103E55}">
      <text>
        <r>
          <rPr>
            <b/>
            <sz val="9"/>
            <color indexed="81"/>
            <rFont val="Tahoma"/>
            <family val="2"/>
          </rPr>
          <t>&lt;[[TCDeals] - [TC Property Current Stage (Seq: 1)] - [Buildings (Seq: 13)] Constr 8609 Credit - Both]&gt;</t>
        </r>
      </text>
    </comment>
    <comment ref="P1216" authorId="0" shapeId="0" xr:uid="{7EDE41D9-22D7-4BA6-8B3A-DAEEEE65E76B}">
      <text>
        <r>
          <rPr>
            <b/>
            <sz val="9"/>
            <color indexed="81"/>
            <rFont val="Tahoma"/>
            <family val="2"/>
          </rPr>
          <t>&lt;[[TCDeals] - [TC Property Current Stage (Seq: 1)] - [Buildings (Seq: 13)] Acq PIS Date - Both]&gt;</t>
        </r>
      </text>
    </comment>
    <comment ref="Q1216" authorId="0" shapeId="0" xr:uid="{1F8E73B5-3AEB-44C8-BD39-B1877FE2F90B}">
      <text>
        <r>
          <rPr>
            <b/>
            <sz val="9"/>
            <color indexed="81"/>
            <rFont val="Tahoma"/>
            <family val="2"/>
          </rPr>
          <t>&lt;[[TCDeals] - [TC Property Current Stage (Seq: 1)] - [Buildings (Seq: 13)] Acq Applicable Percentage - Both]&gt;</t>
        </r>
      </text>
    </comment>
    <comment ref="R1216" authorId="0" shapeId="0" xr:uid="{D807821A-404E-4C0E-9E10-848560F5CE7E}">
      <text>
        <r>
          <rPr>
            <b/>
            <sz val="9"/>
            <color indexed="81"/>
            <rFont val="Tahoma"/>
            <family val="2"/>
          </rPr>
          <t>&lt;[[TCDeals] - [TC Property Current Stage (Seq: 1)] - [Buildings (Seq: 13)] Acq Est Qual Basis - Both]&gt;</t>
        </r>
      </text>
    </comment>
    <comment ref="S1216" authorId="0" shapeId="0" xr:uid="{3782C175-9638-4F31-9484-FBC3E1CF050B}">
      <text>
        <r>
          <rPr>
            <b/>
            <sz val="9"/>
            <color indexed="81"/>
            <rFont val="Tahoma"/>
            <family val="2"/>
          </rPr>
          <t>&lt;[[TCDeals] - [TC Property Current Stage (Seq: 1)] - [Buildings (Seq: 13)] Acq 8609 Basis - Both]&gt;</t>
        </r>
      </text>
    </comment>
    <comment ref="T1216" authorId="0" shapeId="0" xr:uid="{CFD2DE13-B1D1-470B-A6CA-8DD632D9BCEE}">
      <text>
        <r>
          <rPr>
            <b/>
            <sz val="9"/>
            <color indexed="81"/>
            <rFont val="Tahoma"/>
            <family val="2"/>
          </rPr>
          <t>&lt;[[TCDeals] - [TC Property Current Stage (Seq: 1)] - [Buildings (Seq: 13)] Acq 8609 Credit - Both]&gt;</t>
        </r>
      </text>
    </comment>
    <comment ref="C1217" authorId="0" shapeId="0" xr:uid="{B1DDC460-30F4-4CDC-BE8F-AC8E90547A4E}">
      <text>
        <r>
          <rPr>
            <b/>
            <sz val="9"/>
            <color indexed="81"/>
            <rFont val="Tahoma"/>
            <family val="2"/>
          </rPr>
          <t>&lt;[[TCDeals] - [TC Property Current Stage (Seq: 1)] - [Buildings (Seq: 14)] BIN - Both]&gt;</t>
        </r>
      </text>
    </comment>
    <comment ref="D1217" authorId="0" shapeId="0" xr:uid="{A1301EBE-5240-48A6-843B-58971BC4DA0B}">
      <text>
        <r>
          <rPr>
            <b/>
            <sz val="9"/>
            <color indexed="81"/>
            <rFont val="Tahoma"/>
            <family val="2"/>
          </rPr>
          <t>&lt;[[TCDeals] - [TC Property Current Stage (Seq: 1)] - [Buildings (Seq: 14)] Address 1 - Both]&gt;</t>
        </r>
      </text>
    </comment>
    <comment ref="E1217" authorId="0" shapeId="0" xr:uid="{0DEE9679-D179-4B9D-BD9A-EDA9401F0E9F}">
      <text>
        <r>
          <rPr>
            <b/>
            <sz val="9"/>
            <color indexed="81"/>
            <rFont val="Tahoma"/>
            <family val="2"/>
          </rPr>
          <t>&lt;[[TCDeals] - [TC Property Current Stage (Seq: 1)] - [Buildings (Seq: 14)] Num TC Units - Both]&gt;</t>
        </r>
      </text>
    </comment>
    <comment ref="F1217" authorId="0" shapeId="0" xr:uid="{C45D8A9C-891A-4B36-AAD1-3F65456676C7}">
      <text>
        <r>
          <rPr>
            <b/>
            <sz val="9"/>
            <color indexed="81"/>
            <rFont val="Tahoma"/>
            <family val="2"/>
          </rPr>
          <t>&lt;[[TCDeals] - [TC Property Current Stage (Seq: 1)] - [Buildings (Seq: 14)] PVC PIS Date - Both]&gt;</t>
        </r>
      </text>
    </comment>
    <comment ref="G1217" authorId="0" shapeId="0" xr:uid="{12B80ED7-8C05-4237-9090-8D764E857A13}">
      <text>
        <r>
          <rPr>
            <b/>
            <sz val="9"/>
            <color indexed="81"/>
            <rFont val="Tahoma"/>
            <family val="2"/>
          </rPr>
          <t>&lt;[[TCDeals] - [TC Property Current Stage (Seq: 1)] - [Buildings (Seq: 14)] PVC Applicable Percentage - Both]&gt;</t>
        </r>
      </text>
    </comment>
    <comment ref="H1217" authorId="0" shapeId="0" xr:uid="{4FDD183C-00DF-49F1-B19A-766AC938742A}">
      <text>
        <r>
          <rPr>
            <b/>
            <sz val="9"/>
            <color indexed="81"/>
            <rFont val="Tahoma"/>
            <family val="2"/>
          </rPr>
          <t>&lt;[[TCDeals] - [TC Property Current Stage (Seq: 1)] - [Buildings (Seq: 14)] PVC Est Qual Basis - Both]&gt;</t>
        </r>
      </text>
    </comment>
    <comment ref="I1217" authorId="0" shapeId="0" xr:uid="{5E71CC3D-9F7C-41C9-A818-DC24A0B0084B}">
      <text>
        <r>
          <rPr>
            <b/>
            <sz val="9"/>
            <color indexed="81"/>
            <rFont val="Tahoma"/>
            <family val="2"/>
          </rPr>
          <t>&lt;[[TCDeals] - [TC Property Current Stage (Seq: 1)] - [Buildings (Seq: 14)] PVC8609 Basis - Both]&gt;</t>
        </r>
      </text>
    </comment>
    <comment ref="J1217" authorId="0" shapeId="0" xr:uid="{4FBDE14E-2F85-4EAF-A112-3C5A0A552421}">
      <text>
        <r>
          <rPr>
            <b/>
            <sz val="9"/>
            <color indexed="81"/>
            <rFont val="Tahoma"/>
            <family val="2"/>
          </rPr>
          <t>&lt;[[TCDeals] - [TC Property Current Stage (Seq: 1)] - [Buildings (Seq: 14)] PVC8609 Credit - Both]&gt;</t>
        </r>
      </text>
    </comment>
    <comment ref="K1217" authorId="0" shapeId="0" xr:uid="{21B31DE0-1811-44AA-ACAD-2B06307BC1B1}">
      <text>
        <r>
          <rPr>
            <b/>
            <sz val="9"/>
            <color indexed="81"/>
            <rFont val="Tahoma"/>
            <family val="2"/>
          </rPr>
          <t>&lt;[[TCDeals] - [TC Property Current Stage (Seq: 1)] - [Buildings (Seq: 14)] Constr PIS Date - Both]&gt;</t>
        </r>
      </text>
    </comment>
    <comment ref="L1217" authorId="0" shapeId="0" xr:uid="{E4F48B46-E138-471D-BE2D-B185A9416A04}">
      <text>
        <r>
          <rPr>
            <b/>
            <sz val="9"/>
            <color indexed="81"/>
            <rFont val="Tahoma"/>
            <family val="2"/>
          </rPr>
          <t>&lt;[[TCDeals] - [TC Property Current Stage (Seq: 1)] - [Buildings (Seq: 14)] Constr Applicable Percentage - Both]&gt;</t>
        </r>
      </text>
    </comment>
    <comment ref="M1217" authorId="0" shapeId="0" xr:uid="{897DCEF5-4B25-443D-BC8C-99BA20F7A40A}">
      <text>
        <r>
          <rPr>
            <b/>
            <sz val="9"/>
            <color indexed="81"/>
            <rFont val="Tahoma"/>
            <family val="2"/>
          </rPr>
          <t>&lt;[[TCDeals] - [TC Property Current Stage (Seq: 1)] - [Buildings (Seq: 14)] Constr Est Qual Basis - Both]&gt;</t>
        </r>
      </text>
    </comment>
    <comment ref="N1217" authorId="0" shapeId="0" xr:uid="{ECED3CDF-B8A0-4E44-B4FF-47BD0D55E89C}">
      <text>
        <r>
          <rPr>
            <b/>
            <sz val="9"/>
            <color indexed="81"/>
            <rFont val="Tahoma"/>
            <family val="2"/>
          </rPr>
          <t>&lt;[[TCDeals] - [TC Property Current Stage (Seq: 1)] - [Buildings (Seq: 14)] Constr 8609 Basis - Both]&gt;</t>
        </r>
      </text>
    </comment>
    <comment ref="O1217" authorId="0" shapeId="0" xr:uid="{E5F32D00-451C-49F1-8208-D0EFD5F02046}">
      <text>
        <r>
          <rPr>
            <b/>
            <sz val="9"/>
            <color indexed="81"/>
            <rFont val="Tahoma"/>
            <family val="2"/>
          </rPr>
          <t>&lt;[[TCDeals] - [TC Property Current Stage (Seq: 1)] - [Buildings (Seq: 14)] Constr 8609 Credit - Both]&gt;</t>
        </r>
      </text>
    </comment>
    <comment ref="P1217" authorId="0" shapeId="0" xr:uid="{85A6A408-97F2-4E15-9473-B465901D92EE}">
      <text>
        <r>
          <rPr>
            <b/>
            <sz val="9"/>
            <color indexed="81"/>
            <rFont val="Tahoma"/>
            <family val="2"/>
          </rPr>
          <t>&lt;[[TCDeals] - [TC Property Current Stage (Seq: 1)] - [Buildings (Seq: 14)] Acq PIS Date - Both]&gt;</t>
        </r>
      </text>
    </comment>
    <comment ref="Q1217" authorId="0" shapeId="0" xr:uid="{1FCDA022-1364-4F5F-BE92-D75A3AA773D1}">
      <text>
        <r>
          <rPr>
            <b/>
            <sz val="9"/>
            <color indexed="81"/>
            <rFont val="Tahoma"/>
            <family val="2"/>
          </rPr>
          <t>&lt;[[TCDeals] - [TC Property Current Stage (Seq: 1)] - [Buildings (Seq: 14)] Acq Applicable Percentage - Both]&gt;</t>
        </r>
      </text>
    </comment>
    <comment ref="R1217" authorId="0" shapeId="0" xr:uid="{94A8AE3A-6B87-4015-9ED7-B0379772718C}">
      <text>
        <r>
          <rPr>
            <b/>
            <sz val="9"/>
            <color indexed="81"/>
            <rFont val="Tahoma"/>
            <family val="2"/>
          </rPr>
          <t>&lt;[[TCDeals] - [TC Property Current Stage (Seq: 1)] - [Buildings (Seq: 14)] Acq Est Qual Basis - Both]&gt;</t>
        </r>
      </text>
    </comment>
    <comment ref="S1217" authorId="0" shapeId="0" xr:uid="{9F7D76E8-1DFF-43F5-9C57-96534D249306}">
      <text>
        <r>
          <rPr>
            <b/>
            <sz val="9"/>
            <color indexed="81"/>
            <rFont val="Tahoma"/>
            <family val="2"/>
          </rPr>
          <t>&lt;[[TCDeals] - [TC Property Current Stage (Seq: 1)] - [Buildings (Seq: 14)] Acq 8609 Basis - Both]&gt;</t>
        </r>
      </text>
    </comment>
    <comment ref="T1217" authorId="0" shapeId="0" xr:uid="{CB87CB14-662B-4B81-AA0E-529E384803B1}">
      <text>
        <r>
          <rPr>
            <b/>
            <sz val="9"/>
            <color indexed="81"/>
            <rFont val="Tahoma"/>
            <family val="2"/>
          </rPr>
          <t>&lt;[[TCDeals] - [TC Property Current Stage (Seq: 1)] - [Buildings (Seq: 14)] Acq 8609 Credit - Both]&gt;</t>
        </r>
      </text>
    </comment>
    <comment ref="C1218" authorId="0" shapeId="0" xr:uid="{A2DBD4F8-FF04-4BF7-873F-1013060CD682}">
      <text>
        <r>
          <rPr>
            <b/>
            <sz val="9"/>
            <color indexed="81"/>
            <rFont val="Tahoma"/>
            <family val="2"/>
          </rPr>
          <t>&lt;[[TCDeals] - [TC Property Current Stage (Seq: 1)] - [Buildings (Seq: 15)] BIN - Both]&gt;</t>
        </r>
      </text>
    </comment>
    <comment ref="D1218" authorId="0" shapeId="0" xr:uid="{4D2F41E3-B547-4374-8091-ABE13C4AAF4B}">
      <text>
        <r>
          <rPr>
            <b/>
            <sz val="9"/>
            <color indexed="81"/>
            <rFont val="Tahoma"/>
            <family val="2"/>
          </rPr>
          <t>&lt;[[TCDeals] - [TC Property Current Stage (Seq: 1)] - [Buildings (Seq: 15)] Address 1 - Both]&gt;</t>
        </r>
      </text>
    </comment>
    <comment ref="E1218" authorId="0" shapeId="0" xr:uid="{F1951D41-5450-466B-8C85-81C52579A775}">
      <text>
        <r>
          <rPr>
            <b/>
            <sz val="9"/>
            <color indexed="81"/>
            <rFont val="Tahoma"/>
            <family val="2"/>
          </rPr>
          <t>&lt;[[TCDeals] - [TC Property Current Stage (Seq: 1)] - [Buildings (Seq: 15)] Num TC Units - Both]&gt;</t>
        </r>
      </text>
    </comment>
    <comment ref="F1218" authorId="0" shapeId="0" xr:uid="{2E01E973-9E95-4A61-9E87-BC64657772B9}">
      <text>
        <r>
          <rPr>
            <b/>
            <sz val="9"/>
            <color indexed="81"/>
            <rFont val="Tahoma"/>
            <family val="2"/>
          </rPr>
          <t>&lt;[[TCDeals] - [TC Property Current Stage (Seq: 1)] - [Buildings (Seq: 15)] PVC PIS Date - Both]&gt;</t>
        </r>
      </text>
    </comment>
    <comment ref="G1218" authorId="0" shapeId="0" xr:uid="{FA381E3E-ABE1-428D-B815-7D6E220ECFD4}">
      <text>
        <r>
          <rPr>
            <b/>
            <sz val="9"/>
            <color indexed="81"/>
            <rFont val="Tahoma"/>
            <family val="2"/>
          </rPr>
          <t>&lt;[[TCDeals] - [TC Property Current Stage (Seq: 1)] - [Buildings (Seq: 15)] PVC Applicable Percentage - Both]&gt;</t>
        </r>
      </text>
    </comment>
    <comment ref="H1218" authorId="0" shapeId="0" xr:uid="{544D0780-2EE0-47BF-904F-ADCD0C8B8D02}">
      <text>
        <r>
          <rPr>
            <b/>
            <sz val="9"/>
            <color indexed="81"/>
            <rFont val="Tahoma"/>
            <family val="2"/>
          </rPr>
          <t>&lt;[[TCDeals] - [TC Property Current Stage (Seq: 1)] - [Buildings (Seq: 15)] PVC Est Qual Basis - Both]&gt;</t>
        </r>
      </text>
    </comment>
    <comment ref="I1218" authorId="0" shapeId="0" xr:uid="{7A9281D3-B893-43AD-A4C2-ADAFE93F09DF}">
      <text>
        <r>
          <rPr>
            <b/>
            <sz val="9"/>
            <color indexed="81"/>
            <rFont val="Tahoma"/>
            <family val="2"/>
          </rPr>
          <t>&lt;[[TCDeals] - [TC Property Current Stage (Seq: 1)] - [Buildings (Seq: 15)] PVC8609 Basis - Both]&gt;</t>
        </r>
      </text>
    </comment>
    <comment ref="J1218" authorId="0" shapeId="0" xr:uid="{6A5EC8C9-3C2B-494B-A6C3-B77DC08A884F}">
      <text>
        <r>
          <rPr>
            <b/>
            <sz val="9"/>
            <color indexed="81"/>
            <rFont val="Tahoma"/>
            <family val="2"/>
          </rPr>
          <t>&lt;[[TCDeals] - [TC Property Current Stage (Seq: 1)] - [Buildings (Seq: 15)] PVC8609 Credit - Both]&gt;</t>
        </r>
      </text>
    </comment>
    <comment ref="K1218" authorId="0" shapeId="0" xr:uid="{2825FC95-D7B7-45FD-B5CF-BC65E14ACE19}">
      <text>
        <r>
          <rPr>
            <b/>
            <sz val="9"/>
            <color indexed="81"/>
            <rFont val="Tahoma"/>
            <family val="2"/>
          </rPr>
          <t>&lt;[[TCDeals] - [TC Property Current Stage (Seq: 1)] - [Buildings (Seq: 15)] Constr PIS Date - Both]&gt;</t>
        </r>
      </text>
    </comment>
    <comment ref="L1218" authorId="0" shapeId="0" xr:uid="{7241B414-6C1D-4221-A2FC-530812BEE1DF}">
      <text>
        <r>
          <rPr>
            <b/>
            <sz val="9"/>
            <color indexed="81"/>
            <rFont val="Tahoma"/>
            <family val="2"/>
          </rPr>
          <t>&lt;[[TCDeals] - [TC Property Current Stage (Seq: 1)] - [Buildings (Seq: 15)] Constr Applicable Percentage - Both]&gt;</t>
        </r>
      </text>
    </comment>
    <comment ref="M1218" authorId="0" shapeId="0" xr:uid="{84E30A46-28C4-45FC-BD02-9540244ABF45}">
      <text>
        <r>
          <rPr>
            <b/>
            <sz val="9"/>
            <color indexed="81"/>
            <rFont val="Tahoma"/>
            <family val="2"/>
          </rPr>
          <t>&lt;[[TCDeals] - [TC Property Current Stage (Seq: 1)] - [Buildings (Seq: 15)] Constr Est Qual Basis - Both]&gt;</t>
        </r>
      </text>
    </comment>
    <comment ref="N1218" authorId="0" shapeId="0" xr:uid="{C64935F8-56CA-40E2-B292-15C4B3FD9661}">
      <text>
        <r>
          <rPr>
            <b/>
            <sz val="9"/>
            <color indexed="81"/>
            <rFont val="Tahoma"/>
            <family val="2"/>
          </rPr>
          <t>&lt;[[TCDeals] - [TC Property Current Stage (Seq: 1)] - [Buildings (Seq: 15)] Constr 8609 Basis - Both]&gt;</t>
        </r>
      </text>
    </comment>
    <comment ref="O1218" authorId="0" shapeId="0" xr:uid="{444DF75B-ACE7-4182-B6B9-F310D8F9FE34}">
      <text>
        <r>
          <rPr>
            <b/>
            <sz val="9"/>
            <color indexed="81"/>
            <rFont val="Tahoma"/>
            <family val="2"/>
          </rPr>
          <t>&lt;[[TCDeals] - [TC Property Current Stage (Seq: 1)] - [Buildings (Seq: 15)] Constr 8609 Credit - Both]&gt;</t>
        </r>
      </text>
    </comment>
    <comment ref="P1218" authorId="0" shapeId="0" xr:uid="{7C43B788-91C3-4D58-85CC-9F050EE0783F}">
      <text>
        <r>
          <rPr>
            <b/>
            <sz val="9"/>
            <color indexed="81"/>
            <rFont val="Tahoma"/>
            <family val="2"/>
          </rPr>
          <t>&lt;[[TCDeals] - [TC Property Current Stage (Seq: 1)] - [Buildings (Seq: 15)] Acq PIS Date - Both]&gt;</t>
        </r>
      </text>
    </comment>
    <comment ref="Q1218" authorId="0" shapeId="0" xr:uid="{75943B4E-690F-458D-BE37-2917570887FF}">
      <text>
        <r>
          <rPr>
            <b/>
            <sz val="9"/>
            <color indexed="81"/>
            <rFont val="Tahoma"/>
            <family val="2"/>
          </rPr>
          <t>&lt;[[TCDeals] - [TC Property Current Stage (Seq: 1)] - [Buildings (Seq: 15)] Acq Applicable Percentage - Both]&gt;</t>
        </r>
      </text>
    </comment>
    <comment ref="R1218" authorId="0" shapeId="0" xr:uid="{718420DE-A131-4A61-AEDE-ABC4214EBFDB}">
      <text>
        <r>
          <rPr>
            <b/>
            <sz val="9"/>
            <color indexed="81"/>
            <rFont val="Tahoma"/>
            <family val="2"/>
          </rPr>
          <t>&lt;[[TCDeals] - [TC Property Current Stage (Seq: 1)] - [Buildings (Seq: 15)] Acq Est Qual Basis - Both]&gt;</t>
        </r>
      </text>
    </comment>
    <comment ref="S1218" authorId="0" shapeId="0" xr:uid="{3317E937-95CA-416A-A0AD-BD46DA147697}">
      <text>
        <r>
          <rPr>
            <b/>
            <sz val="9"/>
            <color indexed="81"/>
            <rFont val="Tahoma"/>
            <family val="2"/>
          </rPr>
          <t>&lt;[[TCDeals] - [TC Property Current Stage (Seq: 1)] - [Buildings (Seq: 15)] Acq 8609 Basis - Both]&gt;</t>
        </r>
      </text>
    </comment>
    <comment ref="T1218" authorId="0" shapeId="0" xr:uid="{22681F11-1E92-4446-AF82-EF8614B9A15F}">
      <text>
        <r>
          <rPr>
            <b/>
            <sz val="9"/>
            <color indexed="81"/>
            <rFont val="Tahoma"/>
            <family val="2"/>
          </rPr>
          <t>&lt;[[TCDeals] - [TC Property Current Stage (Seq: 1)] - [Buildings (Seq: 15)] Acq 8609 Credit - Both]&gt;</t>
        </r>
      </text>
    </comment>
    <comment ref="C1219" authorId="0" shapeId="0" xr:uid="{D419FB4C-E5F5-47F1-BC6D-F0D160B1BF2D}">
      <text>
        <r>
          <rPr>
            <b/>
            <sz val="9"/>
            <color indexed="81"/>
            <rFont val="Tahoma"/>
            <family val="2"/>
          </rPr>
          <t>&lt;[[TCDeals] - [TC Property Current Stage (Seq: 1)] - [Buildings (Seq: 16)] BIN - Both]&gt;</t>
        </r>
      </text>
    </comment>
    <comment ref="D1219" authorId="0" shapeId="0" xr:uid="{67F04123-E16B-4A06-BAD0-44063BC9509B}">
      <text>
        <r>
          <rPr>
            <b/>
            <sz val="9"/>
            <color indexed="81"/>
            <rFont val="Tahoma"/>
            <family val="2"/>
          </rPr>
          <t>&lt;[[TCDeals] - [TC Property Current Stage (Seq: 1)] - [Buildings (Seq: 16)] Address 1 - Both]&gt;</t>
        </r>
      </text>
    </comment>
    <comment ref="E1219" authorId="0" shapeId="0" xr:uid="{60939E44-D376-4EAA-A8AD-ED8895A1A8F4}">
      <text>
        <r>
          <rPr>
            <b/>
            <sz val="9"/>
            <color indexed="81"/>
            <rFont val="Tahoma"/>
            <family val="2"/>
          </rPr>
          <t>&lt;[[TCDeals] - [TC Property Current Stage (Seq: 1)] - [Buildings (Seq: 16)] Num TC Units - Both]&gt;</t>
        </r>
      </text>
    </comment>
    <comment ref="F1219" authorId="0" shapeId="0" xr:uid="{D57B2639-BBFA-4EAD-BC82-0491C18BD87A}">
      <text>
        <r>
          <rPr>
            <b/>
            <sz val="9"/>
            <color indexed="81"/>
            <rFont val="Tahoma"/>
            <family val="2"/>
          </rPr>
          <t>&lt;[[TCDeals] - [TC Property Current Stage (Seq: 1)] - [Buildings (Seq: 16)] PVC PIS Date - Both]&gt;</t>
        </r>
      </text>
    </comment>
    <comment ref="G1219" authorId="0" shapeId="0" xr:uid="{57998295-7DED-4BDF-A3EA-5B53BB1C32F5}">
      <text>
        <r>
          <rPr>
            <b/>
            <sz val="9"/>
            <color indexed="81"/>
            <rFont val="Tahoma"/>
            <family val="2"/>
          </rPr>
          <t>&lt;[[TCDeals] - [TC Property Current Stage (Seq: 1)] - [Buildings (Seq: 16)] PVC Applicable Percentage - Both]&gt;</t>
        </r>
      </text>
    </comment>
    <comment ref="H1219" authorId="0" shapeId="0" xr:uid="{2C8174D8-FD07-447E-B30C-F20D53CC47B9}">
      <text>
        <r>
          <rPr>
            <b/>
            <sz val="9"/>
            <color indexed="81"/>
            <rFont val="Tahoma"/>
            <family val="2"/>
          </rPr>
          <t>&lt;[[TCDeals] - [TC Property Current Stage (Seq: 1)] - [Buildings (Seq: 16)] PVC Est Qual Basis - Both]&gt;</t>
        </r>
      </text>
    </comment>
    <comment ref="I1219" authorId="0" shapeId="0" xr:uid="{3EC8AA3A-361D-437B-908E-B8B8FAC5A713}">
      <text>
        <r>
          <rPr>
            <b/>
            <sz val="9"/>
            <color indexed="81"/>
            <rFont val="Tahoma"/>
            <family val="2"/>
          </rPr>
          <t>&lt;[[TCDeals] - [TC Property Current Stage (Seq: 1)] - [Buildings (Seq: 16)] PVC8609 Basis - Both]&gt;</t>
        </r>
      </text>
    </comment>
    <comment ref="J1219" authorId="0" shapeId="0" xr:uid="{9082F3EA-5461-46A7-9D45-C88D8374BD8E}">
      <text>
        <r>
          <rPr>
            <b/>
            <sz val="9"/>
            <color indexed="81"/>
            <rFont val="Tahoma"/>
            <family val="2"/>
          </rPr>
          <t>&lt;[[TCDeals] - [TC Property Current Stage (Seq: 1)] - [Buildings (Seq: 16)] PVC8609 Credit - Both]&gt;</t>
        </r>
      </text>
    </comment>
    <comment ref="K1219" authorId="0" shapeId="0" xr:uid="{92AE7BE7-C7B0-4032-9F28-A37705730696}">
      <text>
        <r>
          <rPr>
            <b/>
            <sz val="9"/>
            <color indexed="81"/>
            <rFont val="Tahoma"/>
            <family val="2"/>
          </rPr>
          <t>&lt;[[TCDeals] - [TC Property Current Stage (Seq: 1)] - [Buildings (Seq: 16)] Constr PIS Date - Both]&gt;</t>
        </r>
      </text>
    </comment>
    <comment ref="L1219" authorId="0" shapeId="0" xr:uid="{33CFEE4C-9B6C-4D51-A58D-4D6C5691A371}">
      <text>
        <r>
          <rPr>
            <b/>
            <sz val="9"/>
            <color indexed="81"/>
            <rFont val="Tahoma"/>
            <family val="2"/>
          </rPr>
          <t>&lt;[[TCDeals] - [TC Property Current Stage (Seq: 1)] - [Buildings (Seq: 16)] Constr Applicable Percentage - Both]&gt;</t>
        </r>
      </text>
    </comment>
    <comment ref="M1219" authorId="0" shapeId="0" xr:uid="{7676240E-0D20-41F6-A082-1DBB790D60C7}">
      <text>
        <r>
          <rPr>
            <b/>
            <sz val="9"/>
            <color indexed="81"/>
            <rFont val="Tahoma"/>
            <family val="2"/>
          </rPr>
          <t>&lt;[[TCDeals] - [TC Property Current Stage (Seq: 1)] - [Buildings (Seq: 16)] Constr Est Qual Basis - Both]&gt;</t>
        </r>
      </text>
    </comment>
    <comment ref="N1219" authorId="0" shapeId="0" xr:uid="{F3E2C3A3-80DF-4F3C-883D-407B54049259}">
      <text>
        <r>
          <rPr>
            <b/>
            <sz val="9"/>
            <color indexed="81"/>
            <rFont val="Tahoma"/>
            <family val="2"/>
          </rPr>
          <t>&lt;[[TCDeals] - [TC Property Current Stage (Seq: 1)] - [Buildings (Seq: 16)] Constr 8609 Basis - Both]&gt;</t>
        </r>
      </text>
    </comment>
    <comment ref="O1219" authorId="0" shapeId="0" xr:uid="{B68A4BD6-D3DF-462E-9EAA-5A9922BFD1E0}">
      <text>
        <r>
          <rPr>
            <b/>
            <sz val="9"/>
            <color indexed="81"/>
            <rFont val="Tahoma"/>
            <family val="2"/>
          </rPr>
          <t>&lt;[[TCDeals] - [TC Property Current Stage (Seq: 1)] - [Buildings (Seq: 16)] Constr 8609 Credit - Both]&gt;</t>
        </r>
      </text>
    </comment>
    <comment ref="P1219" authorId="0" shapeId="0" xr:uid="{77A41928-3809-4F76-9491-22C59A0F26CE}">
      <text>
        <r>
          <rPr>
            <b/>
            <sz val="9"/>
            <color indexed="81"/>
            <rFont val="Tahoma"/>
            <family val="2"/>
          </rPr>
          <t>&lt;[[TCDeals] - [TC Property Current Stage (Seq: 1)] - [Buildings (Seq: 16)] Acq PIS Date - Both]&gt;</t>
        </r>
      </text>
    </comment>
    <comment ref="Q1219" authorId="0" shapeId="0" xr:uid="{A2E68235-C726-4207-B275-70F54BA808DE}">
      <text>
        <r>
          <rPr>
            <b/>
            <sz val="9"/>
            <color indexed="81"/>
            <rFont val="Tahoma"/>
            <family val="2"/>
          </rPr>
          <t>&lt;[[TCDeals] - [TC Property Current Stage (Seq: 1)] - [Buildings (Seq: 16)] Acq Applicable Percentage - Both]&gt;</t>
        </r>
      </text>
    </comment>
    <comment ref="R1219" authorId="0" shapeId="0" xr:uid="{3F9EF32A-F7EF-443A-8C8C-82896227D7AB}">
      <text>
        <r>
          <rPr>
            <b/>
            <sz val="9"/>
            <color indexed="81"/>
            <rFont val="Tahoma"/>
            <family val="2"/>
          </rPr>
          <t>&lt;[[TCDeals] - [TC Property Current Stage (Seq: 1)] - [Buildings (Seq: 16)] Acq Est Qual Basis - Both]&gt;</t>
        </r>
      </text>
    </comment>
    <comment ref="S1219" authorId="0" shapeId="0" xr:uid="{843ED705-C253-4682-9F22-DE054F3F6F28}">
      <text>
        <r>
          <rPr>
            <b/>
            <sz val="9"/>
            <color indexed="81"/>
            <rFont val="Tahoma"/>
            <family val="2"/>
          </rPr>
          <t>&lt;[[TCDeals] - [TC Property Current Stage (Seq: 1)] - [Buildings (Seq: 16)] Acq 8609 Basis - Both]&gt;</t>
        </r>
      </text>
    </comment>
    <comment ref="T1219" authorId="0" shapeId="0" xr:uid="{E91C55B1-99B9-43B3-995B-92E3A62E014C}">
      <text>
        <r>
          <rPr>
            <b/>
            <sz val="9"/>
            <color indexed="81"/>
            <rFont val="Tahoma"/>
            <family val="2"/>
          </rPr>
          <t>&lt;[[TCDeals] - [TC Property Current Stage (Seq: 1)] - [Buildings (Seq: 16)] Acq 8609 Credit - Both]&gt;</t>
        </r>
      </text>
    </comment>
    <comment ref="C1220" authorId="0" shapeId="0" xr:uid="{F7B92729-11B3-43B4-8370-98558EC08E44}">
      <text>
        <r>
          <rPr>
            <b/>
            <sz val="9"/>
            <color indexed="81"/>
            <rFont val="Tahoma"/>
            <family val="2"/>
          </rPr>
          <t>&lt;[[TCDeals] - [TC Property Current Stage (Seq: 1)] - [Buildings (Seq: 17)] BIN - Both]&gt;</t>
        </r>
      </text>
    </comment>
    <comment ref="D1220" authorId="0" shapeId="0" xr:uid="{8F497E26-7E6E-4FF6-ACAC-91BCE6951E39}">
      <text>
        <r>
          <rPr>
            <b/>
            <sz val="9"/>
            <color indexed="81"/>
            <rFont val="Tahoma"/>
            <family val="2"/>
          </rPr>
          <t>&lt;[[TCDeals] - [TC Property Current Stage (Seq: 1)] - [Buildings (Seq: 17)] Address 1 - Both]&gt;</t>
        </r>
      </text>
    </comment>
    <comment ref="E1220" authorId="0" shapeId="0" xr:uid="{1C4578B8-399D-42D1-93F4-CDE3FAF673AA}">
      <text>
        <r>
          <rPr>
            <b/>
            <sz val="9"/>
            <color indexed="81"/>
            <rFont val="Tahoma"/>
            <family val="2"/>
          </rPr>
          <t>&lt;[[TCDeals] - [TC Property Current Stage (Seq: 1)] - [Buildings (Seq: 17)] Num TC Units - Both]&gt;</t>
        </r>
      </text>
    </comment>
    <comment ref="F1220" authorId="0" shapeId="0" xr:uid="{B15546AB-EDB6-4A6B-B02C-4DA04E7370E2}">
      <text>
        <r>
          <rPr>
            <b/>
            <sz val="9"/>
            <color indexed="81"/>
            <rFont val="Tahoma"/>
            <family val="2"/>
          </rPr>
          <t>&lt;[[TCDeals] - [TC Property Current Stage (Seq: 1)] - [Buildings (Seq: 17)] PVC PIS Date - Both]&gt;</t>
        </r>
      </text>
    </comment>
    <comment ref="G1220" authorId="0" shapeId="0" xr:uid="{24AF5139-5204-43E8-A530-A48EF1C59F12}">
      <text>
        <r>
          <rPr>
            <b/>
            <sz val="9"/>
            <color indexed="81"/>
            <rFont val="Tahoma"/>
            <family val="2"/>
          </rPr>
          <t>&lt;[[TCDeals] - [TC Property Current Stage (Seq: 1)] - [Buildings (Seq: 17)] PVC Applicable Percentage - Both]&gt;</t>
        </r>
      </text>
    </comment>
    <comment ref="H1220" authorId="0" shapeId="0" xr:uid="{1C07A33A-37FA-4AE4-BF8D-40B4492FEADE}">
      <text>
        <r>
          <rPr>
            <b/>
            <sz val="9"/>
            <color indexed="81"/>
            <rFont val="Tahoma"/>
            <family val="2"/>
          </rPr>
          <t>&lt;[[TCDeals] - [TC Property Current Stage (Seq: 1)] - [Buildings (Seq: 17)] PVC Est Qual Basis - Both]&gt;</t>
        </r>
      </text>
    </comment>
    <comment ref="I1220" authorId="0" shapeId="0" xr:uid="{DDF7D4D4-C069-4A5F-BF1B-C693A6611508}">
      <text>
        <r>
          <rPr>
            <b/>
            <sz val="9"/>
            <color indexed="81"/>
            <rFont val="Tahoma"/>
            <family val="2"/>
          </rPr>
          <t>&lt;[[TCDeals] - [TC Property Current Stage (Seq: 1)] - [Buildings (Seq: 17)] PVC8609 Basis - Both]&gt;</t>
        </r>
      </text>
    </comment>
    <comment ref="J1220" authorId="0" shapeId="0" xr:uid="{E717971A-BB6C-46FF-A873-C7E0217249DF}">
      <text>
        <r>
          <rPr>
            <b/>
            <sz val="9"/>
            <color indexed="81"/>
            <rFont val="Tahoma"/>
            <family val="2"/>
          </rPr>
          <t>&lt;[[TCDeals] - [TC Property Current Stage (Seq: 1)] - [Buildings (Seq: 17)] PVC8609 Credit - Both]&gt;</t>
        </r>
      </text>
    </comment>
    <comment ref="K1220" authorId="0" shapeId="0" xr:uid="{F83CBA75-1BEC-4476-B4EE-7AFE1539F89F}">
      <text>
        <r>
          <rPr>
            <b/>
            <sz val="9"/>
            <color indexed="81"/>
            <rFont val="Tahoma"/>
            <family val="2"/>
          </rPr>
          <t>&lt;[[TCDeals] - [TC Property Current Stage (Seq: 1)] - [Buildings (Seq: 17)] Constr PIS Date - Both]&gt;</t>
        </r>
      </text>
    </comment>
    <comment ref="L1220" authorId="0" shapeId="0" xr:uid="{E5789003-1B27-4D49-BA00-4F53597EABE3}">
      <text>
        <r>
          <rPr>
            <b/>
            <sz val="9"/>
            <color indexed="81"/>
            <rFont val="Tahoma"/>
            <family val="2"/>
          </rPr>
          <t>&lt;[[TCDeals] - [TC Property Current Stage (Seq: 1)] - [Buildings (Seq: 17)] Constr Applicable Percentage - Both]&gt;</t>
        </r>
      </text>
    </comment>
    <comment ref="M1220" authorId="0" shapeId="0" xr:uid="{6B8BE040-4CF9-42CF-8EE3-FA6807CD9511}">
      <text>
        <r>
          <rPr>
            <b/>
            <sz val="9"/>
            <color indexed="81"/>
            <rFont val="Tahoma"/>
            <family val="2"/>
          </rPr>
          <t>&lt;[[TCDeals] - [TC Property Current Stage (Seq: 1)] - [Buildings (Seq: 17)] Constr Est Qual Basis - Both]&gt;</t>
        </r>
      </text>
    </comment>
    <comment ref="N1220" authorId="0" shapeId="0" xr:uid="{E506B459-5D5D-445E-B68A-6C8A83CEBFDD}">
      <text>
        <r>
          <rPr>
            <b/>
            <sz val="9"/>
            <color indexed="81"/>
            <rFont val="Tahoma"/>
            <family val="2"/>
          </rPr>
          <t>&lt;[[TCDeals] - [TC Property Current Stage (Seq: 1)] - [Buildings (Seq: 17)] Constr 8609 Basis - Both]&gt;</t>
        </r>
      </text>
    </comment>
    <comment ref="O1220" authorId="0" shapeId="0" xr:uid="{8C791AFC-BE37-4739-909E-5B70F4FBE59E}">
      <text>
        <r>
          <rPr>
            <b/>
            <sz val="9"/>
            <color indexed="81"/>
            <rFont val="Tahoma"/>
            <family val="2"/>
          </rPr>
          <t>&lt;[[TCDeals] - [TC Property Current Stage (Seq: 1)] - [Buildings (Seq: 17)] Constr 8609 Credit - Both]&gt;</t>
        </r>
      </text>
    </comment>
    <comment ref="P1220" authorId="0" shapeId="0" xr:uid="{142272FE-61AF-4360-9C6C-42DE455BE0FF}">
      <text>
        <r>
          <rPr>
            <b/>
            <sz val="9"/>
            <color indexed="81"/>
            <rFont val="Tahoma"/>
            <family val="2"/>
          </rPr>
          <t>&lt;[[TCDeals] - [TC Property Current Stage (Seq: 1)] - [Buildings (Seq: 17)] Acq PIS Date - Both]&gt;</t>
        </r>
      </text>
    </comment>
    <comment ref="Q1220" authorId="0" shapeId="0" xr:uid="{5E465A5C-7C13-4A97-8054-288BCC058009}">
      <text>
        <r>
          <rPr>
            <b/>
            <sz val="9"/>
            <color indexed="81"/>
            <rFont val="Tahoma"/>
            <family val="2"/>
          </rPr>
          <t>&lt;[[TCDeals] - [TC Property Current Stage (Seq: 1)] - [Buildings (Seq: 17)] Acq Applicable Percentage - Both]&gt;</t>
        </r>
      </text>
    </comment>
    <comment ref="R1220" authorId="0" shapeId="0" xr:uid="{53751AB2-CBE7-4BCE-A45C-9D529DBCE6F6}">
      <text>
        <r>
          <rPr>
            <b/>
            <sz val="9"/>
            <color indexed="81"/>
            <rFont val="Tahoma"/>
            <family val="2"/>
          </rPr>
          <t>&lt;[[TCDeals] - [TC Property Current Stage (Seq: 1)] - [Buildings (Seq: 17)] Acq Est Qual Basis - Both]&gt;</t>
        </r>
      </text>
    </comment>
    <comment ref="S1220" authorId="0" shapeId="0" xr:uid="{0979456E-67F2-4D53-A819-F6D414F1AA11}">
      <text>
        <r>
          <rPr>
            <b/>
            <sz val="9"/>
            <color indexed="81"/>
            <rFont val="Tahoma"/>
            <family val="2"/>
          </rPr>
          <t>&lt;[[TCDeals] - [TC Property Current Stage (Seq: 1)] - [Buildings (Seq: 17)] Acq 8609 Basis - Both]&gt;</t>
        </r>
      </text>
    </comment>
    <comment ref="T1220" authorId="0" shapeId="0" xr:uid="{CFF5D841-98BE-4BBB-885A-FA88483B7CDD}">
      <text>
        <r>
          <rPr>
            <b/>
            <sz val="9"/>
            <color indexed="81"/>
            <rFont val="Tahoma"/>
            <family val="2"/>
          </rPr>
          <t>&lt;[[TCDeals] - [TC Property Current Stage (Seq: 1)] - [Buildings (Seq: 17)] Acq 8609 Credit - Both]&gt;</t>
        </r>
      </text>
    </comment>
    <comment ref="C1221" authorId="0" shapeId="0" xr:uid="{8F5621CC-0A3B-4647-A7C0-7BD994AC3EC4}">
      <text>
        <r>
          <rPr>
            <b/>
            <sz val="9"/>
            <color indexed="81"/>
            <rFont val="Tahoma"/>
            <family val="2"/>
          </rPr>
          <t>&lt;[[TCDeals] - [TC Property Current Stage (Seq: 1)] - [Buildings (Seq: 18)] BIN - Both]&gt;</t>
        </r>
      </text>
    </comment>
    <comment ref="D1221" authorId="0" shapeId="0" xr:uid="{F62C6615-8873-4E93-93D6-103DFE0361D0}">
      <text>
        <r>
          <rPr>
            <b/>
            <sz val="9"/>
            <color indexed="81"/>
            <rFont val="Tahoma"/>
            <family val="2"/>
          </rPr>
          <t>&lt;[[TCDeals] - [TC Property Current Stage (Seq: 1)] - [Buildings (Seq: 18)] Address 1 - Both]&gt;</t>
        </r>
      </text>
    </comment>
    <comment ref="E1221" authorId="0" shapeId="0" xr:uid="{3BBF3FC2-3FF9-4CEF-A922-76DC0C27A245}">
      <text>
        <r>
          <rPr>
            <b/>
            <sz val="9"/>
            <color indexed="81"/>
            <rFont val="Tahoma"/>
            <family val="2"/>
          </rPr>
          <t>&lt;[[TCDeals] - [TC Property Current Stage (Seq: 1)] - [Buildings (Seq: 18)] Num TC Units - Both]&gt;</t>
        </r>
      </text>
    </comment>
    <comment ref="F1221" authorId="0" shapeId="0" xr:uid="{84468786-7374-4BB9-9493-0C1D8D710CDC}">
      <text>
        <r>
          <rPr>
            <b/>
            <sz val="9"/>
            <color indexed="81"/>
            <rFont val="Tahoma"/>
            <family val="2"/>
          </rPr>
          <t>&lt;[[TCDeals] - [TC Property Current Stage (Seq: 1)] - [Buildings (Seq: 18)] PVC PIS Date - Both]&gt;</t>
        </r>
      </text>
    </comment>
    <comment ref="G1221" authorId="0" shapeId="0" xr:uid="{7C6668E6-7E90-4DF3-AC84-72C0406DEC79}">
      <text>
        <r>
          <rPr>
            <b/>
            <sz val="9"/>
            <color indexed="81"/>
            <rFont val="Tahoma"/>
            <family val="2"/>
          </rPr>
          <t>&lt;[[TCDeals] - [TC Property Current Stage (Seq: 1)] - [Buildings (Seq: 18)] PVC Applicable Percentage - Both]&gt;</t>
        </r>
      </text>
    </comment>
    <comment ref="H1221" authorId="0" shapeId="0" xr:uid="{071F5058-185C-4E8D-83B1-ABAB512DF7E6}">
      <text>
        <r>
          <rPr>
            <b/>
            <sz val="9"/>
            <color indexed="81"/>
            <rFont val="Tahoma"/>
            <family val="2"/>
          </rPr>
          <t>&lt;[[TCDeals] - [TC Property Current Stage (Seq: 1)] - [Buildings (Seq: 18)] PVC Est Qual Basis - Both]&gt;</t>
        </r>
      </text>
    </comment>
    <comment ref="I1221" authorId="0" shapeId="0" xr:uid="{8E05C1EB-8FAA-4EB3-8D19-2058BC678C68}">
      <text>
        <r>
          <rPr>
            <b/>
            <sz val="9"/>
            <color indexed="81"/>
            <rFont val="Tahoma"/>
            <family val="2"/>
          </rPr>
          <t>&lt;[[TCDeals] - [TC Property Current Stage (Seq: 1)] - [Buildings (Seq: 18)] PVC8609 Basis - Both]&gt;</t>
        </r>
      </text>
    </comment>
    <comment ref="J1221" authorId="0" shapeId="0" xr:uid="{9B604017-7B12-48C3-B3F8-104FE858D10C}">
      <text>
        <r>
          <rPr>
            <b/>
            <sz val="9"/>
            <color indexed="81"/>
            <rFont val="Tahoma"/>
            <family val="2"/>
          </rPr>
          <t>&lt;[[TCDeals] - [TC Property Current Stage (Seq: 1)] - [Buildings (Seq: 18)] PVC8609 Credit - Both]&gt;</t>
        </r>
      </text>
    </comment>
    <comment ref="K1221" authorId="0" shapeId="0" xr:uid="{35DD53DA-A7DF-4DBA-AC29-E190924CD1D6}">
      <text>
        <r>
          <rPr>
            <b/>
            <sz val="9"/>
            <color indexed="81"/>
            <rFont val="Tahoma"/>
            <family val="2"/>
          </rPr>
          <t>&lt;[[TCDeals] - [TC Property Current Stage (Seq: 1)] - [Buildings (Seq: 18)] Constr PIS Date - Both]&gt;</t>
        </r>
      </text>
    </comment>
    <comment ref="L1221" authorId="0" shapeId="0" xr:uid="{4426C07C-BF19-4733-AE9E-C25BAC166896}">
      <text>
        <r>
          <rPr>
            <b/>
            <sz val="9"/>
            <color indexed="81"/>
            <rFont val="Tahoma"/>
            <family val="2"/>
          </rPr>
          <t>&lt;[[TCDeals] - [TC Property Current Stage (Seq: 1)] - [Buildings (Seq: 18)] Constr Applicable Percentage - Both]&gt;</t>
        </r>
      </text>
    </comment>
    <comment ref="M1221" authorId="0" shapeId="0" xr:uid="{54CD16C0-1686-430D-AB23-2D3BB49E1F00}">
      <text>
        <r>
          <rPr>
            <b/>
            <sz val="9"/>
            <color indexed="81"/>
            <rFont val="Tahoma"/>
            <family val="2"/>
          </rPr>
          <t>&lt;[[TCDeals] - [TC Property Current Stage (Seq: 1)] - [Buildings (Seq: 18)] Constr Est Qual Basis - Both]&gt;</t>
        </r>
      </text>
    </comment>
    <comment ref="N1221" authorId="0" shapeId="0" xr:uid="{8DBFC5AD-9217-4D31-BE38-A994BF223B3D}">
      <text>
        <r>
          <rPr>
            <b/>
            <sz val="9"/>
            <color indexed="81"/>
            <rFont val="Tahoma"/>
            <family val="2"/>
          </rPr>
          <t>&lt;[[TCDeals] - [TC Property Current Stage (Seq: 1)] - [Buildings (Seq: 18)] Constr 8609 Basis - Both]&gt;</t>
        </r>
      </text>
    </comment>
    <comment ref="O1221" authorId="0" shapeId="0" xr:uid="{C9D44859-9AF9-488A-8558-8A801D118B40}">
      <text>
        <r>
          <rPr>
            <b/>
            <sz val="9"/>
            <color indexed="81"/>
            <rFont val="Tahoma"/>
            <family val="2"/>
          </rPr>
          <t>&lt;[[TCDeals] - [TC Property Current Stage (Seq: 1)] - [Buildings (Seq: 18)] Constr 8609 Credit - Both]&gt;</t>
        </r>
      </text>
    </comment>
    <comment ref="P1221" authorId="0" shapeId="0" xr:uid="{5C79744A-3AFB-4CCE-B3FF-9BAB96C014B3}">
      <text>
        <r>
          <rPr>
            <b/>
            <sz val="9"/>
            <color indexed="81"/>
            <rFont val="Tahoma"/>
            <family val="2"/>
          </rPr>
          <t>&lt;[[TCDeals] - [TC Property Current Stage (Seq: 1)] - [Buildings (Seq: 18)] Acq PIS Date - Both]&gt;</t>
        </r>
      </text>
    </comment>
    <comment ref="Q1221" authorId="0" shapeId="0" xr:uid="{E7D36CE0-CCC0-44C0-B431-A4FD0E36199A}">
      <text>
        <r>
          <rPr>
            <b/>
            <sz val="9"/>
            <color indexed="81"/>
            <rFont val="Tahoma"/>
            <family val="2"/>
          </rPr>
          <t>&lt;[[TCDeals] - [TC Property Current Stage (Seq: 1)] - [Buildings (Seq: 18)] Acq Applicable Percentage - Both]&gt;</t>
        </r>
      </text>
    </comment>
    <comment ref="R1221" authorId="0" shapeId="0" xr:uid="{01FDCBDE-F598-4332-A63D-7B7C4E1560AD}">
      <text>
        <r>
          <rPr>
            <b/>
            <sz val="9"/>
            <color indexed="81"/>
            <rFont val="Tahoma"/>
            <family val="2"/>
          </rPr>
          <t>&lt;[[TCDeals] - [TC Property Current Stage (Seq: 1)] - [Buildings (Seq: 18)] Acq Est Qual Basis - Both]&gt;</t>
        </r>
      </text>
    </comment>
    <comment ref="S1221" authorId="0" shapeId="0" xr:uid="{F5BA2FA0-EB94-415D-BDB5-5697B18FDD95}">
      <text>
        <r>
          <rPr>
            <b/>
            <sz val="9"/>
            <color indexed="81"/>
            <rFont val="Tahoma"/>
            <family val="2"/>
          </rPr>
          <t>&lt;[[TCDeals] - [TC Property Current Stage (Seq: 1)] - [Buildings (Seq: 18)] Acq 8609 Basis - Both]&gt;</t>
        </r>
      </text>
    </comment>
    <comment ref="T1221" authorId="0" shapeId="0" xr:uid="{467435C7-3C9A-4590-AB47-CBAD0DBF5F2F}">
      <text>
        <r>
          <rPr>
            <b/>
            <sz val="9"/>
            <color indexed="81"/>
            <rFont val="Tahoma"/>
            <family val="2"/>
          </rPr>
          <t>&lt;[[TCDeals] - [TC Property Current Stage (Seq: 1)] - [Buildings (Seq: 18)] Acq 8609 Credit - Both]&gt;</t>
        </r>
      </text>
    </comment>
    <comment ref="C1222" authorId="0" shapeId="0" xr:uid="{30DFF0BC-F70D-4FB6-B6B2-7C8ED793E27B}">
      <text>
        <r>
          <rPr>
            <b/>
            <sz val="9"/>
            <color indexed="81"/>
            <rFont val="Tahoma"/>
            <family val="2"/>
          </rPr>
          <t>&lt;[[TCDeals] - [TC Property Current Stage (Seq: 1)] - [Buildings (Seq: 19)] BIN - Both]&gt;</t>
        </r>
      </text>
    </comment>
    <comment ref="D1222" authorId="0" shapeId="0" xr:uid="{3D0A3420-8DCD-4883-9708-FF877DA56E5B}">
      <text>
        <r>
          <rPr>
            <b/>
            <sz val="9"/>
            <color indexed="81"/>
            <rFont val="Tahoma"/>
            <family val="2"/>
          </rPr>
          <t>&lt;[[TCDeals] - [TC Property Current Stage (Seq: 1)] - [Buildings (Seq: 19)] Address 1 - Both]&gt;</t>
        </r>
      </text>
    </comment>
    <comment ref="E1222" authorId="0" shapeId="0" xr:uid="{69E9889B-6D88-4B83-BA6B-2E483AA97354}">
      <text>
        <r>
          <rPr>
            <b/>
            <sz val="9"/>
            <color indexed="81"/>
            <rFont val="Tahoma"/>
            <family val="2"/>
          </rPr>
          <t>&lt;[[TCDeals] - [TC Property Current Stage (Seq: 1)] - [Buildings (Seq: 19)] Num TC Units - Both]&gt;</t>
        </r>
      </text>
    </comment>
    <comment ref="F1222" authorId="0" shapeId="0" xr:uid="{B2219148-E577-4401-BA10-2041E9D4296E}">
      <text>
        <r>
          <rPr>
            <b/>
            <sz val="9"/>
            <color indexed="81"/>
            <rFont val="Tahoma"/>
            <family val="2"/>
          </rPr>
          <t>&lt;[[TCDeals] - [TC Property Current Stage (Seq: 1)] - [Buildings (Seq: 19)] PVC PIS Date - Both]&gt;</t>
        </r>
      </text>
    </comment>
    <comment ref="G1222" authorId="0" shapeId="0" xr:uid="{F2E95770-0D8D-417A-9DD5-89FC52ED6738}">
      <text>
        <r>
          <rPr>
            <b/>
            <sz val="9"/>
            <color indexed="81"/>
            <rFont val="Tahoma"/>
            <family val="2"/>
          </rPr>
          <t>&lt;[[TCDeals] - [TC Property Current Stage (Seq: 1)] - [Buildings (Seq: 19)] PVC Applicable Percentage - Both]&gt;</t>
        </r>
      </text>
    </comment>
    <comment ref="H1222" authorId="0" shapeId="0" xr:uid="{EAA67453-9B7D-490E-B2F1-C98EC5440BA3}">
      <text>
        <r>
          <rPr>
            <b/>
            <sz val="9"/>
            <color indexed="81"/>
            <rFont val="Tahoma"/>
            <family val="2"/>
          </rPr>
          <t>&lt;[[TCDeals] - [TC Property Current Stage (Seq: 1)] - [Buildings (Seq: 19)] PVC Est Qual Basis - Both]&gt;</t>
        </r>
      </text>
    </comment>
    <comment ref="I1222" authorId="0" shapeId="0" xr:uid="{8F1DD4BE-000B-4000-AC08-7DB1F6AE7300}">
      <text>
        <r>
          <rPr>
            <b/>
            <sz val="9"/>
            <color indexed="81"/>
            <rFont val="Tahoma"/>
            <family val="2"/>
          </rPr>
          <t>&lt;[[TCDeals] - [TC Property Current Stage (Seq: 1)] - [Buildings (Seq: 19)] PVC8609 Basis - Both]&gt;</t>
        </r>
      </text>
    </comment>
    <comment ref="J1222" authorId="0" shapeId="0" xr:uid="{DE340CBB-1299-4593-AC5E-0BD980A7CCF2}">
      <text>
        <r>
          <rPr>
            <b/>
            <sz val="9"/>
            <color indexed="81"/>
            <rFont val="Tahoma"/>
            <family val="2"/>
          </rPr>
          <t>&lt;[[TCDeals] - [TC Property Current Stage (Seq: 1)] - [Buildings (Seq: 19)] PVC8609 Credit - Both]&gt;</t>
        </r>
      </text>
    </comment>
    <comment ref="K1222" authorId="0" shapeId="0" xr:uid="{2F9D3917-72E0-4ECB-8BC4-1CA1A8C3D3E5}">
      <text>
        <r>
          <rPr>
            <b/>
            <sz val="9"/>
            <color indexed="81"/>
            <rFont val="Tahoma"/>
            <family val="2"/>
          </rPr>
          <t>&lt;[[TCDeals] - [TC Property Current Stage (Seq: 1)] - [Buildings (Seq: 19)] Constr PIS Date - Both]&gt;</t>
        </r>
      </text>
    </comment>
    <comment ref="L1222" authorId="0" shapeId="0" xr:uid="{1E9D2B36-DFBE-422C-816E-F3326A47AD02}">
      <text>
        <r>
          <rPr>
            <b/>
            <sz val="9"/>
            <color indexed="81"/>
            <rFont val="Tahoma"/>
            <family val="2"/>
          </rPr>
          <t>&lt;[[TCDeals] - [TC Property Current Stage (Seq: 1)] - [Buildings (Seq: 19)] Constr Applicable Percentage - Both]&gt;</t>
        </r>
      </text>
    </comment>
    <comment ref="M1222" authorId="0" shapeId="0" xr:uid="{2C872BCA-0F19-41C6-BA27-69AE477332B5}">
      <text>
        <r>
          <rPr>
            <b/>
            <sz val="9"/>
            <color indexed="81"/>
            <rFont val="Tahoma"/>
            <family val="2"/>
          </rPr>
          <t>&lt;[[TCDeals] - [TC Property Current Stage (Seq: 1)] - [Buildings (Seq: 19)] Constr Est Qual Basis - Both]&gt;</t>
        </r>
      </text>
    </comment>
    <comment ref="N1222" authorId="0" shapeId="0" xr:uid="{C3EC179D-FEBE-4483-9454-4136A72B8EB6}">
      <text>
        <r>
          <rPr>
            <b/>
            <sz val="9"/>
            <color indexed="81"/>
            <rFont val="Tahoma"/>
            <family val="2"/>
          </rPr>
          <t>&lt;[[TCDeals] - [TC Property Current Stage (Seq: 1)] - [Buildings (Seq: 19)] Constr 8609 Basis - Both]&gt;</t>
        </r>
      </text>
    </comment>
    <comment ref="O1222" authorId="0" shapeId="0" xr:uid="{A9657B8B-47BD-4480-B52F-17DD4C2C5424}">
      <text>
        <r>
          <rPr>
            <b/>
            <sz val="9"/>
            <color indexed="81"/>
            <rFont val="Tahoma"/>
            <family val="2"/>
          </rPr>
          <t>&lt;[[TCDeals] - [TC Property Current Stage (Seq: 1)] - [Buildings (Seq: 19)] Constr 8609 Credit - Both]&gt;</t>
        </r>
      </text>
    </comment>
    <comment ref="P1222" authorId="0" shapeId="0" xr:uid="{A65AE2B4-84E3-4DF7-94B1-E513CF853A73}">
      <text>
        <r>
          <rPr>
            <b/>
            <sz val="9"/>
            <color indexed="81"/>
            <rFont val="Tahoma"/>
            <family val="2"/>
          </rPr>
          <t>&lt;[[TCDeals] - [TC Property Current Stage (Seq: 1)] - [Buildings (Seq: 19)] Acq PIS Date - Both]&gt;</t>
        </r>
      </text>
    </comment>
    <comment ref="Q1222" authorId="0" shapeId="0" xr:uid="{17844514-8261-4531-98AC-5CC4C8CF2ABB}">
      <text>
        <r>
          <rPr>
            <b/>
            <sz val="9"/>
            <color indexed="81"/>
            <rFont val="Tahoma"/>
            <family val="2"/>
          </rPr>
          <t>&lt;[[TCDeals] - [TC Property Current Stage (Seq: 1)] - [Buildings (Seq: 19)] Acq Applicable Percentage - Both]&gt;</t>
        </r>
      </text>
    </comment>
    <comment ref="R1222" authorId="0" shapeId="0" xr:uid="{8EDF4CBA-C1A3-48E4-9054-168AD06145E4}">
      <text>
        <r>
          <rPr>
            <b/>
            <sz val="9"/>
            <color indexed="81"/>
            <rFont val="Tahoma"/>
            <family val="2"/>
          </rPr>
          <t>&lt;[[TCDeals] - [TC Property Current Stage (Seq: 1)] - [Buildings (Seq: 19)] Acq Est Qual Basis - Both]&gt;</t>
        </r>
      </text>
    </comment>
    <comment ref="S1222" authorId="0" shapeId="0" xr:uid="{B0C3E93D-1F92-4D9F-A70C-92362D9579CF}">
      <text>
        <r>
          <rPr>
            <b/>
            <sz val="9"/>
            <color indexed="81"/>
            <rFont val="Tahoma"/>
            <family val="2"/>
          </rPr>
          <t>&lt;[[TCDeals] - [TC Property Current Stage (Seq: 1)] - [Buildings (Seq: 19)] Acq 8609 Basis - Both]&gt;</t>
        </r>
      </text>
    </comment>
    <comment ref="T1222" authorId="0" shapeId="0" xr:uid="{BDEFF3AE-8EEA-4979-B8F5-369C8662E694}">
      <text>
        <r>
          <rPr>
            <b/>
            <sz val="9"/>
            <color indexed="81"/>
            <rFont val="Tahoma"/>
            <family val="2"/>
          </rPr>
          <t>&lt;[[TCDeals] - [TC Property Current Stage (Seq: 1)] - [Buildings (Seq: 19)] Acq 8609 Credit - Both]&gt;</t>
        </r>
      </text>
    </comment>
    <comment ref="C1223" authorId="0" shapeId="0" xr:uid="{053925AD-FE01-45AD-9A09-6BB47742F688}">
      <text>
        <r>
          <rPr>
            <b/>
            <sz val="9"/>
            <color indexed="81"/>
            <rFont val="Tahoma"/>
            <family val="2"/>
          </rPr>
          <t>&lt;[[TCDeals] - [TC Property Current Stage (Seq: 1)] - [Buildings (Seq: 20)] BIN - Both]&gt;</t>
        </r>
      </text>
    </comment>
    <comment ref="D1223" authorId="0" shapeId="0" xr:uid="{7817E94F-8D9B-4DCC-B153-AE480159DDE8}">
      <text>
        <r>
          <rPr>
            <b/>
            <sz val="9"/>
            <color indexed="81"/>
            <rFont val="Tahoma"/>
            <family val="2"/>
          </rPr>
          <t>&lt;[[TCDeals] - [TC Property Current Stage (Seq: 1)] - [Buildings (Seq: 20)] Address 1 - Both]&gt;</t>
        </r>
      </text>
    </comment>
    <comment ref="E1223" authorId="0" shapeId="0" xr:uid="{736ABBA2-C84B-4F41-BB95-CF509699E607}">
      <text>
        <r>
          <rPr>
            <b/>
            <sz val="9"/>
            <color indexed="81"/>
            <rFont val="Tahoma"/>
            <family val="2"/>
          </rPr>
          <t>&lt;[[TCDeals] - [TC Property Current Stage (Seq: 1)] - [Buildings (Seq: 20)] Num TC Units - Both]&gt;</t>
        </r>
      </text>
    </comment>
    <comment ref="F1223" authorId="0" shapeId="0" xr:uid="{89A9DE1F-A298-499B-956A-B34523A91C4A}">
      <text>
        <r>
          <rPr>
            <b/>
            <sz val="9"/>
            <color indexed="81"/>
            <rFont val="Tahoma"/>
            <family val="2"/>
          </rPr>
          <t>&lt;[[TCDeals] - [TC Property Current Stage (Seq: 1)] - [Buildings (Seq: 20)] PVC PIS Date - Both]&gt;</t>
        </r>
      </text>
    </comment>
    <comment ref="G1223" authorId="0" shapeId="0" xr:uid="{6FEE5B5C-4574-41B5-9CDA-C427CFFAC924}">
      <text>
        <r>
          <rPr>
            <b/>
            <sz val="9"/>
            <color indexed="81"/>
            <rFont val="Tahoma"/>
            <family val="2"/>
          </rPr>
          <t>&lt;[[TCDeals] - [TC Property Current Stage (Seq: 1)] - [Buildings (Seq: 20)] PVC Applicable Percentage - Both]&gt;</t>
        </r>
      </text>
    </comment>
    <comment ref="H1223" authorId="0" shapeId="0" xr:uid="{E62D8255-916C-429C-9C67-0988A28E61DD}">
      <text>
        <r>
          <rPr>
            <b/>
            <sz val="9"/>
            <color indexed="81"/>
            <rFont val="Tahoma"/>
            <family val="2"/>
          </rPr>
          <t>&lt;[[TCDeals] - [TC Property Current Stage (Seq: 1)] - [Buildings (Seq: 20)] PVC Est Qual Basis - Both]&gt;</t>
        </r>
      </text>
    </comment>
    <comment ref="I1223" authorId="0" shapeId="0" xr:uid="{15879BBE-A53B-4F6D-BD93-9A7A4E9BF3BA}">
      <text>
        <r>
          <rPr>
            <b/>
            <sz val="9"/>
            <color indexed="81"/>
            <rFont val="Tahoma"/>
            <family val="2"/>
          </rPr>
          <t>&lt;[[TCDeals] - [TC Property Current Stage (Seq: 1)] - [Buildings (Seq: 20)] PVC8609 Basis - Both]&gt;</t>
        </r>
      </text>
    </comment>
    <comment ref="J1223" authorId="0" shapeId="0" xr:uid="{AE555FFA-71EE-4E7F-A3C1-FB20BAD55137}">
      <text>
        <r>
          <rPr>
            <b/>
            <sz val="9"/>
            <color indexed="81"/>
            <rFont val="Tahoma"/>
            <family val="2"/>
          </rPr>
          <t>&lt;[[TCDeals] - [TC Property Current Stage (Seq: 1)] - [Buildings (Seq: 20)] PVC8609 Credit - Both]&gt;</t>
        </r>
      </text>
    </comment>
    <comment ref="K1223" authorId="0" shapeId="0" xr:uid="{8825122C-093C-464D-A367-F04493CBDC0E}">
      <text>
        <r>
          <rPr>
            <b/>
            <sz val="9"/>
            <color indexed="81"/>
            <rFont val="Tahoma"/>
            <family val="2"/>
          </rPr>
          <t>&lt;[[TCDeals] - [TC Property Current Stage (Seq: 1)] - [Buildings (Seq: 20)] Constr PIS Date - Both]&gt;</t>
        </r>
      </text>
    </comment>
    <comment ref="L1223" authorId="0" shapeId="0" xr:uid="{02EA8627-AD82-4931-83FE-3B8847571AD9}">
      <text>
        <r>
          <rPr>
            <b/>
            <sz val="9"/>
            <color indexed="81"/>
            <rFont val="Tahoma"/>
            <family val="2"/>
          </rPr>
          <t>&lt;[[TCDeals] - [TC Property Current Stage (Seq: 1)] - [Buildings (Seq: 20)] Constr Applicable Percentage - Both]&gt;</t>
        </r>
      </text>
    </comment>
    <comment ref="M1223" authorId="0" shapeId="0" xr:uid="{0606FCF6-EB1F-4FBA-B9D4-0560B3E7D54C}">
      <text>
        <r>
          <rPr>
            <b/>
            <sz val="9"/>
            <color indexed="81"/>
            <rFont val="Tahoma"/>
            <family val="2"/>
          </rPr>
          <t>&lt;[[TCDeals] - [TC Property Current Stage (Seq: 1)] - [Buildings (Seq: 20)] Constr Est Qual Basis - Both]&gt;</t>
        </r>
      </text>
    </comment>
    <comment ref="N1223" authorId="0" shapeId="0" xr:uid="{46971F48-0874-4436-8FC6-682178FD5BD4}">
      <text>
        <r>
          <rPr>
            <b/>
            <sz val="9"/>
            <color indexed="81"/>
            <rFont val="Tahoma"/>
            <family val="2"/>
          </rPr>
          <t>&lt;[[TCDeals] - [TC Property Current Stage (Seq: 1)] - [Buildings (Seq: 20)] Constr 8609 Basis - Both]&gt;</t>
        </r>
      </text>
    </comment>
    <comment ref="O1223" authorId="0" shapeId="0" xr:uid="{C2409BC2-441D-44C9-8744-3316EF645E97}">
      <text>
        <r>
          <rPr>
            <b/>
            <sz val="9"/>
            <color indexed="81"/>
            <rFont val="Tahoma"/>
            <family val="2"/>
          </rPr>
          <t>&lt;[[TCDeals] - [TC Property Current Stage (Seq: 1)] - [Buildings (Seq: 20)] Constr 8609 Credit - Both]&gt;</t>
        </r>
      </text>
    </comment>
    <comment ref="P1223" authorId="0" shapeId="0" xr:uid="{908A40A5-7AD4-4F61-80C0-7358CE82EF42}">
      <text>
        <r>
          <rPr>
            <b/>
            <sz val="9"/>
            <color indexed="81"/>
            <rFont val="Tahoma"/>
            <family val="2"/>
          </rPr>
          <t>&lt;[[TCDeals] - [TC Property Current Stage (Seq: 1)] - [Buildings (Seq: 20)] Acq PIS Date - Both]&gt;</t>
        </r>
      </text>
    </comment>
    <comment ref="Q1223" authorId="0" shapeId="0" xr:uid="{0E82A52C-C495-4DBB-A22E-EE992D2EB4D3}">
      <text>
        <r>
          <rPr>
            <b/>
            <sz val="9"/>
            <color indexed="81"/>
            <rFont val="Tahoma"/>
            <family val="2"/>
          </rPr>
          <t>&lt;[[TCDeals] - [TC Property Current Stage (Seq: 1)] - [Buildings (Seq: 20)] Acq Applicable Percentage - Both]&gt;</t>
        </r>
      </text>
    </comment>
    <comment ref="R1223" authorId="0" shapeId="0" xr:uid="{C02653AA-D047-4F93-990D-7B7A870E4DC2}">
      <text>
        <r>
          <rPr>
            <b/>
            <sz val="9"/>
            <color indexed="81"/>
            <rFont val="Tahoma"/>
            <family val="2"/>
          </rPr>
          <t>&lt;[[TCDeals] - [TC Property Current Stage (Seq: 1)] - [Buildings (Seq: 20)] Acq Est Qual Basis - Both]&gt;</t>
        </r>
      </text>
    </comment>
    <comment ref="S1223" authorId="0" shapeId="0" xr:uid="{8019D035-5BAE-40B4-B341-DE657B071243}">
      <text>
        <r>
          <rPr>
            <b/>
            <sz val="9"/>
            <color indexed="81"/>
            <rFont val="Tahoma"/>
            <family val="2"/>
          </rPr>
          <t>&lt;[[TCDeals] - [TC Property Current Stage (Seq: 1)] - [Buildings (Seq: 20)] Acq 8609 Basis - Both]&gt;</t>
        </r>
      </text>
    </comment>
    <comment ref="T1223" authorId="0" shapeId="0" xr:uid="{9F361AB0-F45C-4F39-AADB-C91264CA24F0}">
      <text>
        <r>
          <rPr>
            <b/>
            <sz val="9"/>
            <color indexed="81"/>
            <rFont val="Tahoma"/>
            <family val="2"/>
          </rPr>
          <t>&lt;[[TCDeals] - [TC Property Current Stage (Seq: 1)] - [Buildings (Seq: 20)] Acq 8609 Credit - Both]&gt;</t>
        </r>
      </text>
    </comment>
    <comment ref="C1224" authorId="0" shapeId="0" xr:uid="{C69BC22D-15A6-44BF-AE26-A328D165C9BA}">
      <text>
        <r>
          <rPr>
            <b/>
            <sz val="9"/>
            <color indexed="81"/>
            <rFont val="Tahoma"/>
            <family val="2"/>
          </rPr>
          <t>&lt;[[TCDeals] - [TC Property Current Stage (Seq: 1)] - [Buildings (Seq: 21)] BIN - Both]&gt;</t>
        </r>
      </text>
    </comment>
    <comment ref="D1224" authorId="0" shapeId="0" xr:uid="{285738B1-B8C7-4DC4-BB12-441A27626DA3}">
      <text>
        <r>
          <rPr>
            <b/>
            <sz val="9"/>
            <color indexed="81"/>
            <rFont val="Tahoma"/>
            <family val="2"/>
          </rPr>
          <t>&lt;[[TCDeals] - [TC Property Current Stage (Seq: 1)] - [Buildings (Seq: 21)] Address 1 - Both]&gt;</t>
        </r>
      </text>
    </comment>
    <comment ref="E1224" authorId="0" shapeId="0" xr:uid="{3F764FC1-5E8F-4604-82D3-BBCE3F3CC98E}">
      <text>
        <r>
          <rPr>
            <b/>
            <sz val="9"/>
            <color indexed="81"/>
            <rFont val="Tahoma"/>
            <family val="2"/>
          </rPr>
          <t>&lt;[[TCDeals] - [TC Property Current Stage (Seq: 1)] - [Buildings (Seq: 21)] Num TC Units - Both]&gt;</t>
        </r>
      </text>
    </comment>
    <comment ref="F1224" authorId="0" shapeId="0" xr:uid="{F3687C1B-2CD6-423D-96E8-74D45D04259E}">
      <text>
        <r>
          <rPr>
            <b/>
            <sz val="9"/>
            <color indexed="81"/>
            <rFont val="Tahoma"/>
            <family val="2"/>
          </rPr>
          <t>&lt;[[TCDeals] - [TC Property Current Stage (Seq: 1)] - [Buildings (Seq: 21)] PVC PIS Date - Both]&gt;</t>
        </r>
      </text>
    </comment>
    <comment ref="G1224" authorId="0" shapeId="0" xr:uid="{4E6B9073-32EA-4FF2-942C-4C65E33520D0}">
      <text>
        <r>
          <rPr>
            <b/>
            <sz val="9"/>
            <color indexed="81"/>
            <rFont val="Tahoma"/>
            <family val="2"/>
          </rPr>
          <t>&lt;[[TCDeals] - [TC Property Current Stage (Seq: 1)] - [Buildings (Seq: 21)] PVC Applicable Percentage - Both]&gt;</t>
        </r>
      </text>
    </comment>
    <comment ref="H1224" authorId="0" shapeId="0" xr:uid="{94993147-42B1-4332-8DA0-810CF9246FDC}">
      <text>
        <r>
          <rPr>
            <b/>
            <sz val="9"/>
            <color indexed="81"/>
            <rFont val="Tahoma"/>
            <family val="2"/>
          </rPr>
          <t>&lt;[[TCDeals] - [TC Property Current Stage (Seq: 1)] - [Buildings (Seq: 21)] PVC Est Qual Basis - Both]&gt;</t>
        </r>
      </text>
    </comment>
    <comment ref="I1224" authorId="0" shapeId="0" xr:uid="{46038B63-9A3B-4F98-A471-BF62E980B2C3}">
      <text>
        <r>
          <rPr>
            <b/>
            <sz val="9"/>
            <color indexed="81"/>
            <rFont val="Tahoma"/>
            <family val="2"/>
          </rPr>
          <t>&lt;[[TCDeals] - [TC Property Current Stage (Seq: 1)] - [Buildings (Seq: 21)] PVC8609 Basis - Both]&gt;</t>
        </r>
      </text>
    </comment>
    <comment ref="J1224" authorId="0" shapeId="0" xr:uid="{8DBFEDD7-5E4F-4AD3-ABD7-1C746C7F8889}">
      <text>
        <r>
          <rPr>
            <b/>
            <sz val="9"/>
            <color indexed="81"/>
            <rFont val="Tahoma"/>
            <family val="2"/>
          </rPr>
          <t>&lt;[[TCDeals] - [TC Property Current Stage (Seq: 1)] - [Buildings (Seq: 21)] PVC8609 Credit - Both]&gt;</t>
        </r>
      </text>
    </comment>
    <comment ref="K1224" authorId="0" shapeId="0" xr:uid="{054F1ECF-551B-42E3-97BF-9F38D50BD2EB}">
      <text>
        <r>
          <rPr>
            <b/>
            <sz val="9"/>
            <color indexed="81"/>
            <rFont val="Tahoma"/>
            <family val="2"/>
          </rPr>
          <t>&lt;[[TCDeals] - [TC Property Current Stage (Seq: 1)] - [Buildings (Seq: 21)] Constr PIS Date - Both]&gt;</t>
        </r>
      </text>
    </comment>
    <comment ref="L1224" authorId="0" shapeId="0" xr:uid="{973242E4-906E-400B-9491-748F4EB57B8C}">
      <text>
        <r>
          <rPr>
            <b/>
            <sz val="9"/>
            <color indexed="81"/>
            <rFont val="Tahoma"/>
            <family val="2"/>
          </rPr>
          <t>&lt;[[TCDeals] - [TC Property Current Stage (Seq: 1)] - [Buildings (Seq: 21)] Constr Applicable Percentage - Both]&gt;</t>
        </r>
      </text>
    </comment>
    <comment ref="M1224" authorId="0" shapeId="0" xr:uid="{7C0D674A-E023-4BAA-8764-F65E3514FE89}">
      <text>
        <r>
          <rPr>
            <b/>
            <sz val="9"/>
            <color indexed="81"/>
            <rFont val="Tahoma"/>
            <family val="2"/>
          </rPr>
          <t>&lt;[[TCDeals] - [TC Property Current Stage (Seq: 1)] - [Buildings (Seq: 21)] Constr Est Qual Basis - Both]&gt;</t>
        </r>
      </text>
    </comment>
    <comment ref="N1224" authorId="0" shapeId="0" xr:uid="{8C5A17CA-27AD-4602-8B69-3F870F5E8275}">
      <text>
        <r>
          <rPr>
            <b/>
            <sz val="9"/>
            <color indexed="81"/>
            <rFont val="Tahoma"/>
            <family val="2"/>
          </rPr>
          <t>&lt;[[TCDeals] - [TC Property Current Stage (Seq: 1)] - [Buildings (Seq: 21)] Constr 8609 Basis - Both]&gt;</t>
        </r>
      </text>
    </comment>
    <comment ref="O1224" authorId="0" shapeId="0" xr:uid="{70C72E4F-709D-43EE-9318-26DA1CA5F7C4}">
      <text>
        <r>
          <rPr>
            <b/>
            <sz val="9"/>
            <color indexed="81"/>
            <rFont val="Tahoma"/>
            <family val="2"/>
          </rPr>
          <t>&lt;[[TCDeals] - [TC Property Current Stage (Seq: 1)] - [Buildings (Seq: 21)] Constr 8609 Credit - Both]&gt;</t>
        </r>
      </text>
    </comment>
    <comment ref="P1224" authorId="0" shapeId="0" xr:uid="{ECA5D3B5-9138-4323-A4BF-A1FB023947EE}">
      <text>
        <r>
          <rPr>
            <b/>
            <sz val="9"/>
            <color indexed="81"/>
            <rFont val="Tahoma"/>
            <family val="2"/>
          </rPr>
          <t>&lt;[[TCDeals] - [TC Property Current Stage (Seq: 1)] - [Buildings (Seq: 21)] Acq PIS Date - Both]&gt;</t>
        </r>
      </text>
    </comment>
    <comment ref="Q1224" authorId="0" shapeId="0" xr:uid="{80A2C464-6C30-4F38-97B2-DEEFBC070074}">
      <text>
        <r>
          <rPr>
            <b/>
            <sz val="9"/>
            <color indexed="81"/>
            <rFont val="Tahoma"/>
            <family val="2"/>
          </rPr>
          <t>&lt;[[TCDeals] - [TC Property Current Stage (Seq: 1)] - [Buildings (Seq: 21)] Acq Applicable Percentage - Both]&gt;</t>
        </r>
      </text>
    </comment>
    <comment ref="R1224" authorId="0" shapeId="0" xr:uid="{3B21E77B-9E77-4305-AE03-997AD14ED731}">
      <text>
        <r>
          <rPr>
            <b/>
            <sz val="9"/>
            <color indexed="81"/>
            <rFont val="Tahoma"/>
            <family val="2"/>
          </rPr>
          <t>&lt;[[TCDeals] - [TC Property Current Stage (Seq: 1)] - [Buildings (Seq: 21)] Acq Est Qual Basis - Both]&gt;</t>
        </r>
      </text>
    </comment>
    <comment ref="S1224" authorId="0" shapeId="0" xr:uid="{0310429A-F20B-499E-AD2E-CC2F04986E7B}">
      <text>
        <r>
          <rPr>
            <b/>
            <sz val="9"/>
            <color indexed="81"/>
            <rFont val="Tahoma"/>
            <family val="2"/>
          </rPr>
          <t>&lt;[[TCDeals] - [TC Property Current Stage (Seq: 1)] - [Buildings (Seq: 21)] Acq 8609 Basis - Both]&gt;</t>
        </r>
      </text>
    </comment>
    <comment ref="T1224" authorId="0" shapeId="0" xr:uid="{87B3E418-48C1-422E-90B4-CB918288925D}">
      <text>
        <r>
          <rPr>
            <b/>
            <sz val="9"/>
            <color indexed="81"/>
            <rFont val="Tahoma"/>
            <family val="2"/>
          </rPr>
          <t>&lt;[[TCDeals] - [TC Property Current Stage (Seq: 1)] - [Buildings (Seq: 21)] Acq 8609 Credit - Both]&gt;</t>
        </r>
      </text>
    </comment>
    <comment ref="C1225" authorId="0" shapeId="0" xr:uid="{584823C9-3FF3-47DC-BE53-B5451436B499}">
      <text>
        <r>
          <rPr>
            <b/>
            <sz val="9"/>
            <color indexed="81"/>
            <rFont val="Tahoma"/>
            <family val="2"/>
          </rPr>
          <t>&lt;[[TCDeals] - [TC Property Current Stage (Seq: 1)] - [Buildings (Seq: 22)] BIN - Both]&gt;</t>
        </r>
      </text>
    </comment>
    <comment ref="D1225" authorId="0" shapeId="0" xr:uid="{BF25F2CD-78C1-428B-834A-48E79E644B9C}">
      <text>
        <r>
          <rPr>
            <b/>
            <sz val="9"/>
            <color indexed="81"/>
            <rFont val="Tahoma"/>
            <family val="2"/>
          </rPr>
          <t>&lt;[[TCDeals] - [TC Property Current Stage (Seq: 1)] - [Buildings (Seq: 22)] Address 1 - Both]&gt;</t>
        </r>
      </text>
    </comment>
    <comment ref="E1225" authorId="0" shapeId="0" xr:uid="{DD066367-A540-4E87-91C0-0EAAD3D60BEF}">
      <text>
        <r>
          <rPr>
            <b/>
            <sz val="9"/>
            <color indexed="81"/>
            <rFont val="Tahoma"/>
            <family val="2"/>
          </rPr>
          <t>&lt;[[TCDeals] - [TC Property Current Stage (Seq: 1)] - [Buildings (Seq: 22)] Num TC Units - Both]&gt;</t>
        </r>
      </text>
    </comment>
    <comment ref="F1225" authorId="0" shapeId="0" xr:uid="{0482FD81-3A70-4116-82AD-A3038A1B68B3}">
      <text>
        <r>
          <rPr>
            <b/>
            <sz val="9"/>
            <color indexed="81"/>
            <rFont val="Tahoma"/>
            <family val="2"/>
          </rPr>
          <t>&lt;[[TCDeals] - [TC Property Current Stage (Seq: 1)] - [Buildings (Seq: 22)] PVC PIS Date - Both]&gt;</t>
        </r>
      </text>
    </comment>
    <comment ref="G1225" authorId="0" shapeId="0" xr:uid="{56B19C7B-E3CE-4B00-A2BD-7E6F042A7461}">
      <text>
        <r>
          <rPr>
            <b/>
            <sz val="9"/>
            <color indexed="81"/>
            <rFont val="Tahoma"/>
            <family val="2"/>
          </rPr>
          <t>&lt;[[TCDeals] - [TC Property Current Stage (Seq: 1)] - [Buildings (Seq: 22)] PVC Applicable Percentage - Both]&gt;</t>
        </r>
      </text>
    </comment>
    <comment ref="H1225" authorId="0" shapeId="0" xr:uid="{2C19DE39-8069-4C31-A45E-FADCA7CA0CDC}">
      <text>
        <r>
          <rPr>
            <b/>
            <sz val="9"/>
            <color indexed="81"/>
            <rFont val="Tahoma"/>
            <family val="2"/>
          </rPr>
          <t>&lt;[[TCDeals] - [TC Property Current Stage (Seq: 1)] - [Buildings (Seq: 22)] PVC Est Qual Basis - Both]&gt;</t>
        </r>
      </text>
    </comment>
    <comment ref="I1225" authorId="0" shapeId="0" xr:uid="{C37B6783-E10D-4A73-810B-8D3D12C0BB4E}">
      <text>
        <r>
          <rPr>
            <b/>
            <sz val="9"/>
            <color indexed="81"/>
            <rFont val="Tahoma"/>
            <family val="2"/>
          </rPr>
          <t>&lt;[[TCDeals] - [TC Property Current Stage (Seq: 1)] - [Buildings (Seq: 22)] PVC8609 Basis - Both]&gt;</t>
        </r>
      </text>
    </comment>
    <comment ref="J1225" authorId="0" shapeId="0" xr:uid="{4FE8377E-9B5A-4C2D-BD13-BD6191BE3369}">
      <text>
        <r>
          <rPr>
            <b/>
            <sz val="9"/>
            <color indexed="81"/>
            <rFont val="Tahoma"/>
            <family val="2"/>
          </rPr>
          <t>&lt;[[TCDeals] - [TC Property Current Stage (Seq: 1)] - [Buildings (Seq: 22)] PVC8609 Credit - Both]&gt;</t>
        </r>
      </text>
    </comment>
    <comment ref="K1225" authorId="0" shapeId="0" xr:uid="{9795D73D-83B4-446A-A45E-CF54A74CD4DD}">
      <text>
        <r>
          <rPr>
            <b/>
            <sz val="9"/>
            <color indexed="81"/>
            <rFont val="Tahoma"/>
            <family val="2"/>
          </rPr>
          <t>&lt;[[TCDeals] - [TC Property Current Stage (Seq: 1)] - [Buildings (Seq: 22)] Constr PIS Date - Both]&gt;</t>
        </r>
      </text>
    </comment>
    <comment ref="L1225" authorId="0" shapeId="0" xr:uid="{49215DDD-4942-4209-AAED-49A5BA82DA29}">
      <text>
        <r>
          <rPr>
            <b/>
            <sz val="9"/>
            <color indexed="81"/>
            <rFont val="Tahoma"/>
            <family val="2"/>
          </rPr>
          <t>&lt;[[TCDeals] - [TC Property Current Stage (Seq: 1)] - [Buildings (Seq: 22)] Constr Applicable Percentage - Both]&gt;</t>
        </r>
      </text>
    </comment>
    <comment ref="M1225" authorId="0" shapeId="0" xr:uid="{19631EE7-BEF3-425C-9A54-54EC86BC98FA}">
      <text>
        <r>
          <rPr>
            <b/>
            <sz val="9"/>
            <color indexed="81"/>
            <rFont val="Tahoma"/>
            <family val="2"/>
          </rPr>
          <t>&lt;[[TCDeals] - [TC Property Current Stage (Seq: 1)] - [Buildings (Seq: 22)] Constr Est Qual Basis - Both]&gt;</t>
        </r>
      </text>
    </comment>
    <comment ref="N1225" authorId="0" shapeId="0" xr:uid="{0E78CEBE-3B80-43B1-B8C4-E42C46DE2CDD}">
      <text>
        <r>
          <rPr>
            <b/>
            <sz val="9"/>
            <color indexed="81"/>
            <rFont val="Tahoma"/>
            <family val="2"/>
          </rPr>
          <t>&lt;[[TCDeals] - [TC Property Current Stage (Seq: 1)] - [Buildings (Seq: 22)] Constr 8609 Basis - Both]&gt;</t>
        </r>
      </text>
    </comment>
    <comment ref="O1225" authorId="0" shapeId="0" xr:uid="{0F8BA966-B2D2-4E56-BA1D-990495790ED6}">
      <text>
        <r>
          <rPr>
            <b/>
            <sz val="9"/>
            <color indexed="81"/>
            <rFont val="Tahoma"/>
            <family val="2"/>
          </rPr>
          <t>&lt;[[TCDeals] - [TC Property Current Stage (Seq: 1)] - [Buildings (Seq: 22)] Constr 8609 Credit - Both]&gt;</t>
        </r>
      </text>
    </comment>
    <comment ref="P1225" authorId="0" shapeId="0" xr:uid="{002CCA15-57F4-4B5A-939A-3F157088F2ED}">
      <text>
        <r>
          <rPr>
            <b/>
            <sz val="9"/>
            <color indexed="81"/>
            <rFont val="Tahoma"/>
            <family val="2"/>
          </rPr>
          <t>&lt;[[TCDeals] - [TC Property Current Stage (Seq: 1)] - [Buildings (Seq: 22)] Acq PIS Date - Both]&gt;</t>
        </r>
      </text>
    </comment>
    <comment ref="Q1225" authorId="0" shapeId="0" xr:uid="{39769DFA-F6AB-4CFC-A92A-FA94BA3E3CB6}">
      <text>
        <r>
          <rPr>
            <b/>
            <sz val="9"/>
            <color indexed="81"/>
            <rFont val="Tahoma"/>
            <family val="2"/>
          </rPr>
          <t>&lt;[[TCDeals] - [TC Property Current Stage (Seq: 1)] - [Buildings (Seq: 22)] Acq Applicable Percentage - Both]&gt;</t>
        </r>
      </text>
    </comment>
    <comment ref="R1225" authorId="0" shapeId="0" xr:uid="{268E2464-B79F-4DF6-B763-8E90D8B303A0}">
      <text>
        <r>
          <rPr>
            <b/>
            <sz val="9"/>
            <color indexed="81"/>
            <rFont val="Tahoma"/>
            <family val="2"/>
          </rPr>
          <t>&lt;[[TCDeals] - [TC Property Current Stage (Seq: 1)] - [Buildings (Seq: 22)] Acq Est Qual Basis - Both]&gt;</t>
        </r>
      </text>
    </comment>
    <comment ref="S1225" authorId="0" shapeId="0" xr:uid="{4DA0166D-0A69-4B14-92AE-8F08EA592AF0}">
      <text>
        <r>
          <rPr>
            <b/>
            <sz val="9"/>
            <color indexed="81"/>
            <rFont val="Tahoma"/>
            <family val="2"/>
          </rPr>
          <t>&lt;[[TCDeals] - [TC Property Current Stage (Seq: 1)] - [Buildings (Seq: 22)] Acq 8609 Basis - Both]&gt;</t>
        </r>
      </text>
    </comment>
    <comment ref="T1225" authorId="0" shapeId="0" xr:uid="{E839EE2C-151C-410B-AE07-B030A85934D8}">
      <text>
        <r>
          <rPr>
            <b/>
            <sz val="9"/>
            <color indexed="81"/>
            <rFont val="Tahoma"/>
            <family val="2"/>
          </rPr>
          <t>&lt;[[TCDeals] - [TC Property Current Stage (Seq: 1)] - [Buildings (Seq: 22)] Acq 8609 Credit - Both]&gt;</t>
        </r>
      </text>
    </comment>
    <comment ref="C1226" authorId="0" shapeId="0" xr:uid="{51827814-207A-4ECB-8F8D-74F62A7E7322}">
      <text>
        <r>
          <rPr>
            <b/>
            <sz val="9"/>
            <color indexed="81"/>
            <rFont val="Tahoma"/>
            <family val="2"/>
          </rPr>
          <t>&lt;[[TCDeals] - [TC Property Current Stage (Seq: 1)] - [Buildings (Seq: 23)] BIN - Both]&gt;</t>
        </r>
      </text>
    </comment>
    <comment ref="D1226" authorId="0" shapeId="0" xr:uid="{24734940-D81B-4A63-96F7-EEEAC843B9CB}">
      <text>
        <r>
          <rPr>
            <b/>
            <sz val="9"/>
            <color indexed="81"/>
            <rFont val="Tahoma"/>
            <family val="2"/>
          </rPr>
          <t>&lt;[[TCDeals] - [TC Property Current Stage (Seq: 1)] - [Buildings (Seq: 23)] Address 1 - Both]&gt;</t>
        </r>
      </text>
    </comment>
    <comment ref="E1226" authorId="0" shapeId="0" xr:uid="{700A6E62-A1B3-4E18-BDE5-31DCAD822C30}">
      <text>
        <r>
          <rPr>
            <b/>
            <sz val="9"/>
            <color indexed="81"/>
            <rFont val="Tahoma"/>
            <family val="2"/>
          </rPr>
          <t>&lt;[[TCDeals] - [TC Property Current Stage (Seq: 1)] - [Buildings (Seq: 23)] Num TC Units - Both]&gt;</t>
        </r>
      </text>
    </comment>
    <comment ref="F1226" authorId="0" shapeId="0" xr:uid="{C5C08C95-5833-41D7-834A-674642F02B82}">
      <text>
        <r>
          <rPr>
            <b/>
            <sz val="9"/>
            <color indexed="81"/>
            <rFont val="Tahoma"/>
            <family val="2"/>
          </rPr>
          <t>&lt;[[TCDeals] - [TC Property Current Stage (Seq: 1)] - [Buildings (Seq: 23)] PVC PIS Date - Both]&gt;</t>
        </r>
      </text>
    </comment>
    <comment ref="G1226" authorId="0" shapeId="0" xr:uid="{D2A2F53F-8465-4B86-B51A-3CE6519ABF8C}">
      <text>
        <r>
          <rPr>
            <b/>
            <sz val="9"/>
            <color indexed="81"/>
            <rFont val="Tahoma"/>
            <family val="2"/>
          </rPr>
          <t>&lt;[[TCDeals] - [TC Property Current Stage (Seq: 1)] - [Buildings (Seq: 23)] PVC Applicable Percentage - Both]&gt;</t>
        </r>
      </text>
    </comment>
    <comment ref="H1226" authorId="0" shapeId="0" xr:uid="{EF4ED6C7-8E2D-4585-B06F-4D27BFA1C615}">
      <text>
        <r>
          <rPr>
            <b/>
            <sz val="9"/>
            <color indexed="81"/>
            <rFont val="Tahoma"/>
            <family val="2"/>
          </rPr>
          <t>&lt;[[TCDeals] - [TC Property Current Stage (Seq: 1)] - [Buildings (Seq: 23)] PVC Est Qual Basis - Both]&gt;</t>
        </r>
      </text>
    </comment>
    <comment ref="I1226" authorId="0" shapeId="0" xr:uid="{7D8CA096-C7FD-48E3-BDE6-2B851C845C0C}">
      <text>
        <r>
          <rPr>
            <b/>
            <sz val="9"/>
            <color indexed="81"/>
            <rFont val="Tahoma"/>
            <family val="2"/>
          </rPr>
          <t>&lt;[[TCDeals] - [TC Property Current Stage (Seq: 1)] - [Buildings (Seq: 23)] PVC8609 Basis - Both]&gt;</t>
        </r>
      </text>
    </comment>
    <comment ref="J1226" authorId="0" shapeId="0" xr:uid="{493AC330-B384-4825-8CF4-EAF87AEAA894}">
      <text>
        <r>
          <rPr>
            <b/>
            <sz val="9"/>
            <color indexed="81"/>
            <rFont val="Tahoma"/>
            <family val="2"/>
          </rPr>
          <t>&lt;[[TCDeals] - [TC Property Current Stage (Seq: 1)] - [Buildings (Seq: 23)] PVC8609 Credit - Both]&gt;</t>
        </r>
      </text>
    </comment>
    <comment ref="K1226" authorId="0" shapeId="0" xr:uid="{B783A80C-AFC0-47B0-8AB8-96A98C689DE7}">
      <text>
        <r>
          <rPr>
            <b/>
            <sz val="9"/>
            <color indexed="81"/>
            <rFont val="Tahoma"/>
            <family val="2"/>
          </rPr>
          <t>&lt;[[TCDeals] - [TC Property Current Stage (Seq: 1)] - [Buildings (Seq: 23)] Constr PIS Date - Both]&gt;</t>
        </r>
      </text>
    </comment>
    <comment ref="L1226" authorId="0" shapeId="0" xr:uid="{286480C4-B1C4-4190-BD36-50C9EF6F2D52}">
      <text>
        <r>
          <rPr>
            <b/>
            <sz val="9"/>
            <color indexed="81"/>
            <rFont val="Tahoma"/>
            <family val="2"/>
          </rPr>
          <t>&lt;[[TCDeals] - [TC Property Current Stage (Seq: 1)] - [Buildings (Seq: 23)] Constr Applicable Percentage - Both]&gt;</t>
        </r>
      </text>
    </comment>
    <comment ref="M1226" authorId="0" shapeId="0" xr:uid="{27249EB3-8CD0-4F91-96DA-C7EE5BBEC1FC}">
      <text>
        <r>
          <rPr>
            <b/>
            <sz val="9"/>
            <color indexed="81"/>
            <rFont val="Tahoma"/>
            <family val="2"/>
          </rPr>
          <t>&lt;[[TCDeals] - [TC Property Current Stage (Seq: 1)] - [Buildings (Seq: 23)] Constr Est Qual Basis - Both]&gt;</t>
        </r>
      </text>
    </comment>
    <comment ref="N1226" authorId="0" shapeId="0" xr:uid="{EAE3A0E7-BDFC-4B48-8587-EDE0A0538C00}">
      <text>
        <r>
          <rPr>
            <b/>
            <sz val="9"/>
            <color indexed="81"/>
            <rFont val="Tahoma"/>
            <family val="2"/>
          </rPr>
          <t>&lt;[[TCDeals] - [TC Property Current Stage (Seq: 1)] - [Buildings (Seq: 23)] Constr 8609 Basis - Both]&gt;</t>
        </r>
      </text>
    </comment>
    <comment ref="O1226" authorId="0" shapeId="0" xr:uid="{DD2579C2-A89E-4121-B64B-D0BA2E76F458}">
      <text>
        <r>
          <rPr>
            <b/>
            <sz val="9"/>
            <color indexed="81"/>
            <rFont val="Tahoma"/>
            <family val="2"/>
          </rPr>
          <t>&lt;[[TCDeals] - [TC Property Current Stage (Seq: 1)] - [Buildings (Seq: 23)] Constr 8609 Credit - Both]&gt;</t>
        </r>
      </text>
    </comment>
    <comment ref="P1226" authorId="0" shapeId="0" xr:uid="{6A40FD93-CA0F-4744-B42A-42E821943AD9}">
      <text>
        <r>
          <rPr>
            <b/>
            <sz val="9"/>
            <color indexed="81"/>
            <rFont val="Tahoma"/>
            <family val="2"/>
          </rPr>
          <t>&lt;[[TCDeals] - [TC Property Current Stage (Seq: 1)] - [Buildings (Seq: 23)] Acq PIS Date - Both]&gt;</t>
        </r>
      </text>
    </comment>
    <comment ref="Q1226" authorId="0" shapeId="0" xr:uid="{005987B9-BC07-4F52-8EC7-F513EF7E1BFD}">
      <text>
        <r>
          <rPr>
            <b/>
            <sz val="9"/>
            <color indexed="81"/>
            <rFont val="Tahoma"/>
            <family val="2"/>
          </rPr>
          <t>&lt;[[TCDeals] - [TC Property Current Stage (Seq: 1)] - [Buildings (Seq: 23)] Acq Applicable Percentage - Both]&gt;</t>
        </r>
      </text>
    </comment>
    <comment ref="R1226" authorId="0" shapeId="0" xr:uid="{CA8ABE18-C099-4F22-AEB0-27DE98F379B3}">
      <text>
        <r>
          <rPr>
            <b/>
            <sz val="9"/>
            <color indexed="81"/>
            <rFont val="Tahoma"/>
            <family val="2"/>
          </rPr>
          <t>&lt;[[TCDeals] - [TC Property Current Stage (Seq: 1)] - [Buildings (Seq: 23)] Acq Est Qual Basis - Both]&gt;</t>
        </r>
      </text>
    </comment>
    <comment ref="S1226" authorId="0" shapeId="0" xr:uid="{157F6E70-6EA9-4661-B22C-938CF473D471}">
      <text>
        <r>
          <rPr>
            <b/>
            <sz val="9"/>
            <color indexed="81"/>
            <rFont val="Tahoma"/>
            <family val="2"/>
          </rPr>
          <t>&lt;[[TCDeals] - [TC Property Current Stage (Seq: 1)] - [Buildings (Seq: 23)] Acq 8609 Basis - Both]&gt;</t>
        </r>
      </text>
    </comment>
    <comment ref="T1226" authorId="0" shapeId="0" xr:uid="{2C373DF5-11CA-43A0-B53D-582B6675B5FA}">
      <text>
        <r>
          <rPr>
            <b/>
            <sz val="9"/>
            <color indexed="81"/>
            <rFont val="Tahoma"/>
            <family val="2"/>
          </rPr>
          <t>&lt;[[TCDeals] - [TC Property Current Stage (Seq: 1)] - [Buildings (Seq: 23)] Acq 8609 Credit - Both]&gt;</t>
        </r>
      </text>
    </comment>
    <comment ref="C1227" authorId="0" shapeId="0" xr:uid="{E721E41E-DECF-4E31-8609-CAD2ED72707D}">
      <text>
        <r>
          <rPr>
            <b/>
            <sz val="9"/>
            <color indexed="81"/>
            <rFont val="Tahoma"/>
            <family val="2"/>
          </rPr>
          <t>&lt;[[TCDeals] - [TC Property Current Stage (Seq: 1)] - [Buildings (Seq: 24)] BIN - Both]&gt;</t>
        </r>
      </text>
    </comment>
    <comment ref="D1227" authorId="0" shapeId="0" xr:uid="{EC047C19-3F3B-4B99-88A0-74D180F20D92}">
      <text>
        <r>
          <rPr>
            <b/>
            <sz val="9"/>
            <color indexed="81"/>
            <rFont val="Tahoma"/>
            <family val="2"/>
          </rPr>
          <t>&lt;[[TCDeals] - [TC Property Current Stage (Seq: 1)] - [Buildings (Seq: 24)] Address 1 - Both]&gt;</t>
        </r>
      </text>
    </comment>
    <comment ref="E1227" authorId="0" shapeId="0" xr:uid="{A9AE6199-E549-4B3B-92A2-BEC3027A339D}">
      <text>
        <r>
          <rPr>
            <b/>
            <sz val="9"/>
            <color indexed="81"/>
            <rFont val="Tahoma"/>
            <family val="2"/>
          </rPr>
          <t>&lt;[[TCDeals] - [TC Property Current Stage (Seq: 1)] - [Buildings (Seq: 24)] Num TC Units - Both]&gt;</t>
        </r>
      </text>
    </comment>
    <comment ref="F1227" authorId="0" shapeId="0" xr:uid="{1ACAA5C9-9A26-42D8-A9A7-98769D72AFEE}">
      <text>
        <r>
          <rPr>
            <b/>
            <sz val="9"/>
            <color indexed="81"/>
            <rFont val="Tahoma"/>
            <family val="2"/>
          </rPr>
          <t>&lt;[[TCDeals] - [TC Property Current Stage (Seq: 1)] - [Buildings (Seq: 24)] PVC PIS Date - Both]&gt;</t>
        </r>
      </text>
    </comment>
    <comment ref="G1227" authorId="0" shapeId="0" xr:uid="{426F1F46-71AE-467E-B04C-4624550A2E03}">
      <text>
        <r>
          <rPr>
            <b/>
            <sz val="9"/>
            <color indexed="81"/>
            <rFont val="Tahoma"/>
            <family val="2"/>
          </rPr>
          <t>&lt;[[TCDeals] - [TC Property Current Stage (Seq: 1)] - [Buildings (Seq: 24)] PVC Applicable Percentage - Both]&gt;</t>
        </r>
      </text>
    </comment>
    <comment ref="H1227" authorId="0" shapeId="0" xr:uid="{55A51C0B-7CBE-4005-8F53-E8AAFA7EEC79}">
      <text>
        <r>
          <rPr>
            <b/>
            <sz val="9"/>
            <color indexed="81"/>
            <rFont val="Tahoma"/>
            <family val="2"/>
          </rPr>
          <t>&lt;[[TCDeals] - [TC Property Current Stage (Seq: 1)] - [Buildings (Seq: 24)] PVC Est Qual Basis - Both]&gt;</t>
        </r>
      </text>
    </comment>
    <comment ref="I1227" authorId="0" shapeId="0" xr:uid="{12E9D2AD-C79B-4C6E-B40E-B98BCF4EB0BD}">
      <text>
        <r>
          <rPr>
            <b/>
            <sz val="9"/>
            <color indexed="81"/>
            <rFont val="Tahoma"/>
            <family val="2"/>
          </rPr>
          <t>&lt;[[TCDeals] - [TC Property Current Stage (Seq: 1)] - [Buildings (Seq: 24)] PVC8609 Basis - Both]&gt;</t>
        </r>
      </text>
    </comment>
    <comment ref="J1227" authorId="0" shapeId="0" xr:uid="{B8CE54DE-2884-44BE-B987-C03849965C32}">
      <text>
        <r>
          <rPr>
            <b/>
            <sz val="9"/>
            <color indexed="81"/>
            <rFont val="Tahoma"/>
            <family val="2"/>
          </rPr>
          <t>&lt;[[TCDeals] - [TC Property Current Stage (Seq: 1)] - [Buildings (Seq: 24)] PVC8609 Credit - Both]&gt;</t>
        </r>
      </text>
    </comment>
    <comment ref="K1227" authorId="0" shapeId="0" xr:uid="{34F1E726-B0F2-459A-9F1A-D629662F5210}">
      <text>
        <r>
          <rPr>
            <b/>
            <sz val="9"/>
            <color indexed="81"/>
            <rFont val="Tahoma"/>
            <family val="2"/>
          </rPr>
          <t>&lt;[[TCDeals] - [TC Property Current Stage (Seq: 1)] - [Buildings (Seq: 24)] Constr PIS Date - Both]&gt;</t>
        </r>
      </text>
    </comment>
    <comment ref="L1227" authorId="0" shapeId="0" xr:uid="{AE5C33A4-7955-4518-A008-8581004D5EA1}">
      <text>
        <r>
          <rPr>
            <b/>
            <sz val="9"/>
            <color indexed="81"/>
            <rFont val="Tahoma"/>
            <family val="2"/>
          </rPr>
          <t>&lt;[[TCDeals] - [TC Property Current Stage (Seq: 1)] - [Buildings (Seq: 24)] Constr Applicable Percentage - Both]&gt;</t>
        </r>
      </text>
    </comment>
    <comment ref="M1227" authorId="0" shapeId="0" xr:uid="{9085ACE3-788F-4D8B-A86A-834A4FA70973}">
      <text>
        <r>
          <rPr>
            <b/>
            <sz val="9"/>
            <color indexed="81"/>
            <rFont val="Tahoma"/>
            <family val="2"/>
          </rPr>
          <t>&lt;[[TCDeals] - [TC Property Current Stage (Seq: 1)] - [Buildings (Seq: 24)] Constr Est Qual Basis - Both]&gt;</t>
        </r>
      </text>
    </comment>
    <comment ref="N1227" authorId="0" shapeId="0" xr:uid="{5383FD2E-FA2F-445D-9097-ECAA743483D7}">
      <text>
        <r>
          <rPr>
            <b/>
            <sz val="9"/>
            <color indexed="81"/>
            <rFont val="Tahoma"/>
            <family val="2"/>
          </rPr>
          <t>&lt;[[TCDeals] - [TC Property Current Stage (Seq: 1)] - [Buildings (Seq: 24)] Constr 8609 Basis - Both]&gt;</t>
        </r>
      </text>
    </comment>
    <comment ref="O1227" authorId="0" shapeId="0" xr:uid="{51BB21D3-F75C-46C5-895A-1B72383AA67C}">
      <text>
        <r>
          <rPr>
            <b/>
            <sz val="9"/>
            <color indexed="81"/>
            <rFont val="Tahoma"/>
            <family val="2"/>
          </rPr>
          <t>&lt;[[TCDeals] - [TC Property Current Stage (Seq: 1)] - [Buildings (Seq: 24)] Constr 8609 Credit - Both]&gt;</t>
        </r>
      </text>
    </comment>
    <comment ref="P1227" authorId="0" shapeId="0" xr:uid="{AC39BF0E-1412-48EF-AD53-D3A65A3DB7CF}">
      <text>
        <r>
          <rPr>
            <b/>
            <sz val="9"/>
            <color indexed="81"/>
            <rFont val="Tahoma"/>
            <family val="2"/>
          </rPr>
          <t>&lt;[[TCDeals] - [TC Property Current Stage (Seq: 1)] - [Buildings (Seq: 24)] Acq PIS Date - Both]&gt;</t>
        </r>
      </text>
    </comment>
    <comment ref="Q1227" authorId="0" shapeId="0" xr:uid="{155643E1-9E1A-42B4-A33B-198432EBA609}">
      <text>
        <r>
          <rPr>
            <b/>
            <sz val="9"/>
            <color indexed="81"/>
            <rFont val="Tahoma"/>
            <family val="2"/>
          </rPr>
          <t>&lt;[[TCDeals] - [TC Property Current Stage (Seq: 1)] - [Buildings (Seq: 24)] Acq Applicable Percentage - Both]&gt;</t>
        </r>
      </text>
    </comment>
    <comment ref="R1227" authorId="0" shapeId="0" xr:uid="{020A298E-DCE9-413C-B98A-15C376724ED4}">
      <text>
        <r>
          <rPr>
            <b/>
            <sz val="9"/>
            <color indexed="81"/>
            <rFont val="Tahoma"/>
            <family val="2"/>
          </rPr>
          <t>&lt;[[TCDeals] - [TC Property Current Stage (Seq: 1)] - [Buildings (Seq: 24)] Acq Est Qual Basis - Both]&gt;</t>
        </r>
      </text>
    </comment>
    <comment ref="S1227" authorId="0" shapeId="0" xr:uid="{635AF06F-A723-4B47-A5A9-40DA6BD48F48}">
      <text>
        <r>
          <rPr>
            <b/>
            <sz val="9"/>
            <color indexed="81"/>
            <rFont val="Tahoma"/>
            <family val="2"/>
          </rPr>
          <t>&lt;[[TCDeals] - [TC Property Current Stage (Seq: 1)] - [Buildings (Seq: 24)] Acq 8609 Basis - Both]&gt;</t>
        </r>
      </text>
    </comment>
    <comment ref="T1227" authorId="0" shapeId="0" xr:uid="{2F16CC8B-ECB1-41FC-8F37-4AC362787133}">
      <text>
        <r>
          <rPr>
            <b/>
            <sz val="9"/>
            <color indexed="81"/>
            <rFont val="Tahoma"/>
            <family val="2"/>
          </rPr>
          <t>&lt;[[TCDeals] - [TC Property Current Stage (Seq: 1)] - [Buildings (Seq: 24)] Acq 8609 Credit - Both]&gt;</t>
        </r>
      </text>
    </comment>
    <comment ref="C1228" authorId="0" shapeId="0" xr:uid="{FBE932E5-485B-4F7B-BA0F-CF63B9E74355}">
      <text>
        <r>
          <rPr>
            <b/>
            <sz val="9"/>
            <color indexed="81"/>
            <rFont val="Tahoma"/>
            <family val="2"/>
          </rPr>
          <t>&lt;[[TCDeals] - [TC Property Current Stage (Seq: 1)] - [Buildings (Seq: 25)] BIN - Both]&gt;</t>
        </r>
      </text>
    </comment>
    <comment ref="D1228" authorId="0" shapeId="0" xr:uid="{AFD57F70-0102-4D56-8B98-372562FD3803}">
      <text>
        <r>
          <rPr>
            <b/>
            <sz val="9"/>
            <color indexed="81"/>
            <rFont val="Tahoma"/>
            <family val="2"/>
          </rPr>
          <t>&lt;[[TCDeals] - [TC Property Current Stage (Seq: 1)] - [Buildings (Seq: 25)] Address 1 - Both]&gt;</t>
        </r>
      </text>
    </comment>
    <comment ref="E1228" authorId="0" shapeId="0" xr:uid="{4B1186FE-97CB-438C-8654-302233DBE062}">
      <text>
        <r>
          <rPr>
            <b/>
            <sz val="9"/>
            <color indexed="81"/>
            <rFont val="Tahoma"/>
            <family val="2"/>
          </rPr>
          <t>&lt;[[TCDeals] - [TC Property Current Stage (Seq: 1)] - [Buildings (Seq: 25)] Num TC Units - Both]&gt;</t>
        </r>
      </text>
    </comment>
    <comment ref="F1228" authorId="0" shapeId="0" xr:uid="{58600DFC-4AB4-455A-A73D-404903BC01D2}">
      <text>
        <r>
          <rPr>
            <b/>
            <sz val="9"/>
            <color indexed="81"/>
            <rFont val="Tahoma"/>
            <family val="2"/>
          </rPr>
          <t>&lt;[[TCDeals] - [TC Property Current Stage (Seq: 1)] - [Buildings (Seq: 25)] PVC PIS Date - Both]&gt;</t>
        </r>
      </text>
    </comment>
    <comment ref="G1228" authorId="0" shapeId="0" xr:uid="{025B6575-60C2-43AC-8F85-F0DA717EDFFE}">
      <text>
        <r>
          <rPr>
            <b/>
            <sz val="9"/>
            <color indexed="81"/>
            <rFont val="Tahoma"/>
            <family val="2"/>
          </rPr>
          <t>&lt;[[TCDeals] - [TC Property Current Stage (Seq: 1)] - [Buildings (Seq: 25)] PVC Applicable Percentage - Both]&gt;</t>
        </r>
      </text>
    </comment>
    <comment ref="H1228" authorId="0" shapeId="0" xr:uid="{16AC16A3-8B4E-468B-A899-794BB505C1B9}">
      <text>
        <r>
          <rPr>
            <b/>
            <sz val="9"/>
            <color indexed="81"/>
            <rFont val="Tahoma"/>
            <family val="2"/>
          </rPr>
          <t>&lt;[[TCDeals] - [TC Property Current Stage (Seq: 1)] - [Buildings (Seq: 25)] PVC Est Qual Basis - Both]&gt;</t>
        </r>
      </text>
    </comment>
    <comment ref="I1228" authorId="0" shapeId="0" xr:uid="{F6D84998-62E7-4D70-B13A-756AED829395}">
      <text>
        <r>
          <rPr>
            <b/>
            <sz val="9"/>
            <color indexed="81"/>
            <rFont val="Tahoma"/>
            <family val="2"/>
          </rPr>
          <t>&lt;[[TCDeals] - [TC Property Current Stage (Seq: 1)] - [Buildings (Seq: 25)] PVC8609 Basis - Both]&gt;</t>
        </r>
      </text>
    </comment>
    <comment ref="J1228" authorId="0" shapeId="0" xr:uid="{D83AE60C-6CBD-4ACD-B1B1-52C71A70F1FE}">
      <text>
        <r>
          <rPr>
            <b/>
            <sz val="9"/>
            <color indexed="81"/>
            <rFont val="Tahoma"/>
            <family val="2"/>
          </rPr>
          <t>&lt;[[TCDeals] - [TC Property Current Stage (Seq: 1)] - [Buildings (Seq: 25)] PVC8609 Credit - Both]&gt;</t>
        </r>
      </text>
    </comment>
    <comment ref="K1228" authorId="0" shapeId="0" xr:uid="{9C52E361-FC9C-4580-95DD-709D281D25E0}">
      <text>
        <r>
          <rPr>
            <b/>
            <sz val="9"/>
            <color indexed="81"/>
            <rFont val="Tahoma"/>
            <family val="2"/>
          </rPr>
          <t>&lt;[[TCDeals] - [TC Property Current Stage (Seq: 1)] - [Buildings (Seq: 25)] Constr PIS Date - Both]&gt;</t>
        </r>
      </text>
    </comment>
    <comment ref="L1228" authorId="0" shapeId="0" xr:uid="{221F8345-084D-4F8D-9311-E4D00662AE71}">
      <text>
        <r>
          <rPr>
            <b/>
            <sz val="9"/>
            <color indexed="81"/>
            <rFont val="Tahoma"/>
            <family val="2"/>
          </rPr>
          <t>&lt;[[TCDeals] - [TC Property Current Stage (Seq: 1)] - [Buildings (Seq: 25)] Constr Applicable Percentage - Both]&gt;</t>
        </r>
      </text>
    </comment>
    <comment ref="M1228" authorId="0" shapeId="0" xr:uid="{99CFAFC8-A3E9-479E-8E73-D8B6C26671BF}">
      <text>
        <r>
          <rPr>
            <b/>
            <sz val="9"/>
            <color indexed="81"/>
            <rFont val="Tahoma"/>
            <family val="2"/>
          </rPr>
          <t>&lt;[[TCDeals] - [TC Property Current Stage (Seq: 1)] - [Buildings (Seq: 25)] Constr Est Qual Basis - Both]&gt;</t>
        </r>
      </text>
    </comment>
    <comment ref="N1228" authorId="0" shapeId="0" xr:uid="{CF24CC29-796A-4A8A-B54A-73823B135CD5}">
      <text>
        <r>
          <rPr>
            <b/>
            <sz val="9"/>
            <color indexed="81"/>
            <rFont val="Tahoma"/>
            <family val="2"/>
          </rPr>
          <t>&lt;[[TCDeals] - [TC Property Current Stage (Seq: 1)] - [Buildings (Seq: 25)] Constr 8609 Basis - Both]&gt;</t>
        </r>
      </text>
    </comment>
    <comment ref="O1228" authorId="0" shapeId="0" xr:uid="{CCBBA728-5FF8-4A7E-B74D-3A49AC6F0B53}">
      <text>
        <r>
          <rPr>
            <b/>
            <sz val="9"/>
            <color indexed="81"/>
            <rFont val="Tahoma"/>
            <family val="2"/>
          </rPr>
          <t>&lt;[[TCDeals] - [TC Property Current Stage (Seq: 1)] - [Buildings (Seq: 25)] Constr 8609 Credit - Both]&gt;</t>
        </r>
      </text>
    </comment>
    <comment ref="P1228" authorId="0" shapeId="0" xr:uid="{76D7A8B1-A195-4F3C-AC1C-AC40442C9F35}">
      <text>
        <r>
          <rPr>
            <b/>
            <sz val="9"/>
            <color indexed="81"/>
            <rFont val="Tahoma"/>
            <family val="2"/>
          </rPr>
          <t>&lt;[[TCDeals] - [TC Property Current Stage (Seq: 1)] - [Buildings (Seq: 25)] Acq PIS Date - Both]&gt;</t>
        </r>
      </text>
    </comment>
    <comment ref="Q1228" authorId="0" shapeId="0" xr:uid="{53ADA809-99BC-4330-A4AE-684F9DDCCC42}">
      <text>
        <r>
          <rPr>
            <b/>
            <sz val="9"/>
            <color indexed="81"/>
            <rFont val="Tahoma"/>
            <family val="2"/>
          </rPr>
          <t>&lt;[[TCDeals] - [TC Property Current Stage (Seq: 1)] - [Buildings (Seq: 25)] Acq Applicable Percentage - Both]&gt;</t>
        </r>
      </text>
    </comment>
    <comment ref="R1228" authorId="0" shapeId="0" xr:uid="{9C70CDE2-5EF4-42D5-A3C4-E60249BADE49}">
      <text>
        <r>
          <rPr>
            <b/>
            <sz val="9"/>
            <color indexed="81"/>
            <rFont val="Tahoma"/>
            <family val="2"/>
          </rPr>
          <t>&lt;[[TCDeals] - [TC Property Current Stage (Seq: 1)] - [Buildings (Seq: 25)] Acq Est Qual Basis - Both]&gt;</t>
        </r>
      </text>
    </comment>
    <comment ref="S1228" authorId="0" shapeId="0" xr:uid="{8B3AC734-EA87-47A5-8C7D-DD488B8D2208}">
      <text>
        <r>
          <rPr>
            <b/>
            <sz val="9"/>
            <color indexed="81"/>
            <rFont val="Tahoma"/>
            <family val="2"/>
          </rPr>
          <t>&lt;[[TCDeals] - [TC Property Current Stage (Seq: 1)] - [Buildings (Seq: 25)] Acq 8609 Basis - Both]&gt;</t>
        </r>
      </text>
    </comment>
    <comment ref="T1228" authorId="0" shapeId="0" xr:uid="{F38EF38C-688C-41A1-9806-2163DAD80FE7}">
      <text>
        <r>
          <rPr>
            <b/>
            <sz val="9"/>
            <color indexed="81"/>
            <rFont val="Tahoma"/>
            <family val="2"/>
          </rPr>
          <t>&lt;[[TCDeals] - [TC Property Current Stage (Seq: 1)] - [Buildings (Seq: 25)] Acq 8609 Credit - Both]&gt;</t>
        </r>
      </text>
    </comment>
    <comment ref="C1229" authorId="0" shapeId="0" xr:uid="{DCF4A16E-0B4B-4BB6-8C7B-E42EDD932AE8}">
      <text>
        <r>
          <rPr>
            <b/>
            <sz val="9"/>
            <color indexed="81"/>
            <rFont val="Tahoma"/>
            <family val="2"/>
          </rPr>
          <t>&lt;[[TCDeals] - [TC Property Current Stage (Seq: 1)] - [Buildings (Seq: 26)] BIN - Both]&gt;</t>
        </r>
      </text>
    </comment>
    <comment ref="D1229" authorId="0" shapeId="0" xr:uid="{AA7F3F74-F7CE-459E-BBE4-3C5DDEB7AE5C}">
      <text>
        <r>
          <rPr>
            <b/>
            <sz val="9"/>
            <color indexed="81"/>
            <rFont val="Tahoma"/>
            <family val="2"/>
          </rPr>
          <t>&lt;[[TCDeals] - [TC Property Current Stage (Seq: 1)] - [Buildings (Seq: 26)] Address 1 - Both]&gt;</t>
        </r>
      </text>
    </comment>
    <comment ref="E1229" authorId="0" shapeId="0" xr:uid="{3BC4EF30-1CFA-455D-8E16-F0B914B39EF5}">
      <text>
        <r>
          <rPr>
            <b/>
            <sz val="9"/>
            <color indexed="81"/>
            <rFont val="Tahoma"/>
            <family val="2"/>
          </rPr>
          <t>&lt;[[TCDeals] - [TC Property Current Stage (Seq: 1)] - [Buildings (Seq: 26)] Num TC Units - Both]&gt;</t>
        </r>
      </text>
    </comment>
    <comment ref="F1229" authorId="0" shapeId="0" xr:uid="{8F72B6B9-2ABB-437D-8E41-6EEEF5B8C41F}">
      <text>
        <r>
          <rPr>
            <b/>
            <sz val="9"/>
            <color indexed="81"/>
            <rFont val="Tahoma"/>
            <family val="2"/>
          </rPr>
          <t>&lt;[[TCDeals] - [TC Property Current Stage (Seq: 1)] - [Buildings (Seq: 26)] PVC PIS Date - Both]&gt;</t>
        </r>
      </text>
    </comment>
    <comment ref="G1229" authorId="0" shapeId="0" xr:uid="{7943F217-531B-4877-8B0C-F8ACCF8F690D}">
      <text>
        <r>
          <rPr>
            <b/>
            <sz val="9"/>
            <color indexed="81"/>
            <rFont val="Tahoma"/>
            <family val="2"/>
          </rPr>
          <t>&lt;[[TCDeals] - [TC Property Current Stage (Seq: 1)] - [Buildings (Seq: 26)] PVC Applicable Percentage - Both]&gt;</t>
        </r>
      </text>
    </comment>
    <comment ref="H1229" authorId="0" shapeId="0" xr:uid="{C83AF0FF-2558-4749-9C8A-8FDF3F6E0F22}">
      <text>
        <r>
          <rPr>
            <b/>
            <sz val="9"/>
            <color indexed="81"/>
            <rFont val="Tahoma"/>
            <family val="2"/>
          </rPr>
          <t>&lt;[[TCDeals] - [TC Property Current Stage (Seq: 1)] - [Buildings (Seq: 26)] PVC Est Qual Basis - Both]&gt;</t>
        </r>
      </text>
    </comment>
    <comment ref="I1229" authorId="0" shapeId="0" xr:uid="{37ACE7A5-1ECB-4C0D-A1CC-AAEE964AB5A6}">
      <text>
        <r>
          <rPr>
            <b/>
            <sz val="9"/>
            <color indexed="81"/>
            <rFont val="Tahoma"/>
            <family val="2"/>
          </rPr>
          <t>&lt;[[TCDeals] - [TC Property Current Stage (Seq: 1)] - [Buildings (Seq: 26)] PVC8609 Basis - Both]&gt;</t>
        </r>
      </text>
    </comment>
    <comment ref="J1229" authorId="0" shapeId="0" xr:uid="{5401E5C9-C5E9-4F23-B57C-4084E82B3841}">
      <text>
        <r>
          <rPr>
            <b/>
            <sz val="9"/>
            <color indexed="81"/>
            <rFont val="Tahoma"/>
            <family val="2"/>
          </rPr>
          <t>&lt;[[TCDeals] - [TC Property Current Stage (Seq: 1)] - [Buildings (Seq: 26)] PVC8609 Credit - Both]&gt;</t>
        </r>
      </text>
    </comment>
    <comment ref="K1229" authorId="0" shapeId="0" xr:uid="{80397FC5-100D-4528-AF57-1540C2FD7DC4}">
      <text>
        <r>
          <rPr>
            <b/>
            <sz val="9"/>
            <color indexed="81"/>
            <rFont val="Tahoma"/>
            <family val="2"/>
          </rPr>
          <t>&lt;[[TCDeals] - [TC Property Current Stage (Seq: 1)] - [Buildings (Seq: 26)] Constr PIS Date - Both]&gt;</t>
        </r>
      </text>
    </comment>
    <comment ref="L1229" authorId="0" shapeId="0" xr:uid="{9F177054-4D69-4618-A1B8-9517CC7F5C77}">
      <text>
        <r>
          <rPr>
            <b/>
            <sz val="9"/>
            <color indexed="81"/>
            <rFont val="Tahoma"/>
            <family val="2"/>
          </rPr>
          <t>&lt;[[TCDeals] - [TC Property Current Stage (Seq: 1)] - [Buildings (Seq: 26)] Constr Applicable Percentage - Both]&gt;</t>
        </r>
      </text>
    </comment>
    <comment ref="M1229" authorId="0" shapeId="0" xr:uid="{614BE76F-81B0-4499-8F32-AD82CBE867CD}">
      <text>
        <r>
          <rPr>
            <b/>
            <sz val="9"/>
            <color indexed="81"/>
            <rFont val="Tahoma"/>
            <family val="2"/>
          </rPr>
          <t>&lt;[[TCDeals] - [TC Property Current Stage (Seq: 1)] - [Buildings (Seq: 26)] Constr Est Qual Basis - Both]&gt;</t>
        </r>
      </text>
    </comment>
    <comment ref="N1229" authorId="0" shapeId="0" xr:uid="{995AF15F-9F85-4E90-A987-8E8AB6B252BA}">
      <text>
        <r>
          <rPr>
            <b/>
            <sz val="9"/>
            <color indexed="81"/>
            <rFont val="Tahoma"/>
            <family val="2"/>
          </rPr>
          <t>&lt;[[TCDeals] - [TC Property Current Stage (Seq: 1)] - [Buildings (Seq: 26)] Constr 8609 Basis - Both]&gt;</t>
        </r>
      </text>
    </comment>
    <comment ref="O1229" authorId="0" shapeId="0" xr:uid="{9DB972F0-D73D-4333-9BCF-7012635E95F5}">
      <text>
        <r>
          <rPr>
            <b/>
            <sz val="9"/>
            <color indexed="81"/>
            <rFont val="Tahoma"/>
            <family val="2"/>
          </rPr>
          <t>&lt;[[TCDeals] - [TC Property Current Stage (Seq: 1)] - [Buildings (Seq: 26)] Constr 8609 Credit - Both]&gt;</t>
        </r>
      </text>
    </comment>
    <comment ref="P1229" authorId="0" shapeId="0" xr:uid="{EFC68C4F-CB8D-4564-A216-B1ACCC0C886F}">
      <text>
        <r>
          <rPr>
            <b/>
            <sz val="9"/>
            <color indexed="81"/>
            <rFont val="Tahoma"/>
            <family val="2"/>
          </rPr>
          <t>&lt;[[TCDeals] - [TC Property Current Stage (Seq: 1)] - [Buildings (Seq: 26)] Acq PIS Date - Both]&gt;</t>
        </r>
      </text>
    </comment>
    <comment ref="Q1229" authorId="0" shapeId="0" xr:uid="{87B0FBF9-8E7C-4563-B05A-3A2E76331769}">
      <text>
        <r>
          <rPr>
            <b/>
            <sz val="9"/>
            <color indexed="81"/>
            <rFont val="Tahoma"/>
            <family val="2"/>
          </rPr>
          <t>&lt;[[TCDeals] - [TC Property Current Stage (Seq: 1)] - [Buildings (Seq: 26)] Acq Applicable Percentage - Both]&gt;</t>
        </r>
      </text>
    </comment>
    <comment ref="R1229" authorId="0" shapeId="0" xr:uid="{BE74A3A7-7963-48DF-937F-4D07857522EE}">
      <text>
        <r>
          <rPr>
            <b/>
            <sz val="9"/>
            <color indexed="81"/>
            <rFont val="Tahoma"/>
            <family val="2"/>
          </rPr>
          <t>&lt;[[TCDeals] - [TC Property Current Stage (Seq: 1)] - [Buildings (Seq: 26)] Acq Est Qual Basis - Both]&gt;</t>
        </r>
      </text>
    </comment>
    <comment ref="S1229" authorId="0" shapeId="0" xr:uid="{575D33EE-6ADF-413A-BDE7-12B0BE431EE4}">
      <text>
        <r>
          <rPr>
            <b/>
            <sz val="9"/>
            <color indexed="81"/>
            <rFont val="Tahoma"/>
            <family val="2"/>
          </rPr>
          <t>&lt;[[TCDeals] - [TC Property Current Stage (Seq: 1)] - [Buildings (Seq: 26)] Acq 8609 Basis - Both]&gt;</t>
        </r>
      </text>
    </comment>
    <comment ref="T1229" authorId="0" shapeId="0" xr:uid="{467EE3D0-1C21-4E83-994B-F309520651A1}">
      <text>
        <r>
          <rPr>
            <b/>
            <sz val="9"/>
            <color indexed="81"/>
            <rFont val="Tahoma"/>
            <family val="2"/>
          </rPr>
          <t>&lt;[[TCDeals] - [TC Property Current Stage (Seq: 1)] - [Buildings (Seq: 26)] Acq 8609 Credit - Both]&gt;</t>
        </r>
      </text>
    </comment>
    <comment ref="C1230" authorId="0" shapeId="0" xr:uid="{29255615-B667-429D-82F0-9335F40EEAC9}">
      <text>
        <r>
          <rPr>
            <b/>
            <sz val="9"/>
            <color indexed="81"/>
            <rFont val="Tahoma"/>
            <family val="2"/>
          </rPr>
          <t>&lt;[[TCDeals] - [TC Property Current Stage (Seq: 1)] - [Buildings (Seq: 27)] BIN - Both]&gt;</t>
        </r>
      </text>
    </comment>
    <comment ref="D1230" authorId="0" shapeId="0" xr:uid="{247AD15F-A780-40E3-81BB-06CBCAAB8474}">
      <text>
        <r>
          <rPr>
            <b/>
            <sz val="9"/>
            <color indexed="81"/>
            <rFont val="Tahoma"/>
            <family val="2"/>
          </rPr>
          <t>&lt;[[TCDeals] - [TC Property Current Stage (Seq: 1)] - [Buildings (Seq: 27)] Address 1 - Both]&gt;</t>
        </r>
      </text>
    </comment>
    <comment ref="E1230" authorId="0" shapeId="0" xr:uid="{6985F05E-8A9E-4B26-8C93-35B6FBE34404}">
      <text>
        <r>
          <rPr>
            <b/>
            <sz val="9"/>
            <color indexed="81"/>
            <rFont val="Tahoma"/>
            <family val="2"/>
          </rPr>
          <t>&lt;[[TCDeals] - [TC Property Current Stage (Seq: 1)] - [Buildings (Seq: 27)] Num TC Units - Both]&gt;</t>
        </r>
      </text>
    </comment>
    <comment ref="F1230" authorId="0" shapeId="0" xr:uid="{135BE223-9BE6-4888-AFA3-89009CCC5FA8}">
      <text>
        <r>
          <rPr>
            <b/>
            <sz val="9"/>
            <color indexed="81"/>
            <rFont val="Tahoma"/>
            <family val="2"/>
          </rPr>
          <t>&lt;[[TCDeals] - [TC Property Current Stage (Seq: 1)] - [Buildings (Seq: 27)] PVC PIS Date - Both]&gt;</t>
        </r>
      </text>
    </comment>
    <comment ref="G1230" authorId="0" shapeId="0" xr:uid="{B7C53DD3-478E-404D-87DC-0ABE1482C1D4}">
      <text>
        <r>
          <rPr>
            <b/>
            <sz val="9"/>
            <color indexed="81"/>
            <rFont val="Tahoma"/>
            <family val="2"/>
          </rPr>
          <t>&lt;[[TCDeals] - [TC Property Current Stage (Seq: 1)] - [Buildings (Seq: 27)] PVC Applicable Percentage - Both]&gt;</t>
        </r>
      </text>
    </comment>
    <comment ref="H1230" authorId="0" shapeId="0" xr:uid="{A5B14CE0-85C0-49D4-8B04-A8E986921541}">
      <text>
        <r>
          <rPr>
            <b/>
            <sz val="9"/>
            <color indexed="81"/>
            <rFont val="Tahoma"/>
            <family val="2"/>
          </rPr>
          <t>&lt;[[TCDeals] - [TC Property Current Stage (Seq: 1)] - [Buildings (Seq: 27)] PVC Est Qual Basis - Both]&gt;</t>
        </r>
      </text>
    </comment>
    <comment ref="I1230" authorId="0" shapeId="0" xr:uid="{5F38E653-ADBF-4079-94CF-155744095E9A}">
      <text>
        <r>
          <rPr>
            <b/>
            <sz val="9"/>
            <color indexed="81"/>
            <rFont val="Tahoma"/>
            <family val="2"/>
          </rPr>
          <t>&lt;[[TCDeals] - [TC Property Current Stage (Seq: 1)] - [Buildings (Seq: 27)] PVC8609 Basis - Both]&gt;</t>
        </r>
      </text>
    </comment>
    <comment ref="J1230" authorId="0" shapeId="0" xr:uid="{C55CB4BB-2393-45C6-A534-34CA8D76E23B}">
      <text>
        <r>
          <rPr>
            <b/>
            <sz val="9"/>
            <color indexed="81"/>
            <rFont val="Tahoma"/>
            <family val="2"/>
          </rPr>
          <t>&lt;[[TCDeals] - [TC Property Current Stage (Seq: 1)] - [Buildings (Seq: 27)] PVC8609 Credit - Both]&gt;</t>
        </r>
      </text>
    </comment>
    <comment ref="K1230" authorId="0" shapeId="0" xr:uid="{A128D726-FF50-43AD-933D-987E73D0A0B2}">
      <text>
        <r>
          <rPr>
            <b/>
            <sz val="9"/>
            <color indexed="81"/>
            <rFont val="Tahoma"/>
            <family val="2"/>
          </rPr>
          <t>&lt;[[TCDeals] - [TC Property Current Stage (Seq: 1)] - [Buildings (Seq: 27)] Constr PIS Date - Both]&gt;</t>
        </r>
      </text>
    </comment>
    <comment ref="L1230" authorId="0" shapeId="0" xr:uid="{59756330-3C56-423A-A37C-6F2A07F571AF}">
      <text>
        <r>
          <rPr>
            <b/>
            <sz val="9"/>
            <color indexed="81"/>
            <rFont val="Tahoma"/>
            <family val="2"/>
          </rPr>
          <t>&lt;[[TCDeals] - [TC Property Current Stage (Seq: 1)] - [Buildings (Seq: 27)] Constr Applicable Percentage - Both]&gt;</t>
        </r>
      </text>
    </comment>
    <comment ref="M1230" authorId="0" shapeId="0" xr:uid="{D2C85172-4C9A-4879-AE12-4E0F8C81B54D}">
      <text>
        <r>
          <rPr>
            <b/>
            <sz val="9"/>
            <color indexed="81"/>
            <rFont val="Tahoma"/>
            <family val="2"/>
          </rPr>
          <t>&lt;[[TCDeals] - [TC Property Current Stage (Seq: 1)] - [Buildings (Seq: 27)] Constr Est Qual Basis - Both]&gt;</t>
        </r>
      </text>
    </comment>
    <comment ref="N1230" authorId="0" shapeId="0" xr:uid="{73ACA50B-96CA-49DB-8871-74FB25A73D7D}">
      <text>
        <r>
          <rPr>
            <b/>
            <sz val="9"/>
            <color indexed="81"/>
            <rFont val="Tahoma"/>
            <family val="2"/>
          </rPr>
          <t>&lt;[[TCDeals] - [TC Property Current Stage (Seq: 1)] - [Buildings (Seq: 27)] Constr 8609 Basis - Both]&gt;</t>
        </r>
      </text>
    </comment>
    <comment ref="O1230" authorId="0" shapeId="0" xr:uid="{226B5870-AC7C-4769-9853-CE9AA3C955E3}">
      <text>
        <r>
          <rPr>
            <b/>
            <sz val="9"/>
            <color indexed="81"/>
            <rFont val="Tahoma"/>
            <family val="2"/>
          </rPr>
          <t>&lt;[[TCDeals] - [TC Property Current Stage (Seq: 1)] - [Buildings (Seq: 27)] Constr 8609 Credit - Both]&gt;</t>
        </r>
      </text>
    </comment>
    <comment ref="P1230" authorId="0" shapeId="0" xr:uid="{98EB77D5-9668-4464-B940-299FF38B8E35}">
      <text>
        <r>
          <rPr>
            <b/>
            <sz val="9"/>
            <color indexed="81"/>
            <rFont val="Tahoma"/>
            <family val="2"/>
          </rPr>
          <t>&lt;[[TCDeals] - [TC Property Current Stage (Seq: 1)] - [Buildings (Seq: 27)] Acq PIS Date - Both]&gt;</t>
        </r>
      </text>
    </comment>
    <comment ref="Q1230" authorId="0" shapeId="0" xr:uid="{60A1A671-FF4A-4585-A1DE-89A80E4992AF}">
      <text>
        <r>
          <rPr>
            <b/>
            <sz val="9"/>
            <color indexed="81"/>
            <rFont val="Tahoma"/>
            <family val="2"/>
          </rPr>
          <t>&lt;[[TCDeals] - [TC Property Current Stage (Seq: 1)] - [Buildings (Seq: 27)] Acq Applicable Percentage - Both]&gt;</t>
        </r>
      </text>
    </comment>
    <comment ref="R1230" authorId="0" shapeId="0" xr:uid="{132132B6-E0A5-4461-A496-A23A0BC0B84D}">
      <text>
        <r>
          <rPr>
            <b/>
            <sz val="9"/>
            <color indexed="81"/>
            <rFont val="Tahoma"/>
            <family val="2"/>
          </rPr>
          <t>&lt;[[TCDeals] - [TC Property Current Stage (Seq: 1)] - [Buildings (Seq: 27)] Acq Est Qual Basis - Both]&gt;</t>
        </r>
      </text>
    </comment>
    <comment ref="S1230" authorId="0" shapeId="0" xr:uid="{97AA4ABF-D8D6-4999-B041-D1D85FB676B4}">
      <text>
        <r>
          <rPr>
            <b/>
            <sz val="9"/>
            <color indexed="81"/>
            <rFont val="Tahoma"/>
            <family val="2"/>
          </rPr>
          <t>&lt;[[TCDeals] - [TC Property Current Stage (Seq: 1)] - [Buildings (Seq: 27)] Acq 8609 Basis - Both]&gt;</t>
        </r>
      </text>
    </comment>
    <comment ref="T1230" authorId="0" shapeId="0" xr:uid="{627C6802-7E42-48EF-9F45-4AA3F304A716}">
      <text>
        <r>
          <rPr>
            <b/>
            <sz val="9"/>
            <color indexed="81"/>
            <rFont val="Tahoma"/>
            <family val="2"/>
          </rPr>
          <t>&lt;[[TCDeals] - [TC Property Current Stage (Seq: 1)] - [Buildings (Seq: 27)] Acq 8609 Credit - Both]&gt;</t>
        </r>
      </text>
    </comment>
    <comment ref="C1231" authorId="0" shapeId="0" xr:uid="{7BA438EB-F116-4301-B2E9-DA8668821A25}">
      <text>
        <r>
          <rPr>
            <b/>
            <sz val="9"/>
            <color indexed="81"/>
            <rFont val="Tahoma"/>
            <family val="2"/>
          </rPr>
          <t>&lt;[[TCDeals] - [TC Property Current Stage (Seq: 1)] - [Buildings (Seq: 28)] BIN - Both]&gt;</t>
        </r>
      </text>
    </comment>
    <comment ref="D1231" authorId="0" shapeId="0" xr:uid="{ADC99CC4-BC2E-466F-B10E-BB1DEE2092D0}">
      <text>
        <r>
          <rPr>
            <b/>
            <sz val="9"/>
            <color indexed="81"/>
            <rFont val="Tahoma"/>
            <family val="2"/>
          </rPr>
          <t>&lt;[[TCDeals] - [TC Property Current Stage (Seq: 1)] - [Buildings (Seq: 28)] Address 1 - Both]&gt;</t>
        </r>
      </text>
    </comment>
    <comment ref="E1231" authorId="0" shapeId="0" xr:uid="{4561B1A7-109A-4830-884B-6F2BC294F665}">
      <text>
        <r>
          <rPr>
            <b/>
            <sz val="9"/>
            <color indexed="81"/>
            <rFont val="Tahoma"/>
            <family val="2"/>
          </rPr>
          <t>&lt;[[TCDeals] - [TC Property Current Stage (Seq: 1)] - [Buildings (Seq: 28)] Num TC Units - Both]&gt;</t>
        </r>
      </text>
    </comment>
    <comment ref="F1231" authorId="0" shapeId="0" xr:uid="{88E7D7EF-7BB4-48DB-85EA-78AF394D017C}">
      <text>
        <r>
          <rPr>
            <b/>
            <sz val="9"/>
            <color indexed="81"/>
            <rFont val="Tahoma"/>
            <family val="2"/>
          </rPr>
          <t>&lt;[[TCDeals] - [TC Property Current Stage (Seq: 1)] - [Buildings (Seq: 28)] PVC PIS Date - Both]&gt;</t>
        </r>
      </text>
    </comment>
    <comment ref="G1231" authorId="0" shapeId="0" xr:uid="{325C4E3F-2D7A-4C28-9A51-E4B18D02D0FF}">
      <text>
        <r>
          <rPr>
            <b/>
            <sz val="9"/>
            <color indexed="81"/>
            <rFont val="Tahoma"/>
            <family val="2"/>
          </rPr>
          <t>&lt;[[TCDeals] - [TC Property Current Stage (Seq: 1)] - [Buildings (Seq: 28)] PVC Applicable Percentage - Both]&gt;</t>
        </r>
      </text>
    </comment>
    <comment ref="H1231" authorId="0" shapeId="0" xr:uid="{B2DC1718-0804-4167-821E-2BCB9D1D5633}">
      <text>
        <r>
          <rPr>
            <b/>
            <sz val="9"/>
            <color indexed="81"/>
            <rFont val="Tahoma"/>
            <family val="2"/>
          </rPr>
          <t>&lt;[[TCDeals] - [TC Property Current Stage (Seq: 1)] - [Buildings (Seq: 28)] PVC Est Qual Basis - Both]&gt;</t>
        </r>
      </text>
    </comment>
    <comment ref="I1231" authorId="0" shapeId="0" xr:uid="{D52614B6-6166-429D-BC2D-C2E7532E068A}">
      <text>
        <r>
          <rPr>
            <b/>
            <sz val="9"/>
            <color indexed="81"/>
            <rFont val="Tahoma"/>
            <family val="2"/>
          </rPr>
          <t>&lt;[[TCDeals] - [TC Property Current Stage (Seq: 1)] - [Buildings (Seq: 28)] PVC8609 Basis - Both]&gt;</t>
        </r>
      </text>
    </comment>
    <comment ref="J1231" authorId="0" shapeId="0" xr:uid="{E2E32AC2-0EC1-4C7A-B0F0-22AF8B991CF1}">
      <text>
        <r>
          <rPr>
            <b/>
            <sz val="9"/>
            <color indexed="81"/>
            <rFont val="Tahoma"/>
            <family val="2"/>
          </rPr>
          <t>&lt;[[TCDeals] - [TC Property Current Stage (Seq: 1)] - [Buildings (Seq: 28)] PVC8609 Credit - Both]&gt;</t>
        </r>
      </text>
    </comment>
    <comment ref="K1231" authorId="0" shapeId="0" xr:uid="{E18BBB59-51E8-43DC-B751-E4C1694E1DF7}">
      <text>
        <r>
          <rPr>
            <b/>
            <sz val="9"/>
            <color indexed="81"/>
            <rFont val="Tahoma"/>
            <family val="2"/>
          </rPr>
          <t>&lt;[[TCDeals] - [TC Property Current Stage (Seq: 1)] - [Buildings (Seq: 28)] Constr PIS Date - Both]&gt;</t>
        </r>
      </text>
    </comment>
    <comment ref="L1231" authorId="0" shapeId="0" xr:uid="{6E7FA7E9-1A81-46A3-9546-1EA456E2067F}">
      <text>
        <r>
          <rPr>
            <b/>
            <sz val="9"/>
            <color indexed="81"/>
            <rFont val="Tahoma"/>
            <family val="2"/>
          </rPr>
          <t>&lt;[[TCDeals] - [TC Property Current Stage (Seq: 1)] - [Buildings (Seq: 28)] Constr Applicable Percentage - Both]&gt;</t>
        </r>
      </text>
    </comment>
    <comment ref="M1231" authorId="0" shapeId="0" xr:uid="{B866250C-EBC3-48AD-83B8-19182CA2CF7C}">
      <text>
        <r>
          <rPr>
            <b/>
            <sz val="9"/>
            <color indexed="81"/>
            <rFont val="Tahoma"/>
            <family val="2"/>
          </rPr>
          <t>&lt;[[TCDeals] - [TC Property Current Stage (Seq: 1)] - [Buildings (Seq: 28)] Constr Est Qual Basis - Both]&gt;</t>
        </r>
      </text>
    </comment>
    <comment ref="N1231" authorId="0" shapeId="0" xr:uid="{A98E4702-E678-40A5-976F-234B57692FFF}">
      <text>
        <r>
          <rPr>
            <b/>
            <sz val="9"/>
            <color indexed="81"/>
            <rFont val="Tahoma"/>
            <family val="2"/>
          </rPr>
          <t>&lt;[[TCDeals] - [TC Property Current Stage (Seq: 1)] - [Buildings (Seq: 28)] Constr 8609 Basis - Both]&gt;</t>
        </r>
      </text>
    </comment>
    <comment ref="O1231" authorId="0" shapeId="0" xr:uid="{6D1A18DE-8182-487C-982A-B1F4DDED7418}">
      <text>
        <r>
          <rPr>
            <b/>
            <sz val="9"/>
            <color indexed="81"/>
            <rFont val="Tahoma"/>
            <family val="2"/>
          </rPr>
          <t>&lt;[[TCDeals] - [TC Property Current Stage (Seq: 1)] - [Buildings (Seq: 28)] Constr 8609 Credit - Both]&gt;</t>
        </r>
      </text>
    </comment>
    <comment ref="P1231" authorId="0" shapeId="0" xr:uid="{59A99392-3199-4482-88D8-06B4519C59F3}">
      <text>
        <r>
          <rPr>
            <b/>
            <sz val="9"/>
            <color indexed="81"/>
            <rFont val="Tahoma"/>
            <family val="2"/>
          </rPr>
          <t>&lt;[[TCDeals] - [TC Property Current Stage (Seq: 1)] - [Buildings (Seq: 28)] Acq PIS Date - Both]&gt;</t>
        </r>
      </text>
    </comment>
    <comment ref="Q1231" authorId="0" shapeId="0" xr:uid="{4009AD85-D6E1-4566-B072-4CC133AF8ABF}">
      <text>
        <r>
          <rPr>
            <b/>
            <sz val="9"/>
            <color indexed="81"/>
            <rFont val="Tahoma"/>
            <family val="2"/>
          </rPr>
          <t>&lt;[[TCDeals] - [TC Property Current Stage (Seq: 1)] - [Buildings (Seq: 28)] Acq Applicable Percentage - Both]&gt;</t>
        </r>
      </text>
    </comment>
    <comment ref="R1231" authorId="0" shapeId="0" xr:uid="{4D1F7A89-5665-41EB-B268-14BC3C7C0859}">
      <text>
        <r>
          <rPr>
            <b/>
            <sz val="9"/>
            <color indexed="81"/>
            <rFont val="Tahoma"/>
            <family val="2"/>
          </rPr>
          <t>&lt;[[TCDeals] - [TC Property Current Stage (Seq: 1)] - [Buildings (Seq: 28)] Acq Est Qual Basis - Both]&gt;</t>
        </r>
      </text>
    </comment>
    <comment ref="S1231" authorId="0" shapeId="0" xr:uid="{094311A1-6572-4EE3-A882-0349C4F65971}">
      <text>
        <r>
          <rPr>
            <b/>
            <sz val="9"/>
            <color indexed="81"/>
            <rFont val="Tahoma"/>
            <family val="2"/>
          </rPr>
          <t>&lt;[[TCDeals] - [TC Property Current Stage (Seq: 1)] - [Buildings (Seq: 28)] Acq 8609 Basis - Both]&gt;</t>
        </r>
      </text>
    </comment>
    <comment ref="T1231" authorId="0" shapeId="0" xr:uid="{772BE060-6F1C-44E8-B0C4-043065116DC3}">
      <text>
        <r>
          <rPr>
            <b/>
            <sz val="9"/>
            <color indexed="81"/>
            <rFont val="Tahoma"/>
            <family val="2"/>
          </rPr>
          <t>&lt;[[TCDeals] - [TC Property Current Stage (Seq: 1)] - [Buildings (Seq: 28)] Acq 8609 Credit - Both]&gt;</t>
        </r>
      </text>
    </comment>
    <comment ref="C1232" authorId="0" shapeId="0" xr:uid="{60CE24B4-7E74-4C0E-BBB8-FD89D73584C7}">
      <text>
        <r>
          <rPr>
            <b/>
            <sz val="9"/>
            <color indexed="81"/>
            <rFont val="Tahoma"/>
            <family val="2"/>
          </rPr>
          <t>&lt;[[TCDeals] - [TC Property Current Stage (Seq: 1)] - [Buildings (Seq: 29)] BIN - Both]&gt;</t>
        </r>
      </text>
    </comment>
    <comment ref="D1232" authorId="0" shapeId="0" xr:uid="{AEA20E5B-4707-43DB-8707-8A7A75569921}">
      <text>
        <r>
          <rPr>
            <b/>
            <sz val="9"/>
            <color indexed="81"/>
            <rFont val="Tahoma"/>
            <family val="2"/>
          </rPr>
          <t>&lt;[[TCDeals] - [TC Property Current Stage (Seq: 1)] - [Buildings (Seq: 29)] Address 1 - Both]&gt;</t>
        </r>
      </text>
    </comment>
    <comment ref="E1232" authorId="0" shapeId="0" xr:uid="{3926CBFA-CB04-406D-8C22-4FCE746A5B0E}">
      <text>
        <r>
          <rPr>
            <b/>
            <sz val="9"/>
            <color indexed="81"/>
            <rFont val="Tahoma"/>
            <family val="2"/>
          </rPr>
          <t>&lt;[[TCDeals] - [TC Property Current Stage (Seq: 1)] - [Buildings (Seq: 29)] Num TC Units - Both]&gt;</t>
        </r>
      </text>
    </comment>
    <comment ref="F1232" authorId="0" shapeId="0" xr:uid="{388429ED-3330-4A36-AABE-6E0EC6865473}">
      <text>
        <r>
          <rPr>
            <b/>
            <sz val="9"/>
            <color indexed="81"/>
            <rFont val="Tahoma"/>
            <family val="2"/>
          </rPr>
          <t>&lt;[[TCDeals] - [TC Property Current Stage (Seq: 1)] - [Buildings (Seq: 29)] PVC PIS Date - Both]&gt;</t>
        </r>
      </text>
    </comment>
    <comment ref="G1232" authorId="0" shapeId="0" xr:uid="{B2EF6D77-EA66-4D91-8FE1-FD32493D83C9}">
      <text>
        <r>
          <rPr>
            <b/>
            <sz val="9"/>
            <color indexed="81"/>
            <rFont val="Tahoma"/>
            <family val="2"/>
          </rPr>
          <t>&lt;[[TCDeals] - [TC Property Current Stage (Seq: 1)] - [Buildings (Seq: 29)] PVC Applicable Percentage - Both]&gt;</t>
        </r>
      </text>
    </comment>
    <comment ref="H1232" authorId="0" shapeId="0" xr:uid="{0EFBBDC4-3C2D-4EA3-808F-002CD15AB658}">
      <text>
        <r>
          <rPr>
            <b/>
            <sz val="9"/>
            <color indexed="81"/>
            <rFont val="Tahoma"/>
            <family val="2"/>
          </rPr>
          <t>&lt;[[TCDeals] - [TC Property Current Stage (Seq: 1)] - [Buildings (Seq: 29)] PVC Est Qual Basis - Both]&gt;</t>
        </r>
      </text>
    </comment>
    <comment ref="I1232" authorId="0" shapeId="0" xr:uid="{E487366A-BE2E-4D92-8282-97713D726DDD}">
      <text>
        <r>
          <rPr>
            <b/>
            <sz val="9"/>
            <color indexed="81"/>
            <rFont val="Tahoma"/>
            <family val="2"/>
          </rPr>
          <t>&lt;[[TCDeals] - [TC Property Current Stage (Seq: 1)] - [Buildings (Seq: 29)] PVC8609 Basis - Both]&gt;</t>
        </r>
      </text>
    </comment>
    <comment ref="J1232" authorId="0" shapeId="0" xr:uid="{1532D8B9-0645-4B86-9517-4FA5F82D83A3}">
      <text>
        <r>
          <rPr>
            <b/>
            <sz val="9"/>
            <color indexed="81"/>
            <rFont val="Tahoma"/>
            <family val="2"/>
          </rPr>
          <t>&lt;[[TCDeals] - [TC Property Current Stage (Seq: 1)] - [Buildings (Seq: 29)] PVC8609 Credit - Both]&gt;</t>
        </r>
      </text>
    </comment>
    <comment ref="K1232" authorId="0" shapeId="0" xr:uid="{F6D684D0-A1CB-476B-8CC7-FA3C0CF75089}">
      <text>
        <r>
          <rPr>
            <b/>
            <sz val="9"/>
            <color indexed="81"/>
            <rFont val="Tahoma"/>
            <family val="2"/>
          </rPr>
          <t>&lt;[[TCDeals] - [TC Property Current Stage (Seq: 1)] - [Buildings (Seq: 29)] Constr PIS Date - Both]&gt;</t>
        </r>
      </text>
    </comment>
    <comment ref="L1232" authorId="0" shapeId="0" xr:uid="{9FE08E83-22DC-4643-A7C0-13E6ADA5FBE0}">
      <text>
        <r>
          <rPr>
            <b/>
            <sz val="9"/>
            <color indexed="81"/>
            <rFont val="Tahoma"/>
            <family val="2"/>
          </rPr>
          <t>&lt;[[TCDeals] - [TC Property Current Stage (Seq: 1)] - [Buildings (Seq: 29)] Constr Applicable Percentage - Both]&gt;</t>
        </r>
      </text>
    </comment>
    <comment ref="M1232" authorId="0" shapeId="0" xr:uid="{65F8D862-7AB6-4301-9DAA-779D792A584E}">
      <text>
        <r>
          <rPr>
            <b/>
            <sz val="9"/>
            <color indexed="81"/>
            <rFont val="Tahoma"/>
            <family val="2"/>
          </rPr>
          <t>&lt;[[TCDeals] - [TC Property Current Stage (Seq: 1)] - [Buildings (Seq: 29)] Constr Est Qual Basis - Both]&gt;</t>
        </r>
      </text>
    </comment>
    <comment ref="N1232" authorId="0" shapeId="0" xr:uid="{B0885CC0-EB3B-4491-B8E9-D3D82F6F7502}">
      <text>
        <r>
          <rPr>
            <b/>
            <sz val="9"/>
            <color indexed="81"/>
            <rFont val="Tahoma"/>
            <family val="2"/>
          </rPr>
          <t>&lt;[[TCDeals] - [TC Property Current Stage (Seq: 1)] - [Buildings (Seq: 29)] Constr 8609 Basis - Both]&gt;</t>
        </r>
      </text>
    </comment>
    <comment ref="O1232" authorId="0" shapeId="0" xr:uid="{AA41F164-AF39-422B-AB7F-BAC0C5F2F577}">
      <text>
        <r>
          <rPr>
            <b/>
            <sz val="9"/>
            <color indexed="81"/>
            <rFont val="Tahoma"/>
            <family val="2"/>
          </rPr>
          <t>&lt;[[TCDeals] - [TC Property Current Stage (Seq: 1)] - [Buildings (Seq: 29)] Constr 8609 Credit - Both]&gt;</t>
        </r>
      </text>
    </comment>
    <comment ref="P1232" authorId="0" shapeId="0" xr:uid="{91AADF38-1557-44A8-8354-EE3F85452BDC}">
      <text>
        <r>
          <rPr>
            <b/>
            <sz val="9"/>
            <color indexed="81"/>
            <rFont val="Tahoma"/>
            <family val="2"/>
          </rPr>
          <t>&lt;[[TCDeals] - [TC Property Current Stage (Seq: 1)] - [Buildings (Seq: 29)] Acq PIS Date - Both]&gt;</t>
        </r>
      </text>
    </comment>
    <comment ref="Q1232" authorId="0" shapeId="0" xr:uid="{83E16E97-36FF-4C4F-97A3-638CEA92689E}">
      <text>
        <r>
          <rPr>
            <b/>
            <sz val="9"/>
            <color indexed="81"/>
            <rFont val="Tahoma"/>
            <family val="2"/>
          </rPr>
          <t>&lt;[[TCDeals] - [TC Property Current Stage (Seq: 1)] - [Buildings (Seq: 29)] Acq Applicable Percentage - Both]&gt;</t>
        </r>
      </text>
    </comment>
    <comment ref="R1232" authorId="0" shapeId="0" xr:uid="{A4CEDCA5-76E9-47AA-9DE7-979D67937196}">
      <text>
        <r>
          <rPr>
            <b/>
            <sz val="9"/>
            <color indexed="81"/>
            <rFont val="Tahoma"/>
            <family val="2"/>
          </rPr>
          <t>&lt;[[TCDeals] - [TC Property Current Stage (Seq: 1)] - [Buildings (Seq: 29)] Acq Est Qual Basis - Both]&gt;</t>
        </r>
      </text>
    </comment>
    <comment ref="S1232" authorId="0" shapeId="0" xr:uid="{9672521E-B8AF-4AA4-B6DF-75BB08218E98}">
      <text>
        <r>
          <rPr>
            <b/>
            <sz val="9"/>
            <color indexed="81"/>
            <rFont val="Tahoma"/>
            <family val="2"/>
          </rPr>
          <t>&lt;[[TCDeals] - [TC Property Current Stage (Seq: 1)] - [Buildings (Seq: 29)] Acq 8609 Basis - Both]&gt;</t>
        </r>
      </text>
    </comment>
    <comment ref="T1232" authorId="0" shapeId="0" xr:uid="{2B8A30D3-77A7-475B-B0E2-6151AC7042DE}">
      <text>
        <r>
          <rPr>
            <b/>
            <sz val="9"/>
            <color indexed="81"/>
            <rFont val="Tahoma"/>
            <family val="2"/>
          </rPr>
          <t>&lt;[[TCDeals] - [TC Property Current Stage (Seq: 1)] - [Buildings (Seq: 29)] Acq 8609 Credit - Both]&gt;</t>
        </r>
      </text>
    </comment>
    <comment ref="C1233" authorId="0" shapeId="0" xr:uid="{A1C6B99B-D85A-4B32-B706-AA4764BE2B4A}">
      <text>
        <r>
          <rPr>
            <b/>
            <sz val="9"/>
            <color indexed="81"/>
            <rFont val="Tahoma"/>
            <family val="2"/>
          </rPr>
          <t>&lt;[[TCDeals] - [TC Property Current Stage (Seq: 1)] - [Buildings (Seq: 30)] BIN - Both]&gt;</t>
        </r>
      </text>
    </comment>
    <comment ref="D1233" authorId="0" shapeId="0" xr:uid="{1C69719E-A773-4D2E-8CA6-EAAFE6E7B4A2}">
      <text>
        <r>
          <rPr>
            <b/>
            <sz val="9"/>
            <color indexed="81"/>
            <rFont val="Tahoma"/>
            <family val="2"/>
          </rPr>
          <t>&lt;[[TCDeals] - [TC Property Current Stage (Seq: 1)] - [Buildings (Seq: 30)] Address 1 - Both]&gt;</t>
        </r>
      </text>
    </comment>
    <comment ref="E1233" authorId="0" shapeId="0" xr:uid="{7E6C6392-9363-4932-9DAC-28058487A113}">
      <text>
        <r>
          <rPr>
            <b/>
            <sz val="9"/>
            <color indexed="81"/>
            <rFont val="Tahoma"/>
            <family val="2"/>
          </rPr>
          <t>&lt;[[TCDeals] - [TC Property Current Stage (Seq: 1)] - [Buildings (Seq: 30)] Num TC Units - Both]&gt;</t>
        </r>
      </text>
    </comment>
    <comment ref="F1233" authorId="0" shapeId="0" xr:uid="{A80C6D7D-A92F-4DAC-BBF6-5464F2EE9FF2}">
      <text>
        <r>
          <rPr>
            <b/>
            <sz val="9"/>
            <color indexed="81"/>
            <rFont val="Tahoma"/>
            <family val="2"/>
          </rPr>
          <t>&lt;[[TCDeals] - [TC Property Current Stage (Seq: 1)] - [Buildings (Seq: 30)] PVC PIS Date - Both]&gt;</t>
        </r>
      </text>
    </comment>
    <comment ref="G1233" authorId="0" shapeId="0" xr:uid="{D9BE5E9A-F431-4DA5-B993-D18050517E5A}">
      <text>
        <r>
          <rPr>
            <b/>
            <sz val="9"/>
            <color indexed="81"/>
            <rFont val="Tahoma"/>
            <family val="2"/>
          </rPr>
          <t>&lt;[[TCDeals] - [TC Property Current Stage (Seq: 1)] - [Buildings (Seq: 30)] PVC Applicable Percentage - Both]&gt;</t>
        </r>
      </text>
    </comment>
    <comment ref="H1233" authorId="0" shapeId="0" xr:uid="{8C88693B-1FF0-4047-BD75-60513344C586}">
      <text>
        <r>
          <rPr>
            <b/>
            <sz val="9"/>
            <color indexed="81"/>
            <rFont val="Tahoma"/>
            <family val="2"/>
          </rPr>
          <t>&lt;[[TCDeals] - [TC Property Current Stage (Seq: 1)] - [Buildings (Seq: 30)] PVC Est Qual Basis - Both]&gt;</t>
        </r>
      </text>
    </comment>
    <comment ref="I1233" authorId="0" shapeId="0" xr:uid="{8A7C64CB-DB40-4645-960E-A9B02E0BFEEA}">
      <text>
        <r>
          <rPr>
            <b/>
            <sz val="9"/>
            <color indexed="81"/>
            <rFont val="Tahoma"/>
            <family val="2"/>
          </rPr>
          <t>&lt;[[TCDeals] - [TC Property Current Stage (Seq: 1)] - [Buildings (Seq: 30)] PVC8609 Basis - Both]&gt;</t>
        </r>
      </text>
    </comment>
    <comment ref="J1233" authorId="0" shapeId="0" xr:uid="{D578DC43-E0CF-4443-B665-45FB24035A64}">
      <text>
        <r>
          <rPr>
            <b/>
            <sz val="9"/>
            <color indexed="81"/>
            <rFont val="Tahoma"/>
            <family val="2"/>
          </rPr>
          <t>&lt;[[TCDeals] - [TC Property Current Stage (Seq: 1)] - [Buildings (Seq: 30)] PVC8609 Credit - Both]&gt;</t>
        </r>
      </text>
    </comment>
    <comment ref="K1233" authorId="0" shapeId="0" xr:uid="{DF9E9AAB-7D4E-4F24-ADEA-C25E49957490}">
      <text>
        <r>
          <rPr>
            <b/>
            <sz val="9"/>
            <color indexed="81"/>
            <rFont val="Tahoma"/>
            <family val="2"/>
          </rPr>
          <t>&lt;[[TCDeals] - [TC Property Current Stage (Seq: 1)] - [Buildings (Seq: 30)] Constr PIS Date - Both]&gt;</t>
        </r>
      </text>
    </comment>
    <comment ref="L1233" authorId="0" shapeId="0" xr:uid="{AC3C1B69-E2D6-498B-A216-AE9281EAB751}">
      <text>
        <r>
          <rPr>
            <b/>
            <sz val="9"/>
            <color indexed="81"/>
            <rFont val="Tahoma"/>
            <family val="2"/>
          </rPr>
          <t>&lt;[[TCDeals] - [TC Property Current Stage (Seq: 1)] - [Buildings (Seq: 30)] Constr Applicable Percentage - Both]&gt;</t>
        </r>
      </text>
    </comment>
    <comment ref="M1233" authorId="0" shapeId="0" xr:uid="{19BF94BE-586D-48EC-A1AB-853AB45B349B}">
      <text>
        <r>
          <rPr>
            <b/>
            <sz val="9"/>
            <color indexed="81"/>
            <rFont val="Tahoma"/>
            <family val="2"/>
          </rPr>
          <t>&lt;[[TCDeals] - [TC Property Current Stage (Seq: 1)] - [Buildings (Seq: 30)] Constr Est Qual Basis - Both]&gt;</t>
        </r>
      </text>
    </comment>
    <comment ref="N1233" authorId="0" shapeId="0" xr:uid="{9ABDA242-FA17-4DA2-A78D-E7E1CD680198}">
      <text>
        <r>
          <rPr>
            <b/>
            <sz val="9"/>
            <color indexed="81"/>
            <rFont val="Tahoma"/>
            <family val="2"/>
          </rPr>
          <t>&lt;[[TCDeals] - [TC Property Current Stage (Seq: 1)] - [Buildings (Seq: 30)] Constr 8609 Basis - Both]&gt;</t>
        </r>
      </text>
    </comment>
    <comment ref="O1233" authorId="0" shapeId="0" xr:uid="{AC404FDF-2812-4254-81BC-24E29F6BEA1D}">
      <text>
        <r>
          <rPr>
            <b/>
            <sz val="9"/>
            <color indexed="81"/>
            <rFont val="Tahoma"/>
            <family val="2"/>
          </rPr>
          <t>&lt;[[TCDeals] - [TC Property Current Stage (Seq: 1)] - [Buildings (Seq: 30)] Constr 8609 Credit - Both]&gt;</t>
        </r>
      </text>
    </comment>
    <comment ref="P1233" authorId="0" shapeId="0" xr:uid="{BB91889F-A6E6-40AD-9DBF-155EC8E7A098}">
      <text>
        <r>
          <rPr>
            <b/>
            <sz val="9"/>
            <color indexed="81"/>
            <rFont val="Tahoma"/>
            <family val="2"/>
          </rPr>
          <t>&lt;[[TCDeals] - [TC Property Current Stage (Seq: 1)] - [Buildings (Seq: 30)] Acq PIS Date - Both]&gt;</t>
        </r>
      </text>
    </comment>
    <comment ref="Q1233" authorId="0" shapeId="0" xr:uid="{4885A84A-E7B0-44A3-BB39-8E89055EB440}">
      <text>
        <r>
          <rPr>
            <b/>
            <sz val="9"/>
            <color indexed="81"/>
            <rFont val="Tahoma"/>
            <family val="2"/>
          </rPr>
          <t>&lt;[[TCDeals] - [TC Property Current Stage (Seq: 1)] - [Buildings (Seq: 30)] Acq Applicable Percentage - Both]&gt;</t>
        </r>
      </text>
    </comment>
    <comment ref="R1233" authorId="0" shapeId="0" xr:uid="{9F62BD81-1A4F-4113-B371-AC47CABB3314}">
      <text>
        <r>
          <rPr>
            <b/>
            <sz val="9"/>
            <color indexed="81"/>
            <rFont val="Tahoma"/>
            <family val="2"/>
          </rPr>
          <t>&lt;[[TCDeals] - [TC Property Current Stage (Seq: 1)] - [Buildings (Seq: 30)] Acq Est Qual Basis - Both]&gt;</t>
        </r>
      </text>
    </comment>
    <comment ref="S1233" authorId="0" shapeId="0" xr:uid="{C88E6734-22CD-4CC5-9D2C-643BF72697D1}">
      <text>
        <r>
          <rPr>
            <b/>
            <sz val="9"/>
            <color indexed="81"/>
            <rFont val="Tahoma"/>
            <family val="2"/>
          </rPr>
          <t>&lt;[[TCDeals] - [TC Property Current Stage (Seq: 1)] - [Buildings (Seq: 30)] Acq 8609 Basis - Both]&gt;</t>
        </r>
      </text>
    </comment>
    <comment ref="T1233" authorId="0" shapeId="0" xr:uid="{6E2E66A0-5E3F-411A-917D-D33A082602CB}">
      <text>
        <r>
          <rPr>
            <b/>
            <sz val="9"/>
            <color indexed="81"/>
            <rFont val="Tahoma"/>
            <family val="2"/>
          </rPr>
          <t>&lt;[[TCDeals] - [TC Property Current Stage (Seq: 1)] - [Buildings (Seq: 30)] Acq 8609 Credit - Both]&gt;</t>
        </r>
      </text>
    </comment>
    <comment ref="C1234" authorId="0" shapeId="0" xr:uid="{78E92F97-C580-49E5-9A6B-6281E24D06F0}">
      <text>
        <r>
          <rPr>
            <b/>
            <sz val="9"/>
            <color indexed="81"/>
            <rFont val="Tahoma"/>
            <family val="2"/>
          </rPr>
          <t>&lt;[[TCDeals] - [TC Property Current Stage (Seq: 1)] - [Buildings (Seq: 31)] BIN - Both]&gt;</t>
        </r>
      </text>
    </comment>
    <comment ref="D1234" authorId="0" shapeId="0" xr:uid="{E4DFA642-7D40-41FA-8273-251CCE196AFE}">
      <text>
        <r>
          <rPr>
            <b/>
            <sz val="9"/>
            <color indexed="81"/>
            <rFont val="Tahoma"/>
            <family val="2"/>
          </rPr>
          <t>&lt;[[TCDeals] - [TC Property Current Stage (Seq: 1)] - [Buildings (Seq: 31)] Address 1 - Both]&gt;</t>
        </r>
      </text>
    </comment>
    <comment ref="E1234" authorId="0" shapeId="0" xr:uid="{64554121-0E9E-4589-9389-13F0D70F681E}">
      <text>
        <r>
          <rPr>
            <b/>
            <sz val="9"/>
            <color indexed="81"/>
            <rFont val="Tahoma"/>
            <family val="2"/>
          </rPr>
          <t>&lt;[[TCDeals] - [TC Property Current Stage (Seq: 1)] - [Buildings (Seq: 31)] Num TC Units - Both]&gt;</t>
        </r>
      </text>
    </comment>
    <comment ref="F1234" authorId="0" shapeId="0" xr:uid="{BBEA928A-D9BB-436B-965F-00DEC001A9B1}">
      <text>
        <r>
          <rPr>
            <b/>
            <sz val="9"/>
            <color indexed="81"/>
            <rFont val="Tahoma"/>
            <family val="2"/>
          </rPr>
          <t>&lt;[[TCDeals] - [TC Property Current Stage (Seq: 1)] - [Buildings (Seq: 31)] PVC PIS Date - Both]&gt;</t>
        </r>
      </text>
    </comment>
    <comment ref="G1234" authorId="0" shapeId="0" xr:uid="{971B4B5E-931D-40B4-87AE-27AECD536B9A}">
      <text>
        <r>
          <rPr>
            <b/>
            <sz val="9"/>
            <color indexed="81"/>
            <rFont val="Tahoma"/>
            <family val="2"/>
          </rPr>
          <t>&lt;[[TCDeals] - [TC Property Current Stage (Seq: 1)] - [Buildings (Seq: 31)] PVC Applicable Percentage - Both]&gt;</t>
        </r>
      </text>
    </comment>
    <comment ref="H1234" authorId="0" shapeId="0" xr:uid="{2AE0FD5A-09B1-4D34-A709-B60730F91B3D}">
      <text>
        <r>
          <rPr>
            <b/>
            <sz val="9"/>
            <color indexed="81"/>
            <rFont val="Tahoma"/>
            <family val="2"/>
          </rPr>
          <t>&lt;[[TCDeals] - [TC Property Current Stage (Seq: 1)] - [Buildings (Seq: 31)] PVC Est Qual Basis - Both]&gt;</t>
        </r>
      </text>
    </comment>
    <comment ref="I1234" authorId="0" shapeId="0" xr:uid="{C50D9FC3-AF35-4CBC-B7C9-5E227EC714DF}">
      <text>
        <r>
          <rPr>
            <b/>
            <sz val="9"/>
            <color indexed="81"/>
            <rFont val="Tahoma"/>
            <family val="2"/>
          </rPr>
          <t>&lt;[[TCDeals] - [TC Property Current Stage (Seq: 1)] - [Buildings (Seq: 31)] PVC8609 Basis - Both]&gt;</t>
        </r>
      </text>
    </comment>
    <comment ref="J1234" authorId="0" shapeId="0" xr:uid="{5C128553-A578-4027-B498-3FC091CBDE78}">
      <text>
        <r>
          <rPr>
            <b/>
            <sz val="9"/>
            <color indexed="81"/>
            <rFont val="Tahoma"/>
            <family val="2"/>
          </rPr>
          <t>&lt;[[TCDeals] - [TC Property Current Stage (Seq: 1)] - [Buildings (Seq: 31)] PVC8609 Credit - Both]&gt;</t>
        </r>
      </text>
    </comment>
    <comment ref="K1234" authorId="0" shapeId="0" xr:uid="{53A33AAE-BF35-4011-A724-DE6B145B373F}">
      <text>
        <r>
          <rPr>
            <b/>
            <sz val="9"/>
            <color indexed="81"/>
            <rFont val="Tahoma"/>
            <family val="2"/>
          </rPr>
          <t>&lt;[[TCDeals] - [TC Property Current Stage (Seq: 1)] - [Buildings (Seq: 31)] Constr PIS Date - Both]&gt;</t>
        </r>
      </text>
    </comment>
    <comment ref="L1234" authorId="0" shapeId="0" xr:uid="{DCB6626B-C5E3-4C18-B2DA-B32F7E9C514E}">
      <text>
        <r>
          <rPr>
            <b/>
            <sz val="9"/>
            <color indexed="81"/>
            <rFont val="Tahoma"/>
            <family val="2"/>
          </rPr>
          <t>&lt;[[TCDeals] - [TC Property Current Stage (Seq: 1)] - [Buildings (Seq: 31)] Constr Applicable Percentage - Both]&gt;</t>
        </r>
      </text>
    </comment>
    <comment ref="M1234" authorId="0" shapeId="0" xr:uid="{B8981047-AA6A-427E-9EE3-275CB41F1FB9}">
      <text>
        <r>
          <rPr>
            <b/>
            <sz val="9"/>
            <color indexed="81"/>
            <rFont val="Tahoma"/>
            <family val="2"/>
          </rPr>
          <t>&lt;[[TCDeals] - [TC Property Current Stage (Seq: 1)] - [Buildings (Seq: 31)] Constr Est Qual Basis - Both]&gt;</t>
        </r>
      </text>
    </comment>
    <comment ref="N1234" authorId="0" shapeId="0" xr:uid="{A8F80CE3-AB09-4F3D-8E8D-8FD857E3B069}">
      <text>
        <r>
          <rPr>
            <b/>
            <sz val="9"/>
            <color indexed="81"/>
            <rFont val="Tahoma"/>
            <family val="2"/>
          </rPr>
          <t>&lt;[[TCDeals] - [TC Property Current Stage (Seq: 1)] - [Buildings (Seq: 31)] Constr 8609 Basis - Both]&gt;</t>
        </r>
      </text>
    </comment>
    <comment ref="O1234" authorId="0" shapeId="0" xr:uid="{BA4215E9-9036-4E2A-8882-8BF3B02773C0}">
      <text>
        <r>
          <rPr>
            <b/>
            <sz val="9"/>
            <color indexed="81"/>
            <rFont val="Tahoma"/>
            <family val="2"/>
          </rPr>
          <t>&lt;[[TCDeals] - [TC Property Current Stage (Seq: 1)] - [Buildings (Seq: 31)] Constr 8609 Credit - Both]&gt;</t>
        </r>
      </text>
    </comment>
    <comment ref="P1234" authorId="0" shapeId="0" xr:uid="{5436A69D-EFE2-44D6-802C-D85005179275}">
      <text>
        <r>
          <rPr>
            <b/>
            <sz val="9"/>
            <color indexed="81"/>
            <rFont val="Tahoma"/>
            <family val="2"/>
          </rPr>
          <t>&lt;[[TCDeals] - [TC Property Current Stage (Seq: 1)] - [Buildings (Seq: 31)] Acq PIS Date - Both]&gt;</t>
        </r>
      </text>
    </comment>
    <comment ref="Q1234" authorId="0" shapeId="0" xr:uid="{082483BC-C4BE-4D2C-9B39-19D523B2413A}">
      <text>
        <r>
          <rPr>
            <b/>
            <sz val="9"/>
            <color indexed="81"/>
            <rFont val="Tahoma"/>
            <family val="2"/>
          </rPr>
          <t>&lt;[[TCDeals] - [TC Property Current Stage (Seq: 1)] - [Buildings (Seq: 31)] Acq Applicable Percentage - Both]&gt;</t>
        </r>
      </text>
    </comment>
    <comment ref="R1234" authorId="0" shapeId="0" xr:uid="{42C8524C-4866-4B74-AF1B-8188261DDE88}">
      <text>
        <r>
          <rPr>
            <b/>
            <sz val="9"/>
            <color indexed="81"/>
            <rFont val="Tahoma"/>
            <family val="2"/>
          </rPr>
          <t>&lt;[[TCDeals] - [TC Property Current Stage (Seq: 1)] - [Buildings (Seq: 31)] Acq Est Qual Basis - Both]&gt;</t>
        </r>
      </text>
    </comment>
    <comment ref="S1234" authorId="0" shapeId="0" xr:uid="{3F469B3C-E1D0-47B5-85B1-0314FF378D05}">
      <text>
        <r>
          <rPr>
            <b/>
            <sz val="9"/>
            <color indexed="81"/>
            <rFont val="Tahoma"/>
            <family val="2"/>
          </rPr>
          <t>&lt;[[TCDeals] - [TC Property Current Stage (Seq: 1)] - [Buildings (Seq: 31)] Acq 8609 Basis - Both]&gt;</t>
        </r>
      </text>
    </comment>
    <comment ref="T1234" authorId="0" shapeId="0" xr:uid="{9A5CB431-F391-4323-B4E6-7070838CA555}">
      <text>
        <r>
          <rPr>
            <b/>
            <sz val="9"/>
            <color indexed="81"/>
            <rFont val="Tahoma"/>
            <family val="2"/>
          </rPr>
          <t>&lt;[[TCDeals] - [TC Property Current Stage (Seq: 1)] - [Buildings (Seq: 31)] Acq 8609 Credit - Both]&gt;</t>
        </r>
      </text>
    </comment>
    <comment ref="C1235" authorId="0" shapeId="0" xr:uid="{C5F8F3E8-A73F-4469-9B90-CA6A767FF47D}">
      <text>
        <r>
          <rPr>
            <b/>
            <sz val="9"/>
            <color indexed="81"/>
            <rFont val="Tahoma"/>
            <family val="2"/>
          </rPr>
          <t>&lt;[[TCDeals] - [TC Property Current Stage (Seq: 1)] - [Buildings (Seq: 32)] BIN - Both]&gt;</t>
        </r>
      </text>
    </comment>
    <comment ref="D1235" authorId="0" shapeId="0" xr:uid="{CF121747-87B7-4215-BCFB-CCDD4F1BF130}">
      <text>
        <r>
          <rPr>
            <b/>
            <sz val="9"/>
            <color indexed="81"/>
            <rFont val="Tahoma"/>
            <family val="2"/>
          </rPr>
          <t>&lt;[[TCDeals] - [TC Property Current Stage (Seq: 1)] - [Buildings (Seq: 32)] Address 1 - Both]&gt;</t>
        </r>
      </text>
    </comment>
    <comment ref="E1235" authorId="0" shapeId="0" xr:uid="{2A9F288E-75DF-470B-95AF-300737C1FE81}">
      <text>
        <r>
          <rPr>
            <b/>
            <sz val="9"/>
            <color indexed="81"/>
            <rFont val="Tahoma"/>
            <family val="2"/>
          </rPr>
          <t>&lt;[[TCDeals] - [TC Property Current Stage (Seq: 1)] - [Buildings (Seq: 32)] Num TC Units - Both]&gt;</t>
        </r>
      </text>
    </comment>
    <comment ref="F1235" authorId="0" shapeId="0" xr:uid="{83CB6F57-C5C0-4C1C-8AF0-FC5E7E7FEBF8}">
      <text>
        <r>
          <rPr>
            <b/>
            <sz val="9"/>
            <color indexed="81"/>
            <rFont val="Tahoma"/>
            <family val="2"/>
          </rPr>
          <t>&lt;[[TCDeals] - [TC Property Current Stage (Seq: 1)] - [Buildings (Seq: 32)] PVC PIS Date - Both]&gt;</t>
        </r>
      </text>
    </comment>
    <comment ref="G1235" authorId="0" shapeId="0" xr:uid="{4F4AAB75-5D41-41FD-B5C6-BFB970EA6DE7}">
      <text>
        <r>
          <rPr>
            <b/>
            <sz val="9"/>
            <color indexed="81"/>
            <rFont val="Tahoma"/>
            <family val="2"/>
          </rPr>
          <t>&lt;[[TCDeals] - [TC Property Current Stage (Seq: 1)] - [Buildings (Seq: 32)] PVC Applicable Percentage - Both]&gt;</t>
        </r>
      </text>
    </comment>
    <comment ref="H1235" authorId="0" shapeId="0" xr:uid="{879319AE-811B-454C-98A7-0DE109FA4A84}">
      <text>
        <r>
          <rPr>
            <b/>
            <sz val="9"/>
            <color indexed="81"/>
            <rFont val="Tahoma"/>
            <family val="2"/>
          </rPr>
          <t>&lt;[[TCDeals] - [TC Property Current Stage (Seq: 1)] - [Buildings (Seq: 32)] PVC Est Qual Basis - Both]&gt;</t>
        </r>
      </text>
    </comment>
    <comment ref="I1235" authorId="0" shapeId="0" xr:uid="{6F6AFA0E-1A3F-4A4B-A3AA-9BDF0E3CD3DB}">
      <text>
        <r>
          <rPr>
            <b/>
            <sz val="9"/>
            <color indexed="81"/>
            <rFont val="Tahoma"/>
            <family val="2"/>
          </rPr>
          <t>&lt;[[TCDeals] - [TC Property Current Stage (Seq: 1)] - [Buildings (Seq: 32)] PVC8609 Basis - Both]&gt;</t>
        </r>
      </text>
    </comment>
    <comment ref="J1235" authorId="0" shapeId="0" xr:uid="{2DF88235-FE4D-4E9A-A797-CDC9AC60D1F7}">
      <text>
        <r>
          <rPr>
            <b/>
            <sz val="9"/>
            <color indexed="81"/>
            <rFont val="Tahoma"/>
            <family val="2"/>
          </rPr>
          <t>&lt;[[TCDeals] - [TC Property Current Stage (Seq: 1)] - [Buildings (Seq: 32)] PVC8609 Credit - Both]&gt;</t>
        </r>
      </text>
    </comment>
    <comment ref="K1235" authorId="0" shapeId="0" xr:uid="{0277D6A3-C22E-48C9-9213-F554FC3A7179}">
      <text>
        <r>
          <rPr>
            <b/>
            <sz val="9"/>
            <color indexed="81"/>
            <rFont val="Tahoma"/>
            <family val="2"/>
          </rPr>
          <t>&lt;[[TCDeals] - [TC Property Current Stage (Seq: 1)] - [Buildings (Seq: 32)] Constr PIS Date - Both]&gt;</t>
        </r>
      </text>
    </comment>
    <comment ref="L1235" authorId="0" shapeId="0" xr:uid="{44A7F8BA-EF44-4FA8-9B47-169846536716}">
      <text>
        <r>
          <rPr>
            <b/>
            <sz val="9"/>
            <color indexed="81"/>
            <rFont val="Tahoma"/>
            <family val="2"/>
          </rPr>
          <t>&lt;[[TCDeals] - [TC Property Current Stage (Seq: 1)] - [Buildings (Seq: 32)] Constr Applicable Percentage - Both]&gt;</t>
        </r>
      </text>
    </comment>
    <comment ref="M1235" authorId="0" shapeId="0" xr:uid="{7BA87373-E832-4817-99E0-ABA0F99CC84B}">
      <text>
        <r>
          <rPr>
            <b/>
            <sz val="9"/>
            <color indexed="81"/>
            <rFont val="Tahoma"/>
            <family val="2"/>
          </rPr>
          <t>&lt;[[TCDeals] - [TC Property Current Stage (Seq: 1)] - [Buildings (Seq: 32)] Constr Est Qual Basis - Both]&gt;</t>
        </r>
      </text>
    </comment>
    <comment ref="N1235" authorId="0" shapeId="0" xr:uid="{8220EBA8-3032-4C00-8126-797C9552DD02}">
      <text>
        <r>
          <rPr>
            <b/>
            <sz val="9"/>
            <color indexed="81"/>
            <rFont val="Tahoma"/>
            <family val="2"/>
          </rPr>
          <t>&lt;[[TCDeals] - [TC Property Current Stage (Seq: 1)] - [Buildings (Seq: 32)] Constr 8609 Basis - Both]&gt;</t>
        </r>
      </text>
    </comment>
    <comment ref="O1235" authorId="0" shapeId="0" xr:uid="{D194A1E6-7311-4A08-BA17-F6D881DB0684}">
      <text>
        <r>
          <rPr>
            <b/>
            <sz val="9"/>
            <color indexed="81"/>
            <rFont val="Tahoma"/>
            <family val="2"/>
          </rPr>
          <t>&lt;[[TCDeals] - [TC Property Current Stage (Seq: 1)] - [Buildings (Seq: 32)] Constr 8609 Credit - Both]&gt;</t>
        </r>
      </text>
    </comment>
    <comment ref="P1235" authorId="0" shapeId="0" xr:uid="{596AFDAA-F389-4AF7-A7C6-04143D2A1614}">
      <text>
        <r>
          <rPr>
            <b/>
            <sz val="9"/>
            <color indexed="81"/>
            <rFont val="Tahoma"/>
            <family val="2"/>
          </rPr>
          <t>&lt;[[TCDeals] - [TC Property Current Stage (Seq: 1)] - [Buildings (Seq: 32)] Acq PIS Date - Both]&gt;</t>
        </r>
      </text>
    </comment>
    <comment ref="Q1235" authorId="0" shapeId="0" xr:uid="{FB3F6411-A567-43EC-83B9-10335907EBF1}">
      <text>
        <r>
          <rPr>
            <b/>
            <sz val="9"/>
            <color indexed="81"/>
            <rFont val="Tahoma"/>
            <family val="2"/>
          </rPr>
          <t>&lt;[[TCDeals] - [TC Property Current Stage (Seq: 1)] - [Buildings (Seq: 32)] Acq Applicable Percentage - Both]&gt;</t>
        </r>
      </text>
    </comment>
    <comment ref="R1235" authorId="0" shapeId="0" xr:uid="{F810CE88-E7BA-484F-B1AD-41BF4CE4892C}">
      <text>
        <r>
          <rPr>
            <b/>
            <sz val="9"/>
            <color indexed="81"/>
            <rFont val="Tahoma"/>
            <family val="2"/>
          </rPr>
          <t>&lt;[[TCDeals] - [TC Property Current Stage (Seq: 1)] - [Buildings (Seq: 32)] Acq Est Qual Basis - Both]&gt;</t>
        </r>
      </text>
    </comment>
    <comment ref="S1235" authorId="0" shapeId="0" xr:uid="{A8E1B5FF-BC6C-45AF-912D-914704DC5EC2}">
      <text>
        <r>
          <rPr>
            <b/>
            <sz val="9"/>
            <color indexed="81"/>
            <rFont val="Tahoma"/>
            <family val="2"/>
          </rPr>
          <t>&lt;[[TCDeals] - [TC Property Current Stage (Seq: 1)] - [Buildings (Seq: 32)] Acq 8609 Basis - Both]&gt;</t>
        </r>
      </text>
    </comment>
    <comment ref="T1235" authorId="0" shapeId="0" xr:uid="{1B07E8A2-3924-4286-A335-8C088BCD8629}">
      <text>
        <r>
          <rPr>
            <b/>
            <sz val="9"/>
            <color indexed="81"/>
            <rFont val="Tahoma"/>
            <family val="2"/>
          </rPr>
          <t>&lt;[[TCDeals] - [TC Property Current Stage (Seq: 1)] - [Buildings (Seq: 32)] Acq 8609 Credit - Both]&gt;</t>
        </r>
      </text>
    </comment>
    <comment ref="C1236" authorId="0" shapeId="0" xr:uid="{1366808E-EF9E-4082-8CF7-8917B1807686}">
      <text>
        <r>
          <rPr>
            <b/>
            <sz val="9"/>
            <color indexed="81"/>
            <rFont val="Tahoma"/>
            <family val="2"/>
          </rPr>
          <t>&lt;[[TCDeals] - [TC Property Current Stage (Seq: 1)] - [Buildings (Seq: 33)] BIN - Both]&gt;</t>
        </r>
      </text>
    </comment>
    <comment ref="D1236" authorId="0" shapeId="0" xr:uid="{497C7565-7602-41C9-A132-4D12320E1164}">
      <text>
        <r>
          <rPr>
            <b/>
            <sz val="9"/>
            <color indexed="81"/>
            <rFont val="Tahoma"/>
            <family val="2"/>
          </rPr>
          <t>&lt;[[TCDeals] - [TC Property Current Stage (Seq: 1)] - [Buildings (Seq: 33)] Address 1 - Both]&gt;</t>
        </r>
      </text>
    </comment>
    <comment ref="E1236" authorId="0" shapeId="0" xr:uid="{2BDD1CE3-0738-42AD-AC86-F73D11BE09C0}">
      <text>
        <r>
          <rPr>
            <b/>
            <sz val="9"/>
            <color indexed="81"/>
            <rFont val="Tahoma"/>
            <family val="2"/>
          </rPr>
          <t>&lt;[[TCDeals] - [TC Property Current Stage (Seq: 1)] - [Buildings (Seq: 33)] Num TC Units - Both]&gt;</t>
        </r>
      </text>
    </comment>
    <comment ref="F1236" authorId="0" shapeId="0" xr:uid="{369E658C-6E11-4559-BDBD-515505CEF1D8}">
      <text>
        <r>
          <rPr>
            <b/>
            <sz val="9"/>
            <color indexed="81"/>
            <rFont val="Tahoma"/>
            <family val="2"/>
          </rPr>
          <t>&lt;[[TCDeals] - [TC Property Current Stage (Seq: 1)] - [Buildings (Seq: 33)] PVC PIS Date - Both]&gt;</t>
        </r>
      </text>
    </comment>
    <comment ref="G1236" authorId="0" shapeId="0" xr:uid="{CBF539E3-F2F4-4A4C-9177-18D6837C3D8A}">
      <text>
        <r>
          <rPr>
            <b/>
            <sz val="9"/>
            <color indexed="81"/>
            <rFont val="Tahoma"/>
            <family val="2"/>
          </rPr>
          <t>&lt;[[TCDeals] - [TC Property Current Stage (Seq: 1)] - [Buildings (Seq: 33)] PVC Applicable Percentage - Both]&gt;</t>
        </r>
      </text>
    </comment>
    <comment ref="H1236" authorId="0" shapeId="0" xr:uid="{7E83083F-DF98-413B-85B4-AE15828668AF}">
      <text>
        <r>
          <rPr>
            <b/>
            <sz val="9"/>
            <color indexed="81"/>
            <rFont val="Tahoma"/>
            <family val="2"/>
          </rPr>
          <t>&lt;[[TCDeals] - [TC Property Current Stage (Seq: 1)] - [Buildings (Seq: 33)] PVC Est Qual Basis - Both]&gt;</t>
        </r>
      </text>
    </comment>
    <comment ref="I1236" authorId="0" shapeId="0" xr:uid="{204CA1B1-6DFE-4FDD-AF64-64552C1B3042}">
      <text>
        <r>
          <rPr>
            <b/>
            <sz val="9"/>
            <color indexed="81"/>
            <rFont val="Tahoma"/>
            <family val="2"/>
          </rPr>
          <t>&lt;[[TCDeals] - [TC Property Current Stage (Seq: 1)] - [Buildings (Seq: 33)] PVC8609 Basis - Both]&gt;</t>
        </r>
      </text>
    </comment>
    <comment ref="J1236" authorId="0" shapeId="0" xr:uid="{AE4C4725-4C20-4343-80CC-2453F99F3543}">
      <text>
        <r>
          <rPr>
            <b/>
            <sz val="9"/>
            <color indexed="81"/>
            <rFont val="Tahoma"/>
            <family val="2"/>
          </rPr>
          <t>&lt;[[TCDeals] - [TC Property Current Stage (Seq: 1)] - [Buildings (Seq: 33)] PVC8609 Credit - Both]&gt;</t>
        </r>
      </text>
    </comment>
    <comment ref="K1236" authorId="0" shapeId="0" xr:uid="{9D8A8884-D3A6-409D-BBDD-A2F77235A7EB}">
      <text>
        <r>
          <rPr>
            <b/>
            <sz val="9"/>
            <color indexed="81"/>
            <rFont val="Tahoma"/>
            <family val="2"/>
          </rPr>
          <t>&lt;[[TCDeals] - [TC Property Current Stage (Seq: 1)] - [Buildings (Seq: 33)] Constr PIS Date - Both]&gt;</t>
        </r>
      </text>
    </comment>
    <comment ref="L1236" authorId="0" shapeId="0" xr:uid="{C3DA3FEE-1957-4596-9FE0-6B8A0F6C5519}">
      <text>
        <r>
          <rPr>
            <b/>
            <sz val="9"/>
            <color indexed="81"/>
            <rFont val="Tahoma"/>
            <family val="2"/>
          </rPr>
          <t>&lt;[[TCDeals] - [TC Property Current Stage (Seq: 1)] - [Buildings (Seq: 33)] Constr Applicable Percentage - Both]&gt;</t>
        </r>
      </text>
    </comment>
    <comment ref="M1236" authorId="0" shapeId="0" xr:uid="{3F9A28AC-354C-4FB7-B7C9-A419133A2FE8}">
      <text>
        <r>
          <rPr>
            <b/>
            <sz val="9"/>
            <color indexed="81"/>
            <rFont val="Tahoma"/>
            <family val="2"/>
          </rPr>
          <t>&lt;[[TCDeals] - [TC Property Current Stage (Seq: 1)] - [Buildings (Seq: 33)] Constr Est Qual Basis - Both]&gt;</t>
        </r>
      </text>
    </comment>
    <comment ref="N1236" authorId="0" shapeId="0" xr:uid="{31E6DDD1-C25A-4351-8F3C-30812E949CA4}">
      <text>
        <r>
          <rPr>
            <b/>
            <sz val="9"/>
            <color indexed="81"/>
            <rFont val="Tahoma"/>
            <family val="2"/>
          </rPr>
          <t>&lt;[[TCDeals] - [TC Property Current Stage (Seq: 1)] - [Buildings (Seq: 33)] Constr 8609 Basis - Both]&gt;</t>
        </r>
      </text>
    </comment>
    <comment ref="O1236" authorId="0" shapeId="0" xr:uid="{9B04894E-F736-4205-9477-AC0FCE3278A7}">
      <text>
        <r>
          <rPr>
            <b/>
            <sz val="9"/>
            <color indexed="81"/>
            <rFont val="Tahoma"/>
            <family val="2"/>
          </rPr>
          <t>&lt;[[TCDeals] - [TC Property Current Stage (Seq: 1)] - [Buildings (Seq: 33)] Constr 8609 Credit - Both]&gt;</t>
        </r>
      </text>
    </comment>
    <comment ref="P1236" authorId="0" shapeId="0" xr:uid="{8CDB7E69-8523-417C-BFD9-BD98159016C8}">
      <text>
        <r>
          <rPr>
            <b/>
            <sz val="9"/>
            <color indexed="81"/>
            <rFont val="Tahoma"/>
            <family val="2"/>
          </rPr>
          <t>&lt;[[TCDeals] - [TC Property Current Stage (Seq: 1)] - [Buildings (Seq: 33)] Acq PIS Date - Both]&gt;</t>
        </r>
      </text>
    </comment>
    <comment ref="Q1236" authorId="0" shapeId="0" xr:uid="{6A4318E5-AEAB-4B9E-A4A8-350278D9D2C3}">
      <text>
        <r>
          <rPr>
            <b/>
            <sz val="9"/>
            <color indexed="81"/>
            <rFont val="Tahoma"/>
            <family val="2"/>
          </rPr>
          <t>&lt;[[TCDeals] - [TC Property Current Stage (Seq: 1)] - [Buildings (Seq: 33)] Acq Applicable Percentage - Both]&gt;</t>
        </r>
      </text>
    </comment>
    <comment ref="R1236" authorId="0" shapeId="0" xr:uid="{6698AF00-A6F0-4FCF-BC9F-8A19AD9B9190}">
      <text>
        <r>
          <rPr>
            <b/>
            <sz val="9"/>
            <color indexed="81"/>
            <rFont val="Tahoma"/>
            <family val="2"/>
          </rPr>
          <t>&lt;[[TCDeals] - [TC Property Current Stage (Seq: 1)] - [Buildings (Seq: 33)] Acq Est Qual Basis - Both]&gt;</t>
        </r>
      </text>
    </comment>
    <comment ref="S1236" authorId="0" shapeId="0" xr:uid="{3AEAD96C-8E50-4777-9505-4CF40D0EFFFE}">
      <text>
        <r>
          <rPr>
            <b/>
            <sz val="9"/>
            <color indexed="81"/>
            <rFont val="Tahoma"/>
            <family val="2"/>
          </rPr>
          <t>&lt;[[TCDeals] - [TC Property Current Stage (Seq: 1)] - [Buildings (Seq: 33)] Acq 8609 Basis - Both]&gt;</t>
        </r>
      </text>
    </comment>
    <comment ref="T1236" authorId="0" shapeId="0" xr:uid="{D6002473-ABB0-4255-B6B9-42CF1C7E10EF}">
      <text>
        <r>
          <rPr>
            <b/>
            <sz val="9"/>
            <color indexed="81"/>
            <rFont val="Tahoma"/>
            <family val="2"/>
          </rPr>
          <t>&lt;[[TCDeals] - [TC Property Current Stage (Seq: 1)] - [Buildings (Seq: 33)] Acq 8609 Credit - Both]&gt;</t>
        </r>
      </text>
    </comment>
    <comment ref="C1237" authorId="0" shapeId="0" xr:uid="{12CFBAAD-FF5D-4045-B6EF-78CD748A6354}">
      <text>
        <r>
          <rPr>
            <b/>
            <sz val="9"/>
            <color indexed="81"/>
            <rFont val="Tahoma"/>
            <family val="2"/>
          </rPr>
          <t>&lt;[[TCDeals] - [TC Property Current Stage (Seq: 1)] - [Buildings (Seq: 34)] BIN - Both]&gt;</t>
        </r>
      </text>
    </comment>
    <comment ref="D1237" authorId="0" shapeId="0" xr:uid="{C83B981B-05D7-4C27-98CA-7674B4505D6D}">
      <text>
        <r>
          <rPr>
            <b/>
            <sz val="9"/>
            <color indexed="81"/>
            <rFont val="Tahoma"/>
            <family val="2"/>
          </rPr>
          <t>&lt;[[TCDeals] - [TC Property Current Stage (Seq: 1)] - [Buildings (Seq: 34)] Address 1 - Both]&gt;</t>
        </r>
      </text>
    </comment>
    <comment ref="E1237" authorId="0" shapeId="0" xr:uid="{51403421-3FE8-43D3-915E-861F1B4639D6}">
      <text>
        <r>
          <rPr>
            <b/>
            <sz val="9"/>
            <color indexed="81"/>
            <rFont val="Tahoma"/>
            <family val="2"/>
          </rPr>
          <t>&lt;[[TCDeals] - [TC Property Current Stage (Seq: 1)] - [Buildings (Seq: 34)] Num TC Units - Both]&gt;</t>
        </r>
      </text>
    </comment>
    <comment ref="F1237" authorId="0" shapeId="0" xr:uid="{2E81F33F-3336-4610-A904-E528C4CC41D0}">
      <text>
        <r>
          <rPr>
            <b/>
            <sz val="9"/>
            <color indexed="81"/>
            <rFont val="Tahoma"/>
            <family val="2"/>
          </rPr>
          <t>&lt;[[TCDeals] - [TC Property Current Stage (Seq: 1)] - [Buildings (Seq: 34)] PVC PIS Date - Both]&gt;</t>
        </r>
      </text>
    </comment>
    <comment ref="G1237" authorId="0" shapeId="0" xr:uid="{DB81FF67-9CC4-48CC-A6AF-234C4237393E}">
      <text>
        <r>
          <rPr>
            <b/>
            <sz val="9"/>
            <color indexed="81"/>
            <rFont val="Tahoma"/>
            <family val="2"/>
          </rPr>
          <t>&lt;[[TCDeals] - [TC Property Current Stage (Seq: 1)] - [Buildings (Seq: 34)] PVC Applicable Percentage - Both]&gt;</t>
        </r>
      </text>
    </comment>
    <comment ref="H1237" authorId="0" shapeId="0" xr:uid="{FEB94866-9912-4717-8B44-DC85582810E4}">
      <text>
        <r>
          <rPr>
            <b/>
            <sz val="9"/>
            <color indexed="81"/>
            <rFont val="Tahoma"/>
            <family val="2"/>
          </rPr>
          <t>&lt;[[TCDeals] - [TC Property Current Stage (Seq: 1)] - [Buildings (Seq: 34)] PVC Est Qual Basis - Both]&gt;</t>
        </r>
      </text>
    </comment>
    <comment ref="I1237" authorId="0" shapeId="0" xr:uid="{F858CE05-5C28-4CF2-90F6-C4FFD157B1BF}">
      <text>
        <r>
          <rPr>
            <b/>
            <sz val="9"/>
            <color indexed="81"/>
            <rFont val="Tahoma"/>
            <family val="2"/>
          </rPr>
          <t>&lt;[[TCDeals] - [TC Property Current Stage (Seq: 1)] - [Buildings (Seq: 34)] PVC8609 Basis - Both]&gt;</t>
        </r>
      </text>
    </comment>
    <comment ref="J1237" authorId="0" shapeId="0" xr:uid="{E9FB88FF-36D4-4374-8D7E-CB8416D5A776}">
      <text>
        <r>
          <rPr>
            <b/>
            <sz val="9"/>
            <color indexed="81"/>
            <rFont val="Tahoma"/>
            <family val="2"/>
          </rPr>
          <t>&lt;[[TCDeals] - [TC Property Current Stage (Seq: 1)] - [Buildings (Seq: 34)] PVC8609 Credit - Both]&gt;</t>
        </r>
      </text>
    </comment>
    <comment ref="K1237" authorId="0" shapeId="0" xr:uid="{ECB9470D-B632-46E7-A9BA-0B17D50F1FE7}">
      <text>
        <r>
          <rPr>
            <b/>
            <sz val="9"/>
            <color indexed="81"/>
            <rFont val="Tahoma"/>
            <family val="2"/>
          </rPr>
          <t>&lt;[[TCDeals] - [TC Property Current Stage (Seq: 1)] - [Buildings (Seq: 34)] Constr PIS Date - Both]&gt;</t>
        </r>
      </text>
    </comment>
    <comment ref="L1237" authorId="0" shapeId="0" xr:uid="{5ED06A48-A8E8-4B19-9A5E-2AF390221FB9}">
      <text>
        <r>
          <rPr>
            <b/>
            <sz val="9"/>
            <color indexed="81"/>
            <rFont val="Tahoma"/>
            <family val="2"/>
          </rPr>
          <t>&lt;[[TCDeals] - [TC Property Current Stage (Seq: 1)] - [Buildings (Seq: 34)] Constr Applicable Percentage - Both]&gt;</t>
        </r>
      </text>
    </comment>
    <comment ref="M1237" authorId="0" shapeId="0" xr:uid="{4F036246-4D31-403A-8E30-92D02531219A}">
      <text>
        <r>
          <rPr>
            <b/>
            <sz val="9"/>
            <color indexed="81"/>
            <rFont val="Tahoma"/>
            <family val="2"/>
          </rPr>
          <t>&lt;[[TCDeals] - [TC Property Current Stage (Seq: 1)] - [Buildings (Seq: 34)] Constr Est Qual Basis - Both]&gt;</t>
        </r>
      </text>
    </comment>
    <comment ref="N1237" authorId="0" shapeId="0" xr:uid="{C9DD4A64-9BE1-451E-A556-98FB2B56DC0C}">
      <text>
        <r>
          <rPr>
            <b/>
            <sz val="9"/>
            <color indexed="81"/>
            <rFont val="Tahoma"/>
            <family val="2"/>
          </rPr>
          <t>&lt;[[TCDeals] - [TC Property Current Stage (Seq: 1)] - [Buildings (Seq: 34)] Constr 8609 Basis - Both]&gt;</t>
        </r>
      </text>
    </comment>
    <comment ref="O1237" authorId="0" shapeId="0" xr:uid="{6C6C6283-A739-4647-87C9-EE1535C56D6E}">
      <text>
        <r>
          <rPr>
            <b/>
            <sz val="9"/>
            <color indexed="81"/>
            <rFont val="Tahoma"/>
            <family val="2"/>
          </rPr>
          <t>&lt;[[TCDeals] - [TC Property Current Stage (Seq: 1)] - [Buildings (Seq: 34)] Constr 8609 Credit - Both]&gt;</t>
        </r>
      </text>
    </comment>
    <comment ref="P1237" authorId="0" shapeId="0" xr:uid="{6435C848-18C3-484A-BB92-A1076EAE3B52}">
      <text>
        <r>
          <rPr>
            <b/>
            <sz val="9"/>
            <color indexed="81"/>
            <rFont val="Tahoma"/>
            <family val="2"/>
          </rPr>
          <t>&lt;[[TCDeals] - [TC Property Current Stage (Seq: 1)] - [Buildings (Seq: 34)] Acq PIS Date - Both]&gt;</t>
        </r>
      </text>
    </comment>
    <comment ref="Q1237" authorId="0" shapeId="0" xr:uid="{3A3E291C-C693-48AD-AA8C-7635CE48A4F0}">
      <text>
        <r>
          <rPr>
            <b/>
            <sz val="9"/>
            <color indexed="81"/>
            <rFont val="Tahoma"/>
            <family val="2"/>
          </rPr>
          <t>&lt;[[TCDeals] - [TC Property Current Stage (Seq: 1)] - [Buildings (Seq: 34)] Acq Applicable Percentage - Both]&gt;</t>
        </r>
      </text>
    </comment>
    <comment ref="R1237" authorId="0" shapeId="0" xr:uid="{E3EB0F6E-6464-40A2-90E3-0733CAFB3548}">
      <text>
        <r>
          <rPr>
            <b/>
            <sz val="9"/>
            <color indexed="81"/>
            <rFont val="Tahoma"/>
            <family val="2"/>
          </rPr>
          <t>&lt;[[TCDeals] - [TC Property Current Stage (Seq: 1)] - [Buildings (Seq: 34)] Acq Est Qual Basis - Both]&gt;</t>
        </r>
      </text>
    </comment>
    <comment ref="S1237" authorId="0" shapeId="0" xr:uid="{2FBB20AB-CF9E-4BA9-A8B4-1CDD6FB07F50}">
      <text>
        <r>
          <rPr>
            <b/>
            <sz val="9"/>
            <color indexed="81"/>
            <rFont val="Tahoma"/>
            <family val="2"/>
          </rPr>
          <t>&lt;[[TCDeals] - [TC Property Current Stage (Seq: 1)] - [Buildings (Seq: 34)] Acq 8609 Basis - Both]&gt;</t>
        </r>
      </text>
    </comment>
    <comment ref="T1237" authorId="0" shapeId="0" xr:uid="{8EAE175A-2680-43CC-A9DF-40EC9D3EC5C2}">
      <text>
        <r>
          <rPr>
            <b/>
            <sz val="9"/>
            <color indexed="81"/>
            <rFont val="Tahoma"/>
            <family val="2"/>
          </rPr>
          <t>&lt;[[TCDeals] - [TC Property Current Stage (Seq: 1)] - [Buildings (Seq: 34)] Acq 8609 Credit - Both]&gt;</t>
        </r>
      </text>
    </comment>
    <comment ref="C1238" authorId="0" shapeId="0" xr:uid="{2ADE24FF-C100-4EA9-8EC5-FFC5DFE1FF3F}">
      <text>
        <r>
          <rPr>
            <b/>
            <sz val="9"/>
            <color indexed="81"/>
            <rFont val="Tahoma"/>
            <family val="2"/>
          </rPr>
          <t>&lt;[[TCDeals] - [TC Property Current Stage (Seq: 1)] - [Buildings (Seq: 35)] BIN - Both]&gt;</t>
        </r>
      </text>
    </comment>
    <comment ref="D1238" authorId="0" shapeId="0" xr:uid="{FEF92023-B73E-4B86-806E-572E8957B75B}">
      <text>
        <r>
          <rPr>
            <b/>
            <sz val="9"/>
            <color indexed="81"/>
            <rFont val="Tahoma"/>
            <family val="2"/>
          </rPr>
          <t>&lt;[[TCDeals] - [TC Property Current Stage (Seq: 1)] - [Buildings (Seq: 35)] Address 1 - Both]&gt;</t>
        </r>
      </text>
    </comment>
    <comment ref="E1238" authorId="0" shapeId="0" xr:uid="{476441A8-BD78-457A-8942-20A0239E7CF8}">
      <text>
        <r>
          <rPr>
            <b/>
            <sz val="9"/>
            <color indexed="81"/>
            <rFont val="Tahoma"/>
            <family val="2"/>
          </rPr>
          <t>&lt;[[TCDeals] - [TC Property Current Stage (Seq: 1)] - [Buildings (Seq: 35)] Num TC Units - Both]&gt;</t>
        </r>
      </text>
    </comment>
    <comment ref="F1238" authorId="0" shapeId="0" xr:uid="{F3628A97-8518-44B3-9109-C9C3B737CB9B}">
      <text>
        <r>
          <rPr>
            <b/>
            <sz val="9"/>
            <color indexed="81"/>
            <rFont val="Tahoma"/>
            <family val="2"/>
          </rPr>
          <t>&lt;[[TCDeals] - [TC Property Current Stage (Seq: 1)] - [Buildings (Seq: 35)] PVC PIS Date - Both]&gt;</t>
        </r>
      </text>
    </comment>
    <comment ref="G1238" authorId="0" shapeId="0" xr:uid="{E2A615D7-0C54-4C49-AEBA-39FA77E344C3}">
      <text>
        <r>
          <rPr>
            <b/>
            <sz val="9"/>
            <color indexed="81"/>
            <rFont val="Tahoma"/>
            <family val="2"/>
          </rPr>
          <t>&lt;[[TCDeals] - [TC Property Current Stage (Seq: 1)] - [Buildings (Seq: 35)] PVC Applicable Percentage - Both]&gt;</t>
        </r>
      </text>
    </comment>
    <comment ref="H1238" authorId="0" shapeId="0" xr:uid="{E84BC5F0-B78C-4E42-A7D0-A21897A55B35}">
      <text>
        <r>
          <rPr>
            <b/>
            <sz val="9"/>
            <color indexed="81"/>
            <rFont val="Tahoma"/>
            <family val="2"/>
          </rPr>
          <t>&lt;[[TCDeals] - [TC Property Current Stage (Seq: 1)] - [Buildings (Seq: 35)] PVC Est Qual Basis - Both]&gt;</t>
        </r>
      </text>
    </comment>
    <comment ref="I1238" authorId="0" shapeId="0" xr:uid="{B9013315-464C-48A1-95DF-3E4A2C2AD6CB}">
      <text>
        <r>
          <rPr>
            <b/>
            <sz val="9"/>
            <color indexed="81"/>
            <rFont val="Tahoma"/>
            <family val="2"/>
          </rPr>
          <t>&lt;[[TCDeals] - [TC Property Current Stage (Seq: 1)] - [Buildings (Seq: 35)] PVC8609 Basis - Both]&gt;</t>
        </r>
      </text>
    </comment>
    <comment ref="J1238" authorId="0" shapeId="0" xr:uid="{1B868BCD-AD6B-42E8-9218-562618656C35}">
      <text>
        <r>
          <rPr>
            <b/>
            <sz val="9"/>
            <color indexed="81"/>
            <rFont val="Tahoma"/>
            <family val="2"/>
          </rPr>
          <t>&lt;[[TCDeals] - [TC Property Current Stage (Seq: 1)] - [Buildings (Seq: 35)] PVC8609 Credit - Both]&gt;</t>
        </r>
      </text>
    </comment>
    <comment ref="K1238" authorId="0" shapeId="0" xr:uid="{9114B14C-AE8A-4308-B7D4-25399DF86E05}">
      <text>
        <r>
          <rPr>
            <b/>
            <sz val="9"/>
            <color indexed="81"/>
            <rFont val="Tahoma"/>
            <family val="2"/>
          </rPr>
          <t>&lt;[[TCDeals] - [TC Property Current Stage (Seq: 1)] - [Buildings (Seq: 35)] Constr PIS Date - Both]&gt;</t>
        </r>
      </text>
    </comment>
    <comment ref="L1238" authorId="0" shapeId="0" xr:uid="{79303A7D-01F4-421A-B2E1-BCA112A60CFC}">
      <text>
        <r>
          <rPr>
            <b/>
            <sz val="9"/>
            <color indexed="81"/>
            <rFont val="Tahoma"/>
            <family val="2"/>
          </rPr>
          <t>&lt;[[TCDeals] - [TC Property Current Stage (Seq: 1)] - [Buildings (Seq: 35)] Constr Applicable Percentage - Both]&gt;</t>
        </r>
      </text>
    </comment>
    <comment ref="M1238" authorId="0" shapeId="0" xr:uid="{88FAD1A9-24D5-42B4-BEF7-4994FD6CE745}">
      <text>
        <r>
          <rPr>
            <b/>
            <sz val="9"/>
            <color indexed="81"/>
            <rFont val="Tahoma"/>
            <family val="2"/>
          </rPr>
          <t>&lt;[[TCDeals] - [TC Property Current Stage (Seq: 1)] - [Buildings (Seq: 35)] Constr Est Qual Basis - Both]&gt;</t>
        </r>
      </text>
    </comment>
    <comment ref="N1238" authorId="0" shapeId="0" xr:uid="{DF0F32E8-9D82-4DE6-A15E-ABD18A7668D7}">
      <text>
        <r>
          <rPr>
            <b/>
            <sz val="9"/>
            <color indexed="81"/>
            <rFont val="Tahoma"/>
            <family val="2"/>
          </rPr>
          <t>&lt;[[TCDeals] - [TC Property Current Stage (Seq: 1)] - [Buildings (Seq: 35)] Constr 8609 Basis - Both]&gt;</t>
        </r>
      </text>
    </comment>
    <comment ref="O1238" authorId="0" shapeId="0" xr:uid="{47D5CFFA-DFB3-487B-95DA-2D2E7402E223}">
      <text>
        <r>
          <rPr>
            <b/>
            <sz val="9"/>
            <color indexed="81"/>
            <rFont val="Tahoma"/>
            <family val="2"/>
          </rPr>
          <t>&lt;[[TCDeals] - [TC Property Current Stage (Seq: 1)] - [Buildings (Seq: 35)] Constr 8609 Credit - Both]&gt;</t>
        </r>
      </text>
    </comment>
    <comment ref="P1238" authorId="0" shapeId="0" xr:uid="{50CDD90B-C2E2-42A7-90D2-D665533F9004}">
      <text>
        <r>
          <rPr>
            <b/>
            <sz val="9"/>
            <color indexed="81"/>
            <rFont val="Tahoma"/>
            <family val="2"/>
          </rPr>
          <t>&lt;[[TCDeals] - [TC Property Current Stage (Seq: 1)] - [Buildings (Seq: 35)] Acq PIS Date - Both]&gt;</t>
        </r>
      </text>
    </comment>
    <comment ref="Q1238" authorId="0" shapeId="0" xr:uid="{A850EB2B-7B21-472C-92A9-31EE982B993D}">
      <text>
        <r>
          <rPr>
            <b/>
            <sz val="9"/>
            <color indexed="81"/>
            <rFont val="Tahoma"/>
            <family val="2"/>
          </rPr>
          <t>&lt;[[TCDeals] - [TC Property Current Stage (Seq: 1)] - [Buildings (Seq: 35)] Acq Applicable Percentage - Both]&gt;</t>
        </r>
      </text>
    </comment>
    <comment ref="R1238" authorId="0" shapeId="0" xr:uid="{9642A423-EC3D-4036-B421-2ED61E48BA8E}">
      <text>
        <r>
          <rPr>
            <b/>
            <sz val="9"/>
            <color indexed="81"/>
            <rFont val="Tahoma"/>
            <family val="2"/>
          </rPr>
          <t>&lt;[[TCDeals] - [TC Property Current Stage (Seq: 1)] - [Buildings (Seq: 35)] Acq Est Qual Basis - Both]&gt;</t>
        </r>
      </text>
    </comment>
    <comment ref="S1238" authorId="0" shapeId="0" xr:uid="{71E81C5C-11E8-4DC3-AA3F-0ADC013B4790}">
      <text>
        <r>
          <rPr>
            <b/>
            <sz val="9"/>
            <color indexed="81"/>
            <rFont val="Tahoma"/>
            <family val="2"/>
          </rPr>
          <t>&lt;[[TCDeals] - [TC Property Current Stage (Seq: 1)] - [Buildings (Seq: 35)] Acq 8609 Basis - Both]&gt;</t>
        </r>
      </text>
    </comment>
    <comment ref="T1238" authorId="0" shapeId="0" xr:uid="{A299795B-AEDB-4690-A4D1-D4262BBB99A6}">
      <text>
        <r>
          <rPr>
            <b/>
            <sz val="9"/>
            <color indexed="81"/>
            <rFont val="Tahoma"/>
            <family val="2"/>
          </rPr>
          <t>&lt;[[TCDeals] - [TC Property Current Stage (Seq: 1)] - [Buildings (Seq: 35)] Acq 8609 Credit - Both]&gt;</t>
        </r>
      </text>
    </comment>
    <comment ref="C1239" authorId="0" shapeId="0" xr:uid="{57A4918E-FBE3-4E22-8ECD-066034364B4D}">
      <text>
        <r>
          <rPr>
            <b/>
            <sz val="9"/>
            <color indexed="81"/>
            <rFont val="Tahoma"/>
            <family val="2"/>
          </rPr>
          <t>&lt;[[TCDeals] - [TC Property Current Stage (Seq: 1)] - [Buildings (Seq: 36)] BIN - Both]&gt;</t>
        </r>
      </text>
    </comment>
    <comment ref="D1239" authorId="0" shapeId="0" xr:uid="{CC9EE508-9084-4B19-A049-76CD37783F7D}">
      <text>
        <r>
          <rPr>
            <b/>
            <sz val="9"/>
            <color indexed="81"/>
            <rFont val="Tahoma"/>
            <family val="2"/>
          </rPr>
          <t>&lt;[[TCDeals] - [TC Property Current Stage (Seq: 1)] - [Buildings (Seq: 36)] Address 1 - Both]&gt;</t>
        </r>
      </text>
    </comment>
    <comment ref="E1239" authorId="0" shapeId="0" xr:uid="{7CC08051-4BAE-49EE-9735-E6CA605966E0}">
      <text>
        <r>
          <rPr>
            <b/>
            <sz val="9"/>
            <color indexed="81"/>
            <rFont val="Tahoma"/>
            <family val="2"/>
          </rPr>
          <t>&lt;[[TCDeals] - [TC Property Current Stage (Seq: 1)] - [Buildings (Seq: 36)] Num TC Units - Both]&gt;</t>
        </r>
      </text>
    </comment>
    <comment ref="F1239" authorId="0" shapeId="0" xr:uid="{67F46BE8-7F51-46C0-A956-37A486BB7367}">
      <text>
        <r>
          <rPr>
            <b/>
            <sz val="9"/>
            <color indexed="81"/>
            <rFont val="Tahoma"/>
            <family val="2"/>
          </rPr>
          <t>&lt;[[TCDeals] - [TC Property Current Stage (Seq: 1)] - [Buildings (Seq: 36)] PVC PIS Date - Both]&gt;</t>
        </r>
      </text>
    </comment>
    <comment ref="G1239" authorId="0" shapeId="0" xr:uid="{9B58E698-067A-4769-87E5-65CA06F3E9D3}">
      <text>
        <r>
          <rPr>
            <b/>
            <sz val="9"/>
            <color indexed="81"/>
            <rFont val="Tahoma"/>
            <family val="2"/>
          </rPr>
          <t>&lt;[[TCDeals] - [TC Property Current Stage (Seq: 1)] - [Buildings (Seq: 36)] PVC Applicable Percentage - Both]&gt;</t>
        </r>
      </text>
    </comment>
    <comment ref="H1239" authorId="0" shapeId="0" xr:uid="{852BBBFD-D5E5-4CD9-8596-196D68BBC945}">
      <text>
        <r>
          <rPr>
            <b/>
            <sz val="9"/>
            <color indexed="81"/>
            <rFont val="Tahoma"/>
            <family val="2"/>
          </rPr>
          <t>&lt;[[TCDeals] - [TC Property Current Stage (Seq: 1)] - [Buildings (Seq: 36)] PVC Est Qual Basis - Both]&gt;</t>
        </r>
      </text>
    </comment>
    <comment ref="I1239" authorId="0" shapeId="0" xr:uid="{7C1B278A-9A1D-4311-9EFD-7B76E88BF3DF}">
      <text>
        <r>
          <rPr>
            <b/>
            <sz val="9"/>
            <color indexed="81"/>
            <rFont val="Tahoma"/>
            <family val="2"/>
          </rPr>
          <t>&lt;[[TCDeals] - [TC Property Current Stage (Seq: 1)] - [Buildings (Seq: 36)] PVC8609 Basis - Both]&gt;</t>
        </r>
      </text>
    </comment>
    <comment ref="J1239" authorId="0" shapeId="0" xr:uid="{A0E02852-4C94-49B9-805D-04BE6C46FEAA}">
      <text>
        <r>
          <rPr>
            <b/>
            <sz val="9"/>
            <color indexed="81"/>
            <rFont val="Tahoma"/>
            <family val="2"/>
          </rPr>
          <t>&lt;[[TCDeals] - [TC Property Current Stage (Seq: 1)] - [Buildings (Seq: 36)] PVC8609 Credit - Both]&gt;</t>
        </r>
      </text>
    </comment>
    <comment ref="K1239" authorId="0" shapeId="0" xr:uid="{A64A4920-C398-4E91-9B78-66FEE9824A65}">
      <text>
        <r>
          <rPr>
            <b/>
            <sz val="9"/>
            <color indexed="81"/>
            <rFont val="Tahoma"/>
            <family val="2"/>
          </rPr>
          <t>&lt;[[TCDeals] - [TC Property Current Stage (Seq: 1)] - [Buildings (Seq: 36)] Constr PIS Date - Both]&gt;</t>
        </r>
      </text>
    </comment>
    <comment ref="L1239" authorId="0" shapeId="0" xr:uid="{62F3758E-A859-44C0-8913-09B3D2A007DA}">
      <text>
        <r>
          <rPr>
            <b/>
            <sz val="9"/>
            <color indexed="81"/>
            <rFont val="Tahoma"/>
            <family val="2"/>
          </rPr>
          <t>&lt;[[TCDeals] - [TC Property Current Stage (Seq: 1)] - [Buildings (Seq: 36)] Constr Applicable Percentage - Both]&gt;</t>
        </r>
      </text>
    </comment>
    <comment ref="M1239" authorId="0" shapeId="0" xr:uid="{D59D4AC4-91D2-46C9-95CA-C5B3AE2C9A8B}">
      <text>
        <r>
          <rPr>
            <b/>
            <sz val="9"/>
            <color indexed="81"/>
            <rFont val="Tahoma"/>
            <family val="2"/>
          </rPr>
          <t>&lt;[[TCDeals] - [TC Property Current Stage (Seq: 1)] - [Buildings (Seq: 36)] Constr Est Qual Basis - Both]&gt;</t>
        </r>
      </text>
    </comment>
    <comment ref="N1239" authorId="0" shapeId="0" xr:uid="{E19CD0D7-1EBD-4DDA-9DFD-6808213B7FE6}">
      <text>
        <r>
          <rPr>
            <b/>
            <sz val="9"/>
            <color indexed="81"/>
            <rFont val="Tahoma"/>
            <family val="2"/>
          </rPr>
          <t>&lt;[[TCDeals] - [TC Property Current Stage (Seq: 1)] - [Buildings (Seq: 36)] Constr 8609 Basis - Both]&gt;</t>
        </r>
      </text>
    </comment>
    <comment ref="O1239" authorId="0" shapeId="0" xr:uid="{89B310D2-6C57-49D7-8C44-3312E90D1694}">
      <text>
        <r>
          <rPr>
            <b/>
            <sz val="9"/>
            <color indexed="81"/>
            <rFont val="Tahoma"/>
            <family val="2"/>
          </rPr>
          <t>&lt;[[TCDeals] - [TC Property Current Stage (Seq: 1)] - [Buildings (Seq: 36)] Constr 8609 Credit - Both]&gt;</t>
        </r>
      </text>
    </comment>
    <comment ref="P1239" authorId="0" shapeId="0" xr:uid="{6FF0371A-64B3-44B7-B195-A3AA6101E784}">
      <text>
        <r>
          <rPr>
            <b/>
            <sz val="9"/>
            <color indexed="81"/>
            <rFont val="Tahoma"/>
            <family val="2"/>
          </rPr>
          <t>&lt;[[TCDeals] - [TC Property Current Stage (Seq: 1)] - [Buildings (Seq: 36)] Acq PIS Date - Both]&gt;</t>
        </r>
      </text>
    </comment>
    <comment ref="Q1239" authorId="0" shapeId="0" xr:uid="{B67FE408-9DD3-4916-BF30-F698AF655F12}">
      <text>
        <r>
          <rPr>
            <b/>
            <sz val="9"/>
            <color indexed="81"/>
            <rFont val="Tahoma"/>
            <family val="2"/>
          </rPr>
          <t>&lt;[[TCDeals] - [TC Property Current Stage (Seq: 1)] - [Buildings (Seq: 36)] Acq Applicable Percentage - Both]&gt;</t>
        </r>
      </text>
    </comment>
    <comment ref="R1239" authorId="0" shapeId="0" xr:uid="{9AE39AD2-AB13-4E0B-9249-FA88B3700994}">
      <text>
        <r>
          <rPr>
            <b/>
            <sz val="9"/>
            <color indexed="81"/>
            <rFont val="Tahoma"/>
            <family val="2"/>
          </rPr>
          <t>&lt;[[TCDeals] - [TC Property Current Stage (Seq: 1)] - [Buildings (Seq: 36)] Acq Est Qual Basis - Both]&gt;</t>
        </r>
      </text>
    </comment>
    <comment ref="S1239" authorId="0" shapeId="0" xr:uid="{1220915D-5ACB-427C-A559-E9330EF72C81}">
      <text>
        <r>
          <rPr>
            <b/>
            <sz val="9"/>
            <color indexed="81"/>
            <rFont val="Tahoma"/>
            <family val="2"/>
          </rPr>
          <t>&lt;[[TCDeals] - [TC Property Current Stage (Seq: 1)] - [Buildings (Seq: 36)] Acq 8609 Basis - Both]&gt;</t>
        </r>
      </text>
    </comment>
    <comment ref="T1239" authorId="0" shapeId="0" xr:uid="{7598ED89-9021-4C44-991A-765A848D89CF}">
      <text>
        <r>
          <rPr>
            <b/>
            <sz val="9"/>
            <color indexed="81"/>
            <rFont val="Tahoma"/>
            <family val="2"/>
          </rPr>
          <t>&lt;[[TCDeals] - [TC Property Current Stage (Seq: 1)] - [Buildings (Seq: 36)] Acq 8609 Credit - Both]&gt;</t>
        </r>
      </text>
    </comment>
    <comment ref="C1240" authorId="0" shapeId="0" xr:uid="{4E867309-4F7E-4041-B5E6-5E8A5678F753}">
      <text>
        <r>
          <rPr>
            <b/>
            <sz val="9"/>
            <color indexed="81"/>
            <rFont val="Tahoma"/>
            <family val="2"/>
          </rPr>
          <t>&lt;[[TCDeals] - [TC Property Current Stage (Seq: 1)] - [Buildings (Seq: 37)] BIN - Both]&gt;</t>
        </r>
      </text>
    </comment>
    <comment ref="D1240" authorId="0" shapeId="0" xr:uid="{097A20EC-799B-499B-BE27-55E0598FA1CA}">
      <text>
        <r>
          <rPr>
            <b/>
            <sz val="9"/>
            <color indexed="81"/>
            <rFont val="Tahoma"/>
            <family val="2"/>
          </rPr>
          <t>&lt;[[TCDeals] - [TC Property Current Stage (Seq: 1)] - [Buildings (Seq: 37)] Address 1 - Both]&gt;</t>
        </r>
      </text>
    </comment>
    <comment ref="E1240" authorId="0" shapeId="0" xr:uid="{CFB4AD94-77B8-4505-AB48-B495606C1CA0}">
      <text>
        <r>
          <rPr>
            <b/>
            <sz val="9"/>
            <color indexed="81"/>
            <rFont val="Tahoma"/>
            <family val="2"/>
          </rPr>
          <t>&lt;[[TCDeals] - [TC Property Current Stage (Seq: 1)] - [Buildings (Seq: 37)] Num TC Units - Both]&gt;</t>
        </r>
      </text>
    </comment>
    <comment ref="F1240" authorId="0" shapeId="0" xr:uid="{E718781E-5BCD-404C-BA2D-8FBB7982BD13}">
      <text>
        <r>
          <rPr>
            <b/>
            <sz val="9"/>
            <color indexed="81"/>
            <rFont val="Tahoma"/>
            <family val="2"/>
          </rPr>
          <t>&lt;[[TCDeals] - [TC Property Current Stage (Seq: 1)] - [Buildings (Seq: 37)] PVC PIS Date - Both]&gt;</t>
        </r>
      </text>
    </comment>
    <comment ref="G1240" authorId="0" shapeId="0" xr:uid="{3586EB27-E7CB-4D10-97FA-F53E587895A3}">
      <text>
        <r>
          <rPr>
            <b/>
            <sz val="9"/>
            <color indexed="81"/>
            <rFont val="Tahoma"/>
            <family val="2"/>
          </rPr>
          <t>&lt;[[TCDeals] - [TC Property Current Stage (Seq: 1)] - [Buildings (Seq: 37)] PVC Applicable Percentage - Both]&gt;</t>
        </r>
      </text>
    </comment>
    <comment ref="H1240" authorId="0" shapeId="0" xr:uid="{59D94CBC-D910-4C03-8889-CF912CBD3A11}">
      <text>
        <r>
          <rPr>
            <b/>
            <sz val="9"/>
            <color indexed="81"/>
            <rFont val="Tahoma"/>
            <family val="2"/>
          </rPr>
          <t>&lt;[[TCDeals] - [TC Property Current Stage (Seq: 1)] - [Buildings (Seq: 37)] PVC Est Qual Basis - Both]&gt;</t>
        </r>
      </text>
    </comment>
    <comment ref="I1240" authorId="0" shapeId="0" xr:uid="{AA02F2CE-7BC2-4207-B52F-EF02CD731C17}">
      <text>
        <r>
          <rPr>
            <b/>
            <sz val="9"/>
            <color indexed="81"/>
            <rFont val="Tahoma"/>
            <family val="2"/>
          </rPr>
          <t>&lt;[[TCDeals] - [TC Property Current Stage (Seq: 1)] - [Buildings (Seq: 37)] PVC8609 Basis - Both]&gt;</t>
        </r>
      </text>
    </comment>
    <comment ref="J1240" authorId="0" shapeId="0" xr:uid="{A15CAB91-D96C-4CED-8FB1-FFEA3AE53351}">
      <text>
        <r>
          <rPr>
            <b/>
            <sz val="9"/>
            <color indexed="81"/>
            <rFont val="Tahoma"/>
            <family val="2"/>
          </rPr>
          <t>&lt;[[TCDeals] - [TC Property Current Stage (Seq: 1)] - [Buildings (Seq: 37)] PVC8609 Credit - Both]&gt;</t>
        </r>
      </text>
    </comment>
    <comment ref="K1240" authorId="0" shapeId="0" xr:uid="{BBE01E29-1E8C-4B01-82A7-50C0DAAB3D6F}">
      <text>
        <r>
          <rPr>
            <b/>
            <sz val="9"/>
            <color indexed="81"/>
            <rFont val="Tahoma"/>
            <family val="2"/>
          </rPr>
          <t>&lt;[[TCDeals] - [TC Property Current Stage (Seq: 1)] - [Buildings (Seq: 37)] Constr PIS Date - Both]&gt;</t>
        </r>
      </text>
    </comment>
    <comment ref="L1240" authorId="0" shapeId="0" xr:uid="{84B3EA6D-663F-46EF-8E1D-80B2C2B8ADE5}">
      <text>
        <r>
          <rPr>
            <b/>
            <sz val="9"/>
            <color indexed="81"/>
            <rFont val="Tahoma"/>
            <family val="2"/>
          </rPr>
          <t>&lt;[[TCDeals] - [TC Property Current Stage (Seq: 1)] - [Buildings (Seq: 37)] Constr Applicable Percentage - Both]&gt;</t>
        </r>
      </text>
    </comment>
    <comment ref="M1240" authorId="0" shapeId="0" xr:uid="{EE1D6B2E-5CEC-437E-BD8D-A0CC7684BBC4}">
      <text>
        <r>
          <rPr>
            <b/>
            <sz val="9"/>
            <color indexed="81"/>
            <rFont val="Tahoma"/>
            <family val="2"/>
          </rPr>
          <t>&lt;[[TCDeals] - [TC Property Current Stage (Seq: 1)] - [Buildings (Seq: 37)] Constr Est Qual Basis - Both]&gt;</t>
        </r>
      </text>
    </comment>
    <comment ref="N1240" authorId="0" shapeId="0" xr:uid="{A4D2A65A-7133-4618-A405-F7BDB6EF4702}">
      <text>
        <r>
          <rPr>
            <b/>
            <sz val="9"/>
            <color indexed="81"/>
            <rFont val="Tahoma"/>
            <family val="2"/>
          </rPr>
          <t>&lt;[[TCDeals] - [TC Property Current Stage (Seq: 1)] - [Buildings (Seq: 37)] Constr 8609 Basis - Both]&gt;</t>
        </r>
      </text>
    </comment>
    <comment ref="O1240" authorId="0" shapeId="0" xr:uid="{B68805FA-D734-4045-A43A-9A5CE8E4DC36}">
      <text>
        <r>
          <rPr>
            <b/>
            <sz val="9"/>
            <color indexed="81"/>
            <rFont val="Tahoma"/>
            <family val="2"/>
          </rPr>
          <t>&lt;[[TCDeals] - [TC Property Current Stage (Seq: 1)] - [Buildings (Seq: 37)] Constr 8609 Credit - Both]&gt;</t>
        </r>
      </text>
    </comment>
    <comment ref="P1240" authorId="0" shapeId="0" xr:uid="{1A16FD35-0BB5-461C-86E7-27B66BE16603}">
      <text>
        <r>
          <rPr>
            <b/>
            <sz val="9"/>
            <color indexed="81"/>
            <rFont val="Tahoma"/>
            <family val="2"/>
          </rPr>
          <t>&lt;[[TCDeals] - [TC Property Current Stage (Seq: 1)] - [Buildings (Seq: 37)] Acq PIS Date - Both]&gt;</t>
        </r>
      </text>
    </comment>
    <comment ref="Q1240" authorId="0" shapeId="0" xr:uid="{C2D65610-FF9C-47A1-BF56-618231999C7F}">
      <text>
        <r>
          <rPr>
            <b/>
            <sz val="9"/>
            <color indexed="81"/>
            <rFont val="Tahoma"/>
            <family val="2"/>
          </rPr>
          <t>&lt;[[TCDeals] - [TC Property Current Stage (Seq: 1)] - [Buildings (Seq: 37)] Acq Applicable Percentage - Both]&gt;</t>
        </r>
      </text>
    </comment>
    <comment ref="R1240" authorId="0" shapeId="0" xr:uid="{847DF51F-171E-4AF3-82FF-14EF1198AAEA}">
      <text>
        <r>
          <rPr>
            <b/>
            <sz val="9"/>
            <color indexed="81"/>
            <rFont val="Tahoma"/>
            <family val="2"/>
          </rPr>
          <t>&lt;[[TCDeals] - [TC Property Current Stage (Seq: 1)] - [Buildings (Seq: 37)] Acq Est Qual Basis - Both]&gt;</t>
        </r>
      </text>
    </comment>
    <comment ref="S1240" authorId="0" shapeId="0" xr:uid="{06C47240-11C7-4DB4-860B-AC9342580853}">
      <text>
        <r>
          <rPr>
            <b/>
            <sz val="9"/>
            <color indexed="81"/>
            <rFont val="Tahoma"/>
            <family val="2"/>
          </rPr>
          <t>&lt;[[TCDeals] - [TC Property Current Stage (Seq: 1)] - [Buildings (Seq: 37)] Acq 8609 Basis - Both]&gt;</t>
        </r>
      </text>
    </comment>
    <comment ref="T1240" authorId="0" shapeId="0" xr:uid="{BE02FD56-8E68-4ACF-AD4B-58E362290FBA}">
      <text>
        <r>
          <rPr>
            <b/>
            <sz val="9"/>
            <color indexed="81"/>
            <rFont val="Tahoma"/>
            <family val="2"/>
          </rPr>
          <t>&lt;[[TCDeals] - [TC Property Current Stage (Seq: 1)] - [Buildings (Seq: 37)] Acq 8609 Credit - Both]&gt;</t>
        </r>
      </text>
    </comment>
    <comment ref="C1241" authorId="0" shapeId="0" xr:uid="{B5B8F896-E174-4E95-91B1-ED8C7E38A271}">
      <text>
        <r>
          <rPr>
            <b/>
            <sz val="9"/>
            <color indexed="81"/>
            <rFont val="Tahoma"/>
            <family val="2"/>
          </rPr>
          <t>&lt;[[TCDeals] - [TC Property Current Stage (Seq: 1)] - [Buildings (Seq: 38)] BIN - Both]&gt;</t>
        </r>
      </text>
    </comment>
    <comment ref="D1241" authorId="0" shapeId="0" xr:uid="{E74C89D8-252C-47D8-A5C0-C6869E6E0DFC}">
      <text>
        <r>
          <rPr>
            <b/>
            <sz val="9"/>
            <color indexed="81"/>
            <rFont val="Tahoma"/>
            <family val="2"/>
          </rPr>
          <t>&lt;[[TCDeals] - [TC Property Current Stage (Seq: 1)] - [Buildings (Seq: 38)] Address 1 - Both]&gt;</t>
        </r>
      </text>
    </comment>
    <comment ref="E1241" authorId="0" shapeId="0" xr:uid="{D0FEBE19-0C3E-40A2-8CAE-BF947FAC8A68}">
      <text>
        <r>
          <rPr>
            <b/>
            <sz val="9"/>
            <color indexed="81"/>
            <rFont val="Tahoma"/>
            <family val="2"/>
          </rPr>
          <t>&lt;[[TCDeals] - [TC Property Current Stage (Seq: 1)] - [Buildings (Seq: 38)] Num TC Units - Both]&gt;</t>
        </r>
      </text>
    </comment>
    <comment ref="F1241" authorId="0" shapeId="0" xr:uid="{3A7A043B-38FA-4FED-A214-0674B4AAFCE3}">
      <text>
        <r>
          <rPr>
            <b/>
            <sz val="9"/>
            <color indexed="81"/>
            <rFont val="Tahoma"/>
            <family val="2"/>
          </rPr>
          <t>&lt;[[TCDeals] - [TC Property Current Stage (Seq: 1)] - [Buildings (Seq: 38)] PVC PIS Date - Both]&gt;</t>
        </r>
      </text>
    </comment>
    <comment ref="G1241" authorId="0" shapeId="0" xr:uid="{DEE225A8-3421-4619-9B40-7446DFFED8F3}">
      <text>
        <r>
          <rPr>
            <b/>
            <sz val="9"/>
            <color indexed="81"/>
            <rFont val="Tahoma"/>
            <family val="2"/>
          </rPr>
          <t>&lt;[[TCDeals] - [TC Property Current Stage (Seq: 1)] - [Buildings (Seq: 38)] PVC Applicable Percentage - Both]&gt;</t>
        </r>
      </text>
    </comment>
    <comment ref="H1241" authorId="0" shapeId="0" xr:uid="{AD9A2F6C-A20B-4B03-835F-602A4F8DFF9D}">
      <text>
        <r>
          <rPr>
            <b/>
            <sz val="9"/>
            <color indexed="81"/>
            <rFont val="Tahoma"/>
            <family val="2"/>
          </rPr>
          <t>&lt;[[TCDeals] - [TC Property Current Stage (Seq: 1)] - [Buildings (Seq: 38)] PVC Est Qual Basis - Both]&gt;</t>
        </r>
      </text>
    </comment>
    <comment ref="I1241" authorId="0" shapeId="0" xr:uid="{52AA211D-C477-43D6-8A8E-C6190C7E8E81}">
      <text>
        <r>
          <rPr>
            <b/>
            <sz val="9"/>
            <color indexed="81"/>
            <rFont val="Tahoma"/>
            <family val="2"/>
          </rPr>
          <t>&lt;[[TCDeals] - [TC Property Current Stage (Seq: 1)] - [Buildings (Seq: 38)] PVC8609 Basis - Both]&gt;</t>
        </r>
      </text>
    </comment>
    <comment ref="J1241" authorId="0" shapeId="0" xr:uid="{74B0215E-0F94-44EC-BF41-2CD017C0E08C}">
      <text>
        <r>
          <rPr>
            <b/>
            <sz val="9"/>
            <color indexed="81"/>
            <rFont val="Tahoma"/>
            <family val="2"/>
          </rPr>
          <t>&lt;[[TCDeals] - [TC Property Current Stage (Seq: 1)] - [Buildings (Seq: 38)] PVC8609 Credit - Both]&gt;</t>
        </r>
      </text>
    </comment>
    <comment ref="K1241" authorId="0" shapeId="0" xr:uid="{C4262977-8E9A-4DD2-A27C-B93B70EAB691}">
      <text>
        <r>
          <rPr>
            <b/>
            <sz val="9"/>
            <color indexed="81"/>
            <rFont val="Tahoma"/>
            <family val="2"/>
          </rPr>
          <t>&lt;[[TCDeals] - [TC Property Current Stage (Seq: 1)] - [Buildings (Seq: 38)] Constr PIS Date - Both]&gt;</t>
        </r>
      </text>
    </comment>
    <comment ref="L1241" authorId="0" shapeId="0" xr:uid="{0BD8C039-7691-4F4F-A82C-1387114FAD6E}">
      <text>
        <r>
          <rPr>
            <b/>
            <sz val="9"/>
            <color indexed="81"/>
            <rFont val="Tahoma"/>
            <family val="2"/>
          </rPr>
          <t>&lt;[[TCDeals] - [TC Property Current Stage (Seq: 1)] - [Buildings (Seq: 38)] Constr Applicable Percentage - Both]&gt;</t>
        </r>
      </text>
    </comment>
    <comment ref="M1241" authorId="0" shapeId="0" xr:uid="{77CB3E01-F90A-44D6-97DD-61895E63A1BC}">
      <text>
        <r>
          <rPr>
            <b/>
            <sz val="9"/>
            <color indexed="81"/>
            <rFont val="Tahoma"/>
            <family val="2"/>
          </rPr>
          <t>&lt;[[TCDeals] - [TC Property Current Stage (Seq: 1)] - [Buildings (Seq: 38)] Constr Est Qual Basis - Both]&gt;</t>
        </r>
      </text>
    </comment>
    <comment ref="N1241" authorId="0" shapeId="0" xr:uid="{FE44C96A-E0C7-435E-8394-44B0FCC77FF1}">
      <text>
        <r>
          <rPr>
            <b/>
            <sz val="9"/>
            <color indexed="81"/>
            <rFont val="Tahoma"/>
            <family val="2"/>
          </rPr>
          <t>&lt;[[TCDeals] - [TC Property Current Stage (Seq: 1)] - [Buildings (Seq: 38)] Constr 8609 Basis - Both]&gt;</t>
        </r>
      </text>
    </comment>
    <comment ref="O1241" authorId="0" shapeId="0" xr:uid="{9F5F7829-874F-484B-95AF-AF9A48CA7B4F}">
      <text>
        <r>
          <rPr>
            <b/>
            <sz val="9"/>
            <color indexed="81"/>
            <rFont val="Tahoma"/>
            <family val="2"/>
          </rPr>
          <t>&lt;[[TCDeals] - [TC Property Current Stage (Seq: 1)] - [Buildings (Seq: 38)] Constr 8609 Credit - Both]&gt;</t>
        </r>
      </text>
    </comment>
    <comment ref="P1241" authorId="0" shapeId="0" xr:uid="{ED1EC9B7-08F8-46F9-B213-03D980A1717F}">
      <text>
        <r>
          <rPr>
            <b/>
            <sz val="9"/>
            <color indexed="81"/>
            <rFont val="Tahoma"/>
            <family val="2"/>
          </rPr>
          <t>&lt;[[TCDeals] - [TC Property Current Stage (Seq: 1)] - [Buildings (Seq: 38)] Acq PIS Date - Both]&gt;</t>
        </r>
      </text>
    </comment>
    <comment ref="Q1241" authorId="0" shapeId="0" xr:uid="{63996A16-6255-401E-9C58-9AA168066ED2}">
      <text>
        <r>
          <rPr>
            <b/>
            <sz val="9"/>
            <color indexed="81"/>
            <rFont val="Tahoma"/>
            <family val="2"/>
          </rPr>
          <t>&lt;[[TCDeals] - [TC Property Current Stage (Seq: 1)] - [Buildings (Seq: 38)] Acq Applicable Percentage - Both]&gt;</t>
        </r>
      </text>
    </comment>
    <comment ref="R1241" authorId="0" shapeId="0" xr:uid="{8CB2E7B2-17B6-4E22-8A1A-F5B75C7DBE83}">
      <text>
        <r>
          <rPr>
            <b/>
            <sz val="9"/>
            <color indexed="81"/>
            <rFont val="Tahoma"/>
            <family val="2"/>
          </rPr>
          <t>&lt;[[TCDeals] - [TC Property Current Stage (Seq: 1)] - [Buildings (Seq: 38)] Acq Est Qual Basis - Both]&gt;</t>
        </r>
      </text>
    </comment>
    <comment ref="S1241" authorId="0" shapeId="0" xr:uid="{9D951CD3-F18C-44FB-9459-271DA3BEF582}">
      <text>
        <r>
          <rPr>
            <b/>
            <sz val="9"/>
            <color indexed="81"/>
            <rFont val="Tahoma"/>
            <family val="2"/>
          </rPr>
          <t>&lt;[[TCDeals] - [TC Property Current Stage (Seq: 1)] - [Buildings (Seq: 38)] Acq 8609 Basis - Both]&gt;</t>
        </r>
      </text>
    </comment>
    <comment ref="T1241" authorId="0" shapeId="0" xr:uid="{98AACF6F-B7B6-4B05-A2AC-7153ABA77BBD}">
      <text>
        <r>
          <rPr>
            <b/>
            <sz val="9"/>
            <color indexed="81"/>
            <rFont val="Tahoma"/>
            <family val="2"/>
          </rPr>
          <t>&lt;[[TCDeals] - [TC Property Current Stage (Seq: 1)] - [Buildings (Seq: 38)] Acq 8609 Credit - Both]&gt;</t>
        </r>
      </text>
    </comment>
    <comment ref="C1242" authorId="0" shapeId="0" xr:uid="{B148FF0E-FC27-43A5-9E6B-4D82F91CBA8B}">
      <text>
        <r>
          <rPr>
            <b/>
            <sz val="9"/>
            <color indexed="81"/>
            <rFont val="Tahoma"/>
            <family val="2"/>
          </rPr>
          <t>&lt;[[TCDeals] - [TC Property Current Stage (Seq: 1)] - [Buildings (Seq: 39)] BIN - Both]&gt;</t>
        </r>
      </text>
    </comment>
    <comment ref="D1242" authorId="0" shapeId="0" xr:uid="{C5E721CB-EF14-4F76-A7F6-34BA16C1F163}">
      <text>
        <r>
          <rPr>
            <b/>
            <sz val="9"/>
            <color indexed="81"/>
            <rFont val="Tahoma"/>
            <family val="2"/>
          </rPr>
          <t>&lt;[[TCDeals] - [TC Property Current Stage (Seq: 1)] - [Buildings (Seq: 39)] Address 1 - Both]&gt;</t>
        </r>
      </text>
    </comment>
    <comment ref="E1242" authorId="0" shapeId="0" xr:uid="{27ADE18A-FD67-48F2-8FAC-EAEA37A163A7}">
      <text>
        <r>
          <rPr>
            <b/>
            <sz val="9"/>
            <color indexed="81"/>
            <rFont val="Tahoma"/>
            <family val="2"/>
          </rPr>
          <t>&lt;[[TCDeals] - [TC Property Current Stage (Seq: 1)] - [Buildings (Seq: 39)] Num TC Units - Both]&gt;</t>
        </r>
      </text>
    </comment>
    <comment ref="F1242" authorId="0" shapeId="0" xr:uid="{3D0334A8-1564-4910-9430-00F9B06597DF}">
      <text>
        <r>
          <rPr>
            <b/>
            <sz val="9"/>
            <color indexed="81"/>
            <rFont val="Tahoma"/>
            <family val="2"/>
          </rPr>
          <t>&lt;[[TCDeals] - [TC Property Current Stage (Seq: 1)] - [Buildings (Seq: 39)] PVC PIS Date - Both]&gt;</t>
        </r>
      </text>
    </comment>
    <comment ref="G1242" authorId="0" shapeId="0" xr:uid="{FFEDC95F-9E84-4E2E-9202-1DEEB589D989}">
      <text>
        <r>
          <rPr>
            <b/>
            <sz val="9"/>
            <color indexed="81"/>
            <rFont val="Tahoma"/>
            <family val="2"/>
          </rPr>
          <t>&lt;[[TCDeals] - [TC Property Current Stage (Seq: 1)] - [Buildings (Seq: 39)] PVC Applicable Percentage - Both]&gt;</t>
        </r>
      </text>
    </comment>
    <comment ref="H1242" authorId="0" shapeId="0" xr:uid="{0F321493-355C-4882-B27E-63B02F8167FE}">
      <text>
        <r>
          <rPr>
            <b/>
            <sz val="9"/>
            <color indexed="81"/>
            <rFont val="Tahoma"/>
            <family val="2"/>
          </rPr>
          <t>&lt;[[TCDeals] - [TC Property Current Stage (Seq: 1)] - [Buildings (Seq: 39)] PVC Est Qual Basis - Both]&gt;</t>
        </r>
      </text>
    </comment>
    <comment ref="I1242" authorId="0" shapeId="0" xr:uid="{2261A7A4-6BE6-4E2F-8875-4EDBD2707E35}">
      <text>
        <r>
          <rPr>
            <b/>
            <sz val="9"/>
            <color indexed="81"/>
            <rFont val="Tahoma"/>
            <family val="2"/>
          </rPr>
          <t>&lt;[[TCDeals] - [TC Property Current Stage (Seq: 1)] - [Buildings (Seq: 39)] PVC8609 Basis - Both]&gt;</t>
        </r>
      </text>
    </comment>
    <comment ref="J1242" authorId="0" shapeId="0" xr:uid="{01390016-6805-4856-B1E6-44D64DDC9A0E}">
      <text>
        <r>
          <rPr>
            <b/>
            <sz val="9"/>
            <color indexed="81"/>
            <rFont val="Tahoma"/>
            <family val="2"/>
          </rPr>
          <t>&lt;[[TCDeals] - [TC Property Current Stage (Seq: 1)] - [Buildings (Seq: 39)] PVC8609 Credit - Both]&gt;</t>
        </r>
      </text>
    </comment>
    <comment ref="K1242" authorId="0" shapeId="0" xr:uid="{2D017336-8A3F-4968-A970-6934290DDEA3}">
      <text>
        <r>
          <rPr>
            <b/>
            <sz val="9"/>
            <color indexed="81"/>
            <rFont val="Tahoma"/>
            <family val="2"/>
          </rPr>
          <t>&lt;[[TCDeals] - [TC Property Current Stage (Seq: 1)] - [Buildings (Seq: 39)] Constr PIS Date - Both]&gt;</t>
        </r>
      </text>
    </comment>
    <comment ref="L1242" authorId="0" shapeId="0" xr:uid="{59D3659C-3772-4046-A67C-2310475A318D}">
      <text>
        <r>
          <rPr>
            <b/>
            <sz val="9"/>
            <color indexed="81"/>
            <rFont val="Tahoma"/>
            <family val="2"/>
          </rPr>
          <t>&lt;[[TCDeals] - [TC Property Current Stage (Seq: 1)] - [Buildings (Seq: 39)] Constr Applicable Percentage - Both]&gt;</t>
        </r>
      </text>
    </comment>
    <comment ref="M1242" authorId="0" shapeId="0" xr:uid="{3E648204-DCCC-4917-B0BA-3A684FF88A85}">
      <text>
        <r>
          <rPr>
            <b/>
            <sz val="9"/>
            <color indexed="81"/>
            <rFont val="Tahoma"/>
            <family val="2"/>
          </rPr>
          <t>&lt;[[TCDeals] - [TC Property Current Stage (Seq: 1)] - [Buildings (Seq: 39)] Constr Est Qual Basis - Both]&gt;</t>
        </r>
      </text>
    </comment>
    <comment ref="N1242" authorId="0" shapeId="0" xr:uid="{6ED98C68-EB79-4ABE-8A47-6EE14633235F}">
      <text>
        <r>
          <rPr>
            <b/>
            <sz val="9"/>
            <color indexed="81"/>
            <rFont val="Tahoma"/>
            <family val="2"/>
          </rPr>
          <t>&lt;[[TCDeals] - [TC Property Current Stage (Seq: 1)] - [Buildings (Seq: 39)] Constr 8609 Basis - Both]&gt;</t>
        </r>
      </text>
    </comment>
    <comment ref="O1242" authorId="0" shapeId="0" xr:uid="{2FCF0BAD-EF4C-4CDC-8F21-F78005847E3B}">
      <text>
        <r>
          <rPr>
            <b/>
            <sz val="9"/>
            <color indexed="81"/>
            <rFont val="Tahoma"/>
            <family val="2"/>
          </rPr>
          <t>&lt;[[TCDeals] - [TC Property Current Stage (Seq: 1)] - [Buildings (Seq: 39)] Constr 8609 Credit - Both]&gt;</t>
        </r>
      </text>
    </comment>
    <comment ref="P1242" authorId="0" shapeId="0" xr:uid="{538E7B46-8D47-4003-BFBF-627E488995A8}">
      <text>
        <r>
          <rPr>
            <b/>
            <sz val="9"/>
            <color indexed="81"/>
            <rFont val="Tahoma"/>
            <family val="2"/>
          </rPr>
          <t>&lt;[[TCDeals] - [TC Property Current Stage (Seq: 1)] - [Buildings (Seq: 39)] Acq PIS Date - Both]&gt;</t>
        </r>
      </text>
    </comment>
    <comment ref="Q1242" authorId="0" shapeId="0" xr:uid="{B235FAEF-49F4-4326-93B3-CDA7E7B7F3AB}">
      <text>
        <r>
          <rPr>
            <b/>
            <sz val="9"/>
            <color indexed="81"/>
            <rFont val="Tahoma"/>
            <family val="2"/>
          </rPr>
          <t>&lt;[[TCDeals] - [TC Property Current Stage (Seq: 1)] - [Buildings (Seq: 39)] Acq Applicable Percentage - Both]&gt;</t>
        </r>
      </text>
    </comment>
    <comment ref="R1242" authorId="0" shapeId="0" xr:uid="{E2ABD4CB-98C4-413E-9D45-20C4AE583CD7}">
      <text>
        <r>
          <rPr>
            <b/>
            <sz val="9"/>
            <color indexed="81"/>
            <rFont val="Tahoma"/>
            <family val="2"/>
          </rPr>
          <t>&lt;[[TCDeals] - [TC Property Current Stage (Seq: 1)] - [Buildings (Seq: 39)] Acq Est Qual Basis - Both]&gt;</t>
        </r>
      </text>
    </comment>
    <comment ref="S1242" authorId="0" shapeId="0" xr:uid="{77E931E5-F5C7-4C9D-96A1-2AD53D0AC83B}">
      <text>
        <r>
          <rPr>
            <b/>
            <sz val="9"/>
            <color indexed="81"/>
            <rFont val="Tahoma"/>
            <family val="2"/>
          </rPr>
          <t>&lt;[[TCDeals] - [TC Property Current Stage (Seq: 1)] - [Buildings (Seq: 39)] Acq 8609 Basis - Both]&gt;</t>
        </r>
      </text>
    </comment>
    <comment ref="T1242" authorId="0" shapeId="0" xr:uid="{3E50D1B1-F6C0-4E3F-9965-37A6CAECCD89}">
      <text>
        <r>
          <rPr>
            <b/>
            <sz val="9"/>
            <color indexed="81"/>
            <rFont val="Tahoma"/>
            <family val="2"/>
          </rPr>
          <t>&lt;[[TCDeals] - [TC Property Current Stage (Seq: 1)] - [Buildings (Seq: 39)] Acq 8609 Credit - Both]&gt;</t>
        </r>
      </text>
    </comment>
    <comment ref="C1243" authorId="0" shapeId="0" xr:uid="{E5E9DD24-FB13-427B-9208-20CB97D85D74}">
      <text>
        <r>
          <rPr>
            <b/>
            <sz val="9"/>
            <color indexed="81"/>
            <rFont val="Tahoma"/>
            <family val="2"/>
          </rPr>
          <t>&lt;[[TCDeals] - [TC Property Current Stage (Seq: 1)] - [Buildings (Seq: 40)] BIN - Both]&gt;</t>
        </r>
      </text>
    </comment>
    <comment ref="D1243" authorId="0" shapeId="0" xr:uid="{061895DA-844F-4231-8598-BA6DF1B0B427}">
      <text>
        <r>
          <rPr>
            <b/>
            <sz val="9"/>
            <color indexed="81"/>
            <rFont val="Tahoma"/>
            <family val="2"/>
          </rPr>
          <t>&lt;[[TCDeals] - [TC Property Current Stage (Seq: 1)] - [Buildings (Seq: 40)] Address 1 - Both]&gt;</t>
        </r>
      </text>
    </comment>
    <comment ref="E1243" authorId="0" shapeId="0" xr:uid="{681D1B6B-807E-4AFC-8DEF-2E4D640DA0EC}">
      <text>
        <r>
          <rPr>
            <b/>
            <sz val="9"/>
            <color indexed="81"/>
            <rFont val="Tahoma"/>
            <family val="2"/>
          </rPr>
          <t>&lt;[[TCDeals] - [TC Property Current Stage (Seq: 1)] - [Buildings (Seq: 40)] Num TC Units - Both]&gt;</t>
        </r>
      </text>
    </comment>
    <comment ref="F1243" authorId="0" shapeId="0" xr:uid="{0A7E3F49-00C0-428B-BD28-3238A837D7A3}">
      <text>
        <r>
          <rPr>
            <b/>
            <sz val="9"/>
            <color indexed="81"/>
            <rFont val="Tahoma"/>
            <family val="2"/>
          </rPr>
          <t>&lt;[[TCDeals] - [TC Property Current Stage (Seq: 1)] - [Buildings (Seq: 40)] PVC PIS Date - Both]&gt;</t>
        </r>
      </text>
    </comment>
    <comment ref="G1243" authorId="0" shapeId="0" xr:uid="{9E9327B7-02AE-4F13-9868-1DC6BBC59A97}">
      <text>
        <r>
          <rPr>
            <b/>
            <sz val="9"/>
            <color indexed="81"/>
            <rFont val="Tahoma"/>
            <family val="2"/>
          </rPr>
          <t>&lt;[[TCDeals] - [TC Property Current Stage (Seq: 1)] - [Buildings (Seq: 40)] PVC Applicable Percentage - Both]&gt;</t>
        </r>
      </text>
    </comment>
    <comment ref="H1243" authorId="0" shapeId="0" xr:uid="{F0DCBB23-5EDA-4D33-9369-6FDBD82277F4}">
      <text>
        <r>
          <rPr>
            <b/>
            <sz val="9"/>
            <color indexed="81"/>
            <rFont val="Tahoma"/>
            <family val="2"/>
          </rPr>
          <t>&lt;[[TCDeals] - [TC Property Current Stage (Seq: 1)] - [Buildings (Seq: 40)] PVC Est Qual Basis - Both]&gt;</t>
        </r>
      </text>
    </comment>
    <comment ref="I1243" authorId="0" shapeId="0" xr:uid="{51D9EB79-448D-475F-BC1C-F11308C7AFF9}">
      <text>
        <r>
          <rPr>
            <b/>
            <sz val="9"/>
            <color indexed="81"/>
            <rFont val="Tahoma"/>
            <family val="2"/>
          </rPr>
          <t>&lt;[[TCDeals] - [TC Property Current Stage (Seq: 1)] - [Buildings (Seq: 40)] PVC8609 Basis - Both]&gt;</t>
        </r>
      </text>
    </comment>
    <comment ref="J1243" authorId="0" shapeId="0" xr:uid="{7F5BA488-15B2-4E3B-8D72-7AEA5D371703}">
      <text>
        <r>
          <rPr>
            <b/>
            <sz val="9"/>
            <color indexed="81"/>
            <rFont val="Tahoma"/>
            <family val="2"/>
          </rPr>
          <t>&lt;[[TCDeals] - [TC Property Current Stage (Seq: 1)] - [Buildings (Seq: 40)] PVC8609 Credit - Both]&gt;</t>
        </r>
      </text>
    </comment>
    <comment ref="K1243" authorId="0" shapeId="0" xr:uid="{67E03592-4B0C-4C8B-809E-537DD03147C7}">
      <text>
        <r>
          <rPr>
            <b/>
            <sz val="9"/>
            <color indexed="81"/>
            <rFont val="Tahoma"/>
            <family val="2"/>
          </rPr>
          <t>&lt;[[TCDeals] - [TC Property Current Stage (Seq: 1)] - [Buildings (Seq: 40)] Constr PIS Date - Both]&gt;</t>
        </r>
      </text>
    </comment>
    <comment ref="L1243" authorId="0" shapeId="0" xr:uid="{22722B72-9EA3-4181-AE97-01CD9057891E}">
      <text>
        <r>
          <rPr>
            <b/>
            <sz val="9"/>
            <color indexed="81"/>
            <rFont val="Tahoma"/>
            <family val="2"/>
          </rPr>
          <t>&lt;[[TCDeals] - [TC Property Current Stage (Seq: 1)] - [Buildings (Seq: 40)] Constr Applicable Percentage - Both]&gt;</t>
        </r>
      </text>
    </comment>
    <comment ref="M1243" authorId="0" shapeId="0" xr:uid="{5CDEDB82-8B0A-4F48-9C8F-CB6E91D9425B}">
      <text>
        <r>
          <rPr>
            <b/>
            <sz val="9"/>
            <color indexed="81"/>
            <rFont val="Tahoma"/>
            <family val="2"/>
          </rPr>
          <t>&lt;[[TCDeals] - [TC Property Current Stage (Seq: 1)] - [Buildings (Seq: 40)] Constr Est Qual Basis - Both]&gt;</t>
        </r>
      </text>
    </comment>
    <comment ref="N1243" authorId="0" shapeId="0" xr:uid="{0F0A0463-46AA-42A3-8D24-D41EAD007DCF}">
      <text>
        <r>
          <rPr>
            <b/>
            <sz val="9"/>
            <color indexed="81"/>
            <rFont val="Tahoma"/>
            <family val="2"/>
          </rPr>
          <t>&lt;[[TCDeals] - [TC Property Current Stage (Seq: 1)] - [Buildings (Seq: 40)] Constr 8609 Basis - Both]&gt;</t>
        </r>
      </text>
    </comment>
    <comment ref="O1243" authorId="0" shapeId="0" xr:uid="{64A72410-FFB4-475E-AB26-AED0C252FEEA}">
      <text>
        <r>
          <rPr>
            <b/>
            <sz val="9"/>
            <color indexed="81"/>
            <rFont val="Tahoma"/>
            <family val="2"/>
          </rPr>
          <t>&lt;[[TCDeals] - [TC Property Current Stage (Seq: 1)] - [Buildings (Seq: 40)] Constr 8609 Credit - Both]&gt;</t>
        </r>
      </text>
    </comment>
    <comment ref="P1243" authorId="0" shapeId="0" xr:uid="{4BD862FB-9576-422E-A6B0-DE0D3A8BD6BA}">
      <text>
        <r>
          <rPr>
            <b/>
            <sz val="9"/>
            <color indexed="81"/>
            <rFont val="Tahoma"/>
            <family val="2"/>
          </rPr>
          <t>&lt;[[TCDeals] - [TC Property Current Stage (Seq: 1)] - [Buildings (Seq: 40)] Acq PIS Date - Both]&gt;</t>
        </r>
      </text>
    </comment>
    <comment ref="Q1243" authorId="0" shapeId="0" xr:uid="{1A7D48D4-9600-4F6C-AAA6-34826E22D4D6}">
      <text>
        <r>
          <rPr>
            <b/>
            <sz val="9"/>
            <color indexed="81"/>
            <rFont val="Tahoma"/>
            <family val="2"/>
          </rPr>
          <t>&lt;[[TCDeals] - [TC Property Current Stage (Seq: 1)] - [Buildings (Seq: 40)] Acq Applicable Percentage - Both]&gt;</t>
        </r>
      </text>
    </comment>
    <comment ref="R1243" authorId="0" shapeId="0" xr:uid="{080F2455-FE11-4B2C-AF8C-DAAE5B3F3CA1}">
      <text>
        <r>
          <rPr>
            <b/>
            <sz val="9"/>
            <color indexed="81"/>
            <rFont val="Tahoma"/>
            <family val="2"/>
          </rPr>
          <t>&lt;[[TCDeals] - [TC Property Current Stage (Seq: 1)] - [Buildings (Seq: 40)] Acq Est Qual Basis - Both]&gt;</t>
        </r>
      </text>
    </comment>
    <comment ref="S1243" authorId="0" shapeId="0" xr:uid="{4856221B-BF39-4564-8B22-63C1D953A6DF}">
      <text>
        <r>
          <rPr>
            <b/>
            <sz val="9"/>
            <color indexed="81"/>
            <rFont val="Tahoma"/>
            <family val="2"/>
          </rPr>
          <t>&lt;[[TCDeals] - [TC Property Current Stage (Seq: 1)] - [Buildings (Seq: 40)] Acq 8609 Basis - Both]&gt;</t>
        </r>
      </text>
    </comment>
    <comment ref="T1243" authorId="0" shapeId="0" xr:uid="{CD29EB53-9117-44BC-8BB7-4B3AEA2556C9}">
      <text>
        <r>
          <rPr>
            <b/>
            <sz val="9"/>
            <color indexed="81"/>
            <rFont val="Tahoma"/>
            <family val="2"/>
          </rPr>
          <t>&lt;[[TCDeals] - [TC Property Current Stage (Seq: 1)] - [Buildings (Seq: 40)] Acq 8609 Credit - Both]&gt;</t>
        </r>
      </text>
    </comment>
    <comment ref="C1244" authorId="0" shapeId="0" xr:uid="{80462628-A2CF-412E-9605-F8BF1AF6A8DB}">
      <text>
        <r>
          <rPr>
            <b/>
            <sz val="9"/>
            <color indexed="81"/>
            <rFont val="Tahoma"/>
            <family val="2"/>
          </rPr>
          <t>&lt;[[TCDeals] - [TC Property Current Stage (Seq: 1)] - [Buildings (Seq: 41)] BIN - Both]&gt;</t>
        </r>
      </text>
    </comment>
    <comment ref="D1244" authorId="0" shapeId="0" xr:uid="{D09E28D1-8806-43BE-B603-DF04E4FA8787}">
      <text>
        <r>
          <rPr>
            <b/>
            <sz val="9"/>
            <color indexed="81"/>
            <rFont val="Tahoma"/>
            <family val="2"/>
          </rPr>
          <t>&lt;[[TCDeals] - [TC Property Current Stage (Seq: 1)] - [Buildings (Seq: 41)] Address 1 - Both]&gt;</t>
        </r>
      </text>
    </comment>
    <comment ref="E1244" authorId="0" shapeId="0" xr:uid="{D7E598DD-BA08-41E6-A43D-528F065D9AD5}">
      <text>
        <r>
          <rPr>
            <b/>
            <sz val="9"/>
            <color indexed="81"/>
            <rFont val="Tahoma"/>
            <family val="2"/>
          </rPr>
          <t>&lt;[[TCDeals] - [TC Property Current Stage (Seq: 1)] - [Buildings (Seq: 41)] Num TC Units - Both]&gt;</t>
        </r>
      </text>
    </comment>
    <comment ref="F1244" authorId="0" shapeId="0" xr:uid="{F6EBF482-43A7-4C27-B5BA-FEDFD44D89AD}">
      <text>
        <r>
          <rPr>
            <b/>
            <sz val="9"/>
            <color indexed="81"/>
            <rFont val="Tahoma"/>
            <family val="2"/>
          </rPr>
          <t>&lt;[[TCDeals] - [TC Property Current Stage (Seq: 1)] - [Buildings (Seq: 41)] PVC PIS Date - Both]&gt;</t>
        </r>
      </text>
    </comment>
    <comment ref="G1244" authorId="0" shapeId="0" xr:uid="{9895F381-54A4-44E7-8A60-7A7929CBAB80}">
      <text>
        <r>
          <rPr>
            <b/>
            <sz val="9"/>
            <color indexed="81"/>
            <rFont val="Tahoma"/>
            <family val="2"/>
          </rPr>
          <t>&lt;[[TCDeals] - [TC Property Current Stage (Seq: 1)] - [Buildings (Seq: 41)] PVC Applicable Percentage - Both]&gt;</t>
        </r>
      </text>
    </comment>
    <comment ref="H1244" authorId="0" shapeId="0" xr:uid="{355FF483-81AF-44C1-8629-362FC1873E5C}">
      <text>
        <r>
          <rPr>
            <b/>
            <sz val="9"/>
            <color indexed="81"/>
            <rFont val="Tahoma"/>
            <family val="2"/>
          </rPr>
          <t>&lt;[[TCDeals] - [TC Property Current Stage (Seq: 1)] - [Buildings (Seq: 41)] PVC Est Qual Basis - Both]&gt;</t>
        </r>
      </text>
    </comment>
    <comment ref="I1244" authorId="0" shapeId="0" xr:uid="{3BCF449E-8006-42BB-8D52-42B1B71B2AC8}">
      <text>
        <r>
          <rPr>
            <b/>
            <sz val="9"/>
            <color indexed="81"/>
            <rFont val="Tahoma"/>
            <family val="2"/>
          </rPr>
          <t>&lt;[[TCDeals] - [TC Property Current Stage (Seq: 1)] - [Buildings (Seq: 41)] PVC8609 Basis - Both]&gt;</t>
        </r>
      </text>
    </comment>
    <comment ref="J1244" authorId="0" shapeId="0" xr:uid="{0F35BB67-BDD8-4A09-8339-31C4889AAB92}">
      <text>
        <r>
          <rPr>
            <b/>
            <sz val="9"/>
            <color indexed="81"/>
            <rFont val="Tahoma"/>
            <family val="2"/>
          </rPr>
          <t>&lt;[[TCDeals] - [TC Property Current Stage (Seq: 1)] - [Buildings (Seq: 41)] PVC8609 Credit - Both]&gt;</t>
        </r>
      </text>
    </comment>
    <comment ref="K1244" authorId="0" shapeId="0" xr:uid="{BFEB2C14-A965-4518-8E12-E4B5E520C949}">
      <text>
        <r>
          <rPr>
            <b/>
            <sz val="9"/>
            <color indexed="81"/>
            <rFont val="Tahoma"/>
            <family val="2"/>
          </rPr>
          <t>&lt;[[TCDeals] - [TC Property Current Stage (Seq: 1)] - [Buildings (Seq: 41)] Constr PIS Date - Both]&gt;</t>
        </r>
      </text>
    </comment>
    <comment ref="L1244" authorId="0" shapeId="0" xr:uid="{B022D722-6CB5-4BC5-A6A6-9567E9D0268E}">
      <text>
        <r>
          <rPr>
            <b/>
            <sz val="9"/>
            <color indexed="81"/>
            <rFont val="Tahoma"/>
            <family val="2"/>
          </rPr>
          <t>&lt;[[TCDeals] - [TC Property Current Stage (Seq: 1)] - [Buildings (Seq: 41)] Constr Applicable Percentage - Both]&gt;</t>
        </r>
      </text>
    </comment>
    <comment ref="M1244" authorId="0" shapeId="0" xr:uid="{1C607622-4826-4BC7-AD20-F89025E263A2}">
      <text>
        <r>
          <rPr>
            <b/>
            <sz val="9"/>
            <color indexed="81"/>
            <rFont val="Tahoma"/>
            <family val="2"/>
          </rPr>
          <t>&lt;[[TCDeals] - [TC Property Current Stage (Seq: 1)] - [Buildings (Seq: 41)] Constr Est Qual Basis - Both]&gt;</t>
        </r>
      </text>
    </comment>
    <comment ref="N1244" authorId="0" shapeId="0" xr:uid="{0264AA07-5AC6-454F-A06A-EBD83B291AC0}">
      <text>
        <r>
          <rPr>
            <b/>
            <sz val="9"/>
            <color indexed="81"/>
            <rFont val="Tahoma"/>
            <family val="2"/>
          </rPr>
          <t>&lt;[[TCDeals] - [TC Property Current Stage (Seq: 1)] - [Buildings (Seq: 41)] Constr 8609 Basis - Both]&gt;</t>
        </r>
      </text>
    </comment>
    <comment ref="O1244" authorId="0" shapeId="0" xr:uid="{BCA75BD5-EA4D-4CD7-87AE-6C59B1590217}">
      <text>
        <r>
          <rPr>
            <b/>
            <sz val="9"/>
            <color indexed="81"/>
            <rFont val="Tahoma"/>
            <family val="2"/>
          </rPr>
          <t>&lt;[[TCDeals] - [TC Property Current Stage (Seq: 1)] - [Buildings (Seq: 41)] Constr 8609 Credit - Both]&gt;</t>
        </r>
      </text>
    </comment>
    <comment ref="P1244" authorId="0" shapeId="0" xr:uid="{E3B826B0-4F91-43A5-ABF7-43FFF34681C2}">
      <text>
        <r>
          <rPr>
            <b/>
            <sz val="9"/>
            <color indexed="81"/>
            <rFont val="Tahoma"/>
            <family val="2"/>
          </rPr>
          <t>&lt;[[TCDeals] - [TC Property Current Stage (Seq: 1)] - [Buildings (Seq: 41)] Acq PIS Date - Both]&gt;</t>
        </r>
      </text>
    </comment>
    <comment ref="Q1244" authorId="0" shapeId="0" xr:uid="{CC2A3BFE-B405-4D21-88BB-CD1708F1F592}">
      <text>
        <r>
          <rPr>
            <b/>
            <sz val="9"/>
            <color indexed="81"/>
            <rFont val="Tahoma"/>
            <family val="2"/>
          </rPr>
          <t>&lt;[[TCDeals] - [TC Property Current Stage (Seq: 1)] - [Buildings (Seq: 41)] Acq Applicable Percentage - Both]&gt;</t>
        </r>
      </text>
    </comment>
    <comment ref="R1244" authorId="0" shapeId="0" xr:uid="{8AB0CEE7-F870-4A56-BE30-4AE59C3EB285}">
      <text>
        <r>
          <rPr>
            <b/>
            <sz val="9"/>
            <color indexed="81"/>
            <rFont val="Tahoma"/>
            <family val="2"/>
          </rPr>
          <t>&lt;[[TCDeals] - [TC Property Current Stage (Seq: 1)] - [Buildings (Seq: 41)] Acq Est Qual Basis - Both]&gt;</t>
        </r>
      </text>
    </comment>
    <comment ref="S1244" authorId="0" shapeId="0" xr:uid="{3A69F1F4-0273-45C6-B317-E76F9B8C089E}">
      <text>
        <r>
          <rPr>
            <b/>
            <sz val="9"/>
            <color indexed="81"/>
            <rFont val="Tahoma"/>
            <family val="2"/>
          </rPr>
          <t>&lt;[[TCDeals] - [TC Property Current Stage (Seq: 1)] - [Buildings (Seq: 41)] Acq 8609 Basis - Both]&gt;</t>
        </r>
      </text>
    </comment>
    <comment ref="T1244" authorId="0" shapeId="0" xr:uid="{4FE170A5-DC01-4F40-805F-150BB65F859A}">
      <text>
        <r>
          <rPr>
            <b/>
            <sz val="9"/>
            <color indexed="81"/>
            <rFont val="Tahoma"/>
            <family val="2"/>
          </rPr>
          <t>&lt;[[TCDeals] - [TC Property Current Stage (Seq: 1)] - [Buildings (Seq: 41)] Acq 8609 Credit - Both]&gt;</t>
        </r>
      </text>
    </comment>
    <comment ref="C1245" authorId="0" shapeId="0" xr:uid="{E3F96AF9-D38F-4A1F-97F3-F3863D2DA5CA}">
      <text>
        <r>
          <rPr>
            <b/>
            <sz val="9"/>
            <color indexed="81"/>
            <rFont val="Tahoma"/>
            <family val="2"/>
          </rPr>
          <t>&lt;[[TCDeals] - [TC Property Current Stage (Seq: 1)] - [Buildings (Seq: 42)] BIN - Both]&gt;</t>
        </r>
      </text>
    </comment>
    <comment ref="D1245" authorId="0" shapeId="0" xr:uid="{A0976F86-5417-40AD-9299-551223DB66A7}">
      <text>
        <r>
          <rPr>
            <b/>
            <sz val="9"/>
            <color indexed="81"/>
            <rFont val="Tahoma"/>
            <family val="2"/>
          </rPr>
          <t>&lt;[[TCDeals] - [TC Property Current Stage (Seq: 1)] - [Buildings (Seq: 42)] Address 1 - Both]&gt;</t>
        </r>
      </text>
    </comment>
    <comment ref="E1245" authorId="0" shapeId="0" xr:uid="{DBBAD12E-3018-4357-9AB7-C49B3DE5D097}">
      <text>
        <r>
          <rPr>
            <b/>
            <sz val="9"/>
            <color indexed="81"/>
            <rFont val="Tahoma"/>
            <family val="2"/>
          </rPr>
          <t>&lt;[[TCDeals] - [TC Property Current Stage (Seq: 1)] - [Buildings (Seq: 42)] Num TC Units - Both]&gt;</t>
        </r>
      </text>
    </comment>
    <comment ref="F1245" authorId="0" shapeId="0" xr:uid="{827EFF57-7767-4B02-B76A-4FBA34576ADD}">
      <text>
        <r>
          <rPr>
            <b/>
            <sz val="9"/>
            <color indexed="81"/>
            <rFont val="Tahoma"/>
            <family val="2"/>
          </rPr>
          <t>&lt;[[TCDeals] - [TC Property Current Stage (Seq: 1)] - [Buildings (Seq: 42)] PVC PIS Date - Both]&gt;</t>
        </r>
      </text>
    </comment>
    <comment ref="G1245" authorId="0" shapeId="0" xr:uid="{A539B405-4907-48FF-8A0E-D4601AD1C1D5}">
      <text>
        <r>
          <rPr>
            <b/>
            <sz val="9"/>
            <color indexed="81"/>
            <rFont val="Tahoma"/>
            <family val="2"/>
          </rPr>
          <t>&lt;[[TCDeals] - [TC Property Current Stage (Seq: 1)] - [Buildings (Seq: 42)] PVC Applicable Percentage - Both]&gt;</t>
        </r>
      </text>
    </comment>
    <comment ref="H1245" authorId="0" shapeId="0" xr:uid="{16B4F818-60F2-4CB8-8F2C-61292F7C6B83}">
      <text>
        <r>
          <rPr>
            <b/>
            <sz val="9"/>
            <color indexed="81"/>
            <rFont val="Tahoma"/>
            <family val="2"/>
          </rPr>
          <t>&lt;[[TCDeals] - [TC Property Current Stage (Seq: 1)] - [Buildings (Seq: 42)] PVC Est Qual Basis - Both]&gt;</t>
        </r>
      </text>
    </comment>
    <comment ref="I1245" authorId="0" shapeId="0" xr:uid="{2D643F96-D159-4BC2-9DE6-DFFBEDCBB903}">
      <text>
        <r>
          <rPr>
            <b/>
            <sz val="9"/>
            <color indexed="81"/>
            <rFont val="Tahoma"/>
            <family val="2"/>
          </rPr>
          <t>&lt;[[TCDeals] - [TC Property Current Stage (Seq: 1)] - [Buildings (Seq: 42)] PVC8609 Basis - Both]&gt;</t>
        </r>
      </text>
    </comment>
    <comment ref="J1245" authorId="0" shapeId="0" xr:uid="{28E60FC6-C8C7-47AD-8295-275BB6DB8AD4}">
      <text>
        <r>
          <rPr>
            <b/>
            <sz val="9"/>
            <color indexed="81"/>
            <rFont val="Tahoma"/>
            <family val="2"/>
          </rPr>
          <t>&lt;[[TCDeals] - [TC Property Current Stage (Seq: 1)] - [Buildings (Seq: 42)] PVC8609 Credit - Both]&gt;</t>
        </r>
      </text>
    </comment>
    <comment ref="K1245" authorId="0" shapeId="0" xr:uid="{D0E8115F-886E-4B2F-B882-B7336A81CB66}">
      <text>
        <r>
          <rPr>
            <b/>
            <sz val="9"/>
            <color indexed="81"/>
            <rFont val="Tahoma"/>
            <family val="2"/>
          </rPr>
          <t>&lt;[[TCDeals] - [TC Property Current Stage (Seq: 1)] - [Buildings (Seq: 42)] Constr PIS Date - Both]&gt;</t>
        </r>
      </text>
    </comment>
    <comment ref="L1245" authorId="0" shapeId="0" xr:uid="{4D00FFD0-2DEB-4C85-B6AB-ECEF9237E219}">
      <text>
        <r>
          <rPr>
            <b/>
            <sz val="9"/>
            <color indexed="81"/>
            <rFont val="Tahoma"/>
            <family val="2"/>
          </rPr>
          <t>&lt;[[TCDeals] - [TC Property Current Stage (Seq: 1)] - [Buildings (Seq: 42)] Constr Applicable Percentage - Both]&gt;</t>
        </r>
      </text>
    </comment>
    <comment ref="M1245" authorId="0" shapeId="0" xr:uid="{75821250-B0DF-44AB-B158-F43910B4E31C}">
      <text>
        <r>
          <rPr>
            <b/>
            <sz val="9"/>
            <color indexed="81"/>
            <rFont val="Tahoma"/>
            <family val="2"/>
          </rPr>
          <t>&lt;[[TCDeals] - [TC Property Current Stage (Seq: 1)] - [Buildings (Seq: 42)] Constr Est Qual Basis - Both]&gt;</t>
        </r>
      </text>
    </comment>
    <comment ref="N1245" authorId="0" shapeId="0" xr:uid="{51FF8AC6-0254-46DA-9128-E9FC30401324}">
      <text>
        <r>
          <rPr>
            <b/>
            <sz val="9"/>
            <color indexed="81"/>
            <rFont val="Tahoma"/>
            <family val="2"/>
          </rPr>
          <t>&lt;[[TCDeals] - [TC Property Current Stage (Seq: 1)] - [Buildings (Seq: 42)] Constr 8609 Basis - Both]&gt;</t>
        </r>
      </text>
    </comment>
    <comment ref="O1245" authorId="0" shapeId="0" xr:uid="{BEAB2BCD-6094-4FB2-8168-EF693D5F8F30}">
      <text>
        <r>
          <rPr>
            <b/>
            <sz val="9"/>
            <color indexed="81"/>
            <rFont val="Tahoma"/>
            <family val="2"/>
          </rPr>
          <t>&lt;[[TCDeals] - [TC Property Current Stage (Seq: 1)] - [Buildings (Seq: 42)] Constr 8609 Credit - Both]&gt;</t>
        </r>
      </text>
    </comment>
    <comment ref="P1245" authorId="0" shapeId="0" xr:uid="{D1934FDA-3C26-426D-AE8C-01ABEDCB7758}">
      <text>
        <r>
          <rPr>
            <b/>
            <sz val="9"/>
            <color indexed="81"/>
            <rFont val="Tahoma"/>
            <family val="2"/>
          </rPr>
          <t>&lt;[[TCDeals] - [TC Property Current Stage (Seq: 1)] - [Buildings (Seq: 42)] Acq PIS Date - Both]&gt;</t>
        </r>
      </text>
    </comment>
    <comment ref="Q1245" authorId="0" shapeId="0" xr:uid="{2575726A-60B0-4F3E-AB04-C120ACADE627}">
      <text>
        <r>
          <rPr>
            <b/>
            <sz val="9"/>
            <color indexed="81"/>
            <rFont val="Tahoma"/>
            <family val="2"/>
          </rPr>
          <t>&lt;[[TCDeals] - [TC Property Current Stage (Seq: 1)] - [Buildings (Seq: 42)] Acq Applicable Percentage - Both]&gt;</t>
        </r>
      </text>
    </comment>
    <comment ref="R1245" authorId="0" shapeId="0" xr:uid="{1005172D-E4EF-4DD6-B802-26615C23B5CC}">
      <text>
        <r>
          <rPr>
            <b/>
            <sz val="9"/>
            <color indexed="81"/>
            <rFont val="Tahoma"/>
            <family val="2"/>
          </rPr>
          <t>&lt;[[TCDeals] - [TC Property Current Stage (Seq: 1)] - [Buildings (Seq: 42)] Acq Est Qual Basis - Both]&gt;</t>
        </r>
      </text>
    </comment>
    <comment ref="S1245" authorId="0" shapeId="0" xr:uid="{EE996078-39BF-4CC1-892A-77729BFB8087}">
      <text>
        <r>
          <rPr>
            <b/>
            <sz val="9"/>
            <color indexed="81"/>
            <rFont val="Tahoma"/>
            <family val="2"/>
          </rPr>
          <t>&lt;[[TCDeals] - [TC Property Current Stage (Seq: 1)] - [Buildings (Seq: 42)] Acq 8609 Basis - Both]&gt;</t>
        </r>
      </text>
    </comment>
    <comment ref="T1245" authorId="0" shapeId="0" xr:uid="{9B3B58F5-9A98-4251-BAC9-35A3A18CD01A}">
      <text>
        <r>
          <rPr>
            <b/>
            <sz val="9"/>
            <color indexed="81"/>
            <rFont val="Tahoma"/>
            <family val="2"/>
          </rPr>
          <t>&lt;[[TCDeals] - [TC Property Current Stage (Seq: 1)] - [Buildings (Seq: 42)] Acq 8609 Credit - Both]&gt;</t>
        </r>
      </text>
    </comment>
    <comment ref="C1246" authorId="0" shapeId="0" xr:uid="{BFDCC75C-D59D-4533-A94F-35E8F5CE299F}">
      <text>
        <r>
          <rPr>
            <b/>
            <sz val="9"/>
            <color indexed="81"/>
            <rFont val="Tahoma"/>
            <family val="2"/>
          </rPr>
          <t>&lt;[[TCDeals] - [TC Property Current Stage (Seq: 1)] - [Buildings (Seq: 43)] BIN - Both]&gt;</t>
        </r>
      </text>
    </comment>
    <comment ref="D1246" authorId="0" shapeId="0" xr:uid="{F029F212-7D8A-437A-9403-DF7AC189821C}">
      <text>
        <r>
          <rPr>
            <b/>
            <sz val="9"/>
            <color indexed="81"/>
            <rFont val="Tahoma"/>
            <family val="2"/>
          </rPr>
          <t>&lt;[[TCDeals] - [TC Property Current Stage (Seq: 1)] - [Buildings (Seq: 43)] Address 1 - Both]&gt;</t>
        </r>
      </text>
    </comment>
    <comment ref="E1246" authorId="0" shapeId="0" xr:uid="{3C620273-EDF0-4AEA-B515-5EE1A2B71C7D}">
      <text>
        <r>
          <rPr>
            <b/>
            <sz val="9"/>
            <color indexed="81"/>
            <rFont val="Tahoma"/>
            <family val="2"/>
          </rPr>
          <t>&lt;[[TCDeals] - [TC Property Current Stage (Seq: 1)] - [Buildings (Seq: 43)] Num TC Units - Both]&gt;</t>
        </r>
      </text>
    </comment>
    <comment ref="F1246" authorId="0" shapeId="0" xr:uid="{629A66A6-625D-423E-99A6-9A7774E83EF9}">
      <text>
        <r>
          <rPr>
            <b/>
            <sz val="9"/>
            <color indexed="81"/>
            <rFont val="Tahoma"/>
            <family val="2"/>
          </rPr>
          <t>&lt;[[TCDeals] - [TC Property Current Stage (Seq: 1)] - [Buildings (Seq: 43)] PVC PIS Date - Both]&gt;</t>
        </r>
      </text>
    </comment>
    <comment ref="G1246" authorId="0" shapeId="0" xr:uid="{DFF0EB24-1414-4907-9FC1-389E5E0DEA0C}">
      <text>
        <r>
          <rPr>
            <b/>
            <sz val="9"/>
            <color indexed="81"/>
            <rFont val="Tahoma"/>
            <family val="2"/>
          </rPr>
          <t>&lt;[[TCDeals] - [TC Property Current Stage (Seq: 1)] - [Buildings (Seq: 43)] PVC Applicable Percentage - Both]&gt;</t>
        </r>
      </text>
    </comment>
    <comment ref="H1246" authorId="0" shapeId="0" xr:uid="{A1B1B08D-F1A6-404E-AFC7-5A50BDAE2D73}">
      <text>
        <r>
          <rPr>
            <b/>
            <sz val="9"/>
            <color indexed="81"/>
            <rFont val="Tahoma"/>
            <family val="2"/>
          </rPr>
          <t>&lt;[[TCDeals] - [TC Property Current Stage (Seq: 1)] - [Buildings (Seq: 43)] PVC Est Qual Basis - Both]&gt;</t>
        </r>
      </text>
    </comment>
    <comment ref="I1246" authorId="0" shapeId="0" xr:uid="{27560935-4C34-454E-A23F-D1B3E731C63A}">
      <text>
        <r>
          <rPr>
            <b/>
            <sz val="9"/>
            <color indexed="81"/>
            <rFont val="Tahoma"/>
            <family val="2"/>
          </rPr>
          <t>&lt;[[TCDeals] - [TC Property Current Stage (Seq: 1)] - [Buildings (Seq: 43)] PVC8609 Basis - Both]&gt;</t>
        </r>
      </text>
    </comment>
    <comment ref="J1246" authorId="0" shapeId="0" xr:uid="{DB1BD87E-C726-4907-9D92-2559C4A0792D}">
      <text>
        <r>
          <rPr>
            <b/>
            <sz val="9"/>
            <color indexed="81"/>
            <rFont val="Tahoma"/>
            <family val="2"/>
          </rPr>
          <t>&lt;[[TCDeals] - [TC Property Current Stage (Seq: 1)] - [Buildings (Seq: 43)] PVC8609 Credit - Both]&gt;</t>
        </r>
      </text>
    </comment>
    <comment ref="K1246" authorId="0" shapeId="0" xr:uid="{9643CF8C-FCA8-4A23-AC03-DB47B1C76DED}">
      <text>
        <r>
          <rPr>
            <b/>
            <sz val="9"/>
            <color indexed="81"/>
            <rFont val="Tahoma"/>
            <family val="2"/>
          </rPr>
          <t>&lt;[[TCDeals] - [TC Property Current Stage (Seq: 1)] - [Buildings (Seq: 43)] Constr PIS Date - Both]&gt;</t>
        </r>
      </text>
    </comment>
    <comment ref="L1246" authorId="0" shapeId="0" xr:uid="{08B9547B-9327-444D-A30D-D0D7C851BAE3}">
      <text>
        <r>
          <rPr>
            <b/>
            <sz val="9"/>
            <color indexed="81"/>
            <rFont val="Tahoma"/>
            <family val="2"/>
          </rPr>
          <t>&lt;[[TCDeals] - [TC Property Current Stage (Seq: 1)] - [Buildings (Seq: 43)] Constr Applicable Percentage - Both]&gt;</t>
        </r>
      </text>
    </comment>
    <comment ref="M1246" authorId="0" shapeId="0" xr:uid="{2674305E-8FE3-4AD0-9F0B-30A637A0069D}">
      <text>
        <r>
          <rPr>
            <b/>
            <sz val="9"/>
            <color indexed="81"/>
            <rFont val="Tahoma"/>
            <family val="2"/>
          </rPr>
          <t>&lt;[[TCDeals] - [TC Property Current Stage (Seq: 1)] - [Buildings (Seq: 43)] Constr Est Qual Basis - Both]&gt;</t>
        </r>
      </text>
    </comment>
    <comment ref="N1246" authorId="0" shapeId="0" xr:uid="{C49DD285-E998-42E8-A76B-307E2B109652}">
      <text>
        <r>
          <rPr>
            <b/>
            <sz val="9"/>
            <color indexed="81"/>
            <rFont val="Tahoma"/>
            <family val="2"/>
          </rPr>
          <t>&lt;[[TCDeals] - [TC Property Current Stage (Seq: 1)] - [Buildings (Seq: 43)] Constr 8609 Basis - Both]&gt;</t>
        </r>
      </text>
    </comment>
    <comment ref="O1246" authorId="0" shapeId="0" xr:uid="{A909C2A3-0C8C-4A76-91BD-03B0EC4545BF}">
      <text>
        <r>
          <rPr>
            <b/>
            <sz val="9"/>
            <color indexed="81"/>
            <rFont val="Tahoma"/>
            <family val="2"/>
          </rPr>
          <t>&lt;[[TCDeals] - [TC Property Current Stage (Seq: 1)] - [Buildings (Seq: 43)] Constr 8609 Credit - Both]&gt;</t>
        </r>
      </text>
    </comment>
    <comment ref="P1246" authorId="0" shapeId="0" xr:uid="{64D5B13A-23C5-458D-8CA5-9613F0B6F6AC}">
      <text>
        <r>
          <rPr>
            <b/>
            <sz val="9"/>
            <color indexed="81"/>
            <rFont val="Tahoma"/>
            <family val="2"/>
          </rPr>
          <t>&lt;[[TCDeals] - [TC Property Current Stage (Seq: 1)] - [Buildings (Seq: 43)] Acq PIS Date - Both]&gt;</t>
        </r>
      </text>
    </comment>
    <comment ref="Q1246" authorId="0" shapeId="0" xr:uid="{047D7BF7-3903-46D6-B0AC-4A13DEDBD589}">
      <text>
        <r>
          <rPr>
            <b/>
            <sz val="9"/>
            <color indexed="81"/>
            <rFont val="Tahoma"/>
            <family val="2"/>
          </rPr>
          <t>&lt;[[TCDeals] - [TC Property Current Stage (Seq: 1)] - [Buildings (Seq: 43)] Acq Applicable Percentage - Both]&gt;</t>
        </r>
      </text>
    </comment>
    <comment ref="R1246" authorId="0" shapeId="0" xr:uid="{C47BACF9-B24C-41A8-AA56-FECB315893D8}">
      <text>
        <r>
          <rPr>
            <b/>
            <sz val="9"/>
            <color indexed="81"/>
            <rFont val="Tahoma"/>
            <family val="2"/>
          </rPr>
          <t>&lt;[[TCDeals] - [TC Property Current Stage (Seq: 1)] - [Buildings (Seq: 43)] Acq Est Qual Basis - Both]&gt;</t>
        </r>
      </text>
    </comment>
    <comment ref="S1246" authorId="0" shapeId="0" xr:uid="{0255C84E-47F1-454F-A94C-1F2EC5F962E3}">
      <text>
        <r>
          <rPr>
            <b/>
            <sz val="9"/>
            <color indexed="81"/>
            <rFont val="Tahoma"/>
            <family val="2"/>
          </rPr>
          <t>&lt;[[TCDeals] - [TC Property Current Stage (Seq: 1)] - [Buildings (Seq: 43)] Acq 8609 Basis - Both]&gt;</t>
        </r>
      </text>
    </comment>
    <comment ref="T1246" authorId="0" shapeId="0" xr:uid="{AC68CDAB-69A7-49CF-A009-767567B4F3E2}">
      <text>
        <r>
          <rPr>
            <b/>
            <sz val="9"/>
            <color indexed="81"/>
            <rFont val="Tahoma"/>
            <family val="2"/>
          </rPr>
          <t>&lt;[[TCDeals] - [TC Property Current Stage (Seq: 1)] - [Buildings (Seq: 43)] Acq 8609 Credit - Both]&gt;</t>
        </r>
      </text>
    </comment>
    <comment ref="C1247" authorId="0" shapeId="0" xr:uid="{ECC298C2-2823-4E13-8A34-32EDB9C9C0BA}">
      <text>
        <r>
          <rPr>
            <b/>
            <sz val="9"/>
            <color indexed="81"/>
            <rFont val="Tahoma"/>
            <family val="2"/>
          </rPr>
          <t>&lt;[[TCDeals] - [TC Property Current Stage (Seq: 1)] - [Buildings (Seq: 44)] BIN - Both]&gt;</t>
        </r>
      </text>
    </comment>
    <comment ref="D1247" authorId="0" shapeId="0" xr:uid="{49DFDF50-3999-4CE2-9554-8BC5EF084824}">
      <text>
        <r>
          <rPr>
            <b/>
            <sz val="9"/>
            <color indexed="81"/>
            <rFont val="Tahoma"/>
            <family val="2"/>
          </rPr>
          <t>&lt;[[TCDeals] - [TC Property Current Stage (Seq: 1)] - [Buildings (Seq: 44)] Address 1 - Both]&gt;</t>
        </r>
      </text>
    </comment>
    <comment ref="E1247" authorId="0" shapeId="0" xr:uid="{AC5D4B0D-CBB2-41C0-85A6-5F854338AD48}">
      <text>
        <r>
          <rPr>
            <b/>
            <sz val="9"/>
            <color indexed="81"/>
            <rFont val="Tahoma"/>
            <family val="2"/>
          </rPr>
          <t>&lt;[[TCDeals] - [TC Property Current Stage (Seq: 1)] - [Buildings (Seq: 44)] Num TC Units - Both]&gt;</t>
        </r>
      </text>
    </comment>
    <comment ref="F1247" authorId="0" shapeId="0" xr:uid="{50225843-8D4F-4D66-829C-FDA4F8D5A93F}">
      <text>
        <r>
          <rPr>
            <b/>
            <sz val="9"/>
            <color indexed="81"/>
            <rFont val="Tahoma"/>
            <family val="2"/>
          </rPr>
          <t>&lt;[[TCDeals] - [TC Property Current Stage (Seq: 1)] - [Buildings (Seq: 44)] PVC PIS Date - Both]&gt;</t>
        </r>
      </text>
    </comment>
    <comment ref="G1247" authorId="0" shapeId="0" xr:uid="{32F433CA-1B9E-4441-AA3C-6260233CCDA9}">
      <text>
        <r>
          <rPr>
            <b/>
            <sz val="9"/>
            <color indexed="81"/>
            <rFont val="Tahoma"/>
            <family val="2"/>
          </rPr>
          <t>&lt;[[TCDeals] - [TC Property Current Stage (Seq: 1)] - [Buildings (Seq: 44)] PVC Applicable Percentage - Both]&gt;</t>
        </r>
      </text>
    </comment>
    <comment ref="H1247" authorId="0" shapeId="0" xr:uid="{B0F30C04-C80B-4EC0-8189-F4CA23371D79}">
      <text>
        <r>
          <rPr>
            <b/>
            <sz val="9"/>
            <color indexed="81"/>
            <rFont val="Tahoma"/>
            <family val="2"/>
          </rPr>
          <t>&lt;[[TCDeals] - [TC Property Current Stage (Seq: 1)] - [Buildings (Seq: 44)] PVC Est Qual Basis - Both]&gt;</t>
        </r>
      </text>
    </comment>
    <comment ref="I1247" authorId="0" shapeId="0" xr:uid="{CB23246A-3A7A-4BEB-84DC-810B194045CA}">
      <text>
        <r>
          <rPr>
            <b/>
            <sz val="9"/>
            <color indexed="81"/>
            <rFont val="Tahoma"/>
            <family val="2"/>
          </rPr>
          <t>&lt;[[TCDeals] - [TC Property Current Stage (Seq: 1)] - [Buildings (Seq: 44)] PVC8609 Basis - Both]&gt;</t>
        </r>
      </text>
    </comment>
    <comment ref="J1247" authorId="0" shapeId="0" xr:uid="{FA479205-C19F-48BB-B790-B93846440BC8}">
      <text>
        <r>
          <rPr>
            <b/>
            <sz val="9"/>
            <color indexed="81"/>
            <rFont val="Tahoma"/>
            <family val="2"/>
          </rPr>
          <t>&lt;[[TCDeals] - [TC Property Current Stage (Seq: 1)] - [Buildings (Seq: 44)] PVC8609 Credit - Both]&gt;</t>
        </r>
      </text>
    </comment>
    <comment ref="K1247" authorId="0" shapeId="0" xr:uid="{AD56A374-2D32-4774-B7F0-63B5AEBE4EC8}">
      <text>
        <r>
          <rPr>
            <b/>
            <sz val="9"/>
            <color indexed="81"/>
            <rFont val="Tahoma"/>
            <family val="2"/>
          </rPr>
          <t>&lt;[[TCDeals] - [TC Property Current Stage (Seq: 1)] - [Buildings (Seq: 44)] Constr PIS Date - Both]&gt;</t>
        </r>
      </text>
    </comment>
    <comment ref="L1247" authorId="0" shapeId="0" xr:uid="{6C42375C-8A6E-4EE4-9699-6A5FE8A504E6}">
      <text>
        <r>
          <rPr>
            <b/>
            <sz val="9"/>
            <color indexed="81"/>
            <rFont val="Tahoma"/>
            <family val="2"/>
          </rPr>
          <t>&lt;[[TCDeals] - [TC Property Current Stage (Seq: 1)] - [Buildings (Seq: 44)] Constr Applicable Percentage - Both]&gt;</t>
        </r>
      </text>
    </comment>
    <comment ref="M1247" authorId="0" shapeId="0" xr:uid="{641A51FF-3646-4C70-B01B-3B55A5AEEE94}">
      <text>
        <r>
          <rPr>
            <b/>
            <sz val="9"/>
            <color indexed="81"/>
            <rFont val="Tahoma"/>
            <family val="2"/>
          </rPr>
          <t>&lt;[[TCDeals] - [TC Property Current Stage (Seq: 1)] - [Buildings (Seq: 44)] Constr Est Qual Basis - Both]&gt;</t>
        </r>
      </text>
    </comment>
    <comment ref="N1247" authorId="0" shapeId="0" xr:uid="{BEE0E6EA-83C4-4E51-A114-5D02BE9C0BD6}">
      <text>
        <r>
          <rPr>
            <b/>
            <sz val="9"/>
            <color indexed="81"/>
            <rFont val="Tahoma"/>
            <family val="2"/>
          </rPr>
          <t>&lt;[[TCDeals] - [TC Property Current Stage (Seq: 1)] - [Buildings (Seq: 44)] Constr 8609 Basis - Both]&gt;</t>
        </r>
      </text>
    </comment>
    <comment ref="O1247" authorId="0" shapeId="0" xr:uid="{233F9181-E355-4328-BDB6-7BFC97E7DAD3}">
      <text>
        <r>
          <rPr>
            <b/>
            <sz val="9"/>
            <color indexed="81"/>
            <rFont val="Tahoma"/>
            <family val="2"/>
          </rPr>
          <t>&lt;[[TCDeals] - [TC Property Current Stage (Seq: 1)] - [Buildings (Seq: 44)] Constr 8609 Credit - Both]&gt;</t>
        </r>
      </text>
    </comment>
    <comment ref="P1247" authorId="0" shapeId="0" xr:uid="{30D96D56-9317-4DFE-818E-3A6DDFD67944}">
      <text>
        <r>
          <rPr>
            <b/>
            <sz val="9"/>
            <color indexed="81"/>
            <rFont val="Tahoma"/>
            <family val="2"/>
          </rPr>
          <t>&lt;[[TCDeals] - [TC Property Current Stage (Seq: 1)] - [Buildings (Seq: 44)] Acq PIS Date - Both]&gt;</t>
        </r>
      </text>
    </comment>
    <comment ref="Q1247" authorId="0" shapeId="0" xr:uid="{7192D304-2584-47A8-943E-59F3B061217C}">
      <text>
        <r>
          <rPr>
            <b/>
            <sz val="9"/>
            <color indexed="81"/>
            <rFont val="Tahoma"/>
            <family val="2"/>
          </rPr>
          <t>&lt;[[TCDeals] - [TC Property Current Stage (Seq: 1)] - [Buildings (Seq: 44)] Acq Applicable Percentage - Both]&gt;</t>
        </r>
      </text>
    </comment>
    <comment ref="R1247" authorId="0" shapeId="0" xr:uid="{CB4F514C-DF12-4BAE-BB47-688E53370373}">
      <text>
        <r>
          <rPr>
            <b/>
            <sz val="9"/>
            <color indexed="81"/>
            <rFont val="Tahoma"/>
            <family val="2"/>
          </rPr>
          <t>&lt;[[TCDeals] - [TC Property Current Stage (Seq: 1)] - [Buildings (Seq: 44)] Acq Est Qual Basis - Both]&gt;</t>
        </r>
      </text>
    </comment>
    <comment ref="S1247" authorId="0" shapeId="0" xr:uid="{56C3ACA1-FA09-474D-A18C-7466E7F5B9BE}">
      <text>
        <r>
          <rPr>
            <b/>
            <sz val="9"/>
            <color indexed="81"/>
            <rFont val="Tahoma"/>
            <family val="2"/>
          </rPr>
          <t>&lt;[[TCDeals] - [TC Property Current Stage (Seq: 1)] - [Buildings (Seq: 44)] Acq 8609 Basis - Both]&gt;</t>
        </r>
      </text>
    </comment>
    <comment ref="T1247" authorId="0" shapeId="0" xr:uid="{46BAE3E7-9338-493A-B867-796ED5412384}">
      <text>
        <r>
          <rPr>
            <b/>
            <sz val="9"/>
            <color indexed="81"/>
            <rFont val="Tahoma"/>
            <family val="2"/>
          </rPr>
          <t>&lt;[[TCDeals] - [TC Property Current Stage (Seq: 1)] - [Buildings (Seq: 44)] Acq 8609 Credit - Both]&gt;</t>
        </r>
      </text>
    </comment>
    <comment ref="C1248" authorId="0" shapeId="0" xr:uid="{3244DDE8-1E40-4F3D-BE3C-DE4263EFF599}">
      <text>
        <r>
          <rPr>
            <b/>
            <sz val="9"/>
            <color indexed="81"/>
            <rFont val="Tahoma"/>
            <family val="2"/>
          </rPr>
          <t>&lt;[[TCDeals] - [TC Property Current Stage (Seq: 1)] - [Buildings (Seq: 45)] BIN - Both]&gt;</t>
        </r>
      </text>
    </comment>
    <comment ref="D1248" authorId="0" shapeId="0" xr:uid="{227EEFD8-B055-4AD7-B1B3-4ABED12931A3}">
      <text>
        <r>
          <rPr>
            <b/>
            <sz val="9"/>
            <color indexed="81"/>
            <rFont val="Tahoma"/>
            <family val="2"/>
          </rPr>
          <t>&lt;[[TCDeals] - [TC Property Current Stage (Seq: 1)] - [Buildings (Seq: 45)] Address 1 - Both]&gt;</t>
        </r>
      </text>
    </comment>
    <comment ref="E1248" authorId="0" shapeId="0" xr:uid="{367E319A-A955-4798-8D40-5887B47558E1}">
      <text>
        <r>
          <rPr>
            <b/>
            <sz val="9"/>
            <color indexed="81"/>
            <rFont val="Tahoma"/>
            <family val="2"/>
          </rPr>
          <t>&lt;[[TCDeals] - [TC Property Current Stage (Seq: 1)] - [Buildings (Seq: 45)] Num TC Units - Both]&gt;</t>
        </r>
      </text>
    </comment>
    <comment ref="F1248" authorId="0" shapeId="0" xr:uid="{27C6BEDF-B679-4E1F-8C72-73B6751020C9}">
      <text>
        <r>
          <rPr>
            <b/>
            <sz val="9"/>
            <color indexed="81"/>
            <rFont val="Tahoma"/>
            <family val="2"/>
          </rPr>
          <t>&lt;[[TCDeals] - [TC Property Current Stage (Seq: 1)] - [Buildings (Seq: 45)] PVC PIS Date - Both]&gt;</t>
        </r>
      </text>
    </comment>
    <comment ref="G1248" authorId="0" shapeId="0" xr:uid="{AEE97241-6F33-4137-9386-C5B1445CE837}">
      <text>
        <r>
          <rPr>
            <b/>
            <sz val="9"/>
            <color indexed="81"/>
            <rFont val="Tahoma"/>
            <family val="2"/>
          </rPr>
          <t>&lt;[[TCDeals] - [TC Property Current Stage (Seq: 1)] - [Buildings (Seq: 45)] PVC Applicable Percentage - Both]&gt;</t>
        </r>
      </text>
    </comment>
    <comment ref="H1248" authorId="0" shapeId="0" xr:uid="{0C89B100-12BD-4EC2-A836-0B346BF6B810}">
      <text>
        <r>
          <rPr>
            <b/>
            <sz val="9"/>
            <color indexed="81"/>
            <rFont val="Tahoma"/>
            <family val="2"/>
          </rPr>
          <t>&lt;[[TCDeals] - [TC Property Current Stage (Seq: 1)] - [Buildings (Seq: 45)] PVC Est Qual Basis - Both]&gt;</t>
        </r>
      </text>
    </comment>
    <comment ref="I1248" authorId="0" shapeId="0" xr:uid="{48371D50-37BF-4FBC-9AD9-30F7DB8C75EC}">
      <text>
        <r>
          <rPr>
            <b/>
            <sz val="9"/>
            <color indexed="81"/>
            <rFont val="Tahoma"/>
            <family val="2"/>
          </rPr>
          <t>&lt;[[TCDeals] - [TC Property Current Stage (Seq: 1)] - [Buildings (Seq: 45)] PVC8609 Basis - Both]&gt;</t>
        </r>
      </text>
    </comment>
    <comment ref="J1248" authorId="0" shapeId="0" xr:uid="{C07C2747-3988-40E7-B804-A6025DB32D0C}">
      <text>
        <r>
          <rPr>
            <b/>
            <sz val="9"/>
            <color indexed="81"/>
            <rFont val="Tahoma"/>
            <family val="2"/>
          </rPr>
          <t>&lt;[[TCDeals] - [TC Property Current Stage (Seq: 1)] - [Buildings (Seq: 45)] PVC8609 Credit - Both]&gt;</t>
        </r>
      </text>
    </comment>
    <comment ref="K1248" authorId="0" shapeId="0" xr:uid="{F12A4F51-20C0-43F4-95E9-A90573B04230}">
      <text>
        <r>
          <rPr>
            <b/>
            <sz val="9"/>
            <color indexed="81"/>
            <rFont val="Tahoma"/>
            <family val="2"/>
          </rPr>
          <t>&lt;[[TCDeals] - [TC Property Current Stage (Seq: 1)] - [Buildings (Seq: 45)] Constr PIS Date - Both]&gt;</t>
        </r>
      </text>
    </comment>
    <comment ref="L1248" authorId="0" shapeId="0" xr:uid="{445825F0-CA34-4597-9207-C6F4CBCA2942}">
      <text>
        <r>
          <rPr>
            <b/>
            <sz val="9"/>
            <color indexed="81"/>
            <rFont val="Tahoma"/>
            <family val="2"/>
          </rPr>
          <t>&lt;[[TCDeals] - [TC Property Current Stage (Seq: 1)] - [Buildings (Seq: 45)] Constr Applicable Percentage - Both]&gt;</t>
        </r>
      </text>
    </comment>
    <comment ref="M1248" authorId="0" shapeId="0" xr:uid="{FAB196EC-6B34-43A6-A074-A960DB574116}">
      <text>
        <r>
          <rPr>
            <b/>
            <sz val="9"/>
            <color indexed="81"/>
            <rFont val="Tahoma"/>
            <family val="2"/>
          </rPr>
          <t>&lt;[[TCDeals] - [TC Property Current Stage (Seq: 1)] - [Buildings (Seq: 45)] Constr Est Qual Basis - Both]&gt;</t>
        </r>
      </text>
    </comment>
    <comment ref="N1248" authorId="0" shapeId="0" xr:uid="{2C5F316B-80F4-426E-8163-CFFF70A391BC}">
      <text>
        <r>
          <rPr>
            <b/>
            <sz val="9"/>
            <color indexed="81"/>
            <rFont val="Tahoma"/>
            <family val="2"/>
          </rPr>
          <t>&lt;[[TCDeals] - [TC Property Current Stage (Seq: 1)] - [Buildings (Seq: 45)] Constr 8609 Basis - Both]&gt;</t>
        </r>
      </text>
    </comment>
    <comment ref="O1248" authorId="0" shapeId="0" xr:uid="{DA9FF7A8-BBC6-4614-8F57-2B459A471405}">
      <text>
        <r>
          <rPr>
            <b/>
            <sz val="9"/>
            <color indexed="81"/>
            <rFont val="Tahoma"/>
            <family val="2"/>
          </rPr>
          <t>&lt;[[TCDeals] - [TC Property Current Stage (Seq: 1)] - [Buildings (Seq: 45)] Constr 8609 Credit - Both]&gt;</t>
        </r>
      </text>
    </comment>
    <comment ref="P1248" authorId="0" shapeId="0" xr:uid="{4B0420A5-F76A-48BA-ACE1-9361BACF2281}">
      <text>
        <r>
          <rPr>
            <b/>
            <sz val="9"/>
            <color indexed="81"/>
            <rFont val="Tahoma"/>
            <family val="2"/>
          </rPr>
          <t>&lt;[[TCDeals] - [TC Property Current Stage (Seq: 1)] - [Buildings (Seq: 45)] Acq PIS Date - Both]&gt;</t>
        </r>
      </text>
    </comment>
    <comment ref="Q1248" authorId="0" shapeId="0" xr:uid="{3DA18420-2E84-4B2E-A4CB-6AB0CF400BF5}">
      <text>
        <r>
          <rPr>
            <b/>
            <sz val="9"/>
            <color indexed="81"/>
            <rFont val="Tahoma"/>
            <family val="2"/>
          </rPr>
          <t>&lt;[[TCDeals] - [TC Property Current Stage (Seq: 1)] - [Buildings (Seq: 45)] Acq Applicable Percentage - Both]&gt;</t>
        </r>
      </text>
    </comment>
    <comment ref="R1248" authorId="0" shapeId="0" xr:uid="{7C0358E6-C615-4FDD-A9BC-0AE79DCB6AED}">
      <text>
        <r>
          <rPr>
            <b/>
            <sz val="9"/>
            <color indexed="81"/>
            <rFont val="Tahoma"/>
            <family val="2"/>
          </rPr>
          <t>&lt;[[TCDeals] - [TC Property Current Stage (Seq: 1)] - [Buildings (Seq: 45)] Acq Est Qual Basis - Both]&gt;</t>
        </r>
      </text>
    </comment>
    <comment ref="S1248" authorId="0" shapeId="0" xr:uid="{BA71EF58-740D-4519-89B1-B20F384080B6}">
      <text>
        <r>
          <rPr>
            <b/>
            <sz val="9"/>
            <color indexed="81"/>
            <rFont val="Tahoma"/>
            <family val="2"/>
          </rPr>
          <t>&lt;[[TCDeals] - [TC Property Current Stage (Seq: 1)] - [Buildings (Seq: 45)] Acq 8609 Basis - Both]&gt;</t>
        </r>
      </text>
    </comment>
    <comment ref="T1248" authorId="0" shapeId="0" xr:uid="{FF84004E-2370-45C9-BF30-869BE4334CE9}">
      <text>
        <r>
          <rPr>
            <b/>
            <sz val="9"/>
            <color indexed="81"/>
            <rFont val="Tahoma"/>
            <family val="2"/>
          </rPr>
          <t>&lt;[[TCDeals] - [TC Property Current Stage (Seq: 1)] - [Buildings (Seq: 45)] Acq 8609 Credit - Both]&gt;</t>
        </r>
      </text>
    </comment>
    <comment ref="C1249" authorId="0" shapeId="0" xr:uid="{BD2202C1-B0B6-434F-AA9A-1A6118120B42}">
      <text>
        <r>
          <rPr>
            <b/>
            <sz val="9"/>
            <color indexed="81"/>
            <rFont val="Tahoma"/>
            <family val="2"/>
          </rPr>
          <t>&lt;[[TCDeals] - [TC Property Current Stage (Seq: 1)] - [Buildings (Seq: 46)] BIN - Both]&gt;</t>
        </r>
      </text>
    </comment>
    <comment ref="D1249" authorId="0" shapeId="0" xr:uid="{DA85CC15-6284-45E3-ACC6-73A25BB6C6E8}">
      <text>
        <r>
          <rPr>
            <b/>
            <sz val="9"/>
            <color indexed="81"/>
            <rFont val="Tahoma"/>
            <family val="2"/>
          </rPr>
          <t>&lt;[[TCDeals] - [TC Property Current Stage (Seq: 1)] - [Buildings (Seq: 46)] Address 1 - Both]&gt;</t>
        </r>
      </text>
    </comment>
    <comment ref="E1249" authorId="0" shapeId="0" xr:uid="{C133C27A-BE60-4D05-9326-CC028798F483}">
      <text>
        <r>
          <rPr>
            <b/>
            <sz val="9"/>
            <color indexed="81"/>
            <rFont val="Tahoma"/>
            <family val="2"/>
          </rPr>
          <t>&lt;[[TCDeals] - [TC Property Current Stage (Seq: 1)] - [Buildings (Seq: 46)] Num TC Units - Both]&gt;</t>
        </r>
      </text>
    </comment>
    <comment ref="F1249" authorId="0" shapeId="0" xr:uid="{68B1FC3B-782D-44F9-BA17-0B8B009096A7}">
      <text>
        <r>
          <rPr>
            <b/>
            <sz val="9"/>
            <color indexed="81"/>
            <rFont val="Tahoma"/>
            <family val="2"/>
          </rPr>
          <t>&lt;[[TCDeals] - [TC Property Current Stage (Seq: 1)] - [Buildings (Seq: 46)] PVC PIS Date - Both]&gt;</t>
        </r>
      </text>
    </comment>
    <comment ref="G1249" authorId="0" shapeId="0" xr:uid="{B01C200C-B1D6-4DB1-8B30-03715FE576F4}">
      <text>
        <r>
          <rPr>
            <b/>
            <sz val="9"/>
            <color indexed="81"/>
            <rFont val="Tahoma"/>
            <family val="2"/>
          </rPr>
          <t>&lt;[[TCDeals] - [TC Property Current Stage (Seq: 1)] - [Buildings (Seq: 46)] PVC Applicable Percentage - Both]&gt;</t>
        </r>
      </text>
    </comment>
    <comment ref="H1249" authorId="0" shapeId="0" xr:uid="{461CA9A8-FCC4-4981-A991-CAFBD10934B3}">
      <text>
        <r>
          <rPr>
            <b/>
            <sz val="9"/>
            <color indexed="81"/>
            <rFont val="Tahoma"/>
            <family val="2"/>
          </rPr>
          <t>&lt;[[TCDeals] - [TC Property Current Stage (Seq: 1)] - [Buildings (Seq: 46)] PVC Est Qual Basis - Both]&gt;</t>
        </r>
      </text>
    </comment>
    <comment ref="I1249" authorId="0" shapeId="0" xr:uid="{A1E03269-D8B5-4E3E-9361-5D2A34A21591}">
      <text>
        <r>
          <rPr>
            <b/>
            <sz val="9"/>
            <color indexed="81"/>
            <rFont val="Tahoma"/>
            <family val="2"/>
          </rPr>
          <t>&lt;[[TCDeals] - [TC Property Current Stage (Seq: 1)] - [Buildings (Seq: 46)] PVC8609 Basis - Both]&gt;</t>
        </r>
      </text>
    </comment>
    <comment ref="J1249" authorId="0" shapeId="0" xr:uid="{3618E423-137C-4D65-B7C7-295B97266999}">
      <text>
        <r>
          <rPr>
            <b/>
            <sz val="9"/>
            <color indexed="81"/>
            <rFont val="Tahoma"/>
            <family val="2"/>
          </rPr>
          <t>&lt;[[TCDeals] - [TC Property Current Stage (Seq: 1)] - [Buildings (Seq: 46)] PVC8609 Credit - Both]&gt;</t>
        </r>
      </text>
    </comment>
    <comment ref="K1249" authorId="0" shapeId="0" xr:uid="{B5E8F123-D55F-4959-8871-974DC860D6CA}">
      <text>
        <r>
          <rPr>
            <b/>
            <sz val="9"/>
            <color indexed="81"/>
            <rFont val="Tahoma"/>
            <family val="2"/>
          </rPr>
          <t>&lt;[[TCDeals] - [TC Property Current Stage (Seq: 1)] - [Buildings (Seq: 46)] Constr PIS Date - Both]&gt;</t>
        </r>
      </text>
    </comment>
    <comment ref="L1249" authorId="0" shapeId="0" xr:uid="{F4A6870A-DB1B-4543-AEF6-428413EBCE3E}">
      <text>
        <r>
          <rPr>
            <b/>
            <sz val="9"/>
            <color indexed="81"/>
            <rFont val="Tahoma"/>
            <family val="2"/>
          </rPr>
          <t>&lt;[[TCDeals] - [TC Property Current Stage (Seq: 1)] - [Buildings (Seq: 46)] Constr Applicable Percentage - Both]&gt;</t>
        </r>
      </text>
    </comment>
    <comment ref="M1249" authorId="0" shapeId="0" xr:uid="{86BBD887-17C0-4382-A875-B52CB3357E39}">
      <text>
        <r>
          <rPr>
            <b/>
            <sz val="9"/>
            <color indexed="81"/>
            <rFont val="Tahoma"/>
            <family val="2"/>
          </rPr>
          <t>&lt;[[TCDeals] - [TC Property Current Stage (Seq: 1)] - [Buildings (Seq: 46)] Constr Est Qual Basis - Both]&gt;</t>
        </r>
      </text>
    </comment>
    <comment ref="N1249" authorId="0" shapeId="0" xr:uid="{792C7B4E-967B-4CBF-A25E-A8E5A2FDD661}">
      <text>
        <r>
          <rPr>
            <b/>
            <sz val="9"/>
            <color indexed="81"/>
            <rFont val="Tahoma"/>
            <family val="2"/>
          </rPr>
          <t>&lt;[[TCDeals] - [TC Property Current Stage (Seq: 1)] - [Buildings (Seq: 46)] Constr 8609 Basis - Both]&gt;</t>
        </r>
      </text>
    </comment>
    <comment ref="O1249" authorId="0" shapeId="0" xr:uid="{ABF1C47C-222E-4CBC-80FC-F66C7366A94E}">
      <text>
        <r>
          <rPr>
            <b/>
            <sz val="9"/>
            <color indexed="81"/>
            <rFont val="Tahoma"/>
            <family val="2"/>
          </rPr>
          <t>&lt;[[TCDeals] - [TC Property Current Stage (Seq: 1)] - [Buildings (Seq: 46)] Constr 8609 Credit - Both]&gt;</t>
        </r>
      </text>
    </comment>
    <comment ref="P1249" authorId="0" shapeId="0" xr:uid="{6DD682D2-04EA-4A1A-A3F4-C59CBE141FBA}">
      <text>
        <r>
          <rPr>
            <b/>
            <sz val="9"/>
            <color indexed="81"/>
            <rFont val="Tahoma"/>
            <family val="2"/>
          </rPr>
          <t>&lt;[[TCDeals] - [TC Property Current Stage (Seq: 1)] - [Buildings (Seq: 46)] Acq PIS Date - Both]&gt;</t>
        </r>
      </text>
    </comment>
    <comment ref="Q1249" authorId="0" shapeId="0" xr:uid="{588E0DB0-EBA0-4642-A397-CB55437FA4CE}">
      <text>
        <r>
          <rPr>
            <b/>
            <sz val="9"/>
            <color indexed="81"/>
            <rFont val="Tahoma"/>
            <family val="2"/>
          </rPr>
          <t>&lt;[[TCDeals] - [TC Property Current Stage (Seq: 1)] - [Buildings (Seq: 46)] Acq Applicable Percentage - Both]&gt;</t>
        </r>
      </text>
    </comment>
    <comment ref="R1249" authorId="0" shapeId="0" xr:uid="{2FC2B3F0-1DBE-43F7-B319-1E0EBE28A895}">
      <text>
        <r>
          <rPr>
            <b/>
            <sz val="9"/>
            <color indexed="81"/>
            <rFont val="Tahoma"/>
            <family val="2"/>
          </rPr>
          <t>&lt;[[TCDeals] - [TC Property Current Stage (Seq: 1)] - [Buildings (Seq: 46)] Acq Est Qual Basis - Both]&gt;</t>
        </r>
      </text>
    </comment>
    <comment ref="S1249" authorId="0" shapeId="0" xr:uid="{247C33BF-388C-4A12-8495-9AEFE9E5164A}">
      <text>
        <r>
          <rPr>
            <b/>
            <sz val="9"/>
            <color indexed="81"/>
            <rFont val="Tahoma"/>
            <family val="2"/>
          </rPr>
          <t>&lt;[[TCDeals] - [TC Property Current Stage (Seq: 1)] - [Buildings (Seq: 46)] Acq 8609 Basis - Both]&gt;</t>
        </r>
      </text>
    </comment>
    <comment ref="T1249" authorId="0" shapeId="0" xr:uid="{7A7933E8-D9B7-4AD6-9BFF-361EAE82C925}">
      <text>
        <r>
          <rPr>
            <b/>
            <sz val="9"/>
            <color indexed="81"/>
            <rFont val="Tahoma"/>
            <family val="2"/>
          </rPr>
          <t>&lt;[[TCDeals] - [TC Property Current Stage (Seq: 1)] - [Buildings (Seq: 46)] Acq 8609 Credit - Both]&gt;</t>
        </r>
      </text>
    </comment>
    <comment ref="C1250" authorId="0" shapeId="0" xr:uid="{CA5DBBF6-8F06-452C-8BF1-73B240022936}">
      <text>
        <r>
          <rPr>
            <b/>
            <sz val="9"/>
            <color indexed="81"/>
            <rFont val="Tahoma"/>
            <family val="2"/>
          </rPr>
          <t>&lt;[[TCDeals] - [TC Property Current Stage (Seq: 1)] - [Buildings (Seq: 47)] BIN - Both]&gt;</t>
        </r>
      </text>
    </comment>
    <comment ref="D1250" authorId="0" shapeId="0" xr:uid="{219F7B92-B01B-49E0-8D1C-B5E4A264A7FE}">
      <text>
        <r>
          <rPr>
            <b/>
            <sz val="9"/>
            <color indexed="81"/>
            <rFont val="Tahoma"/>
            <family val="2"/>
          </rPr>
          <t>&lt;[[TCDeals] - [TC Property Current Stage (Seq: 1)] - [Buildings (Seq: 47)] Address 1 - Both]&gt;</t>
        </r>
      </text>
    </comment>
    <comment ref="E1250" authorId="0" shapeId="0" xr:uid="{52F0BB65-47A0-4E3A-ABCF-C2BD4C94B317}">
      <text>
        <r>
          <rPr>
            <b/>
            <sz val="9"/>
            <color indexed="81"/>
            <rFont val="Tahoma"/>
            <family val="2"/>
          </rPr>
          <t>&lt;[[TCDeals] - [TC Property Current Stage (Seq: 1)] - [Buildings (Seq: 47)] Num TC Units - Both]&gt;</t>
        </r>
      </text>
    </comment>
    <comment ref="F1250" authorId="0" shapeId="0" xr:uid="{423B87E1-3103-41C3-AA8B-C31930CEDE5A}">
      <text>
        <r>
          <rPr>
            <b/>
            <sz val="9"/>
            <color indexed="81"/>
            <rFont val="Tahoma"/>
            <family val="2"/>
          </rPr>
          <t>&lt;[[TCDeals] - [TC Property Current Stage (Seq: 1)] - [Buildings (Seq: 47)] PVC PIS Date - Both]&gt;</t>
        </r>
      </text>
    </comment>
    <comment ref="G1250" authorId="0" shapeId="0" xr:uid="{C27AEF75-F1FC-4CD7-BDF2-A6DFA4967D7E}">
      <text>
        <r>
          <rPr>
            <b/>
            <sz val="9"/>
            <color indexed="81"/>
            <rFont val="Tahoma"/>
            <family val="2"/>
          </rPr>
          <t>&lt;[[TCDeals] - [TC Property Current Stage (Seq: 1)] - [Buildings (Seq: 47)] PVC Applicable Percentage - Both]&gt;</t>
        </r>
      </text>
    </comment>
    <comment ref="H1250" authorId="0" shapeId="0" xr:uid="{33D681E5-1F6E-42F4-83D7-01A40E74A9B6}">
      <text>
        <r>
          <rPr>
            <b/>
            <sz val="9"/>
            <color indexed="81"/>
            <rFont val="Tahoma"/>
            <family val="2"/>
          </rPr>
          <t>&lt;[[TCDeals] - [TC Property Current Stage (Seq: 1)] - [Buildings (Seq: 47)] PVC Est Qual Basis - Both]&gt;</t>
        </r>
      </text>
    </comment>
    <comment ref="I1250" authorId="0" shapeId="0" xr:uid="{E5BA322F-41C7-4EB4-9417-0FCCDF082B72}">
      <text>
        <r>
          <rPr>
            <b/>
            <sz val="9"/>
            <color indexed="81"/>
            <rFont val="Tahoma"/>
            <family val="2"/>
          </rPr>
          <t>&lt;[[TCDeals] - [TC Property Current Stage (Seq: 1)] - [Buildings (Seq: 47)] PVC8609 Basis - Both]&gt;</t>
        </r>
      </text>
    </comment>
    <comment ref="J1250" authorId="0" shapeId="0" xr:uid="{7FF9EDDB-AD08-4066-9F2E-FB6FF14F3CD4}">
      <text>
        <r>
          <rPr>
            <b/>
            <sz val="9"/>
            <color indexed="81"/>
            <rFont val="Tahoma"/>
            <family val="2"/>
          </rPr>
          <t>&lt;[[TCDeals] - [TC Property Current Stage (Seq: 1)] - [Buildings (Seq: 47)] PVC8609 Credit - Both]&gt;</t>
        </r>
      </text>
    </comment>
    <comment ref="K1250" authorId="0" shapeId="0" xr:uid="{33CA4F59-71B8-47BC-85C1-5A13CB90998B}">
      <text>
        <r>
          <rPr>
            <b/>
            <sz val="9"/>
            <color indexed="81"/>
            <rFont val="Tahoma"/>
            <family val="2"/>
          </rPr>
          <t>&lt;[[TCDeals] - [TC Property Current Stage (Seq: 1)] - [Buildings (Seq: 47)] Constr PIS Date - Both]&gt;</t>
        </r>
      </text>
    </comment>
    <comment ref="L1250" authorId="0" shapeId="0" xr:uid="{ED062EC1-D555-483E-B74A-E68A1A317CB6}">
      <text>
        <r>
          <rPr>
            <b/>
            <sz val="9"/>
            <color indexed="81"/>
            <rFont val="Tahoma"/>
            <family val="2"/>
          </rPr>
          <t>&lt;[[TCDeals] - [TC Property Current Stage (Seq: 1)] - [Buildings (Seq: 47)] Constr Applicable Percentage - Both]&gt;</t>
        </r>
      </text>
    </comment>
    <comment ref="M1250" authorId="0" shapeId="0" xr:uid="{BEFFF2E2-1033-409D-9328-E77E0CE3D4A4}">
      <text>
        <r>
          <rPr>
            <b/>
            <sz val="9"/>
            <color indexed="81"/>
            <rFont val="Tahoma"/>
            <family val="2"/>
          </rPr>
          <t>&lt;[[TCDeals] - [TC Property Current Stage (Seq: 1)] - [Buildings (Seq: 47)] Constr Est Qual Basis - Both]&gt;</t>
        </r>
      </text>
    </comment>
    <comment ref="N1250" authorId="0" shapeId="0" xr:uid="{ACE601AA-6FF7-4D06-9C67-29158C7731A2}">
      <text>
        <r>
          <rPr>
            <b/>
            <sz val="9"/>
            <color indexed="81"/>
            <rFont val="Tahoma"/>
            <family val="2"/>
          </rPr>
          <t>&lt;[[TCDeals] - [TC Property Current Stage (Seq: 1)] - [Buildings (Seq: 47)] Constr 8609 Basis - Both]&gt;</t>
        </r>
      </text>
    </comment>
    <comment ref="O1250" authorId="0" shapeId="0" xr:uid="{553F63F1-81D2-4772-8816-4C30A51F2F18}">
      <text>
        <r>
          <rPr>
            <b/>
            <sz val="9"/>
            <color indexed="81"/>
            <rFont val="Tahoma"/>
            <family val="2"/>
          </rPr>
          <t>&lt;[[TCDeals] - [TC Property Current Stage (Seq: 1)] - [Buildings (Seq: 47)] Constr 8609 Credit - Both]&gt;</t>
        </r>
      </text>
    </comment>
    <comment ref="P1250" authorId="0" shapeId="0" xr:uid="{09A8706C-5CF6-40F9-9A2C-F439E8FEA651}">
      <text>
        <r>
          <rPr>
            <b/>
            <sz val="9"/>
            <color indexed="81"/>
            <rFont val="Tahoma"/>
            <family val="2"/>
          </rPr>
          <t>&lt;[[TCDeals] - [TC Property Current Stage (Seq: 1)] - [Buildings (Seq: 47)] Acq PIS Date - Both]&gt;</t>
        </r>
      </text>
    </comment>
    <comment ref="Q1250" authorId="0" shapeId="0" xr:uid="{C22CBEA3-5CE1-40D1-8A40-27F64B7B6552}">
      <text>
        <r>
          <rPr>
            <b/>
            <sz val="9"/>
            <color indexed="81"/>
            <rFont val="Tahoma"/>
            <family val="2"/>
          </rPr>
          <t>&lt;[[TCDeals] - [TC Property Current Stage (Seq: 1)] - [Buildings (Seq: 47)] Acq Applicable Percentage - Both]&gt;</t>
        </r>
      </text>
    </comment>
    <comment ref="R1250" authorId="0" shapeId="0" xr:uid="{76B0ABC1-8651-4CD2-8380-811708F1CA2C}">
      <text>
        <r>
          <rPr>
            <b/>
            <sz val="9"/>
            <color indexed="81"/>
            <rFont val="Tahoma"/>
            <family val="2"/>
          </rPr>
          <t>&lt;[[TCDeals] - [TC Property Current Stage (Seq: 1)] - [Buildings (Seq: 47)] Acq Est Qual Basis - Both]&gt;</t>
        </r>
      </text>
    </comment>
    <comment ref="S1250" authorId="0" shapeId="0" xr:uid="{87D0E359-FF0C-46E3-89F2-DF69EEEE48C4}">
      <text>
        <r>
          <rPr>
            <b/>
            <sz val="9"/>
            <color indexed="81"/>
            <rFont val="Tahoma"/>
            <family val="2"/>
          </rPr>
          <t>&lt;[[TCDeals] - [TC Property Current Stage (Seq: 1)] - [Buildings (Seq: 47)] Acq 8609 Basis - Both]&gt;</t>
        </r>
      </text>
    </comment>
    <comment ref="T1250" authorId="0" shapeId="0" xr:uid="{D097916A-02B5-4D88-A72A-0ED9A7DB487B}">
      <text>
        <r>
          <rPr>
            <b/>
            <sz val="9"/>
            <color indexed="81"/>
            <rFont val="Tahoma"/>
            <family val="2"/>
          </rPr>
          <t>&lt;[[TCDeals] - [TC Property Current Stage (Seq: 1)] - [Buildings (Seq: 47)] Acq 8609 Credit - Both]&gt;</t>
        </r>
      </text>
    </comment>
    <comment ref="C1251" authorId="0" shapeId="0" xr:uid="{7A56C8F9-209A-47BB-85FD-07F6EBA7DDB6}">
      <text>
        <r>
          <rPr>
            <b/>
            <sz val="9"/>
            <color indexed="81"/>
            <rFont val="Tahoma"/>
            <family val="2"/>
          </rPr>
          <t>&lt;[[TCDeals] - [TC Property Current Stage (Seq: 1)] - [Buildings (Seq: 48)] BIN - Both]&gt;</t>
        </r>
      </text>
    </comment>
    <comment ref="D1251" authorId="0" shapeId="0" xr:uid="{F07E5DE6-3385-4C48-946F-252AD13BBC10}">
      <text>
        <r>
          <rPr>
            <b/>
            <sz val="9"/>
            <color indexed="81"/>
            <rFont val="Tahoma"/>
            <family val="2"/>
          </rPr>
          <t>&lt;[[TCDeals] - [TC Property Current Stage (Seq: 1)] - [Buildings (Seq: 48)] Address 1 - Both]&gt;</t>
        </r>
      </text>
    </comment>
    <comment ref="E1251" authorId="0" shapeId="0" xr:uid="{4420A2D6-ED59-4652-9627-7CFE9752E529}">
      <text>
        <r>
          <rPr>
            <b/>
            <sz val="9"/>
            <color indexed="81"/>
            <rFont val="Tahoma"/>
            <family val="2"/>
          </rPr>
          <t>&lt;[[TCDeals] - [TC Property Current Stage (Seq: 1)] - [Buildings (Seq: 48)] Num TC Units - Both]&gt;</t>
        </r>
      </text>
    </comment>
    <comment ref="F1251" authorId="0" shapeId="0" xr:uid="{F1A020E2-1D14-4FDE-9ECD-5A658E0FCC45}">
      <text>
        <r>
          <rPr>
            <b/>
            <sz val="9"/>
            <color indexed="81"/>
            <rFont val="Tahoma"/>
            <family val="2"/>
          </rPr>
          <t>&lt;[[TCDeals] - [TC Property Current Stage (Seq: 1)] - [Buildings (Seq: 48)] PVC PIS Date - Both]&gt;</t>
        </r>
      </text>
    </comment>
    <comment ref="G1251" authorId="0" shapeId="0" xr:uid="{F8833547-0704-4FDA-ABF0-831EEC054B0D}">
      <text>
        <r>
          <rPr>
            <b/>
            <sz val="9"/>
            <color indexed="81"/>
            <rFont val="Tahoma"/>
            <family val="2"/>
          </rPr>
          <t>&lt;[[TCDeals] - [TC Property Current Stage (Seq: 1)] - [Buildings (Seq: 48)] PVC Applicable Percentage - Both]&gt;</t>
        </r>
      </text>
    </comment>
    <comment ref="H1251" authorId="0" shapeId="0" xr:uid="{5B79F1BE-31D9-40C3-8E30-C2C079B18172}">
      <text>
        <r>
          <rPr>
            <b/>
            <sz val="9"/>
            <color indexed="81"/>
            <rFont val="Tahoma"/>
            <family val="2"/>
          </rPr>
          <t>&lt;[[TCDeals] - [TC Property Current Stage (Seq: 1)] - [Buildings (Seq: 48)] PVC Est Qual Basis - Both]&gt;</t>
        </r>
      </text>
    </comment>
    <comment ref="I1251" authorId="0" shapeId="0" xr:uid="{BA96DD99-3E1F-4523-BDF9-6E9046F1AFC7}">
      <text>
        <r>
          <rPr>
            <b/>
            <sz val="9"/>
            <color indexed="81"/>
            <rFont val="Tahoma"/>
            <family val="2"/>
          </rPr>
          <t>&lt;[[TCDeals] - [TC Property Current Stage (Seq: 1)] - [Buildings (Seq: 48)] PVC8609 Basis - Both]&gt;</t>
        </r>
      </text>
    </comment>
    <comment ref="J1251" authorId="0" shapeId="0" xr:uid="{4388C4DB-AFFC-4822-BE4C-DC434497FE70}">
      <text>
        <r>
          <rPr>
            <b/>
            <sz val="9"/>
            <color indexed="81"/>
            <rFont val="Tahoma"/>
            <family val="2"/>
          </rPr>
          <t>&lt;[[TCDeals] - [TC Property Current Stage (Seq: 1)] - [Buildings (Seq: 48)] PVC8609 Credit - Both]&gt;</t>
        </r>
      </text>
    </comment>
    <comment ref="K1251" authorId="0" shapeId="0" xr:uid="{AA8F2E12-0B24-422A-AD9F-FB201F3C951E}">
      <text>
        <r>
          <rPr>
            <b/>
            <sz val="9"/>
            <color indexed="81"/>
            <rFont val="Tahoma"/>
            <family val="2"/>
          </rPr>
          <t>&lt;[[TCDeals] - [TC Property Current Stage (Seq: 1)] - [Buildings (Seq: 48)] Constr PIS Date - Both]&gt;</t>
        </r>
      </text>
    </comment>
    <comment ref="L1251" authorId="0" shapeId="0" xr:uid="{DFEE3FCE-09A9-4194-9908-C50BDFEDE0E5}">
      <text>
        <r>
          <rPr>
            <b/>
            <sz val="9"/>
            <color indexed="81"/>
            <rFont val="Tahoma"/>
            <family val="2"/>
          </rPr>
          <t>&lt;[[TCDeals] - [TC Property Current Stage (Seq: 1)] - [Buildings (Seq: 48)] Constr Applicable Percentage - Both]&gt;</t>
        </r>
      </text>
    </comment>
    <comment ref="M1251" authorId="0" shapeId="0" xr:uid="{D2367D3C-EC26-4387-A798-1E397133A60B}">
      <text>
        <r>
          <rPr>
            <b/>
            <sz val="9"/>
            <color indexed="81"/>
            <rFont val="Tahoma"/>
            <family val="2"/>
          </rPr>
          <t>&lt;[[TCDeals] - [TC Property Current Stage (Seq: 1)] - [Buildings (Seq: 48)] Constr Est Qual Basis - Both]&gt;</t>
        </r>
      </text>
    </comment>
    <comment ref="N1251" authorId="0" shapeId="0" xr:uid="{78708D46-D42B-4542-BCBB-4D0BD900638F}">
      <text>
        <r>
          <rPr>
            <b/>
            <sz val="9"/>
            <color indexed="81"/>
            <rFont val="Tahoma"/>
            <family val="2"/>
          </rPr>
          <t>&lt;[[TCDeals] - [TC Property Current Stage (Seq: 1)] - [Buildings (Seq: 48)] Constr 8609 Basis - Both]&gt;</t>
        </r>
      </text>
    </comment>
    <comment ref="O1251" authorId="0" shapeId="0" xr:uid="{BCE146F3-02B4-4833-9D7B-93F03E8559F5}">
      <text>
        <r>
          <rPr>
            <b/>
            <sz val="9"/>
            <color indexed="81"/>
            <rFont val="Tahoma"/>
            <family val="2"/>
          </rPr>
          <t>&lt;[[TCDeals] - [TC Property Current Stage (Seq: 1)] - [Buildings (Seq: 48)] Constr 8609 Credit - Both]&gt;</t>
        </r>
      </text>
    </comment>
    <comment ref="P1251" authorId="0" shapeId="0" xr:uid="{CAE87EDE-AF0C-41B7-8974-081C294E6338}">
      <text>
        <r>
          <rPr>
            <b/>
            <sz val="9"/>
            <color indexed="81"/>
            <rFont val="Tahoma"/>
            <family val="2"/>
          </rPr>
          <t>&lt;[[TCDeals] - [TC Property Current Stage (Seq: 1)] - [Buildings (Seq: 48)] Acq PIS Date - Both]&gt;</t>
        </r>
      </text>
    </comment>
    <comment ref="Q1251" authorId="0" shapeId="0" xr:uid="{DBAF69AD-3DC8-476F-82F5-89D29DB3765B}">
      <text>
        <r>
          <rPr>
            <b/>
            <sz val="9"/>
            <color indexed="81"/>
            <rFont val="Tahoma"/>
            <family val="2"/>
          </rPr>
          <t>&lt;[[TCDeals] - [TC Property Current Stage (Seq: 1)] - [Buildings (Seq: 48)] Acq Applicable Percentage - Both]&gt;</t>
        </r>
      </text>
    </comment>
    <comment ref="R1251" authorId="0" shapeId="0" xr:uid="{33381C74-0E96-46CF-8B50-0E8A22B5A15D}">
      <text>
        <r>
          <rPr>
            <b/>
            <sz val="9"/>
            <color indexed="81"/>
            <rFont val="Tahoma"/>
            <family val="2"/>
          </rPr>
          <t>&lt;[[TCDeals] - [TC Property Current Stage (Seq: 1)] - [Buildings (Seq: 48)] Acq Est Qual Basis - Both]&gt;</t>
        </r>
      </text>
    </comment>
    <comment ref="S1251" authorId="0" shapeId="0" xr:uid="{61B91661-2C56-4FFB-8A3F-4AAC42A66E45}">
      <text>
        <r>
          <rPr>
            <b/>
            <sz val="9"/>
            <color indexed="81"/>
            <rFont val="Tahoma"/>
            <family val="2"/>
          </rPr>
          <t>&lt;[[TCDeals] - [TC Property Current Stage (Seq: 1)] - [Buildings (Seq: 48)] Acq 8609 Basis - Both]&gt;</t>
        </r>
      </text>
    </comment>
    <comment ref="T1251" authorId="0" shapeId="0" xr:uid="{0B591F34-5E90-4BD4-A7C6-D182CD9485D7}">
      <text>
        <r>
          <rPr>
            <b/>
            <sz val="9"/>
            <color indexed="81"/>
            <rFont val="Tahoma"/>
            <family val="2"/>
          </rPr>
          <t>&lt;[[TCDeals] - [TC Property Current Stage (Seq: 1)] - [Buildings (Seq: 48)] Acq 8609 Credit - Both]&gt;</t>
        </r>
      </text>
    </comment>
    <comment ref="C1252" authorId="0" shapeId="0" xr:uid="{DC655BDE-F417-4081-BED5-A592C8F95395}">
      <text>
        <r>
          <rPr>
            <b/>
            <sz val="9"/>
            <color indexed="81"/>
            <rFont val="Tahoma"/>
            <family val="2"/>
          </rPr>
          <t>&lt;[[TCDeals] - [TC Property Current Stage (Seq: 1)] - [Buildings (Seq: 49)] BIN - Both]&gt;</t>
        </r>
      </text>
    </comment>
    <comment ref="D1252" authorId="0" shapeId="0" xr:uid="{0601D92D-8A8D-4A57-ADBB-1879B7A96EF3}">
      <text>
        <r>
          <rPr>
            <b/>
            <sz val="9"/>
            <color indexed="81"/>
            <rFont val="Tahoma"/>
            <family val="2"/>
          </rPr>
          <t>&lt;[[TCDeals] - [TC Property Current Stage (Seq: 1)] - [Buildings (Seq: 49)] Address 1 - Both]&gt;</t>
        </r>
      </text>
    </comment>
    <comment ref="E1252" authorId="0" shapeId="0" xr:uid="{EAF9EA9A-A8CF-4A45-94DF-5DB9E6DE1069}">
      <text>
        <r>
          <rPr>
            <b/>
            <sz val="9"/>
            <color indexed="81"/>
            <rFont val="Tahoma"/>
            <family val="2"/>
          </rPr>
          <t>&lt;[[TCDeals] - [TC Property Current Stage (Seq: 1)] - [Buildings (Seq: 49)] Num TC Units - Both]&gt;</t>
        </r>
      </text>
    </comment>
    <comment ref="F1252" authorId="0" shapeId="0" xr:uid="{2C4AD11B-8A43-4889-9339-14EB3D58BB72}">
      <text>
        <r>
          <rPr>
            <b/>
            <sz val="9"/>
            <color indexed="81"/>
            <rFont val="Tahoma"/>
            <family val="2"/>
          </rPr>
          <t>&lt;[[TCDeals] - [TC Property Current Stage (Seq: 1)] - [Buildings (Seq: 49)] PVC PIS Date - Both]&gt;</t>
        </r>
      </text>
    </comment>
    <comment ref="G1252" authorId="0" shapeId="0" xr:uid="{AB592161-1FE5-44C0-A545-AC04DCDB6D4F}">
      <text>
        <r>
          <rPr>
            <b/>
            <sz val="9"/>
            <color indexed="81"/>
            <rFont val="Tahoma"/>
            <family val="2"/>
          </rPr>
          <t>&lt;[[TCDeals] - [TC Property Current Stage (Seq: 1)] - [Buildings (Seq: 49)] PVC Applicable Percentage - Both]&gt;</t>
        </r>
      </text>
    </comment>
    <comment ref="H1252" authorId="0" shapeId="0" xr:uid="{3D1BF0F5-8103-408E-9469-720DB3AD5A4D}">
      <text>
        <r>
          <rPr>
            <b/>
            <sz val="9"/>
            <color indexed="81"/>
            <rFont val="Tahoma"/>
            <family val="2"/>
          </rPr>
          <t>&lt;[[TCDeals] - [TC Property Current Stage (Seq: 1)] - [Buildings (Seq: 49)] PVC Est Qual Basis - Both]&gt;</t>
        </r>
      </text>
    </comment>
    <comment ref="I1252" authorId="0" shapeId="0" xr:uid="{D286A23A-F0CD-422A-9F38-4C5C81B89B17}">
      <text>
        <r>
          <rPr>
            <b/>
            <sz val="9"/>
            <color indexed="81"/>
            <rFont val="Tahoma"/>
            <family val="2"/>
          </rPr>
          <t>&lt;[[TCDeals] - [TC Property Current Stage (Seq: 1)] - [Buildings (Seq: 49)] PVC8609 Basis - Both]&gt;</t>
        </r>
      </text>
    </comment>
    <comment ref="J1252" authorId="0" shapeId="0" xr:uid="{D085D436-09A9-4FA7-A637-19BFE3AA9DDC}">
      <text>
        <r>
          <rPr>
            <b/>
            <sz val="9"/>
            <color indexed="81"/>
            <rFont val="Tahoma"/>
            <family val="2"/>
          </rPr>
          <t>&lt;[[TCDeals] - [TC Property Current Stage (Seq: 1)] - [Buildings (Seq: 49)] PVC8609 Credit - Both]&gt;</t>
        </r>
      </text>
    </comment>
    <comment ref="K1252" authorId="0" shapeId="0" xr:uid="{41138AD2-C43C-4DB1-9243-E4B74ACD43CE}">
      <text>
        <r>
          <rPr>
            <b/>
            <sz val="9"/>
            <color indexed="81"/>
            <rFont val="Tahoma"/>
            <family val="2"/>
          </rPr>
          <t>&lt;[[TCDeals] - [TC Property Current Stage (Seq: 1)] - [Buildings (Seq: 49)] Constr PIS Date - Both]&gt;</t>
        </r>
      </text>
    </comment>
    <comment ref="L1252" authorId="0" shapeId="0" xr:uid="{B9C449C1-C775-43E6-9A25-8813653CED92}">
      <text>
        <r>
          <rPr>
            <b/>
            <sz val="9"/>
            <color indexed="81"/>
            <rFont val="Tahoma"/>
            <family val="2"/>
          </rPr>
          <t>&lt;[[TCDeals] - [TC Property Current Stage (Seq: 1)] - [Buildings (Seq: 49)] Constr Applicable Percentage - Both]&gt;</t>
        </r>
      </text>
    </comment>
    <comment ref="M1252" authorId="0" shapeId="0" xr:uid="{A553E185-B540-44B4-A0E8-2D27A28E5473}">
      <text>
        <r>
          <rPr>
            <b/>
            <sz val="9"/>
            <color indexed="81"/>
            <rFont val="Tahoma"/>
            <family val="2"/>
          </rPr>
          <t>&lt;[[TCDeals] - [TC Property Current Stage (Seq: 1)] - [Buildings (Seq: 49)] Constr Est Qual Basis - Both]&gt;</t>
        </r>
      </text>
    </comment>
    <comment ref="N1252" authorId="0" shapeId="0" xr:uid="{D6BDCA84-D338-4CEB-BA9D-1D9D566A93E5}">
      <text>
        <r>
          <rPr>
            <b/>
            <sz val="9"/>
            <color indexed="81"/>
            <rFont val="Tahoma"/>
            <family val="2"/>
          </rPr>
          <t>&lt;[[TCDeals] - [TC Property Current Stage (Seq: 1)] - [Buildings (Seq: 49)] Constr 8609 Basis - Both]&gt;</t>
        </r>
      </text>
    </comment>
    <comment ref="O1252" authorId="0" shapeId="0" xr:uid="{12A5DADF-71A1-49CD-8E76-700807F92F65}">
      <text>
        <r>
          <rPr>
            <b/>
            <sz val="9"/>
            <color indexed="81"/>
            <rFont val="Tahoma"/>
            <family val="2"/>
          </rPr>
          <t>&lt;[[TCDeals] - [TC Property Current Stage (Seq: 1)] - [Buildings (Seq: 49)] Constr 8609 Credit - Both]&gt;</t>
        </r>
      </text>
    </comment>
    <comment ref="P1252" authorId="0" shapeId="0" xr:uid="{7E8A8FE7-8F7D-4142-A8B0-3975C6ECD07F}">
      <text>
        <r>
          <rPr>
            <b/>
            <sz val="9"/>
            <color indexed="81"/>
            <rFont val="Tahoma"/>
            <family val="2"/>
          </rPr>
          <t>&lt;[[TCDeals] - [TC Property Current Stage (Seq: 1)] - [Buildings (Seq: 49)] Acq PIS Date - Both]&gt;</t>
        </r>
      </text>
    </comment>
    <comment ref="Q1252" authorId="0" shapeId="0" xr:uid="{4B0DDEF0-E254-4519-9780-5C21EB3A57FC}">
      <text>
        <r>
          <rPr>
            <b/>
            <sz val="9"/>
            <color indexed="81"/>
            <rFont val="Tahoma"/>
            <family val="2"/>
          </rPr>
          <t>&lt;[[TCDeals] - [TC Property Current Stage (Seq: 1)] - [Buildings (Seq: 49)] Acq Applicable Percentage - Both]&gt;</t>
        </r>
      </text>
    </comment>
    <comment ref="R1252" authorId="0" shapeId="0" xr:uid="{924E3097-573E-4BD2-B093-6684D4A45B5E}">
      <text>
        <r>
          <rPr>
            <b/>
            <sz val="9"/>
            <color indexed="81"/>
            <rFont val="Tahoma"/>
            <family val="2"/>
          </rPr>
          <t>&lt;[[TCDeals] - [TC Property Current Stage (Seq: 1)] - [Buildings (Seq: 49)] Acq Est Qual Basis - Both]&gt;</t>
        </r>
      </text>
    </comment>
    <comment ref="S1252" authorId="0" shapeId="0" xr:uid="{F2B1E24C-F50D-425E-803E-29C303034585}">
      <text>
        <r>
          <rPr>
            <b/>
            <sz val="9"/>
            <color indexed="81"/>
            <rFont val="Tahoma"/>
            <family val="2"/>
          </rPr>
          <t>&lt;[[TCDeals] - [TC Property Current Stage (Seq: 1)] - [Buildings (Seq: 49)] Acq 8609 Basis - Both]&gt;</t>
        </r>
      </text>
    </comment>
    <comment ref="T1252" authorId="0" shapeId="0" xr:uid="{8D22C670-8BC6-473E-801E-ADC8F9B5FD5F}">
      <text>
        <r>
          <rPr>
            <b/>
            <sz val="9"/>
            <color indexed="81"/>
            <rFont val="Tahoma"/>
            <family val="2"/>
          </rPr>
          <t>&lt;[[TCDeals] - [TC Property Current Stage (Seq: 1)] - [Buildings (Seq: 49)] Acq 8609 Credit - Both]&gt;</t>
        </r>
      </text>
    </comment>
    <comment ref="C1253" authorId="0" shapeId="0" xr:uid="{35ACB4E0-F589-4D59-BCB2-A14253B6131E}">
      <text>
        <r>
          <rPr>
            <b/>
            <sz val="9"/>
            <color indexed="81"/>
            <rFont val="Tahoma"/>
            <family val="2"/>
          </rPr>
          <t>&lt;[[TCDeals] - [TC Property Current Stage (Seq: 1)] - [Buildings (Seq: 50)] BIN - Both]&gt;</t>
        </r>
      </text>
    </comment>
    <comment ref="D1253" authorId="0" shapeId="0" xr:uid="{DA927A48-9911-433A-974D-449759BEEE4F}">
      <text>
        <r>
          <rPr>
            <b/>
            <sz val="9"/>
            <color indexed="81"/>
            <rFont val="Tahoma"/>
            <family val="2"/>
          </rPr>
          <t>&lt;[[TCDeals] - [TC Property Current Stage (Seq: 1)] - [Buildings (Seq: 50)] Address 1 - Both]&gt;</t>
        </r>
      </text>
    </comment>
    <comment ref="E1253" authorId="0" shapeId="0" xr:uid="{6CA91B52-B377-4390-834B-ACD18206EDD6}">
      <text>
        <r>
          <rPr>
            <b/>
            <sz val="9"/>
            <color indexed="81"/>
            <rFont val="Tahoma"/>
            <family val="2"/>
          </rPr>
          <t>&lt;[[TCDeals] - [TC Property Current Stage (Seq: 1)] - [Buildings (Seq: 50)] Num TC Units - Both]&gt;</t>
        </r>
      </text>
    </comment>
    <comment ref="F1253" authorId="0" shapeId="0" xr:uid="{4C70D43F-70CD-4AA3-B007-F8D1E9C11854}">
      <text>
        <r>
          <rPr>
            <b/>
            <sz val="9"/>
            <color indexed="81"/>
            <rFont val="Tahoma"/>
            <family val="2"/>
          </rPr>
          <t>&lt;[[TCDeals] - [TC Property Current Stage (Seq: 1)] - [Buildings (Seq: 50)] PVC PIS Date - Both]&gt;</t>
        </r>
      </text>
    </comment>
    <comment ref="G1253" authorId="0" shapeId="0" xr:uid="{1F240B37-F598-463A-814D-38CE05A14B77}">
      <text>
        <r>
          <rPr>
            <b/>
            <sz val="9"/>
            <color indexed="81"/>
            <rFont val="Tahoma"/>
            <family val="2"/>
          </rPr>
          <t>&lt;[[TCDeals] - [TC Property Current Stage (Seq: 1)] - [Buildings (Seq: 50)] PVC Applicable Percentage - Both]&gt;</t>
        </r>
      </text>
    </comment>
    <comment ref="H1253" authorId="0" shapeId="0" xr:uid="{CA82E3BF-9AC0-4D3B-B472-4916FC77EA36}">
      <text>
        <r>
          <rPr>
            <b/>
            <sz val="9"/>
            <color indexed="81"/>
            <rFont val="Tahoma"/>
            <family val="2"/>
          </rPr>
          <t>&lt;[[TCDeals] - [TC Property Current Stage (Seq: 1)] - [Buildings (Seq: 50)] PVC Est Qual Basis - Both]&gt;</t>
        </r>
      </text>
    </comment>
    <comment ref="I1253" authorId="0" shapeId="0" xr:uid="{E40D98F8-5E22-4D38-97FE-D1248D19D470}">
      <text>
        <r>
          <rPr>
            <b/>
            <sz val="9"/>
            <color indexed="81"/>
            <rFont val="Tahoma"/>
            <family val="2"/>
          </rPr>
          <t>&lt;[[TCDeals] - [TC Property Current Stage (Seq: 1)] - [Buildings (Seq: 50)] PVC8609 Basis - Both]&gt;</t>
        </r>
      </text>
    </comment>
    <comment ref="J1253" authorId="0" shapeId="0" xr:uid="{8588BDDC-E4D6-4290-9860-53BE3D9F564B}">
      <text>
        <r>
          <rPr>
            <b/>
            <sz val="9"/>
            <color indexed="81"/>
            <rFont val="Tahoma"/>
            <family val="2"/>
          </rPr>
          <t>&lt;[[TCDeals] - [TC Property Current Stage (Seq: 1)] - [Buildings (Seq: 50)] PVC8609 Credit - Both]&gt;</t>
        </r>
      </text>
    </comment>
    <comment ref="K1253" authorId="0" shapeId="0" xr:uid="{3E82FCFD-6148-422E-BEB5-BB84F29A8D53}">
      <text>
        <r>
          <rPr>
            <b/>
            <sz val="9"/>
            <color indexed="81"/>
            <rFont val="Tahoma"/>
            <family val="2"/>
          </rPr>
          <t>&lt;[[TCDeals] - [TC Property Current Stage (Seq: 1)] - [Buildings (Seq: 50)] Constr PIS Date - Both]&gt;</t>
        </r>
      </text>
    </comment>
    <comment ref="L1253" authorId="0" shapeId="0" xr:uid="{C8BFFAB6-F211-4769-AF5B-5A184483B641}">
      <text>
        <r>
          <rPr>
            <b/>
            <sz val="9"/>
            <color indexed="81"/>
            <rFont val="Tahoma"/>
            <family val="2"/>
          </rPr>
          <t>&lt;[[TCDeals] - [TC Property Current Stage (Seq: 1)] - [Buildings (Seq: 50)] Constr Applicable Percentage - Both]&gt;</t>
        </r>
      </text>
    </comment>
    <comment ref="M1253" authorId="0" shapeId="0" xr:uid="{0AACC6FA-3037-461A-84CE-4FDD58C6031D}">
      <text>
        <r>
          <rPr>
            <b/>
            <sz val="9"/>
            <color indexed="81"/>
            <rFont val="Tahoma"/>
            <family val="2"/>
          </rPr>
          <t>&lt;[[TCDeals] - [TC Property Current Stage (Seq: 1)] - [Buildings (Seq: 50)] Constr Est Qual Basis - Both]&gt;</t>
        </r>
      </text>
    </comment>
    <comment ref="N1253" authorId="0" shapeId="0" xr:uid="{4203FED5-ADDF-4F1F-B96C-FE8AD5E34672}">
      <text>
        <r>
          <rPr>
            <b/>
            <sz val="9"/>
            <color indexed="81"/>
            <rFont val="Tahoma"/>
            <family val="2"/>
          </rPr>
          <t>&lt;[[TCDeals] - [TC Property Current Stage (Seq: 1)] - [Buildings (Seq: 50)] Constr 8609 Basis - Both]&gt;</t>
        </r>
      </text>
    </comment>
    <comment ref="O1253" authorId="0" shapeId="0" xr:uid="{3BCA2340-FFE1-42C9-B09F-589FBCA692D9}">
      <text>
        <r>
          <rPr>
            <b/>
            <sz val="9"/>
            <color indexed="81"/>
            <rFont val="Tahoma"/>
            <family val="2"/>
          </rPr>
          <t>&lt;[[TCDeals] - [TC Property Current Stage (Seq: 1)] - [Buildings (Seq: 50)] Constr 8609 Credit - Both]&gt;</t>
        </r>
      </text>
    </comment>
    <comment ref="P1253" authorId="0" shapeId="0" xr:uid="{26C008CD-A9B8-46CC-8AED-8ED918426BCA}">
      <text>
        <r>
          <rPr>
            <b/>
            <sz val="9"/>
            <color indexed="81"/>
            <rFont val="Tahoma"/>
            <family val="2"/>
          </rPr>
          <t>&lt;[[TCDeals] - [TC Property Current Stage (Seq: 1)] - [Buildings (Seq: 50)] Acq PIS Date - Both]&gt;</t>
        </r>
      </text>
    </comment>
    <comment ref="Q1253" authorId="0" shapeId="0" xr:uid="{160C1112-F9AE-4C3A-A893-692CAC8CF1A3}">
      <text>
        <r>
          <rPr>
            <b/>
            <sz val="9"/>
            <color indexed="81"/>
            <rFont val="Tahoma"/>
            <family val="2"/>
          </rPr>
          <t>&lt;[[TCDeals] - [TC Property Current Stage (Seq: 1)] - [Buildings (Seq: 50)] Acq Applicable Percentage - Both]&gt;</t>
        </r>
      </text>
    </comment>
    <comment ref="R1253" authorId="0" shapeId="0" xr:uid="{8C05D458-D565-42A5-BA2B-7C12BACB58FC}">
      <text>
        <r>
          <rPr>
            <b/>
            <sz val="9"/>
            <color indexed="81"/>
            <rFont val="Tahoma"/>
            <family val="2"/>
          </rPr>
          <t>&lt;[[TCDeals] - [TC Property Current Stage (Seq: 1)] - [Buildings (Seq: 50)] Acq Est Qual Basis - Both]&gt;</t>
        </r>
      </text>
    </comment>
    <comment ref="S1253" authorId="0" shapeId="0" xr:uid="{F7CF8755-4430-431E-B09D-AEA52843D668}">
      <text>
        <r>
          <rPr>
            <b/>
            <sz val="9"/>
            <color indexed="81"/>
            <rFont val="Tahoma"/>
            <family val="2"/>
          </rPr>
          <t>&lt;[[TCDeals] - [TC Property Current Stage (Seq: 1)] - [Buildings (Seq: 50)] Acq 8609 Basis - Both]&gt;</t>
        </r>
      </text>
    </comment>
    <comment ref="T1253" authorId="0" shapeId="0" xr:uid="{58855D68-9E0F-4D16-B6D9-C09F7672EAF3}">
      <text>
        <r>
          <rPr>
            <b/>
            <sz val="9"/>
            <color indexed="81"/>
            <rFont val="Tahoma"/>
            <family val="2"/>
          </rPr>
          <t>&lt;[[TCDeals] - [TC Property Current Stage (Seq: 1)] - [Buildings (Seq: 50)] Acq 8609 Credit - Both]&gt;</t>
        </r>
      </text>
    </comment>
    <comment ref="C1254" authorId="0" shapeId="0" xr:uid="{DB4FD7C4-D74C-4158-AA06-F39FF4E6A6D4}">
      <text>
        <r>
          <rPr>
            <b/>
            <sz val="9"/>
            <color indexed="81"/>
            <rFont val="Tahoma"/>
            <family val="2"/>
          </rPr>
          <t>&lt;[[TCDeals] - [TC Property Current Stage (Seq: 1)] - [Buildings (Seq: 51)] BIN - Both]&gt;</t>
        </r>
      </text>
    </comment>
    <comment ref="D1254" authorId="0" shapeId="0" xr:uid="{CB26DF5E-51F7-4AE0-927C-8DC7099175EE}">
      <text>
        <r>
          <rPr>
            <b/>
            <sz val="9"/>
            <color indexed="81"/>
            <rFont val="Tahoma"/>
            <family val="2"/>
          </rPr>
          <t>&lt;[[TCDeals] - [TC Property Current Stage (Seq: 1)] - [Buildings (Seq: 51)] Address 1 - Both]&gt;</t>
        </r>
      </text>
    </comment>
    <comment ref="E1254" authorId="0" shapeId="0" xr:uid="{6A74C3FB-A3C3-450C-A930-3C812B4D376C}">
      <text>
        <r>
          <rPr>
            <b/>
            <sz val="9"/>
            <color indexed="81"/>
            <rFont val="Tahoma"/>
            <family val="2"/>
          </rPr>
          <t>&lt;[[TCDeals] - [TC Property Current Stage (Seq: 1)] - [Buildings (Seq: 51)] Num TC Units - Both]&gt;</t>
        </r>
      </text>
    </comment>
    <comment ref="F1254" authorId="0" shapeId="0" xr:uid="{BC4897C7-4CB2-4B2F-9A07-B8B9087039EF}">
      <text>
        <r>
          <rPr>
            <b/>
            <sz val="9"/>
            <color indexed="81"/>
            <rFont val="Tahoma"/>
            <family val="2"/>
          </rPr>
          <t>&lt;[[TCDeals] - [TC Property Current Stage (Seq: 1)] - [Buildings (Seq: 51)] PVC PIS Date - Both]&gt;</t>
        </r>
      </text>
    </comment>
    <comment ref="G1254" authorId="0" shapeId="0" xr:uid="{7E522575-C609-48A9-A49A-1C97894072BC}">
      <text>
        <r>
          <rPr>
            <b/>
            <sz val="9"/>
            <color indexed="81"/>
            <rFont val="Tahoma"/>
            <family val="2"/>
          </rPr>
          <t>&lt;[[TCDeals] - [TC Property Current Stage (Seq: 1)] - [Buildings (Seq: 51)] PVC Applicable Percentage - Both]&gt;</t>
        </r>
      </text>
    </comment>
    <comment ref="H1254" authorId="0" shapeId="0" xr:uid="{B93B49F7-116B-440E-B096-E29599921183}">
      <text>
        <r>
          <rPr>
            <b/>
            <sz val="9"/>
            <color indexed="81"/>
            <rFont val="Tahoma"/>
            <family val="2"/>
          </rPr>
          <t>&lt;[[TCDeals] - [TC Property Current Stage (Seq: 1)] - [Buildings (Seq: 51)] PVC Est Qual Basis - Both]&gt;</t>
        </r>
      </text>
    </comment>
    <comment ref="I1254" authorId="0" shapeId="0" xr:uid="{527AA2D4-03EE-4DC6-BB7C-6BCDB763CAC8}">
      <text>
        <r>
          <rPr>
            <b/>
            <sz val="9"/>
            <color indexed="81"/>
            <rFont val="Tahoma"/>
            <family val="2"/>
          </rPr>
          <t>&lt;[[TCDeals] - [TC Property Current Stage (Seq: 1)] - [Buildings (Seq: 51)] PVC8609 Basis - Both]&gt;</t>
        </r>
      </text>
    </comment>
    <comment ref="J1254" authorId="0" shapeId="0" xr:uid="{DFE4A166-CE39-4AD5-B01C-946A58131AAC}">
      <text>
        <r>
          <rPr>
            <b/>
            <sz val="9"/>
            <color indexed="81"/>
            <rFont val="Tahoma"/>
            <family val="2"/>
          </rPr>
          <t>&lt;[[TCDeals] - [TC Property Current Stage (Seq: 1)] - [Buildings (Seq: 51)] PVC8609 Credit - Both]&gt;</t>
        </r>
      </text>
    </comment>
    <comment ref="K1254" authorId="0" shapeId="0" xr:uid="{0C78A959-C450-467B-B80A-58C864C8BB23}">
      <text>
        <r>
          <rPr>
            <b/>
            <sz val="9"/>
            <color indexed="81"/>
            <rFont val="Tahoma"/>
            <family val="2"/>
          </rPr>
          <t>&lt;[[TCDeals] - [TC Property Current Stage (Seq: 1)] - [Buildings (Seq: 51)] Constr PIS Date - Both]&gt;</t>
        </r>
      </text>
    </comment>
    <comment ref="L1254" authorId="0" shapeId="0" xr:uid="{001B21E6-1F69-48C0-A8D5-EF520EF0B95E}">
      <text>
        <r>
          <rPr>
            <b/>
            <sz val="9"/>
            <color indexed="81"/>
            <rFont val="Tahoma"/>
            <family val="2"/>
          </rPr>
          <t>&lt;[[TCDeals] - [TC Property Current Stage (Seq: 1)] - [Buildings (Seq: 51)] Constr Applicable Percentage - Both]&gt;</t>
        </r>
      </text>
    </comment>
    <comment ref="M1254" authorId="0" shapeId="0" xr:uid="{9162F681-6ED5-443A-9CCF-355F49A8A361}">
      <text>
        <r>
          <rPr>
            <b/>
            <sz val="9"/>
            <color indexed="81"/>
            <rFont val="Tahoma"/>
            <family val="2"/>
          </rPr>
          <t>&lt;[[TCDeals] - [TC Property Current Stage (Seq: 1)] - [Buildings (Seq: 51)] Constr Est Qual Basis - Both]&gt;</t>
        </r>
      </text>
    </comment>
    <comment ref="N1254" authorId="0" shapeId="0" xr:uid="{EAF0352A-CE6B-4E5A-8C5B-663ECF3582D2}">
      <text>
        <r>
          <rPr>
            <b/>
            <sz val="9"/>
            <color indexed="81"/>
            <rFont val="Tahoma"/>
            <family val="2"/>
          </rPr>
          <t>&lt;[[TCDeals] - [TC Property Current Stage (Seq: 1)] - [Buildings (Seq: 51)] Constr 8609 Basis - Both]&gt;</t>
        </r>
      </text>
    </comment>
    <comment ref="O1254" authorId="0" shapeId="0" xr:uid="{654904D7-6092-4A48-812E-878D9C7CC58B}">
      <text>
        <r>
          <rPr>
            <b/>
            <sz val="9"/>
            <color indexed="81"/>
            <rFont val="Tahoma"/>
            <family val="2"/>
          </rPr>
          <t>&lt;[[TCDeals] - [TC Property Current Stage (Seq: 1)] - [Buildings (Seq: 51)] Constr 8609 Credit - Both]&gt;</t>
        </r>
      </text>
    </comment>
    <comment ref="P1254" authorId="0" shapeId="0" xr:uid="{B99FC048-AB9E-4AEE-BABA-E529467C82DD}">
      <text>
        <r>
          <rPr>
            <b/>
            <sz val="9"/>
            <color indexed="81"/>
            <rFont val="Tahoma"/>
            <family val="2"/>
          </rPr>
          <t>&lt;[[TCDeals] - [TC Property Current Stage (Seq: 1)] - [Buildings (Seq: 51)] Acq PIS Date - Both]&gt;</t>
        </r>
      </text>
    </comment>
    <comment ref="Q1254" authorId="0" shapeId="0" xr:uid="{53A2F6A3-8A3C-49EB-87BB-9CC11544AAA5}">
      <text>
        <r>
          <rPr>
            <b/>
            <sz val="9"/>
            <color indexed="81"/>
            <rFont val="Tahoma"/>
            <family val="2"/>
          </rPr>
          <t>&lt;[[TCDeals] - [TC Property Current Stage (Seq: 1)] - [Buildings (Seq: 51)] Acq Applicable Percentage - Both]&gt;</t>
        </r>
      </text>
    </comment>
    <comment ref="R1254" authorId="0" shapeId="0" xr:uid="{921DDA2F-8C93-46CF-A6CE-A4FA18A71F6F}">
      <text>
        <r>
          <rPr>
            <b/>
            <sz val="9"/>
            <color indexed="81"/>
            <rFont val="Tahoma"/>
            <family val="2"/>
          </rPr>
          <t>&lt;[[TCDeals] - [TC Property Current Stage (Seq: 1)] - [Buildings (Seq: 51)] Acq Est Qual Basis - Both]&gt;</t>
        </r>
      </text>
    </comment>
    <comment ref="S1254" authorId="0" shapeId="0" xr:uid="{58B5CDF1-CC66-4425-9680-940B6A302CEF}">
      <text>
        <r>
          <rPr>
            <b/>
            <sz val="9"/>
            <color indexed="81"/>
            <rFont val="Tahoma"/>
            <family val="2"/>
          </rPr>
          <t>&lt;[[TCDeals] - [TC Property Current Stage (Seq: 1)] - [Buildings (Seq: 51)] Acq 8609 Basis - Both]&gt;</t>
        </r>
      </text>
    </comment>
    <comment ref="T1254" authorId="0" shapeId="0" xr:uid="{AED3CC8F-83AD-447B-92DC-A4DEA6CEBF78}">
      <text>
        <r>
          <rPr>
            <b/>
            <sz val="9"/>
            <color indexed="81"/>
            <rFont val="Tahoma"/>
            <family val="2"/>
          </rPr>
          <t>&lt;[[TCDeals] - [TC Property Current Stage (Seq: 1)] - [Buildings (Seq: 51)] Acq 8609 Credit - Both]&gt;</t>
        </r>
      </text>
    </comment>
    <comment ref="C1255" authorId="0" shapeId="0" xr:uid="{AA1AF19F-8029-4034-A1A6-3E12C72FF3DB}">
      <text>
        <r>
          <rPr>
            <b/>
            <sz val="9"/>
            <color indexed="81"/>
            <rFont val="Tahoma"/>
            <family val="2"/>
          </rPr>
          <t>&lt;[[TCDeals] - [TC Property Current Stage (Seq: 1)] - [Buildings (Seq: 52)] BIN - Both]&gt;</t>
        </r>
      </text>
    </comment>
    <comment ref="D1255" authorId="0" shapeId="0" xr:uid="{68DABB23-6F3E-45BA-99BA-5DE1DD87385E}">
      <text>
        <r>
          <rPr>
            <b/>
            <sz val="9"/>
            <color indexed="81"/>
            <rFont val="Tahoma"/>
            <family val="2"/>
          </rPr>
          <t>&lt;[[TCDeals] - [TC Property Current Stage (Seq: 1)] - [Buildings (Seq: 52)] Address 1 - Both]&gt;</t>
        </r>
      </text>
    </comment>
    <comment ref="E1255" authorId="0" shapeId="0" xr:uid="{45015D09-5017-456C-904C-7A05B3B62CE7}">
      <text>
        <r>
          <rPr>
            <b/>
            <sz val="9"/>
            <color indexed="81"/>
            <rFont val="Tahoma"/>
            <family val="2"/>
          </rPr>
          <t>&lt;[[TCDeals] - [TC Property Current Stage (Seq: 1)] - [Buildings (Seq: 52)] Num TC Units - Both]&gt;</t>
        </r>
      </text>
    </comment>
    <comment ref="F1255" authorId="0" shapeId="0" xr:uid="{CCAD9CE6-34D7-46A0-8A5A-AC2A70218051}">
      <text>
        <r>
          <rPr>
            <b/>
            <sz val="9"/>
            <color indexed="81"/>
            <rFont val="Tahoma"/>
            <family val="2"/>
          </rPr>
          <t>&lt;[[TCDeals] - [TC Property Current Stage (Seq: 1)] - [Buildings (Seq: 52)] PVC PIS Date - Both]&gt;</t>
        </r>
      </text>
    </comment>
    <comment ref="G1255" authorId="0" shapeId="0" xr:uid="{0F240025-6378-4DC8-BCB0-4DB07D973697}">
      <text>
        <r>
          <rPr>
            <b/>
            <sz val="9"/>
            <color indexed="81"/>
            <rFont val="Tahoma"/>
            <family val="2"/>
          </rPr>
          <t>&lt;[[TCDeals] - [TC Property Current Stage (Seq: 1)] - [Buildings (Seq: 52)] PVC Applicable Percentage - Both]&gt;</t>
        </r>
      </text>
    </comment>
    <comment ref="H1255" authorId="0" shapeId="0" xr:uid="{BAB8E3E2-A602-42C0-B756-A220BF41C811}">
      <text>
        <r>
          <rPr>
            <b/>
            <sz val="9"/>
            <color indexed="81"/>
            <rFont val="Tahoma"/>
            <family val="2"/>
          </rPr>
          <t>&lt;[[TCDeals] - [TC Property Current Stage (Seq: 1)] - [Buildings (Seq: 52)] PVC Est Qual Basis - Both]&gt;</t>
        </r>
      </text>
    </comment>
    <comment ref="I1255" authorId="0" shapeId="0" xr:uid="{24CD181D-BD0D-47AC-91D1-A80841613C76}">
      <text>
        <r>
          <rPr>
            <b/>
            <sz val="9"/>
            <color indexed="81"/>
            <rFont val="Tahoma"/>
            <family val="2"/>
          </rPr>
          <t>&lt;[[TCDeals] - [TC Property Current Stage (Seq: 1)] - [Buildings (Seq: 52)] PVC8609 Basis - Both]&gt;</t>
        </r>
      </text>
    </comment>
    <comment ref="J1255" authorId="0" shapeId="0" xr:uid="{B12EA69C-9B92-4561-8CD4-147722D7A5A1}">
      <text>
        <r>
          <rPr>
            <b/>
            <sz val="9"/>
            <color indexed="81"/>
            <rFont val="Tahoma"/>
            <family val="2"/>
          </rPr>
          <t>&lt;[[TCDeals] - [TC Property Current Stage (Seq: 1)] - [Buildings (Seq: 52)] PVC8609 Credit - Both]&gt;</t>
        </r>
      </text>
    </comment>
    <comment ref="K1255" authorId="0" shapeId="0" xr:uid="{C338FECA-5263-4B30-81D4-5A7F4CFE652F}">
      <text>
        <r>
          <rPr>
            <b/>
            <sz val="9"/>
            <color indexed="81"/>
            <rFont val="Tahoma"/>
            <family val="2"/>
          </rPr>
          <t>&lt;[[TCDeals] - [TC Property Current Stage (Seq: 1)] - [Buildings (Seq: 52)] Constr PIS Date - Both]&gt;</t>
        </r>
      </text>
    </comment>
    <comment ref="L1255" authorId="0" shapeId="0" xr:uid="{688A0D38-4C77-4797-9EB8-694A13EEBB67}">
      <text>
        <r>
          <rPr>
            <b/>
            <sz val="9"/>
            <color indexed="81"/>
            <rFont val="Tahoma"/>
            <family val="2"/>
          </rPr>
          <t>&lt;[[TCDeals] - [TC Property Current Stage (Seq: 1)] - [Buildings (Seq: 52)] Constr Applicable Percentage - Both]&gt;</t>
        </r>
      </text>
    </comment>
    <comment ref="M1255" authorId="0" shapeId="0" xr:uid="{95511623-33F6-498B-990B-C93F1D214D9A}">
      <text>
        <r>
          <rPr>
            <b/>
            <sz val="9"/>
            <color indexed="81"/>
            <rFont val="Tahoma"/>
            <family val="2"/>
          </rPr>
          <t>&lt;[[TCDeals] - [TC Property Current Stage (Seq: 1)] - [Buildings (Seq: 52)] Constr Est Qual Basis - Both]&gt;</t>
        </r>
      </text>
    </comment>
    <comment ref="N1255" authorId="0" shapeId="0" xr:uid="{D4505BAD-18E8-4697-B5CB-8DCBC9F75D79}">
      <text>
        <r>
          <rPr>
            <b/>
            <sz val="9"/>
            <color indexed="81"/>
            <rFont val="Tahoma"/>
            <family val="2"/>
          </rPr>
          <t>&lt;[[TCDeals] - [TC Property Current Stage (Seq: 1)] - [Buildings (Seq: 52)] Constr 8609 Basis - Both]&gt;</t>
        </r>
      </text>
    </comment>
    <comment ref="O1255" authorId="0" shapeId="0" xr:uid="{56057FD5-0284-4A2C-8C07-0603EC7DB5DC}">
      <text>
        <r>
          <rPr>
            <b/>
            <sz val="9"/>
            <color indexed="81"/>
            <rFont val="Tahoma"/>
            <family val="2"/>
          </rPr>
          <t>&lt;[[TCDeals] - [TC Property Current Stage (Seq: 1)] - [Buildings (Seq: 52)] Constr 8609 Credit - Both]&gt;</t>
        </r>
      </text>
    </comment>
    <comment ref="P1255" authorId="0" shapeId="0" xr:uid="{BE55A02A-1B98-4137-A8CB-A59C18D53F96}">
      <text>
        <r>
          <rPr>
            <b/>
            <sz val="9"/>
            <color indexed="81"/>
            <rFont val="Tahoma"/>
            <family val="2"/>
          </rPr>
          <t>&lt;[[TCDeals] - [TC Property Current Stage (Seq: 1)] - [Buildings (Seq: 52)] Acq PIS Date - Both]&gt;</t>
        </r>
      </text>
    </comment>
    <comment ref="Q1255" authorId="0" shapeId="0" xr:uid="{2DC1CF25-78A7-412E-B397-DD6CE9BA0192}">
      <text>
        <r>
          <rPr>
            <b/>
            <sz val="9"/>
            <color indexed="81"/>
            <rFont val="Tahoma"/>
            <family val="2"/>
          </rPr>
          <t>&lt;[[TCDeals] - [TC Property Current Stage (Seq: 1)] - [Buildings (Seq: 52)] Acq Applicable Percentage - Both]&gt;</t>
        </r>
      </text>
    </comment>
    <comment ref="R1255" authorId="0" shapeId="0" xr:uid="{82896B3C-A7BF-4F55-B468-330ADF9C12A5}">
      <text>
        <r>
          <rPr>
            <b/>
            <sz val="9"/>
            <color indexed="81"/>
            <rFont val="Tahoma"/>
            <family val="2"/>
          </rPr>
          <t>&lt;[[TCDeals] - [TC Property Current Stage (Seq: 1)] - [Buildings (Seq: 52)] Acq Est Qual Basis - Both]&gt;</t>
        </r>
      </text>
    </comment>
    <comment ref="S1255" authorId="0" shapeId="0" xr:uid="{40491499-4FCA-4A42-94E5-98CDFDD634D4}">
      <text>
        <r>
          <rPr>
            <b/>
            <sz val="9"/>
            <color indexed="81"/>
            <rFont val="Tahoma"/>
            <family val="2"/>
          </rPr>
          <t>&lt;[[TCDeals] - [TC Property Current Stage (Seq: 1)] - [Buildings (Seq: 52)] Acq 8609 Basis - Both]&gt;</t>
        </r>
      </text>
    </comment>
    <comment ref="T1255" authorId="0" shapeId="0" xr:uid="{E91E7CC8-0237-4276-A873-26AED7A4EEA7}">
      <text>
        <r>
          <rPr>
            <b/>
            <sz val="9"/>
            <color indexed="81"/>
            <rFont val="Tahoma"/>
            <family val="2"/>
          </rPr>
          <t>&lt;[[TCDeals] - [TC Property Current Stage (Seq: 1)] - [Buildings (Seq: 52)] Acq 8609 Credit - Both]&gt;</t>
        </r>
      </text>
    </comment>
    <comment ref="C1256" authorId="0" shapeId="0" xr:uid="{2D91027C-4D16-42AF-AA07-D95FA0B8E449}">
      <text>
        <r>
          <rPr>
            <b/>
            <sz val="9"/>
            <color indexed="81"/>
            <rFont val="Tahoma"/>
            <family val="2"/>
          </rPr>
          <t>&lt;[[TCDeals] - [TC Property Current Stage (Seq: 1)] - [Buildings (Seq: 53)] BIN - Both]&gt;</t>
        </r>
      </text>
    </comment>
    <comment ref="D1256" authorId="0" shapeId="0" xr:uid="{1E033C50-9E24-46CC-A43F-62E59B457580}">
      <text>
        <r>
          <rPr>
            <b/>
            <sz val="9"/>
            <color indexed="81"/>
            <rFont val="Tahoma"/>
            <family val="2"/>
          </rPr>
          <t>&lt;[[TCDeals] - [TC Property Current Stage (Seq: 1)] - [Buildings (Seq: 53)] Address 1 - Both]&gt;</t>
        </r>
      </text>
    </comment>
    <comment ref="E1256" authorId="0" shapeId="0" xr:uid="{DE79309A-C1A7-4D7C-87D6-49C2E51BC408}">
      <text>
        <r>
          <rPr>
            <b/>
            <sz val="9"/>
            <color indexed="81"/>
            <rFont val="Tahoma"/>
            <family val="2"/>
          </rPr>
          <t>&lt;[[TCDeals] - [TC Property Current Stage (Seq: 1)] - [Buildings (Seq: 53)] Num TC Units - Both]&gt;</t>
        </r>
      </text>
    </comment>
    <comment ref="F1256" authorId="0" shapeId="0" xr:uid="{17B65B35-687F-4E48-8B0B-0FFB408C6A0D}">
      <text>
        <r>
          <rPr>
            <b/>
            <sz val="9"/>
            <color indexed="81"/>
            <rFont val="Tahoma"/>
            <family val="2"/>
          </rPr>
          <t>&lt;[[TCDeals] - [TC Property Current Stage (Seq: 1)] - [Buildings (Seq: 53)] PVC PIS Date - Both]&gt;</t>
        </r>
      </text>
    </comment>
    <comment ref="G1256" authorId="0" shapeId="0" xr:uid="{48A30023-7C3A-4C9E-8E63-E54A113CC1F5}">
      <text>
        <r>
          <rPr>
            <b/>
            <sz val="9"/>
            <color indexed="81"/>
            <rFont val="Tahoma"/>
            <family val="2"/>
          </rPr>
          <t>&lt;[[TCDeals] - [TC Property Current Stage (Seq: 1)] - [Buildings (Seq: 53)] PVC Applicable Percentage - Both]&gt;</t>
        </r>
      </text>
    </comment>
    <comment ref="H1256" authorId="0" shapeId="0" xr:uid="{3B11D27E-75C0-490E-A50B-53E910DE55D1}">
      <text>
        <r>
          <rPr>
            <b/>
            <sz val="9"/>
            <color indexed="81"/>
            <rFont val="Tahoma"/>
            <family val="2"/>
          </rPr>
          <t>&lt;[[TCDeals] - [TC Property Current Stage (Seq: 1)] - [Buildings (Seq: 53)] PVC Est Qual Basis - Both]&gt;</t>
        </r>
      </text>
    </comment>
    <comment ref="I1256" authorId="0" shapeId="0" xr:uid="{1E4D2897-A6AF-4A58-97C6-65FEEC0E344E}">
      <text>
        <r>
          <rPr>
            <b/>
            <sz val="9"/>
            <color indexed="81"/>
            <rFont val="Tahoma"/>
            <family val="2"/>
          </rPr>
          <t>&lt;[[TCDeals] - [TC Property Current Stage (Seq: 1)] - [Buildings (Seq: 53)] PVC8609 Basis - Both]&gt;</t>
        </r>
      </text>
    </comment>
    <comment ref="J1256" authorId="0" shapeId="0" xr:uid="{CA7254BC-BE26-484C-B3C7-13E2B5605566}">
      <text>
        <r>
          <rPr>
            <b/>
            <sz val="9"/>
            <color indexed="81"/>
            <rFont val="Tahoma"/>
            <family val="2"/>
          </rPr>
          <t>&lt;[[TCDeals] - [TC Property Current Stage (Seq: 1)] - [Buildings (Seq: 53)] PVC8609 Credit - Both]&gt;</t>
        </r>
      </text>
    </comment>
    <comment ref="K1256" authorId="0" shapeId="0" xr:uid="{3D72E3DD-9DBE-4B7B-85C0-0AE20FE98322}">
      <text>
        <r>
          <rPr>
            <b/>
            <sz val="9"/>
            <color indexed="81"/>
            <rFont val="Tahoma"/>
            <family val="2"/>
          </rPr>
          <t>&lt;[[TCDeals] - [TC Property Current Stage (Seq: 1)] - [Buildings (Seq: 53)] Constr PIS Date - Both]&gt;</t>
        </r>
      </text>
    </comment>
    <comment ref="L1256" authorId="0" shapeId="0" xr:uid="{81D9DE42-4BA7-464C-82AF-E1D7CB6D116E}">
      <text>
        <r>
          <rPr>
            <b/>
            <sz val="9"/>
            <color indexed="81"/>
            <rFont val="Tahoma"/>
            <family val="2"/>
          </rPr>
          <t>&lt;[[TCDeals] - [TC Property Current Stage (Seq: 1)] - [Buildings (Seq: 53)] Constr Applicable Percentage - Both]&gt;</t>
        </r>
      </text>
    </comment>
    <comment ref="M1256" authorId="0" shapeId="0" xr:uid="{38E1602A-5562-4A8D-B5D1-88A2025A3990}">
      <text>
        <r>
          <rPr>
            <b/>
            <sz val="9"/>
            <color indexed="81"/>
            <rFont val="Tahoma"/>
            <family val="2"/>
          </rPr>
          <t>&lt;[[TCDeals] - [TC Property Current Stage (Seq: 1)] - [Buildings (Seq: 53)] Constr Est Qual Basis - Both]&gt;</t>
        </r>
      </text>
    </comment>
    <comment ref="N1256" authorId="0" shapeId="0" xr:uid="{F81CA66D-834F-4D75-BA72-820FF9EB7379}">
      <text>
        <r>
          <rPr>
            <b/>
            <sz val="9"/>
            <color indexed="81"/>
            <rFont val="Tahoma"/>
            <family val="2"/>
          </rPr>
          <t>&lt;[[TCDeals] - [TC Property Current Stage (Seq: 1)] - [Buildings (Seq: 53)] Constr 8609 Basis - Both]&gt;</t>
        </r>
      </text>
    </comment>
    <comment ref="O1256" authorId="0" shapeId="0" xr:uid="{91134E37-2EF4-4576-9C21-FBCF3C15F5C9}">
      <text>
        <r>
          <rPr>
            <b/>
            <sz val="9"/>
            <color indexed="81"/>
            <rFont val="Tahoma"/>
            <family val="2"/>
          </rPr>
          <t>&lt;[[TCDeals] - [TC Property Current Stage (Seq: 1)] - [Buildings (Seq: 53)] Constr 8609 Credit - Both]&gt;</t>
        </r>
      </text>
    </comment>
    <comment ref="P1256" authorId="0" shapeId="0" xr:uid="{0F1C5F1A-D850-4290-8A68-37EDE4EE9E61}">
      <text>
        <r>
          <rPr>
            <b/>
            <sz val="9"/>
            <color indexed="81"/>
            <rFont val="Tahoma"/>
            <family val="2"/>
          </rPr>
          <t>&lt;[[TCDeals] - [TC Property Current Stage (Seq: 1)] - [Buildings (Seq: 53)] Acq PIS Date - Both]&gt;</t>
        </r>
      </text>
    </comment>
    <comment ref="Q1256" authorId="0" shapeId="0" xr:uid="{4A8EC68A-358B-438F-8CF0-A189E46C6F41}">
      <text>
        <r>
          <rPr>
            <b/>
            <sz val="9"/>
            <color indexed="81"/>
            <rFont val="Tahoma"/>
            <family val="2"/>
          </rPr>
          <t>&lt;[[TCDeals] - [TC Property Current Stage (Seq: 1)] - [Buildings (Seq: 53)] Acq Applicable Percentage - Both]&gt;</t>
        </r>
      </text>
    </comment>
    <comment ref="R1256" authorId="0" shapeId="0" xr:uid="{762436B9-B6AD-4CD6-A94E-107EE06AF3DE}">
      <text>
        <r>
          <rPr>
            <b/>
            <sz val="9"/>
            <color indexed="81"/>
            <rFont val="Tahoma"/>
            <family val="2"/>
          </rPr>
          <t>&lt;[[TCDeals] - [TC Property Current Stage (Seq: 1)] - [Buildings (Seq: 53)] Acq Est Qual Basis - Both]&gt;</t>
        </r>
      </text>
    </comment>
    <comment ref="S1256" authorId="0" shapeId="0" xr:uid="{766A61C3-CD39-49A9-A32D-C0CC64C04391}">
      <text>
        <r>
          <rPr>
            <b/>
            <sz val="9"/>
            <color indexed="81"/>
            <rFont val="Tahoma"/>
            <family val="2"/>
          </rPr>
          <t>&lt;[[TCDeals] - [TC Property Current Stage (Seq: 1)] - [Buildings (Seq: 53)] Acq 8609 Basis - Both]&gt;</t>
        </r>
      </text>
    </comment>
    <comment ref="T1256" authorId="0" shapeId="0" xr:uid="{000B4122-0122-4B03-B3A7-AD909C15AAFF}">
      <text>
        <r>
          <rPr>
            <b/>
            <sz val="9"/>
            <color indexed="81"/>
            <rFont val="Tahoma"/>
            <family val="2"/>
          </rPr>
          <t>&lt;[[TCDeals] - [TC Property Current Stage (Seq: 1)] - [Buildings (Seq: 53)] Acq 8609 Credit - Both]&gt;</t>
        </r>
      </text>
    </comment>
    <comment ref="C1257" authorId="0" shapeId="0" xr:uid="{D643B7F3-5A41-40AF-AEF2-9D94348BC0CD}">
      <text>
        <r>
          <rPr>
            <b/>
            <sz val="9"/>
            <color indexed="81"/>
            <rFont val="Tahoma"/>
            <family val="2"/>
          </rPr>
          <t>&lt;[[TCDeals] - [TC Property Current Stage (Seq: 1)] - [Buildings (Seq: 54)] BIN - Both]&gt;</t>
        </r>
      </text>
    </comment>
    <comment ref="D1257" authorId="0" shapeId="0" xr:uid="{FF12E5EE-36D6-4C7E-870B-D26E23561401}">
      <text>
        <r>
          <rPr>
            <b/>
            <sz val="9"/>
            <color indexed="81"/>
            <rFont val="Tahoma"/>
            <family val="2"/>
          </rPr>
          <t>&lt;[[TCDeals] - [TC Property Current Stage (Seq: 1)] - [Buildings (Seq: 54)] Address 1 - Both]&gt;</t>
        </r>
      </text>
    </comment>
    <comment ref="E1257" authorId="0" shapeId="0" xr:uid="{8E632FC3-D67A-48E8-8978-FDD2081FE334}">
      <text>
        <r>
          <rPr>
            <b/>
            <sz val="9"/>
            <color indexed="81"/>
            <rFont val="Tahoma"/>
            <family val="2"/>
          </rPr>
          <t>&lt;[[TCDeals] - [TC Property Current Stage (Seq: 1)] - [Buildings (Seq: 54)] Num TC Units - Both]&gt;</t>
        </r>
      </text>
    </comment>
    <comment ref="F1257" authorId="0" shapeId="0" xr:uid="{2DF17F78-75DA-4DB5-8CB5-8BD575A78800}">
      <text>
        <r>
          <rPr>
            <b/>
            <sz val="9"/>
            <color indexed="81"/>
            <rFont val="Tahoma"/>
            <family val="2"/>
          </rPr>
          <t>&lt;[[TCDeals] - [TC Property Current Stage (Seq: 1)] - [Buildings (Seq: 54)] PVC PIS Date - Both]&gt;</t>
        </r>
      </text>
    </comment>
    <comment ref="G1257" authorId="0" shapeId="0" xr:uid="{D37D3725-30D9-41B5-A94F-9ABC70D72540}">
      <text>
        <r>
          <rPr>
            <b/>
            <sz val="9"/>
            <color indexed="81"/>
            <rFont val="Tahoma"/>
            <family val="2"/>
          </rPr>
          <t>&lt;[[TCDeals] - [TC Property Current Stage (Seq: 1)] - [Buildings (Seq: 54)] PVC Applicable Percentage - Both]&gt;</t>
        </r>
      </text>
    </comment>
    <comment ref="H1257" authorId="0" shapeId="0" xr:uid="{7774E1DC-B8AA-4F88-97E5-64B2D506E620}">
      <text>
        <r>
          <rPr>
            <b/>
            <sz val="9"/>
            <color indexed="81"/>
            <rFont val="Tahoma"/>
            <family val="2"/>
          </rPr>
          <t>&lt;[[TCDeals] - [TC Property Current Stage (Seq: 1)] - [Buildings (Seq: 54)] PVC Est Qual Basis - Both]&gt;</t>
        </r>
      </text>
    </comment>
    <comment ref="I1257" authorId="0" shapeId="0" xr:uid="{33FE3176-BAF0-48B6-A3AB-7EA890A2A1AA}">
      <text>
        <r>
          <rPr>
            <b/>
            <sz val="9"/>
            <color indexed="81"/>
            <rFont val="Tahoma"/>
            <family val="2"/>
          </rPr>
          <t>&lt;[[TCDeals] - [TC Property Current Stage (Seq: 1)] - [Buildings (Seq: 54)] PVC8609 Basis - Both]&gt;</t>
        </r>
      </text>
    </comment>
    <comment ref="J1257" authorId="0" shapeId="0" xr:uid="{51EDD14E-0245-4FBD-A4A6-C4C7F07F6B8E}">
      <text>
        <r>
          <rPr>
            <b/>
            <sz val="9"/>
            <color indexed="81"/>
            <rFont val="Tahoma"/>
            <family val="2"/>
          </rPr>
          <t>&lt;[[TCDeals] - [TC Property Current Stage (Seq: 1)] - [Buildings (Seq: 54)] PVC8609 Credit - Both]&gt;</t>
        </r>
      </text>
    </comment>
    <comment ref="K1257" authorId="0" shapeId="0" xr:uid="{63D911DB-7197-4B18-8DBC-DF574DE58129}">
      <text>
        <r>
          <rPr>
            <b/>
            <sz val="9"/>
            <color indexed="81"/>
            <rFont val="Tahoma"/>
            <family val="2"/>
          </rPr>
          <t>&lt;[[TCDeals] - [TC Property Current Stage (Seq: 1)] - [Buildings (Seq: 54)] Constr PIS Date - Both]&gt;</t>
        </r>
      </text>
    </comment>
    <comment ref="L1257" authorId="0" shapeId="0" xr:uid="{CDFED60F-E329-4651-93B8-2927F3DE2F43}">
      <text>
        <r>
          <rPr>
            <b/>
            <sz val="9"/>
            <color indexed="81"/>
            <rFont val="Tahoma"/>
            <family val="2"/>
          </rPr>
          <t>&lt;[[TCDeals] - [TC Property Current Stage (Seq: 1)] - [Buildings (Seq: 54)] Constr Applicable Percentage - Both]&gt;</t>
        </r>
      </text>
    </comment>
    <comment ref="M1257" authorId="0" shapeId="0" xr:uid="{20B34950-C159-4478-935A-FEE7F70878B3}">
      <text>
        <r>
          <rPr>
            <b/>
            <sz val="9"/>
            <color indexed="81"/>
            <rFont val="Tahoma"/>
            <family val="2"/>
          </rPr>
          <t>&lt;[[TCDeals] - [TC Property Current Stage (Seq: 1)] - [Buildings (Seq: 54)] Constr Est Qual Basis - Both]&gt;</t>
        </r>
      </text>
    </comment>
    <comment ref="N1257" authorId="0" shapeId="0" xr:uid="{ADC89F91-70E8-4E0C-AC70-C95608841148}">
      <text>
        <r>
          <rPr>
            <b/>
            <sz val="9"/>
            <color indexed="81"/>
            <rFont val="Tahoma"/>
            <family val="2"/>
          </rPr>
          <t>&lt;[[TCDeals] - [TC Property Current Stage (Seq: 1)] - [Buildings (Seq: 54)] Constr 8609 Basis - Both]&gt;</t>
        </r>
      </text>
    </comment>
    <comment ref="O1257" authorId="0" shapeId="0" xr:uid="{A1CC07DD-454F-4451-A5EC-E00CE93D73F1}">
      <text>
        <r>
          <rPr>
            <b/>
            <sz val="9"/>
            <color indexed="81"/>
            <rFont val="Tahoma"/>
            <family val="2"/>
          </rPr>
          <t>&lt;[[TCDeals] - [TC Property Current Stage (Seq: 1)] - [Buildings (Seq: 54)] Constr 8609 Credit - Both]&gt;</t>
        </r>
      </text>
    </comment>
    <comment ref="P1257" authorId="0" shapeId="0" xr:uid="{2695EDA7-D008-48EA-A8A0-510A91E0B9D2}">
      <text>
        <r>
          <rPr>
            <b/>
            <sz val="9"/>
            <color indexed="81"/>
            <rFont val="Tahoma"/>
            <family val="2"/>
          </rPr>
          <t>&lt;[[TCDeals] - [TC Property Current Stage (Seq: 1)] - [Buildings (Seq: 54)] Acq PIS Date - Both]&gt;</t>
        </r>
      </text>
    </comment>
    <comment ref="Q1257" authorId="0" shapeId="0" xr:uid="{B8B1B6FD-0CEC-457D-B983-D6C77D4273F5}">
      <text>
        <r>
          <rPr>
            <b/>
            <sz val="9"/>
            <color indexed="81"/>
            <rFont val="Tahoma"/>
            <family val="2"/>
          </rPr>
          <t>&lt;[[TCDeals] - [TC Property Current Stage (Seq: 1)] - [Buildings (Seq: 54)] Acq Applicable Percentage - Both]&gt;</t>
        </r>
      </text>
    </comment>
    <comment ref="R1257" authorId="0" shapeId="0" xr:uid="{41B10243-C15A-4777-9D57-D026EF3F79FF}">
      <text>
        <r>
          <rPr>
            <b/>
            <sz val="9"/>
            <color indexed="81"/>
            <rFont val="Tahoma"/>
            <family val="2"/>
          </rPr>
          <t>&lt;[[TCDeals] - [TC Property Current Stage (Seq: 1)] - [Buildings (Seq: 54)] Acq Est Qual Basis - Both]&gt;</t>
        </r>
      </text>
    </comment>
    <comment ref="S1257" authorId="0" shapeId="0" xr:uid="{F798EB54-B733-468F-A860-9FF61F967D55}">
      <text>
        <r>
          <rPr>
            <b/>
            <sz val="9"/>
            <color indexed="81"/>
            <rFont val="Tahoma"/>
            <family val="2"/>
          </rPr>
          <t>&lt;[[TCDeals] - [TC Property Current Stage (Seq: 1)] - [Buildings (Seq: 54)] Acq 8609 Basis - Both]&gt;</t>
        </r>
      </text>
    </comment>
    <comment ref="T1257" authorId="0" shapeId="0" xr:uid="{565C84A6-9823-4B03-8567-856676404618}">
      <text>
        <r>
          <rPr>
            <b/>
            <sz val="9"/>
            <color indexed="81"/>
            <rFont val="Tahoma"/>
            <family val="2"/>
          </rPr>
          <t>&lt;[[TCDeals] - [TC Property Current Stage (Seq: 1)] - [Buildings (Seq: 54)] Acq 8609 Credit - Both]&gt;</t>
        </r>
      </text>
    </comment>
    <comment ref="C1258" authorId="0" shapeId="0" xr:uid="{42035266-4290-4DF5-AE25-3F35BE21C433}">
      <text>
        <r>
          <rPr>
            <b/>
            <sz val="9"/>
            <color indexed="81"/>
            <rFont val="Tahoma"/>
            <family val="2"/>
          </rPr>
          <t>&lt;[[TCDeals] - [TC Property Current Stage (Seq: 1)] - [Buildings (Seq: 55)] BIN - Both]&gt;</t>
        </r>
      </text>
    </comment>
    <comment ref="D1258" authorId="0" shapeId="0" xr:uid="{15B146B5-FC77-4F9F-97C5-04863033EC64}">
      <text>
        <r>
          <rPr>
            <b/>
            <sz val="9"/>
            <color indexed="81"/>
            <rFont val="Tahoma"/>
            <family val="2"/>
          </rPr>
          <t>&lt;[[TCDeals] - [TC Property Current Stage (Seq: 1)] - [Buildings (Seq: 55)] Address 1 - Both]&gt;</t>
        </r>
      </text>
    </comment>
    <comment ref="E1258" authorId="0" shapeId="0" xr:uid="{DA0EC126-06E1-4C67-8A66-6A4782A19DD8}">
      <text>
        <r>
          <rPr>
            <b/>
            <sz val="9"/>
            <color indexed="81"/>
            <rFont val="Tahoma"/>
            <family val="2"/>
          </rPr>
          <t>&lt;[[TCDeals] - [TC Property Current Stage (Seq: 1)] - [Buildings (Seq: 55)] Num TC Units - Both]&gt;</t>
        </r>
      </text>
    </comment>
    <comment ref="F1258" authorId="0" shapeId="0" xr:uid="{888D6126-1AB3-478A-A168-1606C1503892}">
      <text>
        <r>
          <rPr>
            <b/>
            <sz val="9"/>
            <color indexed="81"/>
            <rFont val="Tahoma"/>
            <family val="2"/>
          </rPr>
          <t>&lt;[[TCDeals] - [TC Property Current Stage (Seq: 1)] - [Buildings (Seq: 55)] PVC PIS Date - Both]&gt;</t>
        </r>
      </text>
    </comment>
    <comment ref="G1258" authorId="0" shapeId="0" xr:uid="{792D932A-0445-4CD5-A9D2-749BF6556B19}">
      <text>
        <r>
          <rPr>
            <b/>
            <sz val="9"/>
            <color indexed="81"/>
            <rFont val="Tahoma"/>
            <family val="2"/>
          </rPr>
          <t>&lt;[[TCDeals] - [TC Property Current Stage (Seq: 1)] - [Buildings (Seq: 55)] PVC Applicable Percentage - Both]&gt;</t>
        </r>
      </text>
    </comment>
    <comment ref="H1258" authorId="0" shapeId="0" xr:uid="{810588EF-AEA0-4630-908B-41585A282B80}">
      <text>
        <r>
          <rPr>
            <b/>
            <sz val="9"/>
            <color indexed="81"/>
            <rFont val="Tahoma"/>
            <family val="2"/>
          </rPr>
          <t>&lt;[[TCDeals] - [TC Property Current Stage (Seq: 1)] - [Buildings (Seq: 55)] PVC Est Qual Basis - Both]&gt;</t>
        </r>
      </text>
    </comment>
    <comment ref="I1258" authorId="0" shapeId="0" xr:uid="{C0D2B8BC-EC91-4838-B868-FAF8A5DED42E}">
      <text>
        <r>
          <rPr>
            <b/>
            <sz val="9"/>
            <color indexed="81"/>
            <rFont val="Tahoma"/>
            <family val="2"/>
          </rPr>
          <t>&lt;[[TCDeals] - [TC Property Current Stage (Seq: 1)] - [Buildings (Seq: 55)] PVC8609 Basis - Both]&gt;</t>
        </r>
      </text>
    </comment>
    <comment ref="J1258" authorId="0" shapeId="0" xr:uid="{0D674CFE-596F-4A69-A8CA-0E18EA1C8F99}">
      <text>
        <r>
          <rPr>
            <b/>
            <sz val="9"/>
            <color indexed="81"/>
            <rFont val="Tahoma"/>
            <family val="2"/>
          </rPr>
          <t>&lt;[[TCDeals] - [TC Property Current Stage (Seq: 1)] - [Buildings (Seq: 55)] PVC8609 Credit - Both]&gt;</t>
        </r>
      </text>
    </comment>
    <comment ref="K1258" authorId="0" shapeId="0" xr:uid="{21FD7B9D-66C5-4E73-97E9-F29B2EB2F39B}">
      <text>
        <r>
          <rPr>
            <b/>
            <sz val="9"/>
            <color indexed="81"/>
            <rFont val="Tahoma"/>
            <family val="2"/>
          </rPr>
          <t>&lt;[[TCDeals] - [TC Property Current Stage (Seq: 1)] - [Buildings (Seq: 55)] Constr PIS Date - Both]&gt;</t>
        </r>
      </text>
    </comment>
    <comment ref="L1258" authorId="0" shapeId="0" xr:uid="{861F06B1-BA58-4D85-B8CB-E98FA6C6A587}">
      <text>
        <r>
          <rPr>
            <b/>
            <sz val="9"/>
            <color indexed="81"/>
            <rFont val="Tahoma"/>
            <family val="2"/>
          </rPr>
          <t>&lt;[[TCDeals] - [TC Property Current Stage (Seq: 1)] - [Buildings (Seq: 55)] Constr Applicable Percentage - Both]&gt;</t>
        </r>
      </text>
    </comment>
    <comment ref="M1258" authorId="0" shapeId="0" xr:uid="{CE5162ED-67C1-40BC-A5A2-9D9F08DF5AE6}">
      <text>
        <r>
          <rPr>
            <b/>
            <sz val="9"/>
            <color indexed="81"/>
            <rFont val="Tahoma"/>
            <family val="2"/>
          </rPr>
          <t>&lt;[[TCDeals] - [TC Property Current Stage (Seq: 1)] - [Buildings (Seq: 55)] Constr Est Qual Basis - Both]&gt;</t>
        </r>
      </text>
    </comment>
    <comment ref="N1258" authorId="0" shapeId="0" xr:uid="{B3076265-0C18-429B-A113-B6A78D4A18C3}">
      <text>
        <r>
          <rPr>
            <b/>
            <sz val="9"/>
            <color indexed="81"/>
            <rFont val="Tahoma"/>
            <family val="2"/>
          </rPr>
          <t>&lt;[[TCDeals] - [TC Property Current Stage (Seq: 1)] - [Buildings (Seq: 55)] Constr 8609 Basis - Both]&gt;</t>
        </r>
      </text>
    </comment>
    <comment ref="O1258" authorId="0" shapeId="0" xr:uid="{2ACB928E-6153-4D65-AF0D-50EF831B391B}">
      <text>
        <r>
          <rPr>
            <b/>
            <sz val="9"/>
            <color indexed="81"/>
            <rFont val="Tahoma"/>
            <family val="2"/>
          </rPr>
          <t>&lt;[[TCDeals] - [TC Property Current Stage (Seq: 1)] - [Buildings (Seq: 55)] Constr 8609 Credit - Both]&gt;</t>
        </r>
      </text>
    </comment>
    <comment ref="P1258" authorId="0" shapeId="0" xr:uid="{53400657-6A77-4790-BD69-91FB13F38131}">
      <text>
        <r>
          <rPr>
            <b/>
            <sz val="9"/>
            <color indexed="81"/>
            <rFont val="Tahoma"/>
            <family val="2"/>
          </rPr>
          <t>&lt;[[TCDeals] - [TC Property Current Stage (Seq: 1)] - [Buildings (Seq: 55)] Acq PIS Date - Both]&gt;</t>
        </r>
      </text>
    </comment>
    <comment ref="Q1258" authorId="0" shapeId="0" xr:uid="{30A3A442-7A1C-4575-8A9C-E74B093061D4}">
      <text>
        <r>
          <rPr>
            <b/>
            <sz val="9"/>
            <color indexed="81"/>
            <rFont val="Tahoma"/>
            <family val="2"/>
          </rPr>
          <t>&lt;[[TCDeals] - [TC Property Current Stage (Seq: 1)] - [Buildings (Seq: 55)] Acq Applicable Percentage - Both]&gt;</t>
        </r>
      </text>
    </comment>
    <comment ref="R1258" authorId="0" shapeId="0" xr:uid="{544B403C-E918-436D-A054-34357D8362C8}">
      <text>
        <r>
          <rPr>
            <b/>
            <sz val="9"/>
            <color indexed="81"/>
            <rFont val="Tahoma"/>
            <family val="2"/>
          </rPr>
          <t>&lt;[[TCDeals] - [TC Property Current Stage (Seq: 1)] - [Buildings (Seq: 55)] Acq Est Qual Basis - Both]&gt;</t>
        </r>
      </text>
    </comment>
    <comment ref="S1258" authorId="0" shapeId="0" xr:uid="{8343CB31-CCCB-435C-B614-6BCC996DECCB}">
      <text>
        <r>
          <rPr>
            <b/>
            <sz val="9"/>
            <color indexed="81"/>
            <rFont val="Tahoma"/>
            <family val="2"/>
          </rPr>
          <t>&lt;[[TCDeals] - [TC Property Current Stage (Seq: 1)] - [Buildings (Seq: 55)] Acq 8609 Basis - Both]&gt;</t>
        </r>
      </text>
    </comment>
    <comment ref="T1258" authorId="0" shapeId="0" xr:uid="{9479B74F-0D73-44A5-90B9-D96716774341}">
      <text>
        <r>
          <rPr>
            <b/>
            <sz val="9"/>
            <color indexed="81"/>
            <rFont val="Tahoma"/>
            <family val="2"/>
          </rPr>
          <t>&lt;[[TCDeals] - [TC Property Current Stage (Seq: 1)] - [Buildings (Seq: 55)] Acq 8609 Credit - Both]&gt;</t>
        </r>
      </text>
    </comment>
    <comment ref="C1259" authorId="0" shapeId="0" xr:uid="{0E937D28-E259-4302-9882-894B0438B1A0}">
      <text>
        <r>
          <rPr>
            <b/>
            <sz val="9"/>
            <color indexed="81"/>
            <rFont val="Tahoma"/>
            <family val="2"/>
          </rPr>
          <t>&lt;[[TCDeals] - [TC Property Current Stage (Seq: 1)] - [Buildings (Seq: 56)] BIN - Both]&gt;</t>
        </r>
      </text>
    </comment>
    <comment ref="D1259" authorId="0" shapeId="0" xr:uid="{2EC73FEE-2947-4F9C-A6A9-E8B72CC24BD3}">
      <text>
        <r>
          <rPr>
            <b/>
            <sz val="9"/>
            <color indexed="81"/>
            <rFont val="Tahoma"/>
            <family val="2"/>
          </rPr>
          <t>&lt;[[TCDeals] - [TC Property Current Stage (Seq: 1)] - [Buildings (Seq: 56)] Address 1 - Both]&gt;</t>
        </r>
      </text>
    </comment>
    <comment ref="E1259" authorId="0" shapeId="0" xr:uid="{1DC24718-B660-42FC-96F4-681A3E9B7264}">
      <text>
        <r>
          <rPr>
            <b/>
            <sz val="9"/>
            <color indexed="81"/>
            <rFont val="Tahoma"/>
            <family val="2"/>
          </rPr>
          <t>&lt;[[TCDeals] - [TC Property Current Stage (Seq: 1)] - [Buildings (Seq: 56)] Num TC Units - Both]&gt;</t>
        </r>
      </text>
    </comment>
    <comment ref="F1259" authorId="0" shapeId="0" xr:uid="{61E06992-D709-4CFF-BB67-57BE43797098}">
      <text>
        <r>
          <rPr>
            <b/>
            <sz val="9"/>
            <color indexed="81"/>
            <rFont val="Tahoma"/>
            <family val="2"/>
          </rPr>
          <t>&lt;[[TCDeals] - [TC Property Current Stage (Seq: 1)] - [Buildings (Seq: 56)] PVC PIS Date - Both]&gt;</t>
        </r>
      </text>
    </comment>
    <comment ref="G1259" authorId="0" shapeId="0" xr:uid="{AE603B41-1CF0-4DB3-9E04-67FB8CFBA6A0}">
      <text>
        <r>
          <rPr>
            <b/>
            <sz val="9"/>
            <color indexed="81"/>
            <rFont val="Tahoma"/>
            <family val="2"/>
          </rPr>
          <t>&lt;[[TCDeals] - [TC Property Current Stage (Seq: 1)] - [Buildings (Seq: 56)] PVC Applicable Percentage - Both]&gt;</t>
        </r>
      </text>
    </comment>
    <comment ref="H1259" authorId="0" shapeId="0" xr:uid="{B7F14F98-C095-41DA-A8BE-25AF25CEE21F}">
      <text>
        <r>
          <rPr>
            <b/>
            <sz val="9"/>
            <color indexed="81"/>
            <rFont val="Tahoma"/>
            <family val="2"/>
          </rPr>
          <t>&lt;[[TCDeals] - [TC Property Current Stage (Seq: 1)] - [Buildings (Seq: 56)] PVC Est Qual Basis - Both]&gt;</t>
        </r>
      </text>
    </comment>
    <comment ref="I1259" authorId="0" shapeId="0" xr:uid="{90162A57-D0B4-4114-8E08-C10647DF38D9}">
      <text>
        <r>
          <rPr>
            <b/>
            <sz val="9"/>
            <color indexed="81"/>
            <rFont val="Tahoma"/>
            <family val="2"/>
          </rPr>
          <t>&lt;[[TCDeals] - [TC Property Current Stage (Seq: 1)] - [Buildings (Seq: 56)] PVC8609 Basis - Both]&gt;</t>
        </r>
      </text>
    </comment>
    <comment ref="J1259" authorId="0" shapeId="0" xr:uid="{3B439C43-EB0E-4312-B5F4-ACBEB7DB0E64}">
      <text>
        <r>
          <rPr>
            <b/>
            <sz val="9"/>
            <color indexed="81"/>
            <rFont val="Tahoma"/>
            <family val="2"/>
          </rPr>
          <t>&lt;[[TCDeals] - [TC Property Current Stage (Seq: 1)] - [Buildings (Seq: 56)] PVC8609 Credit - Both]&gt;</t>
        </r>
      </text>
    </comment>
    <comment ref="K1259" authorId="0" shapeId="0" xr:uid="{B794CF6B-33D5-4DA5-8B11-EDA8E4EDBA13}">
      <text>
        <r>
          <rPr>
            <b/>
            <sz val="9"/>
            <color indexed="81"/>
            <rFont val="Tahoma"/>
            <family val="2"/>
          </rPr>
          <t>&lt;[[TCDeals] - [TC Property Current Stage (Seq: 1)] - [Buildings (Seq: 56)] Constr PIS Date - Both]&gt;</t>
        </r>
      </text>
    </comment>
    <comment ref="L1259" authorId="0" shapeId="0" xr:uid="{20A80480-E2B9-4AF7-AAA7-5F7D9C455DF4}">
      <text>
        <r>
          <rPr>
            <b/>
            <sz val="9"/>
            <color indexed="81"/>
            <rFont val="Tahoma"/>
            <family val="2"/>
          </rPr>
          <t>&lt;[[TCDeals] - [TC Property Current Stage (Seq: 1)] - [Buildings (Seq: 56)] Constr Applicable Percentage - Both]&gt;</t>
        </r>
      </text>
    </comment>
    <comment ref="M1259" authorId="0" shapeId="0" xr:uid="{740A2499-8972-45F7-9A1E-ABBD42AA7E02}">
      <text>
        <r>
          <rPr>
            <b/>
            <sz val="9"/>
            <color indexed="81"/>
            <rFont val="Tahoma"/>
            <family val="2"/>
          </rPr>
          <t>&lt;[[TCDeals] - [TC Property Current Stage (Seq: 1)] - [Buildings (Seq: 56)] Constr Est Qual Basis - Both]&gt;</t>
        </r>
      </text>
    </comment>
    <comment ref="N1259" authorId="0" shapeId="0" xr:uid="{DBCD3793-D5F0-4449-8E8E-7905E47729DC}">
      <text>
        <r>
          <rPr>
            <b/>
            <sz val="9"/>
            <color indexed="81"/>
            <rFont val="Tahoma"/>
            <family val="2"/>
          </rPr>
          <t>&lt;[[TCDeals] - [TC Property Current Stage (Seq: 1)] - [Buildings (Seq: 56)] Constr 8609 Basis - Both]&gt;</t>
        </r>
      </text>
    </comment>
    <comment ref="O1259" authorId="0" shapeId="0" xr:uid="{5A5A5A09-7B86-4CF4-9A0D-84E01CA581D3}">
      <text>
        <r>
          <rPr>
            <b/>
            <sz val="9"/>
            <color indexed="81"/>
            <rFont val="Tahoma"/>
            <family val="2"/>
          </rPr>
          <t>&lt;[[TCDeals] - [TC Property Current Stage (Seq: 1)] - [Buildings (Seq: 56)] Constr 8609 Credit - Both]&gt;</t>
        </r>
      </text>
    </comment>
    <comment ref="P1259" authorId="0" shapeId="0" xr:uid="{053D1354-65F9-4D2F-A57E-C16F78856BD2}">
      <text>
        <r>
          <rPr>
            <b/>
            <sz val="9"/>
            <color indexed="81"/>
            <rFont val="Tahoma"/>
            <family val="2"/>
          </rPr>
          <t>&lt;[[TCDeals] - [TC Property Current Stage (Seq: 1)] - [Buildings (Seq: 56)] Acq PIS Date - Both]&gt;</t>
        </r>
      </text>
    </comment>
    <comment ref="Q1259" authorId="0" shapeId="0" xr:uid="{BD87D593-6131-45AA-AA0B-10E653A28FDE}">
      <text>
        <r>
          <rPr>
            <b/>
            <sz val="9"/>
            <color indexed="81"/>
            <rFont val="Tahoma"/>
            <family val="2"/>
          </rPr>
          <t>&lt;[[TCDeals] - [TC Property Current Stage (Seq: 1)] - [Buildings (Seq: 56)] Acq Applicable Percentage - Both]&gt;</t>
        </r>
      </text>
    </comment>
    <comment ref="R1259" authorId="0" shapeId="0" xr:uid="{B95B7D50-DBC4-452B-8BCA-B55732ADF66A}">
      <text>
        <r>
          <rPr>
            <b/>
            <sz val="9"/>
            <color indexed="81"/>
            <rFont val="Tahoma"/>
            <family val="2"/>
          </rPr>
          <t>&lt;[[TCDeals] - [TC Property Current Stage (Seq: 1)] - [Buildings (Seq: 56)] Acq Est Qual Basis - Both]&gt;</t>
        </r>
      </text>
    </comment>
    <comment ref="S1259" authorId="0" shapeId="0" xr:uid="{1737EBE3-22CB-4149-AFEA-B418B4715080}">
      <text>
        <r>
          <rPr>
            <b/>
            <sz val="9"/>
            <color indexed="81"/>
            <rFont val="Tahoma"/>
            <family val="2"/>
          </rPr>
          <t>&lt;[[TCDeals] - [TC Property Current Stage (Seq: 1)] - [Buildings (Seq: 56)] Acq 8609 Basis - Both]&gt;</t>
        </r>
      </text>
    </comment>
    <comment ref="T1259" authorId="0" shapeId="0" xr:uid="{A7C81F4B-182F-4691-8B42-3BA62E8C7547}">
      <text>
        <r>
          <rPr>
            <b/>
            <sz val="9"/>
            <color indexed="81"/>
            <rFont val="Tahoma"/>
            <family val="2"/>
          </rPr>
          <t>&lt;[[TCDeals] - [TC Property Current Stage (Seq: 1)] - [Buildings (Seq: 56)] Acq 8609 Credit - Both]&gt;</t>
        </r>
      </text>
    </comment>
    <comment ref="C1260" authorId="0" shapeId="0" xr:uid="{E9F4B49D-C0B7-42A2-9E9E-B9C219186D90}">
      <text>
        <r>
          <rPr>
            <b/>
            <sz val="9"/>
            <color indexed="81"/>
            <rFont val="Tahoma"/>
            <family val="2"/>
          </rPr>
          <t>&lt;[[TCDeals] - [TC Property Current Stage (Seq: 1)] - [Buildings (Seq: 57)] BIN - Both]&gt;</t>
        </r>
      </text>
    </comment>
    <comment ref="D1260" authorId="0" shapeId="0" xr:uid="{FAB19020-580E-45F7-9A17-499D280174A9}">
      <text>
        <r>
          <rPr>
            <b/>
            <sz val="9"/>
            <color indexed="81"/>
            <rFont val="Tahoma"/>
            <family val="2"/>
          </rPr>
          <t>&lt;[[TCDeals] - [TC Property Current Stage (Seq: 1)] - [Buildings (Seq: 57)] Address 1 - Both]&gt;</t>
        </r>
      </text>
    </comment>
    <comment ref="E1260" authorId="0" shapeId="0" xr:uid="{D5EF8436-469A-47FA-8910-0BE7099D3D3A}">
      <text>
        <r>
          <rPr>
            <b/>
            <sz val="9"/>
            <color indexed="81"/>
            <rFont val="Tahoma"/>
            <family val="2"/>
          </rPr>
          <t>&lt;[[TCDeals] - [TC Property Current Stage (Seq: 1)] - [Buildings (Seq: 57)] Num TC Units - Both]&gt;</t>
        </r>
      </text>
    </comment>
    <comment ref="F1260" authorId="0" shapeId="0" xr:uid="{1813F6C2-0843-434B-8A19-CFE61570F4E5}">
      <text>
        <r>
          <rPr>
            <b/>
            <sz val="9"/>
            <color indexed="81"/>
            <rFont val="Tahoma"/>
            <family val="2"/>
          </rPr>
          <t>&lt;[[TCDeals] - [TC Property Current Stage (Seq: 1)] - [Buildings (Seq: 57)] PVC PIS Date - Both]&gt;</t>
        </r>
      </text>
    </comment>
    <comment ref="G1260" authorId="0" shapeId="0" xr:uid="{AB1CA971-18DC-4B96-B43C-607AC03B8318}">
      <text>
        <r>
          <rPr>
            <b/>
            <sz val="9"/>
            <color indexed="81"/>
            <rFont val="Tahoma"/>
            <family val="2"/>
          </rPr>
          <t>&lt;[[TCDeals] - [TC Property Current Stage (Seq: 1)] - [Buildings (Seq: 57)] PVC Applicable Percentage - Both]&gt;</t>
        </r>
      </text>
    </comment>
    <comment ref="H1260" authorId="0" shapeId="0" xr:uid="{091E0989-F9FD-430A-9714-3EFACADFAA8B}">
      <text>
        <r>
          <rPr>
            <b/>
            <sz val="9"/>
            <color indexed="81"/>
            <rFont val="Tahoma"/>
            <family val="2"/>
          </rPr>
          <t>&lt;[[TCDeals] - [TC Property Current Stage (Seq: 1)] - [Buildings (Seq: 57)] PVC Est Qual Basis - Both]&gt;</t>
        </r>
      </text>
    </comment>
    <comment ref="I1260" authorId="0" shapeId="0" xr:uid="{8A4DD130-EF2A-4066-ACA8-3EEB5BFA80A9}">
      <text>
        <r>
          <rPr>
            <b/>
            <sz val="9"/>
            <color indexed="81"/>
            <rFont val="Tahoma"/>
            <family val="2"/>
          </rPr>
          <t>&lt;[[TCDeals] - [TC Property Current Stage (Seq: 1)] - [Buildings (Seq: 57)] PVC8609 Basis - Both]&gt;</t>
        </r>
      </text>
    </comment>
    <comment ref="J1260" authorId="0" shapeId="0" xr:uid="{769DD19C-F439-4D97-8A21-A31AD467F317}">
      <text>
        <r>
          <rPr>
            <b/>
            <sz val="9"/>
            <color indexed="81"/>
            <rFont val="Tahoma"/>
            <family val="2"/>
          </rPr>
          <t>&lt;[[TCDeals] - [TC Property Current Stage (Seq: 1)] - [Buildings (Seq: 57)] PVC8609 Credit - Both]&gt;</t>
        </r>
      </text>
    </comment>
    <comment ref="K1260" authorId="0" shapeId="0" xr:uid="{0A5EDC71-2633-4570-9F12-DF02B8CA9038}">
      <text>
        <r>
          <rPr>
            <b/>
            <sz val="9"/>
            <color indexed="81"/>
            <rFont val="Tahoma"/>
            <family val="2"/>
          </rPr>
          <t>&lt;[[TCDeals] - [TC Property Current Stage (Seq: 1)] - [Buildings (Seq: 57)] Constr PIS Date - Both]&gt;</t>
        </r>
      </text>
    </comment>
    <comment ref="L1260" authorId="0" shapeId="0" xr:uid="{00E54E78-2204-4D17-ADCA-B7A347122CDA}">
      <text>
        <r>
          <rPr>
            <b/>
            <sz val="9"/>
            <color indexed="81"/>
            <rFont val="Tahoma"/>
            <family val="2"/>
          </rPr>
          <t>&lt;[[TCDeals] - [TC Property Current Stage (Seq: 1)] - [Buildings (Seq: 57)] Constr Applicable Percentage - Both]&gt;</t>
        </r>
      </text>
    </comment>
    <comment ref="M1260" authorId="0" shapeId="0" xr:uid="{333A0C96-A37E-470C-B6C6-EFB5B2FAB620}">
      <text>
        <r>
          <rPr>
            <b/>
            <sz val="9"/>
            <color indexed="81"/>
            <rFont val="Tahoma"/>
            <family val="2"/>
          </rPr>
          <t>&lt;[[TCDeals] - [TC Property Current Stage (Seq: 1)] - [Buildings (Seq: 57)] Constr Est Qual Basis - Both]&gt;</t>
        </r>
      </text>
    </comment>
    <comment ref="N1260" authorId="0" shapeId="0" xr:uid="{A21D6BE9-99B3-44E9-8B0A-23A6DFE520A2}">
      <text>
        <r>
          <rPr>
            <b/>
            <sz val="9"/>
            <color indexed="81"/>
            <rFont val="Tahoma"/>
            <family val="2"/>
          </rPr>
          <t>&lt;[[TCDeals] - [TC Property Current Stage (Seq: 1)] - [Buildings (Seq: 57)] Constr 8609 Basis - Both]&gt;</t>
        </r>
      </text>
    </comment>
    <comment ref="O1260" authorId="0" shapeId="0" xr:uid="{F31A3E05-C11C-413B-A80D-1D97717AA236}">
      <text>
        <r>
          <rPr>
            <b/>
            <sz val="9"/>
            <color indexed="81"/>
            <rFont val="Tahoma"/>
            <family val="2"/>
          </rPr>
          <t>&lt;[[TCDeals] - [TC Property Current Stage (Seq: 1)] - [Buildings (Seq: 57)] Constr 8609 Credit - Both]&gt;</t>
        </r>
      </text>
    </comment>
    <comment ref="P1260" authorId="0" shapeId="0" xr:uid="{BB2B56D0-DF92-415C-86B4-4F55B8EEAAAD}">
      <text>
        <r>
          <rPr>
            <b/>
            <sz val="9"/>
            <color indexed="81"/>
            <rFont val="Tahoma"/>
            <family val="2"/>
          </rPr>
          <t>&lt;[[TCDeals] - [TC Property Current Stage (Seq: 1)] - [Buildings (Seq: 57)] Acq PIS Date - Both]&gt;</t>
        </r>
      </text>
    </comment>
    <comment ref="Q1260" authorId="0" shapeId="0" xr:uid="{C9891772-0836-4463-82BB-05AD0FC82928}">
      <text>
        <r>
          <rPr>
            <b/>
            <sz val="9"/>
            <color indexed="81"/>
            <rFont val="Tahoma"/>
            <family val="2"/>
          </rPr>
          <t>&lt;[[TCDeals] - [TC Property Current Stage (Seq: 1)] - [Buildings (Seq: 57)] Acq Applicable Percentage - Both]&gt;</t>
        </r>
      </text>
    </comment>
    <comment ref="R1260" authorId="0" shapeId="0" xr:uid="{81541B9C-FAC9-40C5-8F5C-5EF44A1C3806}">
      <text>
        <r>
          <rPr>
            <b/>
            <sz val="9"/>
            <color indexed="81"/>
            <rFont val="Tahoma"/>
            <family val="2"/>
          </rPr>
          <t>&lt;[[TCDeals] - [TC Property Current Stage (Seq: 1)] - [Buildings (Seq: 57)] Acq Est Qual Basis - Both]&gt;</t>
        </r>
      </text>
    </comment>
    <comment ref="S1260" authorId="0" shapeId="0" xr:uid="{085BAEBE-BA07-477C-B294-0BABCC1AA93D}">
      <text>
        <r>
          <rPr>
            <b/>
            <sz val="9"/>
            <color indexed="81"/>
            <rFont val="Tahoma"/>
            <family val="2"/>
          </rPr>
          <t>&lt;[[TCDeals] - [TC Property Current Stage (Seq: 1)] - [Buildings (Seq: 57)] Acq 8609 Basis - Both]&gt;</t>
        </r>
      </text>
    </comment>
    <comment ref="T1260" authorId="0" shapeId="0" xr:uid="{C84DD640-3E80-4E7D-8526-E52330D2257E}">
      <text>
        <r>
          <rPr>
            <b/>
            <sz val="9"/>
            <color indexed="81"/>
            <rFont val="Tahoma"/>
            <family val="2"/>
          </rPr>
          <t>&lt;[[TCDeals] - [TC Property Current Stage (Seq: 1)] - [Buildings (Seq: 57)] Acq 8609 Credit - Both]&gt;</t>
        </r>
      </text>
    </comment>
    <comment ref="C1261" authorId="0" shapeId="0" xr:uid="{E7B1CFF0-B79D-4BD2-9A32-45D4C9335D07}">
      <text>
        <r>
          <rPr>
            <b/>
            <sz val="9"/>
            <color indexed="81"/>
            <rFont val="Tahoma"/>
            <family val="2"/>
          </rPr>
          <t>&lt;[[TCDeals] - [TC Property Current Stage (Seq: 1)] - [Buildings (Seq: 58)] BIN - Both]&gt;</t>
        </r>
      </text>
    </comment>
    <comment ref="D1261" authorId="0" shapeId="0" xr:uid="{49C02776-EA53-4E9E-9F2F-FD2972F93A22}">
      <text>
        <r>
          <rPr>
            <b/>
            <sz val="9"/>
            <color indexed="81"/>
            <rFont val="Tahoma"/>
            <family val="2"/>
          </rPr>
          <t>&lt;[[TCDeals] - [TC Property Current Stage (Seq: 1)] - [Buildings (Seq: 58)] Address 1 - Both]&gt;</t>
        </r>
      </text>
    </comment>
    <comment ref="E1261" authorId="0" shapeId="0" xr:uid="{A78DDC06-5A6A-4AB8-AF1C-7491964FB8CC}">
      <text>
        <r>
          <rPr>
            <b/>
            <sz val="9"/>
            <color indexed="81"/>
            <rFont val="Tahoma"/>
            <family val="2"/>
          </rPr>
          <t>&lt;[[TCDeals] - [TC Property Current Stage (Seq: 1)] - [Buildings (Seq: 58)] Num TC Units - Both]&gt;</t>
        </r>
      </text>
    </comment>
    <comment ref="F1261" authorId="0" shapeId="0" xr:uid="{16C6BFBE-5C6A-4A9E-8A11-4E70B885B448}">
      <text>
        <r>
          <rPr>
            <b/>
            <sz val="9"/>
            <color indexed="81"/>
            <rFont val="Tahoma"/>
            <family val="2"/>
          </rPr>
          <t>&lt;[[TCDeals] - [TC Property Current Stage (Seq: 1)] - [Buildings (Seq: 58)] PVC PIS Date - Both]&gt;</t>
        </r>
      </text>
    </comment>
    <comment ref="G1261" authorId="0" shapeId="0" xr:uid="{62BFE778-E6C1-4B7D-A5D5-B735C26C7AF5}">
      <text>
        <r>
          <rPr>
            <b/>
            <sz val="9"/>
            <color indexed="81"/>
            <rFont val="Tahoma"/>
            <family val="2"/>
          </rPr>
          <t>&lt;[[TCDeals] - [TC Property Current Stage (Seq: 1)] - [Buildings (Seq: 58)] PVC Applicable Percentage - Both]&gt;</t>
        </r>
      </text>
    </comment>
    <comment ref="H1261" authorId="0" shapeId="0" xr:uid="{F4992552-5732-4D87-BEB8-7E46DB7A53AC}">
      <text>
        <r>
          <rPr>
            <b/>
            <sz val="9"/>
            <color indexed="81"/>
            <rFont val="Tahoma"/>
            <family val="2"/>
          </rPr>
          <t>&lt;[[TCDeals] - [TC Property Current Stage (Seq: 1)] - [Buildings (Seq: 58)] PVC Est Qual Basis - Both]&gt;</t>
        </r>
      </text>
    </comment>
    <comment ref="I1261" authorId="0" shapeId="0" xr:uid="{A7B5F719-CA7E-4844-A049-1918E5B46DF1}">
      <text>
        <r>
          <rPr>
            <b/>
            <sz val="9"/>
            <color indexed="81"/>
            <rFont val="Tahoma"/>
            <family val="2"/>
          </rPr>
          <t>&lt;[[TCDeals] - [TC Property Current Stage (Seq: 1)] - [Buildings (Seq: 58)] PVC8609 Basis - Both]&gt;</t>
        </r>
      </text>
    </comment>
    <comment ref="J1261" authorId="0" shapeId="0" xr:uid="{25324CF1-70BB-44E7-880F-FD824570D9F7}">
      <text>
        <r>
          <rPr>
            <b/>
            <sz val="9"/>
            <color indexed="81"/>
            <rFont val="Tahoma"/>
            <family val="2"/>
          </rPr>
          <t>&lt;[[TCDeals] - [TC Property Current Stage (Seq: 1)] - [Buildings (Seq: 58)] PVC8609 Credit - Both]&gt;</t>
        </r>
      </text>
    </comment>
    <comment ref="K1261" authorId="0" shapeId="0" xr:uid="{C2F3EF43-D728-4335-8A75-5BBE64B758D2}">
      <text>
        <r>
          <rPr>
            <b/>
            <sz val="9"/>
            <color indexed="81"/>
            <rFont val="Tahoma"/>
            <family val="2"/>
          </rPr>
          <t>&lt;[[TCDeals] - [TC Property Current Stage (Seq: 1)] - [Buildings (Seq: 58)] Constr PIS Date - Both]&gt;</t>
        </r>
      </text>
    </comment>
    <comment ref="L1261" authorId="0" shapeId="0" xr:uid="{45AAFC7A-3E7C-4CA7-B57E-094F3E3C17A7}">
      <text>
        <r>
          <rPr>
            <b/>
            <sz val="9"/>
            <color indexed="81"/>
            <rFont val="Tahoma"/>
            <family val="2"/>
          </rPr>
          <t>&lt;[[TCDeals] - [TC Property Current Stage (Seq: 1)] - [Buildings (Seq: 58)] Constr Applicable Percentage - Both]&gt;</t>
        </r>
      </text>
    </comment>
    <comment ref="M1261" authorId="0" shapeId="0" xr:uid="{FFDC1A26-8140-4024-B829-FE259B6BAE76}">
      <text>
        <r>
          <rPr>
            <b/>
            <sz val="9"/>
            <color indexed="81"/>
            <rFont val="Tahoma"/>
            <family val="2"/>
          </rPr>
          <t>&lt;[[TCDeals] - [TC Property Current Stage (Seq: 1)] - [Buildings (Seq: 58)] Constr Est Qual Basis - Both]&gt;</t>
        </r>
      </text>
    </comment>
    <comment ref="N1261" authorId="0" shapeId="0" xr:uid="{370FDB3F-2693-4EE4-AEA9-DE202DA3439C}">
      <text>
        <r>
          <rPr>
            <b/>
            <sz val="9"/>
            <color indexed="81"/>
            <rFont val="Tahoma"/>
            <family val="2"/>
          </rPr>
          <t>&lt;[[TCDeals] - [TC Property Current Stage (Seq: 1)] - [Buildings (Seq: 58)] Constr 8609 Basis - Both]&gt;</t>
        </r>
      </text>
    </comment>
    <comment ref="O1261" authorId="0" shapeId="0" xr:uid="{564411A2-7521-4A19-AE8D-E2920E756CD5}">
      <text>
        <r>
          <rPr>
            <b/>
            <sz val="9"/>
            <color indexed="81"/>
            <rFont val="Tahoma"/>
            <family val="2"/>
          </rPr>
          <t>&lt;[[TCDeals] - [TC Property Current Stage (Seq: 1)] - [Buildings (Seq: 58)] Constr 8609 Credit - Both]&gt;</t>
        </r>
      </text>
    </comment>
    <comment ref="P1261" authorId="0" shapeId="0" xr:uid="{1B86003B-5081-4659-B3BE-235590E9D8FB}">
      <text>
        <r>
          <rPr>
            <b/>
            <sz val="9"/>
            <color indexed="81"/>
            <rFont val="Tahoma"/>
            <family val="2"/>
          </rPr>
          <t>&lt;[[TCDeals] - [TC Property Current Stage (Seq: 1)] - [Buildings (Seq: 58)] Acq PIS Date - Both]&gt;</t>
        </r>
      </text>
    </comment>
    <comment ref="Q1261" authorId="0" shapeId="0" xr:uid="{FDEC5563-7A7B-4DDD-A67A-CCE4629918D0}">
      <text>
        <r>
          <rPr>
            <b/>
            <sz val="9"/>
            <color indexed="81"/>
            <rFont val="Tahoma"/>
            <family val="2"/>
          </rPr>
          <t>&lt;[[TCDeals] - [TC Property Current Stage (Seq: 1)] - [Buildings (Seq: 58)] Acq Applicable Percentage - Both]&gt;</t>
        </r>
      </text>
    </comment>
    <comment ref="R1261" authorId="0" shapeId="0" xr:uid="{291A7142-F852-4724-B754-EA2FFF213752}">
      <text>
        <r>
          <rPr>
            <b/>
            <sz val="9"/>
            <color indexed="81"/>
            <rFont val="Tahoma"/>
            <family val="2"/>
          </rPr>
          <t>&lt;[[TCDeals] - [TC Property Current Stage (Seq: 1)] - [Buildings (Seq: 58)] Acq Est Qual Basis - Both]&gt;</t>
        </r>
      </text>
    </comment>
    <comment ref="S1261" authorId="0" shapeId="0" xr:uid="{F5D03102-B429-4300-9FA5-A8DDFEB9C0D1}">
      <text>
        <r>
          <rPr>
            <b/>
            <sz val="9"/>
            <color indexed="81"/>
            <rFont val="Tahoma"/>
            <family val="2"/>
          </rPr>
          <t>&lt;[[TCDeals] - [TC Property Current Stage (Seq: 1)] - [Buildings (Seq: 58)] Acq 8609 Basis - Both]&gt;</t>
        </r>
      </text>
    </comment>
    <comment ref="T1261" authorId="0" shapeId="0" xr:uid="{89AF81EE-2569-46B7-B846-175462561ABF}">
      <text>
        <r>
          <rPr>
            <b/>
            <sz val="9"/>
            <color indexed="81"/>
            <rFont val="Tahoma"/>
            <family val="2"/>
          </rPr>
          <t>&lt;[[TCDeals] - [TC Property Current Stage (Seq: 1)] - [Buildings (Seq: 58)] Acq 8609 Credit - Both]&gt;</t>
        </r>
      </text>
    </comment>
    <comment ref="C1262" authorId="0" shapeId="0" xr:uid="{7A8DC3EC-F1D0-4C96-B44A-16CF7931F169}">
      <text>
        <r>
          <rPr>
            <b/>
            <sz val="9"/>
            <color indexed="81"/>
            <rFont val="Tahoma"/>
            <family val="2"/>
          </rPr>
          <t>&lt;[[TCDeals] - [TC Property Current Stage (Seq: 1)] - [Buildings (Seq: 59)] BIN - Both]&gt;</t>
        </r>
      </text>
    </comment>
    <comment ref="D1262" authorId="0" shapeId="0" xr:uid="{2A643017-B8D9-4D3E-B747-C5B9286D21EE}">
      <text>
        <r>
          <rPr>
            <b/>
            <sz val="9"/>
            <color indexed="81"/>
            <rFont val="Tahoma"/>
            <family val="2"/>
          </rPr>
          <t>&lt;[[TCDeals] - [TC Property Current Stage (Seq: 1)] - [Buildings (Seq: 59)] Address 1 - Both]&gt;</t>
        </r>
      </text>
    </comment>
    <comment ref="E1262" authorId="0" shapeId="0" xr:uid="{C7CDDB53-4549-40D1-BEE1-D4476273CDBE}">
      <text>
        <r>
          <rPr>
            <b/>
            <sz val="9"/>
            <color indexed="81"/>
            <rFont val="Tahoma"/>
            <family val="2"/>
          </rPr>
          <t>&lt;[[TCDeals] - [TC Property Current Stage (Seq: 1)] - [Buildings (Seq: 59)] Num TC Units - Both]&gt;</t>
        </r>
      </text>
    </comment>
    <comment ref="F1262" authorId="0" shapeId="0" xr:uid="{89D7AC3C-8CB0-4ED7-B521-02B4996F67CE}">
      <text>
        <r>
          <rPr>
            <b/>
            <sz val="9"/>
            <color indexed="81"/>
            <rFont val="Tahoma"/>
            <family val="2"/>
          </rPr>
          <t>&lt;[[TCDeals] - [TC Property Current Stage (Seq: 1)] - [Buildings (Seq: 59)] PVC PIS Date - Both]&gt;</t>
        </r>
      </text>
    </comment>
    <comment ref="G1262" authorId="0" shapeId="0" xr:uid="{3E76E47A-D7AF-4C8D-94BF-681BCAE719CB}">
      <text>
        <r>
          <rPr>
            <b/>
            <sz val="9"/>
            <color indexed="81"/>
            <rFont val="Tahoma"/>
            <family val="2"/>
          </rPr>
          <t>&lt;[[TCDeals] - [TC Property Current Stage (Seq: 1)] - [Buildings (Seq: 59)] PVC Applicable Percentage - Both]&gt;</t>
        </r>
      </text>
    </comment>
    <comment ref="H1262" authorId="0" shapeId="0" xr:uid="{983ECD7C-30E2-44C0-99E2-373B43D66DE7}">
      <text>
        <r>
          <rPr>
            <b/>
            <sz val="9"/>
            <color indexed="81"/>
            <rFont val="Tahoma"/>
            <family val="2"/>
          </rPr>
          <t>&lt;[[TCDeals] - [TC Property Current Stage (Seq: 1)] - [Buildings (Seq: 59)] PVC Est Qual Basis - Both]&gt;</t>
        </r>
      </text>
    </comment>
    <comment ref="I1262" authorId="0" shapeId="0" xr:uid="{B7E22F5C-D898-4AC2-964A-1430C4DA9912}">
      <text>
        <r>
          <rPr>
            <b/>
            <sz val="9"/>
            <color indexed="81"/>
            <rFont val="Tahoma"/>
            <family val="2"/>
          </rPr>
          <t>&lt;[[TCDeals] - [TC Property Current Stage (Seq: 1)] - [Buildings (Seq: 59)] PVC8609 Basis - Both]&gt;</t>
        </r>
      </text>
    </comment>
    <comment ref="J1262" authorId="0" shapeId="0" xr:uid="{4D18F53B-DCE4-4596-A23B-CF4E32754E10}">
      <text>
        <r>
          <rPr>
            <b/>
            <sz val="9"/>
            <color indexed="81"/>
            <rFont val="Tahoma"/>
            <family val="2"/>
          </rPr>
          <t>&lt;[[TCDeals] - [TC Property Current Stage (Seq: 1)] - [Buildings (Seq: 59)] PVC8609 Credit - Both]&gt;</t>
        </r>
      </text>
    </comment>
    <comment ref="K1262" authorId="0" shapeId="0" xr:uid="{76624C30-5A4C-42D3-B1D5-D9A85DCA3BEC}">
      <text>
        <r>
          <rPr>
            <b/>
            <sz val="9"/>
            <color indexed="81"/>
            <rFont val="Tahoma"/>
            <family val="2"/>
          </rPr>
          <t>&lt;[[TCDeals] - [TC Property Current Stage (Seq: 1)] - [Buildings (Seq: 59)] Constr PIS Date - Both]&gt;</t>
        </r>
      </text>
    </comment>
    <comment ref="L1262" authorId="0" shapeId="0" xr:uid="{49DA0ACC-8723-4DE0-8BF1-472AA38D30FD}">
      <text>
        <r>
          <rPr>
            <b/>
            <sz val="9"/>
            <color indexed="81"/>
            <rFont val="Tahoma"/>
            <family val="2"/>
          </rPr>
          <t>&lt;[[TCDeals] - [TC Property Current Stage (Seq: 1)] - [Buildings (Seq: 59)] Constr Applicable Percentage - Both]&gt;</t>
        </r>
      </text>
    </comment>
    <comment ref="M1262" authorId="0" shapeId="0" xr:uid="{AAAA164C-3067-4ED3-BB7C-DD4BC342556E}">
      <text>
        <r>
          <rPr>
            <b/>
            <sz val="9"/>
            <color indexed="81"/>
            <rFont val="Tahoma"/>
            <family val="2"/>
          </rPr>
          <t>&lt;[[TCDeals] - [TC Property Current Stage (Seq: 1)] - [Buildings (Seq: 59)] Constr Est Qual Basis - Both]&gt;</t>
        </r>
      </text>
    </comment>
    <comment ref="N1262" authorId="0" shapeId="0" xr:uid="{76924DA7-A22C-4212-8A4F-651B45FC2545}">
      <text>
        <r>
          <rPr>
            <b/>
            <sz val="9"/>
            <color indexed="81"/>
            <rFont val="Tahoma"/>
            <family val="2"/>
          </rPr>
          <t>&lt;[[TCDeals] - [TC Property Current Stage (Seq: 1)] - [Buildings (Seq: 59)] Constr 8609 Basis - Both]&gt;</t>
        </r>
      </text>
    </comment>
    <comment ref="O1262" authorId="0" shapeId="0" xr:uid="{3273E9C0-55C5-4BD4-AF07-997C2F5EF273}">
      <text>
        <r>
          <rPr>
            <b/>
            <sz val="9"/>
            <color indexed="81"/>
            <rFont val="Tahoma"/>
            <family val="2"/>
          </rPr>
          <t>&lt;[[TCDeals] - [TC Property Current Stage (Seq: 1)] - [Buildings (Seq: 59)] Constr 8609 Credit - Both]&gt;</t>
        </r>
      </text>
    </comment>
    <comment ref="P1262" authorId="0" shapeId="0" xr:uid="{A1EB4861-2643-4F84-970B-7B12AF210914}">
      <text>
        <r>
          <rPr>
            <b/>
            <sz val="9"/>
            <color indexed="81"/>
            <rFont val="Tahoma"/>
            <family val="2"/>
          </rPr>
          <t>&lt;[[TCDeals] - [TC Property Current Stage (Seq: 1)] - [Buildings (Seq: 59)] Acq PIS Date - Both]&gt;</t>
        </r>
      </text>
    </comment>
    <comment ref="Q1262" authorId="0" shapeId="0" xr:uid="{F8B21646-6CA0-4EED-88BC-B19EE366CFB7}">
      <text>
        <r>
          <rPr>
            <b/>
            <sz val="9"/>
            <color indexed="81"/>
            <rFont val="Tahoma"/>
            <family val="2"/>
          </rPr>
          <t>&lt;[[TCDeals] - [TC Property Current Stage (Seq: 1)] - [Buildings (Seq: 59)] Acq Applicable Percentage - Both]&gt;</t>
        </r>
      </text>
    </comment>
    <comment ref="R1262" authorId="0" shapeId="0" xr:uid="{4722DCBA-D02A-4653-BBFD-E520846E551E}">
      <text>
        <r>
          <rPr>
            <b/>
            <sz val="9"/>
            <color indexed="81"/>
            <rFont val="Tahoma"/>
            <family val="2"/>
          </rPr>
          <t>&lt;[[TCDeals] - [TC Property Current Stage (Seq: 1)] - [Buildings (Seq: 59)] Acq Est Qual Basis - Both]&gt;</t>
        </r>
      </text>
    </comment>
    <comment ref="S1262" authorId="0" shapeId="0" xr:uid="{C33989A8-A8DA-42D5-959D-E6F59451F95D}">
      <text>
        <r>
          <rPr>
            <b/>
            <sz val="9"/>
            <color indexed="81"/>
            <rFont val="Tahoma"/>
            <family val="2"/>
          </rPr>
          <t>&lt;[[TCDeals] - [TC Property Current Stage (Seq: 1)] - [Buildings (Seq: 59)] Acq 8609 Basis - Both]&gt;</t>
        </r>
      </text>
    </comment>
    <comment ref="T1262" authorId="0" shapeId="0" xr:uid="{4E1AD9B6-496A-4B0A-81DF-1B0E87B22B68}">
      <text>
        <r>
          <rPr>
            <b/>
            <sz val="9"/>
            <color indexed="81"/>
            <rFont val="Tahoma"/>
            <family val="2"/>
          </rPr>
          <t>&lt;[[TCDeals] - [TC Property Current Stage (Seq: 1)] - [Buildings (Seq: 59)] Acq 8609 Credit - Both]&gt;</t>
        </r>
      </text>
    </comment>
    <comment ref="C1263" authorId="0" shapeId="0" xr:uid="{EA0FF37A-77D7-4AEF-AD39-CC295F8D7859}">
      <text>
        <r>
          <rPr>
            <b/>
            <sz val="9"/>
            <color indexed="81"/>
            <rFont val="Tahoma"/>
            <family val="2"/>
          </rPr>
          <t>&lt;[[TCDeals] - [TC Property Current Stage (Seq: 1)] - [Buildings (Seq: 60)] BIN - Both]&gt;</t>
        </r>
      </text>
    </comment>
    <comment ref="D1263" authorId="0" shapeId="0" xr:uid="{81076AE1-25D5-4FB2-9BE1-697B2570D7BA}">
      <text>
        <r>
          <rPr>
            <b/>
            <sz val="9"/>
            <color indexed="81"/>
            <rFont val="Tahoma"/>
            <family val="2"/>
          </rPr>
          <t>&lt;[[TCDeals] - [TC Property Current Stage (Seq: 1)] - [Buildings (Seq: 60)] Address 1 - Both]&gt;</t>
        </r>
      </text>
    </comment>
    <comment ref="E1263" authorId="0" shapeId="0" xr:uid="{28972D36-0ACE-4A15-B966-AC80831AF24C}">
      <text>
        <r>
          <rPr>
            <b/>
            <sz val="9"/>
            <color indexed="81"/>
            <rFont val="Tahoma"/>
            <family val="2"/>
          </rPr>
          <t>&lt;[[TCDeals] - [TC Property Current Stage (Seq: 1)] - [Buildings (Seq: 60)] Num TC Units - Both]&gt;</t>
        </r>
      </text>
    </comment>
    <comment ref="F1263" authorId="0" shapeId="0" xr:uid="{644BC922-C4ED-4E2B-A608-D3AFA6171B06}">
      <text>
        <r>
          <rPr>
            <b/>
            <sz val="9"/>
            <color indexed="81"/>
            <rFont val="Tahoma"/>
            <family val="2"/>
          </rPr>
          <t>&lt;[[TCDeals] - [TC Property Current Stage (Seq: 1)] - [Buildings (Seq: 60)] PVC PIS Date - Both]&gt;</t>
        </r>
      </text>
    </comment>
    <comment ref="G1263" authorId="0" shapeId="0" xr:uid="{B5FF38D7-6CF0-4AB2-919E-313B59BF26C9}">
      <text>
        <r>
          <rPr>
            <b/>
            <sz val="9"/>
            <color indexed="81"/>
            <rFont val="Tahoma"/>
            <family val="2"/>
          </rPr>
          <t>&lt;[[TCDeals] - [TC Property Current Stage (Seq: 1)] - [Buildings (Seq: 60)] PVC Applicable Percentage - Both]&gt;</t>
        </r>
      </text>
    </comment>
    <comment ref="H1263" authorId="0" shapeId="0" xr:uid="{94A77768-361F-41C3-B5A2-20BBEC81FAE2}">
      <text>
        <r>
          <rPr>
            <b/>
            <sz val="9"/>
            <color indexed="81"/>
            <rFont val="Tahoma"/>
            <family val="2"/>
          </rPr>
          <t>&lt;[[TCDeals] - [TC Property Current Stage (Seq: 1)] - [Buildings (Seq: 60)] PVC Est Qual Basis - Both]&gt;</t>
        </r>
      </text>
    </comment>
    <comment ref="I1263" authorId="0" shapeId="0" xr:uid="{0BE43172-291F-4B03-B4B0-C4C3E4B848DF}">
      <text>
        <r>
          <rPr>
            <b/>
            <sz val="9"/>
            <color indexed="81"/>
            <rFont val="Tahoma"/>
            <family val="2"/>
          </rPr>
          <t>&lt;[[TCDeals] - [TC Property Current Stage (Seq: 1)] - [Buildings (Seq: 60)] PVC8609 Basis - Both]&gt;</t>
        </r>
      </text>
    </comment>
    <comment ref="J1263" authorId="0" shapeId="0" xr:uid="{EE41C39E-DDE3-46CA-90E3-F7F8CA21A16E}">
      <text>
        <r>
          <rPr>
            <b/>
            <sz val="9"/>
            <color indexed="81"/>
            <rFont val="Tahoma"/>
            <family val="2"/>
          </rPr>
          <t>&lt;[[TCDeals] - [TC Property Current Stage (Seq: 1)] - [Buildings (Seq: 60)] PVC8609 Credit - Both]&gt;</t>
        </r>
      </text>
    </comment>
    <comment ref="K1263" authorId="0" shapeId="0" xr:uid="{2AD56DFF-3143-45EE-9345-CB2156BD244F}">
      <text>
        <r>
          <rPr>
            <b/>
            <sz val="9"/>
            <color indexed="81"/>
            <rFont val="Tahoma"/>
            <family val="2"/>
          </rPr>
          <t>&lt;[[TCDeals] - [TC Property Current Stage (Seq: 1)] - [Buildings (Seq: 60)] Constr PIS Date - Both]&gt;</t>
        </r>
      </text>
    </comment>
    <comment ref="L1263" authorId="0" shapeId="0" xr:uid="{2AF51B90-F810-4BD9-A7DB-A73E402C1CBF}">
      <text>
        <r>
          <rPr>
            <b/>
            <sz val="9"/>
            <color indexed="81"/>
            <rFont val="Tahoma"/>
            <family val="2"/>
          </rPr>
          <t>&lt;[[TCDeals] - [TC Property Current Stage (Seq: 1)] - [Buildings (Seq: 60)] Constr Applicable Percentage - Both]&gt;</t>
        </r>
      </text>
    </comment>
    <comment ref="M1263" authorId="0" shapeId="0" xr:uid="{07F624E4-7E7B-4021-8725-8F765C425EB6}">
      <text>
        <r>
          <rPr>
            <b/>
            <sz val="9"/>
            <color indexed="81"/>
            <rFont val="Tahoma"/>
            <family val="2"/>
          </rPr>
          <t>&lt;[[TCDeals] - [TC Property Current Stage (Seq: 1)] - [Buildings (Seq: 60)] Constr Est Qual Basis - Both]&gt;</t>
        </r>
      </text>
    </comment>
    <comment ref="N1263" authorId="0" shapeId="0" xr:uid="{144B2BED-0A1A-439D-8E08-240D2DFF401D}">
      <text>
        <r>
          <rPr>
            <b/>
            <sz val="9"/>
            <color indexed="81"/>
            <rFont val="Tahoma"/>
            <family val="2"/>
          </rPr>
          <t>&lt;[[TCDeals] - [TC Property Current Stage (Seq: 1)] - [Buildings (Seq: 60)] Constr 8609 Basis - Both]&gt;</t>
        </r>
      </text>
    </comment>
    <comment ref="O1263" authorId="0" shapeId="0" xr:uid="{5A067AF1-9A39-4B1B-B5F5-7F5BC37FB81C}">
      <text>
        <r>
          <rPr>
            <b/>
            <sz val="9"/>
            <color indexed="81"/>
            <rFont val="Tahoma"/>
            <family val="2"/>
          </rPr>
          <t>&lt;[[TCDeals] - [TC Property Current Stage (Seq: 1)] - [Buildings (Seq: 60)] Constr 8609 Credit - Both]&gt;</t>
        </r>
      </text>
    </comment>
    <comment ref="P1263" authorId="0" shapeId="0" xr:uid="{384D0A96-C4FC-419C-8B10-15C89849F34A}">
      <text>
        <r>
          <rPr>
            <b/>
            <sz val="9"/>
            <color indexed="81"/>
            <rFont val="Tahoma"/>
            <family val="2"/>
          </rPr>
          <t>&lt;[[TCDeals] - [TC Property Current Stage (Seq: 1)] - [Buildings (Seq: 60)] Acq PIS Date - Both]&gt;</t>
        </r>
      </text>
    </comment>
    <comment ref="Q1263" authorId="0" shapeId="0" xr:uid="{7E461366-3231-46A1-A939-BDE1F4959F2F}">
      <text>
        <r>
          <rPr>
            <b/>
            <sz val="9"/>
            <color indexed="81"/>
            <rFont val="Tahoma"/>
            <family val="2"/>
          </rPr>
          <t>&lt;[[TCDeals] - [TC Property Current Stage (Seq: 1)] - [Buildings (Seq: 60)] Acq Applicable Percentage - Both]&gt;</t>
        </r>
      </text>
    </comment>
    <comment ref="R1263" authorId="0" shapeId="0" xr:uid="{8DD90B0F-EBF7-4664-A7B2-19E5754B4C8B}">
      <text>
        <r>
          <rPr>
            <b/>
            <sz val="9"/>
            <color indexed="81"/>
            <rFont val="Tahoma"/>
            <family val="2"/>
          </rPr>
          <t>&lt;[[TCDeals] - [TC Property Current Stage (Seq: 1)] - [Buildings (Seq: 60)] Acq Est Qual Basis - Both]&gt;</t>
        </r>
      </text>
    </comment>
    <comment ref="S1263" authorId="0" shapeId="0" xr:uid="{833C59DC-5702-4F6A-BA73-288840493AC6}">
      <text>
        <r>
          <rPr>
            <b/>
            <sz val="9"/>
            <color indexed="81"/>
            <rFont val="Tahoma"/>
            <family val="2"/>
          </rPr>
          <t>&lt;[[TCDeals] - [TC Property Current Stage (Seq: 1)] - [Buildings (Seq: 60)] Acq 8609 Basis - Both]&gt;</t>
        </r>
      </text>
    </comment>
    <comment ref="T1263" authorId="0" shapeId="0" xr:uid="{B0FA0956-B335-4925-86AF-4F8810080403}">
      <text>
        <r>
          <rPr>
            <b/>
            <sz val="9"/>
            <color indexed="81"/>
            <rFont val="Tahoma"/>
            <family val="2"/>
          </rPr>
          <t>&lt;[[TCDeals] - [TC Property Current Stage (Seq: 1)] - [Buildings (Seq: 60)] Acq 8609 Credit - Both]&gt;</t>
        </r>
      </text>
    </comment>
    <comment ref="C1264" authorId="0" shapeId="0" xr:uid="{0581B0E1-C57B-4E62-BCDC-929140253A26}">
      <text>
        <r>
          <rPr>
            <b/>
            <sz val="9"/>
            <color indexed="81"/>
            <rFont val="Tahoma"/>
            <family val="2"/>
          </rPr>
          <t>&lt;[[TCDeals] - [TC Property Current Stage (Seq: 1)] - [Buildings (Seq: 61)] BIN - Both]&gt;</t>
        </r>
      </text>
    </comment>
    <comment ref="D1264" authorId="0" shapeId="0" xr:uid="{9FDA55E1-0AB0-46DB-A16B-C5D1A80700DF}">
      <text>
        <r>
          <rPr>
            <b/>
            <sz val="9"/>
            <color indexed="81"/>
            <rFont val="Tahoma"/>
            <family val="2"/>
          </rPr>
          <t>&lt;[[TCDeals] - [TC Property Current Stage (Seq: 1)] - [Buildings (Seq: 61)] Address 1 - Both]&gt;</t>
        </r>
      </text>
    </comment>
    <comment ref="E1264" authorId="0" shapeId="0" xr:uid="{595A1A89-6D44-4A7F-8268-605ADBA2300D}">
      <text>
        <r>
          <rPr>
            <b/>
            <sz val="9"/>
            <color indexed="81"/>
            <rFont val="Tahoma"/>
            <family val="2"/>
          </rPr>
          <t>&lt;[[TCDeals] - [TC Property Current Stage (Seq: 1)] - [Buildings (Seq: 61)] Num TC Units - Both]&gt;</t>
        </r>
      </text>
    </comment>
    <comment ref="F1264" authorId="0" shapeId="0" xr:uid="{969D0342-B86F-4482-86CA-44979327012A}">
      <text>
        <r>
          <rPr>
            <b/>
            <sz val="9"/>
            <color indexed="81"/>
            <rFont val="Tahoma"/>
            <family val="2"/>
          </rPr>
          <t>&lt;[[TCDeals] - [TC Property Current Stage (Seq: 1)] - [Buildings (Seq: 61)] PVC PIS Date - Both]&gt;</t>
        </r>
      </text>
    </comment>
    <comment ref="G1264" authorId="0" shapeId="0" xr:uid="{81A672DF-B8EA-4E61-B4A0-446BB3E2F56B}">
      <text>
        <r>
          <rPr>
            <b/>
            <sz val="9"/>
            <color indexed="81"/>
            <rFont val="Tahoma"/>
            <family val="2"/>
          </rPr>
          <t>&lt;[[TCDeals] - [TC Property Current Stage (Seq: 1)] - [Buildings (Seq: 61)] PVC Applicable Percentage - Both]&gt;</t>
        </r>
      </text>
    </comment>
    <comment ref="H1264" authorId="0" shapeId="0" xr:uid="{907927DC-9DB2-4F2F-A9B6-96E4CF806628}">
      <text>
        <r>
          <rPr>
            <b/>
            <sz val="9"/>
            <color indexed="81"/>
            <rFont val="Tahoma"/>
            <family val="2"/>
          </rPr>
          <t>&lt;[[TCDeals] - [TC Property Current Stage (Seq: 1)] - [Buildings (Seq: 61)] PVC Est Qual Basis - Both]&gt;</t>
        </r>
      </text>
    </comment>
    <comment ref="I1264" authorId="0" shapeId="0" xr:uid="{62F6F787-9656-4820-9C4D-313F718EC6E9}">
      <text>
        <r>
          <rPr>
            <b/>
            <sz val="9"/>
            <color indexed="81"/>
            <rFont val="Tahoma"/>
            <family val="2"/>
          </rPr>
          <t>&lt;[[TCDeals] - [TC Property Current Stage (Seq: 1)] - [Buildings (Seq: 61)] PVC8609 Basis - Both]&gt;</t>
        </r>
      </text>
    </comment>
    <comment ref="J1264" authorId="0" shapeId="0" xr:uid="{9B056850-F10C-49C5-AD15-8922F4878852}">
      <text>
        <r>
          <rPr>
            <b/>
            <sz val="9"/>
            <color indexed="81"/>
            <rFont val="Tahoma"/>
            <family val="2"/>
          </rPr>
          <t>&lt;[[TCDeals] - [TC Property Current Stage (Seq: 1)] - [Buildings (Seq: 61)] PVC8609 Credit - Both]&gt;</t>
        </r>
      </text>
    </comment>
    <comment ref="K1264" authorId="0" shapeId="0" xr:uid="{85E99D01-E8F6-48FA-859F-7FC82D6ADD75}">
      <text>
        <r>
          <rPr>
            <b/>
            <sz val="9"/>
            <color indexed="81"/>
            <rFont val="Tahoma"/>
            <family val="2"/>
          </rPr>
          <t>&lt;[[TCDeals] - [TC Property Current Stage (Seq: 1)] - [Buildings (Seq: 61)] Constr PIS Date - Both]&gt;</t>
        </r>
      </text>
    </comment>
    <comment ref="L1264" authorId="0" shapeId="0" xr:uid="{462554FC-CB57-4A07-AB24-1778D68D9340}">
      <text>
        <r>
          <rPr>
            <b/>
            <sz val="9"/>
            <color indexed="81"/>
            <rFont val="Tahoma"/>
            <family val="2"/>
          </rPr>
          <t>&lt;[[TCDeals] - [TC Property Current Stage (Seq: 1)] - [Buildings (Seq: 61)] Constr Applicable Percentage - Both]&gt;</t>
        </r>
      </text>
    </comment>
    <comment ref="M1264" authorId="0" shapeId="0" xr:uid="{B52D1082-01C7-49BE-832B-8BC239E3F898}">
      <text>
        <r>
          <rPr>
            <b/>
            <sz val="9"/>
            <color indexed="81"/>
            <rFont val="Tahoma"/>
            <family val="2"/>
          </rPr>
          <t>&lt;[[TCDeals] - [TC Property Current Stage (Seq: 1)] - [Buildings (Seq: 61)] Constr Est Qual Basis - Both]&gt;</t>
        </r>
      </text>
    </comment>
    <comment ref="N1264" authorId="0" shapeId="0" xr:uid="{508354E0-7E44-4645-B895-85DD60921577}">
      <text>
        <r>
          <rPr>
            <b/>
            <sz val="9"/>
            <color indexed="81"/>
            <rFont val="Tahoma"/>
            <family val="2"/>
          </rPr>
          <t>&lt;[[TCDeals] - [TC Property Current Stage (Seq: 1)] - [Buildings (Seq: 61)] Constr 8609 Basis - Both]&gt;</t>
        </r>
      </text>
    </comment>
    <comment ref="O1264" authorId="0" shapeId="0" xr:uid="{BCDEB321-4142-4525-BE14-DD5710F5C205}">
      <text>
        <r>
          <rPr>
            <b/>
            <sz val="9"/>
            <color indexed="81"/>
            <rFont val="Tahoma"/>
            <family val="2"/>
          </rPr>
          <t>&lt;[[TCDeals] - [TC Property Current Stage (Seq: 1)] - [Buildings (Seq: 61)] Constr 8609 Credit - Both]&gt;</t>
        </r>
      </text>
    </comment>
    <comment ref="P1264" authorId="0" shapeId="0" xr:uid="{3CD9EBC7-600A-42BD-92DE-895B21980828}">
      <text>
        <r>
          <rPr>
            <b/>
            <sz val="9"/>
            <color indexed="81"/>
            <rFont val="Tahoma"/>
            <family val="2"/>
          </rPr>
          <t>&lt;[[TCDeals] - [TC Property Current Stage (Seq: 1)] - [Buildings (Seq: 61)] Acq PIS Date - Both]&gt;</t>
        </r>
      </text>
    </comment>
    <comment ref="Q1264" authorId="0" shapeId="0" xr:uid="{9BF023CD-8E59-4377-9140-92E9384866B9}">
      <text>
        <r>
          <rPr>
            <b/>
            <sz val="9"/>
            <color indexed="81"/>
            <rFont val="Tahoma"/>
            <family val="2"/>
          </rPr>
          <t>&lt;[[TCDeals] - [TC Property Current Stage (Seq: 1)] - [Buildings (Seq: 61)] Acq Applicable Percentage - Both]&gt;</t>
        </r>
      </text>
    </comment>
    <comment ref="R1264" authorId="0" shapeId="0" xr:uid="{2DA9EAB1-49A2-4142-902C-8BCFF7CCBC65}">
      <text>
        <r>
          <rPr>
            <b/>
            <sz val="9"/>
            <color indexed="81"/>
            <rFont val="Tahoma"/>
            <family val="2"/>
          </rPr>
          <t>&lt;[[TCDeals] - [TC Property Current Stage (Seq: 1)] - [Buildings (Seq: 61)] Acq Est Qual Basis - Both]&gt;</t>
        </r>
      </text>
    </comment>
    <comment ref="S1264" authorId="0" shapeId="0" xr:uid="{87530000-082F-452C-9F4D-6BB0C2427B70}">
      <text>
        <r>
          <rPr>
            <b/>
            <sz val="9"/>
            <color indexed="81"/>
            <rFont val="Tahoma"/>
            <family val="2"/>
          </rPr>
          <t>&lt;[[TCDeals] - [TC Property Current Stage (Seq: 1)] - [Buildings (Seq: 61)] Acq 8609 Basis - Both]&gt;</t>
        </r>
      </text>
    </comment>
    <comment ref="T1264" authorId="0" shapeId="0" xr:uid="{E4CE22F9-6F11-4641-AA25-EBF181F55943}">
      <text>
        <r>
          <rPr>
            <b/>
            <sz val="9"/>
            <color indexed="81"/>
            <rFont val="Tahoma"/>
            <family val="2"/>
          </rPr>
          <t>&lt;[[TCDeals] - [TC Property Current Stage (Seq: 1)] - [Buildings (Seq: 61)] Acq 8609 Credit - Both]&gt;</t>
        </r>
      </text>
    </comment>
    <comment ref="C1265" authorId="0" shapeId="0" xr:uid="{FAB64D5A-0DEE-4951-ABF1-9B80C8D8488E}">
      <text>
        <r>
          <rPr>
            <b/>
            <sz val="9"/>
            <color indexed="81"/>
            <rFont val="Tahoma"/>
            <family val="2"/>
          </rPr>
          <t>&lt;[[TCDeals] - [TC Property Current Stage (Seq: 1)] - [Buildings (Seq: 62)] BIN - Both]&gt;</t>
        </r>
      </text>
    </comment>
    <comment ref="D1265" authorId="0" shapeId="0" xr:uid="{E27E5885-023D-4DBD-BDC7-0E4149246604}">
      <text>
        <r>
          <rPr>
            <b/>
            <sz val="9"/>
            <color indexed="81"/>
            <rFont val="Tahoma"/>
            <family val="2"/>
          </rPr>
          <t>&lt;[[TCDeals] - [TC Property Current Stage (Seq: 1)] - [Buildings (Seq: 62)] Address 1 - Both]&gt;</t>
        </r>
      </text>
    </comment>
    <comment ref="E1265" authorId="0" shapeId="0" xr:uid="{A5AD81B8-47DA-4698-9F86-31A07951DD96}">
      <text>
        <r>
          <rPr>
            <b/>
            <sz val="9"/>
            <color indexed="81"/>
            <rFont val="Tahoma"/>
            <family val="2"/>
          </rPr>
          <t>&lt;[[TCDeals] - [TC Property Current Stage (Seq: 1)] - [Buildings (Seq: 62)] Num TC Units - Both]&gt;</t>
        </r>
      </text>
    </comment>
    <comment ref="F1265" authorId="0" shapeId="0" xr:uid="{A1238F16-EB8A-4856-81C7-68FDE4F4C0DD}">
      <text>
        <r>
          <rPr>
            <b/>
            <sz val="9"/>
            <color indexed="81"/>
            <rFont val="Tahoma"/>
            <family val="2"/>
          </rPr>
          <t>&lt;[[TCDeals] - [TC Property Current Stage (Seq: 1)] - [Buildings (Seq: 62)] PVC PIS Date - Both]&gt;</t>
        </r>
      </text>
    </comment>
    <comment ref="G1265" authorId="0" shapeId="0" xr:uid="{C255B2F1-3CC9-458E-A333-F4EAAB4FC25B}">
      <text>
        <r>
          <rPr>
            <b/>
            <sz val="9"/>
            <color indexed="81"/>
            <rFont val="Tahoma"/>
            <family val="2"/>
          </rPr>
          <t>&lt;[[TCDeals] - [TC Property Current Stage (Seq: 1)] - [Buildings (Seq: 62)] PVC Applicable Percentage - Both]&gt;</t>
        </r>
      </text>
    </comment>
    <comment ref="H1265" authorId="0" shapeId="0" xr:uid="{A73B7623-C0CE-49D8-818A-136EB3D3CE16}">
      <text>
        <r>
          <rPr>
            <b/>
            <sz val="9"/>
            <color indexed="81"/>
            <rFont val="Tahoma"/>
            <family val="2"/>
          </rPr>
          <t>&lt;[[TCDeals] - [TC Property Current Stage (Seq: 1)] - [Buildings (Seq: 62)] PVC Est Qual Basis - Both]&gt;</t>
        </r>
      </text>
    </comment>
    <comment ref="I1265" authorId="0" shapeId="0" xr:uid="{E70F8B77-7AD2-4120-A1B0-18788BE3F77A}">
      <text>
        <r>
          <rPr>
            <b/>
            <sz val="9"/>
            <color indexed="81"/>
            <rFont val="Tahoma"/>
            <family val="2"/>
          </rPr>
          <t>&lt;[[TCDeals] - [TC Property Current Stage (Seq: 1)] - [Buildings (Seq: 62)] PVC8609 Basis - Both]&gt;</t>
        </r>
      </text>
    </comment>
    <comment ref="J1265" authorId="0" shapeId="0" xr:uid="{083BD847-7464-44F6-BF2E-CEEA42271E7A}">
      <text>
        <r>
          <rPr>
            <b/>
            <sz val="9"/>
            <color indexed="81"/>
            <rFont val="Tahoma"/>
            <family val="2"/>
          </rPr>
          <t>&lt;[[TCDeals] - [TC Property Current Stage (Seq: 1)] - [Buildings (Seq: 62)] PVC8609 Credit - Both]&gt;</t>
        </r>
      </text>
    </comment>
    <comment ref="K1265" authorId="0" shapeId="0" xr:uid="{E6ED1CD7-43DB-4E6E-821F-61ECB45BD035}">
      <text>
        <r>
          <rPr>
            <b/>
            <sz val="9"/>
            <color indexed="81"/>
            <rFont val="Tahoma"/>
            <family val="2"/>
          </rPr>
          <t>&lt;[[TCDeals] - [TC Property Current Stage (Seq: 1)] - [Buildings (Seq: 62)] Constr PIS Date - Both]&gt;</t>
        </r>
      </text>
    </comment>
    <comment ref="L1265" authorId="0" shapeId="0" xr:uid="{1CFA86F6-1179-4592-B983-65EF1B5121B0}">
      <text>
        <r>
          <rPr>
            <b/>
            <sz val="9"/>
            <color indexed="81"/>
            <rFont val="Tahoma"/>
            <family val="2"/>
          </rPr>
          <t>&lt;[[TCDeals] - [TC Property Current Stage (Seq: 1)] - [Buildings (Seq: 62)] Constr Applicable Percentage - Both]&gt;</t>
        </r>
      </text>
    </comment>
    <comment ref="M1265" authorId="0" shapeId="0" xr:uid="{40E2C443-5C08-4158-954F-86A551098B8B}">
      <text>
        <r>
          <rPr>
            <b/>
            <sz val="9"/>
            <color indexed="81"/>
            <rFont val="Tahoma"/>
            <family val="2"/>
          </rPr>
          <t>&lt;[[TCDeals] - [TC Property Current Stage (Seq: 1)] - [Buildings (Seq: 62)] Constr Est Qual Basis - Both]&gt;</t>
        </r>
      </text>
    </comment>
    <comment ref="N1265" authorId="0" shapeId="0" xr:uid="{43389316-C2D1-4008-9360-98B1DE4BEB34}">
      <text>
        <r>
          <rPr>
            <b/>
            <sz val="9"/>
            <color indexed="81"/>
            <rFont val="Tahoma"/>
            <family val="2"/>
          </rPr>
          <t>&lt;[[TCDeals] - [TC Property Current Stage (Seq: 1)] - [Buildings (Seq: 62)] Constr 8609 Basis - Both]&gt;</t>
        </r>
      </text>
    </comment>
    <comment ref="O1265" authorId="0" shapeId="0" xr:uid="{A911AE5B-23DD-43FE-BFF1-C7433A8D0E01}">
      <text>
        <r>
          <rPr>
            <b/>
            <sz val="9"/>
            <color indexed="81"/>
            <rFont val="Tahoma"/>
            <family val="2"/>
          </rPr>
          <t>&lt;[[TCDeals] - [TC Property Current Stage (Seq: 1)] - [Buildings (Seq: 62)] Constr 8609 Credit - Both]&gt;</t>
        </r>
      </text>
    </comment>
    <comment ref="P1265" authorId="0" shapeId="0" xr:uid="{6B80F9E4-9311-4B71-85EC-832A4D8719D2}">
      <text>
        <r>
          <rPr>
            <b/>
            <sz val="9"/>
            <color indexed="81"/>
            <rFont val="Tahoma"/>
            <family val="2"/>
          </rPr>
          <t>&lt;[[TCDeals] - [TC Property Current Stage (Seq: 1)] - [Buildings (Seq: 62)] Acq PIS Date - Both]&gt;</t>
        </r>
      </text>
    </comment>
    <comment ref="Q1265" authorId="0" shapeId="0" xr:uid="{232B7E67-9659-4B4C-BF72-C9EAEDF5566F}">
      <text>
        <r>
          <rPr>
            <b/>
            <sz val="9"/>
            <color indexed="81"/>
            <rFont val="Tahoma"/>
            <family val="2"/>
          </rPr>
          <t>&lt;[[TCDeals] - [TC Property Current Stage (Seq: 1)] - [Buildings (Seq: 62)] Acq Applicable Percentage - Both]&gt;</t>
        </r>
      </text>
    </comment>
    <comment ref="R1265" authorId="0" shapeId="0" xr:uid="{34326D53-5524-47F4-89ED-BCCA79B399BD}">
      <text>
        <r>
          <rPr>
            <b/>
            <sz val="9"/>
            <color indexed="81"/>
            <rFont val="Tahoma"/>
            <family val="2"/>
          </rPr>
          <t>&lt;[[TCDeals] - [TC Property Current Stage (Seq: 1)] - [Buildings (Seq: 62)] Acq Est Qual Basis - Both]&gt;</t>
        </r>
      </text>
    </comment>
    <comment ref="S1265" authorId="0" shapeId="0" xr:uid="{F851739A-FDD5-4DFA-876D-A165D85397C3}">
      <text>
        <r>
          <rPr>
            <b/>
            <sz val="9"/>
            <color indexed="81"/>
            <rFont val="Tahoma"/>
            <family val="2"/>
          </rPr>
          <t>&lt;[[TCDeals] - [TC Property Current Stage (Seq: 1)] - [Buildings (Seq: 62)] Acq 8609 Basis - Both]&gt;</t>
        </r>
      </text>
    </comment>
    <comment ref="T1265" authorId="0" shapeId="0" xr:uid="{D82DD0C0-5C48-43D6-8EA5-E1F3A25E3436}">
      <text>
        <r>
          <rPr>
            <b/>
            <sz val="9"/>
            <color indexed="81"/>
            <rFont val="Tahoma"/>
            <family val="2"/>
          </rPr>
          <t>&lt;[[TCDeals] - [TC Property Current Stage (Seq: 1)] - [Buildings (Seq: 62)] Acq 8609 Credit - Both]&gt;</t>
        </r>
      </text>
    </comment>
    <comment ref="C1266" authorId="0" shapeId="0" xr:uid="{F2E6518B-C6F4-4EDB-87ED-21CA15870A9C}">
      <text>
        <r>
          <rPr>
            <b/>
            <sz val="9"/>
            <color indexed="81"/>
            <rFont val="Tahoma"/>
            <family val="2"/>
          </rPr>
          <t>&lt;[[TCDeals] - [TC Property Current Stage (Seq: 1)] - [Buildings (Seq: 63)] BIN - Both]&gt;</t>
        </r>
      </text>
    </comment>
    <comment ref="D1266" authorId="0" shapeId="0" xr:uid="{DBAA949F-6F0F-48FD-B2C9-AC7C8D130EFF}">
      <text>
        <r>
          <rPr>
            <b/>
            <sz val="9"/>
            <color indexed="81"/>
            <rFont val="Tahoma"/>
            <family val="2"/>
          </rPr>
          <t>&lt;[[TCDeals] - [TC Property Current Stage (Seq: 1)] - [Buildings (Seq: 63)] Address 1 - Both]&gt;</t>
        </r>
      </text>
    </comment>
    <comment ref="E1266" authorId="0" shapeId="0" xr:uid="{81770BF2-701C-4ADD-AC45-CB70744F6A1B}">
      <text>
        <r>
          <rPr>
            <b/>
            <sz val="9"/>
            <color indexed="81"/>
            <rFont val="Tahoma"/>
            <family val="2"/>
          </rPr>
          <t>&lt;[[TCDeals] - [TC Property Current Stage (Seq: 1)] - [Buildings (Seq: 63)] Num TC Units - Both]&gt;</t>
        </r>
      </text>
    </comment>
    <comment ref="F1266" authorId="0" shapeId="0" xr:uid="{F68FEACD-74A9-4CF1-9B2F-C8128D01FFC0}">
      <text>
        <r>
          <rPr>
            <b/>
            <sz val="9"/>
            <color indexed="81"/>
            <rFont val="Tahoma"/>
            <family val="2"/>
          </rPr>
          <t>&lt;[[TCDeals] - [TC Property Current Stage (Seq: 1)] - [Buildings (Seq: 63)] PVC PIS Date - Both]&gt;</t>
        </r>
      </text>
    </comment>
    <comment ref="G1266" authorId="0" shapeId="0" xr:uid="{69FDFBB3-0A50-4AD2-B78E-FBBE2043E760}">
      <text>
        <r>
          <rPr>
            <b/>
            <sz val="9"/>
            <color indexed="81"/>
            <rFont val="Tahoma"/>
            <family val="2"/>
          </rPr>
          <t>&lt;[[TCDeals] - [TC Property Current Stage (Seq: 1)] - [Buildings (Seq: 63)] PVC Applicable Percentage - Both]&gt;</t>
        </r>
      </text>
    </comment>
    <comment ref="H1266" authorId="0" shapeId="0" xr:uid="{830D35C4-6330-48B6-9895-2FEF30ADF78D}">
      <text>
        <r>
          <rPr>
            <b/>
            <sz val="9"/>
            <color indexed="81"/>
            <rFont val="Tahoma"/>
            <family val="2"/>
          </rPr>
          <t>&lt;[[TCDeals] - [TC Property Current Stage (Seq: 1)] - [Buildings (Seq: 63)] PVC Est Qual Basis - Both]&gt;</t>
        </r>
      </text>
    </comment>
    <comment ref="I1266" authorId="0" shapeId="0" xr:uid="{68D18B3B-9353-4655-8681-0246D25C6DD1}">
      <text>
        <r>
          <rPr>
            <b/>
            <sz val="9"/>
            <color indexed="81"/>
            <rFont val="Tahoma"/>
            <family val="2"/>
          </rPr>
          <t>&lt;[[TCDeals] - [TC Property Current Stage (Seq: 1)] - [Buildings (Seq: 63)] PVC8609 Basis - Both]&gt;</t>
        </r>
      </text>
    </comment>
    <comment ref="J1266" authorId="0" shapeId="0" xr:uid="{6E880308-C67C-4D25-88C2-2D679C34A430}">
      <text>
        <r>
          <rPr>
            <b/>
            <sz val="9"/>
            <color indexed="81"/>
            <rFont val="Tahoma"/>
            <family val="2"/>
          </rPr>
          <t>&lt;[[TCDeals] - [TC Property Current Stage (Seq: 1)] - [Buildings (Seq: 63)] PVC8609 Credit - Both]&gt;</t>
        </r>
      </text>
    </comment>
    <comment ref="K1266" authorId="0" shapeId="0" xr:uid="{76D70ABB-F867-47FB-84A3-F1B588BEF2DC}">
      <text>
        <r>
          <rPr>
            <b/>
            <sz val="9"/>
            <color indexed="81"/>
            <rFont val="Tahoma"/>
            <family val="2"/>
          </rPr>
          <t>&lt;[[TCDeals] - [TC Property Current Stage (Seq: 1)] - [Buildings (Seq: 63)] Constr PIS Date - Both]&gt;</t>
        </r>
      </text>
    </comment>
    <comment ref="L1266" authorId="0" shapeId="0" xr:uid="{F32A7462-BDA5-4C93-A873-B5A8B3829C80}">
      <text>
        <r>
          <rPr>
            <b/>
            <sz val="9"/>
            <color indexed="81"/>
            <rFont val="Tahoma"/>
            <family val="2"/>
          </rPr>
          <t>&lt;[[TCDeals] - [TC Property Current Stage (Seq: 1)] - [Buildings (Seq: 63)] Constr Applicable Percentage - Both]&gt;</t>
        </r>
      </text>
    </comment>
    <comment ref="M1266" authorId="0" shapeId="0" xr:uid="{BDD9ACE6-568C-4FE6-A046-1B967C0C940D}">
      <text>
        <r>
          <rPr>
            <b/>
            <sz val="9"/>
            <color indexed="81"/>
            <rFont val="Tahoma"/>
            <family val="2"/>
          </rPr>
          <t>&lt;[[TCDeals] - [TC Property Current Stage (Seq: 1)] - [Buildings (Seq: 63)] Constr Est Qual Basis - Both]&gt;</t>
        </r>
      </text>
    </comment>
    <comment ref="N1266" authorId="0" shapeId="0" xr:uid="{2105E1D8-5EDD-42A5-BB49-D5F362A125F6}">
      <text>
        <r>
          <rPr>
            <b/>
            <sz val="9"/>
            <color indexed="81"/>
            <rFont val="Tahoma"/>
            <family val="2"/>
          </rPr>
          <t>&lt;[[TCDeals] - [TC Property Current Stage (Seq: 1)] - [Buildings (Seq: 63)] Constr 8609 Basis - Both]&gt;</t>
        </r>
      </text>
    </comment>
    <comment ref="O1266" authorId="0" shapeId="0" xr:uid="{4067D4A7-8F1E-44B4-968E-A9D4A51E54BA}">
      <text>
        <r>
          <rPr>
            <b/>
            <sz val="9"/>
            <color indexed="81"/>
            <rFont val="Tahoma"/>
            <family val="2"/>
          </rPr>
          <t>&lt;[[TCDeals] - [TC Property Current Stage (Seq: 1)] - [Buildings (Seq: 63)] Constr 8609 Credit - Both]&gt;</t>
        </r>
      </text>
    </comment>
    <comment ref="P1266" authorId="0" shapeId="0" xr:uid="{C429C629-B99E-489F-892A-2AA2B06C5E48}">
      <text>
        <r>
          <rPr>
            <b/>
            <sz val="9"/>
            <color indexed="81"/>
            <rFont val="Tahoma"/>
            <family val="2"/>
          </rPr>
          <t>&lt;[[TCDeals] - [TC Property Current Stage (Seq: 1)] - [Buildings (Seq: 63)] Acq PIS Date - Both]&gt;</t>
        </r>
      </text>
    </comment>
    <comment ref="Q1266" authorId="0" shapeId="0" xr:uid="{AE7272C0-819C-458C-BE2D-0D5F57604524}">
      <text>
        <r>
          <rPr>
            <b/>
            <sz val="9"/>
            <color indexed="81"/>
            <rFont val="Tahoma"/>
            <family val="2"/>
          </rPr>
          <t>&lt;[[TCDeals] - [TC Property Current Stage (Seq: 1)] - [Buildings (Seq: 63)] Acq Applicable Percentage - Both]&gt;</t>
        </r>
      </text>
    </comment>
    <comment ref="R1266" authorId="0" shapeId="0" xr:uid="{A14A503F-5196-4CD4-B445-E84D1FF2FFDB}">
      <text>
        <r>
          <rPr>
            <b/>
            <sz val="9"/>
            <color indexed="81"/>
            <rFont val="Tahoma"/>
            <family val="2"/>
          </rPr>
          <t>&lt;[[TCDeals] - [TC Property Current Stage (Seq: 1)] - [Buildings (Seq: 63)] Acq Est Qual Basis - Both]&gt;</t>
        </r>
      </text>
    </comment>
    <comment ref="S1266" authorId="0" shapeId="0" xr:uid="{63AAAD7B-F6F9-4CF0-B117-56BEB6502CEC}">
      <text>
        <r>
          <rPr>
            <b/>
            <sz val="9"/>
            <color indexed="81"/>
            <rFont val="Tahoma"/>
            <family val="2"/>
          </rPr>
          <t>&lt;[[TCDeals] - [TC Property Current Stage (Seq: 1)] - [Buildings (Seq: 63)] Acq 8609 Basis - Both]&gt;</t>
        </r>
      </text>
    </comment>
    <comment ref="T1266" authorId="0" shapeId="0" xr:uid="{A0597B9C-0887-4269-AF76-D31170B24934}">
      <text>
        <r>
          <rPr>
            <b/>
            <sz val="9"/>
            <color indexed="81"/>
            <rFont val="Tahoma"/>
            <family val="2"/>
          </rPr>
          <t>&lt;[[TCDeals] - [TC Property Current Stage (Seq: 1)] - [Buildings (Seq: 63)] Acq 8609 Credit - Both]&gt;</t>
        </r>
      </text>
    </comment>
    <comment ref="C1267" authorId="0" shapeId="0" xr:uid="{6BE81AEC-B6FE-4045-A881-96656D6B8EA0}">
      <text>
        <r>
          <rPr>
            <b/>
            <sz val="9"/>
            <color indexed="81"/>
            <rFont val="Tahoma"/>
            <family val="2"/>
          </rPr>
          <t>&lt;[[TCDeals] - [TC Property Current Stage (Seq: 1)] - [Buildings (Seq: 64)] BIN - Both]&gt;</t>
        </r>
      </text>
    </comment>
    <comment ref="D1267" authorId="0" shapeId="0" xr:uid="{7843E9CA-98FA-4EEC-AEE2-662774EE24F9}">
      <text>
        <r>
          <rPr>
            <b/>
            <sz val="9"/>
            <color indexed="81"/>
            <rFont val="Tahoma"/>
            <family val="2"/>
          </rPr>
          <t>&lt;[[TCDeals] - [TC Property Current Stage (Seq: 1)] - [Buildings (Seq: 64)] Address 1 - Both]&gt;</t>
        </r>
      </text>
    </comment>
    <comment ref="E1267" authorId="0" shapeId="0" xr:uid="{FC9A7CC6-C6D9-43EF-B208-E4ACB02F7566}">
      <text>
        <r>
          <rPr>
            <b/>
            <sz val="9"/>
            <color indexed="81"/>
            <rFont val="Tahoma"/>
            <family val="2"/>
          </rPr>
          <t>&lt;[[TCDeals] - [TC Property Current Stage (Seq: 1)] - [Buildings (Seq: 64)] Num TC Units - Both]&gt;</t>
        </r>
      </text>
    </comment>
    <comment ref="F1267" authorId="0" shapeId="0" xr:uid="{AA3A7F57-1DD2-4A17-87D3-6439FEE5C058}">
      <text>
        <r>
          <rPr>
            <b/>
            <sz val="9"/>
            <color indexed="81"/>
            <rFont val="Tahoma"/>
            <family val="2"/>
          </rPr>
          <t>&lt;[[TCDeals] - [TC Property Current Stage (Seq: 1)] - [Buildings (Seq: 64)] PVC PIS Date - Both]&gt;</t>
        </r>
      </text>
    </comment>
    <comment ref="G1267" authorId="0" shapeId="0" xr:uid="{325DA279-E20F-4286-A33D-4C2565B0B63F}">
      <text>
        <r>
          <rPr>
            <b/>
            <sz val="9"/>
            <color indexed="81"/>
            <rFont val="Tahoma"/>
            <family val="2"/>
          </rPr>
          <t>&lt;[[TCDeals] - [TC Property Current Stage (Seq: 1)] - [Buildings (Seq: 64)] PVC Applicable Percentage - Both]&gt;</t>
        </r>
      </text>
    </comment>
    <comment ref="H1267" authorId="0" shapeId="0" xr:uid="{E3849F72-8746-4426-BD3C-9A9B798D43BC}">
      <text>
        <r>
          <rPr>
            <b/>
            <sz val="9"/>
            <color indexed="81"/>
            <rFont val="Tahoma"/>
            <family val="2"/>
          </rPr>
          <t>&lt;[[TCDeals] - [TC Property Current Stage (Seq: 1)] - [Buildings (Seq: 64)] PVC Est Qual Basis - Both]&gt;</t>
        </r>
      </text>
    </comment>
    <comment ref="I1267" authorId="0" shapeId="0" xr:uid="{994646CE-C227-46D5-A589-3DB0CB212A06}">
      <text>
        <r>
          <rPr>
            <b/>
            <sz val="9"/>
            <color indexed="81"/>
            <rFont val="Tahoma"/>
            <family val="2"/>
          </rPr>
          <t>&lt;[[TCDeals] - [TC Property Current Stage (Seq: 1)] - [Buildings (Seq: 64)] PVC8609 Basis - Both]&gt;</t>
        </r>
      </text>
    </comment>
    <comment ref="J1267" authorId="0" shapeId="0" xr:uid="{A1BE7430-95EC-4382-BB2A-4A825BA1ABF6}">
      <text>
        <r>
          <rPr>
            <b/>
            <sz val="9"/>
            <color indexed="81"/>
            <rFont val="Tahoma"/>
            <family val="2"/>
          </rPr>
          <t>&lt;[[TCDeals] - [TC Property Current Stage (Seq: 1)] - [Buildings (Seq: 64)] PVC8609 Credit - Both]&gt;</t>
        </r>
      </text>
    </comment>
    <comment ref="K1267" authorId="0" shapeId="0" xr:uid="{F2F5178D-2CC9-481F-B2AE-143433ABE54F}">
      <text>
        <r>
          <rPr>
            <b/>
            <sz val="9"/>
            <color indexed="81"/>
            <rFont val="Tahoma"/>
            <family val="2"/>
          </rPr>
          <t>&lt;[[TCDeals] - [TC Property Current Stage (Seq: 1)] - [Buildings (Seq: 64)] Constr PIS Date - Both]&gt;</t>
        </r>
      </text>
    </comment>
    <comment ref="L1267" authorId="0" shapeId="0" xr:uid="{CA01E899-03A0-43A5-BCD7-4A277CCDF010}">
      <text>
        <r>
          <rPr>
            <b/>
            <sz val="9"/>
            <color indexed="81"/>
            <rFont val="Tahoma"/>
            <family val="2"/>
          </rPr>
          <t>&lt;[[TCDeals] - [TC Property Current Stage (Seq: 1)] - [Buildings (Seq: 64)] Constr Applicable Percentage - Both]&gt;</t>
        </r>
      </text>
    </comment>
    <comment ref="M1267" authorId="0" shapeId="0" xr:uid="{6A9FFFB0-501D-40BE-8E0E-82A447735ECA}">
      <text>
        <r>
          <rPr>
            <b/>
            <sz val="9"/>
            <color indexed="81"/>
            <rFont val="Tahoma"/>
            <family val="2"/>
          </rPr>
          <t>&lt;[[TCDeals] - [TC Property Current Stage (Seq: 1)] - [Buildings (Seq: 64)] Constr Est Qual Basis - Both]&gt;</t>
        </r>
      </text>
    </comment>
    <comment ref="N1267" authorId="0" shapeId="0" xr:uid="{FDA304E3-DD55-47FB-9FAA-71103B8B7557}">
      <text>
        <r>
          <rPr>
            <b/>
            <sz val="9"/>
            <color indexed="81"/>
            <rFont val="Tahoma"/>
            <family val="2"/>
          </rPr>
          <t>&lt;[[TCDeals] - [TC Property Current Stage (Seq: 1)] - [Buildings (Seq: 64)] Constr 8609 Basis - Both]&gt;</t>
        </r>
      </text>
    </comment>
    <comment ref="O1267" authorId="0" shapeId="0" xr:uid="{0203D58A-AD43-465A-ADC2-90CC723FC89C}">
      <text>
        <r>
          <rPr>
            <b/>
            <sz val="9"/>
            <color indexed="81"/>
            <rFont val="Tahoma"/>
            <family val="2"/>
          </rPr>
          <t>&lt;[[TCDeals] - [TC Property Current Stage (Seq: 1)] - [Buildings (Seq: 64)] Constr 8609 Credit - Both]&gt;</t>
        </r>
      </text>
    </comment>
    <comment ref="P1267" authorId="0" shapeId="0" xr:uid="{4D946F0E-94EB-4213-AF52-27EB358B218D}">
      <text>
        <r>
          <rPr>
            <b/>
            <sz val="9"/>
            <color indexed="81"/>
            <rFont val="Tahoma"/>
            <family val="2"/>
          </rPr>
          <t>&lt;[[TCDeals] - [TC Property Current Stage (Seq: 1)] - [Buildings (Seq: 64)] Acq PIS Date - Both]&gt;</t>
        </r>
      </text>
    </comment>
    <comment ref="Q1267" authorId="0" shapeId="0" xr:uid="{7B7A701E-E2F3-4AE0-86F7-2FC56AEF5ECC}">
      <text>
        <r>
          <rPr>
            <b/>
            <sz val="9"/>
            <color indexed="81"/>
            <rFont val="Tahoma"/>
            <family val="2"/>
          </rPr>
          <t>&lt;[[TCDeals] - [TC Property Current Stage (Seq: 1)] - [Buildings (Seq: 64)] Acq Applicable Percentage - Both]&gt;</t>
        </r>
      </text>
    </comment>
    <comment ref="R1267" authorId="0" shapeId="0" xr:uid="{F42BFC36-B89A-4227-8B56-61332E4BC3B5}">
      <text>
        <r>
          <rPr>
            <b/>
            <sz val="9"/>
            <color indexed="81"/>
            <rFont val="Tahoma"/>
            <family val="2"/>
          </rPr>
          <t>&lt;[[TCDeals] - [TC Property Current Stage (Seq: 1)] - [Buildings (Seq: 64)] Acq Est Qual Basis - Both]&gt;</t>
        </r>
      </text>
    </comment>
    <comment ref="S1267" authorId="0" shapeId="0" xr:uid="{5E2491AD-990E-410E-9509-9F42A0862198}">
      <text>
        <r>
          <rPr>
            <b/>
            <sz val="9"/>
            <color indexed="81"/>
            <rFont val="Tahoma"/>
            <family val="2"/>
          </rPr>
          <t>&lt;[[TCDeals] - [TC Property Current Stage (Seq: 1)] - [Buildings (Seq: 64)] Acq 8609 Basis - Both]&gt;</t>
        </r>
      </text>
    </comment>
    <comment ref="T1267" authorId="0" shapeId="0" xr:uid="{866CA530-62DB-4FAF-B8F0-9A1BBFC40434}">
      <text>
        <r>
          <rPr>
            <b/>
            <sz val="9"/>
            <color indexed="81"/>
            <rFont val="Tahoma"/>
            <family val="2"/>
          </rPr>
          <t>&lt;[[TCDeals] - [TC Property Current Stage (Seq: 1)] - [Buildings (Seq: 64)] Acq 8609 Credit - Both]&gt;</t>
        </r>
      </text>
    </comment>
    <comment ref="C1268" authorId="0" shapeId="0" xr:uid="{7675B47E-2013-49F7-AEE8-BF5E297502EA}">
      <text>
        <r>
          <rPr>
            <b/>
            <sz val="9"/>
            <color indexed="81"/>
            <rFont val="Tahoma"/>
            <family val="2"/>
          </rPr>
          <t>&lt;[[TCDeals] - [TC Property Current Stage (Seq: 1)] - [Buildings (Seq: 65)] BIN - Both]&gt;</t>
        </r>
      </text>
    </comment>
    <comment ref="D1268" authorId="0" shapeId="0" xr:uid="{6F0B5466-1D8B-41F0-BA40-4B5D9221D62A}">
      <text>
        <r>
          <rPr>
            <b/>
            <sz val="9"/>
            <color indexed="81"/>
            <rFont val="Tahoma"/>
            <family val="2"/>
          </rPr>
          <t>&lt;[[TCDeals] - [TC Property Current Stage (Seq: 1)] - [Buildings (Seq: 65)] Address 1 - Both]&gt;</t>
        </r>
      </text>
    </comment>
    <comment ref="E1268" authorId="0" shapeId="0" xr:uid="{1A1F24A0-DCB0-4074-90C3-4C3870F4C85E}">
      <text>
        <r>
          <rPr>
            <b/>
            <sz val="9"/>
            <color indexed="81"/>
            <rFont val="Tahoma"/>
            <family val="2"/>
          </rPr>
          <t>&lt;[[TCDeals] - [TC Property Current Stage (Seq: 1)] - [Buildings (Seq: 65)] Num TC Units - Both]&gt;</t>
        </r>
      </text>
    </comment>
    <comment ref="F1268" authorId="0" shapeId="0" xr:uid="{0BB85FF3-3C3A-4906-9692-B6A649EB422B}">
      <text>
        <r>
          <rPr>
            <b/>
            <sz val="9"/>
            <color indexed="81"/>
            <rFont val="Tahoma"/>
            <family val="2"/>
          </rPr>
          <t>&lt;[[TCDeals] - [TC Property Current Stage (Seq: 1)] - [Buildings (Seq: 65)] PVC PIS Date - Both]&gt;</t>
        </r>
      </text>
    </comment>
    <comment ref="G1268" authorId="0" shapeId="0" xr:uid="{3DA125F9-F41A-49E6-947E-EB537596CD6C}">
      <text>
        <r>
          <rPr>
            <b/>
            <sz val="9"/>
            <color indexed="81"/>
            <rFont val="Tahoma"/>
            <family val="2"/>
          </rPr>
          <t>&lt;[[TCDeals] - [TC Property Current Stage (Seq: 1)] - [Buildings (Seq: 65)] PVC Applicable Percentage - Both]&gt;</t>
        </r>
      </text>
    </comment>
    <comment ref="H1268" authorId="0" shapeId="0" xr:uid="{D574F5EF-B089-4F88-AB83-B3B7ECE2C644}">
      <text>
        <r>
          <rPr>
            <b/>
            <sz val="9"/>
            <color indexed="81"/>
            <rFont val="Tahoma"/>
            <family val="2"/>
          </rPr>
          <t>&lt;[[TCDeals] - [TC Property Current Stage (Seq: 1)] - [Buildings (Seq: 65)] PVC Est Qual Basis - Both]&gt;</t>
        </r>
      </text>
    </comment>
    <comment ref="I1268" authorId="0" shapeId="0" xr:uid="{4645278E-5128-45A4-8B18-C7EA9EEA15F5}">
      <text>
        <r>
          <rPr>
            <b/>
            <sz val="9"/>
            <color indexed="81"/>
            <rFont val="Tahoma"/>
            <family val="2"/>
          </rPr>
          <t>&lt;[[TCDeals] - [TC Property Current Stage (Seq: 1)] - [Buildings (Seq: 65)] PVC8609 Basis - Both]&gt;</t>
        </r>
      </text>
    </comment>
    <comment ref="J1268" authorId="0" shapeId="0" xr:uid="{EFD1B963-E939-431E-AB21-04E37B12699A}">
      <text>
        <r>
          <rPr>
            <b/>
            <sz val="9"/>
            <color indexed="81"/>
            <rFont val="Tahoma"/>
            <family val="2"/>
          </rPr>
          <t>&lt;[[TCDeals] - [TC Property Current Stage (Seq: 1)] - [Buildings (Seq: 65)] PVC8609 Credit - Both]&gt;</t>
        </r>
      </text>
    </comment>
    <comment ref="K1268" authorId="0" shapeId="0" xr:uid="{3E558637-9926-4EB7-919D-6D785798F9E8}">
      <text>
        <r>
          <rPr>
            <b/>
            <sz val="9"/>
            <color indexed="81"/>
            <rFont val="Tahoma"/>
            <family val="2"/>
          </rPr>
          <t>&lt;[[TCDeals] - [TC Property Current Stage (Seq: 1)] - [Buildings (Seq: 65)] Constr PIS Date - Both]&gt;</t>
        </r>
      </text>
    </comment>
    <comment ref="L1268" authorId="0" shapeId="0" xr:uid="{452379E6-4C5E-4E67-B4CF-BE5EA95A8A05}">
      <text>
        <r>
          <rPr>
            <b/>
            <sz val="9"/>
            <color indexed="81"/>
            <rFont val="Tahoma"/>
            <family val="2"/>
          </rPr>
          <t>&lt;[[TCDeals] - [TC Property Current Stage (Seq: 1)] - [Buildings (Seq: 65)] Constr Applicable Percentage - Both]&gt;</t>
        </r>
      </text>
    </comment>
    <comment ref="M1268" authorId="0" shapeId="0" xr:uid="{BEE0A392-D57C-463C-99D1-54B83ED3371F}">
      <text>
        <r>
          <rPr>
            <b/>
            <sz val="9"/>
            <color indexed="81"/>
            <rFont val="Tahoma"/>
            <family val="2"/>
          </rPr>
          <t>&lt;[[TCDeals] - [TC Property Current Stage (Seq: 1)] - [Buildings (Seq: 65)] Constr Est Qual Basis - Both]&gt;</t>
        </r>
      </text>
    </comment>
    <comment ref="N1268" authorId="0" shapeId="0" xr:uid="{51B80BE2-0B78-4777-BC1F-B46DAE6188D0}">
      <text>
        <r>
          <rPr>
            <b/>
            <sz val="9"/>
            <color indexed="81"/>
            <rFont val="Tahoma"/>
            <family val="2"/>
          </rPr>
          <t>&lt;[[TCDeals] - [TC Property Current Stage (Seq: 1)] - [Buildings (Seq: 65)] Constr 8609 Basis - Both]&gt;</t>
        </r>
      </text>
    </comment>
    <comment ref="O1268" authorId="0" shapeId="0" xr:uid="{8AB8D857-9090-4404-A8B1-D768B71D3875}">
      <text>
        <r>
          <rPr>
            <b/>
            <sz val="9"/>
            <color indexed="81"/>
            <rFont val="Tahoma"/>
            <family val="2"/>
          </rPr>
          <t>&lt;[[TCDeals] - [TC Property Current Stage (Seq: 1)] - [Buildings (Seq: 65)] Constr 8609 Credit - Both]&gt;</t>
        </r>
      </text>
    </comment>
    <comment ref="P1268" authorId="0" shapeId="0" xr:uid="{CF44AD1C-FEB9-46D2-A345-71CA93174F03}">
      <text>
        <r>
          <rPr>
            <b/>
            <sz val="9"/>
            <color indexed="81"/>
            <rFont val="Tahoma"/>
            <family val="2"/>
          </rPr>
          <t>&lt;[[TCDeals] - [TC Property Current Stage (Seq: 1)] - [Buildings (Seq: 65)] Acq PIS Date - Both]&gt;</t>
        </r>
      </text>
    </comment>
    <comment ref="Q1268" authorId="0" shapeId="0" xr:uid="{5B94EF95-3AD2-4316-A65F-74714F673895}">
      <text>
        <r>
          <rPr>
            <b/>
            <sz val="9"/>
            <color indexed="81"/>
            <rFont val="Tahoma"/>
            <family val="2"/>
          </rPr>
          <t>&lt;[[TCDeals] - [TC Property Current Stage (Seq: 1)] - [Buildings (Seq: 65)] Acq Applicable Percentage - Both]&gt;</t>
        </r>
      </text>
    </comment>
    <comment ref="R1268" authorId="0" shapeId="0" xr:uid="{4E47F4F0-2F3A-439F-ADF8-54552978E981}">
      <text>
        <r>
          <rPr>
            <b/>
            <sz val="9"/>
            <color indexed="81"/>
            <rFont val="Tahoma"/>
            <family val="2"/>
          </rPr>
          <t>&lt;[[TCDeals] - [TC Property Current Stage (Seq: 1)] - [Buildings (Seq: 65)] Acq Est Qual Basis - Both]&gt;</t>
        </r>
      </text>
    </comment>
    <comment ref="S1268" authorId="0" shapeId="0" xr:uid="{FB26F415-9F81-4BA4-85EC-59F5BD018AEB}">
      <text>
        <r>
          <rPr>
            <b/>
            <sz val="9"/>
            <color indexed="81"/>
            <rFont val="Tahoma"/>
            <family val="2"/>
          </rPr>
          <t>&lt;[[TCDeals] - [TC Property Current Stage (Seq: 1)] - [Buildings (Seq: 65)] Acq 8609 Basis - Both]&gt;</t>
        </r>
      </text>
    </comment>
    <comment ref="T1268" authorId="0" shapeId="0" xr:uid="{E784413E-3B82-408B-86F6-69453A1E3C72}">
      <text>
        <r>
          <rPr>
            <b/>
            <sz val="9"/>
            <color indexed="81"/>
            <rFont val="Tahoma"/>
            <family val="2"/>
          </rPr>
          <t>&lt;[[TCDeals] - [TC Property Current Stage (Seq: 1)] - [Buildings (Seq: 65)] Acq 8609 Credit - Both]&gt;</t>
        </r>
      </text>
    </comment>
    <comment ref="C1269" authorId="0" shapeId="0" xr:uid="{1E2C918E-0972-432A-887A-9E2ACB702F78}">
      <text>
        <r>
          <rPr>
            <b/>
            <sz val="9"/>
            <color indexed="81"/>
            <rFont val="Tahoma"/>
            <family val="2"/>
          </rPr>
          <t>&lt;[[TCDeals] - [TC Property Current Stage (Seq: 1)] - [Buildings (Seq: 66)] BIN - Both]&gt;</t>
        </r>
      </text>
    </comment>
    <comment ref="D1269" authorId="0" shapeId="0" xr:uid="{2B72CD1E-BECF-4915-9F31-601D97088294}">
      <text>
        <r>
          <rPr>
            <b/>
            <sz val="9"/>
            <color indexed="81"/>
            <rFont val="Tahoma"/>
            <family val="2"/>
          </rPr>
          <t>&lt;[[TCDeals] - [TC Property Current Stage (Seq: 1)] - [Buildings (Seq: 66)] Address 1 - Both]&gt;</t>
        </r>
      </text>
    </comment>
    <comment ref="E1269" authorId="0" shapeId="0" xr:uid="{CB95FC08-CB5C-419F-BFDF-17D5C34D4307}">
      <text>
        <r>
          <rPr>
            <b/>
            <sz val="9"/>
            <color indexed="81"/>
            <rFont val="Tahoma"/>
            <family val="2"/>
          </rPr>
          <t>&lt;[[TCDeals] - [TC Property Current Stage (Seq: 1)] - [Buildings (Seq: 66)] Num TC Units - Both]&gt;</t>
        </r>
      </text>
    </comment>
    <comment ref="F1269" authorId="0" shapeId="0" xr:uid="{FC0F61EB-1834-4E24-81D4-C1D714096DFA}">
      <text>
        <r>
          <rPr>
            <b/>
            <sz val="9"/>
            <color indexed="81"/>
            <rFont val="Tahoma"/>
            <family val="2"/>
          </rPr>
          <t>&lt;[[TCDeals] - [TC Property Current Stage (Seq: 1)] - [Buildings (Seq: 66)] PVC PIS Date - Both]&gt;</t>
        </r>
      </text>
    </comment>
    <comment ref="G1269" authorId="0" shapeId="0" xr:uid="{152B5E6E-20B3-4EE0-A7BC-24E360D46A5D}">
      <text>
        <r>
          <rPr>
            <b/>
            <sz val="9"/>
            <color indexed="81"/>
            <rFont val="Tahoma"/>
            <family val="2"/>
          </rPr>
          <t>&lt;[[TCDeals] - [TC Property Current Stage (Seq: 1)] - [Buildings (Seq: 66)] PVC Applicable Percentage - Both]&gt;</t>
        </r>
      </text>
    </comment>
    <comment ref="H1269" authorId="0" shapeId="0" xr:uid="{90F360F8-E6B9-4B09-9E14-3556F66FB362}">
      <text>
        <r>
          <rPr>
            <b/>
            <sz val="9"/>
            <color indexed="81"/>
            <rFont val="Tahoma"/>
            <family val="2"/>
          </rPr>
          <t>&lt;[[TCDeals] - [TC Property Current Stage (Seq: 1)] - [Buildings (Seq: 66)] PVC Est Qual Basis - Both]&gt;</t>
        </r>
      </text>
    </comment>
    <comment ref="I1269" authorId="0" shapeId="0" xr:uid="{F2443602-FF8F-47FE-BB62-D0AA8AE49758}">
      <text>
        <r>
          <rPr>
            <b/>
            <sz val="9"/>
            <color indexed="81"/>
            <rFont val="Tahoma"/>
            <family val="2"/>
          </rPr>
          <t>&lt;[[TCDeals] - [TC Property Current Stage (Seq: 1)] - [Buildings (Seq: 66)] PVC8609 Basis - Both]&gt;</t>
        </r>
      </text>
    </comment>
    <comment ref="J1269" authorId="0" shapeId="0" xr:uid="{B9178B4B-2C1B-415C-9739-033571A7A84B}">
      <text>
        <r>
          <rPr>
            <b/>
            <sz val="9"/>
            <color indexed="81"/>
            <rFont val="Tahoma"/>
            <family val="2"/>
          </rPr>
          <t>&lt;[[TCDeals] - [TC Property Current Stage (Seq: 1)] - [Buildings (Seq: 66)] PVC8609 Credit - Both]&gt;</t>
        </r>
      </text>
    </comment>
    <comment ref="K1269" authorId="0" shapeId="0" xr:uid="{C1244F5C-F9BA-450B-BB5A-56B0FA3E89C8}">
      <text>
        <r>
          <rPr>
            <b/>
            <sz val="9"/>
            <color indexed="81"/>
            <rFont val="Tahoma"/>
            <family val="2"/>
          </rPr>
          <t>&lt;[[TCDeals] - [TC Property Current Stage (Seq: 1)] - [Buildings (Seq: 66)] Constr PIS Date - Both]&gt;</t>
        </r>
      </text>
    </comment>
    <comment ref="L1269" authorId="0" shapeId="0" xr:uid="{2A5C9E9B-72DC-4072-8980-186C12EC84DB}">
      <text>
        <r>
          <rPr>
            <b/>
            <sz val="9"/>
            <color indexed="81"/>
            <rFont val="Tahoma"/>
            <family val="2"/>
          </rPr>
          <t>&lt;[[TCDeals] - [TC Property Current Stage (Seq: 1)] - [Buildings (Seq: 66)] Constr Applicable Percentage - Both]&gt;</t>
        </r>
      </text>
    </comment>
    <comment ref="M1269" authorId="0" shapeId="0" xr:uid="{9A6200AA-EDA3-4C92-9400-B15BD595596B}">
      <text>
        <r>
          <rPr>
            <b/>
            <sz val="9"/>
            <color indexed="81"/>
            <rFont val="Tahoma"/>
            <family val="2"/>
          </rPr>
          <t>&lt;[[TCDeals] - [TC Property Current Stage (Seq: 1)] - [Buildings (Seq: 66)] Constr Est Qual Basis - Both]&gt;</t>
        </r>
      </text>
    </comment>
    <comment ref="N1269" authorId="0" shapeId="0" xr:uid="{6AF291C5-6B48-4D7A-BF89-9D5FD4642251}">
      <text>
        <r>
          <rPr>
            <b/>
            <sz val="9"/>
            <color indexed="81"/>
            <rFont val="Tahoma"/>
            <family val="2"/>
          </rPr>
          <t>&lt;[[TCDeals] - [TC Property Current Stage (Seq: 1)] - [Buildings (Seq: 66)] Constr 8609 Basis - Both]&gt;</t>
        </r>
      </text>
    </comment>
    <comment ref="O1269" authorId="0" shapeId="0" xr:uid="{78C879A7-65D7-4817-BA02-93040AE7CEEC}">
      <text>
        <r>
          <rPr>
            <b/>
            <sz val="9"/>
            <color indexed="81"/>
            <rFont val="Tahoma"/>
            <family val="2"/>
          </rPr>
          <t>&lt;[[TCDeals] - [TC Property Current Stage (Seq: 1)] - [Buildings (Seq: 66)] Constr 8609 Credit - Both]&gt;</t>
        </r>
      </text>
    </comment>
    <comment ref="P1269" authorId="0" shapeId="0" xr:uid="{5F0C7056-6CEB-4511-9CFD-17BC24750129}">
      <text>
        <r>
          <rPr>
            <b/>
            <sz val="9"/>
            <color indexed="81"/>
            <rFont val="Tahoma"/>
            <family val="2"/>
          </rPr>
          <t>&lt;[[TCDeals] - [TC Property Current Stage (Seq: 1)] - [Buildings (Seq: 66)] Acq PIS Date - Both]&gt;</t>
        </r>
      </text>
    </comment>
    <comment ref="Q1269" authorId="0" shapeId="0" xr:uid="{20797B74-12FD-4FD8-BF40-E500D70079F3}">
      <text>
        <r>
          <rPr>
            <b/>
            <sz val="9"/>
            <color indexed="81"/>
            <rFont val="Tahoma"/>
            <family val="2"/>
          </rPr>
          <t>&lt;[[TCDeals] - [TC Property Current Stage (Seq: 1)] - [Buildings (Seq: 66)] Acq Applicable Percentage - Both]&gt;</t>
        </r>
      </text>
    </comment>
    <comment ref="R1269" authorId="0" shapeId="0" xr:uid="{B6657C97-DD1A-45DF-A3B8-4A5DA72C0C5B}">
      <text>
        <r>
          <rPr>
            <b/>
            <sz val="9"/>
            <color indexed="81"/>
            <rFont val="Tahoma"/>
            <family val="2"/>
          </rPr>
          <t>&lt;[[TCDeals] - [TC Property Current Stage (Seq: 1)] - [Buildings (Seq: 66)] Acq Est Qual Basis - Both]&gt;</t>
        </r>
      </text>
    </comment>
    <comment ref="S1269" authorId="0" shapeId="0" xr:uid="{68CBE255-8018-42FA-A0A0-CB97A9813B55}">
      <text>
        <r>
          <rPr>
            <b/>
            <sz val="9"/>
            <color indexed="81"/>
            <rFont val="Tahoma"/>
            <family val="2"/>
          </rPr>
          <t>&lt;[[TCDeals] - [TC Property Current Stage (Seq: 1)] - [Buildings (Seq: 66)] Acq 8609 Basis - Both]&gt;</t>
        </r>
      </text>
    </comment>
    <comment ref="T1269" authorId="0" shapeId="0" xr:uid="{F2411C1C-C9AE-4263-A339-ED554688FBDA}">
      <text>
        <r>
          <rPr>
            <b/>
            <sz val="9"/>
            <color indexed="81"/>
            <rFont val="Tahoma"/>
            <family val="2"/>
          </rPr>
          <t>&lt;[[TCDeals] - [TC Property Current Stage (Seq: 1)] - [Buildings (Seq: 66)] Acq 8609 Credit - Both]&gt;</t>
        </r>
      </text>
    </comment>
    <comment ref="C1270" authorId="0" shapeId="0" xr:uid="{A19D86F1-9947-4BFD-B2FB-A5A876CD0E31}">
      <text>
        <r>
          <rPr>
            <b/>
            <sz val="9"/>
            <color indexed="81"/>
            <rFont val="Tahoma"/>
            <family val="2"/>
          </rPr>
          <t>&lt;[[TCDeals] - [TC Property Current Stage (Seq: 1)] - [Buildings (Seq: 67)] BIN - Both]&gt;</t>
        </r>
      </text>
    </comment>
    <comment ref="D1270" authorId="0" shapeId="0" xr:uid="{A3A5E06D-DD2B-4133-867C-07BEBD02BBFA}">
      <text>
        <r>
          <rPr>
            <b/>
            <sz val="9"/>
            <color indexed="81"/>
            <rFont val="Tahoma"/>
            <family val="2"/>
          </rPr>
          <t>&lt;[[TCDeals] - [TC Property Current Stage (Seq: 1)] - [Buildings (Seq: 67)] Address 1 - Both]&gt;</t>
        </r>
      </text>
    </comment>
    <comment ref="E1270" authorId="0" shapeId="0" xr:uid="{5A0F2188-4418-4545-8285-954A667EF2DC}">
      <text>
        <r>
          <rPr>
            <b/>
            <sz val="9"/>
            <color indexed="81"/>
            <rFont val="Tahoma"/>
            <family val="2"/>
          </rPr>
          <t>&lt;[[TCDeals] - [TC Property Current Stage (Seq: 1)] - [Buildings (Seq: 67)] Num TC Units - Both]&gt;</t>
        </r>
      </text>
    </comment>
    <comment ref="F1270" authorId="0" shapeId="0" xr:uid="{D1422307-582B-4338-B283-3A22630D2277}">
      <text>
        <r>
          <rPr>
            <b/>
            <sz val="9"/>
            <color indexed="81"/>
            <rFont val="Tahoma"/>
            <family val="2"/>
          </rPr>
          <t>&lt;[[TCDeals] - [TC Property Current Stage (Seq: 1)] - [Buildings (Seq: 67)] PVC PIS Date - Both]&gt;</t>
        </r>
      </text>
    </comment>
    <comment ref="G1270" authorId="0" shapeId="0" xr:uid="{E970119B-BCA1-4399-A0DD-BDCD3BD85A91}">
      <text>
        <r>
          <rPr>
            <b/>
            <sz val="9"/>
            <color indexed="81"/>
            <rFont val="Tahoma"/>
            <family val="2"/>
          </rPr>
          <t>&lt;[[TCDeals] - [TC Property Current Stage (Seq: 1)] - [Buildings (Seq: 67)] PVC Applicable Percentage - Both]&gt;</t>
        </r>
      </text>
    </comment>
    <comment ref="H1270" authorId="0" shapeId="0" xr:uid="{45390287-8D22-400C-BE27-77589B7D7471}">
      <text>
        <r>
          <rPr>
            <b/>
            <sz val="9"/>
            <color indexed="81"/>
            <rFont val="Tahoma"/>
            <family val="2"/>
          </rPr>
          <t>&lt;[[TCDeals] - [TC Property Current Stage (Seq: 1)] - [Buildings (Seq: 67)] PVC Est Qual Basis - Both]&gt;</t>
        </r>
      </text>
    </comment>
    <comment ref="I1270" authorId="0" shapeId="0" xr:uid="{D4C5DE0D-166B-463D-8BC2-724F0934D994}">
      <text>
        <r>
          <rPr>
            <b/>
            <sz val="9"/>
            <color indexed="81"/>
            <rFont val="Tahoma"/>
            <family val="2"/>
          </rPr>
          <t>&lt;[[TCDeals] - [TC Property Current Stage (Seq: 1)] - [Buildings (Seq: 67)] PVC8609 Basis - Both]&gt;</t>
        </r>
      </text>
    </comment>
    <comment ref="J1270" authorId="0" shapeId="0" xr:uid="{397CE042-6709-44D5-9F46-8FEC582C1B94}">
      <text>
        <r>
          <rPr>
            <b/>
            <sz val="9"/>
            <color indexed="81"/>
            <rFont val="Tahoma"/>
            <family val="2"/>
          </rPr>
          <t>&lt;[[TCDeals] - [TC Property Current Stage (Seq: 1)] - [Buildings (Seq: 67)] PVC8609 Credit - Both]&gt;</t>
        </r>
      </text>
    </comment>
    <comment ref="K1270" authorId="0" shapeId="0" xr:uid="{EFFB5F49-AE05-4977-963D-4D9F39DED1F4}">
      <text>
        <r>
          <rPr>
            <b/>
            <sz val="9"/>
            <color indexed="81"/>
            <rFont val="Tahoma"/>
            <family val="2"/>
          </rPr>
          <t>&lt;[[TCDeals] - [TC Property Current Stage (Seq: 1)] - [Buildings (Seq: 67)] Constr PIS Date - Both]&gt;</t>
        </r>
      </text>
    </comment>
    <comment ref="L1270" authorId="0" shapeId="0" xr:uid="{F27D0F6C-0E97-4058-9172-E3C9D9C8C329}">
      <text>
        <r>
          <rPr>
            <b/>
            <sz val="9"/>
            <color indexed="81"/>
            <rFont val="Tahoma"/>
            <family val="2"/>
          </rPr>
          <t>&lt;[[TCDeals] - [TC Property Current Stage (Seq: 1)] - [Buildings (Seq: 67)] Constr Applicable Percentage - Both]&gt;</t>
        </r>
      </text>
    </comment>
    <comment ref="M1270" authorId="0" shapeId="0" xr:uid="{ED40EEC0-F5B9-457D-9391-2547B81E80A9}">
      <text>
        <r>
          <rPr>
            <b/>
            <sz val="9"/>
            <color indexed="81"/>
            <rFont val="Tahoma"/>
            <family val="2"/>
          </rPr>
          <t>&lt;[[TCDeals] - [TC Property Current Stage (Seq: 1)] - [Buildings (Seq: 67)] Constr Est Qual Basis - Both]&gt;</t>
        </r>
      </text>
    </comment>
    <comment ref="N1270" authorId="0" shapeId="0" xr:uid="{FF884903-97FC-4B05-9C23-CAFF4E14FF6B}">
      <text>
        <r>
          <rPr>
            <b/>
            <sz val="9"/>
            <color indexed="81"/>
            <rFont val="Tahoma"/>
            <family val="2"/>
          </rPr>
          <t>&lt;[[TCDeals] - [TC Property Current Stage (Seq: 1)] - [Buildings (Seq: 67)] Constr 8609 Basis - Both]&gt;</t>
        </r>
      </text>
    </comment>
    <comment ref="O1270" authorId="0" shapeId="0" xr:uid="{9A3845A9-42F2-451C-9674-415116927C5B}">
      <text>
        <r>
          <rPr>
            <b/>
            <sz val="9"/>
            <color indexed="81"/>
            <rFont val="Tahoma"/>
            <family val="2"/>
          </rPr>
          <t>&lt;[[TCDeals] - [TC Property Current Stage (Seq: 1)] - [Buildings (Seq: 67)] Constr 8609 Credit - Both]&gt;</t>
        </r>
      </text>
    </comment>
    <comment ref="P1270" authorId="0" shapeId="0" xr:uid="{178EE099-57F9-4FDA-AD29-1147EC190E8F}">
      <text>
        <r>
          <rPr>
            <b/>
            <sz val="9"/>
            <color indexed="81"/>
            <rFont val="Tahoma"/>
            <family val="2"/>
          </rPr>
          <t>&lt;[[TCDeals] - [TC Property Current Stage (Seq: 1)] - [Buildings (Seq: 67)] Acq PIS Date - Both]&gt;</t>
        </r>
      </text>
    </comment>
    <comment ref="Q1270" authorId="0" shapeId="0" xr:uid="{A284B4FC-F105-49D7-9179-FB9FF199700C}">
      <text>
        <r>
          <rPr>
            <b/>
            <sz val="9"/>
            <color indexed="81"/>
            <rFont val="Tahoma"/>
            <family val="2"/>
          </rPr>
          <t>&lt;[[TCDeals] - [TC Property Current Stage (Seq: 1)] - [Buildings (Seq: 67)] Acq Applicable Percentage - Both]&gt;</t>
        </r>
      </text>
    </comment>
    <comment ref="R1270" authorId="0" shapeId="0" xr:uid="{D52EF203-8225-436F-BAAB-A0279B4B31B6}">
      <text>
        <r>
          <rPr>
            <b/>
            <sz val="9"/>
            <color indexed="81"/>
            <rFont val="Tahoma"/>
            <family val="2"/>
          </rPr>
          <t>&lt;[[TCDeals] - [TC Property Current Stage (Seq: 1)] - [Buildings (Seq: 67)] Acq Est Qual Basis - Both]&gt;</t>
        </r>
      </text>
    </comment>
    <comment ref="S1270" authorId="0" shapeId="0" xr:uid="{BA669EAF-EE6A-457F-A6DC-14758309B1B8}">
      <text>
        <r>
          <rPr>
            <b/>
            <sz val="9"/>
            <color indexed="81"/>
            <rFont val="Tahoma"/>
            <family val="2"/>
          </rPr>
          <t>&lt;[[TCDeals] - [TC Property Current Stage (Seq: 1)] - [Buildings (Seq: 67)] Acq 8609 Basis - Both]&gt;</t>
        </r>
      </text>
    </comment>
    <comment ref="T1270" authorId="0" shapeId="0" xr:uid="{99B9A6F7-E90E-4EA9-8B7D-AEFBDFED01B0}">
      <text>
        <r>
          <rPr>
            <b/>
            <sz val="9"/>
            <color indexed="81"/>
            <rFont val="Tahoma"/>
            <family val="2"/>
          </rPr>
          <t>&lt;[[TCDeals] - [TC Property Current Stage (Seq: 1)] - [Buildings (Seq: 67)] Acq 8609 Credit - Both]&gt;</t>
        </r>
      </text>
    </comment>
    <comment ref="C1271" authorId="0" shapeId="0" xr:uid="{CB8F17B2-6510-467E-A63E-78375BE4004D}">
      <text>
        <r>
          <rPr>
            <b/>
            <sz val="9"/>
            <color indexed="81"/>
            <rFont val="Tahoma"/>
            <family val="2"/>
          </rPr>
          <t>&lt;[[TCDeals] - [TC Property Current Stage (Seq: 1)] - [Buildings (Seq: 68)] BIN - Both]&gt;</t>
        </r>
      </text>
    </comment>
    <comment ref="D1271" authorId="0" shapeId="0" xr:uid="{0AC41F90-42BD-497A-AD2B-C74AB029F2B5}">
      <text>
        <r>
          <rPr>
            <b/>
            <sz val="9"/>
            <color indexed="81"/>
            <rFont val="Tahoma"/>
            <family val="2"/>
          </rPr>
          <t>&lt;[[TCDeals] - [TC Property Current Stage (Seq: 1)] - [Buildings (Seq: 68)] Address 1 - Both]&gt;</t>
        </r>
      </text>
    </comment>
    <comment ref="E1271" authorId="0" shapeId="0" xr:uid="{6139E3BC-414B-4254-B97E-0580B28DED17}">
      <text>
        <r>
          <rPr>
            <b/>
            <sz val="9"/>
            <color indexed="81"/>
            <rFont val="Tahoma"/>
            <family val="2"/>
          </rPr>
          <t>&lt;[[TCDeals] - [TC Property Current Stage (Seq: 1)] - [Buildings (Seq: 68)] Num TC Units - Both]&gt;</t>
        </r>
      </text>
    </comment>
    <comment ref="F1271" authorId="0" shapeId="0" xr:uid="{9E75FA56-ADBB-4250-AD1B-C1D8A787AEBF}">
      <text>
        <r>
          <rPr>
            <b/>
            <sz val="9"/>
            <color indexed="81"/>
            <rFont val="Tahoma"/>
            <family val="2"/>
          </rPr>
          <t>&lt;[[TCDeals] - [TC Property Current Stage (Seq: 1)] - [Buildings (Seq: 68)] PVC PIS Date - Both]&gt;</t>
        </r>
      </text>
    </comment>
    <comment ref="G1271" authorId="0" shapeId="0" xr:uid="{A169E2F6-2B18-4CA9-BA00-856B228F838C}">
      <text>
        <r>
          <rPr>
            <b/>
            <sz val="9"/>
            <color indexed="81"/>
            <rFont val="Tahoma"/>
            <family val="2"/>
          </rPr>
          <t>&lt;[[TCDeals] - [TC Property Current Stage (Seq: 1)] - [Buildings (Seq: 68)] PVC Applicable Percentage - Both]&gt;</t>
        </r>
      </text>
    </comment>
    <comment ref="H1271" authorId="0" shapeId="0" xr:uid="{5DE61EA3-860A-4C6F-BFEA-5FAC33BDAC8F}">
      <text>
        <r>
          <rPr>
            <b/>
            <sz val="9"/>
            <color indexed="81"/>
            <rFont val="Tahoma"/>
            <family val="2"/>
          </rPr>
          <t>&lt;[[TCDeals] - [TC Property Current Stage (Seq: 1)] - [Buildings (Seq: 68)] PVC Est Qual Basis - Both]&gt;</t>
        </r>
      </text>
    </comment>
    <comment ref="I1271" authorId="0" shapeId="0" xr:uid="{50CF4D74-F3D1-487C-9E13-A9271824BDF0}">
      <text>
        <r>
          <rPr>
            <b/>
            <sz val="9"/>
            <color indexed="81"/>
            <rFont val="Tahoma"/>
            <family val="2"/>
          </rPr>
          <t>&lt;[[TCDeals] - [TC Property Current Stage (Seq: 1)] - [Buildings (Seq: 68)] PVC8609 Basis - Both]&gt;</t>
        </r>
      </text>
    </comment>
    <comment ref="J1271" authorId="0" shapeId="0" xr:uid="{5A88B82F-8346-42AE-A270-BB24C75C0AFE}">
      <text>
        <r>
          <rPr>
            <b/>
            <sz val="9"/>
            <color indexed="81"/>
            <rFont val="Tahoma"/>
            <family val="2"/>
          </rPr>
          <t>&lt;[[TCDeals] - [TC Property Current Stage (Seq: 1)] - [Buildings (Seq: 68)] PVC8609 Credit - Both]&gt;</t>
        </r>
      </text>
    </comment>
    <comment ref="K1271" authorId="0" shapeId="0" xr:uid="{4BBCC7EE-EC74-45F8-90FC-A4E877756312}">
      <text>
        <r>
          <rPr>
            <b/>
            <sz val="9"/>
            <color indexed="81"/>
            <rFont val="Tahoma"/>
            <family val="2"/>
          </rPr>
          <t>&lt;[[TCDeals] - [TC Property Current Stage (Seq: 1)] - [Buildings (Seq: 68)] Constr PIS Date - Both]&gt;</t>
        </r>
      </text>
    </comment>
    <comment ref="L1271" authorId="0" shapeId="0" xr:uid="{0B73C9AA-C9D3-4129-B749-7C66B211944E}">
      <text>
        <r>
          <rPr>
            <b/>
            <sz val="9"/>
            <color indexed="81"/>
            <rFont val="Tahoma"/>
            <family val="2"/>
          </rPr>
          <t>&lt;[[TCDeals] - [TC Property Current Stage (Seq: 1)] - [Buildings (Seq: 68)] Constr Applicable Percentage - Both]&gt;</t>
        </r>
      </text>
    </comment>
    <comment ref="M1271" authorId="0" shapeId="0" xr:uid="{6438610C-C836-43BF-8063-654B0F0FD044}">
      <text>
        <r>
          <rPr>
            <b/>
            <sz val="9"/>
            <color indexed="81"/>
            <rFont val="Tahoma"/>
            <family val="2"/>
          </rPr>
          <t>&lt;[[TCDeals] - [TC Property Current Stage (Seq: 1)] - [Buildings (Seq: 68)] Constr Est Qual Basis - Both]&gt;</t>
        </r>
      </text>
    </comment>
    <comment ref="N1271" authorId="0" shapeId="0" xr:uid="{26F69F63-A24A-4017-AF93-E4C31978204D}">
      <text>
        <r>
          <rPr>
            <b/>
            <sz val="9"/>
            <color indexed="81"/>
            <rFont val="Tahoma"/>
            <family val="2"/>
          </rPr>
          <t>&lt;[[TCDeals] - [TC Property Current Stage (Seq: 1)] - [Buildings (Seq: 68)] Constr 8609 Basis - Both]&gt;</t>
        </r>
      </text>
    </comment>
    <comment ref="O1271" authorId="0" shapeId="0" xr:uid="{B37E1589-114A-4E16-B74E-C2B9EE812907}">
      <text>
        <r>
          <rPr>
            <b/>
            <sz val="9"/>
            <color indexed="81"/>
            <rFont val="Tahoma"/>
            <family val="2"/>
          </rPr>
          <t>&lt;[[TCDeals] - [TC Property Current Stage (Seq: 1)] - [Buildings (Seq: 68)] Constr 8609 Credit - Both]&gt;</t>
        </r>
      </text>
    </comment>
    <comment ref="P1271" authorId="0" shapeId="0" xr:uid="{68F7B9DF-19B5-484E-975E-28CB64AD4291}">
      <text>
        <r>
          <rPr>
            <b/>
            <sz val="9"/>
            <color indexed="81"/>
            <rFont val="Tahoma"/>
            <family val="2"/>
          </rPr>
          <t>&lt;[[TCDeals] - [TC Property Current Stage (Seq: 1)] - [Buildings (Seq: 68)] Acq PIS Date - Both]&gt;</t>
        </r>
      </text>
    </comment>
    <comment ref="Q1271" authorId="0" shapeId="0" xr:uid="{48B96295-C96F-4CB2-B6CD-09569BFF87F9}">
      <text>
        <r>
          <rPr>
            <b/>
            <sz val="9"/>
            <color indexed="81"/>
            <rFont val="Tahoma"/>
            <family val="2"/>
          </rPr>
          <t>&lt;[[TCDeals] - [TC Property Current Stage (Seq: 1)] - [Buildings (Seq: 68)] Acq Applicable Percentage - Both]&gt;</t>
        </r>
      </text>
    </comment>
    <comment ref="R1271" authorId="0" shapeId="0" xr:uid="{DA0EE3F3-671E-40DE-9D83-075B3864F1A9}">
      <text>
        <r>
          <rPr>
            <b/>
            <sz val="9"/>
            <color indexed="81"/>
            <rFont val="Tahoma"/>
            <family val="2"/>
          </rPr>
          <t>&lt;[[TCDeals] - [TC Property Current Stage (Seq: 1)] - [Buildings (Seq: 68)] Acq Est Qual Basis - Both]&gt;</t>
        </r>
      </text>
    </comment>
    <comment ref="S1271" authorId="0" shapeId="0" xr:uid="{7BBF76B2-ECFD-481C-AFF3-E6CF02BE9091}">
      <text>
        <r>
          <rPr>
            <b/>
            <sz val="9"/>
            <color indexed="81"/>
            <rFont val="Tahoma"/>
            <family val="2"/>
          </rPr>
          <t>&lt;[[TCDeals] - [TC Property Current Stage (Seq: 1)] - [Buildings (Seq: 68)] Acq 8609 Basis - Both]&gt;</t>
        </r>
      </text>
    </comment>
    <comment ref="T1271" authorId="0" shapeId="0" xr:uid="{68B9F648-7F2E-481E-9CF4-9503C729BBC1}">
      <text>
        <r>
          <rPr>
            <b/>
            <sz val="9"/>
            <color indexed="81"/>
            <rFont val="Tahoma"/>
            <family val="2"/>
          </rPr>
          <t>&lt;[[TCDeals] - [TC Property Current Stage (Seq: 1)] - [Buildings (Seq: 68)] Acq 8609 Credit - Both]&gt;</t>
        </r>
      </text>
    </comment>
    <comment ref="C1272" authorId="0" shapeId="0" xr:uid="{8EE63763-C024-4F74-BB9C-11DD2ADD2531}">
      <text>
        <r>
          <rPr>
            <b/>
            <sz val="9"/>
            <color indexed="81"/>
            <rFont val="Tahoma"/>
            <family val="2"/>
          </rPr>
          <t>&lt;[[TCDeals] - [TC Property Current Stage (Seq: 1)] - [Buildings (Seq: 69)] BIN - Both]&gt;</t>
        </r>
      </text>
    </comment>
    <comment ref="D1272" authorId="0" shapeId="0" xr:uid="{AE0FCE71-3D54-4C91-86ED-BEEB1D7216AD}">
      <text>
        <r>
          <rPr>
            <b/>
            <sz val="9"/>
            <color indexed="81"/>
            <rFont val="Tahoma"/>
            <family val="2"/>
          </rPr>
          <t>&lt;[[TCDeals] - [TC Property Current Stage (Seq: 1)] - [Buildings (Seq: 69)] Address 1 - Both]&gt;</t>
        </r>
      </text>
    </comment>
    <comment ref="E1272" authorId="0" shapeId="0" xr:uid="{99FDF3FD-681B-490A-923F-5078D1FD42C0}">
      <text>
        <r>
          <rPr>
            <b/>
            <sz val="9"/>
            <color indexed="81"/>
            <rFont val="Tahoma"/>
            <family val="2"/>
          </rPr>
          <t>&lt;[[TCDeals] - [TC Property Current Stage (Seq: 1)] - [Buildings (Seq: 69)] Num TC Units - Both]&gt;</t>
        </r>
      </text>
    </comment>
    <comment ref="F1272" authorId="0" shapeId="0" xr:uid="{63225BDB-FC9A-464C-A8F9-7CCA05F825F9}">
      <text>
        <r>
          <rPr>
            <b/>
            <sz val="9"/>
            <color indexed="81"/>
            <rFont val="Tahoma"/>
            <family val="2"/>
          </rPr>
          <t>&lt;[[TCDeals] - [TC Property Current Stage (Seq: 1)] - [Buildings (Seq: 69)] PVC PIS Date - Both]&gt;</t>
        </r>
      </text>
    </comment>
    <comment ref="G1272" authorId="0" shapeId="0" xr:uid="{EF840A51-CBBC-4375-955D-6482D90567B5}">
      <text>
        <r>
          <rPr>
            <b/>
            <sz val="9"/>
            <color indexed="81"/>
            <rFont val="Tahoma"/>
            <family val="2"/>
          </rPr>
          <t>&lt;[[TCDeals] - [TC Property Current Stage (Seq: 1)] - [Buildings (Seq: 69)] PVC Applicable Percentage - Both]&gt;</t>
        </r>
      </text>
    </comment>
    <comment ref="H1272" authorId="0" shapeId="0" xr:uid="{18DA7AB1-D48C-4319-89D6-BA020D838F59}">
      <text>
        <r>
          <rPr>
            <b/>
            <sz val="9"/>
            <color indexed="81"/>
            <rFont val="Tahoma"/>
            <family val="2"/>
          </rPr>
          <t>&lt;[[TCDeals] - [TC Property Current Stage (Seq: 1)] - [Buildings (Seq: 69)] PVC Est Qual Basis - Both]&gt;</t>
        </r>
      </text>
    </comment>
    <comment ref="I1272" authorId="0" shapeId="0" xr:uid="{BDA3550E-1ACB-42EA-9D1E-48FB60ED2759}">
      <text>
        <r>
          <rPr>
            <b/>
            <sz val="9"/>
            <color indexed="81"/>
            <rFont val="Tahoma"/>
            <family val="2"/>
          </rPr>
          <t>&lt;[[TCDeals] - [TC Property Current Stage (Seq: 1)] - [Buildings (Seq: 69)] PVC8609 Basis - Both]&gt;</t>
        </r>
      </text>
    </comment>
    <comment ref="J1272" authorId="0" shapeId="0" xr:uid="{5C60EB04-2CA0-4F1E-8720-5DC906B42521}">
      <text>
        <r>
          <rPr>
            <b/>
            <sz val="9"/>
            <color indexed="81"/>
            <rFont val="Tahoma"/>
            <family val="2"/>
          </rPr>
          <t>&lt;[[TCDeals] - [TC Property Current Stage (Seq: 1)] - [Buildings (Seq: 69)] PVC8609 Credit - Both]&gt;</t>
        </r>
      </text>
    </comment>
    <comment ref="K1272" authorId="0" shapeId="0" xr:uid="{70CE90E5-40C7-4143-98F4-EA0FD48C96ED}">
      <text>
        <r>
          <rPr>
            <b/>
            <sz val="9"/>
            <color indexed="81"/>
            <rFont val="Tahoma"/>
            <family val="2"/>
          </rPr>
          <t>&lt;[[TCDeals] - [TC Property Current Stage (Seq: 1)] - [Buildings (Seq: 69)] Constr PIS Date - Both]&gt;</t>
        </r>
      </text>
    </comment>
    <comment ref="L1272" authorId="0" shapeId="0" xr:uid="{582ED7DD-0A05-4FE2-985E-8859F803D3D7}">
      <text>
        <r>
          <rPr>
            <b/>
            <sz val="9"/>
            <color indexed="81"/>
            <rFont val="Tahoma"/>
            <family val="2"/>
          </rPr>
          <t>&lt;[[TCDeals] - [TC Property Current Stage (Seq: 1)] - [Buildings (Seq: 69)] Constr Applicable Percentage - Both]&gt;</t>
        </r>
      </text>
    </comment>
    <comment ref="M1272" authorId="0" shapeId="0" xr:uid="{552FD912-522D-42CB-BD9C-584F4E342F2F}">
      <text>
        <r>
          <rPr>
            <b/>
            <sz val="9"/>
            <color indexed="81"/>
            <rFont val="Tahoma"/>
            <family val="2"/>
          </rPr>
          <t>&lt;[[TCDeals] - [TC Property Current Stage (Seq: 1)] - [Buildings (Seq: 69)] Constr Est Qual Basis - Both]&gt;</t>
        </r>
      </text>
    </comment>
    <comment ref="N1272" authorId="0" shapeId="0" xr:uid="{D7634DBC-6F14-46C2-8493-F96E953293D0}">
      <text>
        <r>
          <rPr>
            <b/>
            <sz val="9"/>
            <color indexed="81"/>
            <rFont val="Tahoma"/>
            <family val="2"/>
          </rPr>
          <t>&lt;[[TCDeals] - [TC Property Current Stage (Seq: 1)] - [Buildings (Seq: 69)] Constr 8609 Basis - Both]&gt;</t>
        </r>
      </text>
    </comment>
    <comment ref="O1272" authorId="0" shapeId="0" xr:uid="{C43BD01D-0FE8-42B7-9C0A-A10A965DB4F8}">
      <text>
        <r>
          <rPr>
            <b/>
            <sz val="9"/>
            <color indexed="81"/>
            <rFont val="Tahoma"/>
            <family val="2"/>
          </rPr>
          <t>&lt;[[TCDeals] - [TC Property Current Stage (Seq: 1)] - [Buildings (Seq: 69)] Constr 8609 Credit - Both]&gt;</t>
        </r>
      </text>
    </comment>
    <comment ref="P1272" authorId="0" shapeId="0" xr:uid="{013875B8-40F3-4EB6-A007-3EFFB5699506}">
      <text>
        <r>
          <rPr>
            <b/>
            <sz val="9"/>
            <color indexed="81"/>
            <rFont val="Tahoma"/>
            <family val="2"/>
          </rPr>
          <t>&lt;[[TCDeals] - [TC Property Current Stage (Seq: 1)] - [Buildings (Seq: 69)] Acq PIS Date - Both]&gt;</t>
        </r>
      </text>
    </comment>
    <comment ref="Q1272" authorId="0" shapeId="0" xr:uid="{7B484020-823E-4E90-B0A7-DDA24C067D39}">
      <text>
        <r>
          <rPr>
            <b/>
            <sz val="9"/>
            <color indexed="81"/>
            <rFont val="Tahoma"/>
            <family val="2"/>
          </rPr>
          <t>&lt;[[TCDeals] - [TC Property Current Stage (Seq: 1)] - [Buildings (Seq: 69)] Acq Applicable Percentage - Both]&gt;</t>
        </r>
      </text>
    </comment>
    <comment ref="R1272" authorId="0" shapeId="0" xr:uid="{C96C86D6-6B38-4292-BD62-9DA0EF74BBDC}">
      <text>
        <r>
          <rPr>
            <b/>
            <sz val="9"/>
            <color indexed="81"/>
            <rFont val="Tahoma"/>
            <family val="2"/>
          </rPr>
          <t>&lt;[[TCDeals] - [TC Property Current Stage (Seq: 1)] - [Buildings (Seq: 69)] Acq Est Qual Basis - Both]&gt;</t>
        </r>
      </text>
    </comment>
    <comment ref="S1272" authorId="0" shapeId="0" xr:uid="{0680AF43-5024-4A81-841E-2AD25DEF656F}">
      <text>
        <r>
          <rPr>
            <b/>
            <sz val="9"/>
            <color indexed="81"/>
            <rFont val="Tahoma"/>
            <family val="2"/>
          </rPr>
          <t>&lt;[[TCDeals] - [TC Property Current Stage (Seq: 1)] - [Buildings (Seq: 69)] Acq 8609 Basis - Both]&gt;</t>
        </r>
      </text>
    </comment>
    <comment ref="T1272" authorId="0" shapeId="0" xr:uid="{251FB8CB-D8BC-461A-9EB2-5D6CF0979815}">
      <text>
        <r>
          <rPr>
            <b/>
            <sz val="9"/>
            <color indexed="81"/>
            <rFont val="Tahoma"/>
            <family val="2"/>
          </rPr>
          <t>&lt;[[TCDeals] - [TC Property Current Stage (Seq: 1)] - [Buildings (Seq: 69)] Acq 8609 Credit - Both]&gt;</t>
        </r>
      </text>
    </comment>
    <comment ref="C1273" authorId="0" shapeId="0" xr:uid="{9AC2CDE2-1748-4E23-A3F7-5E1CCFA7D981}">
      <text>
        <r>
          <rPr>
            <b/>
            <sz val="9"/>
            <color indexed="81"/>
            <rFont val="Tahoma"/>
            <family val="2"/>
          </rPr>
          <t>&lt;[[TCDeals] - [TC Property Current Stage (Seq: 1)] - [Buildings (Seq: 70)] BIN - Both]&gt;</t>
        </r>
      </text>
    </comment>
    <comment ref="D1273" authorId="0" shapeId="0" xr:uid="{8DE55C86-F6EC-456F-A48B-45D2C4299867}">
      <text>
        <r>
          <rPr>
            <b/>
            <sz val="9"/>
            <color indexed="81"/>
            <rFont val="Tahoma"/>
            <family val="2"/>
          </rPr>
          <t>&lt;[[TCDeals] - [TC Property Current Stage (Seq: 1)] - [Buildings (Seq: 70)] Address 1 - Both]&gt;</t>
        </r>
      </text>
    </comment>
    <comment ref="E1273" authorId="0" shapeId="0" xr:uid="{3B73F39F-A4EC-495D-8B57-B4FB0E296C35}">
      <text>
        <r>
          <rPr>
            <b/>
            <sz val="9"/>
            <color indexed="81"/>
            <rFont val="Tahoma"/>
            <family val="2"/>
          </rPr>
          <t>&lt;[[TCDeals] - [TC Property Current Stage (Seq: 1)] - [Buildings (Seq: 70)] Num TC Units - Both]&gt;</t>
        </r>
      </text>
    </comment>
    <comment ref="F1273" authorId="0" shapeId="0" xr:uid="{4E01FC08-692B-4E81-9B45-EF1E41E03236}">
      <text>
        <r>
          <rPr>
            <b/>
            <sz val="9"/>
            <color indexed="81"/>
            <rFont val="Tahoma"/>
            <family val="2"/>
          </rPr>
          <t>&lt;[[TCDeals] - [TC Property Current Stage (Seq: 1)] - [Buildings (Seq: 70)] PVC PIS Date - Both]&gt;</t>
        </r>
      </text>
    </comment>
    <comment ref="G1273" authorId="0" shapeId="0" xr:uid="{B4313D55-5508-4D9D-92F2-F62DE177B266}">
      <text>
        <r>
          <rPr>
            <b/>
            <sz val="9"/>
            <color indexed="81"/>
            <rFont val="Tahoma"/>
            <family val="2"/>
          </rPr>
          <t>&lt;[[TCDeals] - [TC Property Current Stage (Seq: 1)] - [Buildings (Seq: 70)] PVC Applicable Percentage - Both]&gt;</t>
        </r>
      </text>
    </comment>
    <comment ref="H1273" authorId="0" shapeId="0" xr:uid="{79886BBD-0543-49B7-87F0-FFF0CB59B8E1}">
      <text>
        <r>
          <rPr>
            <b/>
            <sz val="9"/>
            <color indexed="81"/>
            <rFont val="Tahoma"/>
            <family val="2"/>
          </rPr>
          <t>&lt;[[TCDeals] - [TC Property Current Stage (Seq: 1)] - [Buildings (Seq: 70)] PVC Est Qual Basis - Both]&gt;</t>
        </r>
      </text>
    </comment>
    <comment ref="I1273" authorId="0" shapeId="0" xr:uid="{4B6B5AFA-C936-47E6-9802-76828E8F5B4A}">
      <text>
        <r>
          <rPr>
            <b/>
            <sz val="9"/>
            <color indexed="81"/>
            <rFont val="Tahoma"/>
            <family val="2"/>
          </rPr>
          <t>&lt;[[TCDeals] - [TC Property Current Stage (Seq: 1)] - [Buildings (Seq: 70)] PVC8609 Basis - Both]&gt;</t>
        </r>
      </text>
    </comment>
    <comment ref="J1273" authorId="0" shapeId="0" xr:uid="{9C354791-CEEA-4F2F-87BD-174772511174}">
      <text>
        <r>
          <rPr>
            <b/>
            <sz val="9"/>
            <color indexed="81"/>
            <rFont val="Tahoma"/>
            <family val="2"/>
          </rPr>
          <t>&lt;[[TCDeals] - [TC Property Current Stage (Seq: 1)] - [Buildings (Seq: 70)] PVC8609 Credit - Both]&gt;</t>
        </r>
      </text>
    </comment>
    <comment ref="K1273" authorId="0" shapeId="0" xr:uid="{D2949C6C-10AA-4682-9FFB-E93E90543FAA}">
      <text>
        <r>
          <rPr>
            <b/>
            <sz val="9"/>
            <color indexed="81"/>
            <rFont val="Tahoma"/>
            <family val="2"/>
          </rPr>
          <t>&lt;[[TCDeals] - [TC Property Current Stage (Seq: 1)] - [Buildings (Seq: 70)] Constr PIS Date - Both]&gt;</t>
        </r>
      </text>
    </comment>
    <comment ref="L1273" authorId="0" shapeId="0" xr:uid="{555B15CA-48BA-44CE-8C8E-40B0F2DE54F8}">
      <text>
        <r>
          <rPr>
            <b/>
            <sz val="9"/>
            <color indexed="81"/>
            <rFont val="Tahoma"/>
            <family val="2"/>
          </rPr>
          <t>&lt;[[TCDeals] - [TC Property Current Stage (Seq: 1)] - [Buildings (Seq: 70)] Constr Applicable Percentage - Both]&gt;</t>
        </r>
      </text>
    </comment>
    <comment ref="M1273" authorId="0" shapeId="0" xr:uid="{8A5B3BE0-9088-46DC-B1E6-0162EA1872AA}">
      <text>
        <r>
          <rPr>
            <b/>
            <sz val="9"/>
            <color indexed="81"/>
            <rFont val="Tahoma"/>
            <family val="2"/>
          </rPr>
          <t>&lt;[[TCDeals] - [TC Property Current Stage (Seq: 1)] - [Buildings (Seq: 70)] Constr Est Qual Basis - Both]&gt;</t>
        </r>
      </text>
    </comment>
    <comment ref="N1273" authorId="0" shapeId="0" xr:uid="{E4576A9D-C81E-487C-810E-24321B0304DA}">
      <text>
        <r>
          <rPr>
            <b/>
            <sz val="9"/>
            <color indexed="81"/>
            <rFont val="Tahoma"/>
            <family val="2"/>
          </rPr>
          <t>&lt;[[TCDeals] - [TC Property Current Stage (Seq: 1)] - [Buildings (Seq: 70)] Constr 8609 Basis - Both]&gt;</t>
        </r>
      </text>
    </comment>
    <comment ref="O1273" authorId="0" shapeId="0" xr:uid="{BB90700D-FC57-42EC-83F4-1BB210F0497D}">
      <text>
        <r>
          <rPr>
            <b/>
            <sz val="9"/>
            <color indexed="81"/>
            <rFont val="Tahoma"/>
            <family val="2"/>
          </rPr>
          <t>&lt;[[TCDeals] - [TC Property Current Stage (Seq: 1)] - [Buildings (Seq: 70)] Constr 8609 Credit - Both]&gt;</t>
        </r>
      </text>
    </comment>
    <comment ref="P1273" authorId="0" shapeId="0" xr:uid="{7E206453-1DF7-480F-A179-E88D4515CAA9}">
      <text>
        <r>
          <rPr>
            <b/>
            <sz val="9"/>
            <color indexed="81"/>
            <rFont val="Tahoma"/>
            <family val="2"/>
          </rPr>
          <t>&lt;[[TCDeals] - [TC Property Current Stage (Seq: 1)] - [Buildings (Seq: 70)] Acq PIS Date - Both]&gt;</t>
        </r>
      </text>
    </comment>
    <comment ref="Q1273" authorId="0" shapeId="0" xr:uid="{CB9594C5-BBFE-4DE6-A931-D1773623F862}">
      <text>
        <r>
          <rPr>
            <b/>
            <sz val="9"/>
            <color indexed="81"/>
            <rFont val="Tahoma"/>
            <family val="2"/>
          </rPr>
          <t>&lt;[[TCDeals] - [TC Property Current Stage (Seq: 1)] - [Buildings (Seq: 70)] Acq Applicable Percentage - Both]&gt;</t>
        </r>
      </text>
    </comment>
    <comment ref="R1273" authorId="0" shapeId="0" xr:uid="{DFDD83BB-B45F-4405-A126-5B0E1E7DC6EF}">
      <text>
        <r>
          <rPr>
            <b/>
            <sz val="9"/>
            <color indexed="81"/>
            <rFont val="Tahoma"/>
            <family val="2"/>
          </rPr>
          <t>&lt;[[TCDeals] - [TC Property Current Stage (Seq: 1)] - [Buildings (Seq: 70)] Acq Est Qual Basis - Both]&gt;</t>
        </r>
      </text>
    </comment>
    <comment ref="S1273" authorId="0" shapeId="0" xr:uid="{9A7D45D9-50FC-4F82-AF03-C1D013018C77}">
      <text>
        <r>
          <rPr>
            <b/>
            <sz val="9"/>
            <color indexed="81"/>
            <rFont val="Tahoma"/>
            <family val="2"/>
          </rPr>
          <t>&lt;[[TCDeals] - [TC Property Current Stage (Seq: 1)] - [Buildings (Seq: 70)] Acq 8609 Basis - Both]&gt;</t>
        </r>
      </text>
    </comment>
    <comment ref="T1273" authorId="0" shapeId="0" xr:uid="{A24C930B-8C41-43A8-8EF4-0A2A48B4A937}">
      <text>
        <r>
          <rPr>
            <b/>
            <sz val="9"/>
            <color indexed="81"/>
            <rFont val="Tahoma"/>
            <family val="2"/>
          </rPr>
          <t>&lt;[[TCDeals] - [TC Property Current Stage (Seq: 1)] - [Buildings (Seq: 70)] Acq 8609 Credit - Both]&gt;</t>
        </r>
      </text>
    </comment>
    <comment ref="C1274" authorId="0" shapeId="0" xr:uid="{CE930F26-7BF2-4C0E-BD9A-170EB00B4C26}">
      <text>
        <r>
          <rPr>
            <b/>
            <sz val="9"/>
            <color indexed="81"/>
            <rFont val="Tahoma"/>
            <family val="2"/>
          </rPr>
          <t>&lt;[[TCDeals] - [TC Property Current Stage (Seq: 1)] - [Buildings (Seq: 71)] BIN - Both]&gt;</t>
        </r>
      </text>
    </comment>
    <comment ref="D1274" authorId="0" shapeId="0" xr:uid="{4D997CF3-C758-4C0A-AD68-B1C2C76498D0}">
      <text>
        <r>
          <rPr>
            <b/>
            <sz val="9"/>
            <color indexed="81"/>
            <rFont val="Tahoma"/>
            <family val="2"/>
          </rPr>
          <t>&lt;[[TCDeals] - [TC Property Current Stage (Seq: 1)] - [Buildings (Seq: 71)] Address 1 - Both]&gt;</t>
        </r>
      </text>
    </comment>
    <comment ref="E1274" authorId="0" shapeId="0" xr:uid="{00EEEE1F-8FBB-4BAB-A23D-C7C6993F82C8}">
      <text>
        <r>
          <rPr>
            <b/>
            <sz val="9"/>
            <color indexed="81"/>
            <rFont val="Tahoma"/>
            <family val="2"/>
          </rPr>
          <t>&lt;[[TCDeals] - [TC Property Current Stage (Seq: 1)] - [Buildings (Seq: 71)] Num TC Units - Both]&gt;</t>
        </r>
      </text>
    </comment>
    <comment ref="F1274" authorId="0" shapeId="0" xr:uid="{B5064B68-B3FF-4C49-B302-D6F7295D0CD1}">
      <text>
        <r>
          <rPr>
            <b/>
            <sz val="9"/>
            <color indexed="81"/>
            <rFont val="Tahoma"/>
            <family val="2"/>
          </rPr>
          <t>&lt;[[TCDeals] - [TC Property Current Stage (Seq: 1)] - [Buildings (Seq: 71)] PVC PIS Date - Both]&gt;</t>
        </r>
      </text>
    </comment>
    <comment ref="G1274" authorId="0" shapeId="0" xr:uid="{FCD19520-F4BE-4002-B0EA-85E1045982B3}">
      <text>
        <r>
          <rPr>
            <b/>
            <sz val="9"/>
            <color indexed="81"/>
            <rFont val="Tahoma"/>
            <family val="2"/>
          </rPr>
          <t>&lt;[[TCDeals] - [TC Property Current Stage (Seq: 1)] - [Buildings (Seq: 71)] PVC Applicable Percentage - Both]&gt;</t>
        </r>
      </text>
    </comment>
    <comment ref="H1274" authorId="0" shapeId="0" xr:uid="{9BA87CA2-2322-4DD9-A1BE-F9F0C55F594B}">
      <text>
        <r>
          <rPr>
            <b/>
            <sz val="9"/>
            <color indexed="81"/>
            <rFont val="Tahoma"/>
            <family val="2"/>
          </rPr>
          <t>&lt;[[TCDeals] - [TC Property Current Stage (Seq: 1)] - [Buildings (Seq: 71)] PVC Est Qual Basis - Both]&gt;</t>
        </r>
      </text>
    </comment>
    <comment ref="I1274" authorId="0" shapeId="0" xr:uid="{F7713A95-ED00-4020-B2CD-9D9D89B2C17C}">
      <text>
        <r>
          <rPr>
            <b/>
            <sz val="9"/>
            <color indexed="81"/>
            <rFont val="Tahoma"/>
            <family val="2"/>
          </rPr>
          <t>&lt;[[TCDeals] - [TC Property Current Stage (Seq: 1)] - [Buildings (Seq: 71)] PVC8609 Basis - Both]&gt;</t>
        </r>
      </text>
    </comment>
    <comment ref="J1274" authorId="0" shapeId="0" xr:uid="{621B6494-49D8-42A0-B96E-674BA14EAA1C}">
      <text>
        <r>
          <rPr>
            <b/>
            <sz val="9"/>
            <color indexed="81"/>
            <rFont val="Tahoma"/>
            <family val="2"/>
          </rPr>
          <t>&lt;[[TCDeals] - [TC Property Current Stage (Seq: 1)] - [Buildings (Seq: 71)] PVC8609 Credit - Both]&gt;</t>
        </r>
      </text>
    </comment>
    <comment ref="K1274" authorId="0" shapeId="0" xr:uid="{3E5EE371-E4BD-4B9F-8984-5A567DD755AE}">
      <text>
        <r>
          <rPr>
            <b/>
            <sz val="9"/>
            <color indexed="81"/>
            <rFont val="Tahoma"/>
            <family val="2"/>
          </rPr>
          <t>&lt;[[TCDeals] - [TC Property Current Stage (Seq: 1)] - [Buildings (Seq: 71)] Constr PIS Date - Both]&gt;</t>
        </r>
      </text>
    </comment>
    <comment ref="L1274" authorId="0" shapeId="0" xr:uid="{0512659D-0D64-467A-B84E-40B0BE8DA6DA}">
      <text>
        <r>
          <rPr>
            <b/>
            <sz val="9"/>
            <color indexed="81"/>
            <rFont val="Tahoma"/>
            <family val="2"/>
          </rPr>
          <t>&lt;[[TCDeals] - [TC Property Current Stage (Seq: 1)] - [Buildings (Seq: 71)] Constr Applicable Percentage - Both]&gt;</t>
        </r>
      </text>
    </comment>
    <comment ref="M1274" authorId="0" shapeId="0" xr:uid="{5326BE41-1530-49A7-8A21-549A5B91D051}">
      <text>
        <r>
          <rPr>
            <b/>
            <sz val="9"/>
            <color indexed="81"/>
            <rFont val="Tahoma"/>
            <family val="2"/>
          </rPr>
          <t>&lt;[[TCDeals] - [TC Property Current Stage (Seq: 1)] - [Buildings (Seq: 71)] Constr Est Qual Basis - Both]&gt;</t>
        </r>
      </text>
    </comment>
    <comment ref="N1274" authorId="0" shapeId="0" xr:uid="{F035C938-7D43-4A67-977E-37C5ADEA19C8}">
      <text>
        <r>
          <rPr>
            <b/>
            <sz val="9"/>
            <color indexed="81"/>
            <rFont val="Tahoma"/>
            <family val="2"/>
          </rPr>
          <t>&lt;[[TCDeals] - [TC Property Current Stage (Seq: 1)] - [Buildings (Seq: 71)] Constr 8609 Basis - Both]&gt;</t>
        </r>
      </text>
    </comment>
    <comment ref="O1274" authorId="0" shapeId="0" xr:uid="{27566C10-A9EE-4534-8044-0C37D1B6A45D}">
      <text>
        <r>
          <rPr>
            <b/>
            <sz val="9"/>
            <color indexed="81"/>
            <rFont val="Tahoma"/>
            <family val="2"/>
          </rPr>
          <t>&lt;[[TCDeals] - [TC Property Current Stage (Seq: 1)] - [Buildings (Seq: 71)] Constr 8609 Credit - Both]&gt;</t>
        </r>
      </text>
    </comment>
    <comment ref="P1274" authorId="0" shapeId="0" xr:uid="{A68E43FD-59CE-4FE9-948C-DEDE1E81D629}">
      <text>
        <r>
          <rPr>
            <b/>
            <sz val="9"/>
            <color indexed="81"/>
            <rFont val="Tahoma"/>
            <family val="2"/>
          </rPr>
          <t>&lt;[[TCDeals] - [TC Property Current Stage (Seq: 1)] - [Buildings (Seq: 71)] Acq PIS Date - Both]&gt;</t>
        </r>
      </text>
    </comment>
    <comment ref="Q1274" authorId="0" shapeId="0" xr:uid="{DCCF93C3-725A-45FF-96E1-36590962280B}">
      <text>
        <r>
          <rPr>
            <b/>
            <sz val="9"/>
            <color indexed="81"/>
            <rFont val="Tahoma"/>
            <family val="2"/>
          </rPr>
          <t>&lt;[[TCDeals] - [TC Property Current Stage (Seq: 1)] - [Buildings (Seq: 71)] Acq Applicable Percentage - Both]&gt;</t>
        </r>
      </text>
    </comment>
    <comment ref="R1274" authorId="0" shapeId="0" xr:uid="{E5F00E96-5E5B-4B2F-B6A3-F40BD3A6AB8E}">
      <text>
        <r>
          <rPr>
            <b/>
            <sz val="9"/>
            <color indexed="81"/>
            <rFont val="Tahoma"/>
            <family val="2"/>
          </rPr>
          <t>&lt;[[TCDeals] - [TC Property Current Stage (Seq: 1)] - [Buildings (Seq: 71)] Acq Est Qual Basis - Both]&gt;</t>
        </r>
      </text>
    </comment>
    <comment ref="S1274" authorId="0" shapeId="0" xr:uid="{840B849F-3B3C-4530-B7BE-A192A98E2181}">
      <text>
        <r>
          <rPr>
            <b/>
            <sz val="9"/>
            <color indexed="81"/>
            <rFont val="Tahoma"/>
            <family val="2"/>
          </rPr>
          <t>&lt;[[TCDeals] - [TC Property Current Stage (Seq: 1)] - [Buildings (Seq: 71)] Acq 8609 Basis - Both]&gt;</t>
        </r>
      </text>
    </comment>
    <comment ref="T1274" authorId="0" shapeId="0" xr:uid="{B807EF63-79BA-408B-A40D-B265B72F9A5F}">
      <text>
        <r>
          <rPr>
            <b/>
            <sz val="9"/>
            <color indexed="81"/>
            <rFont val="Tahoma"/>
            <family val="2"/>
          </rPr>
          <t>&lt;[[TCDeals] - [TC Property Current Stage (Seq: 1)] - [Buildings (Seq: 71)] Acq 8609 Credit - Both]&gt;</t>
        </r>
      </text>
    </comment>
    <comment ref="C1275" authorId="0" shapeId="0" xr:uid="{28CA3412-CD70-4BEB-90D2-EFDC3DED4D07}">
      <text>
        <r>
          <rPr>
            <b/>
            <sz val="9"/>
            <color indexed="81"/>
            <rFont val="Tahoma"/>
            <family val="2"/>
          </rPr>
          <t>&lt;[[TCDeals] - [TC Property Current Stage (Seq: 1)] - [Buildings (Seq: 72)] BIN - Both]&gt;</t>
        </r>
      </text>
    </comment>
    <comment ref="D1275" authorId="0" shapeId="0" xr:uid="{F86FF0FF-434B-4CD4-8116-D5DDB9624FF8}">
      <text>
        <r>
          <rPr>
            <b/>
            <sz val="9"/>
            <color indexed="81"/>
            <rFont val="Tahoma"/>
            <family val="2"/>
          </rPr>
          <t>&lt;[[TCDeals] - [TC Property Current Stage (Seq: 1)] - [Buildings (Seq: 72)] Address 1 - Both]&gt;</t>
        </r>
      </text>
    </comment>
    <comment ref="E1275" authorId="0" shapeId="0" xr:uid="{5E49CD76-B710-4182-8DF3-AE5D5C600EC0}">
      <text>
        <r>
          <rPr>
            <b/>
            <sz val="9"/>
            <color indexed="81"/>
            <rFont val="Tahoma"/>
            <family val="2"/>
          </rPr>
          <t>&lt;[[TCDeals] - [TC Property Current Stage (Seq: 1)] - [Buildings (Seq: 72)] Num TC Units - Both]&gt;</t>
        </r>
      </text>
    </comment>
    <comment ref="F1275" authorId="0" shapeId="0" xr:uid="{71EE48C1-6D99-418D-A322-0B7B33566161}">
      <text>
        <r>
          <rPr>
            <b/>
            <sz val="9"/>
            <color indexed="81"/>
            <rFont val="Tahoma"/>
            <family val="2"/>
          </rPr>
          <t>&lt;[[TCDeals] - [TC Property Current Stage (Seq: 1)] - [Buildings (Seq: 72)] PVC PIS Date - Both]&gt;</t>
        </r>
      </text>
    </comment>
    <comment ref="G1275" authorId="0" shapeId="0" xr:uid="{D8EB5E4A-7E2D-4E2F-AE2F-F126C39891CD}">
      <text>
        <r>
          <rPr>
            <b/>
            <sz val="9"/>
            <color indexed="81"/>
            <rFont val="Tahoma"/>
            <family val="2"/>
          </rPr>
          <t>&lt;[[TCDeals] - [TC Property Current Stage (Seq: 1)] - [Buildings (Seq: 72)] PVC Applicable Percentage - Both]&gt;</t>
        </r>
      </text>
    </comment>
    <comment ref="H1275" authorId="0" shapeId="0" xr:uid="{D523F837-8979-4E88-94EE-F186E146A5C2}">
      <text>
        <r>
          <rPr>
            <b/>
            <sz val="9"/>
            <color indexed="81"/>
            <rFont val="Tahoma"/>
            <family val="2"/>
          </rPr>
          <t>&lt;[[TCDeals] - [TC Property Current Stage (Seq: 1)] - [Buildings (Seq: 72)] PVC Est Qual Basis - Both]&gt;</t>
        </r>
      </text>
    </comment>
    <comment ref="I1275" authorId="0" shapeId="0" xr:uid="{A0E7C82F-7AA8-4C91-99DB-FF91ABF48A01}">
      <text>
        <r>
          <rPr>
            <b/>
            <sz val="9"/>
            <color indexed="81"/>
            <rFont val="Tahoma"/>
            <family val="2"/>
          </rPr>
          <t>&lt;[[TCDeals] - [TC Property Current Stage (Seq: 1)] - [Buildings (Seq: 72)] PVC8609 Basis - Both]&gt;</t>
        </r>
      </text>
    </comment>
    <comment ref="J1275" authorId="0" shapeId="0" xr:uid="{65E28CF3-77C4-427F-BAA8-A681AC5E8D15}">
      <text>
        <r>
          <rPr>
            <b/>
            <sz val="9"/>
            <color indexed="81"/>
            <rFont val="Tahoma"/>
            <family val="2"/>
          </rPr>
          <t>&lt;[[TCDeals] - [TC Property Current Stage (Seq: 1)] - [Buildings (Seq: 72)] PVC8609 Credit - Both]&gt;</t>
        </r>
      </text>
    </comment>
    <comment ref="K1275" authorId="0" shapeId="0" xr:uid="{15D2D87A-5044-45B7-A8BA-8713420E5804}">
      <text>
        <r>
          <rPr>
            <b/>
            <sz val="9"/>
            <color indexed="81"/>
            <rFont val="Tahoma"/>
            <family val="2"/>
          </rPr>
          <t>&lt;[[TCDeals] - [TC Property Current Stage (Seq: 1)] - [Buildings (Seq: 72)] Constr PIS Date - Both]&gt;</t>
        </r>
      </text>
    </comment>
    <comment ref="L1275" authorId="0" shapeId="0" xr:uid="{FF420260-7FE8-421D-BD4A-73D74EA66569}">
      <text>
        <r>
          <rPr>
            <b/>
            <sz val="9"/>
            <color indexed="81"/>
            <rFont val="Tahoma"/>
            <family val="2"/>
          </rPr>
          <t>&lt;[[TCDeals] - [TC Property Current Stage (Seq: 1)] - [Buildings (Seq: 72)] Constr Applicable Percentage - Both]&gt;</t>
        </r>
      </text>
    </comment>
    <comment ref="M1275" authorId="0" shapeId="0" xr:uid="{DEFBEAE1-A64A-4CB7-BB86-0C524C9374E7}">
      <text>
        <r>
          <rPr>
            <b/>
            <sz val="9"/>
            <color indexed="81"/>
            <rFont val="Tahoma"/>
            <family val="2"/>
          </rPr>
          <t>&lt;[[TCDeals] - [TC Property Current Stage (Seq: 1)] - [Buildings (Seq: 72)] Constr Est Qual Basis - Both]&gt;</t>
        </r>
      </text>
    </comment>
    <comment ref="N1275" authorId="0" shapeId="0" xr:uid="{8652338F-A38C-4974-AA4A-052EF0DB92DB}">
      <text>
        <r>
          <rPr>
            <b/>
            <sz val="9"/>
            <color indexed="81"/>
            <rFont val="Tahoma"/>
            <family val="2"/>
          </rPr>
          <t>&lt;[[TCDeals] - [TC Property Current Stage (Seq: 1)] - [Buildings (Seq: 72)] Constr 8609 Basis - Both]&gt;</t>
        </r>
      </text>
    </comment>
    <comment ref="O1275" authorId="0" shapeId="0" xr:uid="{321B7BE0-DA88-4C9C-8EC8-BBFC4B286C41}">
      <text>
        <r>
          <rPr>
            <b/>
            <sz val="9"/>
            <color indexed="81"/>
            <rFont val="Tahoma"/>
            <family val="2"/>
          </rPr>
          <t>&lt;[[TCDeals] - [TC Property Current Stage (Seq: 1)] - [Buildings (Seq: 72)] Constr 8609 Credit - Both]&gt;</t>
        </r>
      </text>
    </comment>
    <comment ref="P1275" authorId="0" shapeId="0" xr:uid="{8F7CECBF-69B5-4271-89F7-8F8D4651A5A8}">
      <text>
        <r>
          <rPr>
            <b/>
            <sz val="9"/>
            <color indexed="81"/>
            <rFont val="Tahoma"/>
            <family val="2"/>
          </rPr>
          <t>&lt;[[TCDeals] - [TC Property Current Stage (Seq: 1)] - [Buildings (Seq: 72)] Acq PIS Date - Both]&gt;</t>
        </r>
      </text>
    </comment>
    <comment ref="Q1275" authorId="0" shapeId="0" xr:uid="{E4AC72ED-2F43-4642-8EE6-B2D923FBA6A5}">
      <text>
        <r>
          <rPr>
            <b/>
            <sz val="9"/>
            <color indexed="81"/>
            <rFont val="Tahoma"/>
            <family val="2"/>
          </rPr>
          <t>&lt;[[TCDeals] - [TC Property Current Stage (Seq: 1)] - [Buildings (Seq: 72)] Acq Applicable Percentage - Both]&gt;</t>
        </r>
      </text>
    </comment>
    <comment ref="R1275" authorId="0" shapeId="0" xr:uid="{C9534613-0E59-4B0F-B0D6-C01F71AB9F91}">
      <text>
        <r>
          <rPr>
            <b/>
            <sz val="9"/>
            <color indexed="81"/>
            <rFont val="Tahoma"/>
            <family val="2"/>
          </rPr>
          <t>&lt;[[TCDeals] - [TC Property Current Stage (Seq: 1)] - [Buildings (Seq: 72)] Acq Est Qual Basis - Both]&gt;</t>
        </r>
      </text>
    </comment>
    <comment ref="S1275" authorId="0" shapeId="0" xr:uid="{72523B7C-DD7C-4B76-AD75-FFA989C86F1F}">
      <text>
        <r>
          <rPr>
            <b/>
            <sz val="9"/>
            <color indexed="81"/>
            <rFont val="Tahoma"/>
            <family val="2"/>
          </rPr>
          <t>&lt;[[TCDeals] - [TC Property Current Stage (Seq: 1)] - [Buildings (Seq: 72)] Acq 8609 Basis - Both]&gt;</t>
        </r>
      </text>
    </comment>
    <comment ref="T1275" authorId="0" shapeId="0" xr:uid="{EE6CAED8-6C55-4B6D-AEDA-9BC3E8700803}">
      <text>
        <r>
          <rPr>
            <b/>
            <sz val="9"/>
            <color indexed="81"/>
            <rFont val="Tahoma"/>
            <family val="2"/>
          </rPr>
          <t>&lt;[[TCDeals] - [TC Property Current Stage (Seq: 1)] - [Buildings (Seq: 72)] Acq 8609 Credit - Both]&gt;</t>
        </r>
      </text>
    </comment>
    <comment ref="C1276" authorId="0" shapeId="0" xr:uid="{E1DAE7E2-1F7C-4C59-8812-619BB24D99A8}">
      <text>
        <r>
          <rPr>
            <b/>
            <sz val="9"/>
            <color indexed="81"/>
            <rFont val="Tahoma"/>
            <family val="2"/>
          </rPr>
          <t>&lt;[[TCDeals] - [TC Property Current Stage (Seq: 1)] - [Buildings (Seq: 73)] BIN - Both]&gt;</t>
        </r>
      </text>
    </comment>
    <comment ref="D1276" authorId="0" shapeId="0" xr:uid="{93323E19-93BF-4FF7-9BDD-1715DF08DD5A}">
      <text>
        <r>
          <rPr>
            <b/>
            <sz val="9"/>
            <color indexed="81"/>
            <rFont val="Tahoma"/>
            <family val="2"/>
          </rPr>
          <t>&lt;[[TCDeals] - [TC Property Current Stage (Seq: 1)] - [Buildings (Seq: 73)] Address 1 - Both]&gt;</t>
        </r>
      </text>
    </comment>
    <comment ref="E1276" authorId="0" shapeId="0" xr:uid="{7DB909D6-6D2E-404B-9537-BEEFE1E815A4}">
      <text>
        <r>
          <rPr>
            <b/>
            <sz val="9"/>
            <color indexed="81"/>
            <rFont val="Tahoma"/>
            <family val="2"/>
          </rPr>
          <t>&lt;[[TCDeals] - [TC Property Current Stage (Seq: 1)] - [Buildings (Seq: 73)] Num TC Units - Both]&gt;</t>
        </r>
      </text>
    </comment>
    <comment ref="F1276" authorId="0" shapeId="0" xr:uid="{7222EF56-4231-4AE1-8E62-1168EFDF8ACA}">
      <text>
        <r>
          <rPr>
            <b/>
            <sz val="9"/>
            <color indexed="81"/>
            <rFont val="Tahoma"/>
            <family val="2"/>
          </rPr>
          <t>&lt;[[TCDeals] - [TC Property Current Stage (Seq: 1)] - [Buildings (Seq: 73)] PVC PIS Date - Both]&gt;</t>
        </r>
      </text>
    </comment>
    <comment ref="G1276" authorId="0" shapeId="0" xr:uid="{248B5437-4D83-41D2-8D23-F24C18E39B91}">
      <text>
        <r>
          <rPr>
            <b/>
            <sz val="9"/>
            <color indexed="81"/>
            <rFont val="Tahoma"/>
            <family val="2"/>
          </rPr>
          <t>&lt;[[TCDeals] - [TC Property Current Stage (Seq: 1)] - [Buildings (Seq: 73)] PVC Applicable Percentage - Both]&gt;</t>
        </r>
      </text>
    </comment>
    <comment ref="H1276" authorId="0" shapeId="0" xr:uid="{FF05BDA8-C3A2-47D1-ACFA-210DBAE6A3A4}">
      <text>
        <r>
          <rPr>
            <b/>
            <sz val="9"/>
            <color indexed="81"/>
            <rFont val="Tahoma"/>
            <family val="2"/>
          </rPr>
          <t>&lt;[[TCDeals] - [TC Property Current Stage (Seq: 1)] - [Buildings (Seq: 73)] PVC Est Qual Basis - Both]&gt;</t>
        </r>
      </text>
    </comment>
    <comment ref="I1276" authorId="0" shapeId="0" xr:uid="{CC43C60F-C189-4202-9A5B-9EA4CA004086}">
      <text>
        <r>
          <rPr>
            <b/>
            <sz val="9"/>
            <color indexed="81"/>
            <rFont val="Tahoma"/>
            <family val="2"/>
          </rPr>
          <t>&lt;[[TCDeals] - [TC Property Current Stage (Seq: 1)] - [Buildings (Seq: 73)] PVC8609 Basis - Both]&gt;</t>
        </r>
      </text>
    </comment>
    <comment ref="J1276" authorId="0" shapeId="0" xr:uid="{8463F011-2CAD-4EBF-B3EB-18881DA44B43}">
      <text>
        <r>
          <rPr>
            <b/>
            <sz val="9"/>
            <color indexed="81"/>
            <rFont val="Tahoma"/>
            <family val="2"/>
          </rPr>
          <t>&lt;[[TCDeals] - [TC Property Current Stage (Seq: 1)] - [Buildings (Seq: 73)] PVC8609 Credit - Both]&gt;</t>
        </r>
      </text>
    </comment>
    <comment ref="K1276" authorId="0" shapeId="0" xr:uid="{2A99293D-AE6C-4E9F-9F6F-0B8DF95B3317}">
      <text>
        <r>
          <rPr>
            <b/>
            <sz val="9"/>
            <color indexed="81"/>
            <rFont val="Tahoma"/>
            <family val="2"/>
          </rPr>
          <t>&lt;[[TCDeals] - [TC Property Current Stage (Seq: 1)] - [Buildings (Seq: 73)] Constr PIS Date - Both]&gt;</t>
        </r>
      </text>
    </comment>
    <comment ref="L1276" authorId="0" shapeId="0" xr:uid="{9B201CBF-106A-420B-8374-EE55C417E9B7}">
      <text>
        <r>
          <rPr>
            <b/>
            <sz val="9"/>
            <color indexed="81"/>
            <rFont val="Tahoma"/>
            <family val="2"/>
          </rPr>
          <t>&lt;[[TCDeals] - [TC Property Current Stage (Seq: 1)] - [Buildings (Seq: 73)] Constr Applicable Percentage - Both]&gt;</t>
        </r>
      </text>
    </comment>
    <comment ref="M1276" authorId="0" shapeId="0" xr:uid="{59E20ADF-976F-458D-A4DD-18873D7865CC}">
      <text>
        <r>
          <rPr>
            <b/>
            <sz val="9"/>
            <color indexed="81"/>
            <rFont val="Tahoma"/>
            <family val="2"/>
          </rPr>
          <t>&lt;[[TCDeals] - [TC Property Current Stage (Seq: 1)] - [Buildings (Seq: 73)] Constr Est Qual Basis - Both]&gt;</t>
        </r>
      </text>
    </comment>
    <comment ref="N1276" authorId="0" shapeId="0" xr:uid="{A36A338F-46FC-4EA7-BE2C-E5539C0F5AA9}">
      <text>
        <r>
          <rPr>
            <b/>
            <sz val="9"/>
            <color indexed="81"/>
            <rFont val="Tahoma"/>
            <family val="2"/>
          </rPr>
          <t>&lt;[[TCDeals] - [TC Property Current Stage (Seq: 1)] - [Buildings (Seq: 73)] Constr 8609 Basis - Both]&gt;</t>
        </r>
      </text>
    </comment>
    <comment ref="O1276" authorId="0" shapeId="0" xr:uid="{F4F7C263-65C7-4BA6-A8A9-B77869A6BCE1}">
      <text>
        <r>
          <rPr>
            <b/>
            <sz val="9"/>
            <color indexed="81"/>
            <rFont val="Tahoma"/>
            <family val="2"/>
          </rPr>
          <t>&lt;[[TCDeals] - [TC Property Current Stage (Seq: 1)] - [Buildings (Seq: 73)] Constr 8609 Credit - Both]&gt;</t>
        </r>
      </text>
    </comment>
    <comment ref="P1276" authorId="0" shapeId="0" xr:uid="{B8DA81BD-5121-4EBE-A308-FE58EA26E1B8}">
      <text>
        <r>
          <rPr>
            <b/>
            <sz val="9"/>
            <color indexed="81"/>
            <rFont val="Tahoma"/>
            <family val="2"/>
          </rPr>
          <t>&lt;[[TCDeals] - [TC Property Current Stage (Seq: 1)] - [Buildings (Seq: 73)] Acq PIS Date - Both]&gt;</t>
        </r>
      </text>
    </comment>
    <comment ref="Q1276" authorId="0" shapeId="0" xr:uid="{23CD8180-6BC5-4688-90EC-05BD51491EE2}">
      <text>
        <r>
          <rPr>
            <b/>
            <sz val="9"/>
            <color indexed="81"/>
            <rFont val="Tahoma"/>
            <family val="2"/>
          </rPr>
          <t>&lt;[[TCDeals] - [TC Property Current Stage (Seq: 1)] - [Buildings (Seq: 73)] Acq Applicable Percentage - Both]&gt;</t>
        </r>
      </text>
    </comment>
    <comment ref="R1276" authorId="0" shapeId="0" xr:uid="{FF591E40-EAB4-4D18-951B-1F509258D562}">
      <text>
        <r>
          <rPr>
            <b/>
            <sz val="9"/>
            <color indexed="81"/>
            <rFont val="Tahoma"/>
            <family val="2"/>
          </rPr>
          <t>&lt;[[TCDeals] - [TC Property Current Stage (Seq: 1)] - [Buildings (Seq: 73)] Acq Est Qual Basis - Both]&gt;</t>
        </r>
      </text>
    </comment>
    <comment ref="S1276" authorId="0" shapeId="0" xr:uid="{DFA52BE5-839F-41A3-BD45-CE364F6C3382}">
      <text>
        <r>
          <rPr>
            <b/>
            <sz val="9"/>
            <color indexed="81"/>
            <rFont val="Tahoma"/>
            <family val="2"/>
          </rPr>
          <t>&lt;[[TCDeals] - [TC Property Current Stage (Seq: 1)] - [Buildings (Seq: 73)] Acq 8609 Basis - Both]&gt;</t>
        </r>
      </text>
    </comment>
    <comment ref="T1276" authorId="0" shapeId="0" xr:uid="{87E5B4E9-A34F-4479-87DE-74EB8E6D98DA}">
      <text>
        <r>
          <rPr>
            <b/>
            <sz val="9"/>
            <color indexed="81"/>
            <rFont val="Tahoma"/>
            <family val="2"/>
          </rPr>
          <t>&lt;[[TCDeals] - [TC Property Current Stage (Seq: 1)] - [Buildings (Seq: 73)] Acq 8609 Credit - Both]&gt;</t>
        </r>
      </text>
    </comment>
    <comment ref="C1277" authorId="0" shapeId="0" xr:uid="{C34E4947-72A9-4E9A-AE72-FF1DC4E06D25}">
      <text>
        <r>
          <rPr>
            <b/>
            <sz val="9"/>
            <color indexed="81"/>
            <rFont val="Tahoma"/>
            <family val="2"/>
          </rPr>
          <t>&lt;[[TCDeals] - [TC Property Current Stage (Seq: 1)] - [Buildings (Seq: 74)] BIN - Both]&gt;</t>
        </r>
      </text>
    </comment>
    <comment ref="D1277" authorId="0" shapeId="0" xr:uid="{BA3055CA-0196-4C55-BA51-72B7D9C2ED95}">
      <text>
        <r>
          <rPr>
            <b/>
            <sz val="9"/>
            <color indexed="81"/>
            <rFont val="Tahoma"/>
            <family val="2"/>
          </rPr>
          <t>&lt;[[TCDeals] - [TC Property Current Stage (Seq: 1)] - [Buildings (Seq: 74)] Address 1 - Both]&gt;</t>
        </r>
      </text>
    </comment>
    <comment ref="E1277" authorId="0" shapeId="0" xr:uid="{03FA06EA-FCF7-4587-849A-A868364A749C}">
      <text>
        <r>
          <rPr>
            <b/>
            <sz val="9"/>
            <color indexed="81"/>
            <rFont val="Tahoma"/>
            <family val="2"/>
          </rPr>
          <t>&lt;[[TCDeals] - [TC Property Current Stage (Seq: 1)] - [Buildings (Seq: 74)] Num TC Units - Both]&gt;</t>
        </r>
      </text>
    </comment>
    <comment ref="F1277" authorId="0" shapeId="0" xr:uid="{B14E91A4-F8B1-43E5-8039-B86B673F28BC}">
      <text>
        <r>
          <rPr>
            <b/>
            <sz val="9"/>
            <color indexed="81"/>
            <rFont val="Tahoma"/>
            <family val="2"/>
          </rPr>
          <t>&lt;[[TCDeals] - [TC Property Current Stage (Seq: 1)] - [Buildings (Seq: 74)] PVC PIS Date - Both]&gt;</t>
        </r>
      </text>
    </comment>
    <comment ref="G1277" authorId="0" shapeId="0" xr:uid="{8F6B9C06-9483-48D2-BFC4-04E41B6A0DEA}">
      <text>
        <r>
          <rPr>
            <b/>
            <sz val="9"/>
            <color indexed="81"/>
            <rFont val="Tahoma"/>
            <family val="2"/>
          </rPr>
          <t>&lt;[[TCDeals] - [TC Property Current Stage (Seq: 1)] - [Buildings (Seq: 74)] PVC Applicable Percentage - Both]&gt;</t>
        </r>
      </text>
    </comment>
    <comment ref="H1277" authorId="0" shapeId="0" xr:uid="{68BDDBFF-46AA-4C1F-89AD-1A260C22AA18}">
      <text>
        <r>
          <rPr>
            <b/>
            <sz val="9"/>
            <color indexed="81"/>
            <rFont val="Tahoma"/>
            <family val="2"/>
          </rPr>
          <t>&lt;[[TCDeals] - [TC Property Current Stage (Seq: 1)] - [Buildings (Seq: 74)] PVC Est Qual Basis - Both]&gt;</t>
        </r>
      </text>
    </comment>
    <comment ref="I1277" authorId="0" shapeId="0" xr:uid="{EBF97BE0-46AA-4515-8E6B-7B682C15A1D6}">
      <text>
        <r>
          <rPr>
            <b/>
            <sz val="9"/>
            <color indexed="81"/>
            <rFont val="Tahoma"/>
            <family val="2"/>
          </rPr>
          <t>&lt;[[TCDeals] - [TC Property Current Stage (Seq: 1)] - [Buildings (Seq: 74)] PVC8609 Basis - Both]&gt;</t>
        </r>
      </text>
    </comment>
    <comment ref="J1277" authorId="0" shapeId="0" xr:uid="{CE575A68-2FD9-4A54-B7EF-ED0469D749E6}">
      <text>
        <r>
          <rPr>
            <b/>
            <sz val="9"/>
            <color indexed="81"/>
            <rFont val="Tahoma"/>
            <family val="2"/>
          </rPr>
          <t>&lt;[[TCDeals] - [TC Property Current Stage (Seq: 1)] - [Buildings (Seq: 74)] PVC8609 Credit - Both]&gt;</t>
        </r>
      </text>
    </comment>
    <comment ref="K1277" authorId="0" shapeId="0" xr:uid="{F99A1F4D-45B3-4641-BBCF-BABFF2E97EF3}">
      <text>
        <r>
          <rPr>
            <b/>
            <sz val="9"/>
            <color indexed="81"/>
            <rFont val="Tahoma"/>
            <family val="2"/>
          </rPr>
          <t>&lt;[[TCDeals] - [TC Property Current Stage (Seq: 1)] - [Buildings (Seq: 74)] Constr PIS Date - Both]&gt;</t>
        </r>
      </text>
    </comment>
    <comment ref="L1277" authorId="0" shapeId="0" xr:uid="{9E34E4B2-F5C3-413F-A5CA-FE6D3D3EA17F}">
      <text>
        <r>
          <rPr>
            <b/>
            <sz val="9"/>
            <color indexed="81"/>
            <rFont val="Tahoma"/>
            <family val="2"/>
          </rPr>
          <t>&lt;[[TCDeals] - [TC Property Current Stage (Seq: 1)] - [Buildings (Seq: 74)] Constr Applicable Percentage - Both]&gt;</t>
        </r>
      </text>
    </comment>
    <comment ref="M1277" authorId="0" shapeId="0" xr:uid="{D1FC3128-5A2B-48BA-A7BB-0112AECD406A}">
      <text>
        <r>
          <rPr>
            <b/>
            <sz val="9"/>
            <color indexed="81"/>
            <rFont val="Tahoma"/>
            <family val="2"/>
          </rPr>
          <t>&lt;[[TCDeals] - [TC Property Current Stage (Seq: 1)] - [Buildings (Seq: 74)] Constr Est Qual Basis - Both]&gt;</t>
        </r>
      </text>
    </comment>
    <comment ref="N1277" authorId="0" shapeId="0" xr:uid="{90B4C8E5-C3C5-45FC-8772-3F1783D84748}">
      <text>
        <r>
          <rPr>
            <b/>
            <sz val="9"/>
            <color indexed="81"/>
            <rFont val="Tahoma"/>
            <family val="2"/>
          </rPr>
          <t>&lt;[[TCDeals] - [TC Property Current Stage (Seq: 1)] - [Buildings (Seq: 74)] Constr 8609 Basis - Both]&gt;</t>
        </r>
      </text>
    </comment>
    <comment ref="O1277" authorId="0" shapeId="0" xr:uid="{9C6E72FC-46A4-454E-B231-F0FE37940059}">
      <text>
        <r>
          <rPr>
            <b/>
            <sz val="9"/>
            <color indexed="81"/>
            <rFont val="Tahoma"/>
            <family val="2"/>
          </rPr>
          <t>&lt;[[TCDeals] - [TC Property Current Stage (Seq: 1)] - [Buildings (Seq: 74)] Constr 8609 Credit - Both]&gt;</t>
        </r>
      </text>
    </comment>
    <comment ref="P1277" authorId="0" shapeId="0" xr:uid="{46D8CC68-A9FF-4E63-8AC6-D1FAEE66835B}">
      <text>
        <r>
          <rPr>
            <b/>
            <sz val="9"/>
            <color indexed="81"/>
            <rFont val="Tahoma"/>
            <family val="2"/>
          </rPr>
          <t>&lt;[[TCDeals] - [TC Property Current Stage (Seq: 1)] - [Buildings (Seq: 74)] Acq PIS Date - Both]&gt;</t>
        </r>
      </text>
    </comment>
    <comment ref="Q1277" authorId="0" shapeId="0" xr:uid="{A9703C13-356E-4A49-BDA4-8F938B469B03}">
      <text>
        <r>
          <rPr>
            <b/>
            <sz val="9"/>
            <color indexed="81"/>
            <rFont val="Tahoma"/>
            <family val="2"/>
          </rPr>
          <t>&lt;[[TCDeals] - [TC Property Current Stage (Seq: 1)] - [Buildings (Seq: 74)] Acq Applicable Percentage - Both]&gt;</t>
        </r>
      </text>
    </comment>
    <comment ref="R1277" authorId="0" shapeId="0" xr:uid="{ACE9A1D1-08B0-4002-BCE2-216D21DF11CE}">
      <text>
        <r>
          <rPr>
            <b/>
            <sz val="9"/>
            <color indexed="81"/>
            <rFont val="Tahoma"/>
            <family val="2"/>
          </rPr>
          <t>&lt;[[TCDeals] - [TC Property Current Stage (Seq: 1)] - [Buildings (Seq: 74)] Acq Est Qual Basis - Both]&gt;</t>
        </r>
      </text>
    </comment>
    <comment ref="S1277" authorId="0" shapeId="0" xr:uid="{1BF65143-3830-4060-BCD3-BBB541B14506}">
      <text>
        <r>
          <rPr>
            <b/>
            <sz val="9"/>
            <color indexed="81"/>
            <rFont val="Tahoma"/>
            <family val="2"/>
          </rPr>
          <t>&lt;[[TCDeals] - [TC Property Current Stage (Seq: 1)] - [Buildings (Seq: 74)] Acq 8609 Basis - Both]&gt;</t>
        </r>
      </text>
    </comment>
    <comment ref="T1277" authorId="0" shapeId="0" xr:uid="{076B4EFA-0C51-463E-A955-2EDB9778AE0B}">
      <text>
        <r>
          <rPr>
            <b/>
            <sz val="9"/>
            <color indexed="81"/>
            <rFont val="Tahoma"/>
            <family val="2"/>
          </rPr>
          <t>&lt;[[TCDeals] - [TC Property Current Stage (Seq: 1)] - [Buildings (Seq: 74)] Acq 8609 Credit - Both]&gt;</t>
        </r>
      </text>
    </comment>
    <comment ref="C1278" authorId="0" shapeId="0" xr:uid="{5CE19D0B-5D95-481C-B872-68657CDE0FDC}">
      <text>
        <r>
          <rPr>
            <b/>
            <sz val="9"/>
            <color indexed="81"/>
            <rFont val="Tahoma"/>
            <family val="2"/>
          </rPr>
          <t>&lt;[[TCDeals] - [TC Property Current Stage (Seq: 1)] - [Buildings (Seq: 75)] BIN - Both]&gt;</t>
        </r>
      </text>
    </comment>
    <comment ref="D1278" authorId="0" shapeId="0" xr:uid="{EAB4767A-D02C-428B-AA62-39FF9F53F23F}">
      <text>
        <r>
          <rPr>
            <b/>
            <sz val="9"/>
            <color indexed="81"/>
            <rFont val="Tahoma"/>
            <family val="2"/>
          </rPr>
          <t>&lt;[[TCDeals] - [TC Property Current Stage (Seq: 1)] - [Buildings (Seq: 75)] Address 1 - Both]&gt;</t>
        </r>
      </text>
    </comment>
    <comment ref="E1278" authorId="0" shapeId="0" xr:uid="{318F5B32-6BB4-4389-9257-9EF0740970B9}">
      <text>
        <r>
          <rPr>
            <b/>
            <sz val="9"/>
            <color indexed="81"/>
            <rFont val="Tahoma"/>
            <family val="2"/>
          </rPr>
          <t>&lt;[[TCDeals] - [TC Property Current Stage (Seq: 1)] - [Buildings (Seq: 75)] Num TC Units - Both]&gt;</t>
        </r>
      </text>
    </comment>
    <comment ref="F1278" authorId="0" shapeId="0" xr:uid="{7E3736D5-9F36-4BD5-814A-44A74A419A71}">
      <text>
        <r>
          <rPr>
            <b/>
            <sz val="9"/>
            <color indexed="81"/>
            <rFont val="Tahoma"/>
            <family val="2"/>
          </rPr>
          <t>&lt;[[TCDeals] - [TC Property Current Stage (Seq: 1)] - [Buildings (Seq: 75)] PVC PIS Date - Both]&gt;</t>
        </r>
      </text>
    </comment>
    <comment ref="G1278" authorId="0" shapeId="0" xr:uid="{BC3033ED-956B-43CB-8141-80EDC23382E3}">
      <text>
        <r>
          <rPr>
            <b/>
            <sz val="9"/>
            <color indexed="81"/>
            <rFont val="Tahoma"/>
            <family val="2"/>
          </rPr>
          <t>&lt;[[TCDeals] - [TC Property Current Stage (Seq: 1)] - [Buildings (Seq: 75)] PVC Applicable Percentage - Both]&gt;</t>
        </r>
      </text>
    </comment>
    <comment ref="H1278" authorId="0" shapeId="0" xr:uid="{077709E9-7A21-4894-BCF1-A4FC96C90139}">
      <text>
        <r>
          <rPr>
            <b/>
            <sz val="9"/>
            <color indexed="81"/>
            <rFont val="Tahoma"/>
            <family val="2"/>
          </rPr>
          <t>&lt;[[TCDeals] - [TC Property Current Stage (Seq: 1)] - [Buildings (Seq: 75)] PVC Est Qual Basis - Both]&gt;</t>
        </r>
      </text>
    </comment>
    <comment ref="I1278" authorId="0" shapeId="0" xr:uid="{04299DBD-37E7-476E-BB0E-8816B45F472A}">
      <text>
        <r>
          <rPr>
            <b/>
            <sz val="9"/>
            <color indexed="81"/>
            <rFont val="Tahoma"/>
            <family val="2"/>
          </rPr>
          <t>&lt;[[TCDeals] - [TC Property Current Stage (Seq: 1)] - [Buildings (Seq: 75)] PVC8609 Basis - Both]&gt;</t>
        </r>
      </text>
    </comment>
    <comment ref="J1278" authorId="0" shapeId="0" xr:uid="{8436EE64-5E35-445C-8767-E54310B88069}">
      <text>
        <r>
          <rPr>
            <b/>
            <sz val="9"/>
            <color indexed="81"/>
            <rFont val="Tahoma"/>
            <family val="2"/>
          </rPr>
          <t>&lt;[[TCDeals] - [TC Property Current Stage (Seq: 1)] - [Buildings (Seq: 75)] PVC8609 Credit - Both]&gt;</t>
        </r>
      </text>
    </comment>
    <comment ref="K1278" authorId="0" shapeId="0" xr:uid="{307224B3-23C6-40E4-8198-BDED6638D34C}">
      <text>
        <r>
          <rPr>
            <b/>
            <sz val="9"/>
            <color indexed="81"/>
            <rFont val="Tahoma"/>
            <family val="2"/>
          </rPr>
          <t>&lt;[[TCDeals] - [TC Property Current Stage (Seq: 1)] - [Buildings (Seq: 75)] Constr PIS Date - Both]&gt;</t>
        </r>
      </text>
    </comment>
    <comment ref="L1278" authorId="0" shapeId="0" xr:uid="{0C8A4C27-8EFC-47E0-8FBD-860945952C26}">
      <text>
        <r>
          <rPr>
            <b/>
            <sz val="9"/>
            <color indexed="81"/>
            <rFont val="Tahoma"/>
            <family val="2"/>
          </rPr>
          <t>&lt;[[TCDeals] - [TC Property Current Stage (Seq: 1)] - [Buildings (Seq: 75)] Constr Applicable Percentage - Both]&gt;</t>
        </r>
      </text>
    </comment>
    <comment ref="M1278" authorId="0" shapeId="0" xr:uid="{9356BF89-AEEA-4E04-9021-6FECE85A5C51}">
      <text>
        <r>
          <rPr>
            <b/>
            <sz val="9"/>
            <color indexed="81"/>
            <rFont val="Tahoma"/>
            <family val="2"/>
          </rPr>
          <t>&lt;[[TCDeals] - [TC Property Current Stage (Seq: 1)] - [Buildings (Seq: 75)] Constr Est Qual Basis - Both]&gt;</t>
        </r>
      </text>
    </comment>
    <comment ref="N1278" authorId="0" shapeId="0" xr:uid="{14F59EA5-AFE0-4B20-A3B3-3FB629C45A8E}">
      <text>
        <r>
          <rPr>
            <b/>
            <sz val="9"/>
            <color indexed="81"/>
            <rFont val="Tahoma"/>
            <family val="2"/>
          </rPr>
          <t>&lt;[[TCDeals] - [TC Property Current Stage (Seq: 1)] - [Buildings (Seq: 75)] Constr 8609 Basis - Both]&gt;</t>
        </r>
      </text>
    </comment>
    <comment ref="O1278" authorId="0" shapeId="0" xr:uid="{0818A855-96C0-484C-B500-8BB0F5A9D090}">
      <text>
        <r>
          <rPr>
            <b/>
            <sz val="9"/>
            <color indexed="81"/>
            <rFont val="Tahoma"/>
            <family val="2"/>
          </rPr>
          <t>&lt;[[TCDeals] - [TC Property Current Stage (Seq: 1)] - [Buildings (Seq: 75)] Constr 8609 Credit - Both]&gt;</t>
        </r>
      </text>
    </comment>
    <comment ref="P1278" authorId="0" shapeId="0" xr:uid="{4FF04E6A-BBAB-46AD-94DC-15A016AE84EF}">
      <text>
        <r>
          <rPr>
            <b/>
            <sz val="9"/>
            <color indexed="81"/>
            <rFont val="Tahoma"/>
            <family val="2"/>
          </rPr>
          <t>&lt;[[TCDeals] - [TC Property Current Stage (Seq: 1)] - [Buildings (Seq: 75)] Acq PIS Date - Both]&gt;</t>
        </r>
      </text>
    </comment>
    <comment ref="Q1278" authorId="0" shapeId="0" xr:uid="{62DE6A0D-E8A9-4ACD-9A2B-048AE83227C3}">
      <text>
        <r>
          <rPr>
            <b/>
            <sz val="9"/>
            <color indexed="81"/>
            <rFont val="Tahoma"/>
            <family val="2"/>
          </rPr>
          <t>&lt;[[TCDeals] - [TC Property Current Stage (Seq: 1)] - [Buildings (Seq: 75)] Acq Applicable Percentage - Both]&gt;</t>
        </r>
      </text>
    </comment>
    <comment ref="R1278" authorId="0" shapeId="0" xr:uid="{777AAE02-4D3D-441A-BE1C-41D6FE26A452}">
      <text>
        <r>
          <rPr>
            <b/>
            <sz val="9"/>
            <color indexed="81"/>
            <rFont val="Tahoma"/>
            <family val="2"/>
          </rPr>
          <t>&lt;[[TCDeals] - [TC Property Current Stage (Seq: 1)] - [Buildings (Seq: 75)] Acq Est Qual Basis - Both]&gt;</t>
        </r>
      </text>
    </comment>
    <comment ref="S1278" authorId="0" shapeId="0" xr:uid="{E0B9E59F-8953-49CC-AA3A-F2DB48D72F09}">
      <text>
        <r>
          <rPr>
            <b/>
            <sz val="9"/>
            <color indexed="81"/>
            <rFont val="Tahoma"/>
            <family val="2"/>
          </rPr>
          <t>&lt;[[TCDeals] - [TC Property Current Stage (Seq: 1)] - [Buildings (Seq: 75)] Acq 8609 Basis - Both]&gt;</t>
        </r>
      </text>
    </comment>
    <comment ref="T1278" authorId="0" shapeId="0" xr:uid="{0678B409-5AA7-4797-9790-1B08D79D0F62}">
      <text>
        <r>
          <rPr>
            <b/>
            <sz val="9"/>
            <color indexed="81"/>
            <rFont val="Tahoma"/>
            <family val="2"/>
          </rPr>
          <t>&lt;[[TCDeals] - [TC Property Current Stage (Seq: 1)] - [Buildings (Seq: 75)] Acq 8609 Credit - Both]&gt;</t>
        </r>
      </text>
    </comment>
    <comment ref="C1279" authorId="0" shapeId="0" xr:uid="{E3E5DD6F-A915-492B-83FB-CFFCCF79042A}">
      <text>
        <r>
          <rPr>
            <b/>
            <sz val="9"/>
            <color indexed="81"/>
            <rFont val="Tahoma"/>
            <family val="2"/>
          </rPr>
          <t>&lt;[[TCDeals] - [TC Property Current Stage (Seq: 1)] - [Buildings (Seq: 76)] BIN - Both]&gt;</t>
        </r>
      </text>
    </comment>
    <comment ref="D1279" authorId="0" shapeId="0" xr:uid="{6FBC9688-4F9A-4561-A465-277D6CD83F26}">
      <text>
        <r>
          <rPr>
            <b/>
            <sz val="9"/>
            <color indexed="81"/>
            <rFont val="Tahoma"/>
            <family val="2"/>
          </rPr>
          <t>&lt;[[TCDeals] - [TC Property Current Stage (Seq: 1)] - [Buildings (Seq: 76)] Address 1 - Both]&gt;</t>
        </r>
      </text>
    </comment>
    <comment ref="E1279" authorId="0" shapeId="0" xr:uid="{64DF0288-35AE-4893-92C6-A3F3F2AA9CAD}">
      <text>
        <r>
          <rPr>
            <b/>
            <sz val="9"/>
            <color indexed="81"/>
            <rFont val="Tahoma"/>
            <family val="2"/>
          </rPr>
          <t>&lt;[[TCDeals] - [TC Property Current Stage (Seq: 1)] - [Buildings (Seq: 76)] Num TC Units - Both]&gt;</t>
        </r>
      </text>
    </comment>
    <comment ref="F1279" authorId="0" shapeId="0" xr:uid="{1BC4F768-571B-4B06-87A0-1E1921605498}">
      <text>
        <r>
          <rPr>
            <b/>
            <sz val="9"/>
            <color indexed="81"/>
            <rFont val="Tahoma"/>
            <family val="2"/>
          </rPr>
          <t>&lt;[[TCDeals] - [TC Property Current Stage (Seq: 1)] - [Buildings (Seq: 76)] PVC PIS Date - Both]&gt;</t>
        </r>
      </text>
    </comment>
    <comment ref="G1279" authorId="0" shapeId="0" xr:uid="{4C738563-2EB4-43F5-8D00-F8442C4C379A}">
      <text>
        <r>
          <rPr>
            <b/>
            <sz val="9"/>
            <color indexed="81"/>
            <rFont val="Tahoma"/>
            <family val="2"/>
          </rPr>
          <t>&lt;[[TCDeals] - [TC Property Current Stage (Seq: 1)] - [Buildings (Seq: 76)] PVC Applicable Percentage - Both]&gt;</t>
        </r>
      </text>
    </comment>
    <comment ref="H1279" authorId="0" shapeId="0" xr:uid="{418595B9-7890-44CE-8F5C-B586BC39E8A5}">
      <text>
        <r>
          <rPr>
            <b/>
            <sz val="9"/>
            <color indexed="81"/>
            <rFont val="Tahoma"/>
            <family val="2"/>
          </rPr>
          <t>&lt;[[TCDeals] - [TC Property Current Stage (Seq: 1)] - [Buildings (Seq: 76)] PVC Est Qual Basis - Both]&gt;</t>
        </r>
      </text>
    </comment>
    <comment ref="I1279" authorId="0" shapeId="0" xr:uid="{8D6D8863-2967-43C8-AAEE-47049E172E06}">
      <text>
        <r>
          <rPr>
            <b/>
            <sz val="9"/>
            <color indexed="81"/>
            <rFont val="Tahoma"/>
            <family val="2"/>
          </rPr>
          <t>&lt;[[TCDeals] - [TC Property Current Stage (Seq: 1)] - [Buildings (Seq: 76)] PVC8609 Basis - Both]&gt;</t>
        </r>
      </text>
    </comment>
    <comment ref="J1279" authorId="0" shapeId="0" xr:uid="{96576721-3B45-49D3-9E5F-7F1918C0ACE9}">
      <text>
        <r>
          <rPr>
            <b/>
            <sz val="9"/>
            <color indexed="81"/>
            <rFont val="Tahoma"/>
            <family val="2"/>
          </rPr>
          <t>&lt;[[TCDeals] - [TC Property Current Stage (Seq: 1)] - [Buildings (Seq: 76)] PVC8609 Credit - Both]&gt;</t>
        </r>
      </text>
    </comment>
    <comment ref="K1279" authorId="0" shapeId="0" xr:uid="{4CC6A879-A714-4F8E-8123-D2972B8D6672}">
      <text>
        <r>
          <rPr>
            <b/>
            <sz val="9"/>
            <color indexed="81"/>
            <rFont val="Tahoma"/>
            <family val="2"/>
          </rPr>
          <t>&lt;[[TCDeals] - [TC Property Current Stage (Seq: 1)] - [Buildings (Seq: 76)] Constr PIS Date - Both]&gt;</t>
        </r>
      </text>
    </comment>
    <comment ref="L1279" authorId="0" shapeId="0" xr:uid="{996A271C-4532-4F5F-946A-73AB1F584551}">
      <text>
        <r>
          <rPr>
            <b/>
            <sz val="9"/>
            <color indexed="81"/>
            <rFont val="Tahoma"/>
            <family val="2"/>
          </rPr>
          <t>&lt;[[TCDeals] - [TC Property Current Stage (Seq: 1)] - [Buildings (Seq: 76)] Constr Applicable Percentage - Both]&gt;</t>
        </r>
      </text>
    </comment>
    <comment ref="M1279" authorId="0" shapeId="0" xr:uid="{C985C3C7-8BCB-4737-85CD-48A1FA2A4A44}">
      <text>
        <r>
          <rPr>
            <b/>
            <sz val="9"/>
            <color indexed="81"/>
            <rFont val="Tahoma"/>
            <family val="2"/>
          </rPr>
          <t>&lt;[[TCDeals] - [TC Property Current Stage (Seq: 1)] - [Buildings (Seq: 76)] Constr Est Qual Basis - Both]&gt;</t>
        </r>
      </text>
    </comment>
    <comment ref="N1279" authorId="0" shapeId="0" xr:uid="{883B8A9B-5507-4185-8721-4DF6F2951C93}">
      <text>
        <r>
          <rPr>
            <b/>
            <sz val="9"/>
            <color indexed="81"/>
            <rFont val="Tahoma"/>
            <family val="2"/>
          </rPr>
          <t>&lt;[[TCDeals] - [TC Property Current Stage (Seq: 1)] - [Buildings (Seq: 76)] Constr 8609 Basis - Both]&gt;</t>
        </r>
      </text>
    </comment>
    <comment ref="O1279" authorId="0" shapeId="0" xr:uid="{31128BE0-67E4-46EA-B2B4-2BB48D69AA11}">
      <text>
        <r>
          <rPr>
            <b/>
            <sz val="9"/>
            <color indexed="81"/>
            <rFont val="Tahoma"/>
            <family val="2"/>
          </rPr>
          <t>&lt;[[TCDeals] - [TC Property Current Stage (Seq: 1)] - [Buildings (Seq: 76)] Constr 8609 Credit - Both]&gt;</t>
        </r>
      </text>
    </comment>
    <comment ref="P1279" authorId="0" shapeId="0" xr:uid="{14344D49-4FB6-42DE-A3D0-3CDFD3921477}">
      <text>
        <r>
          <rPr>
            <b/>
            <sz val="9"/>
            <color indexed="81"/>
            <rFont val="Tahoma"/>
            <family val="2"/>
          </rPr>
          <t>&lt;[[TCDeals] - [TC Property Current Stage (Seq: 1)] - [Buildings (Seq: 76)] Acq PIS Date - Both]&gt;</t>
        </r>
      </text>
    </comment>
    <comment ref="Q1279" authorId="0" shapeId="0" xr:uid="{37652A7F-4612-4A4A-846E-C7C675F5420D}">
      <text>
        <r>
          <rPr>
            <b/>
            <sz val="9"/>
            <color indexed="81"/>
            <rFont val="Tahoma"/>
            <family val="2"/>
          </rPr>
          <t>&lt;[[TCDeals] - [TC Property Current Stage (Seq: 1)] - [Buildings (Seq: 76)] Acq Applicable Percentage - Both]&gt;</t>
        </r>
      </text>
    </comment>
    <comment ref="R1279" authorId="0" shapeId="0" xr:uid="{DD011C0B-3AAE-4F94-A841-199A5D1FCE19}">
      <text>
        <r>
          <rPr>
            <b/>
            <sz val="9"/>
            <color indexed="81"/>
            <rFont val="Tahoma"/>
            <family val="2"/>
          </rPr>
          <t>&lt;[[TCDeals] - [TC Property Current Stage (Seq: 1)] - [Buildings (Seq: 76)] Acq Est Qual Basis - Both]&gt;</t>
        </r>
      </text>
    </comment>
    <comment ref="S1279" authorId="0" shapeId="0" xr:uid="{15755A9E-7050-4EEA-B2FD-EDD51076F6CB}">
      <text>
        <r>
          <rPr>
            <b/>
            <sz val="9"/>
            <color indexed="81"/>
            <rFont val="Tahoma"/>
            <family val="2"/>
          </rPr>
          <t>&lt;[[TCDeals] - [TC Property Current Stage (Seq: 1)] - [Buildings (Seq: 76)] Acq 8609 Basis - Both]&gt;</t>
        </r>
      </text>
    </comment>
    <comment ref="T1279" authorId="0" shapeId="0" xr:uid="{C514EBC0-C88A-4582-B628-34ED3B96BA1E}">
      <text>
        <r>
          <rPr>
            <b/>
            <sz val="9"/>
            <color indexed="81"/>
            <rFont val="Tahoma"/>
            <family val="2"/>
          </rPr>
          <t>&lt;[[TCDeals] - [TC Property Current Stage (Seq: 1)] - [Buildings (Seq: 76)] Acq 8609 Credit - Both]&gt;</t>
        </r>
      </text>
    </comment>
    <comment ref="C1280" authorId="0" shapeId="0" xr:uid="{399AA9ED-81E1-4CED-ACBC-755CC0F013E8}">
      <text>
        <r>
          <rPr>
            <b/>
            <sz val="9"/>
            <color indexed="81"/>
            <rFont val="Tahoma"/>
            <family val="2"/>
          </rPr>
          <t>&lt;[[TCDeals] - [TC Property Current Stage (Seq: 1)] - [Buildings (Seq: 77)] BIN - Both]&gt;</t>
        </r>
      </text>
    </comment>
    <comment ref="D1280" authorId="0" shapeId="0" xr:uid="{6FD3545F-D96D-4C13-8CB0-19C9701A7D8C}">
      <text>
        <r>
          <rPr>
            <b/>
            <sz val="9"/>
            <color indexed="81"/>
            <rFont val="Tahoma"/>
            <family val="2"/>
          </rPr>
          <t>&lt;[[TCDeals] - [TC Property Current Stage (Seq: 1)] - [Buildings (Seq: 77)] Address 1 - Both]&gt;</t>
        </r>
      </text>
    </comment>
    <comment ref="E1280" authorId="0" shapeId="0" xr:uid="{1F69E6A3-EB31-4979-9611-33F940A6A719}">
      <text>
        <r>
          <rPr>
            <b/>
            <sz val="9"/>
            <color indexed="81"/>
            <rFont val="Tahoma"/>
            <family val="2"/>
          </rPr>
          <t>&lt;[[TCDeals] - [TC Property Current Stage (Seq: 1)] - [Buildings (Seq: 77)] Num TC Units - Both]&gt;</t>
        </r>
      </text>
    </comment>
    <comment ref="F1280" authorId="0" shapeId="0" xr:uid="{E19F67C7-4EB5-4D87-9F6E-416B8212B1CD}">
      <text>
        <r>
          <rPr>
            <b/>
            <sz val="9"/>
            <color indexed="81"/>
            <rFont val="Tahoma"/>
            <family val="2"/>
          </rPr>
          <t>&lt;[[TCDeals] - [TC Property Current Stage (Seq: 1)] - [Buildings (Seq: 77)] PVC PIS Date - Both]&gt;</t>
        </r>
      </text>
    </comment>
    <comment ref="G1280" authorId="0" shapeId="0" xr:uid="{1A37A3E7-C755-4A09-8DF6-898E568A1B9F}">
      <text>
        <r>
          <rPr>
            <b/>
            <sz val="9"/>
            <color indexed="81"/>
            <rFont val="Tahoma"/>
            <family val="2"/>
          </rPr>
          <t>&lt;[[TCDeals] - [TC Property Current Stage (Seq: 1)] - [Buildings (Seq: 77)] PVC Applicable Percentage - Both]&gt;</t>
        </r>
      </text>
    </comment>
    <comment ref="H1280" authorId="0" shapeId="0" xr:uid="{E55B15D2-EA2F-4501-8CC9-BC7362B369FB}">
      <text>
        <r>
          <rPr>
            <b/>
            <sz val="9"/>
            <color indexed="81"/>
            <rFont val="Tahoma"/>
            <family val="2"/>
          </rPr>
          <t>&lt;[[TCDeals] - [TC Property Current Stage (Seq: 1)] - [Buildings (Seq: 77)] PVC Est Qual Basis - Both]&gt;</t>
        </r>
      </text>
    </comment>
    <comment ref="I1280" authorId="0" shapeId="0" xr:uid="{408BCE56-AE2B-4FC8-858D-E1FD080630E8}">
      <text>
        <r>
          <rPr>
            <b/>
            <sz val="9"/>
            <color indexed="81"/>
            <rFont val="Tahoma"/>
            <family val="2"/>
          </rPr>
          <t>&lt;[[TCDeals] - [TC Property Current Stage (Seq: 1)] - [Buildings (Seq: 77)] PVC8609 Basis - Both]&gt;</t>
        </r>
      </text>
    </comment>
    <comment ref="J1280" authorId="0" shapeId="0" xr:uid="{9A9BC22F-1CEA-4DB1-BB53-9BEBBB2F9226}">
      <text>
        <r>
          <rPr>
            <b/>
            <sz val="9"/>
            <color indexed="81"/>
            <rFont val="Tahoma"/>
            <family val="2"/>
          </rPr>
          <t>&lt;[[TCDeals] - [TC Property Current Stage (Seq: 1)] - [Buildings (Seq: 77)] PVC8609 Credit - Both]&gt;</t>
        </r>
      </text>
    </comment>
    <comment ref="K1280" authorId="0" shapeId="0" xr:uid="{7159D64E-DE55-475B-8D92-03224920CFCA}">
      <text>
        <r>
          <rPr>
            <b/>
            <sz val="9"/>
            <color indexed="81"/>
            <rFont val="Tahoma"/>
            <family val="2"/>
          </rPr>
          <t>&lt;[[TCDeals] - [TC Property Current Stage (Seq: 1)] - [Buildings (Seq: 77)] Constr PIS Date - Both]&gt;</t>
        </r>
      </text>
    </comment>
    <comment ref="L1280" authorId="0" shapeId="0" xr:uid="{0D3D8616-D686-40AE-979A-39E39C4A22B7}">
      <text>
        <r>
          <rPr>
            <b/>
            <sz val="9"/>
            <color indexed="81"/>
            <rFont val="Tahoma"/>
            <family val="2"/>
          </rPr>
          <t>&lt;[[TCDeals] - [TC Property Current Stage (Seq: 1)] - [Buildings (Seq: 77)] Constr Applicable Percentage - Both]&gt;</t>
        </r>
      </text>
    </comment>
    <comment ref="M1280" authorId="0" shapeId="0" xr:uid="{19B6AA9C-41FA-422B-83C3-64BE4BC32348}">
      <text>
        <r>
          <rPr>
            <b/>
            <sz val="9"/>
            <color indexed="81"/>
            <rFont val="Tahoma"/>
            <family val="2"/>
          </rPr>
          <t>&lt;[[TCDeals] - [TC Property Current Stage (Seq: 1)] - [Buildings (Seq: 77)] Constr Est Qual Basis - Both]&gt;</t>
        </r>
      </text>
    </comment>
    <comment ref="N1280" authorId="0" shapeId="0" xr:uid="{8A23931E-AF53-4478-94BB-6E43D50FCC56}">
      <text>
        <r>
          <rPr>
            <b/>
            <sz val="9"/>
            <color indexed="81"/>
            <rFont val="Tahoma"/>
            <family val="2"/>
          </rPr>
          <t>&lt;[[TCDeals] - [TC Property Current Stage (Seq: 1)] - [Buildings (Seq: 77)] Constr 8609 Basis - Both]&gt;</t>
        </r>
      </text>
    </comment>
    <comment ref="O1280" authorId="0" shapeId="0" xr:uid="{CB51BE3B-0A67-4A20-8DFA-AA7531E47FB0}">
      <text>
        <r>
          <rPr>
            <b/>
            <sz val="9"/>
            <color indexed="81"/>
            <rFont val="Tahoma"/>
            <family val="2"/>
          </rPr>
          <t>&lt;[[TCDeals] - [TC Property Current Stage (Seq: 1)] - [Buildings (Seq: 77)] Constr 8609 Credit - Both]&gt;</t>
        </r>
      </text>
    </comment>
    <comment ref="P1280" authorId="0" shapeId="0" xr:uid="{1D53409E-5C22-4750-8FF1-86FCA6F61D1B}">
      <text>
        <r>
          <rPr>
            <b/>
            <sz val="9"/>
            <color indexed="81"/>
            <rFont val="Tahoma"/>
            <family val="2"/>
          </rPr>
          <t>&lt;[[TCDeals] - [TC Property Current Stage (Seq: 1)] - [Buildings (Seq: 77)] Acq PIS Date - Both]&gt;</t>
        </r>
      </text>
    </comment>
    <comment ref="Q1280" authorId="0" shapeId="0" xr:uid="{1A149AA2-32C6-4489-8143-489284459F8C}">
      <text>
        <r>
          <rPr>
            <b/>
            <sz val="9"/>
            <color indexed="81"/>
            <rFont val="Tahoma"/>
            <family val="2"/>
          </rPr>
          <t>&lt;[[TCDeals] - [TC Property Current Stage (Seq: 1)] - [Buildings (Seq: 77)] Acq Applicable Percentage - Both]&gt;</t>
        </r>
      </text>
    </comment>
    <comment ref="R1280" authorId="0" shapeId="0" xr:uid="{32B75125-BB48-4663-82EB-1FF22412D41C}">
      <text>
        <r>
          <rPr>
            <b/>
            <sz val="9"/>
            <color indexed="81"/>
            <rFont val="Tahoma"/>
            <family val="2"/>
          </rPr>
          <t>&lt;[[TCDeals] - [TC Property Current Stage (Seq: 1)] - [Buildings (Seq: 77)] Acq Est Qual Basis - Both]&gt;</t>
        </r>
      </text>
    </comment>
    <comment ref="S1280" authorId="0" shapeId="0" xr:uid="{B263CAF3-7BD0-4B49-953C-ACAB1BB4040B}">
      <text>
        <r>
          <rPr>
            <b/>
            <sz val="9"/>
            <color indexed="81"/>
            <rFont val="Tahoma"/>
            <family val="2"/>
          </rPr>
          <t>&lt;[[TCDeals] - [TC Property Current Stage (Seq: 1)] - [Buildings (Seq: 77)] Acq 8609 Basis - Both]&gt;</t>
        </r>
      </text>
    </comment>
    <comment ref="T1280" authorId="0" shapeId="0" xr:uid="{AC3A7A51-6215-417E-86C1-320303A91DFF}">
      <text>
        <r>
          <rPr>
            <b/>
            <sz val="9"/>
            <color indexed="81"/>
            <rFont val="Tahoma"/>
            <family val="2"/>
          </rPr>
          <t>&lt;[[TCDeals] - [TC Property Current Stage (Seq: 1)] - [Buildings (Seq: 77)] Acq 8609 Credit - Both]&gt;</t>
        </r>
      </text>
    </comment>
    <comment ref="C1281" authorId="0" shapeId="0" xr:uid="{267A07C4-5F4B-4325-BB15-78C1B03278A4}">
      <text>
        <r>
          <rPr>
            <b/>
            <sz val="9"/>
            <color indexed="81"/>
            <rFont val="Tahoma"/>
            <family val="2"/>
          </rPr>
          <t>&lt;[[TCDeals] - [TC Property Current Stage (Seq: 1)] - [Buildings (Seq: 78)] BIN - Both]&gt;</t>
        </r>
      </text>
    </comment>
    <comment ref="D1281" authorId="0" shapeId="0" xr:uid="{38B7F7A6-E48E-483B-BBE9-F5793F85FF37}">
      <text>
        <r>
          <rPr>
            <b/>
            <sz val="9"/>
            <color indexed="81"/>
            <rFont val="Tahoma"/>
            <family val="2"/>
          </rPr>
          <t>&lt;[[TCDeals] - [TC Property Current Stage (Seq: 1)] - [Buildings (Seq: 78)] Address 1 - Both]&gt;</t>
        </r>
      </text>
    </comment>
    <comment ref="E1281" authorId="0" shapeId="0" xr:uid="{A25B8877-0183-4366-905E-63BE713D7C88}">
      <text>
        <r>
          <rPr>
            <b/>
            <sz val="9"/>
            <color indexed="81"/>
            <rFont val="Tahoma"/>
            <family val="2"/>
          </rPr>
          <t>&lt;[[TCDeals] - [TC Property Current Stage (Seq: 1)] - [Buildings (Seq: 78)] Num TC Units - Both]&gt;</t>
        </r>
      </text>
    </comment>
    <comment ref="F1281" authorId="0" shapeId="0" xr:uid="{720788CE-9ABE-4E4F-BF44-2F05C9C60044}">
      <text>
        <r>
          <rPr>
            <b/>
            <sz val="9"/>
            <color indexed="81"/>
            <rFont val="Tahoma"/>
            <family val="2"/>
          </rPr>
          <t>&lt;[[TCDeals] - [TC Property Current Stage (Seq: 1)] - [Buildings (Seq: 78)] PVC PIS Date - Both]&gt;</t>
        </r>
      </text>
    </comment>
    <comment ref="G1281" authorId="0" shapeId="0" xr:uid="{359467D4-3334-4B96-A7A8-81B769CA17F4}">
      <text>
        <r>
          <rPr>
            <b/>
            <sz val="9"/>
            <color indexed="81"/>
            <rFont val="Tahoma"/>
            <family val="2"/>
          </rPr>
          <t>&lt;[[TCDeals] - [TC Property Current Stage (Seq: 1)] - [Buildings (Seq: 78)] PVC Applicable Percentage - Both]&gt;</t>
        </r>
      </text>
    </comment>
    <comment ref="H1281" authorId="0" shapeId="0" xr:uid="{B8C17EC5-D312-4D76-9997-AB4BD5CB8132}">
      <text>
        <r>
          <rPr>
            <b/>
            <sz val="9"/>
            <color indexed="81"/>
            <rFont val="Tahoma"/>
            <family val="2"/>
          </rPr>
          <t>&lt;[[TCDeals] - [TC Property Current Stage (Seq: 1)] - [Buildings (Seq: 78)] PVC Est Qual Basis - Both]&gt;</t>
        </r>
      </text>
    </comment>
    <comment ref="I1281" authorId="0" shapeId="0" xr:uid="{40B3722F-D7D8-452E-8AB2-F8017662B947}">
      <text>
        <r>
          <rPr>
            <b/>
            <sz val="9"/>
            <color indexed="81"/>
            <rFont val="Tahoma"/>
            <family val="2"/>
          </rPr>
          <t>&lt;[[TCDeals] - [TC Property Current Stage (Seq: 1)] - [Buildings (Seq: 78)] PVC8609 Basis - Both]&gt;</t>
        </r>
      </text>
    </comment>
    <comment ref="J1281" authorId="0" shapeId="0" xr:uid="{255671B2-12BA-4453-8B15-7FEBB8502413}">
      <text>
        <r>
          <rPr>
            <b/>
            <sz val="9"/>
            <color indexed="81"/>
            <rFont val="Tahoma"/>
            <family val="2"/>
          </rPr>
          <t>&lt;[[TCDeals] - [TC Property Current Stage (Seq: 1)] - [Buildings (Seq: 78)] PVC8609 Credit - Both]&gt;</t>
        </r>
      </text>
    </comment>
    <comment ref="K1281" authorId="0" shapeId="0" xr:uid="{B7141D1D-E5B7-4195-BDCF-B166499A21ED}">
      <text>
        <r>
          <rPr>
            <b/>
            <sz val="9"/>
            <color indexed="81"/>
            <rFont val="Tahoma"/>
            <family val="2"/>
          </rPr>
          <t>&lt;[[TCDeals] - [TC Property Current Stage (Seq: 1)] - [Buildings (Seq: 78)] Constr PIS Date - Both]&gt;</t>
        </r>
      </text>
    </comment>
    <comment ref="L1281" authorId="0" shapeId="0" xr:uid="{85112CCC-3A97-4FFC-9D43-46529F2914EB}">
      <text>
        <r>
          <rPr>
            <b/>
            <sz val="9"/>
            <color indexed="81"/>
            <rFont val="Tahoma"/>
            <family val="2"/>
          </rPr>
          <t>&lt;[[TCDeals] - [TC Property Current Stage (Seq: 1)] - [Buildings (Seq: 78)] Constr Applicable Percentage - Both]&gt;</t>
        </r>
      </text>
    </comment>
    <comment ref="M1281" authorId="0" shapeId="0" xr:uid="{7FE78B84-519F-4A85-93B4-AEBF4601DB6F}">
      <text>
        <r>
          <rPr>
            <b/>
            <sz val="9"/>
            <color indexed="81"/>
            <rFont val="Tahoma"/>
            <family val="2"/>
          </rPr>
          <t>&lt;[[TCDeals] - [TC Property Current Stage (Seq: 1)] - [Buildings (Seq: 78)] Constr Est Qual Basis - Both]&gt;</t>
        </r>
      </text>
    </comment>
    <comment ref="N1281" authorId="0" shapeId="0" xr:uid="{DE004345-6BE7-4975-9BC8-690481B832AE}">
      <text>
        <r>
          <rPr>
            <b/>
            <sz val="9"/>
            <color indexed="81"/>
            <rFont val="Tahoma"/>
            <family val="2"/>
          </rPr>
          <t>&lt;[[TCDeals] - [TC Property Current Stage (Seq: 1)] - [Buildings (Seq: 78)] Constr 8609 Basis - Both]&gt;</t>
        </r>
      </text>
    </comment>
    <comment ref="O1281" authorId="0" shapeId="0" xr:uid="{534B05A7-80FF-4849-B18C-8D71247F5D55}">
      <text>
        <r>
          <rPr>
            <b/>
            <sz val="9"/>
            <color indexed="81"/>
            <rFont val="Tahoma"/>
            <family val="2"/>
          </rPr>
          <t>&lt;[[TCDeals] - [TC Property Current Stage (Seq: 1)] - [Buildings (Seq: 78)] Constr 8609 Credit - Both]&gt;</t>
        </r>
      </text>
    </comment>
    <comment ref="P1281" authorId="0" shapeId="0" xr:uid="{35792CB8-EF27-48D5-92E2-8D13257E3C0B}">
      <text>
        <r>
          <rPr>
            <b/>
            <sz val="9"/>
            <color indexed="81"/>
            <rFont val="Tahoma"/>
            <family val="2"/>
          </rPr>
          <t>&lt;[[TCDeals] - [TC Property Current Stage (Seq: 1)] - [Buildings (Seq: 78)] Acq PIS Date - Both]&gt;</t>
        </r>
      </text>
    </comment>
    <comment ref="Q1281" authorId="0" shapeId="0" xr:uid="{20BBB67A-9FAE-42E1-A45A-F03DDAC59BC4}">
      <text>
        <r>
          <rPr>
            <b/>
            <sz val="9"/>
            <color indexed="81"/>
            <rFont val="Tahoma"/>
            <family val="2"/>
          </rPr>
          <t>&lt;[[TCDeals] - [TC Property Current Stage (Seq: 1)] - [Buildings (Seq: 78)] Acq Applicable Percentage - Both]&gt;</t>
        </r>
      </text>
    </comment>
    <comment ref="R1281" authorId="0" shapeId="0" xr:uid="{B08125B6-E791-4391-B8DA-2C5BAF88C668}">
      <text>
        <r>
          <rPr>
            <b/>
            <sz val="9"/>
            <color indexed="81"/>
            <rFont val="Tahoma"/>
            <family val="2"/>
          </rPr>
          <t>&lt;[[TCDeals] - [TC Property Current Stage (Seq: 1)] - [Buildings (Seq: 78)] Acq Est Qual Basis - Both]&gt;</t>
        </r>
      </text>
    </comment>
    <comment ref="S1281" authorId="0" shapeId="0" xr:uid="{6D8D2251-255C-418F-9DF7-E4AA14BBD9B9}">
      <text>
        <r>
          <rPr>
            <b/>
            <sz val="9"/>
            <color indexed="81"/>
            <rFont val="Tahoma"/>
            <family val="2"/>
          </rPr>
          <t>&lt;[[TCDeals] - [TC Property Current Stage (Seq: 1)] - [Buildings (Seq: 78)] Acq 8609 Basis - Both]&gt;</t>
        </r>
      </text>
    </comment>
    <comment ref="T1281" authorId="0" shapeId="0" xr:uid="{FA148F26-B961-4A75-A5F7-DE398CEC9317}">
      <text>
        <r>
          <rPr>
            <b/>
            <sz val="9"/>
            <color indexed="81"/>
            <rFont val="Tahoma"/>
            <family val="2"/>
          </rPr>
          <t>&lt;[[TCDeals] - [TC Property Current Stage (Seq: 1)] - [Buildings (Seq: 78)] Acq 8609 Credit - Both]&gt;</t>
        </r>
      </text>
    </comment>
    <comment ref="C1282" authorId="0" shapeId="0" xr:uid="{ECA67149-C651-4AD0-84AE-24C235EDB29C}">
      <text>
        <r>
          <rPr>
            <b/>
            <sz val="9"/>
            <color indexed="81"/>
            <rFont val="Tahoma"/>
            <family val="2"/>
          </rPr>
          <t>&lt;[[TCDeals] - [TC Property Current Stage (Seq: 1)] - [Buildings (Seq: 79)] BIN - Both]&gt;</t>
        </r>
      </text>
    </comment>
    <comment ref="D1282" authorId="0" shapeId="0" xr:uid="{8ECEB10B-871D-49BC-8C3D-23714A86A280}">
      <text>
        <r>
          <rPr>
            <b/>
            <sz val="9"/>
            <color indexed="81"/>
            <rFont val="Tahoma"/>
            <family val="2"/>
          </rPr>
          <t>&lt;[[TCDeals] - [TC Property Current Stage (Seq: 1)] - [Buildings (Seq: 79)] Address 1 - Both]&gt;</t>
        </r>
      </text>
    </comment>
    <comment ref="E1282" authorId="0" shapeId="0" xr:uid="{7BE999BE-C6B2-480C-99A8-8854889EA772}">
      <text>
        <r>
          <rPr>
            <b/>
            <sz val="9"/>
            <color indexed="81"/>
            <rFont val="Tahoma"/>
            <family val="2"/>
          </rPr>
          <t>&lt;[[TCDeals] - [TC Property Current Stage (Seq: 1)] - [Buildings (Seq: 79)] Num TC Units - Both]&gt;</t>
        </r>
      </text>
    </comment>
    <comment ref="F1282" authorId="0" shapeId="0" xr:uid="{726224CD-9048-4659-87CB-C65103C0283E}">
      <text>
        <r>
          <rPr>
            <b/>
            <sz val="9"/>
            <color indexed="81"/>
            <rFont val="Tahoma"/>
            <family val="2"/>
          </rPr>
          <t>&lt;[[TCDeals] - [TC Property Current Stage (Seq: 1)] - [Buildings (Seq: 79)] PVC PIS Date - Both]&gt;</t>
        </r>
      </text>
    </comment>
    <comment ref="G1282" authorId="0" shapeId="0" xr:uid="{B2957FE4-F9F8-4D01-A9BB-94650DE1D906}">
      <text>
        <r>
          <rPr>
            <b/>
            <sz val="9"/>
            <color indexed="81"/>
            <rFont val="Tahoma"/>
            <family val="2"/>
          </rPr>
          <t>&lt;[[TCDeals] - [TC Property Current Stage (Seq: 1)] - [Buildings (Seq: 79)] PVC Applicable Percentage - Both]&gt;</t>
        </r>
      </text>
    </comment>
    <comment ref="H1282" authorId="0" shapeId="0" xr:uid="{21E296E0-4271-4CBA-819F-7FF56AE63C7D}">
      <text>
        <r>
          <rPr>
            <b/>
            <sz val="9"/>
            <color indexed="81"/>
            <rFont val="Tahoma"/>
            <family val="2"/>
          </rPr>
          <t>&lt;[[TCDeals] - [TC Property Current Stage (Seq: 1)] - [Buildings (Seq: 79)] PVC Est Qual Basis - Both]&gt;</t>
        </r>
      </text>
    </comment>
    <comment ref="I1282" authorId="0" shapeId="0" xr:uid="{A24F6612-2213-4BA8-806E-514E01473364}">
      <text>
        <r>
          <rPr>
            <b/>
            <sz val="9"/>
            <color indexed="81"/>
            <rFont val="Tahoma"/>
            <family val="2"/>
          </rPr>
          <t>&lt;[[TCDeals] - [TC Property Current Stage (Seq: 1)] - [Buildings (Seq: 79)] PVC8609 Basis - Both]&gt;</t>
        </r>
      </text>
    </comment>
    <comment ref="J1282" authorId="0" shapeId="0" xr:uid="{9FCE3598-4C36-4872-A131-3B1D96FF94F5}">
      <text>
        <r>
          <rPr>
            <b/>
            <sz val="9"/>
            <color indexed="81"/>
            <rFont val="Tahoma"/>
            <family val="2"/>
          </rPr>
          <t>&lt;[[TCDeals] - [TC Property Current Stage (Seq: 1)] - [Buildings (Seq: 79)] PVC8609 Credit - Both]&gt;</t>
        </r>
      </text>
    </comment>
    <comment ref="K1282" authorId="0" shapeId="0" xr:uid="{9EB47AD1-DF18-4FE5-96F4-1B66E790FFDF}">
      <text>
        <r>
          <rPr>
            <b/>
            <sz val="9"/>
            <color indexed="81"/>
            <rFont val="Tahoma"/>
            <family val="2"/>
          </rPr>
          <t>&lt;[[TCDeals] - [TC Property Current Stage (Seq: 1)] - [Buildings (Seq: 79)] Constr PIS Date - Both]&gt;</t>
        </r>
      </text>
    </comment>
    <comment ref="L1282" authorId="0" shapeId="0" xr:uid="{44832D02-7C08-4B43-819A-8F87C3D61052}">
      <text>
        <r>
          <rPr>
            <b/>
            <sz val="9"/>
            <color indexed="81"/>
            <rFont val="Tahoma"/>
            <family val="2"/>
          </rPr>
          <t>&lt;[[TCDeals] - [TC Property Current Stage (Seq: 1)] - [Buildings (Seq: 79)] Constr Applicable Percentage - Both]&gt;</t>
        </r>
      </text>
    </comment>
    <comment ref="M1282" authorId="0" shapeId="0" xr:uid="{7EAF8130-0A0F-44C4-ADD7-E583416D21DD}">
      <text>
        <r>
          <rPr>
            <b/>
            <sz val="9"/>
            <color indexed="81"/>
            <rFont val="Tahoma"/>
            <family val="2"/>
          </rPr>
          <t>&lt;[[TCDeals] - [TC Property Current Stage (Seq: 1)] - [Buildings (Seq: 79)] Constr Est Qual Basis - Both]&gt;</t>
        </r>
      </text>
    </comment>
    <comment ref="N1282" authorId="0" shapeId="0" xr:uid="{57C730EB-E602-4508-A58C-C6402128F25D}">
      <text>
        <r>
          <rPr>
            <b/>
            <sz val="9"/>
            <color indexed="81"/>
            <rFont val="Tahoma"/>
            <family val="2"/>
          </rPr>
          <t>&lt;[[TCDeals] - [TC Property Current Stage (Seq: 1)] - [Buildings (Seq: 79)] Constr 8609 Basis - Both]&gt;</t>
        </r>
      </text>
    </comment>
    <comment ref="O1282" authorId="0" shapeId="0" xr:uid="{D9189EB2-B88F-4782-8F61-C487D7DEF6E3}">
      <text>
        <r>
          <rPr>
            <b/>
            <sz val="9"/>
            <color indexed="81"/>
            <rFont val="Tahoma"/>
            <family val="2"/>
          </rPr>
          <t>&lt;[[TCDeals] - [TC Property Current Stage (Seq: 1)] - [Buildings (Seq: 79)] Constr 8609 Credit - Both]&gt;</t>
        </r>
      </text>
    </comment>
    <comment ref="P1282" authorId="0" shapeId="0" xr:uid="{C30E78BD-73ED-4CB2-985B-3F67B0E949F6}">
      <text>
        <r>
          <rPr>
            <b/>
            <sz val="9"/>
            <color indexed="81"/>
            <rFont val="Tahoma"/>
            <family val="2"/>
          </rPr>
          <t>&lt;[[TCDeals] - [TC Property Current Stage (Seq: 1)] - [Buildings (Seq: 79)] Acq PIS Date - Both]&gt;</t>
        </r>
      </text>
    </comment>
    <comment ref="Q1282" authorId="0" shapeId="0" xr:uid="{C23D7B84-3DAF-4AC8-BA99-6678FCEFED92}">
      <text>
        <r>
          <rPr>
            <b/>
            <sz val="9"/>
            <color indexed="81"/>
            <rFont val="Tahoma"/>
            <family val="2"/>
          </rPr>
          <t>&lt;[[TCDeals] - [TC Property Current Stage (Seq: 1)] - [Buildings (Seq: 79)] Acq Applicable Percentage - Both]&gt;</t>
        </r>
      </text>
    </comment>
    <comment ref="R1282" authorId="0" shapeId="0" xr:uid="{8F05EDF1-7A12-4720-A5E6-995C1F5F7879}">
      <text>
        <r>
          <rPr>
            <b/>
            <sz val="9"/>
            <color indexed="81"/>
            <rFont val="Tahoma"/>
            <family val="2"/>
          </rPr>
          <t>&lt;[[TCDeals] - [TC Property Current Stage (Seq: 1)] - [Buildings (Seq: 79)] Acq Est Qual Basis - Both]&gt;</t>
        </r>
      </text>
    </comment>
    <comment ref="S1282" authorId="0" shapeId="0" xr:uid="{A7B48835-EE9E-411F-A252-038487EC08B8}">
      <text>
        <r>
          <rPr>
            <b/>
            <sz val="9"/>
            <color indexed="81"/>
            <rFont val="Tahoma"/>
            <family val="2"/>
          </rPr>
          <t>&lt;[[TCDeals] - [TC Property Current Stage (Seq: 1)] - [Buildings (Seq: 79)] Acq 8609 Basis - Both]&gt;</t>
        </r>
      </text>
    </comment>
    <comment ref="T1282" authorId="0" shapeId="0" xr:uid="{3E4036C2-6867-481A-BA8A-12F794A9E86C}">
      <text>
        <r>
          <rPr>
            <b/>
            <sz val="9"/>
            <color indexed="81"/>
            <rFont val="Tahoma"/>
            <family val="2"/>
          </rPr>
          <t>&lt;[[TCDeals] - [TC Property Current Stage (Seq: 1)] - [Buildings (Seq: 79)] Acq 8609 Credit - Both]&gt;</t>
        </r>
      </text>
    </comment>
    <comment ref="C1283" authorId="0" shapeId="0" xr:uid="{DB7306E6-E83D-425B-8ACD-A098D55B0594}">
      <text>
        <r>
          <rPr>
            <b/>
            <sz val="9"/>
            <color indexed="81"/>
            <rFont val="Tahoma"/>
            <family val="2"/>
          </rPr>
          <t>&lt;[[TCDeals] - [TC Property Current Stage (Seq: 1)] - [Buildings (Seq: 80)] BIN - Both]&gt;</t>
        </r>
      </text>
    </comment>
    <comment ref="D1283" authorId="0" shapeId="0" xr:uid="{5F868DE8-9C44-452F-8CF0-FF1BE6922563}">
      <text>
        <r>
          <rPr>
            <b/>
            <sz val="9"/>
            <color indexed="81"/>
            <rFont val="Tahoma"/>
            <family val="2"/>
          </rPr>
          <t>&lt;[[TCDeals] - [TC Property Current Stage (Seq: 1)] - [Buildings (Seq: 80)] Address 1 - Both]&gt;</t>
        </r>
      </text>
    </comment>
    <comment ref="E1283" authorId="0" shapeId="0" xr:uid="{482F1B98-028E-49EF-B7BD-77B8B274FA2A}">
      <text>
        <r>
          <rPr>
            <b/>
            <sz val="9"/>
            <color indexed="81"/>
            <rFont val="Tahoma"/>
            <family val="2"/>
          </rPr>
          <t>&lt;[[TCDeals] - [TC Property Current Stage (Seq: 1)] - [Buildings (Seq: 80)] Num TC Units - Both]&gt;</t>
        </r>
      </text>
    </comment>
    <comment ref="F1283" authorId="0" shapeId="0" xr:uid="{5D3C3F71-D978-452F-B2A9-80B6365764B2}">
      <text>
        <r>
          <rPr>
            <b/>
            <sz val="9"/>
            <color indexed="81"/>
            <rFont val="Tahoma"/>
            <family val="2"/>
          </rPr>
          <t>&lt;[[TCDeals] - [TC Property Current Stage (Seq: 1)] - [Buildings (Seq: 80)] PVC PIS Date - Both]&gt;</t>
        </r>
      </text>
    </comment>
    <comment ref="G1283" authorId="0" shapeId="0" xr:uid="{EA3DEB3B-8647-4334-9045-E3BAD8FF653F}">
      <text>
        <r>
          <rPr>
            <b/>
            <sz val="9"/>
            <color indexed="81"/>
            <rFont val="Tahoma"/>
            <family val="2"/>
          </rPr>
          <t>&lt;[[TCDeals] - [TC Property Current Stage (Seq: 1)] - [Buildings (Seq: 80)] PVC Applicable Percentage - Both]&gt;</t>
        </r>
      </text>
    </comment>
    <comment ref="H1283" authorId="0" shapeId="0" xr:uid="{042A3497-8E92-4E47-9028-F873D3841A03}">
      <text>
        <r>
          <rPr>
            <b/>
            <sz val="9"/>
            <color indexed="81"/>
            <rFont val="Tahoma"/>
            <family val="2"/>
          </rPr>
          <t>&lt;[[TCDeals] - [TC Property Current Stage (Seq: 1)] - [Buildings (Seq: 80)] PVC Est Qual Basis - Both]&gt;</t>
        </r>
      </text>
    </comment>
    <comment ref="I1283" authorId="0" shapeId="0" xr:uid="{C164FAFC-81C4-4BE0-818A-C376F750F551}">
      <text>
        <r>
          <rPr>
            <b/>
            <sz val="9"/>
            <color indexed="81"/>
            <rFont val="Tahoma"/>
            <family val="2"/>
          </rPr>
          <t>&lt;[[TCDeals] - [TC Property Current Stage (Seq: 1)] - [Buildings (Seq: 80)] PVC8609 Basis - Both]&gt;</t>
        </r>
      </text>
    </comment>
    <comment ref="J1283" authorId="0" shapeId="0" xr:uid="{6604724B-C44A-4F9A-8CE6-DCE671B06DF6}">
      <text>
        <r>
          <rPr>
            <b/>
            <sz val="9"/>
            <color indexed="81"/>
            <rFont val="Tahoma"/>
            <family val="2"/>
          </rPr>
          <t>&lt;[[TCDeals] - [TC Property Current Stage (Seq: 1)] - [Buildings (Seq: 80)] PVC8609 Credit - Both]&gt;</t>
        </r>
      </text>
    </comment>
    <comment ref="K1283" authorId="0" shapeId="0" xr:uid="{080B8974-52AE-4AB8-AFF9-5A2E2A6E65A3}">
      <text>
        <r>
          <rPr>
            <b/>
            <sz val="9"/>
            <color indexed="81"/>
            <rFont val="Tahoma"/>
            <family val="2"/>
          </rPr>
          <t>&lt;[[TCDeals] - [TC Property Current Stage (Seq: 1)] - [Buildings (Seq: 80)] Constr PIS Date - Both]&gt;</t>
        </r>
      </text>
    </comment>
    <comment ref="L1283" authorId="0" shapeId="0" xr:uid="{96513334-4E8D-4086-AB30-567341447D26}">
      <text>
        <r>
          <rPr>
            <b/>
            <sz val="9"/>
            <color indexed="81"/>
            <rFont val="Tahoma"/>
            <family val="2"/>
          </rPr>
          <t>&lt;[[TCDeals] - [TC Property Current Stage (Seq: 1)] - [Buildings (Seq: 80)] Constr Applicable Percentage - Both]&gt;</t>
        </r>
      </text>
    </comment>
    <comment ref="M1283" authorId="0" shapeId="0" xr:uid="{00C5072D-5863-4290-B21B-DE064A228FFC}">
      <text>
        <r>
          <rPr>
            <b/>
            <sz val="9"/>
            <color indexed="81"/>
            <rFont val="Tahoma"/>
            <family val="2"/>
          </rPr>
          <t>&lt;[[TCDeals] - [TC Property Current Stage (Seq: 1)] - [Buildings (Seq: 80)] Constr Est Qual Basis - Both]&gt;</t>
        </r>
      </text>
    </comment>
    <comment ref="N1283" authorId="0" shapeId="0" xr:uid="{23780628-7D68-4B41-A363-B38B3ED83067}">
      <text>
        <r>
          <rPr>
            <b/>
            <sz val="9"/>
            <color indexed="81"/>
            <rFont val="Tahoma"/>
            <family val="2"/>
          </rPr>
          <t>&lt;[[TCDeals] - [TC Property Current Stage (Seq: 1)] - [Buildings (Seq: 80)] Constr 8609 Basis - Both]&gt;</t>
        </r>
      </text>
    </comment>
    <comment ref="O1283" authorId="0" shapeId="0" xr:uid="{2A2B96B8-A089-4829-8EAC-DB18894613B5}">
      <text>
        <r>
          <rPr>
            <b/>
            <sz val="9"/>
            <color indexed="81"/>
            <rFont val="Tahoma"/>
            <family val="2"/>
          </rPr>
          <t>&lt;[[TCDeals] - [TC Property Current Stage (Seq: 1)] - [Buildings (Seq: 80)] Constr 8609 Credit - Both]&gt;</t>
        </r>
      </text>
    </comment>
    <comment ref="P1283" authorId="0" shapeId="0" xr:uid="{A243F25D-010B-4F9B-8255-9E4F1EF532EF}">
      <text>
        <r>
          <rPr>
            <b/>
            <sz val="9"/>
            <color indexed="81"/>
            <rFont val="Tahoma"/>
            <family val="2"/>
          </rPr>
          <t>&lt;[[TCDeals] - [TC Property Current Stage (Seq: 1)] - [Buildings (Seq: 80)] Acq PIS Date - Both]&gt;</t>
        </r>
      </text>
    </comment>
    <comment ref="Q1283" authorId="0" shapeId="0" xr:uid="{4F63CD5F-7509-4901-A03A-DDF99410B5EC}">
      <text>
        <r>
          <rPr>
            <b/>
            <sz val="9"/>
            <color indexed="81"/>
            <rFont val="Tahoma"/>
            <family val="2"/>
          </rPr>
          <t>&lt;[[TCDeals] - [TC Property Current Stage (Seq: 1)] - [Buildings (Seq: 80)] Acq Applicable Percentage - Both]&gt;</t>
        </r>
      </text>
    </comment>
    <comment ref="R1283" authorId="0" shapeId="0" xr:uid="{4047029E-4694-412B-870E-02A34752D526}">
      <text>
        <r>
          <rPr>
            <b/>
            <sz val="9"/>
            <color indexed="81"/>
            <rFont val="Tahoma"/>
            <family val="2"/>
          </rPr>
          <t>&lt;[[TCDeals] - [TC Property Current Stage (Seq: 1)] - [Buildings (Seq: 80)] Acq Est Qual Basis - Both]&gt;</t>
        </r>
      </text>
    </comment>
    <comment ref="S1283" authorId="0" shapeId="0" xr:uid="{4F0B7EBF-7549-4400-90F3-D607FA365AE6}">
      <text>
        <r>
          <rPr>
            <b/>
            <sz val="9"/>
            <color indexed="81"/>
            <rFont val="Tahoma"/>
            <family val="2"/>
          </rPr>
          <t>&lt;[[TCDeals] - [TC Property Current Stage (Seq: 1)] - [Buildings (Seq: 80)] Acq 8609 Basis - Both]&gt;</t>
        </r>
      </text>
    </comment>
    <comment ref="T1283" authorId="0" shapeId="0" xr:uid="{1009FED5-793D-4227-9D91-72AFC0F9B8D2}">
      <text>
        <r>
          <rPr>
            <b/>
            <sz val="9"/>
            <color indexed="81"/>
            <rFont val="Tahoma"/>
            <family val="2"/>
          </rPr>
          <t>&lt;[[TCDeals] - [TC Property Current Stage (Seq: 1)] - [Buildings (Seq: 80)] Acq 8609 Credit - Both]&gt;</t>
        </r>
      </text>
    </comment>
    <comment ref="C1284" authorId="0" shapeId="0" xr:uid="{EA2FE7A9-5F04-4900-A3AD-F79FB4D88286}">
      <text>
        <r>
          <rPr>
            <b/>
            <sz val="9"/>
            <color indexed="81"/>
            <rFont val="Tahoma"/>
            <family val="2"/>
          </rPr>
          <t>&lt;[[TCDeals] - [TC Property Current Stage (Seq: 1)] - [Buildings (Seq: 81)] BIN - Both]&gt;</t>
        </r>
      </text>
    </comment>
    <comment ref="D1284" authorId="0" shapeId="0" xr:uid="{AD3AC514-0A01-49A4-9D2B-CDFA21F79D0D}">
      <text>
        <r>
          <rPr>
            <b/>
            <sz val="9"/>
            <color indexed="81"/>
            <rFont val="Tahoma"/>
            <family val="2"/>
          </rPr>
          <t>&lt;[[TCDeals] - [TC Property Current Stage (Seq: 1)] - [Buildings (Seq: 81)] Address 1 - Both]&gt;</t>
        </r>
      </text>
    </comment>
    <comment ref="E1284" authorId="0" shapeId="0" xr:uid="{8079DB4C-529A-401C-A42F-EAC6C0119601}">
      <text>
        <r>
          <rPr>
            <b/>
            <sz val="9"/>
            <color indexed="81"/>
            <rFont val="Tahoma"/>
            <family val="2"/>
          </rPr>
          <t>&lt;[[TCDeals] - [TC Property Current Stage (Seq: 1)] - [Buildings (Seq: 81)] Num TC Units - Both]&gt;</t>
        </r>
      </text>
    </comment>
    <comment ref="F1284" authorId="0" shapeId="0" xr:uid="{A93DEE1B-2C9F-4FE8-A8E7-C6307A03AE24}">
      <text>
        <r>
          <rPr>
            <b/>
            <sz val="9"/>
            <color indexed="81"/>
            <rFont val="Tahoma"/>
            <family val="2"/>
          </rPr>
          <t>&lt;[[TCDeals] - [TC Property Current Stage (Seq: 1)] - [Buildings (Seq: 81)] PVC PIS Date - Both]&gt;</t>
        </r>
      </text>
    </comment>
    <comment ref="G1284" authorId="0" shapeId="0" xr:uid="{763AF112-5B70-4379-9889-85479B31C4EF}">
      <text>
        <r>
          <rPr>
            <b/>
            <sz val="9"/>
            <color indexed="81"/>
            <rFont val="Tahoma"/>
            <family val="2"/>
          </rPr>
          <t>&lt;[[TCDeals] - [TC Property Current Stage (Seq: 1)] - [Buildings (Seq: 81)] PVC Applicable Percentage - Both]&gt;</t>
        </r>
      </text>
    </comment>
    <comment ref="H1284" authorId="0" shapeId="0" xr:uid="{0561BB52-031B-4661-B3F7-6F8CD0602CC0}">
      <text>
        <r>
          <rPr>
            <b/>
            <sz val="9"/>
            <color indexed="81"/>
            <rFont val="Tahoma"/>
            <family val="2"/>
          </rPr>
          <t>&lt;[[TCDeals] - [TC Property Current Stage (Seq: 1)] - [Buildings (Seq: 81)] PVC Est Qual Basis - Both]&gt;</t>
        </r>
      </text>
    </comment>
    <comment ref="I1284" authorId="0" shapeId="0" xr:uid="{31FFB210-F43C-4C16-A079-4C46BFF8F662}">
      <text>
        <r>
          <rPr>
            <b/>
            <sz val="9"/>
            <color indexed="81"/>
            <rFont val="Tahoma"/>
            <family val="2"/>
          </rPr>
          <t>&lt;[[TCDeals] - [TC Property Current Stage (Seq: 1)] - [Buildings (Seq: 81)] PVC8609 Basis - Both]&gt;</t>
        </r>
      </text>
    </comment>
    <comment ref="J1284" authorId="0" shapeId="0" xr:uid="{205EF2BE-4CB0-4EC6-934D-EBB6BEDCA08F}">
      <text>
        <r>
          <rPr>
            <b/>
            <sz val="9"/>
            <color indexed="81"/>
            <rFont val="Tahoma"/>
            <family val="2"/>
          </rPr>
          <t>&lt;[[TCDeals] - [TC Property Current Stage (Seq: 1)] - [Buildings (Seq: 81)] PVC8609 Credit - Both]&gt;</t>
        </r>
      </text>
    </comment>
    <comment ref="K1284" authorId="0" shapeId="0" xr:uid="{56BF929B-EA49-4F1F-83C8-1B32ADEB60D0}">
      <text>
        <r>
          <rPr>
            <b/>
            <sz val="9"/>
            <color indexed="81"/>
            <rFont val="Tahoma"/>
            <family val="2"/>
          </rPr>
          <t>&lt;[[TCDeals] - [TC Property Current Stage (Seq: 1)] - [Buildings (Seq: 81)] Constr PIS Date - Both]&gt;</t>
        </r>
      </text>
    </comment>
    <comment ref="L1284" authorId="0" shapeId="0" xr:uid="{8ABED022-6F35-4089-8C48-BB11B6841570}">
      <text>
        <r>
          <rPr>
            <b/>
            <sz val="9"/>
            <color indexed="81"/>
            <rFont val="Tahoma"/>
            <family val="2"/>
          </rPr>
          <t>&lt;[[TCDeals] - [TC Property Current Stage (Seq: 1)] - [Buildings (Seq: 81)] Constr Applicable Percentage - Both]&gt;</t>
        </r>
      </text>
    </comment>
    <comment ref="M1284" authorId="0" shapeId="0" xr:uid="{57987F20-B0DF-456A-8825-358A8034C62F}">
      <text>
        <r>
          <rPr>
            <b/>
            <sz val="9"/>
            <color indexed="81"/>
            <rFont val="Tahoma"/>
            <family val="2"/>
          </rPr>
          <t>&lt;[[TCDeals] - [TC Property Current Stage (Seq: 1)] - [Buildings (Seq: 81)] Constr Est Qual Basis - Both]&gt;</t>
        </r>
      </text>
    </comment>
    <comment ref="N1284" authorId="0" shapeId="0" xr:uid="{A8D51E64-A91C-4609-87B8-46EE9186A0F3}">
      <text>
        <r>
          <rPr>
            <b/>
            <sz val="9"/>
            <color indexed="81"/>
            <rFont val="Tahoma"/>
            <family val="2"/>
          </rPr>
          <t>&lt;[[TCDeals] - [TC Property Current Stage (Seq: 1)] - [Buildings (Seq: 81)] Constr 8609 Basis - Both]&gt;</t>
        </r>
      </text>
    </comment>
    <comment ref="O1284" authorId="0" shapeId="0" xr:uid="{943E1973-2382-4334-9754-D695521678B3}">
      <text>
        <r>
          <rPr>
            <b/>
            <sz val="9"/>
            <color indexed="81"/>
            <rFont val="Tahoma"/>
            <family val="2"/>
          </rPr>
          <t>&lt;[[TCDeals] - [TC Property Current Stage (Seq: 1)] - [Buildings (Seq: 81)] Constr 8609 Credit - Both]&gt;</t>
        </r>
      </text>
    </comment>
    <comment ref="P1284" authorId="0" shapeId="0" xr:uid="{EBE3B441-8A11-4643-A4A3-8DE546C60ED4}">
      <text>
        <r>
          <rPr>
            <b/>
            <sz val="9"/>
            <color indexed="81"/>
            <rFont val="Tahoma"/>
            <family val="2"/>
          </rPr>
          <t>&lt;[[TCDeals] - [TC Property Current Stage (Seq: 1)] - [Buildings (Seq: 81)] Acq PIS Date - Both]&gt;</t>
        </r>
      </text>
    </comment>
    <comment ref="Q1284" authorId="0" shapeId="0" xr:uid="{5301802A-3649-4A20-8911-D5450D7FBEAA}">
      <text>
        <r>
          <rPr>
            <b/>
            <sz val="9"/>
            <color indexed="81"/>
            <rFont val="Tahoma"/>
            <family val="2"/>
          </rPr>
          <t>&lt;[[TCDeals] - [TC Property Current Stage (Seq: 1)] - [Buildings (Seq: 81)] Acq Applicable Percentage - Both]&gt;</t>
        </r>
      </text>
    </comment>
    <comment ref="R1284" authorId="0" shapeId="0" xr:uid="{0BDB1DA3-7D39-4579-997B-64774699CA09}">
      <text>
        <r>
          <rPr>
            <b/>
            <sz val="9"/>
            <color indexed="81"/>
            <rFont val="Tahoma"/>
            <family val="2"/>
          </rPr>
          <t>&lt;[[TCDeals] - [TC Property Current Stage (Seq: 1)] - [Buildings (Seq: 81)] Acq Est Qual Basis - Both]&gt;</t>
        </r>
      </text>
    </comment>
    <comment ref="S1284" authorId="0" shapeId="0" xr:uid="{6FF843BB-DB93-413C-AAC0-F876B9600736}">
      <text>
        <r>
          <rPr>
            <b/>
            <sz val="9"/>
            <color indexed="81"/>
            <rFont val="Tahoma"/>
            <family val="2"/>
          </rPr>
          <t>&lt;[[TCDeals] - [TC Property Current Stage (Seq: 1)] - [Buildings (Seq: 81)] Acq 8609 Basis - Both]&gt;</t>
        </r>
      </text>
    </comment>
    <comment ref="T1284" authorId="0" shapeId="0" xr:uid="{7757F212-02A7-4842-A485-725E6998C764}">
      <text>
        <r>
          <rPr>
            <b/>
            <sz val="9"/>
            <color indexed="81"/>
            <rFont val="Tahoma"/>
            <family val="2"/>
          </rPr>
          <t>&lt;[[TCDeals] - [TC Property Current Stage (Seq: 1)] - [Buildings (Seq: 81)] Acq 8609 Credit - Both]&gt;</t>
        </r>
      </text>
    </comment>
    <comment ref="C1285" authorId="0" shapeId="0" xr:uid="{E2A9EA74-580D-4659-A570-CC76F72F59E3}">
      <text>
        <r>
          <rPr>
            <b/>
            <sz val="9"/>
            <color indexed="81"/>
            <rFont val="Tahoma"/>
            <family val="2"/>
          </rPr>
          <t>&lt;[[TCDeals] - [TC Property Current Stage (Seq: 1)] - [Buildings (Seq: 82)] BIN - Both]&gt;</t>
        </r>
      </text>
    </comment>
    <comment ref="D1285" authorId="0" shapeId="0" xr:uid="{8968F1FC-224A-4618-A36F-09730E772E37}">
      <text>
        <r>
          <rPr>
            <b/>
            <sz val="9"/>
            <color indexed="81"/>
            <rFont val="Tahoma"/>
            <family val="2"/>
          </rPr>
          <t>&lt;[[TCDeals] - [TC Property Current Stage (Seq: 1)] - [Buildings (Seq: 82)] Address 1 - Both]&gt;</t>
        </r>
      </text>
    </comment>
    <comment ref="E1285" authorId="0" shapeId="0" xr:uid="{E9EBC9C6-76E9-4A9C-95CD-5FBCA934F83B}">
      <text>
        <r>
          <rPr>
            <b/>
            <sz val="9"/>
            <color indexed="81"/>
            <rFont val="Tahoma"/>
            <family val="2"/>
          </rPr>
          <t>&lt;[[TCDeals] - [TC Property Current Stage (Seq: 1)] - [Buildings (Seq: 82)] Num TC Units - Both]&gt;</t>
        </r>
      </text>
    </comment>
    <comment ref="F1285" authorId="0" shapeId="0" xr:uid="{B13434F1-163E-43B5-A6AA-D987BE9C24A1}">
      <text>
        <r>
          <rPr>
            <b/>
            <sz val="9"/>
            <color indexed="81"/>
            <rFont val="Tahoma"/>
            <family val="2"/>
          </rPr>
          <t>&lt;[[TCDeals] - [TC Property Current Stage (Seq: 1)] - [Buildings (Seq: 82)] PVC PIS Date - Both]&gt;</t>
        </r>
      </text>
    </comment>
    <comment ref="G1285" authorId="0" shapeId="0" xr:uid="{C42BC24B-1049-4B6B-95AB-7961F8D69150}">
      <text>
        <r>
          <rPr>
            <b/>
            <sz val="9"/>
            <color indexed="81"/>
            <rFont val="Tahoma"/>
            <family val="2"/>
          </rPr>
          <t>&lt;[[TCDeals] - [TC Property Current Stage (Seq: 1)] - [Buildings (Seq: 82)] PVC Applicable Percentage - Both]&gt;</t>
        </r>
      </text>
    </comment>
    <comment ref="H1285" authorId="0" shapeId="0" xr:uid="{3335BF24-5C9B-4909-8CBA-C2B09D430F88}">
      <text>
        <r>
          <rPr>
            <b/>
            <sz val="9"/>
            <color indexed="81"/>
            <rFont val="Tahoma"/>
            <family val="2"/>
          </rPr>
          <t>&lt;[[TCDeals] - [TC Property Current Stage (Seq: 1)] - [Buildings (Seq: 82)] PVC Est Qual Basis - Both]&gt;</t>
        </r>
      </text>
    </comment>
    <comment ref="I1285" authorId="0" shapeId="0" xr:uid="{5FBCB315-42F1-4BD1-82CA-DB4E8B368767}">
      <text>
        <r>
          <rPr>
            <b/>
            <sz val="9"/>
            <color indexed="81"/>
            <rFont val="Tahoma"/>
            <family val="2"/>
          </rPr>
          <t>&lt;[[TCDeals] - [TC Property Current Stage (Seq: 1)] - [Buildings (Seq: 82)] PVC8609 Basis - Both]&gt;</t>
        </r>
      </text>
    </comment>
    <comment ref="J1285" authorId="0" shapeId="0" xr:uid="{BD723E50-3087-40BD-A7E2-BC8EB26D5C68}">
      <text>
        <r>
          <rPr>
            <b/>
            <sz val="9"/>
            <color indexed="81"/>
            <rFont val="Tahoma"/>
            <family val="2"/>
          </rPr>
          <t>&lt;[[TCDeals] - [TC Property Current Stage (Seq: 1)] - [Buildings (Seq: 82)] PVC8609 Credit - Both]&gt;</t>
        </r>
      </text>
    </comment>
    <comment ref="K1285" authorId="0" shapeId="0" xr:uid="{3D8D6BBB-389D-4DE7-B66B-89DE9FB6DF64}">
      <text>
        <r>
          <rPr>
            <b/>
            <sz val="9"/>
            <color indexed="81"/>
            <rFont val="Tahoma"/>
            <family val="2"/>
          </rPr>
          <t>&lt;[[TCDeals] - [TC Property Current Stage (Seq: 1)] - [Buildings (Seq: 82)] Constr PIS Date - Both]&gt;</t>
        </r>
      </text>
    </comment>
    <comment ref="L1285" authorId="0" shapeId="0" xr:uid="{01751385-4A02-48EB-A89D-F105D728CD7D}">
      <text>
        <r>
          <rPr>
            <b/>
            <sz val="9"/>
            <color indexed="81"/>
            <rFont val="Tahoma"/>
            <family val="2"/>
          </rPr>
          <t>&lt;[[TCDeals] - [TC Property Current Stage (Seq: 1)] - [Buildings (Seq: 82)] Constr Applicable Percentage - Both]&gt;</t>
        </r>
      </text>
    </comment>
    <comment ref="M1285" authorId="0" shapeId="0" xr:uid="{178A27D7-B481-4A19-8EF5-B98664DF7D0D}">
      <text>
        <r>
          <rPr>
            <b/>
            <sz val="9"/>
            <color indexed="81"/>
            <rFont val="Tahoma"/>
            <family val="2"/>
          </rPr>
          <t>&lt;[[TCDeals] - [TC Property Current Stage (Seq: 1)] - [Buildings (Seq: 82)] Constr Est Qual Basis - Both]&gt;</t>
        </r>
      </text>
    </comment>
    <comment ref="N1285" authorId="0" shapeId="0" xr:uid="{B2B22E1D-9D38-48DF-9D6D-D43825F776FD}">
      <text>
        <r>
          <rPr>
            <b/>
            <sz val="9"/>
            <color indexed="81"/>
            <rFont val="Tahoma"/>
            <family val="2"/>
          </rPr>
          <t>&lt;[[TCDeals] - [TC Property Current Stage (Seq: 1)] - [Buildings (Seq: 82)] Constr 8609 Basis - Both]&gt;</t>
        </r>
      </text>
    </comment>
    <comment ref="O1285" authorId="0" shapeId="0" xr:uid="{6CBF81DA-D51C-4250-A108-994A6BA80C2D}">
      <text>
        <r>
          <rPr>
            <b/>
            <sz val="9"/>
            <color indexed="81"/>
            <rFont val="Tahoma"/>
            <family val="2"/>
          </rPr>
          <t>&lt;[[TCDeals] - [TC Property Current Stage (Seq: 1)] - [Buildings (Seq: 82)] Constr 8609 Credit - Both]&gt;</t>
        </r>
      </text>
    </comment>
    <comment ref="P1285" authorId="0" shapeId="0" xr:uid="{A3D2DCD5-8259-46F4-817F-AD558CB6FDC0}">
      <text>
        <r>
          <rPr>
            <b/>
            <sz val="9"/>
            <color indexed="81"/>
            <rFont val="Tahoma"/>
            <family val="2"/>
          </rPr>
          <t>&lt;[[TCDeals] - [TC Property Current Stage (Seq: 1)] - [Buildings (Seq: 82)] Acq PIS Date - Both]&gt;</t>
        </r>
      </text>
    </comment>
    <comment ref="Q1285" authorId="0" shapeId="0" xr:uid="{66244D1A-8B90-43CB-8AD3-5EDD81746236}">
      <text>
        <r>
          <rPr>
            <b/>
            <sz val="9"/>
            <color indexed="81"/>
            <rFont val="Tahoma"/>
            <family val="2"/>
          </rPr>
          <t>&lt;[[TCDeals] - [TC Property Current Stage (Seq: 1)] - [Buildings (Seq: 82)] Acq Applicable Percentage - Both]&gt;</t>
        </r>
      </text>
    </comment>
    <comment ref="R1285" authorId="0" shapeId="0" xr:uid="{1F409D56-DE02-4E8D-B5B7-963D3656F3F7}">
      <text>
        <r>
          <rPr>
            <b/>
            <sz val="9"/>
            <color indexed="81"/>
            <rFont val="Tahoma"/>
            <family val="2"/>
          </rPr>
          <t>&lt;[[TCDeals] - [TC Property Current Stage (Seq: 1)] - [Buildings (Seq: 82)] Acq Est Qual Basis - Both]&gt;</t>
        </r>
      </text>
    </comment>
    <comment ref="S1285" authorId="0" shapeId="0" xr:uid="{4EF29E36-B53F-4D58-BC6E-B30662C7BB6E}">
      <text>
        <r>
          <rPr>
            <b/>
            <sz val="9"/>
            <color indexed="81"/>
            <rFont val="Tahoma"/>
            <family val="2"/>
          </rPr>
          <t>&lt;[[TCDeals] - [TC Property Current Stage (Seq: 1)] - [Buildings (Seq: 82)] Acq 8609 Basis - Both]&gt;</t>
        </r>
      </text>
    </comment>
    <comment ref="T1285" authorId="0" shapeId="0" xr:uid="{1634227D-9686-4F1B-842C-C30F3DE4A632}">
      <text>
        <r>
          <rPr>
            <b/>
            <sz val="9"/>
            <color indexed="81"/>
            <rFont val="Tahoma"/>
            <family val="2"/>
          </rPr>
          <t>&lt;[[TCDeals] - [TC Property Current Stage (Seq: 1)] - [Buildings (Seq: 82)] Acq 8609 Credit - Both]&gt;</t>
        </r>
      </text>
    </comment>
    <comment ref="C1286" authorId="0" shapeId="0" xr:uid="{FCAF752B-B9C0-4666-A922-A32927B3577B}">
      <text>
        <r>
          <rPr>
            <b/>
            <sz val="9"/>
            <color indexed="81"/>
            <rFont val="Tahoma"/>
            <family val="2"/>
          </rPr>
          <t>&lt;[[TCDeals] - [TC Property Current Stage (Seq: 1)] - [Buildings (Seq: 83)] BIN - Both]&gt;</t>
        </r>
      </text>
    </comment>
    <comment ref="D1286" authorId="0" shapeId="0" xr:uid="{CA36CFEB-4C6F-4198-A707-0F13EFFD3C0A}">
      <text>
        <r>
          <rPr>
            <b/>
            <sz val="9"/>
            <color indexed="81"/>
            <rFont val="Tahoma"/>
            <family val="2"/>
          </rPr>
          <t>&lt;[[TCDeals] - [TC Property Current Stage (Seq: 1)] - [Buildings (Seq: 83)] Address 1 - Both]&gt;</t>
        </r>
      </text>
    </comment>
    <comment ref="E1286" authorId="0" shapeId="0" xr:uid="{498CF05A-E9D9-435C-B703-4E2B5F6CACF5}">
      <text>
        <r>
          <rPr>
            <b/>
            <sz val="9"/>
            <color indexed="81"/>
            <rFont val="Tahoma"/>
            <family val="2"/>
          </rPr>
          <t>&lt;[[TCDeals] - [TC Property Current Stage (Seq: 1)] - [Buildings (Seq: 83)] Num TC Units - Both]&gt;</t>
        </r>
      </text>
    </comment>
    <comment ref="F1286" authorId="0" shapeId="0" xr:uid="{91E72592-5A33-4F8F-BD93-AE5E737A0B8D}">
      <text>
        <r>
          <rPr>
            <b/>
            <sz val="9"/>
            <color indexed="81"/>
            <rFont val="Tahoma"/>
            <family val="2"/>
          </rPr>
          <t>&lt;[[TCDeals] - [TC Property Current Stage (Seq: 1)] - [Buildings (Seq: 83)] PVC PIS Date - Both]&gt;</t>
        </r>
      </text>
    </comment>
    <comment ref="G1286" authorId="0" shapeId="0" xr:uid="{2F643ACD-829F-486D-A763-2B2837BE68DC}">
      <text>
        <r>
          <rPr>
            <b/>
            <sz val="9"/>
            <color indexed="81"/>
            <rFont val="Tahoma"/>
            <family val="2"/>
          </rPr>
          <t>&lt;[[TCDeals] - [TC Property Current Stage (Seq: 1)] - [Buildings (Seq: 83)] PVC Applicable Percentage - Both]&gt;</t>
        </r>
      </text>
    </comment>
    <comment ref="H1286" authorId="0" shapeId="0" xr:uid="{1624A2C9-8B24-44AD-9F66-9DE489AA8ADF}">
      <text>
        <r>
          <rPr>
            <b/>
            <sz val="9"/>
            <color indexed="81"/>
            <rFont val="Tahoma"/>
            <family val="2"/>
          </rPr>
          <t>&lt;[[TCDeals] - [TC Property Current Stage (Seq: 1)] - [Buildings (Seq: 83)] PVC Est Qual Basis - Both]&gt;</t>
        </r>
      </text>
    </comment>
    <comment ref="I1286" authorId="0" shapeId="0" xr:uid="{766F7D42-1D24-4C78-B34D-93C7D42C41D4}">
      <text>
        <r>
          <rPr>
            <b/>
            <sz val="9"/>
            <color indexed="81"/>
            <rFont val="Tahoma"/>
            <family val="2"/>
          </rPr>
          <t>&lt;[[TCDeals] - [TC Property Current Stage (Seq: 1)] - [Buildings (Seq: 83)] PVC8609 Basis - Both]&gt;</t>
        </r>
      </text>
    </comment>
    <comment ref="J1286" authorId="0" shapeId="0" xr:uid="{35851522-0BC2-4316-A226-5986BA2A8047}">
      <text>
        <r>
          <rPr>
            <b/>
            <sz val="9"/>
            <color indexed="81"/>
            <rFont val="Tahoma"/>
            <family val="2"/>
          </rPr>
          <t>&lt;[[TCDeals] - [TC Property Current Stage (Seq: 1)] - [Buildings (Seq: 83)] PVC8609 Credit - Both]&gt;</t>
        </r>
      </text>
    </comment>
    <comment ref="K1286" authorId="0" shapeId="0" xr:uid="{45558760-DC18-48D5-9665-0B0A0DEB9E8B}">
      <text>
        <r>
          <rPr>
            <b/>
            <sz val="9"/>
            <color indexed="81"/>
            <rFont val="Tahoma"/>
            <family val="2"/>
          </rPr>
          <t>&lt;[[TCDeals] - [TC Property Current Stage (Seq: 1)] - [Buildings (Seq: 83)] Constr PIS Date - Both]&gt;</t>
        </r>
      </text>
    </comment>
    <comment ref="L1286" authorId="0" shapeId="0" xr:uid="{B81A2115-4A63-4E7C-BCD8-4F23E8F8B43C}">
      <text>
        <r>
          <rPr>
            <b/>
            <sz val="9"/>
            <color indexed="81"/>
            <rFont val="Tahoma"/>
            <family val="2"/>
          </rPr>
          <t>&lt;[[TCDeals] - [TC Property Current Stage (Seq: 1)] - [Buildings (Seq: 83)] Constr Applicable Percentage - Both]&gt;</t>
        </r>
      </text>
    </comment>
    <comment ref="M1286" authorId="0" shapeId="0" xr:uid="{BCD5D965-A0FB-455D-8B7D-C234E825BC12}">
      <text>
        <r>
          <rPr>
            <b/>
            <sz val="9"/>
            <color indexed="81"/>
            <rFont val="Tahoma"/>
            <family val="2"/>
          </rPr>
          <t>&lt;[[TCDeals] - [TC Property Current Stage (Seq: 1)] - [Buildings (Seq: 83)] Constr Est Qual Basis - Both]&gt;</t>
        </r>
      </text>
    </comment>
    <comment ref="N1286" authorId="0" shapeId="0" xr:uid="{C720470D-60C6-46AC-87E3-C778CC9A5632}">
      <text>
        <r>
          <rPr>
            <b/>
            <sz val="9"/>
            <color indexed="81"/>
            <rFont val="Tahoma"/>
            <family val="2"/>
          </rPr>
          <t>&lt;[[TCDeals] - [TC Property Current Stage (Seq: 1)] - [Buildings (Seq: 83)] Constr 8609 Basis - Both]&gt;</t>
        </r>
      </text>
    </comment>
    <comment ref="O1286" authorId="0" shapeId="0" xr:uid="{A26FED62-BB13-45F9-9B86-51DA4C2BAD94}">
      <text>
        <r>
          <rPr>
            <b/>
            <sz val="9"/>
            <color indexed="81"/>
            <rFont val="Tahoma"/>
            <family val="2"/>
          </rPr>
          <t>&lt;[[TCDeals] - [TC Property Current Stage (Seq: 1)] - [Buildings (Seq: 83)] Constr 8609 Credit - Both]&gt;</t>
        </r>
      </text>
    </comment>
    <comment ref="P1286" authorId="0" shapeId="0" xr:uid="{D7070137-7DF1-4CA1-9C80-26EFD2ECF8A2}">
      <text>
        <r>
          <rPr>
            <b/>
            <sz val="9"/>
            <color indexed="81"/>
            <rFont val="Tahoma"/>
            <family val="2"/>
          </rPr>
          <t>&lt;[[TCDeals] - [TC Property Current Stage (Seq: 1)] - [Buildings (Seq: 83)] Acq PIS Date - Both]&gt;</t>
        </r>
      </text>
    </comment>
    <comment ref="Q1286" authorId="0" shapeId="0" xr:uid="{BA70D0C8-6A23-457B-9759-4DC254AC42CE}">
      <text>
        <r>
          <rPr>
            <b/>
            <sz val="9"/>
            <color indexed="81"/>
            <rFont val="Tahoma"/>
            <family val="2"/>
          </rPr>
          <t>&lt;[[TCDeals] - [TC Property Current Stage (Seq: 1)] - [Buildings (Seq: 83)] Acq Applicable Percentage - Both]&gt;</t>
        </r>
      </text>
    </comment>
    <comment ref="R1286" authorId="0" shapeId="0" xr:uid="{EE997EFF-DF30-46AA-A471-3F2B1D4FACE0}">
      <text>
        <r>
          <rPr>
            <b/>
            <sz val="9"/>
            <color indexed="81"/>
            <rFont val="Tahoma"/>
            <family val="2"/>
          </rPr>
          <t>&lt;[[TCDeals] - [TC Property Current Stage (Seq: 1)] - [Buildings (Seq: 83)] Acq Est Qual Basis - Both]&gt;</t>
        </r>
      </text>
    </comment>
    <comment ref="S1286" authorId="0" shapeId="0" xr:uid="{B10337F6-7469-467A-924D-3570F694E015}">
      <text>
        <r>
          <rPr>
            <b/>
            <sz val="9"/>
            <color indexed="81"/>
            <rFont val="Tahoma"/>
            <family val="2"/>
          </rPr>
          <t>&lt;[[TCDeals] - [TC Property Current Stage (Seq: 1)] - [Buildings (Seq: 83)] Acq 8609 Basis - Both]&gt;</t>
        </r>
      </text>
    </comment>
    <comment ref="T1286" authorId="0" shapeId="0" xr:uid="{DD80C213-D616-4B24-8AF4-9DFD0F861272}">
      <text>
        <r>
          <rPr>
            <b/>
            <sz val="9"/>
            <color indexed="81"/>
            <rFont val="Tahoma"/>
            <family val="2"/>
          </rPr>
          <t>&lt;[[TCDeals] - [TC Property Current Stage (Seq: 1)] - [Buildings (Seq: 83)] Acq 8609 Credit - Both]&gt;</t>
        </r>
      </text>
    </comment>
    <comment ref="C1287" authorId="0" shapeId="0" xr:uid="{4DE7A9AC-A6AC-41FA-A34D-BFD81828EF0C}">
      <text>
        <r>
          <rPr>
            <b/>
            <sz val="9"/>
            <color indexed="81"/>
            <rFont val="Tahoma"/>
            <family val="2"/>
          </rPr>
          <t>&lt;[[TCDeals] - [TC Property Current Stage (Seq: 1)] - [Buildings (Seq: 84)] BIN - Both]&gt;</t>
        </r>
      </text>
    </comment>
    <comment ref="D1287" authorId="0" shapeId="0" xr:uid="{D3790A2A-ACC1-43A3-B825-C03E92D96BF6}">
      <text>
        <r>
          <rPr>
            <b/>
            <sz val="9"/>
            <color indexed="81"/>
            <rFont val="Tahoma"/>
            <family val="2"/>
          </rPr>
          <t>&lt;[[TCDeals] - [TC Property Current Stage (Seq: 1)] - [Buildings (Seq: 84)] Address 1 - Both]&gt;</t>
        </r>
      </text>
    </comment>
    <comment ref="E1287" authorId="0" shapeId="0" xr:uid="{AE2AB957-A64C-443B-80C4-2EBA4C3E9876}">
      <text>
        <r>
          <rPr>
            <b/>
            <sz val="9"/>
            <color indexed="81"/>
            <rFont val="Tahoma"/>
            <family val="2"/>
          </rPr>
          <t>&lt;[[TCDeals] - [TC Property Current Stage (Seq: 1)] - [Buildings (Seq: 84)] Num TC Units - Both]&gt;</t>
        </r>
      </text>
    </comment>
    <comment ref="F1287" authorId="0" shapeId="0" xr:uid="{C67D76B7-621D-4EBD-A341-83868A6C334E}">
      <text>
        <r>
          <rPr>
            <b/>
            <sz val="9"/>
            <color indexed="81"/>
            <rFont val="Tahoma"/>
            <family val="2"/>
          </rPr>
          <t>&lt;[[TCDeals] - [TC Property Current Stage (Seq: 1)] - [Buildings (Seq: 84)] PVC PIS Date - Both]&gt;</t>
        </r>
      </text>
    </comment>
    <comment ref="G1287" authorId="0" shapeId="0" xr:uid="{C199B483-CFD0-43C2-BCF8-9E74AC0A7450}">
      <text>
        <r>
          <rPr>
            <b/>
            <sz val="9"/>
            <color indexed="81"/>
            <rFont val="Tahoma"/>
            <family val="2"/>
          </rPr>
          <t>&lt;[[TCDeals] - [TC Property Current Stage (Seq: 1)] - [Buildings (Seq: 84)] PVC Applicable Percentage - Both]&gt;</t>
        </r>
      </text>
    </comment>
    <comment ref="H1287" authorId="0" shapeId="0" xr:uid="{C398D1E4-DD11-4373-A745-25FDDD7F5C15}">
      <text>
        <r>
          <rPr>
            <b/>
            <sz val="9"/>
            <color indexed="81"/>
            <rFont val="Tahoma"/>
            <family val="2"/>
          </rPr>
          <t>&lt;[[TCDeals] - [TC Property Current Stage (Seq: 1)] - [Buildings (Seq: 84)] PVC Est Qual Basis - Both]&gt;</t>
        </r>
      </text>
    </comment>
    <comment ref="I1287" authorId="0" shapeId="0" xr:uid="{3E6ACE38-A187-4BEC-B481-B3318AD0DB33}">
      <text>
        <r>
          <rPr>
            <b/>
            <sz val="9"/>
            <color indexed="81"/>
            <rFont val="Tahoma"/>
            <family val="2"/>
          </rPr>
          <t>&lt;[[TCDeals] - [TC Property Current Stage (Seq: 1)] - [Buildings (Seq: 84)] PVC8609 Basis - Both]&gt;</t>
        </r>
      </text>
    </comment>
    <comment ref="J1287" authorId="0" shapeId="0" xr:uid="{80A64E25-2B7B-4BA3-9E43-81DFD634959B}">
      <text>
        <r>
          <rPr>
            <b/>
            <sz val="9"/>
            <color indexed="81"/>
            <rFont val="Tahoma"/>
            <family val="2"/>
          </rPr>
          <t>&lt;[[TCDeals] - [TC Property Current Stage (Seq: 1)] - [Buildings (Seq: 84)] PVC8609 Credit - Both]&gt;</t>
        </r>
      </text>
    </comment>
    <comment ref="K1287" authorId="0" shapeId="0" xr:uid="{3254DC25-E2FC-40E3-B19B-FD459DEFB091}">
      <text>
        <r>
          <rPr>
            <b/>
            <sz val="9"/>
            <color indexed="81"/>
            <rFont val="Tahoma"/>
            <family val="2"/>
          </rPr>
          <t>&lt;[[TCDeals] - [TC Property Current Stage (Seq: 1)] - [Buildings (Seq: 84)] Constr PIS Date - Both]&gt;</t>
        </r>
      </text>
    </comment>
    <comment ref="L1287" authorId="0" shapeId="0" xr:uid="{C9A664F6-BF0E-4F3D-B1C8-516877923AE7}">
      <text>
        <r>
          <rPr>
            <b/>
            <sz val="9"/>
            <color indexed="81"/>
            <rFont val="Tahoma"/>
            <family val="2"/>
          </rPr>
          <t>&lt;[[TCDeals] - [TC Property Current Stage (Seq: 1)] - [Buildings (Seq: 84)] Constr Applicable Percentage - Both]&gt;</t>
        </r>
      </text>
    </comment>
    <comment ref="M1287" authorId="0" shapeId="0" xr:uid="{FDE551BE-5C1A-4E92-9852-7C53972B552A}">
      <text>
        <r>
          <rPr>
            <b/>
            <sz val="9"/>
            <color indexed="81"/>
            <rFont val="Tahoma"/>
            <family val="2"/>
          </rPr>
          <t>&lt;[[TCDeals] - [TC Property Current Stage (Seq: 1)] - [Buildings (Seq: 84)] Constr Est Qual Basis - Both]&gt;</t>
        </r>
      </text>
    </comment>
    <comment ref="N1287" authorId="0" shapeId="0" xr:uid="{556CD3CF-7E40-471C-B13F-DD86082BE437}">
      <text>
        <r>
          <rPr>
            <b/>
            <sz val="9"/>
            <color indexed="81"/>
            <rFont val="Tahoma"/>
            <family val="2"/>
          </rPr>
          <t>&lt;[[TCDeals] - [TC Property Current Stage (Seq: 1)] - [Buildings (Seq: 84)] Constr 8609 Basis - Both]&gt;</t>
        </r>
      </text>
    </comment>
    <comment ref="O1287" authorId="0" shapeId="0" xr:uid="{F21B2847-1624-4FD6-A31F-EAEC91C54397}">
      <text>
        <r>
          <rPr>
            <b/>
            <sz val="9"/>
            <color indexed="81"/>
            <rFont val="Tahoma"/>
            <family val="2"/>
          </rPr>
          <t>&lt;[[TCDeals] - [TC Property Current Stage (Seq: 1)] - [Buildings (Seq: 84)] Constr 8609 Credit - Both]&gt;</t>
        </r>
      </text>
    </comment>
    <comment ref="P1287" authorId="0" shapeId="0" xr:uid="{7D5B09E8-21B1-4DA2-9424-17BB8423FB65}">
      <text>
        <r>
          <rPr>
            <b/>
            <sz val="9"/>
            <color indexed="81"/>
            <rFont val="Tahoma"/>
            <family val="2"/>
          </rPr>
          <t>&lt;[[TCDeals] - [TC Property Current Stage (Seq: 1)] - [Buildings (Seq: 84)] Acq PIS Date - Both]&gt;</t>
        </r>
      </text>
    </comment>
    <comment ref="Q1287" authorId="0" shapeId="0" xr:uid="{B79710C1-FCE9-4314-BE96-1751FC9217A9}">
      <text>
        <r>
          <rPr>
            <b/>
            <sz val="9"/>
            <color indexed="81"/>
            <rFont val="Tahoma"/>
            <family val="2"/>
          </rPr>
          <t>&lt;[[TCDeals] - [TC Property Current Stage (Seq: 1)] - [Buildings (Seq: 84)] Acq Applicable Percentage - Both]&gt;</t>
        </r>
      </text>
    </comment>
    <comment ref="R1287" authorId="0" shapeId="0" xr:uid="{2CD9C3A3-9214-44CE-9397-248847C78A1D}">
      <text>
        <r>
          <rPr>
            <b/>
            <sz val="9"/>
            <color indexed="81"/>
            <rFont val="Tahoma"/>
            <family val="2"/>
          </rPr>
          <t>&lt;[[TCDeals] - [TC Property Current Stage (Seq: 1)] - [Buildings (Seq: 84)] Acq Est Qual Basis - Both]&gt;</t>
        </r>
      </text>
    </comment>
    <comment ref="S1287" authorId="0" shapeId="0" xr:uid="{E33AEA79-EB90-4D2E-B1E5-7D270FAC85E3}">
      <text>
        <r>
          <rPr>
            <b/>
            <sz val="9"/>
            <color indexed="81"/>
            <rFont val="Tahoma"/>
            <family val="2"/>
          </rPr>
          <t>&lt;[[TCDeals] - [TC Property Current Stage (Seq: 1)] - [Buildings (Seq: 84)] Acq 8609 Basis - Both]&gt;</t>
        </r>
      </text>
    </comment>
    <comment ref="T1287" authorId="0" shapeId="0" xr:uid="{E6D68CC3-34C2-4983-BF9F-760D16C0B9FD}">
      <text>
        <r>
          <rPr>
            <b/>
            <sz val="9"/>
            <color indexed="81"/>
            <rFont val="Tahoma"/>
            <family val="2"/>
          </rPr>
          <t>&lt;[[TCDeals] - [TC Property Current Stage (Seq: 1)] - [Buildings (Seq: 84)] Acq 8609 Credit - Both]&gt;</t>
        </r>
      </text>
    </comment>
    <comment ref="C1288" authorId="0" shapeId="0" xr:uid="{8DBD2B3C-07B3-401C-91B7-D93A8E11C391}">
      <text>
        <r>
          <rPr>
            <b/>
            <sz val="9"/>
            <color indexed="81"/>
            <rFont val="Tahoma"/>
            <family val="2"/>
          </rPr>
          <t>&lt;[[TCDeals] - [TC Property Current Stage (Seq: 1)] - [Buildings (Seq: 85)] BIN - Both]&gt;</t>
        </r>
      </text>
    </comment>
    <comment ref="D1288" authorId="0" shapeId="0" xr:uid="{81E96449-96AF-408C-934E-71C1AE253E4D}">
      <text>
        <r>
          <rPr>
            <b/>
            <sz val="9"/>
            <color indexed="81"/>
            <rFont val="Tahoma"/>
            <family val="2"/>
          </rPr>
          <t>&lt;[[TCDeals] - [TC Property Current Stage (Seq: 1)] - [Buildings (Seq: 85)] Address 1 - Both]&gt;</t>
        </r>
      </text>
    </comment>
    <comment ref="E1288" authorId="0" shapeId="0" xr:uid="{4CDD945D-3853-467D-913D-75A4F81CC017}">
      <text>
        <r>
          <rPr>
            <b/>
            <sz val="9"/>
            <color indexed="81"/>
            <rFont val="Tahoma"/>
            <family val="2"/>
          </rPr>
          <t>&lt;[[TCDeals] - [TC Property Current Stage (Seq: 1)] - [Buildings (Seq: 85)] Num TC Units - Both]&gt;</t>
        </r>
      </text>
    </comment>
    <comment ref="F1288" authorId="0" shapeId="0" xr:uid="{2869BC8C-1CD1-4EA7-B125-C309D05F8AA7}">
      <text>
        <r>
          <rPr>
            <b/>
            <sz val="9"/>
            <color indexed="81"/>
            <rFont val="Tahoma"/>
            <family val="2"/>
          </rPr>
          <t>&lt;[[TCDeals] - [TC Property Current Stage (Seq: 1)] - [Buildings (Seq: 85)] PVC PIS Date - Both]&gt;</t>
        </r>
      </text>
    </comment>
    <comment ref="G1288" authorId="0" shapeId="0" xr:uid="{C65B3AD5-9BD8-4CC1-A8F3-15DF493F46D7}">
      <text>
        <r>
          <rPr>
            <b/>
            <sz val="9"/>
            <color indexed="81"/>
            <rFont val="Tahoma"/>
            <family val="2"/>
          </rPr>
          <t>&lt;[[TCDeals] - [TC Property Current Stage (Seq: 1)] - [Buildings (Seq: 85)] PVC Applicable Percentage - Both]&gt;</t>
        </r>
      </text>
    </comment>
    <comment ref="H1288" authorId="0" shapeId="0" xr:uid="{7CA41F64-B729-4D55-AD85-DE6120D00DB2}">
      <text>
        <r>
          <rPr>
            <b/>
            <sz val="9"/>
            <color indexed="81"/>
            <rFont val="Tahoma"/>
            <family val="2"/>
          </rPr>
          <t>&lt;[[TCDeals] - [TC Property Current Stage (Seq: 1)] - [Buildings (Seq: 85)] PVC Est Qual Basis - Both]&gt;</t>
        </r>
      </text>
    </comment>
    <comment ref="I1288" authorId="0" shapeId="0" xr:uid="{1BA1944C-CC30-4640-B829-390CA4217553}">
      <text>
        <r>
          <rPr>
            <b/>
            <sz val="9"/>
            <color indexed="81"/>
            <rFont val="Tahoma"/>
            <family val="2"/>
          </rPr>
          <t>&lt;[[TCDeals] - [TC Property Current Stage (Seq: 1)] - [Buildings (Seq: 85)] PVC8609 Basis - Both]&gt;</t>
        </r>
      </text>
    </comment>
    <comment ref="J1288" authorId="0" shapeId="0" xr:uid="{7C14607F-D729-409E-AEDD-A0615934F08F}">
      <text>
        <r>
          <rPr>
            <b/>
            <sz val="9"/>
            <color indexed="81"/>
            <rFont val="Tahoma"/>
            <family val="2"/>
          </rPr>
          <t>&lt;[[TCDeals] - [TC Property Current Stage (Seq: 1)] - [Buildings (Seq: 85)] PVC8609 Credit - Both]&gt;</t>
        </r>
      </text>
    </comment>
    <comment ref="K1288" authorId="0" shapeId="0" xr:uid="{E5CB2873-92FF-431F-ABA1-936714D0E9F0}">
      <text>
        <r>
          <rPr>
            <b/>
            <sz val="9"/>
            <color indexed="81"/>
            <rFont val="Tahoma"/>
            <family val="2"/>
          </rPr>
          <t>&lt;[[TCDeals] - [TC Property Current Stage (Seq: 1)] - [Buildings (Seq: 85)] Constr PIS Date - Both]&gt;</t>
        </r>
      </text>
    </comment>
    <comment ref="L1288" authorId="0" shapeId="0" xr:uid="{01135FF5-D2C4-42C5-B03C-7CC9AE389BB0}">
      <text>
        <r>
          <rPr>
            <b/>
            <sz val="9"/>
            <color indexed="81"/>
            <rFont val="Tahoma"/>
            <family val="2"/>
          </rPr>
          <t>&lt;[[TCDeals] - [TC Property Current Stage (Seq: 1)] - [Buildings (Seq: 85)] Constr Applicable Percentage - Both]&gt;</t>
        </r>
      </text>
    </comment>
    <comment ref="M1288" authorId="0" shapeId="0" xr:uid="{681FD2FF-0164-4B41-8A63-73B126531B66}">
      <text>
        <r>
          <rPr>
            <b/>
            <sz val="9"/>
            <color indexed="81"/>
            <rFont val="Tahoma"/>
            <family val="2"/>
          </rPr>
          <t>&lt;[[TCDeals] - [TC Property Current Stage (Seq: 1)] - [Buildings (Seq: 85)] Constr Est Qual Basis - Both]&gt;</t>
        </r>
      </text>
    </comment>
    <comment ref="N1288" authorId="0" shapeId="0" xr:uid="{D3F88820-BA24-402E-8FE9-0225526352EE}">
      <text>
        <r>
          <rPr>
            <b/>
            <sz val="9"/>
            <color indexed="81"/>
            <rFont val="Tahoma"/>
            <family val="2"/>
          </rPr>
          <t>&lt;[[TCDeals] - [TC Property Current Stage (Seq: 1)] - [Buildings (Seq: 85)] Constr 8609 Basis - Both]&gt;</t>
        </r>
      </text>
    </comment>
    <comment ref="O1288" authorId="0" shapeId="0" xr:uid="{86D090BC-EE95-4EA8-BC2B-B88C6499D9F6}">
      <text>
        <r>
          <rPr>
            <b/>
            <sz val="9"/>
            <color indexed="81"/>
            <rFont val="Tahoma"/>
            <family val="2"/>
          </rPr>
          <t>&lt;[[TCDeals] - [TC Property Current Stage (Seq: 1)] - [Buildings (Seq: 85)] Constr 8609 Credit - Both]&gt;</t>
        </r>
      </text>
    </comment>
    <comment ref="P1288" authorId="0" shapeId="0" xr:uid="{C8D0EE24-417C-40AB-9403-95FF85A99055}">
      <text>
        <r>
          <rPr>
            <b/>
            <sz val="9"/>
            <color indexed="81"/>
            <rFont val="Tahoma"/>
            <family val="2"/>
          </rPr>
          <t>&lt;[[TCDeals] - [TC Property Current Stage (Seq: 1)] - [Buildings (Seq: 85)] Acq PIS Date - Both]&gt;</t>
        </r>
      </text>
    </comment>
    <comment ref="Q1288" authorId="0" shapeId="0" xr:uid="{51F768E7-0DA4-40F1-BBFC-0D239368F3B7}">
      <text>
        <r>
          <rPr>
            <b/>
            <sz val="9"/>
            <color indexed="81"/>
            <rFont val="Tahoma"/>
            <family val="2"/>
          </rPr>
          <t>&lt;[[TCDeals] - [TC Property Current Stage (Seq: 1)] - [Buildings (Seq: 85)] Acq Applicable Percentage - Both]&gt;</t>
        </r>
      </text>
    </comment>
    <comment ref="R1288" authorId="0" shapeId="0" xr:uid="{71DE61F3-101D-4CAC-A4C5-AC79F7A1A72C}">
      <text>
        <r>
          <rPr>
            <b/>
            <sz val="9"/>
            <color indexed="81"/>
            <rFont val="Tahoma"/>
            <family val="2"/>
          </rPr>
          <t>&lt;[[TCDeals] - [TC Property Current Stage (Seq: 1)] - [Buildings (Seq: 85)] Acq Est Qual Basis - Both]&gt;</t>
        </r>
      </text>
    </comment>
    <comment ref="S1288" authorId="0" shapeId="0" xr:uid="{20946C3E-C8FF-42ED-BA89-B4F9DBA94B18}">
      <text>
        <r>
          <rPr>
            <b/>
            <sz val="9"/>
            <color indexed="81"/>
            <rFont val="Tahoma"/>
            <family val="2"/>
          </rPr>
          <t>&lt;[[TCDeals] - [TC Property Current Stage (Seq: 1)] - [Buildings (Seq: 85)] Acq 8609 Basis - Both]&gt;</t>
        </r>
      </text>
    </comment>
    <comment ref="T1288" authorId="0" shapeId="0" xr:uid="{2F8035E9-0ED2-4E6B-8A7D-9B8776F48FCE}">
      <text>
        <r>
          <rPr>
            <b/>
            <sz val="9"/>
            <color indexed="81"/>
            <rFont val="Tahoma"/>
            <family val="2"/>
          </rPr>
          <t>&lt;[[TCDeals] - [TC Property Current Stage (Seq: 1)] - [Buildings (Seq: 85)] Acq 8609 Credit - Both]&gt;</t>
        </r>
      </text>
    </comment>
    <comment ref="C1289" authorId="0" shapeId="0" xr:uid="{F901D05A-F658-4688-84AA-798408F9C3EE}">
      <text>
        <r>
          <rPr>
            <b/>
            <sz val="9"/>
            <color indexed="81"/>
            <rFont val="Tahoma"/>
            <family val="2"/>
          </rPr>
          <t>&lt;[[TCDeals] - [TC Property Current Stage (Seq: 1)] - [Buildings (Seq: 86)] BIN - Both]&gt;</t>
        </r>
      </text>
    </comment>
    <comment ref="D1289" authorId="0" shapeId="0" xr:uid="{E4035017-C428-4A70-AE55-14F93B32B879}">
      <text>
        <r>
          <rPr>
            <b/>
            <sz val="9"/>
            <color indexed="81"/>
            <rFont val="Tahoma"/>
            <family val="2"/>
          </rPr>
          <t>&lt;[[TCDeals] - [TC Property Current Stage (Seq: 1)] - [Buildings (Seq: 86)] Address 1 - Both]&gt;</t>
        </r>
      </text>
    </comment>
    <comment ref="E1289" authorId="0" shapeId="0" xr:uid="{1023C85E-8827-4E8C-9328-B1224491322E}">
      <text>
        <r>
          <rPr>
            <b/>
            <sz val="9"/>
            <color indexed="81"/>
            <rFont val="Tahoma"/>
            <family val="2"/>
          </rPr>
          <t>&lt;[[TCDeals] - [TC Property Current Stage (Seq: 1)] - [Buildings (Seq: 86)] Num TC Units - Both]&gt;</t>
        </r>
      </text>
    </comment>
    <comment ref="F1289" authorId="0" shapeId="0" xr:uid="{7ECA636C-58CF-4A98-8FB9-07264C189154}">
      <text>
        <r>
          <rPr>
            <b/>
            <sz val="9"/>
            <color indexed="81"/>
            <rFont val="Tahoma"/>
            <family val="2"/>
          </rPr>
          <t>&lt;[[TCDeals] - [TC Property Current Stage (Seq: 1)] - [Buildings (Seq: 86)] PVC PIS Date - Both]&gt;</t>
        </r>
      </text>
    </comment>
    <comment ref="G1289" authorId="0" shapeId="0" xr:uid="{38A8F25A-4116-4551-A5BA-150F3538B0E6}">
      <text>
        <r>
          <rPr>
            <b/>
            <sz val="9"/>
            <color indexed="81"/>
            <rFont val="Tahoma"/>
            <family val="2"/>
          </rPr>
          <t>&lt;[[TCDeals] - [TC Property Current Stage (Seq: 1)] - [Buildings (Seq: 86)] PVC Applicable Percentage - Both]&gt;</t>
        </r>
      </text>
    </comment>
    <comment ref="H1289" authorId="0" shapeId="0" xr:uid="{898A3A88-5FD7-429D-A8F7-5C3184FA7206}">
      <text>
        <r>
          <rPr>
            <b/>
            <sz val="9"/>
            <color indexed="81"/>
            <rFont val="Tahoma"/>
            <family val="2"/>
          </rPr>
          <t>&lt;[[TCDeals] - [TC Property Current Stage (Seq: 1)] - [Buildings (Seq: 86)] PVC Est Qual Basis - Both]&gt;</t>
        </r>
      </text>
    </comment>
    <comment ref="I1289" authorId="0" shapeId="0" xr:uid="{7C908E84-E452-4C80-A573-6B41F0C45F83}">
      <text>
        <r>
          <rPr>
            <b/>
            <sz val="9"/>
            <color indexed="81"/>
            <rFont val="Tahoma"/>
            <family val="2"/>
          </rPr>
          <t>&lt;[[TCDeals] - [TC Property Current Stage (Seq: 1)] - [Buildings (Seq: 86)] PVC8609 Basis - Both]&gt;</t>
        </r>
      </text>
    </comment>
    <comment ref="J1289" authorId="0" shapeId="0" xr:uid="{CF6796DF-3784-429E-B21F-19EC3BFD3926}">
      <text>
        <r>
          <rPr>
            <b/>
            <sz val="9"/>
            <color indexed="81"/>
            <rFont val="Tahoma"/>
            <family val="2"/>
          </rPr>
          <t>&lt;[[TCDeals] - [TC Property Current Stage (Seq: 1)] - [Buildings (Seq: 86)] PVC8609 Credit - Both]&gt;</t>
        </r>
      </text>
    </comment>
    <comment ref="K1289" authorId="0" shapeId="0" xr:uid="{3253A68E-CD61-414A-AC24-79B95374F849}">
      <text>
        <r>
          <rPr>
            <b/>
            <sz val="9"/>
            <color indexed="81"/>
            <rFont val="Tahoma"/>
            <family val="2"/>
          </rPr>
          <t>&lt;[[TCDeals] - [TC Property Current Stage (Seq: 1)] - [Buildings (Seq: 86)] Constr PIS Date - Both]&gt;</t>
        </r>
      </text>
    </comment>
    <comment ref="L1289" authorId="0" shapeId="0" xr:uid="{20F3B6A3-F458-4613-BB72-E72958963207}">
      <text>
        <r>
          <rPr>
            <b/>
            <sz val="9"/>
            <color indexed="81"/>
            <rFont val="Tahoma"/>
            <family val="2"/>
          </rPr>
          <t>&lt;[[TCDeals] - [TC Property Current Stage (Seq: 1)] - [Buildings (Seq: 86)] Constr Applicable Percentage - Both]&gt;</t>
        </r>
      </text>
    </comment>
    <comment ref="M1289" authorId="0" shapeId="0" xr:uid="{551EC164-AEDC-4FFB-8BEB-887018A68B29}">
      <text>
        <r>
          <rPr>
            <b/>
            <sz val="9"/>
            <color indexed="81"/>
            <rFont val="Tahoma"/>
            <family val="2"/>
          </rPr>
          <t>&lt;[[TCDeals] - [TC Property Current Stage (Seq: 1)] - [Buildings (Seq: 86)] Constr Est Qual Basis - Both]&gt;</t>
        </r>
      </text>
    </comment>
    <comment ref="N1289" authorId="0" shapeId="0" xr:uid="{C605F82A-8BC3-4B41-BA49-B7E9AA8C0643}">
      <text>
        <r>
          <rPr>
            <b/>
            <sz val="9"/>
            <color indexed="81"/>
            <rFont val="Tahoma"/>
            <family val="2"/>
          </rPr>
          <t>&lt;[[TCDeals] - [TC Property Current Stage (Seq: 1)] - [Buildings (Seq: 86)] Constr 8609 Basis - Both]&gt;</t>
        </r>
      </text>
    </comment>
    <comment ref="O1289" authorId="0" shapeId="0" xr:uid="{6414B88D-3F7E-4FDF-BAF4-894B2D5C7986}">
      <text>
        <r>
          <rPr>
            <b/>
            <sz val="9"/>
            <color indexed="81"/>
            <rFont val="Tahoma"/>
            <family val="2"/>
          </rPr>
          <t>&lt;[[TCDeals] - [TC Property Current Stage (Seq: 1)] - [Buildings (Seq: 86)] Constr 8609 Credit - Both]&gt;</t>
        </r>
      </text>
    </comment>
    <comment ref="P1289" authorId="0" shapeId="0" xr:uid="{64386039-800A-4ECB-A124-0C10AF116839}">
      <text>
        <r>
          <rPr>
            <b/>
            <sz val="9"/>
            <color indexed="81"/>
            <rFont val="Tahoma"/>
            <family val="2"/>
          </rPr>
          <t>&lt;[[TCDeals] - [TC Property Current Stage (Seq: 1)] - [Buildings (Seq: 86)] Acq PIS Date - Both]&gt;</t>
        </r>
      </text>
    </comment>
    <comment ref="Q1289" authorId="0" shapeId="0" xr:uid="{65AC6AAA-3B21-4ED8-A3CB-3172AD6F571D}">
      <text>
        <r>
          <rPr>
            <b/>
            <sz val="9"/>
            <color indexed="81"/>
            <rFont val="Tahoma"/>
            <family val="2"/>
          </rPr>
          <t>&lt;[[TCDeals] - [TC Property Current Stage (Seq: 1)] - [Buildings (Seq: 86)] Acq Applicable Percentage - Both]&gt;</t>
        </r>
      </text>
    </comment>
    <comment ref="R1289" authorId="0" shapeId="0" xr:uid="{4B27F09D-30EF-4369-A9F7-ECA0E1CC5FF0}">
      <text>
        <r>
          <rPr>
            <b/>
            <sz val="9"/>
            <color indexed="81"/>
            <rFont val="Tahoma"/>
            <family val="2"/>
          </rPr>
          <t>&lt;[[TCDeals] - [TC Property Current Stage (Seq: 1)] - [Buildings (Seq: 86)] Acq Est Qual Basis - Both]&gt;</t>
        </r>
      </text>
    </comment>
    <comment ref="S1289" authorId="0" shapeId="0" xr:uid="{9C3537CC-E0A1-4975-98A2-8EA8080623B8}">
      <text>
        <r>
          <rPr>
            <b/>
            <sz val="9"/>
            <color indexed="81"/>
            <rFont val="Tahoma"/>
            <family val="2"/>
          </rPr>
          <t>&lt;[[TCDeals] - [TC Property Current Stage (Seq: 1)] - [Buildings (Seq: 86)] Acq 8609 Basis - Both]&gt;</t>
        </r>
      </text>
    </comment>
    <comment ref="T1289" authorId="0" shapeId="0" xr:uid="{2BF2B91B-727D-4EA5-BF41-BAF4C9E48D54}">
      <text>
        <r>
          <rPr>
            <b/>
            <sz val="9"/>
            <color indexed="81"/>
            <rFont val="Tahoma"/>
            <family val="2"/>
          </rPr>
          <t>&lt;[[TCDeals] - [TC Property Current Stage (Seq: 1)] - [Buildings (Seq: 86)] Acq 8609 Credit - Both]&gt;</t>
        </r>
      </text>
    </comment>
    <comment ref="C1290" authorId="0" shapeId="0" xr:uid="{E127BC37-208E-45DE-99AA-517FD7ADCF6B}">
      <text>
        <r>
          <rPr>
            <b/>
            <sz val="9"/>
            <color indexed="81"/>
            <rFont val="Tahoma"/>
            <family val="2"/>
          </rPr>
          <t>&lt;[[TCDeals] - [TC Property Current Stage (Seq: 1)] - [Buildings (Seq: 87)] BIN - Both]&gt;</t>
        </r>
      </text>
    </comment>
    <comment ref="D1290" authorId="0" shapeId="0" xr:uid="{7D448C59-CAF6-4702-8FB7-34C8A89B211A}">
      <text>
        <r>
          <rPr>
            <b/>
            <sz val="9"/>
            <color indexed="81"/>
            <rFont val="Tahoma"/>
            <family val="2"/>
          </rPr>
          <t>&lt;[[TCDeals] - [TC Property Current Stage (Seq: 1)] - [Buildings (Seq: 87)] Address 1 - Both]&gt;</t>
        </r>
      </text>
    </comment>
    <comment ref="E1290" authorId="0" shapeId="0" xr:uid="{59C351A0-9292-421D-9133-FFCE3B91DE2F}">
      <text>
        <r>
          <rPr>
            <b/>
            <sz val="9"/>
            <color indexed="81"/>
            <rFont val="Tahoma"/>
            <family val="2"/>
          </rPr>
          <t>&lt;[[TCDeals] - [TC Property Current Stage (Seq: 1)] - [Buildings (Seq: 87)] Num TC Units - Both]&gt;</t>
        </r>
      </text>
    </comment>
    <comment ref="F1290" authorId="0" shapeId="0" xr:uid="{B348D5E0-54DC-4025-BF74-B6DC1CFB8DAE}">
      <text>
        <r>
          <rPr>
            <b/>
            <sz val="9"/>
            <color indexed="81"/>
            <rFont val="Tahoma"/>
            <family val="2"/>
          </rPr>
          <t>&lt;[[TCDeals] - [TC Property Current Stage (Seq: 1)] - [Buildings (Seq: 87)] PVC PIS Date - Both]&gt;</t>
        </r>
      </text>
    </comment>
    <comment ref="G1290" authorId="0" shapeId="0" xr:uid="{F0B09347-F5C1-46D6-B7D3-660967736238}">
      <text>
        <r>
          <rPr>
            <b/>
            <sz val="9"/>
            <color indexed="81"/>
            <rFont val="Tahoma"/>
            <family val="2"/>
          </rPr>
          <t>&lt;[[TCDeals] - [TC Property Current Stage (Seq: 1)] - [Buildings (Seq: 87)] PVC Applicable Percentage - Both]&gt;</t>
        </r>
      </text>
    </comment>
    <comment ref="H1290" authorId="0" shapeId="0" xr:uid="{2CF0E5C5-C6F0-46B9-95FA-2D5F116BFF38}">
      <text>
        <r>
          <rPr>
            <b/>
            <sz val="9"/>
            <color indexed="81"/>
            <rFont val="Tahoma"/>
            <family val="2"/>
          </rPr>
          <t>&lt;[[TCDeals] - [TC Property Current Stage (Seq: 1)] - [Buildings (Seq: 87)] PVC Est Qual Basis - Both]&gt;</t>
        </r>
      </text>
    </comment>
    <comment ref="I1290" authorId="0" shapeId="0" xr:uid="{063B800B-89BB-4A96-B67D-5966CD6D6BC2}">
      <text>
        <r>
          <rPr>
            <b/>
            <sz val="9"/>
            <color indexed="81"/>
            <rFont val="Tahoma"/>
            <family val="2"/>
          </rPr>
          <t>&lt;[[TCDeals] - [TC Property Current Stage (Seq: 1)] - [Buildings (Seq: 87)] PVC8609 Basis - Both]&gt;</t>
        </r>
      </text>
    </comment>
    <comment ref="J1290" authorId="0" shapeId="0" xr:uid="{21A93B2B-8717-4BD9-9A04-545A0E895830}">
      <text>
        <r>
          <rPr>
            <b/>
            <sz val="9"/>
            <color indexed="81"/>
            <rFont val="Tahoma"/>
            <family val="2"/>
          </rPr>
          <t>&lt;[[TCDeals] - [TC Property Current Stage (Seq: 1)] - [Buildings (Seq: 87)] PVC8609 Credit - Both]&gt;</t>
        </r>
      </text>
    </comment>
    <comment ref="K1290" authorId="0" shapeId="0" xr:uid="{87068E4D-7D44-4533-B9D3-D59096D80647}">
      <text>
        <r>
          <rPr>
            <b/>
            <sz val="9"/>
            <color indexed="81"/>
            <rFont val="Tahoma"/>
            <family val="2"/>
          </rPr>
          <t>&lt;[[TCDeals] - [TC Property Current Stage (Seq: 1)] - [Buildings (Seq: 87)] Constr PIS Date - Both]&gt;</t>
        </r>
      </text>
    </comment>
    <comment ref="L1290" authorId="0" shapeId="0" xr:uid="{E1940F46-5FEF-4212-AAD0-4193B1CE9255}">
      <text>
        <r>
          <rPr>
            <b/>
            <sz val="9"/>
            <color indexed="81"/>
            <rFont val="Tahoma"/>
            <family val="2"/>
          </rPr>
          <t>&lt;[[TCDeals] - [TC Property Current Stage (Seq: 1)] - [Buildings (Seq: 87)] Constr Applicable Percentage - Both]&gt;</t>
        </r>
      </text>
    </comment>
    <comment ref="M1290" authorId="0" shapeId="0" xr:uid="{A8485A7F-86CB-4E14-89B7-3AEA1F334F41}">
      <text>
        <r>
          <rPr>
            <b/>
            <sz val="9"/>
            <color indexed="81"/>
            <rFont val="Tahoma"/>
            <family val="2"/>
          </rPr>
          <t>&lt;[[TCDeals] - [TC Property Current Stage (Seq: 1)] - [Buildings (Seq: 87)] Constr Est Qual Basis - Both]&gt;</t>
        </r>
      </text>
    </comment>
    <comment ref="N1290" authorId="0" shapeId="0" xr:uid="{7FDA5EDC-3EB3-46D3-885C-1C76A7CA9E07}">
      <text>
        <r>
          <rPr>
            <b/>
            <sz val="9"/>
            <color indexed="81"/>
            <rFont val="Tahoma"/>
            <family val="2"/>
          </rPr>
          <t>&lt;[[TCDeals] - [TC Property Current Stage (Seq: 1)] - [Buildings (Seq: 87)] Constr 8609 Basis - Both]&gt;</t>
        </r>
      </text>
    </comment>
    <comment ref="O1290" authorId="0" shapeId="0" xr:uid="{9C3ABD5C-C428-4012-B718-751B3882E39B}">
      <text>
        <r>
          <rPr>
            <b/>
            <sz val="9"/>
            <color indexed="81"/>
            <rFont val="Tahoma"/>
            <family val="2"/>
          </rPr>
          <t>&lt;[[TCDeals] - [TC Property Current Stage (Seq: 1)] - [Buildings (Seq: 87)] Constr 8609 Credit - Both]&gt;</t>
        </r>
      </text>
    </comment>
    <comment ref="P1290" authorId="0" shapeId="0" xr:uid="{D16E5CD9-411F-4179-B6DC-C9F82344DD47}">
      <text>
        <r>
          <rPr>
            <b/>
            <sz val="9"/>
            <color indexed="81"/>
            <rFont val="Tahoma"/>
            <family val="2"/>
          </rPr>
          <t>&lt;[[TCDeals] - [TC Property Current Stage (Seq: 1)] - [Buildings (Seq: 87)] Acq PIS Date - Both]&gt;</t>
        </r>
      </text>
    </comment>
    <comment ref="Q1290" authorId="0" shapeId="0" xr:uid="{0B5ACEB4-221F-4D74-B9D6-C67CFA96B0BE}">
      <text>
        <r>
          <rPr>
            <b/>
            <sz val="9"/>
            <color indexed="81"/>
            <rFont val="Tahoma"/>
            <family val="2"/>
          </rPr>
          <t>&lt;[[TCDeals] - [TC Property Current Stage (Seq: 1)] - [Buildings (Seq: 87)] Acq Applicable Percentage - Both]&gt;</t>
        </r>
      </text>
    </comment>
    <comment ref="R1290" authorId="0" shapeId="0" xr:uid="{AB0EEBA1-B2CE-4D38-935E-A02A54F00F92}">
      <text>
        <r>
          <rPr>
            <b/>
            <sz val="9"/>
            <color indexed="81"/>
            <rFont val="Tahoma"/>
            <family val="2"/>
          </rPr>
          <t>&lt;[[TCDeals] - [TC Property Current Stage (Seq: 1)] - [Buildings (Seq: 87)] Acq Est Qual Basis - Both]&gt;</t>
        </r>
      </text>
    </comment>
    <comment ref="S1290" authorId="0" shapeId="0" xr:uid="{2ED0F8B9-7D59-4C36-9D84-7B4FDFC443F5}">
      <text>
        <r>
          <rPr>
            <b/>
            <sz val="9"/>
            <color indexed="81"/>
            <rFont val="Tahoma"/>
            <family val="2"/>
          </rPr>
          <t>&lt;[[TCDeals] - [TC Property Current Stage (Seq: 1)] - [Buildings (Seq: 87)] Acq 8609 Basis - Both]&gt;</t>
        </r>
      </text>
    </comment>
    <comment ref="T1290" authorId="0" shapeId="0" xr:uid="{F5597D03-95DC-45D4-9AA6-76BC9F5811E8}">
      <text>
        <r>
          <rPr>
            <b/>
            <sz val="9"/>
            <color indexed="81"/>
            <rFont val="Tahoma"/>
            <family val="2"/>
          </rPr>
          <t>&lt;[[TCDeals] - [TC Property Current Stage (Seq: 1)] - [Buildings (Seq: 87)] Acq 8609 Credit - Both]&gt;</t>
        </r>
      </text>
    </comment>
    <comment ref="C1291" authorId="0" shapeId="0" xr:uid="{EB7A2224-DFDA-415D-80D3-7190DB31C092}">
      <text>
        <r>
          <rPr>
            <b/>
            <sz val="9"/>
            <color indexed="81"/>
            <rFont val="Tahoma"/>
            <family val="2"/>
          </rPr>
          <t>&lt;[[TCDeals] - [TC Property Current Stage (Seq: 1)] - [Buildings (Seq: 88)] BIN - Both]&gt;</t>
        </r>
      </text>
    </comment>
    <comment ref="D1291" authorId="0" shapeId="0" xr:uid="{D97493E4-5488-44A0-ABC7-535FAB1013E6}">
      <text>
        <r>
          <rPr>
            <b/>
            <sz val="9"/>
            <color indexed="81"/>
            <rFont val="Tahoma"/>
            <family val="2"/>
          </rPr>
          <t>&lt;[[TCDeals] - [TC Property Current Stage (Seq: 1)] - [Buildings (Seq: 88)] Address 1 - Both]&gt;</t>
        </r>
      </text>
    </comment>
    <comment ref="E1291" authorId="0" shapeId="0" xr:uid="{C8B172EE-AA87-4886-9886-39EF31DF97CC}">
      <text>
        <r>
          <rPr>
            <b/>
            <sz val="9"/>
            <color indexed="81"/>
            <rFont val="Tahoma"/>
            <family val="2"/>
          </rPr>
          <t>&lt;[[TCDeals] - [TC Property Current Stage (Seq: 1)] - [Buildings (Seq: 88)] Num TC Units - Both]&gt;</t>
        </r>
      </text>
    </comment>
    <comment ref="F1291" authorId="0" shapeId="0" xr:uid="{84C6FAE7-24FD-4395-9F26-0B8BA31D1B4C}">
      <text>
        <r>
          <rPr>
            <b/>
            <sz val="9"/>
            <color indexed="81"/>
            <rFont val="Tahoma"/>
            <family val="2"/>
          </rPr>
          <t>&lt;[[TCDeals] - [TC Property Current Stage (Seq: 1)] - [Buildings (Seq: 88)] PVC PIS Date - Both]&gt;</t>
        </r>
      </text>
    </comment>
    <comment ref="G1291" authorId="0" shapeId="0" xr:uid="{012D48F0-4A4D-4F78-9A76-8748ABC41844}">
      <text>
        <r>
          <rPr>
            <b/>
            <sz val="9"/>
            <color indexed="81"/>
            <rFont val="Tahoma"/>
            <family val="2"/>
          </rPr>
          <t>&lt;[[TCDeals] - [TC Property Current Stage (Seq: 1)] - [Buildings (Seq: 88)] PVC Applicable Percentage - Both]&gt;</t>
        </r>
      </text>
    </comment>
    <comment ref="H1291" authorId="0" shapeId="0" xr:uid="{EAD692E5-BA7F-4347-9697-1F4662F5887D}">
      <text>
        <r>
          <rPr>
            <b/>
            <sz val="9"/>
            <color indexed="81"/>
            <rFont val="Tahoma"/>
            <family val="2"/>
          </rPr>
          <t>&lt;[[TCDeals] - [TC Property Current Stage (Seq: 1)] - [Buildings (Seq: 88)] PVC Est Qual Basis - Both]&gt;</t>
        </r>
      </text>
    </comment>
    <comment ref="I1291" authorId="0" shapeId="0" xr:uid="{17688E08-FBFF-451F-8088-441B191BE62A}">
      <text>
        <r>
          <rPr>
            <b/>
            <sz val="9"/>
            <color indexed="81"/>
            <rFont val="Tahoma"/>
            <family val="2"/>
          </rPr>
          <t>&lt;[[TCDeals] - [TC Property Current Stage (Seq: 1)] - [Buildings (Seq: 88)] PVC8609 Basis - Both]&gt;</t>
        </r>
      </text>
    </comment>
    <comment ref="J1291" authorId="0" shapeId="0" xr:uid="{05F640E1-D0BC-4809-AEFB-E92496590F7D}">
      <text>
        <r>
          <rPr>
            <b/>
            <sz val="9"/>
            <color indexed="81"/>
            <rFont val="Tahoma"/>
            <family val="2"/>
          </rPr>
          <t>&lt;[[TCDeals] - [TC Property Current Stage (Seq: 1)] - [Buildings (Seq: 88)] PVC8609 Credit - Both]&gt;</t>
        </r>
      </text>
    </comment>
    <comment ref="K1291" authorId="0" shapeId="0" xr:uid="{92848728-1B01-46FE-B515-B0E7F319015C}">
      <text>
        <r>
          <rPr>
            <b/>
            <sz val="9"/>
            <color indexed="81"/>
            <rFont val="Tahoma"/>
            <family val="2"/>
          </rPr>
          <t>&lt;[[TCDeals] - [TC Property Current Stage (Seq: 1)] - [Buildings (Seq: 88)] Constr PIS Date - Both]&gt;</t>
        </r>
      </text>
    </comment>
    <comment ref="L1291" authorId="0" shapeId="0" xr:uid="{4FB80CD4-E668-4443-B5BF-D3A8D47924E9}">
      <text>
        <r>
          <rPr>
            <b/>
            <sz val="9"/>
            <color indexed="81"/>
            <rFont val="Tahoma"/>
            <family val="2"/>
          </rPr>
          <t>&lt;[[TCDeals] - [TC Property Current Stage (Seq: 1)] - [Buildings (Seq: 88)] Constr Applicable Percentage - Both]&gt;</t>
        </r>
      </text>
    </comment>
    <comment ref="M1291" authorId="0" shapeId="0" xr:uid="{95CB4D51-8EA6-44DB-879A-0BF7C316F547}">
      <text>
        <r>
          <rPr>
            <b/>
            <sz val="9"/>
            <color indexed="81"/>
            <rFont val="Tahoma"/>
            <family val="2"/>
          </rPr>
          <t>&lt;[[TCDeals] - [TC Property Current Stage (Seq: 1)] - [Buildings (Seq: 88)] Constr Est Qual Basis - Both]&gt;</t>
        </r>
      </text>
    </comment>
    <comment ref="N1291" authorId="0" shapeId="0" xr:uid="{5D3F23CA-9E3B-435F-AAB1-3D18FB899E44}">
      <text>
        <r>
          <rPr>
            <b/>
            <sz val="9"/>
            <color indexed="81"/>
            <rFont val="Tahoma"/>
            <family val="2"/>
          </rPr>
          <t>&lt;[[TCDeals] - [TC Property Current Stage (Seq: 1)] - [Buildings (Seq: 88)] Constr 8609 Basis - Both]&gt;</t>
        </r>
      </text>
    </comment>
    <comment ref="O1291" authorId="0" shapeId="0" xr:uid="{3B92B827-63E2-46AA-B8FE-97125C408FFF}">
      <text>
        <r>
          <rPr>
            <b/>
            <sz val="9"/>
            <color indexed="81"/>
            <rFont val="Tahoma"/>
            <family val="2"/>
          </rPr>
          <t>&lt;[[TCDeals] - [TC Property Current Stage (Seq: 1)] - [Buildings (Seq: 88)] Constr 8609 Credit - Both]&gt;</t>
        </r>
      </text>
    </comment>
    <comment ref="P1291" authorId="0" shapeId="0" xr:uid="{559F05A8-50FB-46B7-8489-ED2F1D13A5FC}">
      <text>
        <r>
          <rPr>
            <b/>
            <sz val="9"/>
            <color indexed="81"/>
            <rFont val="Tahoma"/>
            <family val="2"/>
          </rPr>
          <t>&lt;[[TCDeals] - [TC Property Current Stage (Seq: 1)] - [Buildings (Seq: 88)] Acq PIS Date - Both]&gt;</t>
        </r>
      </text>
    </comment>
    <comment ref="Q1291" authorId="0" shapeId="0" xr:uid="{D478C8AA-B128-4089-9CF6-EAC5A25FE13D}">
      <text>
        <r>
          <rPr>
            <b/>
            <sz val="9"/>
            <color indexed="81"/>
            <rFont val="Tahoma"/>
            <family val="2"/>
          </rPr>
          <t>&lt;[[TCDeals] - [TC Property Current Stage (Seq: 1)] - [Buildings (Seq: 88)] Acq Applicable Percentage - Both]&gt;</t>
        </r>
      </text>
    </comment>
    <comment ref="R1291" authorId="0" shapeId="0" xr:uid="{81713430-8CD4-4368-BA73-EB6EA8AE3CD7}">
      <text>
        <r>
          <rPr>
            <b/>
            <sz val="9"/>
            <color indexed="81"/>
            <rFont val="Tahoma"/>
            <family val="2"/>
          </rPr>
          <t>&lt;[[TCDeals] - [TC Property Current Stage (Seq: 1)] - [Buildings (Seq: 88)] Acq Est Qual Basis - Both]&gt;</t>
        </r>
      </text>
    </comment>
    <comment ref="S1291" authorId="0" shapeId="0" xr:uid="{1B3D4C67-D752-4D98-BA8F-34EC9A188B64}">
      <text>
        <r>
          <rPr>
            <b/>
            <sz val="9"/>
            <color indexed="81"/>
            <rFont val="Tahoma"/>
            <family val="2"/>
          </rPr>
          <t>&lt;[[TCDeals] - [TC Property Current Stage (Seq: 1)] - [Buildings (Seq: 88)] Acq 8609 Basis - Both]&gt;</t>
        </r>
      </text>
    </comment>
    <comment ref="T1291" authorId="0" shapeId="0" xr:uid="{67D73430-E76A-44D9-952F-747237EDD9EF}">
      <text>
        <r>
          <rPr>
            <b/>
            <sz val="9"/>
            <color indexed="81"/>
            <rFont val="Tahoma"/>
            <family val="2"/>
          </rPr>
          <t>&lt;[[TCDeals] - [TC Property Current Stage (Seq: 1)] - [Buildings (Seq: 88)] Acq 8609 Credit - Both]&gt;</t>
        </r>
      </text>
    </comment>
    <comment ref="C1292" authorId="0" shapeId="0" xr:uid="{3EB38E23-7344-4306-ABF0-3580C7B1687B}">
      <text>
        <r>
          <rPr>
            <b/>
            <sz val="9"/>
            <color indexed="81"/>
            <rFont val="Tahoma"/>
            <family val="2"/>
          </rPr>
          <t>&lt;[[TCDeals] - [TC Property Current Stage (Seq: 1)] - [Buildings (Seq: 89)] BIN - Both]&gt;</t>
        </r>
      </text>
    </comment>
    <comment ref="D1292" authorId="0" shapeId="0" xr:uid="{63007EDC-6885-46F0-8613-3CEC375691FA}">
      <text>
        <r>
          <rPr>
            <b/>
            <sz val="9"/>
            <color indexed="81"/>
            <rFont val="Tahoma"/>
            <family val="2"/>
          </rPr>
          <t>&lt;[[TCDeals] - [TC Property Current Stage (Seq: 1)] - [Buildings (Seq: 89)] Address 1 - Both]&gt;</t>
        </r>
      </text>
    </comment>
    <comment ref="E1292" authorId="0" shapeId="0" xr:uid="{B6B8D8AB-E97A-41AC-B64B-235D1A3EAA78}">
      <text>
        <r>
          <rPr>
            <b/>
            <sz val="9"/>
            <color indexed="81"/>
            <rFont val="Tahoma"/>
            <family val="2"/>
          </rPr>
          <t>&lt;[[TCDeals] - [TC Property Current Stage (Seq: 1)] - [Buildings (Seq: 89)] Num TC Units - Both]&gt;</t>
        </r>
      </text>
    </comment>
    <comment ref="F1292" authorId="0" shapeId="0" xr:uid="{C5C7DD28-3E19-4C2D-A36F-B891FC5AFA5D}">
      <text>
        <r>
          <rPr>
            <b/>
            <sz val="9"/>
            <color indexed="81"/>
            <rFont val="Tahoma"/>
            <family val="2"/>
          </rPr>
          <t>&lt;[[TCDeals] - [TC Property Current Stage (Seq: 1)] - [Buildings (Seq: 89)] PVC PIS Date - Both]&gt;</t>
        </r>
      </text>
    </comment>
    <comment ref="G1292" authorId="0" shapeId="0" xr:uid="{5CEDB06E-37D9-41A7-9015-94C7ED003F28}">
      <text>
        <r>
          <rPr>
            <b/>
            <sz val="9"/>
            <color indexed="81"/>
            <rFont val="Tahoma"/>
            <family val="2"/>
          </rPr>
          <t>&lt;[[TCDeals] - [TC Property Current Stage (Seq: 1)] - [Buildings (Seq: 89)] PVC Applicable Percentage - Both]&gt;</t>
        </r>
      </text>
    </comment>
    <comment ref="H1292" authorId="0" shapeId="0" xr:uid="{7F6830FB-73DB-466F-B54F-82040762CCFA}">
      <text>
        <r>
          <rPr>
            <b/>
            <sz val="9"/>
            <color indexed="81"/>
            <rFont val="Tahoma"/>
            <family val="2"/>
          </rPr>
          <t>&lt;[[TCDeals] - [TC Property Current Stage (Seq: 1)] - [Buildings (Seq: 89)] PVC Est Qual Basis - Both]&gt;</t>
        </r>
      </text>
    </comment>
    <comment ref="I1292" authorId="0" shapeId="0" xr:uid="{4E447410-C4CC-4DD9-A833-3C70ADFAA862}">
      <text>
        <r>
          <rPr>
            <b/>
            <sz val="9"/>
            <color indexed="81"/>
            <rFont val="Tahoma"/>
            <family val="2"/>
          </rPr>
          <t>&lt;[[TCDeals] - [TC Property Current Stage (Seq: 1)] - [Buildings (Seq: 89)] PVC8609 Basis - Both]&gt;</t>
        </r>
      </text>
    </comment>
    <comment ref="J1292" authorId="0" shapeId="0" xr:uid="{65157996-B111-4BB7-87A5-D8EFCBB58377}">
      <text>
        <r>
          <rPr>
            <b/>
            <sz val="9"/>
            <color indexed="81"/>
            <rFont val="Tahoma"/>
            <family val="2"/>
          </rPr>
          <t>&lt;[[TCDeals] - [TC Property Current Stage (Seq: 1)] - [Buildings (Seq: 89)] PVC8609 Credit - Both]&gt;</t>
        </r>
      </text>
    </comment>
    <comment ref="K1292" authorId="0" shapeId="0" xr:uid="{20381A84-2BA2-4B4A-A2AC-5845DAB4DE71}">
      <text>
        <r>
          <rPr>
            <b/>
            <sz val="9"/>
            <color indexed="81"/>
            <rFont val="Tahoma"/>
            <family val="2"/>
          </rPr>
          <t>&lt;[[TCDeals] - [TC Property Current Stage (Seq: 1)] - [Buildings (Seq: 89)] Constr PIS Date - Both]&gt;</t>
        </r>
      </text>
    </comment>
    <comment ref="L1292" authorId="0" shapeId="0" xr:uid="{B910CFDB-9F84-4DC1-B0A9-6A8FEF7339E1}">
      <text>
        <r>
          <rPr>
            <b/>
            <sz val="9"/>
            <color indexed="81"/>
            <rFont val="Tahoma"/>
            <family val="2"/>
          </rPr>
          <t>&lt;[[TCDeals] - [TC Property Current Stage (Seq: 1)] - [Buildings (Seq: 89)] Constr Applicable Percentage - Both]&gt;</t>
        </r>
      </text>
    </comment>
    <comment ref="M1292" authorId="0" shapeId="0" xr:uid="{59628DBB-5630-4B44-8D0E-5C5AD11ED750}">
      <text>
        <r>
          <rPr>
            <b/>
            <sz val="9"/>
            <color indexed="81"/>
            <rFont val="Tahoma"/>
            <family val="2"/>
          </rPr>
          <t>&lt;[[TCDeals] - [TC Property Current Stage (Seq: 1)] - [Buildings (Seq: 89)] Constr Est Qual Basis - Both]&gt;</t>
        </r>
      </text>
    </comment>
    <comment ref="N1292" authorId="0" shapeId="0" xr:uid="{C0A3E015-B353-426A-BFC9-84310C4664A1}">
      <text>
        <r>
          <rPr>
            <b/>
            <sz val="9"/>
            <color indexed="81"/>
            <rFont val="Tahoma"/>
            <family val="2"/>
          </rPr>
          <t>&lt;[[TCDeals] - [TC Property Current Stage (Seq: 1)] - [Buildings (Seq: 89)] Constr 8609 Basis - Both]&gt;</t>
        </r>
      </text>
    </comment>
    <comment ref="O1292" authorId="0" shapeId="0" xr:uid="{67215241-FB69-44A7-9B65-DACA78A70494}">
      <text>
        <r>
          <rPr>
            <b/>
            <sz val="9"/>
            <color indexed="81"/>
            <rFont val="Tahoma"/>
            <family val="2"/>
          </rPr>
          <t>&lt;[[TCDeals] - [TC Property Current Stage (Seq: 1)] - [Buildings (Seq: 89)] Constr 8609 Credit - Both]&gt;</t>
        </r>
      </text>
    </comment>
    <comment ref="P1292" authorId="0" shapeId="0" xr:uid="{D18FBF6C-AB84-4BAA-A618-8A8643D0FC09}">
      <text>
        <r>
          <rPr>
            <b/>
            <sz val="9"/>
            <color indexed="81"/>
            <rFont val="Tahoma"/>
            <family val="2"/>
          </rPr>
          <t>&lt;[[TCDeals] - [TC Property Current Stage (Seq: 1)] - [Buildings (Seq: 89)] Acq PIS Date - Both]&gt;</t>
        </r>
      </text>
    </comment>
    <comment ref="Q1292" authorId="0" shapeId="0" xr:uid="{5C628FEE-1085-43FA-8428-28FBB70F62F3}">
      <text>
        <r>
          <rPr>
            <b/>
            <sz val="9"/>
            <color indexed="81"/>
            <rFont val="Tahoma"/>
            <family val="2"/>
          </rPr>
          <t>&lt;[[TCDeals] - [TC Property Current Stage (Seq: 1)] - [Buildings (Seq: 89)] Acq Applicable Percentage - Both]&gt;</t>
        </r>
      </text>
    </comment>
    <comment ref="R1292" authorId="0" shapeId="0" xr:uid="{45E72957-F600-4C8F-9603-3C6533439348}">
      <text>
        <r>
          <rPr>
            <b/>
            <sz val="9"/>
            <color indexed="81"/>
            <rFont val="Tahoma"/>
            <family val="2"/>
          </rPr>
          <t>&lt;[[TCDeals] - [TC Property Current Stage (Seq: 1)] - [Buildings (Seq: 89)] Acq Est Qual Basis - Both]&gt;</t>
        </r>
      </text>
    </comment>
    <comment ref="S1292" authorId="0" shapeId="0" xr:uid="{3CFC4D0F-27A2-4144-8665-392611BB4A9C}">
      <text>
        <r>
          <rPr>
            <b/>
            <sz val="9"/>
            <color indexed="81"/>
            <rFont val="Tahoma"/>
            <family val="2"/>
          </rPr>
          <t>&lt;[[TCDeals] - [TC Property Current Stage (Seq: 1)] - [Buildings (Seq: 89)] Acq 8609 Basis - Both]&gt;</t>
        </r>
      </text>
    </comment>
    <comment ref="T1292" authorId="0" shapeId="0" xr:uid="{76B2D24F-C057-4F70-9C57-D3C3E1E2ADF3}">
      <text>
        <r>
          <rPr>
            <b/>
            <sz val="9"/>
            <color indexed="81"/>
            <rFont val="Tahoma"/>
            <family val="2"/>
          </rPr>
          <t>&lt;[[TCDeals] - [TC Property Current Stage (Seq: 1)] - [Buildings (Seq: 89)] Acq 8609 Credit - Both]&gt;</t>
        </r>
      </text>
    </comment>
    <comment ref="C1293" authorId="0" shapeId="0" xr:uid="{94625E14-DCC1-4365-AC73-D8DFF01CE84C}">
      <text>
        <r>
          <rPr>
            <b/>
            <sz val="9"/>
            <color indexed="81"/>
            <rFont val="Tahoma"/>
            <family val="2"/>
          </rPr>
          <t>&lt;[[TCDeals] - [TC Property Current Stage (Seq: 1)] - [Buildings (Seq: 90)] BIN - Both]&gt;</t>
        </r>
      </text>
    </comment>
    <comment ref="D1293" authorId="0" shapeId="0" xr:uid="{4D1C91AB-C6D8-4388-9D3A-6D5ED2433319}">
      <text>
        <r>
          <rPr>
            <b/>
            <sz val="9"/>
            <color indexed="81"/>
            <rFont val="Tahoma"/>
            <family val="2"/>
          </rPr>
          <t>&lt;[[TCDeals] - [TC Property Current Stage (Seq: 1)] - [Buildings (Seq: 90)] Address 1 - Both]&gt;</t>
        </r>
      </text>
    </comment>
    <comment ref="E1293" authorId="0" shapeId="0" xr:uid="{4DD4BC51-DFC0-4DCA-8A72-70ADB18B34FE}">
      <text>
        <r>
          <rPr>
            <b/>
            <sz val="9"/>
            <color indexed="81"/>
            <rFont val="Tahoma"/>
            <family val="2"/>
          </rPr>
          <t>&lt;[[TCDeals] - [TC Property Current Stage (Seq: 1)] - [Buildings (Seq: 90)] Num TC Units - Both]&gt;</t>
        </r>
      </text>
    </comment>
    <comment ref="F1293" authorId="0" shapeId="0" xr:uid="{3B8FBFFB-75E1-4A4B-8698-60A12BF7C0DF}">
      <text>
        <r>
          <rPr>
            <b/>
            <sz val="9"/>
            <color indexed="81"/>
            <rFont val="Tahoma"/>
            <family val="2"/>
          </rPr>
          <t>&lt;[[TCDeals] - [TC Property Current Stage (Seq: 1)] - [Buildings (Seq: 90)] PVC PIS Date - Both]&gt;</t>
        </r>
      </text>
    </comment>
    <comment ref="G1293" authorId="0" shapeId="0" xr:uid="{9CC0276F-8B91-4437-9A91-C127AE8459D9}">
      <text>
        <r>
          <rPr>
            <b/>
            <sz val="9"/>
            <color indexed="81"/>
            <rFont val="Tahoma"/>
            <family val="2"/>
          </rPr>
          <t>&lt;[[TCDeals] - [TC Property Current Stage (Seq: 1)] - [Buildings (Seq: 90)] PVC Applicable Percentage - Both]&gt;</t>
        </r>
      </text>
    </comment>
    <comment ref="H1293" authorId="0" shapeId="0" xr:uid="{7864A3BC-9E05-4631-BFC4-69A0401584DC}">
      <text>
        <r>
          <rPr>
            <b/>
            <sz val="9"/>
            <color indexed="81"/>
            <rFont val="Tahoma"/>
            <family val="2"/>
          </rPr>
          <t>&lt;[[TCDeals] - [TC Property Current Stage (Seq: 1)] - [Buildings (Seq: 90)] PVC Est Qual Basis - Both]&gt;</t>
        </r>
      </text>
    </comment>
    <comment ref="I1293" authorId="0" shapeId="0" xr:uid="{5CC9967F-64EE-4AAB-A69C-1C488FE31071}">
      <text>
        <r>
          <rPr>
            <b/>
            <sz val="9"/>
            <color indexed="81"/>
            <rFont val="Tahoma"/>
            <family val="2"/>
          </rPr>
          <t>&lt;[[TCDeals] - [TC Property Current Stage (Seq: 1)] - [Buildings (Seq: 90)] PVC8609 Basis - Both]&gt;</t>
        </r>
      </text>
    </comment>
    <comment ref="J1293" authorId="0" shapeId="0" xr:uid="{6F6079BD-5E3C-46F7-BF7A-A1139B2A7B6F}">
      <text>
        <r>
          <rPr>
            <b/>
            <sz val="9"/>
            <color indexed="81"/>
            <rFont val="Tahoma"/>
            <family val="2"/>
          </rPr>
          <t>&lt;[[TCDeals] - [TC Property Current Stage (Seq: 1)] - [Buildings (Seq: 90)] PVC8609 Credit - Both]&gt;</t>
        </r>
      </text>
    </comment>
    <comment ref="K1293" authorId="0" shapeId="0" xr:uid="{917B5103-638B-4D6D-BC4C-6BF79EDA4176}">
      <text>
        <r>
          <rPr>
            <b/>
            <sz val="9"/>
            <color indexed="81"/>
            <rFont val="Tahoma"/>
            <family val="2"/>
          </rPr>
          <t>&lt;[[TCDeals] - [TC Property Current Stage (Seq: 1)] - [Buildings (Seq: 90)] Constr PIS Date - Both]&gt;</t>
        </r>
      </text>
    </comment>
    <comment ref="L1293" authorId="0" shapeId="0" xr:uid="{2A9B8271-0B1A-4B4D-8DAF-94F03A4F0BE7}">
      <text>
        <r>
          <rPr>
            <b/>
            <sz val="9"/>
            <color indexed="81"/>
            <rFont val="Tahoma"/>
            <family val="2"/>
          </rPr>
          <t>&lt;[[TCDeals] - [TC Property Current Stage (Seq: 1)] - [Buildings (Seq: 90)] Constr Applicable Percentage - Both]&gt;</t>
        </r>
      </text>
    </comment>
    <comment ref="M1293" authorId="0" shapeId="0" xr:uid="{8530CF49-5F3C-4672-A54F-E789EBCFEC89}">
      <text>
        <r>
          <rPr>
            <b/>
            <sz val="9"/>
            <color indexed="81"/>
            <rFont val="Tahoma"/>
            <family val="2"/>
          </rPr>
          <t>&lt;[[TCDeals] - [TC Property Current Stage (Seq: 1)] - [Buildings (Seq: 90)] Constr Est Qual Basis - Both]&gt;</t>
        </r>
      </text>
    </comment>
    <comment ref="N1293" authorId="0" shapeId="0" xr:uid="{1EB51E03-CA10-4431-858B-441CE18A3F9A}">
      <text>
        <r>
          <rPr>
            <b/>
            <sz val="9"/>
            <color indexed="81"/>
            <rFont val="Tahoma"/>
            <family val="2"/>
          </rPr>
          <t>&lt;[[TCDeals] - [TC Property Current Stage (Seq: 1)] - [Buildings (Seq: 90)] Constr 8609 Basis - Both]&gt;</t>
        </r>
      </text>
    </comment>
    <comment ref="O1293" authorId="0" shapeId="0" xr:uid="{154BA934-DC2F-46B4-BB85-E99E002B6EAC}">
      <text>
        <r>
          <rPr>
            <b/>
            <sz val="9"/>
            <color indexed="81"/>
            <rFont val="Tahoma"/>
            <family val="2"/>
          </rPr>
          <t>&lt;[[TCDeals] - [TC Property Current Stage (Seq: 1)] - [Buildings (Seq: 90)] Constr 8609 Credit - Both]&gt;</t>
        </r>
      </text>
    </comment>
    <comment ref="P1293" authorId="0" shapeId="0" xr:uid="{878A6C8E-794B-4974-AFED-69A9E4E2375C}">
      <text>
        <r>
          <rPr>
            <b/>
            <sz val="9"/>
            <color indexed="81"/>
            <rFont val="Tahoma"/>
            <family val="2"/>
          </rPr>
          <t>&lt;[[TCDeals] - [TC Property Current Stage (Seq: 1)] - [Buildings (Seq: 90)] Acq PIS Date - Both]&gt;</t>
        </r>
      </text>
    </comment>
    <comment ref="Q1293" authorId="0" shapeId="0" xr:uid="{2EB5D714-91B1-4493-92BC-D9EA1B4E8085}">
      <text>
        <r>
          <rPr>
            <b/>
            <sz val="9"/>
            <color indexed="81"/>
            <rFont val="Tahoma"/>
            <family val="2"/>
          </rPr>
          <t>&lt;[[TCDeals] - [TC Property Current Stage (Seq: 1)] - [Buildings (Seq: 90)] Acq Applicable Percentage - Both]&gt;</t>
        </r>
      </text>
    </comment>
    <comment ref="R1293" authorId="0" shapeId="0" xr:uid="{648F9B42-8226-4008-85EA-4B2D2C771969}">
      <text>
        <r>
          <rPr>
            <b/>
            <sz val="9"/>
            <color indexed="81"/>
            <rFont val="Tahoma"/>
            <family val="2"/>
          </rPr>
          <t>&lt;[[TCDeals] - [TC Property Current Stage (Seq: 1)] - [Buildings (Seq: 90)] Acq Est Qual Basis - Both]&gt;</t>
        </r>
      </text>
    </comment>
    <comment ref="S1293" authorId="0" shapeId="0" xr:uid="{1F364D05-7DB5-4CCE-AC80-744FEF678D82}">
      <text>
        <r>
          <rPr>
            <b/>
            <sz val="9"/>
            <color indexed="81"/>
            <rFont val="Tahoma"/>
            <family val="2"/>
          </rPr>
          <t>&lt;[[TCDeals] - [TC Property Current Stage (Seq: 1)] - [Buildings (Seq: 90)] Acq 8609 Basis - Both]&gt;</t>
        </r>
      </text>
    </comment>
    <comment ref="T1293" authorId="0" shapeId="0" xr:uid="{152A6F50-BB13-45E6-8960-4950927A33A8}">
      <text>
        <r>
          <rPr>
            <b/>
            <sz val="9"/>
            <color indexed="81"/>
            <rFont val="Tahoma"/>
            <family val="2"/>
          </rPr>
          <t>&lt;[[TCDeals] - [TC Property Current Stage (Seq: 1)] - [Buildings (Seq: 90)] Acq 8609 Credit - Both]&gt;</t>
        </r>
      </text>
    </comment>
    <comment ref="C1294" authorId="0" shapeId="0" xr:uid="{1EE60B07-9F67-46CE-9F1B-F3DBD6E478FC}">
      <text>
        <r>
          <rPr>
            <b/>
            <sz val="9"/>
            <color indexed="81"/>
            <rFont val="Tahoma"/>
            <family val="2"/>
          </rPr>
          <t>&lt;[[TCDeals] - [TC Property Current Stage (Seq: 1)] - [Buildings (Seq: 91)] BIN - Both]&gt;</t>
        </r>
      </text>
    </comment>
    <comment ref="D1294" authorId="0" shapeId="0" xr:uid="{FFDE5714-3DBB-4A3C-9099-D6BEAEF5DC69}">
      <text>
        <r>
          <rPr>
            <b/>
            <sz val="9"/>
            <color indexed="81"/>
            <rFont val="Tahoma"/>
            <family val="2"/>
          </rPr>
          <t>&lt;[[TCDeals] - [TC Property Current Stage (Seq: 1)] - [Buildings (Seq: 91)] Address 1 - Both]&gt;</t>
        </r>
      </text>
    </comment>
    <comment ref="E1294" authorId="0" shapeId="0" xr:uid="{FFEE1BC4-4A2B-4B13-B6D7-C4C82DE64EDE}">
      <text>
        <r>
          <rPr>
            <b/>
            <sz val="9"/>
            <color indexed="81"/>
            <rFont val="Tahoma"/>
            <family val="2"/>
          </rPr>
          <t>&lt;[[TCDeals] - [TC Property Current Stage (Seq: 1)] - [Buildings (Seq: 91)] Num TC Units - Both]&gt;</t>
        </r>
      </text>
    </comment>
    <comment ref="F1294" authorId="0" shapeId="0" xr:uid="{2751DE9C-CF93-46E1-A432-0F28F45B56C1}">
      <text>
        <r>
          <rPr>
            <b/>
            <sz val="9"/>
            <color indexed="81"/>
            <rFont val="Tahoma"/>
            <family val="2"/>
          </rPr>
          <t>&lt;[[TCDeals] - [TC Property Current Stage (Seq: 1)] - [Buildings (Seq: 91)] PVC PIS Date - Both]&gt;</t>
        </r>
      </text>
    </comment>
    <comment ref="G1294" authorId="0" shapeId="0" xr:uid="{96439C90-96D0-4322-A083-9DF0569F3CCD}">
      <text>
        <r>
          <rPr>
            <b/>
            <sz val="9"/>
            <color indexed="81"/>
            <rFont val="Tahoma"/>
            <family val="2"/>
          </rPr>
          <t>&lt;[[TCDeals] - [TC Property Current Stage (Seq: 1)] - [Buildings (Seq: 91)] PVC Applicable Percentage - Both]&gt;</t>
        </r>
      </text>
    </comment>
    <comment ref="H1294" authorId="0" shapeId="0" xr:uid="{C6F241A6-091C-4ACE-831B-69FE45444776}">
      <text>
        <r>
          <rPr>
            <b/>
            <sz val="9"/>
            <color indexed="81"/>
            <rFont val="Tahoma"/>
            <family val="2"/>
          </rPr>
          <t>&lt;[[TCDeals] - [TC Property Current Stage (Seq: 1)] - [Buildings (Seq: 91)] PVC Est Qual Basis - Both]&gt;</t>
        </r>
      </text>
    </comment>
    <comment ref="I1294" authorId="0" shapeId="0" xr:uid="{C4A2CFF5-6F96-46A4-9341-2E3C035B1E76}">
      <text>
        <r>
          <rPr>
            <b/>
            <sz val="9"/>
            <color indexed="81"/>
            <rFont val="Tahoma"/>
            <family val="2"/>
          </rPr>
          <t>&lt;[[TCDeals] - [TC Property Current Stage (Seq: 1)] - [Buildings (Seq: 91)] PVC8609 Basis - Both]&gt;</t>
        </r>
      </text>
    </comment>
    <comment ref="J1294" authorId="0" shapeId="0" xr:uid="{C7A81ADA-BF66-4F86-8367-4FDE11985C2D}">
      <text>
        <r>
          <rPr>
            <b/>
            <sz val="9"/>
            <color indexed="81"/>
            <rFont val="Tahoma"/>
            <family val="2"/>
          </rPr>
          <t>&lt;[[TCDeals] - [TC Property Current Stage (Seq: 1)] - [Buildings (Seq: 91)] PVC8609 Credit - Both]&gt;</t>
        </r>
      </text>
    </comment>
    <comment ref="K1294" authorId="0" shapeId="0" xr:uid="{6DB83F62-060F-482C-92BD-E3F2F234C895}">
      <text>
        <r>
          <rPr>
            <b/>
            <sz val="9"/>
            <color indexed="81"/>
            <rFont val="Tahoma"/>
            <family val="2"/>
          </rPr>
          <t>&lt;[[TCDeals] - [TC Property Current Stage (Seq: 1)] - [Buildings (Seq: 91)] Constr PIS Date - Both]&gt;</t>
        </r>
      </text>
    </comment>
    <comment ref="L1294" authorId="0" shapeId="0" xr:uid="{0766CF08-0527-4B27-8CE5-DE988101DABA}">
      <text>
        <r>
          <rPr>
            <b/>
            <sz val="9"/>
            <color indexed="81"/>
            <rFont val="Tahoma"/>
            <family val="2"/>
          </rPr>
          <t>&lt;[[TCDeals] - [TC Property Current Stage (Seq: 1)] - [Buildings (Seq: 91)] Constr Applicable Percentage - Both]&gt;</t>
        </r>
      </text>
    </comment>
    <comment ref="M1294" authorId="0" shapeId="0" xr:uid="{C5D9ADBA-ABA2-4732-B25D-AFDB011EFB3F}">
      <text>
        <r>
          <rPr>
            <b/>
            <sz val="9"/>
            <color indexed="81"/>
            <rFont val="Tahoma"/>
            <family val="2"/>
          </rPr>
          <t>&lt;[[TCDeals] - [TC Property Current Stage (Seq: 1)] - [Buildings (Seq: 91)] Constr Est Qual Basis - Both]&gt;</t>
        </r>
      </text>
    </comment>
    <comment ref="N1294" authorId="0" shapeId="0" xr:uid="{FD0BFFE1-D457-4F41-BB71-CC55C245616B}">
      <text>
        <r>
          <rPr>
            <b/>
            <sz val="9"/>
            <color indexed="81"/>
            <rFont val="Tahoma"/>
            <family val="2"/>
          </rPr>
          <t>&lt;[[TCDeals] - [TC Property Current Stage (Seq: 1)] - [Buildings (Seq: 91)] Constr 8609 Basis - Both]&gt;</t>
        </r>
      </text>
    </comment>
    <comment ref="O1294" authorId="0" shapeId="0" xr:uid="{BB098F60-D977-4E2D-8C25-B2ABFDB1CBA7}">
      <text>
        <r>
          <rPr>
            <b/>
            <sz val="9"/>
            <color indexed="81"/>
            <rFont val="Tahoma"/>
            <family val="2"/>
          </rPr>
          <t>&lt;[[TCDeals] - [TC Property Current Stage (Seq: 1)] - [Buildings (Seq: 91)] Constr 8609 Credit - Both]&gt;</t>
        </r>
      </text>
    </comment>
    <comment ref="P1294" authorId="0" shapeId="0" xr:uid="{2DE0C1D3-58B8-496B-B95A-8826BB739833}">
      <text>
        <r>
          <rPr>
            <b/>
            <sz val="9"/>
            <color indexed="81"/>
            <rFont val="Tahoma"/>
            <family val="2"/>
          </rPr>
          <t>&lt;[[TCDeals] - [TC Property Current Stage (Seq: 1)] - [Buildings (Seq: 91)] Acq PIS Date - Both]&gt;</t>
        </r>
      </text>
    </comment>
    <comment ref="Q1294" authorId="0" shapeId="0" xr:uid="{A7B9A92F-C52D-45E8-A691-16EB265E3002}">
      <text>
        <r>
          <rPr>
            <b/>
            <sz val="9"/>
            <color indexed="81"/>
            <rFont val="Tahoma"/>
            <family val="2"/>
          </rPr>
          <t>&lt;[[TCDeals] - [TC Property Current Stage (Seq: 1)] - [Buildings (Seq: 91)] Acq Applicable Percentage - Both]&gt;</t>
        </r>
      </text>
    </comment>
    <comment ref="R1294" authorId="0" shapeId="0" xr:uid="{ACF08FAB-353A-4DD1-8413-B5396DA1D178}">
      <text>
        <r>
          <rPr>
            <b/>
            <sz val="9"/>
            <color indexed="81"/>
            <rFont val="Tahoma"/>
            <family val="2"/>
          </rPr>
          <t>&lt;[[TCDeals] - [TC Property Current Stage (Seq: 1)] - [Buildings (Seq: 91)] Acq Est Qual Basis - Both]&gt;</t>
        </r>
      </text>
    </comment>
    <comment ref="S1294" authorId="0" shapeId="0" xr:uid="{3E3D8422-B687-4B87-8A34-24CF8D660D01}">
      <text>
        <r>
          <rPr>
            <b/>
            <sz val="9"/>
            <color indexed="81"/>
            <rFont val="Tahoma"/>
            <family val="2"/>
          </rPr>
          <t>&lt;[[TCDeals] - [TC Property Current Stage (Seq: 1)] - [Buildings (Seq: 91)] Acq 8609 Basis - Both]&gt;</t>
        </r>
      </text>
    </comment>
    <comment ref="T1294" authorId="0" shapeId="0" xr:uid="{DF323ED5-F098-4C1C-84FF-1BE3C4CF789C}">
      <text>
        <r>
          <rPr>
            <b/>
            <sz val="9"/>
            <color indexed="81"/>
            <rFont val="Tahoma"/>
            <family val="2"/>
          </rPr>
          <t>&lt;[[TCDeals] - [TC Property Current Stage (Seq: 1)] - [Buildings (Seq: 91)] Acq 8609 Credit - Both]&gt;</t>
        </r>
      </text>
    </comment>
    <comment ref="C1295" authorId="0" shapeId="0" xr:uid="{F13B4EEE-5779-465D-ACAE-27EC5CF689A8}">
      <text>
        <r>
          <rPr>
            <b/>
            <sz val="9"/>
            <color indexed="81"/>
            <rFont val="Tahoma"/>
            <family val="2"/>
          </rPr>
          <t>&lt;[[TCDeals] - [TC Property Current Stage (Seq: 1)] - [Buildings (Seq: 92)] BIN - Both]&gt;</t>
        </r>
      </text>
    </comment>
    <comment ref="D1295" authorId="0" shapeId="0" xr:uid="{0DD899AE-595C-4B09-B15F-D8CBC26DEF4F}">
      <text>
        <r>
          <rPr>
            <b/>
            <sz val="9"/>
            <color indexed="81"/>
            <rFont val="Tahoma"/>
            <family val="2"/>
          </rPr>
          <t>&lt;[[TCDeals] - [TC Property Current Stage (Seq: 1)] - [Buildings (Seq: 92)] Address 1 - Both]&gt;</t>
        </r>
      </text>
    </comment>
    <comment ref="E1295" authorId="0" shapeId="0" xr:uid="{1A924A75-19D3-4D8E-885B-53CB889D0809}">
      <text>
        <r>
          <rPr>
            <b/>
            <sz val="9"/>
            <color indexed="81"/>
            <rFont val="Tahoma"/>
            <family val="2"/>
          </rPr>
          <t>&lt;[[TCDeals] - [TC Property Current Stage (Seq: 1)] - [Buildings (Seq: 92)] Num TC Units - Both]&gt;</t>
        </r>
      </text>
    </comment>
    <comment ref="F1295" authorId="0" shapeId="0" xr:uid="{544D7543-861C-4460-AB39-99AB21168F4B}">
      <text>
        <r>
          <rPr>
            <b/>
            <sz val="9"/>
            <color indexed="81"/>
            <rFont val="Tahoma"/>
            <family val="2"/>
          </rPr>
          <t>&lt;[[TCDeals] - [TC Property Current Stage (Seq: 1)] - [Buildings (Seq: 92)] PVC PIS Date - Both]&gt;</t>
        </r>
      </text>
    </comment>
    <comment ref="G1295" authorId="0" shapeId="0" xr:uid="{3095706A-E16A-46F7-9EC4-79A99EB11375}">
      <text>
        <r>
          <rPr>
            <b/>
            <sz val="9"/>
            <color indexed="81"/>
            <rFont val="Tahoma"/>
            <family val="2"/>
          </rPr>
          <t>&lt;[[TCDeals] - [TC Property Current Stage (Seq: 1)] - [Buildings (Seq: 92)] PVC Applicable Percentage - Both]&gt;</t>
        </r>
      </text>
    </comment>
    <comment ref="H1295" authorId="0" shapeId="0" xr:uid="{E1D8ED21-E64D-4CBE-9EB3-0DF4D19B589A}">
      <text>
        <r>
          <rPr>
            <b/>
            <sz val="9"/>
            <color indexed="81"/>
            <rFont val="Tahoma"/>
            <family val="2"/>
          </rPr>
          <t>&lt;[[TCDeals] - [TC Property Current Stage (Seq: 1)] - [Buildings (Seq: 92)] PVC Est Qual Basis - Both]&gt;</t>
        </r>
      </text>
    </comment>
    <comment ref="I1295" authorId="0" shapeId="0" xr:uid="{F2DFBA9D-C460-4887-8BAE-4C84E520A976}">
      <text>
        <r>
          <rPr>
            <b/>
            <sz val="9"/>
            <color indexed="81"/>
            <rFont val="Tahoma"/>
            <family val="2"/>
          </rPr>
          <t>&lt;[[TCDeals] - [TC Property Current Stage (Seq: 1)] - [Buildings (Seq: 92)] PVC8609 Basis - Both]&gt;</t>
        </r>
      </text>
    </comment>
    <comment ref="J1295" authorId="0" shapeId="0" xr:uid="{199AF1F4-6755-4DF9-AD3A-E3518758AF47}">
      <text>
        <r>
          <rPr>
            <b/>
            <sz val="9"/>
            <color indexed="81"/>
            <rFont val="Tahoma"/>
            <family val="2"/>
          </rPr>
          <t>&lt;[[TCDeals] - [TC Property Current Stage (Seq: 1)] - [Buildings (Seq: 92)] PVC8609 Credit - Both]&gt;</t>
        </r>
      </text>
    </comment>
    <comment ref="K1295" authorId="0" shapeId="0" xr:uid="{2904B1E4-C30B-44AC-9ED5-3F2C4A548E12}">
      <text>
        <r>
          <rPr>
            <b/>
            <sz val="9"/>
            <color indexed="81"/>
            <rFont val="Tahoma"/>
            <family val="2"/>
          </rPr>
          <t>&lt;[[TCDeals] - [TC Property Current Stage (Seq: 1)] - [Buildings (Seq: 92)] Constr PIS Date - Both]&gt;</t>
        </r>
      </text>
    </comment>
    <comment ref="L1295" authorId="0" shapeId="0" xr:uid="{22F11456-80B9-4913-B20C-54FAD58BC68C}">
      <text>
        <r>
          <rPr>
            <b/>
            <sz val="9"/>
            <color indexed="81"/>
            <rFont val="Tahoma"/>
            <family val="2"/>
          </rPr>
          <t>&lt;[[TCDeals] - [TC Property Current Stage (Seq: 1)] - [Buildings (Seq: 92)] Constr Applicable Percentage - Both]&gt;</t>
        </r>
      </text>
    </comment>
    <comment ref="M1295" authorId="0" shapeId="0" xr:uid="{87C09018-88B5-4884-A5AF-BF2AC96F5EB1}">
      <text>
        <r>
          <rPr>
            <b/>
            <sz val="9"/>
            <color indexed="81"/>
            <rFont val="Tahoma"/>
            <family val="2"/>
          </rPr>
          <t>&lt;[[TCDeals] - [TC Property Current Stage (Seq: 1)] - [Buildings (Seq: 92)] Constr Est Qual Basis - Both]&gt;</t>
        </r>
      </text>
    </comment>
    <comment ref="N1295" authorId="0" shapeId="0" xr:uid="{0468BBBC-844D-49B3-8DF8-41D832EAC20E}">
      <text>
        <r>
          <rPr>
            <b/>
            <sz val="9"/>
            <color indexed="81"/>
            <rFont val="Tahoma"/>
            <family val="2"/>
          </rPr>
          <t>&lt;[[TCDeals] - [TC Property Current Stage (Seq: 1)] - [Buildings (Seq: 92)] Constr 8609 Basis - Both]&gt;</t>
        </r>
      </text>
    </comment>
    <comment ref="O1295" authorId="0" shapeId="0" xr:uid="{7F9B2352-871F-467B-AAE9-ED4EBD247323}">
      <text>
        <r>
          <rPr>
            <b/>
            <sz val="9"/>
            <color indexed="81"/>
            <rFont val="Tahoma"/>
            <family val="2"/>
          </rPr>
          <t>&lt;[[TCDeals] - [TC Property Current Stage (Seq: 1)] - [Buildings (Seq: 92)] Constr 8609 Credit - Both]&gt;</t>
        </r>
      </text>
    </comment>
    <comment ref="P1295" authorId="0" shapeId="0" xr:uid="{78C584AC-964A-4E3C-AC8B-961EFED462F0}">
      <text>
        <r>
          <rPr>
            <b/>
            <sz val="9"/>
            <color indexed="81"/>
            <rFont val="Tahoma"/>
            <family val="2"/>
          </rPr>
          <t>&lt;[[TCDeals] - [TC Property Current Stage (Seq: 1)] - [Buildings (Seq: 92)] Acq PIS Date - Both]&gt;</t>
        </r>
      </text>
    </comment>
    <comment ref="Q1295" authorId="0" shapeId="0" xr:uid="{853B68B4-8068-40EF-8899-A118B26E93CA}">
      <text>
        <r>
          <rPr>
            <b/>
            <sz val="9"/>
            <color indexed="81"/>
            <rFont val="Tahoma"/>
            <family val="2"/>
          </rPr>
          <t>&lt;[[TCDeals] - [TC Property Current Stage (Seq: 1)] - [Buildings (Seq: 92)] Acq Applicable Percentage - Both]&gt;</t>
        </r>
      </text>
    </comment>
    <comment ref="R1295" authorId="0" shapeId="0" xr:uid="{56B84BFE-76CF-4C57-B644-9DA0B6C5BAF9}">
      <text>
        <r>
          <rPr>
            <b/>
            <sz val="9"/>
            <color indexed="81"/>
            <rFont val="Tahoma"/>
            <family val="2"/>
          </rPr>
          <t>&lt;[[TCDeals] - [TC Property Current Stage (Seq: 1)] - [Buildings (Seq: 92)] Acq Est Qual Basis - Both]&gt;</t>
        </r>
      </text>
    </comment>
    <comment ref="S1295" authorId="0" shapeId="0" xr:uid="{62C2B384-9936-42E6-B0B0-2AA2D992E46A}">
      <text>
        <r>
          <rPr>
            <b/>
            <sz val="9"/>
            <color indexed="81"/>
            <rFont val="Tahoma"/>
            <family val="2"/>
          </rPr>
          <t>&lt;[[TCDeals] - [TC Property Current Stage (Seq: 1)] - [Buildings (Seq: 92)] Acq 8609 Basis - Both]&gt;</t>
        </r>
      </text>
    </comment>
    <comment ref="T1295" authorId="0" shapeId="0" xr:uid="{7E71B847-5E42-4C3E-93DC-0D65BC05757A}">
      <text>
        <r>
          <rPr>
            <b/>
            <sz val="9"/>
            <color indexed="81"/>
            <rFont val="Tahoma"/>
            <family val="2"/>
          </rPr>
          <t>&lt;[[TCDeals] - [TC Property Current Stage (Seq: 1)] - [Buildings (Seq: 92)] Acq 8609 Credit - Both]&gt;</t>
        </r>
      </text>
    </comment>
    <comment ref="C1296" authorId="0" shapeId="0" xr:uid="{A9A048A9-30BC-4744-BFDE-ECBD0D169690}">
      <text>
        <r>
          <rPr>
            <b/>
            <sz val="9"/>
            <color indexed="81"/>
            <rFont val="Tahoma"/>
            <family val="2"/>
          </rPr>
          <t>&lt;[[TCDeals] - [TC Property Current Stage (Seq: 1)] - [Buildings (Seq: 93)] BIN - Both]&gt;</t>
        </r>
      </text>
    </comment>
    <comment ref="D1296" authorId="0" shapeId="0" xr:uid="{D7315EF9-7230-4FC7-97C9-BAAA9EC3F57F}">
      <text>
        <r>
          <rPr>
            <b/>
            <sz val="9"/>
            <color indexed="81"/>
            <rFont val="Tahoma"/>
            <family val="2"/>
          </rPr>
          <t>&lt;[[TCDeals] - [TC Property Current Stage (Seq: 1)] - [Buildings (Seq: 93)] Address 1 - Both]&gt;</t>
        </r>
      </text>
    </comment>
    <comment ref="E1296" authorId="0" shapeId="0" xr:uid="{1DB24936-7F38-4428-846C-2E2706174D87}">
      <text>
        <r>
          <rPr>
            <b/>
            <sz val="9"/>
            <color indexed="81"/>
            <rFont val="Tahoma"/>
            <family val="2"/>
          </rPr>
          <t>&lt;[[TCDeals] - [TC Property Current Stage (Seq: 1)] - [Buildings (Seq: 93)] Num TC Units - Both]&gt;</t>
        </r>
      </text>
    </comment>
    <comment ref="F1296" authorId="0" shapeId="0" xr:uid="{94C9459F-D4FD-44AD-A4FF-CDD1DA2E0D76}">
      <text>
        <r>
          <rPr>
            <b/>
            <sz val="9"/>
            <color indexed="81"/>
            <rFont val="Tahoma"/>
            <family val="2"/>
          </rPr>
          <t>&lt;[[TCDeals] - [TC Property Current Stage (Seq: 1)] - [Buildings (Seq: 93)] PVC PIS Date - Both]&gt;</t>
        </r>
      </text>
    </comment>
    <comment ref="G1296" authorId="0" shapeId="0" xr:uid="{918115D7-841D-49C1-8DFF-FF86110E205F}">
      <text>
        <r>
          <rPr>
            <b/>
            <sz val="9"/>
            <color indexed="81"/>
            <rFont val="Tahoma"/>
            <family val="2"/>
          </rPr>
          <t>&lt;[[TCDeals] - [TC Property Current Stage (Seq: 1)] - [Buildings (Seq: 93)] PVC Applicable Percentage - Both]&gt;</t>
        </r>
      </text>
    </comment>
    <comment ref="H1296" authorId="0" shapeId="0" xr:uid="{3FDCFC41-D8BA-4CA0-9980-B86A1BA51F58}">
      <text>
        <r>
          <rPr>
            <b/>
            <sz val="9"/>
            <color indexed="81"/>
            <rFont val="Tahoma"/>
            <family val="2"/>
          </rPr>
          <t>&lt;[[TCDeals] - [TC Property Current Stage (Seq: 1)] - [Buildings (Seq: 93)] PVC Est Qual Basis - Both]&gt;</t>
        </r>
      </text>
    </comment>
    <comment ref="I1296" authorId="0" shapeId="0" xr:uid="{93E7420B-C9CB-485E-BAA0-562F21F59B29}">
      <text>
        <r>
          <rPr>
            <b/>
            <sz val="9"/>
            <color indexed="81"/>
            <rFont val="Tahoma"/>
            <family val="2"/>
          </rPr>
          <t>&lt;[[TCDeals] - [TC Property Current Stage (Seq: 1)] - [Buildings (Seq: 93)] PVC8609 Basis - Both]&gt;</t>
        </r>
      </text>
    </comment>
    <comment ref="J1296" authorId="0" shapeId="0" xr:uid="{B26A430A-0604-4D89-9D2E-AA7D6A360A3F}">
      <text>
        <r>
          <rPr>
            <b/>
            <sz val="9"/>
            <color indexed="81"/>
            <rFont val="Tahoma"/>
            <family val="2"/>
          </rPr>
          <t>&lt;[[TCDeals] - [TC Property Current Stage (Seq: 1)] - [Buildings (Seq: 93)] PVC8609 Credit - Both]&gt;</t>
        </r>
      </text>
    </comment>
    <comment ref="K1296" authorId="0" shapeId="0" xr:uid="{AD2485DC-BE96-4E78-8118-1DC1C0B37A86}">
      <text>
        <r>
          <rPr>
            <b/>
            <sz val="9"/>
            <color indexed="81"/>
            <rFont val="Tahoma"/>
            <family val="2"/>
          </rPr>
          <t>&lt;[[TCDeals] - [TC Property Current Stage (Seq: 1)] - [Buildings (Seq: 93)] Constr PIS Date - Both]&gt;</t>
        </r>
      </text>
    </comment>
    <comment ref="L1296" authorId="0" shapeId="0" xr:uid="{F1438543-2588-44E7-B345-D4492E7CD8BF}">
      <text>
        <r>
          <rPr>
            <b/>
            <sz val="9"/>
            <color indexed="81"/>
            <rFont val="Tahoma"/>
            <family val="2"/>
          </rPr>
          <t>&lt;[[TCDeals] - [TC Property Current Stage (Seq: 1)] - [Buildings (Seq: 93)] Constr Applicable Percentage - Both]&gt;</t>
        </r>
      </text>
    </comment>
    <comment ref="M1296" authorId="0" shapeId="0" xr:uid="{DF2CBF18-B819-4792-BF8E-039171137BA9}">
      <text>
        <r>
          <rPr>
            <b/>
            <sz val="9"/>
            <color indexed="81"/>
            <rFont val="Tahoma"/>
            <family val="2"/>
          </rPr>
          <t>&lt;[[TCDeals] - [TC Property Current Stage (Seq: 1)] - [Buildings (Seq: 93)] Constr Est Qual Basis - Both]&gt;</t>
        </r>
      </text>
    </comment>
    <comment ref="N1296" authorId="0" shapeId="0" xr:uid="{19A06019-2138-4F62-9B4C-D5EB0BA35A44}">
      <text>
        <r>
          <rPr>
            <b/>
            <sz val="9"/>
            <color indexed="81"/>
            <rFont val="Tahoma"/>
            <family val="2"/>
          </rPr>
          <t>&lt;[[TCDeals] - [TC Property Current Stage (Seq: 1)] - [Buildings (Seq: 93)] Constr 8609 Basis - Both]&gt;</t>
        </r>
      </text>
    </comment>
    <comment ref="O1296" authorId="0" shapeId="0" xr:uid="{4EBE88F8-12A6-4A30-9E86-BA154521DED8}">
      <text>
        <r>
          <rPr>
            <b/>
            <sz val="9"/>
            <color indexed="81"/>
            <rFont val="Tahoma"/>
            <family val="2"/>
          </rPr>
          <t>&lt;[[TCDeals] - [TC Property Current Stage (Seq: 1)] - [Buildings (Seq: 93)] Constr 8609 Credit - Both]&gt;</t>
        </r>
      </text>
    </comment>
    <comment ref="P1296" authorId="0" shapeId="0" xr:uid="{0A114A35-E3B2-4971-B93D-024A2E94EE12}">
      <text>
        <r>
          <rPr>
            <b/>
            <sz val="9"/>
            <color indexed="81"/>
            <rFont val="Tahoma"/>
            <family val="2"/>
          </rPr>
          <t>&lt;[[TCDeals] - [TC Property Current Stage (Seq: 1)] - [Buildings (Seq: 93)] Acq PIS Date - Both]&gt;</t>
        </r>
      </text>
    </comment>
    <comment ref="Q1296" authorId="0" shapeId="0" xr:uid="{B88EBCAD-2097-43DB-A477-AFA25F6E02B7}">
      <text>
        <r>
          <rPr>
            <b/>
            <sz val="9"/>
            <color indexed="81"/>
            <rFont val="Tahoma"/>
            <family val="2"/>
          </rPr>
          <t>&lt;[[TCDeals] - [TC Property Current Stage (Seq: 1)] - [Buildings (Seq: 93)] Acq Applicable Percentage - Both]&gt;</t>
        </r>
      </text>
    </comment>
    <comment ref="R1296" authorId="0" shapeId="0" xr:uid="{55F605F2-99BA-4DA3-B1D8-0715CF50781A}">
      <text>
        <r>
          <rPr>
            <b/>
            <sz val="9"/>
            <color indexed="81"/>
            <rFont val="Tahoma"/>
            <family val="2"/>
          </rPr>
          <t>&lt;[[TCDeals] - [TC Property Current Stage (Seq: 1)] - [Buildings (Seq: 93)] Acq Est Qual Basis - Both]&gt;</t>
        </r>
      </text>
    </comment>
    <comment ref="S1296" authorId="0" shapeId="0" xr:uid="{F6BC8AD7-73C1-4A05-869B-7328FC993DFA}">
      <text>
        <r>
          <rPr>
            <b/>
            <sz val="9"/>
            <color indexed="81"/>
            <rFont val="Tahoma"/>
            <family val="2"/>
          </rPr>
          <t>&lt;[[TCDeals] - [TC Property Current Stage (Seq: 1)] - [Buildings (Seq: 93)] Acq 8609 Basis - Both]&gt;</t>
        </r>
      </text>
    </comment>
    <comment ref="T1296" authorId="0" shapeId="0" xr:uid="{77EEC402-533F-4617-BBAA-BE0577998D7B}">
      <text>
        <r>
          <rPr>
            <b/>
            <sz val="9"/>
            <color indexed="81"/>
            <rFont val="Tahoma"/>
            <family val="2"/>
          </rPr>
          <t>&lt;[[TCDeals] - [TC Property Current Stage (Seq: 1)] - [Buildings (Seq: 93)] Acq 8609 Credit - Both]&gt;</t>
        </r>
      </text>
    </comment>
    <comment ref="C1297" authorId="0" shapeId="0" xr:uid="{0D4CFEE8-877B-440E-B7A1-3E54D6B985BD}">
      <text>
        <r>
          <rPr>
            <b/>
            <sz val="9"/>
            <color indexed="81"/>
            <rFont val="Tahoma"/>
            <family val="2"/>
          </rPr>
          <t>&lt;[[TCDeals] - [TC Property Current Stage (Seq: 1)] - [Buildings (Seq: 94)] BIN - Both]&gt;</t>
        </r>
      </text>
    </comment>
    <comment ref="D1297" authorId="0" shapeId="0" xr:uid="{02E08F0E-E87B-4901-9254-E044FFD7F951}">
      <text>
        <r>
          <rPr>
            <b/>
            <sz val="9"/>
            <color indexed="81"/>
            <rFont val="Tahoma"/>
            <family val="2"/>
          </rPr>
          <t>&lt;[[TCDeals] - [TC Property Current Stage (Seq: 1)] - [Buildings (Seq: 94)] Address 1 - Both]&gt;</t>
        </r>
      </text>
    </comment>
    <comment ref="E1297" authorId="0" shapeId="0" xr:uid="{515329B6-C7CF-4A78-8165-3AF4D2BF2FF3}">
      <text>
        <r>
          <rPr>
            <b/>
            <sz val="9"/>
            <color indexed="81"/>
            <rFont val="Tahoma"/>
            <family val="2"/>
          </rPr>
          <t>&lt;[[TCDeals] - [TC Property Current Stage (Seq: 1)] - [Buildings (Seq: 94)] Num TC Units - Both]&gt;</t>
        </r>
      </text>
    </comment>
    <comment ref="F1297" authorId="0" shapeId="0" xr:uid="{D6150B99-A191-4B73-9060-0E2DCB73EE4F}">
      <text>
        <r>
          <rPr>
            <b/>
            <sz val="9"/>
            <color indexed="81"/>
            <rFont val="Tahoma"/>
            <family val="2"/>
          </rPr>
          <t>&lt;[[TCDeals] - [TC Property Current Stage (Seq: 1)] - [Buildings (Seq: 94)] PVC PIS Date - Both]&gt;</t>
        </r>
      </text>
    </comment>
    <comment ref="G1297" authorId="0" shapeId="0" xr:uid="{E9AF5F0C-5142-4344-B118-B174645CE94A}">
      <text>
        <r>
          <rPr>
            <b/>
            <sz val="9"/>
            <color indexed="81"/>
            <rFont val="Tahoma"/>
            <family val="2"/>
          </rPr>
          <t>&lt;[[TCDeals] - [TC Property Current Stage (Seq: 1)] - [Buildings (Seq: 94)] PVC Applicable Percentage - Both]&gt;</t>
        </r>
      </text>
    </comment>
    <comment ref="H1297" authorId="0" shapeId="0" xr:uid="{ECDF3DFE-6BD4-44A3-B684-0854C5A760EA}">
      <text>
        <r>
          <rPr>
            <b/>
            <sz val="9"/>
            <color indexed="81"/>
            <rFont val="Tahoma"/>
            <family val="2"/>
          </rPr>
          <t>&lt;[[TCDeals] - [TC Property Current Stage (Seq: 1)] - [Buildings (Seq: 94)] PVC Est Qual Basis - Both]&gt;</t>
        </r>
      </text>
    </comment>
    <comment ref="I1297" authorId="0" shapeId="0" xr:uid="{0B4AC87E-1BB0-4F88-B071-598933CA3B01}">
      <text>
        <r>
          <rPr>
            <b/>
            <sz val="9"/>
            <color indexed="81"/>
            <rFont val="Tahoma"/>
            <family val="2"/>
          </rPr>
          <t>&lt;[[TCDeals] - [TC Property Current Stage (Seq: 1)] - [Buildings (Seq: 94)] PVC8609 Basis - Both]&gt;</t>
        </r>
      </text>
    </comment>
    <comment ref="J1297" authorId="0" shapeId="0" xr:uid="{B88C74F6-8A4D-4DDD-9F3F-9A7BC20EE2D1}">
      <text>
        <r>
          <rPr>
            <b/>
            <sz val="9"/>
            <color indexed="81"/>
            <rFont val="Tahoma"/>
            <family val="2"/>
          </rPr>
          <t>&lt;[[TCDeals] - [TC Property Current Stage (Seq: 1)] - [Buildings (Seq: 94)] PVC8609 Credit - Both]&gt;</t>
        </r>
      </text>
    </comment>
    <comment ref="K1297" authorId="0" shapeId="0" xr:uid="{CDED9EC0-3324-49C9-9834-0FDF17BC73E8}">
      <text>
        <r>
          <rPr>
            <b/>
            <sz val="9"/>
            <color indexed="81"/>
            <rFont val="Tahoma"/>
            <family val="2"/>
          </rPr>
          <t>&lt;[[TCDeals] - [TC Property Current Stage (Seq: 1)] - [Buildings (Seq: 94)] Constr PIS Date - Both]&gt;</t>
        </r>
      </text>
    </comment>
    <comment ref="L1297" authorId="0" shapeId="0" xr:uid="{84F1CEB5-B8C7-4A33-90C6-D2C7A75D6109}">
      <text>
        <r>
          <rPr>
            <b/>
            <sz val="9"/>
            <color indexed="81"/>
            <rFont val="Tahoma"/>
            <family val="2"/>
          </rPr>
          <t>&lt;[[TCDeals] - [TC Property Current Stage (Seq: 1)] - [Buildings (Seq: 94)] Constr Applicable Percentage - Both]&gt;</t>
        </r>
      </text>
    </comment>
    <comment ref="M1297" authorId="0" shapeId="0" xr:uid="{4966B184-3D3B-4F7C-95BC-E6185697A848}">
      <text>
        <r>
          <rPr>
            <b/>
            <sz val="9"/>
            <color indexed="81"/>
            <rFont val="Tahoma"/>
            <family val="2"/>
          </rPr>
          <t>&lt;[[TCDeals] - [TC Property Current Stage (Seq: 1)] - [Buildings (Seq: 94)] Constr Est Qual Basis - Both]&gt;</t>
        </r>
      </text>
    </comment>
    <comment ref="N1297" authorId="0" shapeId="0" xr:uid="{EC0CD307-A3D9-4E30-B4D0-3291BFDE5BA8}">
      <text>
        <r>
          <rPr>
            <b/>
            <sz val="9"/>
            <color indexed="81"/>
            <rFont val="Tahoma"/>
            <family val="2"/>
          </rPr>
          <t>&lt;[[TCDeals] - [TC Property Current Stage (Seq: 1)] - [Buildings (Seq: 94)] Constr 8609 Basis - Both]&gt;</t>
        </r>
      </text>
    </comment>
    <comment ref="O1297" authorId="0" shapeId="0" xr:uid="{B4AEB952-21A9-4320-8615-69A1BDAD6E5D}">
      <text>
        <r>
          <rPr>
            <b/>
            <sz val="9"/>
            <color indexed="81"/>
            <rFont val="Tahoma"/>
            <family val="2"/>
          </rPr>
          <t>&lt;[[TCDeals] - [TC Property Current Stage (Seq: 1)] - [Buildings (Seq: 94)] Constr 8609 Credit - Both]&gt;</t>
        </r>
      </text>
    </comment>
    <comment ref="P1297" authorId="0" shapeId="0" xr:uid="{27225D8E-521E-42BA-A4EA-D1397F4EBC7C}">
      <text>
        <r>
          <rPr>
            <b/>
            <sz val="9"/>
            <color indexed="81"/>
            <rFont val="Tahoma"/>
            <family val="2"/>
          </rPr>
          <t>&lt;[[TCDeals] - [TC Property Current Stage (Seq: 1)] - [Buildings (Seq: 94)] Acq PIS Date - Both]&gt;</t>
        </r>
      </text>
    </comment>
    <comment ref="Q1297" authorId="0" shapeId="0" xr:uid="{D696493E-06B9-4938-A015-74ADC19757A7}">
      <text>
        <r>
          <rPr>
            <b/>
            <sz val="9"/>
            <color indexed="81"/>
            <rFont val="Tahoma"/>
            <family val="2"/>
          </rPr>
          <t>&lt;[[TCDeals] - [TC Property Current Stage (Seq: 1)] - [Buildings (Seq: 94)] Acq Applicable Percentage - Both]&gt;</t>
        </r>
      </text>
    </comment>
    <comment ref="R1297" authorId="0" shapeId="0" xr:uid="{499F86A3-CD04-43FF-A191-DA32B8130916}">
      <text>
        <r>
          <rPr>
            <b/>
            <sz val="9"/>
            <color indexed="81"/>
            <rFont val="Tahoma"/>
            <family val="2"/>
          </rPr>
          <t>&lt;[[TCDeals] - [TC Property Current Stage (Seq: 1)] - [Buildings (Seq: 94)] Acq Est Qual Basis - Both]&gt;</t>
        </r>
      </text>
    </comment>
    <comment ref="S1297" authorId="0" shapeId="0" xr:uid="{7AEEB7AA-6022-47AD-8480-AC1CC31F6F07}">
      <text>
        <r>
          <rPr>
            <b/>
            <sz val="9"/>
            <color indexed="81"/>
            <rFont val="Tahoma"/>
            <family val="2"/>
          </rPr>
          <t>&lt;[[TCDeals] - [TC Property Current Stage (Seq: 1)] - [Buildings (Seq: 94)] Acq 8609 Basis - Both]&gt;</t>
        </r>
      </text>
    </comment>
    <comment ref="T1297" authorId="0" shapeId="0" xr:uid="{61FAB5FB-7265-4B07-9C9A-33DF675729CE}">
      <text>
        <r>
          <rPr>
            <b/>
            <sz val="9"/>
            <color indexed="81"/>
            <rFont val="Tahoma"/>
            <family val="2"/>
          </rPr>
          <t>&lt;[[TCDeals] - [TC Property Current Stage (Seq: 1)] - [Buildings (Seq: 94)] Acq 8609 Credit - Both]&gt;</t>
        </r>
      </text>
    </comment>
    <comment ref="C1298" authorId="0" shapeId="0" xr:uid="{803E3B02-A4FE-4A8E-A030-D3FF380CCD21}">
      <text>
        <r>
          <rPr>
            <b/>
            <sz val="9"/>
            <color indexed="81"/>
            <rFont val="Tahoma"/>
            <family val="2"/>
          </rPr>
          <t>&lt;[[TCDeals] - [TC Property Current Stage (Seq: 1)] - [Buildings (Seq: 95)] BIN - Both]&gt;</t>
        </r>
      </text>
    </comment>
    <comment ref="D1298" authorId="0" shapeId="0" xr:uid="{3D1E478D-3A31-4A95-8E64-0F97EB5B16B9}">
      <text>
        <r>
          <rPr>
            <b/>
            <sz val="9"/>
            <color indexed="81"/>
            <rFont val="Tahoma"/>
            <family val="2"/>
          </rPr>
          <t>&lt;[[TCDeals] - [TC Property Current Stage (Seq: 1)] - [Buildings (Seq: 95)] Address 1 - Both]&gt;</t>
        </r>
      </text>
    </comment>
    <comment ref="E1298" authorId="0" shapeId="0" xr:uid="{1933D158-CF8B-4355-985A-6C173ECE4FC1}">
      <text>
        <r>
          <rPr>
            <b/>
            <sz val="9"/>
            <color indexed="81"/>
            <rFont val="Tahoma"/>
            <family val="2"/>
          </rPr>
          <t>&lt;[[TCDeals] - [TC Property Current Stage (Seq: 1)] - [Buildings (Seq: 95)] Num TC Units - Both]&gt;</t>
        </r>
      </text>
    </comment>
    <comment ref="F1298" authorId="0" shapeId="0" xr:uid="{E2B00684-EA7E-4111-9EDA-70AEAD8EC08C}">
      <text>
        <r>
          <rPr>
            <b/>
            <sz val="9"/>
            <color indexed="81"/>
            <rFont val="Tahoma"/>
            <family val="2"/>
          </rPr>
          <t>&lt;[[TCDeals] - [TC Property Current Stage (Seq: 1)] - [Buildings (Seq: 95)] PVC PIS Date - Both]&gt;</t>
        </r>
      </text>
    </comment>
    <comment ref="G1298" authorId="0" shapeId="0" xr:uid="{C235EF55-924A-4F45-B4B1-5E0F51FF9519}">
      <text>
        <r>
          <rPr>
            <b/>
            <sz val="9"/>
            <color indexed="81"/>
            <rFont val="Tahoma"/>
            <family val="2"/>
          </rPr>
          <t>&lt;[[TCDeals] - [TC Property Current Stage (Seq: 1)] - [Buildings (Seq: 95)] PVC Applicable Percentage - Both]&gt;</t>
        </r>
      </text>
    </comment>
    <comment ref="H1298" authorId="0" shapeId="0" xr:uid="{D5381186-D2A1-4BC6-8FDE-D874B0CC16EB}">
      <text>
        <r>
          <rPr>
            <b/>
            <sz val="9"/>
            <color indexed="81"/>
            <rFont val="Tahoma"/>
            <family val="2"/>
          </rPr>
          <t>&lt;[[TCDeals] - [TC Property Current Stage (Seq: 1)] - [Buildings (Seq: 95)] PVC Est Qual Basis - Both]&gt;</t>
        </r>
      </text>
    </comment>
    <comment ref="I1298" authorId="0" shapeId="0" xr:uid="{0EB3A952-D408-44BB-9435-993FDC0F5274}">
      <text>
        <r>
          <rPr>
            <b/>
            <sz val="9"/>
            <color indexed="81"/>
            <rFont val="Tahoma"/>
            <family val="2"/>
          </rPr>
          <t>&lt;[[TCDeals] - [TC Property Current Stage (Seq: 1)] - [Buildings (Seq: 95)] PVC8609 Basis - Both]&gt;</t>
        </r>
      </text>
    </comment>
    <comment ref="J1298" authorId="0" shapeId="0" xr:uid="{E346362E-1B8F-4E2A-B19F-38B07D65EACD}">
      <text>
        <r>
          <rPr>
            <b/>
            <sz val="9"/>
            <color indexed="81"/>
            <rFont val="Tahoma"/>
            <family val="2"/>
          </rPr>
          <t>&lt;[[TCDeals] - [TC Property Current Stage (Seq: 1)] - [Buildings (Seq: 95)] PVC8609 Credit - Both]&gt;</t>
        </r>
      </text>
    </comment>
    <comment ref="K1298" authorId="0" shapeId="0" xr:uid="{27BBE89B-0492-4F2E-BC8C-2023B4C2B686}">
      <text>
        <r>
          <rPr>
            <b/>
            <sz val="9"/>
            <color indexed="81"/>
            <rFont val="Tahoma"/>
            <family val="2"/>
          </rPr>
          <t>&lt;[[TCDeals] - [TC Property Current Stage (Seq: 1)] - [Buildings (Seq: 95)] Constr PIS Date - Both]&gt;</t>
        </r>
      </text>
    </comment>
    <comment ref="L1298" authorId="0" shapeId="0" xr:uid="{7563D8D9-115F-4245-B624-AC62724167DD}">
      <text>
        <r>
          <rPr>
            <b/>
            <sz val="9"/>
            <color indexed="81"/>
            <rFont val="Tahoma"/>
            <family val="2"/>
          </rPr>
          <t>&lt;[[TCDeals] - [TC Property Current Stage (Seq: 1)] - [Buildings (Seq: 95)] Constr Applicable Percentage - Both]&gt;</t>
        </r>
      </text>
    </comment>
    <comment ref="M1298" authorId="0" shapeId="0" xr:uid="{EAA0496B-1BD4-4D67-A0DE-6BC98C2061A2}">
      <text>
        <r>
          <rPr>
            <b/>
            <sz val="9"/>
            <color indexed="81"/>
            <rFont val="Tahoma"/>
            <family val="2"/>
          </rPr>
          <t>&lt;[[TCDeals] - [TC Property Current Stage (Seq: 1)] - [Buildings (Seq: 95)] Constr Est Qual Basis - Both]&gt;</t>
        </r>
      </text>
    </comment>
    <comment ref="N1298" authorId="0" shapeId="0" xr:uid="{E483FF67-615B-4C84-861A-48613B35F9A8}">
      <text>
        <r>
          <rPr>
            <b/>
            <sz val="9"/>
            <color indexed="81"/>
            <rFont val="Tahoma"/>
            <family val="2"/>
          </rPr>
          <t>&lt;[[TCDeals] - [TC Property Current Stage (Seq: 1)] - [Buildings (Seq: 95)] Constr 8609 Basis - Both]&gt;</t>
        </r>
      </text>
    </comment>
    <comment ref="O1298" authorId="0" shapeId="0" xr:uid="{88C27901-ED89-4D1A-9E6F-9F546320E099}">
      <text>
        <r>
          <rPr>
            <b/>
            <sz val="9"/>
            <color indexed="81"/>
            <rFont val="Tahoma"/>
            <family val="2"/>
          </rPr>
          <t>&lt;[[TCDeals] - [TC Property Current Stage (Seq: 1)] - [Buildings (Seq: 95)] Constr 8609 Credit - Both]&gt;</t>
        </r>
      </text>
    </comment>
    <comment ref="P1298" authorId="0" shapeId="0" xr:uid="{B2845161-375A-4CB3-AD1C-79CC56F5C140}">
      <text>
        <r>
          <rPr>
            <b/>
            <sz val="9"/>
            <color indexed="81"/>
            <rFont val="Tahoma"/>
            <family val="2"/>
          </rPr>
          <t>&lt;[[TCDeals] - [TC Property Current Stage (Seq: 1)] - [Buildings (Seq: 95)] Acq PIS Date - Both]&gt;</t>
        </r>
      </text>
    </comment>
    <comment ref="Q1298" authorId="0" shapeId="0" xr:uid="{81E7CDAB-3E4B-48F4-B656-11DF9CFF3596}">
      <text>
        <r>
          <rPr>
            <b/>
            <sz val="9"/>
            <color indexed="81"/>
            <rFont val="Tahoma"/>
            <family val="2"/>
          </rPr>
          <t>&lt;[[TCDeals] - [TC Property Current Stage (Seq: 1)] - [Buildings (Seq: 95)] Acq Applicable Percentage - Both]&gt;</t>
        </r>
      </text>
    </comment>
    <comment ref="R1298" authorId="0" shapeId="0" xr:uid="{07F2D447-D45D-425D-993E-4B7403B048EB}">
      <text>
        <r>
          <rPr>
            <b/>
            <sz val="9"/>
            <color indexed="81"/>
            <rFont val="Tahoma"/>
            <family val="2"/>
          </rPr>
          <t>&lt;[[TCDeals] - [TC Property Current Stage (Seq: 1)] - [Buildings (Seq: 95)] Acq Est Qual Basis - Both]&gt;</t>
        </r>
      </text>
    </comment>
    <comment ref="S1298" authorId="0" shapeId="0" xr:uid="{D0A14B32-3EED-4F2E-936C-5C28C8AF62ED}">
      <text>
        <r>
          <rPr>
            <b/>
            <sz val="9"/>
            <color indexed="81"/>
            <rFont val="Tahoma"/>
            <family val="2"/>
          </rPr>
          <t>&lt;[[TCDeals] - [TC Property Current Stage (Seq: 1)] - [Buildings (Seq: 95)] Acq 8609 Basis - Both]&gt;</t>
        </r>
      </text>
    </comment>
    <comment ref="T1298" authorId="0" shapeId="0" xr:uid="{880F748B-3527-4C27-A30D-9BD71A89CC1E}">
      <text>
        <r>
          <rPr>
            <b/>
            <sz val="9"/>
            <color indexed="81"/>
            <rFont val="Tahoma"/>
            <family val="2"/>
          </rPr>
          <t>&lt;[[TCDeals] - [TC Property Current Stage (Seq: 1)] - [Buildings (Seq: 95)] Acq 8609 Credit - Both]&gt;</t>
        </r>
      </text>
    </comment>
    <comment ref="C1299" authorId="0" shapeId="0" xr:uid="{211ED4A7-6DBE-4E9B-9E8D-A6749DFDFD7B}">
      <text>
        <r>
          <rPr>
            <b/>
            <sz val="9"/>
            <color indexed="81"/>
            <rFont val="Tahoma"/>
            <family val="2"/>
          </rPr>
          <t>&lt;[[TCDeals] - [TC Property Current Stage (Seq: 1)] - [Buildings (Seq: 96)] BIN - Both]&gt;</t>
        </r>
      </text>
    </comment>
    <comment ref="D1299" authorId="0" shapeId="0" xr:uid="{C9387245-0630-4E9D-9A7F-D085A3B0542C}">
      <text>
        <r>
          <rPr>
            <b/>
            <sz val="9"/>
            <color indexed="81"/>
            <rFont val="Tahoma"/>
            <family val="2"/>
          </rPr>
          <t>&lt;[[TCDeals] - [TC Property Current Stage (Seq: 1)] - [Buildings (Seq: 96)] Address 1 - Both]&gt;</t>
        </r>
      </text>
    </comment>
    <comment ref="E1299" authorId="0" shapeId="0" xr:uid="{2CEBD076-DD04-4C76-B37A-B13C77987BA0}">
      <text>
        <r>
          <rPr>
            <b/>
            <sz val="9"/>
            <color indexed="81"/>
            <rFont val="Tahoma"/>
            <family val="2"/>
          </rPr>
          <t>&lt;[[TCDeals] - [TC Property Current Stage (Seq: 1)] - [Buildings (Seq: 96)] Num TC Units - Both]&gt;</t>
        </r>
      </text>
    </comment>
    <comment ref="F1299" authorId="0" shapeId="0" xr:uid="{5EEFC742-630A-4795-A3D5-55CE568892E1}">
      <text>
        <r>
          <rPr>
            <b/>
            <sz val="9"/>
            <color indexed="81"/>
            <rFont val="Tahoma"/>
            <family val="2"/>
          </rPr>
          <t>&lt;[[TCDeals] - [TC Property Current Stage (Seq: 1)] - [Buildings (Seq: 96)] PVC PIS Date - Both]&gt;</t>
        </r>
      </text>
    </comment>
    <comment ref="G1299" authorId="0" shapeId="0" xr:uid="{E1259557-903E-46A1-A75B-AFBB208D42DA}">
      <text>
        <r>
          <rPr>
            <b/>
            <sz val="9"/>
            <color indexed="81"/>
            <rFont val="Tahoma"/>
            <family val="2"/>
          </rPr>
          <t>&lt;[[TCDeals] - [TC Property Current Stage (Seq: 1)] - [Buildings (Seq: 96)] PVC Applicable Percentage - Both]&gt;</t>
        </r>
      </text>
    </comment>
    <comment ref="H1299" authorId="0" shapeId="0" xr:uid="{94A9E055-F8AF-4959-921A-A59D529E420B}">
      <text>
        <r>
          <rPr>
            <b/>
            <sz val="9"/>
            <color indexed="81"/>
            <rFont val="Tahoma"/>
            <family val="2"/>
          </rPr>
          <t>&lt;[[TCDeals] - [TC Property Current Stage (Seq: 1)] - [Buildings (Seq: 96)] PVC Est Qual Basis - Both]&gt;</t>
        </r>
      </text>
    </comment>
    <comment ref="I1299" authorId="0" shapeId="0" xr:uid="{A7132B85-0E18-4852-A9BB-FFE590811F51}">
      <text>
        <r>
          <rPr>
            <b/>
            <sz val="9"/>
            <color indexed="81"/>
            <rFont val="Tahoma"/>
            <family val="2"/>
          </rPr>
          <t>&lt;[[TCDeals] - [TC Property Current Stage (Seq: 1)] - [Buildings (Seq: 96)] PVC8609 Basis - Both]&gt;</t>
        </r>
      </text>
    </comment>
    <comment ref="J1299" authorId="0" shapeId="0" xr:uid="{C3BA07CE-49FA-4E0E-8F37-4BEECA8EE4D1}">
      <text>
        <r>
          <rPr>
            <b/>
            <sz val="9"/>
            <color indexed="81"/>
            <rFont val="Tahoma"/>
            <family val="2"/>
          </rPr>
          <t>&lt;[[TCDeals] - [TC Property Current Stage (Seq: 1)] - [Buildings (Seq: 96)] PVC8609 Credit - Both]&gt;</t>
        </r>
      </text>
    </comment>
    <comment ref="K1299" authorId="0" shapeId="0" xr:uid="{A05C72DB-AEDA-4BA6-A31C-795324B1308A}">
      <text>
        <r>
          <rPr>
            <b/>
            <sz val="9"/>
            <color indexed="81"/>
            <rFont val="Tahoma"/>
            <family val="2"/>
          </rPr>
          <t>&lt;[[TCDeals] - [TC Property Current Stage (Seq: 1)] - [Buildings (Seq: 96)] Constr PIS Date - Both]&gt;</t>
        </r>
      </text>
    </comment>
    <comment ref="L1299" authorId="0" shapeId="0" xr:uid="{D6EE1DB6-BEEC-4960-8EE8-CFEC5414CB49}">
      <text>
        <r>
          <rPr>
            <b/>
            <sz val="9"/>
            <color indexed="81"/>
            <rFont val="Tahoma"/>
            <family val="2"/>
          </rPr>
          <t>&lt;[[TCDeals] - [TC Property Current Stage (Seq: 1)] - [Buildings (Seq: 96)] Constr Applicable Percentage - Both]&gt;</t>
        </r>
      </text>
    </comment>
    <comment ref="M1299" authorId="0" shapeId="0" xr:uid="{EDABF115-2062-43E4-BA58-D70E92D2ED90}">
      <text>
        <r>
          <rPr>
            <b/>
            <sz val="9"/>
            <color indexed="81"/>
            <rFont val="Tahoma"/>
            <family val="2"/>
          </rPr>
          <t>&lt;[[TCDeals] - [TC Property Current Stage (Seq: 1)] - [Buildings (Seq: 96)] Constr Est Qual Basis - Both]&gt;</t>
        </r>
      </text>
    </comment>
    <comment ref="N1299" authorId="0" shapeId="0" xr:uid="{DF7F3E6F-FE7A-4A9B-B373-399B517E4BC7}">
      <text>
        <r>
          <rPr>
            <b/>
            <sz val="9"/>
            <color indexed="81"/>
            <rFont val="Tahoma"/>
            <family val="2"/>
          </rPr>
          <t>&lt;[[TCDeals] - [TC Property Current Stage (Seq: 1)] - [Buildings (Seq: 96)] Constr 8609 Basis - Both]&gt;</t>
        </r>
      </text>
    </comment>
    <comment ref="O1299" authorId="0" shapeId="0" xr:uid="{9D494055-C8D7-4614-8121-BB957DB36B79}">
      <text>
        <r>
          <rPr>
            <b/>
            <sz val="9"/>
            <color indexed="81"/>
            <rFont val="Tahoma"/>
            <family val="2"/>
          </rPr>
          <t>&lt;[[TCDeals] - [TC Property Current Stage (Seq: 1)] - [Buildings (Seq: 96)] Constr 8609 Credit - Both]&gt;</t>
        </r>
      </text>
    </comment>
    <comment ref="P1299" authorId="0" shapeId="0" xr:uid="{46EDABF8-CCE0-4E70-8BC0-AEB3928B603F}">
      <text>
        <r>
          <rPr>
            <b/>
            <sz val="9"/>
            <color indexed="81"/>
            <rFont val="Tahoma"/>
            <family val="2"/>
          </rPr>
          <t>&lt;[[TCDeals] - [TC Property Current Stage (Seq: 1)] - [Buildings (Seq: 96)] Acq PIS Date - Both]&gt;</t>
        </r>
      </text>
    </comment>
    <comment ref="Q1299" authorId="0" shapeId="0" xr:uid="{6121D6F3-145D-43D9-BC10-8886957F133A}">
      <text>
        <r>
          <rPr>
            <b/>
            <sz val="9"/>
            <color indexed="81"/>
            <rFont val="Tahoma"/>
            <family val="2"/>
          </rPr>
          <t>&lt;[[TCDeals] - [TC Property Current Stage (Seq: 1)] - [Buildings (Seq: 96)] Acq Applicable Percentage - Both]&gt;</t>
        </r>
      </text>
    </comment>
    <comment ref="R1299" authorId="0" shapeId="0" xr:uid="{96A7153D-5DAD-44E9-BEE7-1756691876DA}">
      <text>
        <r>
          <rPr>
            <b/>
            <sz val="9"/>
            <color indexed="81"/>
            <rFont val="Tahoma"/>
            <family val="2"/>
          </rPr>
          <t>&lt;[[TCDeals] - [TC Property Current Stage (Seq: 1)] - [Buildings (Seq: 96)] Acq Est Qual Basis - Both]&gt;</t>
        </r>
      </text>
    </comment>
    <comment ref="S1299" authorId="0" shapeId="0" xr:uid="{15D45CB9-2163-460C-A0AB-03FFF518AA86}">
      <text>
        <r>
          <rPr>
            <b/>
            <sz val="9"/>
            <color indexed="81"/>
            <rFont val="Tahoma"/>
            <family val="2"/>
          </rPr>
          <t>&lt;[[TCDeals] - [TC Property Current Stage (Seq: 1)] - [Buildings (Seq: 96)] Acq 8609 Basis - Both]&gt;</t>
        </r>
      </text>
    </comment>
    <comment ref="T1299" authorId="0" shapeId="0" xr:uid="{64065861-8710-48D0-AFB9-4F1706FB4234}">
      <text>
        <r>
          <rPr>
            <b/>
            <sz val="9"/>
            <color indexed="81"/>
            <rFont val="Tahoma"/>
            <family val="2"/>
          </rPr>
          <t>&lt;[[TCDeals] - [TC Property Current Stage (Seq: 1)] - [Buildings (Seq: 96)] Acq 8609 Credit - Both]&gt;</t>
        </r>
      </text>
    </comment>
    <comment ref="C1300" authorId="0" shapeId="0" xr:uid="{B9EDBFF3-95EF-43E2-9A66-00091F5AA823}">
      <text>
        <r>
          <rPr>
            <b/>
            <sz val="9"/>
            <color indexed="81"/>
            <rFont val="Tahoma"/>
            <family val="2"/>
          </rPr>
          <t>&lt;[[TCDeals] - [TC Property Current Stage (Seq: 1)] - [Buildings (Seq: 97)] BIN - Both]&gt;</t>
        </r>
      </text>
    </comment>
    <comment ref="D1300" authorId="0" shapeId="0" xr:uid="{43431E9C-849D-46C3-9BB9-7B4C3EE4A57F}">
      <text>
        <r>
          <rPr>
            <b/>
            <sz val="9"/>
            <color indexed="81"/>
            <rFont val="Tahoma"/>
            <family val="2"/>
          </rPr>
          <t>&lt;[[TCDeals] - [TC Property Current Stage (Seq: 1)] - [Buildings (Seq: 97)] Address 1 - Both]&gt;</t>
        </r>
      </text>
    </comment>
    <comment ref="E1300" authorId="0" shapeId="0" xr:uid="{A1855440-910E-4875-AF8A-2D63762967ED}">
      <text>
        <r>
          <rPr>
            <b/>
            <sz val="9"/>
            <color indexed="81"/>
            <rFont val="Tahoma"/>
            <family val="2"/>
          </rPr>
          <t>&lt;[[TCDeals] - [TC Property Current Stage (Seq: 1)] - [Buildings (Seq: 97)] Num TC Units - Both]&gt;</t>
        </r>
      </text>
    </comment>
    <comment ref="F1300" authorId="0" shapeId="0" xr:uid="{B38EDE63-3158-4892-8437-982EC0892ED8}">
      <text>
        <r>
          <rPr>
            <b/>
            <sz val="9"/>
            <color indexed="81"/>
            <rFont val="Tahoma"/>
            <family val="2"/>
          </rPr>
          <t>&lt;[[TCDeals] - [TC Property Current Stage (Seq: 1)] - [Buildings (Seq: 97)] PVC PIS Date - Both]&gt;</t>
        </r>
      </text>
    </comment>
    <comment ref="G1300" authorId="0" shapeId="0" xr:uid="{8FD60A67-BFFF-4944-9DBA-86F92840C2E1}">
      <text>
        <r>
          <rPr>
            <b/>
            <sz val="9"/>
            <color indexed="81"/>
            <rFont val="Tahoma"/>
            <family val="2"/>
          </rPr>
          <t>&lt;[[TCDeals] - [TC Property Current Stage (Seq: 1)] - [Buildings (Seq: 97)] PVC Applicable Percentage - Both]&gt;</t>
        </r>
      </text>
    </comment>
    <comment ref="H1300" authorId="0" shapeId="0" xr:uid="{10045B23-42F5-42B9-B601-6A335AFA0FA9}">
      <text>
        <r>
          <rPr>
            <b/>
            <sz val="9"/>
            <color indexed="81"/>
            <rFont val="Tahoma"/>
            <family val="2"/>
          </rPr>
          <t>&lt;[[TCDeals] - [TC Property Current Stage (Seq: 1)] - [Buildings (Seq: 97)] PVC Est Qual Basis - Both]&gt;</t>
        </r>
      </text>
    </comment>
    <comment ref="I1300" authorId="0" shapeId="0" xr:uid="{66AD054A-4559-4D90-AB79-F438883473BA}">
      <text>
        <r>
          <rPr>
            <b/>
            <sz val="9"/>
            <color indexed="81"/>
            <rFont val="Tahoma"/>
            <family val="2"/>
          </rPr>
          <t>&lt;[[TCDeals] - [TC Property Current Stage (Seq: 1)] - [Buildings (Seq: 97)] PVC8609 Basis - Both]&gt;</t>
        </r>
      </text>
    </comment>
    <comment ref="J1300" authorId="0" shapeId="0" xr:uid="{C72A48A5-731F-4921-A775-58EE44113DB9}">
      <text>
        <r>
          <rPr>
            <b/>
            <sz val="9"/>
            <color indexed="81"/>
            <rFont val="Tahoma"/>
            <family val="2"/>
          </rPr>
          <t>&lt;[[TCDeals] - [TC Property Current Stage (Seq: 1)] - [Buildings (Seq: 97)] PVC8609 Credit - Both]&gt;</t>
        </r>
      </text>
    </comment>
    <comment ref="K1300" authorId="0" shapeId="0" xr:uid="{EC34BCE6-9B9F-4296-8C2D-3D74383EE7E7}">
      <text>
        <r>
          <rPr>
            <b/>
            <sz val="9"/>
            <color indexed="81"/>
            <rFont val="Tahoma"/>
            <family val="2"/>
          </rPr>
          <t>&lt;[[TCDeals] - [TC Property Current Stage (Seq: 1)] - [Buildings (Seq: 97)] Constr PIS Date - Both]&gt;</t>
        </r>
      </text>
    </comment>
    <comment ref="L1300" authorId="0" shapeId="0" xr:uid="{5A33860D-CCC4-4810-91DF-8E386142FFE8}">
      <text>
        <r>
          <rPr>
            <b/>
            <sz val="9"/>
            <color indexed="81"/>
            <rFont val="Tahoma"/>
            <family val="2"/>
          </rPr>
          <t>&lt;[[TCDeals] - [TC Property Current Stage (Seq: 1)] - [Buildings (Seq: 97)] Constr Applicable Percentage - Both]&gt;</t>
        </r>
      </text>
    </comment>
    <comment ref="M1300" authorId="0" shapeId="0" xr:uid="{8180B6F2-D2D1-4E43-BC38-600511B9C0EB}">
      <text>
        <r>
          <rPr>
            <b/>
            <sz val="9"/>
            <color indexed="81"/>
            <rFont val="Tahoma"/>
            <family val="2"/>
          </rPr>
          <t>&lt;[[TCDeals] - [TC Property Current Stage (Seq: 1)] - [Buildings (Seq: 97)] Constr Est Qual Basis - Both]&gt;</t>
        </r>
      </text>
    </comment>
    <comment ref="N1300" authorId="0" shapeId="0" xr:uid="{562B0AA1-706D-47D4-9BF8-00A06BFDC084}">
      <text>
        <r>
          <rPr>
            <b/>
            <sz val="9"/>
            <color indexed="81"/>
            <rFont val="Tahoma"/>
            <family val="2"/>
          </rPr>
          <t>&lt;[[TCDeals] - [TC Property Current Stage (Seq: 1)] - [Buildings (Seq: 97)] Constr 8609 Basis - Both]&gt;</t>
        </r>
      </text>
    </comment>
    <comment ref="O1300" authorId="0" shapeId="0" xr:uid="{7B0461CD-9F19-4A2B-A7E3-6A7AF0727D10}">
      <text>
        <r>
          <rPr>
            <b/>
            <sz val="9"/>
            <color indexed="81"/>
            <rFont val="Tahoma"/>
            <family val="2"/>
          </rPr>
          <t>&lt;[[TCDeals] - [TC Property Current Stage (Seq: 1)] - [Buildings (Seq: 97)] Constr 8609 Credit - Both]&gt;</t>
        </r>
      </text>
    </comment>
    <comment ref="P1300" authorId="0" shapeId="0" xr:uid="{6E478700-1654-4213-BA14-01FAB048E1E2}">
      <text>
        <r>
          <rPr>
            <b/>
            <sz val="9"/>
            <color indexed="81"/>
            <rFont val="Tahoma"/>
            <family val="2"/>
          </rPr>
          <t>&lt;[[TCDeals] - [TC Property Current Stage (Seq: 1)] - [Buildings (Seq: 97)] Acq PIS Date - Both]&gt;</t>
        </r>
      </text>
    </comment>
    <comment ref="Q1300" authorId="0" shapeId="0" xr:uid="{11CAA926-4E32-4257-9F90-E92013BAAB61}">
      <text>
        <r>
          <rPr>
            <b/>
            <sz val="9"/>
            <color indexed="81"/>
            <rFont val="Tahoma"/>
            <family val="2"/>
          </rPr>
          <t>&lt;[[TCDeals] - [TC Property Current Stage (Seq: 1)] - [Buildings (Seq: 97)] Acq Applicable Percentage - Both]&gt;</t>
        </r>
      </text>
    </comment>
    <comment ref="R1300" authorId="0" shapeId="0" xr:uid="{5394E0DC-7B8F-463F-872B-C2EDB2561605}">
      <text>
        <r>
          <rPr>
            <b/>
            <sz val="9"/>
            <color indexed="81"/>
            <rFont val="Tahoma"/>
            <family val="2"/>
          </rPr>
          <t>&lt;[[TCDeals] - [TC Property Current Stage (Seq: 1)] - [Buildings (Seq: 97)] Acq Est Qual Basis - Both]&gt;</t>
        </r>
      </text>
    </comment>
    <comment ref="S1300" authorId="0" shapeId="0" xr:uid="{545BB134-0D10-4E70-9873-D09613168959}">
      <text>
        <r>
          <rPr>
            <b/>
            <sz val="9"/>
            <color indexed="81"/>
            <rFont val="Tahoma"/>
            <family val="2"/>
          </rPr>
          <t>&lt;[[TCDeals] - [TC Property Current Stage (Seq: 1)] - [Buildings (Seq: 97)] Acq 8609 Basis - Both]&gt;</t>
        </r>
      </text>
    </comment>
    <comment ref="T1300" authorId="0" shapeId="0" xr:uid="{B03714BD-B407-473B-AD06-DDF5016ECA0F}">
      <text>
        <r>
          <rPr>
            <b/>
            <sz val="9"/>
            <color indexed="81"/>
            <rFont val="Tahoma"/>
            <family val="2"/>
          </rPr>
          <t>&lt;[[TCDeals] - [TC Property Current Stage (Seq: 1)] - [Buildings (Seq: 97)] Acq 8609 Credit - Both]&gt;</t>
        </r>
      </text>
    </comment>
    <comment ref="C1301" authorId="0" shapeId="0" xr:uid="{2DA24520-90F6-486E-BBEA-FB1D0B689CE3}">
      <text>
        <r>
          <rPr>
            <b/>
            <sz val="9"/>
            <color indexed="81"/>
            <rFont val="Tahoma"/>
            <family val="2"/>
          </rPr>
          <t>&lt;[[TCDeals] - [TC Property Current Stage (Seq: 1)] - [Buildings (Seq: 98)] BIN - Both]&gt;</t>
        </r>
      </text>
    </comment>
    <comment ref="D1301" authorId="0" shapeId="0" xr:uid="{B13548D6-4816-41E7-A38D-D7E21398F952}">
      <text>
        <r>
          <rPr>
            <b/>
            <sz val="9"/>
            <color indexed="81"/>
            <rFont val="Tahoma"/>
            <family val="2"/>
          </rPr>
          <t>&lt;[[TCDeals] - [TC Property Current Stage (Seq: 1)] - [Buildings (Seq: 98)] Address 1 - Both]&gt;</t>
        </r>
      </text>
    </comment>
    <comment ref="E1301" authorId="0" shapeId="0" xr:uid="{90B8B28A-EC92-493F-B0E0-ED5E5964A9E7}">
      <text>
        <r>
          <rPr>
            <b/>
            <sz val="9"/>
            <color indexed="81"/>
            <rFont val="Tahoma"/>
            <family val="2"/>
          </rPr>
          <t>&lt;[[TCDeals] - [TC Property Current Stage (Seq: 1)] - [Buildings (Seq: 98)] Num TC Units - Both]&gt;</t>
        </r>
      </text>
    </comment>
    <comment ref="F1301" authorId="0" shapeId="0" xr:uid="{3CE0335D-DE28-4819-882C-3A1DCC362C62}">
      <text>
        <r>
          <rPr>
            <b/>
            <sz val="9"/>
            <color indexed="81"/>
            <rFont val="Tahoma"/>
            <family val="2"/>
          </rPr>
          <t>&lt;[[TCDeals] - [TC Property Current Stage (Seq: 1)] - [Buildings (Seq: 98)] PVC PIS Date - Both]&gt;</t>
        </r>
      </text>
    </comment>
    <comment ref="G1301" authorId="0" shapeId="0" xr:uid="{2795DDE2-0A78-4318-9453-E5AF19FA560C}">
      <text>
        <r>
          <rPr>
            <b/>
            <sz val="9"/>
            <color indexed="81"/>
            <rFont val="Tahoma"/>
            <family val="2"/>
          </rPr>
          <t>&lt;[[TCDeals] - [TC Property Current Stage (Seq: 1)] - [Buildings (Seq: 98)] PVC Applicable Percentage - Both]&gt;</t>
        </r>
      </text>
    </comment>
    <comment ref="H1301" authorId="0" shapeId="0" xr:uid="{37E40422-8FBB-439F-BB3E-C6496A2DF92C}">
      <text>
        <r>
          <rPr>
            <b/>
            <sz val="9"/>
            <color indexed="81"/>
            <rFont val="Tahoma"/>
            <family val="2"/>
          </rPr>
          <t>&lt;[[TCDeals] - [TC Property Current Stage (Seq: 1)] - [Buildings (Seq: 98)] PVC Est Qual Basis - Both]&gt;</t>
        </r>
      </text>
    </comment>
    <comment ref="I1301" authorId="0" shapeId="0" xr:uid="{E6818EF1-BB1C-4876-AA04-365B7623B50F}">
      <text>
        <r>
          <rPr>
            <b/>
            <sz val="9"/>
            <color indexed="81"/>
            <rFont val="Tahoma"/>
            <family val="2"/>
          </rPr>
          <t>&lt;[[TCDeals] - [TC Property Current Stage (Seq: 1)] - [Buildings (Seq: 98)] PVC8609 Basis - Both]&gt;</t>
        </r>
      </text>
    </comment>
    <comment ref="J1301" authorId="0" shapeId="0" xr:uid="{B0457E5E-9EEC-4E60-B7E0-B3F978EE1025}">
      <text>
        <r>
          <rPr>
            <b/>
            <sz val="9"/>
            <color indexed="81"/>
            <rFont val="Tahoma"/>
            <family val="2"/>
          </rPr>
          <t>&lt;[[TCDeals] - [TC Property Current Stage (Seq: 1)] - [Buildings (Seq: 98)] PVC8609 Credit - Both]&gt;</t>
        </r>
      </text>
    </comment>
    <comment ref="K1301" authorId="0" shapeId="0" xr:uid="{8FD3A793-2981-44AF-95E4-E90BA9F27FCF}">
      <text>
        <r>
          <rPr>
            <b/>
            <sz val="9"/>
            <color indexed="81"/>
            <rFont val="Tahoma"/>
            <family val="2"/>
          </rPr>
          <t>&lt;[[TCDeals] - [TC Property Current Stage (Seq: 1)] - [Buildings (Seq: 98)] Constr PIS Date - Both]&gt;</t>
        </r>
      </text>
    </comment>
    <comment ref="L1301" authorId="0" shapeId="0" xr:uid="{2DE79876-FE78-4EB8-80F0-9C910793F258}">
      <text>
        <r>
          <rPr>
            <b/>
            <sz val="9"/>
            <color indexed="81"/>
            <rFont val="Tahoma"/>
            <family val="2"/>
          </rPr>
          <t>&lt;[[TCDeals] - [TC Property Current Stage (Seq: 1)] - [Buildings (Seq: 98)] Constr Applicable Percentage - Both]&gt;</t>
        </r>
      </text>
    </comment>
    <comment ref="M1301" authorId="0" shapeId="0" xr:uid="{492C7321-2942-465A-B33A-A926B3582A17}">
      <text>
        <r>
          <rPr>
            <b/>
            <sz val="9"/>
            <color indexed="81"/>
            <rFont val="Tahoma"/>
            <family val="2"/>
          </rPr>
          <t>&lt;[[TCDeals] - [TC Property Current Stage (Seq: 1)] - [Buildings (Seq: 98)] Constr Est Qual Basis - Both]&gt;</t>
        </r>
      </text>
    </comment>
    <comment ref="N1301" authorId="0" shapeId="0" xr:uid="{928E1F00-BBAE-4234-B912-50764AD8E63B}">
      <text>
        <r>
          <rPr>
            <b/>
            <sz val="9"/>
            <color indexed="81"/>
            <rFont val="Tahoma"/>
            <family val="2"/>
          </rPr>
          <t>&lt;[[TCDeals] - [TC Property Current Stage (Seq: 1)] - [Buildings (Seq: 98)] Constr 8609 Basis - Both]&gt;</t>
        </r>
      </text>
    </comment>
    <comment ref="O1301" authorId="0" shapeId="0" xr:uid="{3A1F03AB-4DC8-484B-AF85-4D85972366D6}">
      <text>
        <r>
          <rPr>
            <b/>
            <sz val="9"/>
            <color indexed="81"/>
            <rFont val="Tahoma"/>
            <family val="2"/>
          </rPr>
          <t>&lt;[[TCDeals] - [TC Property Current Stage (Seq: 1)] - [Buildings (Seq: 98)] Constr 8609 Credit - Both]&gt;</t>
        </r>
      </text>
    </comment>
    <comment ref="P1301" authorId="0" shapeId="0" xr:uid="{BEA8C426-525E-4F5F-B674-676B1681F516}">
      <text>
        <r>
          <rPr>
            <b/>
            <sz val="9"/>
            <color indexed="81"/>
            <rFont val="Tahoma"/>
            <family val="2"/>
          </rPr>
          <t>&lt;[[TCDeals] - [TC Property Current Stage (Seq: 1)] - [Buildings (Seq: 98)] Acq PIS Date - Both]&gt;</t>
        </r>
      </text>
    </comment>
    <comment ref="Q1301" authorId="0" shapeId="0" xr:uid="{52B440C9-8BD6-4779-9CC4-F6C194A50BAD}">
      <text>
        <r>
          <rPr>
            <b/>
            <sz val="9"/>
            <color indexed="81"/>
            <rFont val="Tahoma"/>
            <family val="2"/>
          </rPr>
          <t>&lt;[[TCDeals] - [TC Property Current Stage (Seq: 1)] - [Buildings (Seq: 98)] Acq Applicable Percentage - Both]&gt;</t>
        </r>
      </text>
    </comment>
    <comment ref="R1301" authorId="0" shapeId="0" xr:uid="{67F24016-7717-4815-BB81-2A69844F79F6}">
      <text>
        <r>
          <rPr>
            <b/>
            <sz val="9"/>
            <color indexed="81"/>
            <rFont val="Tahoma"/>
            <family val="2"/>
          </rPr>
          <t>&lt;[[TCDeals] - [TC Property Current Stage (Seq: 1)] - [Buildings (Seq: 98)] Acq Est Qual Basis - Both]&gt;</t>
        </r>
      </text>
    </comment>
    <comment ref="S1301" authorId="0" shapeId="0" xr:uid="{9F37FF21-B68D-4CB8-9D17-FDBB8D4EB1E1}">
      <text>
        <r>
          <rPr>
            <b/>
            <sz val="9"/>
            <color indexed="81"/>
            <rFont val="Tahoma"/>
            <family val="2"/>
          </rPr>
          <t>&lt;[[TCDeals] - [TC Property Current Stage (Seq: 1)] - [Buildings (Seq: 98)] Acq 8609 Basis - Both]&gt;</t>
        </r>
      </text>
    </comment>
    <comment ref="T1301" authorId="0" shapeId="0" xr:uid="{F8E80DBB-C3DA-4D42-9BD0-BF31E2D040AF}">
      <text>
        <r>
          <rPr>
            <b/>
            <sz val="9"/>
            <color indexed="81"/>
            <rFont val="Tahoma"/>
            <family val="2"/>
          </rPr>
          <t>&lt;[[TCDeals] - [TC Property Current Stage (Seq: 1)] - [Buildings (Seq: 98)] Acq 8609 Credit - Both]&gt;</t>
        </r>
      </text>
    </comment>
    <comment ref="C1302" authorId="0" shapeId="0" xr:uid="{DDACB7D3-229C-442A-BCBE-5422E915B43A}">
      <text>
        <r>
          <rPr>
            <b/>
            <sz val="9"/>
            <color indexed="81"/>
            <rFont val="Tahoma"/>
            <family val="2"/>
          </rPr>
          <t>&lt;[[TCDeals] - [TC Property Current Stage (Seq: 1)] - [Buildings (Seq: 99)] BIN - Both]&gt;</t>
        </r>
      </text>
    </comment>
    <comment ref="D1302" authorId="0" shapeId="0" xr:uid="{0414837C-C39E-4AB0-8063-6AD682321128}">
      <text>
        <r>
          <rPr>
            <b/>
            <sz val="9"/>
            <color indexed="81"/>
            <rFont val="Tahoma"/>
            <family val="2"/>
          </rPr>
          <t>&lt;[[TCDeals] - [TC Property Current Stage (Seq: 1)] - [Buildings (Seq: 99)] Address 1 - Both]&gt;</t>
        </r>
      </text>
    </comment>
    <comment ref="E1302" authorId="0" shapeId="0" xr:uid="{A8DA67FE-4B95-402D-8595-B75D65E23938}">
      <text>
        <r>
          <rPr>
            <b/>
            <sz val="9"/>
            <color indexed="81"/>
            <rFont val="Tahoma"/>
            <family val="2"/>
          </rPr>
          <t>&lt;[[TCDeals] - [TC Property Current Stage (Seq: 1)] - [Buildings (Seq: 99)] Num TC Units - Both]&gt;</t>
        </r>
      </text>
    </comment>
    <comment ref="F1302" authorId="0" shapeId="0" xr:uid="{54535C84-A336-470C-ABC6-2F82B59C6302}">
      <text>
        <r>
          <rPr>
            <b/>
            <sz val="9"/>
            <color indexed="81"/>
            <rFont val="Tahoma"/>
            <family val="2"/>
          </rPr>
          <t>&lt;[[TCDeals] - [TC Property Current Stage (Seq: 1)] - [Buildings (Seq: 99)] PVC PIS Date - Both]&gt;</t>
        </r>
      </text>
    </comment>
    <comment ref="G1302" authorId="0" shapeId="0" xr:uid="{CA5CFCE6-9FDB-4AE4-9EB3-50C0CFA8D7A3}">
      <text>
        <r>
          <rPr>
            <b/>
            <sz val="9"/>
            <color indexed="81"/>
            <rFont val="Tahoma"/>
            <family val="2"/>
          </rPr>
          <t>&lt;[[TCDeals] - [TC Property Current Stage (Seq: 1)] - [Buildings (Seq: 99)] PVC Applicable Percentage - Both]&gt;</t>
        </r>
      </text>
    </comment>
    <comment ref="H1302" authorId="0" shapeId="0" xr:uid="{8F570373-6B08-4D09-9B56-E03CFC5303E8}">
      <text>
        <r>
          <rPr>
            <b/>
            <sz val="9"/>
            <color indexed="81"/>
            <rFont val="Tahoma"/>
            <family val="2"/>
          </rPr>
          <t>&lt;[[TCDeals] - [TC Property Current Stage (Seq: 1)] - [Buildings (Seq: 99)] PVC Est Qual Basis - Both]&gt;</t>
        </r>
      </text>
    </comment>
    <comment ref="I1302" authorId="0" shapeId="0" xr:uid="{56348E6F-1C28-4FFC-BE7E-8D57843162AE}">
      <text>
        <r>
          <rPr>
            <b/>
            <sz val="9"/>
            <color indexed="81"/>
            <rFont val="Tahoma"/>
            <family val="2"/>
          </rPr>
          <t>&lt;[[TCDeals] - [TC Property Current Stage (Seq: 1)] - [Buildings (Seq: 99)] PVC8609 Basis - Both]&gt;</t>
        </r>
      </text>
    </comment>
    <comment ref="J1302" authorId="0" shapeId="0" xr:uid="{E83584B4-73DB-496E-ADA9-4A08D6C52B5B}">
      <text>
        <r>
          <rPr>
            <b/>
            <sz val="9"/>
            <color indexed="81"/>
            <rFont val="Tahoma"/>
            <family val="2"/>
          </rPr>
          <t>&lt;[[TCDeals] - [TC Property Current Stage (Seq: 1)] - [Buildings (Seq: 99)] PVC8609 Credit - Both]&gt;</t>
        </r>
      </text>
    </comment>
    <comment ref="K1302" authorId="0" shapeId="0" xr:uid="{74DB7A30-6788-4B5E-81D5-F4FBAB7B3DD8}">
      <text>
        <r>
          <rPr>
            <b/>
            <sz val="9"/>
            <color indexed="81"/>
            <rFont val="Tahoma"/>
            <family val="2"/>
          </rPr>
          <t>&lt;[[TCDeals] - [TC Property Current Stage (Seq: 1)] - [Buildings (Seq: 99)] Constr PIS Date - Both]&gt;</t>
        </r>
      </text>
    </comment>
    <comment ref="L1302" authorId="0" shapeId="0" xr:uid="{D6F43B23-DE66-404F-9519-871E317504D5}">
      <text>
        <r>
          <rPr>
            <b/>
            <sz val="9"/>
            <color indexed="81"/>
            <rFont val="Tahoma"/>
            <family val="2"/>
          </rPr>
          <t>&lt;[[TCDeals] - [TC Property Current Stage (Seq: 1)] - [Buildings (Seq: 99)] Constr Applicable Percentage - Both]&gt;</t>
        </r>
      </text>
    </comment>
    <comment ref="M1302" authorId="0" shapeId="0" xr:uid="{F1C85265-0441-4AA4-BA1C-3E3E6D6C4198}">
      <text>
        <r>
          <rPr>
            <b/>
            <sz val="9"/>
            <color indexed="81"/>
            <rFont val="Tahoma"/>
            <family val="2"/>
          </rPr>
          <t>&lt;[[TCDeals] - [TC Property Current Stage (Seq: 1)] - [Buildings (Seq: 99)] Constr Est Qual Basis - Both]&gt;</t>
        </r>
      </text>
    </comment>
    <comment ref="N1302" authorId="0" shapeId="0" xr:uid="{E908BEAF-AEE5-414C-B7C4-4CCB5123E340}">
      <text>
        <r>
          <rPr>
            <b/>
            <sz val="9"/>
            <color indexed="81"/>
            <rFont val="Tahoma"/>
            <family val="2"/>
          </rPr>
          <t>&lt;[[TCDeals] - [TC Property Current Stage (Seq: 1)] - [Buildings (Seq: 99)] Constr 8609 Basis - Both]&gt;</t>
        </r>
      </text>
    </comment>
    <comment ref="O1302" authorId="0" shapeId="0" xr:uid="{DB286BB1-DCA0-48A9-AAFA-D02D848397E2}">
      <text>
        <r>
          <rPr>
            <b/>
            <sz val="9"/>
            <color indexed="81"/>
            <rFont val="Tahoma"/>
            <family val="2"/>
          </rPr>
          <t>&lt;[[TCDeals] - [TC Property Current Stage (Seq: 1)] - [Buildings (Seq: 99)] Constr 8609 Credit - Both]&gt;</t>
        </r>
      </text>
    </comment>
    <comment ref="P1302" authorId="0" shapeId="0" xr:uid="{466BF326-86F5-443D-9E2E-5301380E46A6}">
      <text>
        <r>
          <rPr>
            <b/>
            <sz val="9"/>
            <color indexed="81"/>
            <rFont val="Tahoma"/>
            <family val="2"/>
          </rPr>
          <t>&lt;[[TCDeals] - [TC Property Current Stage (Seq: 1)] - [Buildings (Seq: 99)] Acq PIS Date - Both]&gt;</t>
        </r>
      </text>
    </comment>
    <comment ref="Q1302" authorId="0" shapeId="0" xr:uid="{F097D657-D442-47D3-BDED-58E79EFE27E9}">
      <text>
        <r>
          <rPr>
            <b/>
            <sz val="9"/>
            <color indexed="81"/>
            <rFont val="Tahoma"/>
            <family val="2"/>
          </rPr>
          <t>&lt;[[TCDeals] - [TC Property Current Stage (Seq: 1)] - [Buildings (Seq: 99)] Acq Applicable Percentage - Both]&gt;</t>
        </r>
      </text>
    </comment>
    <comment ref="R1302" authorId="0" shapeId="0" xr:uid="{881791E8-E010-4924-93DB-D78E870F58D9}">
      <text>
        <r>
          <rPr>
            <b/>
            <sz val="9"/>
            <color indexed="81"/>
            <rFont val="Tahoma"/>
            <family val="2"/>
          </rPr>
          <t>&lt;[[TCDeals] - [TC Property Current Stage (Seq: 1)] - [Buildings (Seq: 99)] Acq Est Qual Basis - Both]&gt;</t>
        </r>
      </text>
    </comment>
    <comment ref="S1302" authorId="0" shapeId="0" xr:uid="{7FE12F78-93B1-4FAF-B749-40818B080385}">
      <text>
        <r>
          <rPr>
            <b/>
            <sz val="9"/>
            <color indexed="81"/>
            <rFont val="Tahoma"/>
            <family val="2"/>
          </rPr>
          <t>&lt;[[TCDeals] - [TC Property Current Stage (Seq: 1)] - [Buildings (Seq: 99)] Acq 8609 Basis - Both]&gt;</t>
        </r>
      </text>
    </comment>
    <comment ref="T1302" authorId="0" shapeId="0" xr:uid="{6191CEDF-B08C-4D86-9648-BCED11940BA0}">
      <text>
        <r>
          <rPr>
            <b/>
            <sz val="9"/>
            <color indexed="81"/>
            <rFont val="Tahoma"/>
            <family val="2"/>
          </rPr>
          <t>&lt;[[TCDeals] - [TC Property Current Stage (Seq: 1)] - [Buildings (Seq: 99)] Acq 8609 Credit - Both]&gt;</t>
        </r>
      </text>
    </comment>
    <comment ref="D1376" authorId="0" shapeId="0" xr:uid="{9D1B2AF7-3F52-4CDA-8D4D-1651F9B67EA5}">
      <text>
        <r>
          <rPr>
            <b/>
            <sz val="9"/>
            <color indexed="81"/>
            <rFont val="Tahoma"/>
            <family val="2"/>
          </rPr>
          <t>&lt;[[TCDeals] - [TC Property Current Stage (Seq: 1)] - [Property Points (Seq: 1)] Is Window Coverings/Blinds - Both]&gt;</t>
        </r>
      </text>
    </comment>
    <comment ref="D1377" authorId="0" shapeId="0" xr:uid="{DE354E41-BA4A-4BC7-B81C-DFF21439D78A}">
      <text>
        <r>
          <rPr>
            <b/>
            <sz val="9"/>
            <color indexed="81"/>
            <rFont val="Tahoma"/>
            <family val="2"/>
          </rPr>
          <t>&lt;[[TCDeals] - [TC Property Current Stage (Seq: 1)] - [Property Points (Seq: 1)] Is Ceiling Fan E-star - Both]&gt;</t>
        </r>
      </text>
    </comment>
    <comment ref="D1378" authorId="0" shapeId="0" xr:uid="{043F9DE3-1207-4208-BFD1-4CBA0BB6CA18}">
      <text>
        <r>
          <rPr>
            <b/>
            <sz val="9"/>
            <color indexed="81"/>
            <rFont val="Tahoma"/>
            <family val="2"/>
          </rPr>
          <t>&lt;[[TCDeals] - [TC Property Current Stage (Seq: 1)] - [Property Points (Seq: 1)] Is Storage Closet/Shed - Both]&gt;</t>
        </r>
      </text>
    </comment>
    <comment ref="D1379" authorId="0" shapeId="0" xr:uid="{69F8EFCA-E689-421C-8962-E97F89CFDEAA}">
      <text>
        <r>
          <rPr>
            <b/>
            <sz val="9"/>
            <color indexed="81"/>
            <rFont val="Tahoma"/>
            <family val="2"/>
          </rPr>
          <t>&lt;[[TCDeals] - [TC Property Current Stage (Seq: 1)] - [Property Points (Seq: 1)] Is Coat Closet - Both]&gt;</t>
        </r>
      </text>
    </comment>
    <comment ref="D1380" authorId="0" shapeId="0" xr:uid="{60B55CDA-DB29-4E3F-8F08-E975634C944A}">
      <text>
        <r>
          <rPr>
            <b/>
            <sz val="9"/>
            <color indexed="81"/>
            <rFont val="Tahoma"/>
            <family val="2"/>
          </rPr>
          <t>&lt;[[TCDeals] - [TC Property Current Stage (Seq: 1)] - [Property Points (Seq: 1)] Is Walk-in Closet - Both]&gt;</t>
        </r>
      </text>
    </comment>
    <comment ref="D1381" authorId="0" shapeId="0" xr:uid="{D6DFB268-5593-4539-A5DF-C5ECF7650585}">
      <text>
        <r>
          <rPr>
            <b/>
            <sz val="9"/>
            <color indexed="81"/>
            <rFont val="Tahoma"/>
            <family val="2"/>
          </rPr>
          <t>&lt;[[TCDeals] - [TC Property Current Stage (Seq: 1)] - [Property Points (Seq: 1)] Is Fireplace - Both]&gt;</t>
        </r>
      </text>
    </comment>
    <comment ref="D1382" authorId="0" shapeId="0" xr:uid="{4C80FE39-10C4-4748-A89A-45B2B2E63DEE}">
      <text>
        <r>
          <rPr>
            <b/>
            <sz val="9"/>
            <color indexed="81"/>
            <rFont val="Tahoma"/>
            <family val="2"/>
          </rPr>
          <t>&lt;[[TCDeals] - [TC Property Current Stage (Seq: 1)] - [Property Points (Seq: 1)] Is Bathroom Fan E-star - Both]&gt;</t>
        </r>
      </text>
    </comment>
    <comment ref="D1383" authorId="0" shapeId="0" xr:uid="{AF5A6A88-FF53-427B-8D08-B2DE3401B4BA}">
      <text>
        <r>
          <rPr>
            <b/>
            <sz val="9"/>
            <color indexed="81"/>
            <rFont val="Tahoma"/>
            <family val="2"/>
          </rPr>
          <t>&lt;[[TCDeals] - [TC Property Current Stage (Seq: 1)] - [Property Points (Seq: 1)] Is Patio/Porch/Balcony - Both]&gt;</t>
        </r>
      </text>
    </comment>
    <comment ref="D1384" authorId="0" shapeId="0" xr:uid="{966FA2FC-E82E-4EFF-BA9D-0FCB41E86744}">
      <text>
        <r>
          <rPr>
            <b/>
            <sz val="9"/>
            <color indexed="81"/>
            <rFont val="Tahoma"/>
            <family val="2"/>
          </rPr>
          <t>&lt;[[TCDeals] - [TC Property Current Stage (Seq: 1)] - [Property Points (Seq: 1)] Is Cable Connection - Both]&gt;</t>
        </r>
      </text>
    </comment>
    <comment ref="D1385" authorId="0" shapeId="0" xr:uid="{398FC9BA-A9A7-4E30-B82C-0CE61E7F6AE8}">
      <text>
        <r>
          <rPr>
            <b/>
            <sz val="9"/>
            <color indexed="81"/>
            <rFont val="Tahoma"/>
            <family val="2"/>
          </rPr>
          <t>&lt;[[TCDeals] - [TC Property Current Stage (Seq: 1)] - [Property Points (Seq: 1)] Is Internet Connection - Both]&gt;</t>
        </r>
      </text>
    </comment>
    <comment ref="D1386" authorId="0" shapeId="0" xr:uid="{ECD535C5-A1C8-4AFF-9898-2B761E994351}">
      <text>
        <r>
          <rPr>
            <b/>
            <sz val="9"/>
            <color indexed="81"/>
            <rFont val="Tahoma"/>
            <family val="2"/>
          </rPr>
          <t>&lt;[[TCDeals] - [TC Property Current Stage (Seq: 1)] - [Property Points (Seq: 1)] Is Units individually metered - Both]&gt;</t>
        </r>
      </text>
    </comment>
    <comment ref="D1388" authorId="0" shapeId="0" xr:uid="{413C59E2-8F90-4324-BE69-59B0CBF7D727}">
      <text>
        <r>
          <rPr>
            <b/>
            <sz val="9"/>
            <color indexed="81"/>
            <rFont val="Tahoma"/>
            <family val="2"/>
          </rPr>
          <t>&lt;[[TCDeals] - [TC Property Current Stage (Seq: 1)] - [Property Points (Seq: 1)] Is Refrigerator E-star - Both]&gt;</t>
        </r>
      </text>
    </comment>
    <comment ref="D1389" authorId="0" shapeId="0" xr:uid="{63C83FB0-6A2D-46EF-BDF2-5759BF3E69A4}">
      <text>
        <r>
          <rPr>
            <b/>
            <sz val="9"/>
            <color indexed="81"/>
            <rFont val="Tahoma"/>
            <family val="2"/>
          </rPr>
          <t>&lt;[[TCDeals] - [TC Property Current Stage (Seq: 1)] - [Property Points (Seq: 1)] Is Stove/Oven - Both]&gt;</t>
        </r>
      </text>
    </comment>
    <comment ref="D1390" authorId="0" shapeId="0" xr:uid="{F71853F9-3F34-4C66-9082-6049FB00C263}">
      <text>
        <r>
          <rPr>
            <b/>
            <sz val="9"/>
            <color indexed="81"/>
            <rFont val="Tahoma"/>
            <family val="2"/>
          </rPr>
          <t>&lt;[[TCDeals] - [TC Property Current Stage (Seq: 1)] - [Property Points (Seq: 1)] Is Optional Field 375 - Both]&gt;</t>
        </r>
      </text>
    </comment>
    <comment ref="D1391" authorId="0" shapeId="0" xr:uid="{A9BE3D72-9011-405A-9B0C-82EDFE3977F9}">
      <text>
        <r>
          <rPr>
            <b/>
            <sz val="9"/>
            <color indexed="81"/>
            <rFont val="Tahoma"/>
            <family val="2"/>
          </rPr>
          <t>&lt;[[TCDeals] - [TC Property Current Stage (Seq: 1)] - [Property Points (Seq: 1)] Is Optional Field 376 - Both]&gt;</t>
        </r>
      </text>
    </comment>
    <comment ref="D1392" authorId="0" shapeId="0" xr:uid="{9791A7B3-7876-42CD-ADA6-01F4FBE7CA4C}">
      <text>
        <r>
          <rPr>
            <b/>
            <sz val="9"/>
            <color indexed="81"/>
            <rFont val="Tahoma"/>
            <family val="2"/>
          </rPr>
          <t>&lt;[[TCDeals] - [TC Property Current Stage (Seq: 1)] - [Property Points (Seq: 1)] Is Optional Field 377 - Both]&gt;</t>
        </r>
      </text>
    </comment>
    <comment ref="D1393" authorId="0" shapeId="0" xr:uid="{8EBDD31A-636A-4E61-B64C-96AEDA4831D8}">
      <text>
        <r>
          <rPr>
            <b/>
            <sz val="9"/>
            <color indexed="81"/>
            <rFont val="Tahoma"/>
            <family val="2"/>
          </rPr>
          <t>&lt;[[TCDeals] - [TC Property Current Stage (Seq: 1)] - [Property Points (Seq: 1)] Is Optional Field 439 - Both]&gt;</t>
        </r>
      </text>
    </comment>
    <comment ref="D1394" authorId="0" shapeId="0" xr:uid="{12A94D66-D727-48F6-9BB6-3F2B7819BCBA}">
      <text>
        <r>
          <rPr>
            <b/>
            <sz val="9"/>
            <color indexed="81"/>
            <rFont val="Tahoma"/>
            <family val="2"/>
          </rPr>
          <t>&lt;[[TCDeals] - [TC Property Current Stage (Seq: 1)] - [Property Points (Seq: 1)] Is Optional Field 440 - Both]&gt;</t>
        </r>
      </text>
    </comment>
    <comment ref="D1395" authorId="0" shapeId="0" xr:uid="{49801124-4AC4-4EA8-B7EF-258F23AB334A}">
      <text>
        <r>
          <rPr>
            <b/>
            <sz val="9"/>
            <color indexed="81"/>
            <rFont val="Tahoma"/>
            <family val="2"/>
          </rPr>
          <t>&lt;[[TCDeals] - [TC Property Current Stage (Seq: 1)] - [Property Points (Seq: 1)] Is Optional Field 380 - Both]&gt;</t>
        </r>
      </text>
    </comment>
    <comment ref="D1397" authorId="0" shapeId="0" xr:uid="{3445CA28-4459-4AB5-86C9-3F0B8C498C93}">
      <text>
        <r>
          <rPr>
            <b/>
            <sz val="9"/>
            <color indexed="81"/>
            <rFont val="Tahoma"/>
            <family val="2"/>
          </rPr>
          <t>&lt;[[TCDeals] - [TC Property Current Stage (Seq: 1)] - [Property Points (Seq: 1)] Is Optional Field 381 - Both]&gt;</t>
        </r>
      </text>
    </comment>
    <comment ref="D1398" authorId="0" shapeId="0" xr:uid="{79067203-301B-4777-9EA8-91D9E161F5F5}">
      <text>
        <r>
          <rPr>
            <b/>
            <sz val="9"/>
            <color indexed="81"/>
            <rFont val="Tahoma"/>
            <family val="2"/>
          </rPr>
          <t>&lt;[[TCDeals] - [TC Property Current Stage (Seq: 1)] - [Property Points (Seq: 1)] Is Optional Field 382 - Both]&gt;</t>
        </r>
      </text>
    </comment>
    <comment ref="D1399" authorId="0" shapeId="0" xr:uid="{A2ADC5E7-4689-45E2-A5DC-ABB33ABC5DE0}">
      <text>
        <r>
          <rPr>
            <b/>
            <sz val="9"/>
            <color indexed="81"/>
            <rFont val="Tahoma"/>
            <family val="2"/>
          </rPr>
          <t>&lt;[[TCDeals] - [TC Property Current Stage (Seq: 1)] - [Property Points (Seq: 1)] Is Optional Field 383 - Both]&gt;</t>
        </r>
      </text>
    </comment>
    <comment ref="D1400" authorId="0" shapeId="0" xr:uid="{054E9C9A-43E9-46B5-B70D-718D41802A80}">
      <text>
        <r>
          <rPr>
            <b/>
            <sz val="9"/>
            <color indexed="81"/>
            <rFont val="Tahoma"/>
            <family val="2"/>
          </rPr>
          <t>&lt;[[TCDeals] - [TC Property Current Stage (Seq: 1)] - [Property Points (Seq: 1)] Is Optional Field 384 - Both]&gt;</t>
        </r>
      </text>
    </comment>
    <comment ref="D1401" authorId="0" shapeId="0" xr:uid="{3268C538-2576-4797-BE16-759E525AAFF2}">
      <text>
        <r>
          <rPr>
            <b/>
            <sz val="9"/>
            <color indexed="81"/>
            <rFont val="Tahoma"/>
            <family val="2"/>
          </rPr>
          <t>&lt;[[TCDeals] - [TC Property Current Stage (Seq: 1)] - [Property Points (Seq: 1)] Is Optional Field 385 - Both]&gt;</t>
        </r>
      </text>
    </comment>
    <comment ref="D1402" authorId="0" shapeId="0" xr:uid="{5261D9C7-F67C-4A46-AB72-5211D49DB41F}">
      <text>
        <r>
          <rPr>
            <b/>
            <sz val="9"/>
            <color indexed="81"/>
            <rFont val="Tahoma"/>
            <family val="2"/>
          </rPr>
          <t>&lt;[[TCDeals] - [TC Property Current Stage (Seq: 1)] - [Property Points (Seq: 1)] Is Optional Field 386 - Both]&gt;</t>
        </r>
      </text>
    </comment>
    <comment ref="D1403" authorId="1" shapeId="0" xr:uid="{835C9182-1A4A-4DDA-9CDE-5062AD2E9A83}">
      <text>
        <r>
          <rPr>
            <b/>
            <sz val="9"/>
            <color indexed="81"/>
            <rFont val="Tahoma"/>
            <family val="2"/>
          </rPr>
          <t>&lt;[[TCDeals] - [TC Property Current Stage (Seq: 1)] - [Property Points (Seq: 1)] Number of Laundry Rooms - Both]&gt;</t>
        </r>
      </text>
    </comment>
    <comment ref="D1404" authorId="1" shapeId="0" xr:uid="{F9BF6A05-834F-43E9-976F-B1C9E528BFAD}">
      <text>
        <r>
          <rPr>
            <b/>
            <sz val="9"/>
            <color indexed="81"/>
            <rFont val="Tahoma"/>
            <family val="2"/>
          </rPr>
          <t>&lt;[[TCDeals] - [TC Property Current Stage (Seq: 1)] - [Property Points (Seq: 1)] Laundry Room in each building (if more than one bldg) - Both]&gt;</t>
        </r>
      </text>
    </comment>
    <comment ref="D1405" authorId="1" shapeId="0" xr:uid="{E95E3881-582A-4921-9CE5-C7AC522D2B79}">
      <text>
        <r>
          <rPr>
            <b/>
            <sz val="9"/>
            <color indexed="81"/>
            <rFont val="Tahoma"/>
            <family val="2"/>
          </rPr>
          <t>&lt;[[TCDeals] - [TC Property Current Stage (Seq: 1)] - [Property Points (Seq: 1)] Laundry Room on each floor - Both]&gt;</t>
        </r>
      </text>
    </comment>
    <comment ref="D1406" authorId="0" shapeId="0" xr:uid="{114A08C0-DCB5-41E2-B2D3-EC1223FD0202}">
      <text>
        <r>
          <rPr>
            <b/>
            <sz val="9"/>
            <color indexed="81"/>
            <rFont val="Tahoma"/>
            <family val="2"/>
          </rPr>
          <t>&lt;[[TCDeals] - [TC Property Current Stage (Seq: 1)] - [Property Points (Seq: 1)] Is Optional Field 387 - Both]&gt;</t>
        </r>
      </text>
    </comment>
    <comment ref="D1407" authorId="0" shapeId="0" xr:uid="{945860F3-0327-48CD-ADA2-FBC30650C63F}">
      <text>
        <r>
          <rPr>
            <b/>
            <sz val="9"/>
            <color indexed="81"/>
            <rFont val="Tahoma"/>
            <family val="2"/>
          </rPr>
          <t>&lt;[[TCDeals] - [TC Property Current Stage (Seq: 1)] - [Property Points (Seq: 1)] Is Optional Field 388 - Both]&gt;</t>
        </r>
      </text>
    </comment>
    <comment ref="D1408" authorId="0" shapeId="0" xr:uid="{EB2503FA-D2A1-4FA2-B8E6-25D521093B73}">
      <text>
        <r>
          <rPr>
            <b/>
            <sz val="9"/>
            <color indexed="81"/>
            <rFont val="Tahoma"/>
            <family val="2"/>
          </rPr>
          <t>&lt;[[TCDeals] - [TC Property Current Stage (Seq: 1)] - [Property Points (Seq: 1)] Is Optional Field 389 - Both]&gt;</t>
        </r>
      </text>
    </comment>
    <comment ref="D1409" authorId="0" shapeId="0" xr:uid="{55A9B383-D832-4E6D-B09F-7DA6CDF3DAE3}">
      <text>
        <r>
          <rPr>
            <b/>
            <sz val="9"/>
            <color indexed="81"/>
            <rFont val="Tahoma"/>
            <family val="2"/>
          </rPr>
          <t>&lt;[[TCDeals] - [TC Property Current Stage (Seq: 1)] - [Property Points (Seq: 1)] Is Optional Field 441 - Both]&gt;</t>
        </r>
      </text>
    </comment>
    <comment ref="D1410" authorId="0" shapeId="0" xr:uid="{A18F2C59-E6D7-4403-A951-63C450E35CD1}">
      <text>
        <r>
          <rPr>
            <b/>
            <sz val="9"/>
            <color indexed="81"/>
            <rFont val="Tahoma"/>
            <family val="2"/>
          </rPr>
          <t>&lt;[[TCDeals] - [TC Property Current Stage (Seq: 1)] - [Property Points (Seq: 1)] Optional Field 390 - Both]&gt;</t>
        </r>
      </text>
    </comment>
    <comment ref="D1411" authorId="0" shapeId="0" xr:uid="{58C31C33-08E4-449A-8E09-2F3674EA1536}">
      <text>
        <r>
          <rPr>
            <b/>
            <sz val="9"/>
            <color indexed="81"/>
            <rFont val="Tahoma"/>
            <family val="2"/>
          </rPr>
          <t>&lt;[[TCDeals] - [TC Property Current Stage (Seq: 1)] - [Property Points (Seq: 1)] Is Optional Field 391 - Both]&gt;</t>
        </r>
      </text>
    </comment>
    <comment ref="D1412" authorId="0" shapeId="0" xr:uid="{A98CF101-EC04-4E17-89E1-DB93313C82AA}">
      <text>
        <r>
          <rPr>
            <b/>
            <sz val="9"/>
            <color indexed="81"/>
            <rFont val="Tahoma"/>
            <family val="2"/>
          </rPr>
          <t>&lt;[[TCDeals] - [TC Property Current Stage (Seq: 1)] - [Property Points (Seq: 1)] Is Optional Field 392 - Both]&gt;</t>
        </r>
      </text>
    </comment>
    <comment ref="D1413" authorId="0" shapeId="0" xr:uid="{1DDD5111-1FBC-4503-AFBC-482EDCE8B27B}">
      <text>
        <r>
          <rPr>
            <b/>
            <sz val="9"/>
            <color indexed="81"/>
            <rFont val="Tahoma"/>
            <family val="2"/>
          </rPr>
          <t>&lt;[[TCDeals] - [TC Property Current Stage (Seq: 1)] - [Property Points (Seq: 1)] Is Optional Field 393 - Both]&gt;</t>
        </r>
      </text>
    </comment>
    <comment ref="D1414" authorId="0" shapeId="0" xr:uid="{DE2D1F58-12EB-40B4-BF39-3558851AE01A}">
      <text>
        <r>
          <rPr>
            <b/>
            <sz val="9"/>
            <color indexed="81"/>
            <rFont val="Tahoma"/>
            <family val="2"/>
          </rPr>
          <t>&lt;[[TCDeals] - [TC Property Current Stage (Seq: 1)] - [Property Points (Seq: 1)] Is Optional Field 442 - Both]&gt;</t>
        </r>
      </text>
    </comment>
    <comment ref="D1415" authorId="0" shapeId="0" xr:uid="{A71C404C-43FD-48DC-BFF6-25E4522C4542}">
      <text>
        <r>
          <rPr>
            <b/>
            <sz val="9"/>
            <color indexed="81"/>
            <rFont val="Tahoma"/>
            <family val="2"/>
          </rPr>
          <t>&lt;[[TCDeals] - [TC Property Current Stage (Seq: 1)] - [Property Points (Seq: 1)] Is Optional Field 394 - Both]&gt;</t>
        </r>
      </text>
    </comment>
    <comment ref="D1416" authorId="0" shapeId="0" xr:uid="{37D8FE52-3249-4407-A6D6-D364D277028E}">
      <text>
        <r>
          <rPr>
            <b/>
            <sz val="9"/>
            <color indexed="81"/>
            <rFont val="Tahoma"/>
            <family val="2"/>
          </rPr>
          <t>&lt;[[TCDeals] - [TC Property Current Stage (Seq: 1)] - [Property Points (Seq: 1)] Is Optional Field 395 - Both]&gt;</t>
        </r>
      </text>
    </comment>
    <comment ref="D1417" authorId="1" shapeId="0" xr:uid="{AF6AEB33-788E-48AB-A328-C21B816F326D}">
      <text>
        <r>
          <rPr>
            <b/>
            <sz val="9"/>
            <color indexed="81"/>
            <rFont val="Tahoma"/>
            <family val="2"/>
          </rPr>
          <t>&lt;[[TCDeals] - [TC Property Current Stage (Seq: 1)] - [Property Points (Seq: 1)] Is Bike Storage - Both]&gt;</t>
        </r>
      </text>
    </comment>
    <comment ref="D1418" authorId="1" shapeId="0" xr:uid="{8F8E5EF0-5D76-44BF-BA12-87DF91E2A1D9}">
      <text>
        <r>
          <rPr>
            <b/>
            <sz val="9"/>
            <color indexed="81"/>
            <rFont val="Tahoma"/>
            <family val="2"/>
          </rPr>
          <t>&lt;[[TCDeals] - [TC Property Current Stage (Seq: 1)] - [Property Points (Seq: 1)] Is Bike Maintenance - Both]&gt;</t>
        </r>
      </text>
    </comment>
    <comment ref="D1419" authorId="1" shapeId="0" xr:uid="{B434EE67-4CCF-4BF8-B9D4-33174889B2B9}">
      <text>
        <r>
          <rPr>
            <b/>
            <sz val="9"/>
            <color indexed="81"/>
            <rFont val="Tahoma"/>
            <family val="2"/>
          </rPr>
          <t>&lt;[[TCDeals] - [TC Property Current Stage (Seq: 1)] - [Property Points (Seq: 1)] Is Pet Wash Area - Both]&gt;</t>
        </r>
      </text>
    </comment>
    <comment ref="D1420" authorId="1" shapeId="0" xr:uid="{4E776CC6-D937-47DE-B86B-FE1029DB5445}">
      <text>
        <r>
          <rPr>
            <b/>
            <sz val="9"/>
            <color indexed="81"/>
            <rFont val="Tahoma"/>
            <family val="2"/>
          </rPr>
          <t>&lt;[[TCDeals] - [TC Property Current Stage (Seq: 1)] - [Property Points (Seq: 1)] Is Pet Relief Area - Both]&gt;</t>
        </r>
      </text>
    </comment>
    <comment ref="D1421" authorId="1" shapeId="0" xr:uid="{4D7C7EF8-3B03-4DE3-BFF0-4C5716B9DDC2}">
      <text>
        <r>
          <rPr>
            <b/>
            <sz val="9"/>
            <color indexed="81"/>
            <rFont val="Tahoma"/>
            <family val="2"/>
          </rPr>
          <t>&lt;[[TCDeals] - [TC Property Current Stage (Seq: 1)] - [Property Points (Seq: 1)] Is Dog Run - Both]&gt;</t>
        </r>
      </text>
    </comment>
    <comment ref="D1422" authorId="0" shapeId="0" xr:uid="{F6393C81-17F2-4DC9-AFA6-E645ABAD6887}">
      <text>
        <r>
          <rPr>
            <b/>
            <sz val="9"/>
            <color indexed="81"/>
            <rFont val="Tahoma"/>
            <family val="2"/>
          </rPr>
          <t>&lt;[[TCDeals] - [TC Property Current Stage (Seq: 1)] - [Property Points (Seq: 1)] Is Optional Field 396 - Both]&gt;</t>
        </r>
      </text>
    </comment>
    <comment ref="D1424" authorId="0" shapeId="0" xr:uid="{2DBADDA4-A2B8-48AC-88E0-F86BEB7904DC}">
      <text>
        <r>
          <rPr>
            <b/>
            <sz val="9"/>
            <color indexed="81"/>
            <rFont val="Tahoma"/>
            <family val="2"/>
          </rPr>
          <t>&lt;[[TCDeals] - [TC Property Current Stage (Seq: 1)] - [Property Points (Seq: 1)] Is Optional Field 397 - Both]&gt;</t>
        </r>
      </text>
    </comment>
    <comment ref="D1425" authorId="0" shapeId="0" xr:uid="{1699FA3B-4C0C-4554-A29A-A0B72FA4CB82}">
      <text>
        <r>
          <rPr>
            <b/>
            <sz val="9"/>
            <color indexed="81"/>
            <rFont val="Tahoma"/>
            <family val="2"/>
          </rPr>
          <t>&lt;[[TCDeals] - [TC Property Current Stage (Seq: 1)] - [Property Points (Seq: 1)] Is Optional Field 398 - Both]&gt;</t>
        </r>
      </text>
    </comment>
    <comment ref="D1426" authorId="0" shapeId="0" xr:uid="{AABB3DFB-039B-4A3A-BE4F-EBF5B3D84FC2}">
      <text>
        <r>
          <rPr>
            <b/>
            <sz val="9"/>
            <color indexed="81"/>
            <rFont val="Tahoma"/>
            <family val="2"/>
          </rPr>
          <t>&lt;[[TCDeals] - [TC Property Current Stage (Seq: 1)] - [Property Points (Seq: 1)] Is Optional Field 399 - Both]&gt;</t>
        </r>
      </text>
    </comment>
    <comment ref="D1427" authorId="0" shapeId="0" xr:uid="{10C669D9-A394-485C-B178-B65F38A3F685}">
      <text>
        <r>
          <rPr>
            <b/>
            <sz val="9"/>
            <color indexed="81"/>
            <rFont val="Tahoma"/>
            <family val="2"/>
          </rPr>
          <t>&lt;[[TCDeals] - [TC Property Current Stage (Seq: 1)] - [Property Points (Seq: 1)] Is Optional Field 400 - Both]&gt;</t>
        </r>
      </text>
    </comment>
    <comment ref="D1428" authorId="0" shapeId="0" xr:uid="{D362B6DD-DAE3-4CE0-83D4-4B0CF4A362AE}">
      <text>
        <r>
          <rPr>
            <b/>
            <sz val="9"/>
            <color indexed="81"/>
            <rFont val="Tahoma"/>
            <family val="2"/>
          </rPr>
          <t>&lt;[[TCDeals] - [TC Property Current Stage (Seq: 1)] - [Property Points (Seq: 1)] Is Optional Field 401 - Both]&gt;</t>
        </r>
      </text>
    </comment>
    <comment ref="D1430" authorId="0" shapeId="0" xr:uid="{C24075BC-66C1-465C-8DAF-D298BE8DD8AA}">
      <text>
        <r>
          <rPr>
            <b/>
            <sz val="9"/>
            <color indexed="81"/>
            <rFont val="Tahoma"/>
            <family val="2"/>
          </rPr>
          <t>&lt;[[TCDeals] - [TC Property Current Stage (Seq: 1)] - [Property Points (Seq: 1)] Optional Field 402 - Both]&gt;</t>
        </r>
      </text>
    </comment>
    <comment ref="D1431" authorId="0" shapeId="0" xr:uid="{8D2E918D-528C-4558-B000-A4029249584F}">
      <text>
        <r>
          <rPr>
            <b/>
            <sz val="9"/>
            <color indexed="81"/>
            <rFont val="Tahoma"/>
            <family val="2"/>
          </rPr>
          <t>&lt;[[TCDeals] - [TC Property Current Stage (Seq: 1)] - [Property Points (Seq: 1)] Surface Parking (# per unit) - Both]&gt;</t>
        </r>
      </text>
    </comment>
    <comment ref="D1432" authorId="0" shapeId="0" xr:uid="{70F54ADA-A91B-43B9-B715-892B9CBEC8B1}">
      <text>
        <r>
          <rPr>
            <b/>
            <sz val="9"/>
            <color indexed="81"/>
            <rFont val="Tahoma"/>
            <family val="2"/>
          </rPr>
          <t>&lt;[[TCDeals] - [TC Property Current Stage (Seq: 1)] - [Property Points (Seq: 1)] Optional Field 443 - Both]&gt;</t>
        </r>
      </text>
    </comment>
    <comment ref="D1433" authorId="0" shapeId="0" xr:uid="{EF03B62A-A96A-4120-BD20-32C12AFAA811}">
      <text>
        <r>
          <rPr>
            <b/>
            <sz val="9"/>
            <color indexed="81"/>
            <rFont val="Tahoma"/>
            <family val="2"/>
          </rPr>
          <t>&lt;[[TCDeals] - [TC Property Current Stage (Seq: 1)] - [Property Points (Seq: 1)] Optional Field 404 - Both]&gt;</t>
        </r>
      </text>
    </comment>
    <comment ref="D1434" authorId="0" shapeId="0" xr:uid="{EA55BA56-075C-4479-9ABA-A658ABDE4410}">
      <text>
        <r>
          <rPr>
            <b/>
            <sz val="9"/>
            <color indexed="81"/>
            <rFont val="Tahoma"/>
            <family val="2"/>
          </rPr>
          <t>&lt;[[TCDeals] - [TC Property Current Stage (Seq: 1)] - [Property Points (Seq: 1)] Optional Field 444 - Both]&gt;</t>
        </r>
      </text>
    </comment>
    <comment ref="D1435" authorId="0" shapeId="0" xr:uid="{24398ED1-BE4C-4A64-983F-B2864A4C8F25}">
      <text>
        <r>
          <rPr>
            <b/>
            <sz val="9"/>
            <color indexed="81"/>
            <rFont val="Tahoma"/>
            <family val="2"/>
          </rPr>
          <t>&lt;[[TCDeals] - [TC Property Current Stage (Seq: 1)] - [Property Points (Seq: 1)] Optional Field 445 - Both]&gt;</t>
        </r>
      </text>
    </comment>
    <comment ref="D1436" authorId="0" shapeId="0" xr:uid="{6A99237D-0201-4EF8-AB84-D64717C3279D}">
      <text>
        <r>
          <rPr>
            <b/>
            <sz val="9"/>
            <color indexed="81"/>
            <rFont val="Tahoma"/>
            <family val="2"/>
          </rPr>
          <t>&lt;[[TCDeals] - [TC Property Current Stage (Seq: 1)] - [Property Points (Seq: 1)] Optional Field 446 - Both]&gt;</t>
        </r>
      </text>
    </comment>
    <comment ref="D1437" authorId="0" shapeId="0" xr:uid="{80CA012F-0A2D-4E20-B081-B095E69CF823}">
      <text>
        <r>
          <rPr>
            <b/>
            <sz val="9"/>
            <color indexed="81"/>
            <rFont val="Tahoma"/>
            <family val="2"/>
          </rPr>
          <t>&lt;[[TCDeals] - [TC Property Current Stage (Seq: 1)] - [Property Points (Seq: 1)] Is Optional Field 416 - Both]&gt;</t>
        </r>
      </text>
    </comment>
    <comment ref="D1438" authorId="0" shapeId="0" xr:uid="{EEB9BB1A-5824-4F03-82D3-94AD60319CAC}">
      <text>
        <r>
          <rPr>
            <b/>
            <sz val="9"/>
            <color indexed="81"/>
            <rFont val="Tahoma"/>
            <family val="2"/>
          </rPr>
          <t>&lt;[[TCDeals] - [TC Property Current Stage (Seq: 1)] - [Property Points (Seq: 1)] Is Optional Field 448 - Both]&gt;</t>
        </r>
      </text>
    </comment>
    <comment ref="D1439" authorId="0" shapeId="0" xr:uid="{C005A2D6-F591-4D1C-B211-ABCB24AC93BC}">
      <text>
        <r>
          <rPr>
            <b/>
            <sz val="9"/>
            <color indexed="81"/>
            <rFont val="Tahoma"/>
            <family val="2"/>
          </rPr>
          <t>&lt;[[TCDeals] - [TC Property Current Stage (Seq: 1)] - [Property Points (Seq: 1)] Optional Field 447 - Both]&gt;</t>
        </r>
      </text>
    </comment>
    <comment ref="D1440" authorId="0" shapeId="0" xr:uid="{74C263D6-1529-448F-B48C-00BCB3719F35}">
      <text>
        <r>
          <rPr>
            <b/>
            <sz val="9"/>
            <color indexed="81"/>
            <rFont val="Tahoma"/>
            <family val="2"/>
          </rPr>
          <t>&lt;[[TCDeals] - [TC Property Current Stage (Seq: 1)] - [Property Points (Seq: 1)] Is Optional Field 409 - Both]&gt;</t>
        </r>
      </text>
    </comment>
    <comment ref="D1441" authorId="0" shapeId="0" xr:uid="{7D2C040E-4CEF-4942-9B86-864FC2058C78}">
      <text>
        <r>
          <rPr>
            <b/>
            <sz val="9"/>
            <color indexed="81"/>
            <rFont val="Tahoma"/>
            <family val="2"/>
          </rPr>
          <t>&lt;[[TCDeals] - [TC Property Current Stage (Seq: 1)] - [Property Points (Seq: 1)] Is Optional Field 419 - Both]&gt;</t>
        </r>
      </text>
    </comment>
    <comment ref="D1442" authorId="0" shapeId="0" xr:uid="{4C065C2B-BA68-4530-A97A-ABB462D9DCFB}">
      <text>
        <r>
          <rPr>
            <b/>
            <sz val="9"/>
            <color indexed="81"/>
            <rFont val="Tahoma"/>
            <family val="2"/>
          </rPr>
          <t>&lt;[[TCDeals] - [TC Property Current Stage (Seq: 1)] - [Property Points (Seq: 1)] Optional Field 420 - Both]&gt;</t>
        </r>
      </text>
    </comment>
    <comment ref="D1443" authorId="1" shapeId="0" xr:uid="{AB76D9BD-04C5-4A7B-B1A2-A6C0203B650F}">
      <text>
        <r>
          <rPr>
            <b/>
            <sz val="9"/>
            <color indexed="81"/>
            <rFont val="Tahoma"/>
            <family val="2"/>
          </rPr>
          <t>&lt;[[TCDeals] - [TC Property Current Stage (Seq: 1)] - [Property Points (Seq: 1)] Is Electric Vehicle (EV) Ready - Both]&gt;</t>
        </r>
      </text>
    </comment>
    <comment ref="D1444" authorId="1" shapeId="0" xr:uid="{6A975A53-9850-4310-B6E2-9CA8392ABBB3}">
      <text>
        <r>
          <rPr>
            <b/>
            <sz val="9"/>
            <color indexed="81"/>
            <rFont val="Tahoma"/>
            <family val="2"/>
          </rPr>
          <t>&lt;[[TCDeals] - [TC Property Current Stage (Seq: 1)] - [Property Points (Seq: 1)] # of EV Charging Stations - Both]&gt;</t>
        </r>
      </text>
    </comment>
    <comment ref="D1445" authorId="1" shapeId="0" xr:uid="{735A3878-F69B-4D86-A56B-B32ED32BB1AF}">
      <text>
        <r>
          <rPr>
            <b/>
            <sz val="9"/>
            <color indexed="81"/>
            <rFont val="Tahoma"/>
            <family val="2"/>
          </rPr>
          <t>&lt;[[TCDeals] - [TC Property Current Stage (Seq: 1)] - [Property Points (Seq: 1)] Number of spaces for commerical or nonresidential - Both]&gt;</t>
        </r>
      </text>
    </comment>
    <comment ref="D1446" authorId="1" shapeId="0" xr:uid="{884474F3-9E8D-4654-B99B-52A805615B17}">
      <text>
        <r>
          <rPr>
            <b/>
            <sz val="9"/>
            <color indexed="81"/>
            <rFont val="Tahoma"/>
            <family val="2"/>
          </rPr>
          <t>&lt;[[TCDeals] - [TC Property Current Stage (Seq: 1)] - [Property Points (Seq: 1)] Is Transit Passes - Both]&gt;</t>
        </r>
      </text>
    </comment>
    <comment ref="D1447" authorId="1" shapeId="0" xr:uid="{04FDC09F-6626-4406-87B1-53665D7C78AE}">
      <text>
        <r>
          <rPr>
            <b/>
            <sz val="9"/>
            <color indexed="81"/>
            <rFont val="Tahoma"/>
            <family val="2"/>
          </rPr>
          <t>&lt;[[TCDeals] - [TC Property Current Stage (Seq: 1)] - [Property Points (Seq: 1)] Number of Transit Passes - Both]&gt;</t>
        </r>
      </text>
    </comment>
    <comment ref="D1448" authorId="1" shapeId="0" xr:uid="{7BBDAEAE-4920-428E-9FB7-6396BBA0695C}">
      <text>
        <r>
          <rPr>
            <b/>
            <sz val="9"/>
            <color indexed="81"/>
            <rFont val="Tahoma"/>
            <family val="2"/>
          </rPr>
          <t>&lt;[[TCDeals] - [TC Property Current Stage (Seq: 1)] - [Property Points (Seq: 1)] Number of Transit Passes Budgeted for number of years - Both]&gt;</t>
        </r>
      </text>
    </comment>
    <comment ref="D1449" authorId="0" shapeId="0" xr:uid="{9CEC6113-EE05-434D-88B0-E56837EE76EE}">
      <text>
        <r>
          <rPr>
            <b/>
            <sz val="9"/>
            <color indexed="81"/>
            <rFont val="Tahoma"/>
            <family val="2"/>
          </rPr>
          <t>&lt;[[TCDeals] - [TC Property Current Stage (Seq: 1)] - [Property Points (Seq: 1)] Is Optional Field 421 - Both]&gt;</t>
        </r>
      </text>
    </comment>
    <comment ref="D1450" authorId="0" shapeId="0" xr:uid="{C0862731-07F8-48C9-84E6-2CCBB14B8F61}">
      <text>
        <r>
          <rPr>
            <b/>
            <sz val="9"/>
            <color indexed="81"/>
            <rFont val="Tahoma"/>
            <family val="2"/>
          </rPr>
          <t>&lt;[[TCDeals] - [TC Property Current Stage (Seq: 1)] - [Property Points (Seq: 1)] Is Optional Field 422 - Both]&gt;</t>
        </r>
      </text>
    </comment>
    <comment ref="D1451" authorId="0" shapeId="0" xr:uid="{BC70BE8F-6EC4-4B99-9621-04666C895415}">
      <text>
        <r>
          <rPr>
            <b/>
            <sz val="9"/>
            <color indexed="81"/>
            <rFont val="Tahoma"/>
            <family val="2"/>
          </rPr>
          <t>&lt;[[TCDeals] - [TC Property Current Stage (Seq: 1)] - [Property Points (Seq: 1)] Is Optional Field 423 - Both]&gt;</t>
        </r>
      </text>
    </comment>
    <comment ref="D1452" authorId="0" shapeId="0" xr:uid="{A0E3F7A4-AD24-4293-881D-E2706329CB99}">
      <text>
        <r>
          <rPr>
            <b/>
            <sz val="9"/>
            <color indexed="81"/>
            <rFont val="Tahoma"/>
            <family val="2"/>
          </rPr>
          <t>&lt;[[TCDeals] - [TC Property Current Stage (Seq: 1)] - [Property Points (Seq: 1)] Is Optional Field 424 - Both]&gt;</t>
        </r>
      </text>
    </comment>
    <comment ref="D1454" authorId="3" shapeId="0" xr:uid="{54599CBE-C66C-4EC2-9E2D-4803C42B2807}">
      <text>
        <r>
          <rPr>
            <b/>
            <sz val="9"/>
            <color indexed="81"/>
            <rFont val="Tahoma"/>
            <family val="2"/>
          </rPr>
          <t>&lt;[[TCDeals] - [TC Property Current Stage (Seq: 1)] - [Property Points (Seq: 1)] Number of Type A Units - Both]&gt;</t>
        </r>
      </text>
    </comment>
    <comment ref="D1455" authorId="3" shapeId="0" xr:uid="{351C4406-635E-49C3-A95D-C6DC169A0BDD}">
      <text>
        <r>
          <rPr>
            <b/>
            <sz val="9"/>
            <color indexed="81"/>
            <rFont val="Tahoma"/>
            <family val="2"/>
          </rPr>
          <t>&lt;[[TCDeals] - [TC Property Current Stage (Seq: 1)] - [Property Points (Seq: 1)] Number of Type B Units - Both]&gt;</t>
        </r>
      </text>
    </comment>
    <comment ref="D1457" authorId="0" shapeId="0" xr:uid="{287BCBA3-0381-42A2-9406-DCA6E3E18BC0}">
      <text>
        <r>
          <rPr>
            <b/>
            <sz val="9"/>
            <color indexed="81"/>
            <rFont val="Tahoma"/>
            <family val="2"/>
          </rPr>
          <t>&lt;[[TCDeals] - [TC Property Current Stage (Seq: 1)] - [Property Points (Seq: 1)] Optional Field 425 - Both]&gt;</t>
        </r>
      </text>
    </comment>
    <comment ref="D1458" authorId="0" shapeId="0" xr:uid="{6AEDC6E3-8AEE-4111-8832-02D0F699569B}">
      <text>
        <r>
          <rPr>
            <b/>
            <sz val="9"/>
            <color indexed="81"/>
            <rFont val="Tahoma"/>
            <family val="2"/>
          </rPr>
          <t>&lt;[[TCDeals] - [TC Property Current Stage (Seq: 1)] - [Property Points (Seq: 1)] Optional Field 426 - Both]&gt;</t>
        </r>
      </text>
    </comment>
    <comment ref="D1460" authorId="0" shapeId="0" xr:uid="{387A5D0D-2047-443C-A62A-E0C961E30998}">
      <text>
        <r>
          <rPr>
            <b/>
            <sz val="9"/>
            <color indexed="81"/>
            <rFont val="Tahoma"/>
            <family val="2"/>
          </rPr>
          <t>&lt;[[TCDeals] - [TC Property Current Stage (Seq: 1)] - [Property Points (Seq: 1)] Is Optional Field 427 - Both]&gt;</t>
        </r>
      </text>
    </comment>
    <comment ref="D1461" authorId="0" shapeId="0" xr:uid="{C6EA5605-84E2-4EA3-BB68-5DD52E098D0E}">
      <text>
        <r>
          <rPr>
            <b/>
            <sz val="9"/>
            <color indexed="81"/>
            <rFont val="Tahoma"/>
            <family val="2"/>
          </rPr>
          <t>&lt;[[TCDeals] - [TC Property Current Stage (Seq: 1)] - [Property Points (Seq: 1)] Is Optional Field 428 - Both]&gt;</t>
        </r>
      </text>
    </comment>
    <comment ref="D1462" authorId="0" shapeId="0" xr:uid="{2F966F08-2F19-481B-9801-931534C51D7B}">
      <text>
        <r>
          <rPr>
            <b/>
            <sz val="9"/>
            <color indexed="81"/>
            <rFont val="Tahoma"/>
            <family val="2"/>
          </rPr>
          <t>&lt;[[TCDeals] - [TC Property Current Stage (Seq: 1)] - [Property Points (Seq: 1)] Is Optional Field 429 - Both]&gt;</t>
        </r>
      </text>
    </comment>
    <comment ref="D1463" authorId="0" shapeId="0" xr:uid="{8A468850-73C3-470D-AC35-A050DBFDA8FF}">
      <text>
        <r>
          <rPr>
            <b/>
            <sz val="9"/>
            <color indexed="81"/>
            <rFont val="Tahoma"/>
            <family val="2"/>
          </rPr>
          <t>&lt;[[TCDeals] - [TC Property Current Stage (Seq: 1)] - [Property Points (Seq: 1)] Is Optional Field 430 - Both]&gt;</t>
        </r>
      </text>
    </comment>
    <comment ref="D1464" authorId="0" shapeId="0" xr:uid="{6B58AD04-C35C-406C-A8F5-812EFE6AA16A}">
      <text>
        <r>
          <rPr>
            <b/>
            <sz val="9"/>
            <color indexed="81"/>
            <rFont val="Tahoma"/>
            <family val="2"/>
          </rPr>
          <t>&lt;[[TCDeals] - [TC Property Current Stage (Seq: 1)] - [Property Points (Seq: 1)] Is Optional Field 431 - Both]&gt;</t>
        </r>
      </text>
    </comment>
    <comment ref="D1465" authorId="1" shapeId="0" xr:uid="{9E1005E1-2A43-4ACD-B073-AEBE3C031650}">
      <text>
        <r>
          <rPr>
            <b/>
            <sz val="9"/>
            <color indexed="81"/>
            <rFont val="Tahoma"/>
            <family val="2"/>
          </rPr>
          <t>&lt;[[TCDeals] - [TC Property Current Stage (Seq: 1)] - [Property Points (Seq: 1)] Is owner cable - Both]&gt;</t>
        </r>
      </text>
    </comment>
    <comment ref="D1466" authorId="1" shapeId="0" xr:uid="{340BA53B-F2E6-46A1-89F1-DBFE7DD8D90A}">
      <text>
        <r>
          <rPr>
            <b/>
            <sz val="9"/>
            <color indexed="81"/>
            <rFont val="Tahoma"/>
            <family val="2"/>
          </rPr>
          <t>&lt;[[TCDeals] - [TC Property Current Stage (Seq: 1)] - [Property Points (Seq: 1)] Is owner WiFi in Unit - Both]&gt;</t>
        </r>
      </text>
    </comment>
    <comment ref="D1468" authorId="0" shapeId="0" xr:uid="{1172BB82-51E9-4FF3-99C0-FBCA90AA51CD}">
      <text>
        <r>
          <rPr>
            <b/>
            <sz val="9"/>
            <color indexed="81"/>
            <rFont val="Tahoma"/>
            <family val="2"/>
          </rPr>
          <t>&lt;[[TCDeals] - [TC Property Current Stage (Seq: 1)] - [Property Points (Seq: 1)] Is Optional Field 433 - Both]&gt;</t>
        </r>
      </text>
    </comment>
    <comment ref="D1469" authorId="0" shapeId="0" xr:uid="{67EDD0A9-5F22-42F1-B427-B9A96FB730E2}">
      <text>
        <r>
          <rPr>
            <b/>
            <sz val="9"/>
            <color indexed="81"/>
            <rFont val="Tahoma"/>
            <family val="2"/>
          </rPr>
          <t>&lt;[[TCDeals] - [TC Property Current Stage (Seq: 1)] - [Property Points (Seq: 1)] Is Optional Field 434 - Both]&gt;</t>
        </r>
      </text>
    </comment>
    <comment ref="D1470" authorId="0" shapeId="0" xr:uid="{C2C48EF3-65C1-4D6A-9439-3640DA38AC3B}">
      <text>
        <r>
          <rPr>
            <b/>
            <sz val="9"/>
            <color indexed="81"/>
            <rFont val="Tahoma"/>
            <family val="2"/>
          </rPr>
          <t>&lt;[[TCDeals] - [TC Property Current Stage (Seq: 1)] - [Property Points (Seq: 1)] Is Optional Field 435 - Both]&gt;</t>
        </r>
      </text>
    </comment>
    <comment ref="D1471" authorId="0" shapeId="0" xr:uid="{6661031E-C262-4E88-98AE-E248F342730B}">
      <text>
        <r>
          <rPr>
            <b/>
            <sz val="9"/>
            <color indexed="81"/>
            <rFont val="Tahoma"/>
            <family val="2"/>
          </rPr>
          <t>&lt;[[TCDeals] - [TC Property Current Stage (Seq: 1)] - [Property Points (Seq: 1)] Is Optional Field 436 - Both]&gt;</t>
        </r>
      </text>
    </comment>
    <comment ref="D1472" authorId="0" shapeId="0" xr:uid="{9FD361C7-E602-4A26-B203-FE77A843CA2C}">
      <text>
        <r>
          <rPr>
            <b/>
            <sz val="9"/>
            <color indexed="81"/>
            <rFont val="Tahoma"/>
            <family val="2"/>
          </rPr>
          <t>&lt;[[TCDeals] - [TC Property Current Stage (Seq: 1)] - [Property Points (Seq: 1)] Is Optional Field 437 - Both]&gt;</t>
        </r>
      </text>
    </comment>
    <comment ref="D1473" authorId="1" shapeId="0" xr:uid="{8471645E-3160-4B07-B6A5-A5614DFAD7B6}">
      <text>
        <r>
          <rPr>
            <b/>
            <sz val="9"/>
            <color indexed="81"/>
            <rFont val="Tahoma"/>
            <family val="2"/>
          </rPr>
          <t>&lt;[[TCDeals] - [TC Property Current Stage (Seq: 1)] - [Property Points (Seq: 1)] Is rental paid cable - Both]&gt;</t>
        </r>
      </text>
    </comment>
    <comment ref="D1474" authorId="1" shapeId="0" xr:uid="{6609B7E3-7DDC-40A3-846B-33E939BF1776}">
      <text>
        <r>
          <rPr>
            <b/>
            <sz val="9"/>
            <color indexed="81"/>
            <rFont val="Tahoma"/>
            <family val="2"/>
          </rPr>
          <t>&lt;[[TCDeals] - [TC Property Current Stage (Seq: 1)] - [Property Points (Seq: 1)] Is rental paid wifi in unit - Both]&gt;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tc={D0BA92AF-16A0-450A-BE52-0AF6056702AD}</author>
  </authors>
  <commentList>
    <comment ref="C119" authorId="0" shapeId="0" xr:uid="{D0BA92AF-16A0-450A-BE52-0AF6056702AD}">
      <text>
        <t>[Threaded comment]
Your version of Excel allows you to read this threaded comment; however, any edits to it will get removed if the file is opened in a newer version of Excel. Learn more: https://go.microsoft.com/fwlink/?linkid=870924
Comment:
    counties with lowest area median income (AMI)</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60FE293-94BB-45AA-B4E2-CABC259F09ED}" keepAlive="1" name="Query - Table48" description="Connection to the 'Table48' query in the workbook." type="5" refreshedVersion="8" background="1" saveData="1">
    <dbPr connection="Provider=Microsoft.Mashup.OleDb.1;Data Source=$Workbook$;Location=Table48;Extended Properties=&quot;&quot;" command="SELECT * FROM [Table48]"/>
  </connection>
  <connection id="2" xr16:uid="{6979507A-87E7-4233-83B1-D544F4BB9792}" keepAlive="1" name="Query - Table49" description="Connection to the 'Table49' query in the workbook." type="5" refreshedVersion="0" background="1">
    <dbPr connection="Provider=Microsoft.Mashup.OleDb.1;Data Source=$Workbook$;Location=Table49;Extended Properties=&quot;&quot;" command="SELECT * FROM [Table49]"/>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<sst xmlns="http://schemas.openxmlformats.org/spreadsheetml/2006/main" count="7667" uniqueCount="4442">
  <si>
    <t xml:space="preserve">This application is on Microsoft Office Excel 2016.  Attempts to complete the application on earlier versions of Excel may create errors in the application.  The majority of the cells in the application are "read only" and cannot be changed.  </t>
  </si>
  <si>
    <t>Do not change any "read only" cells or the application will be rejected.  Do not enter formulas in any cells.</t>
  </si>
  <si>
    <r>
      <t xml:space="preserve">All cells that require input are in </t>
    </r>
    <r>
      <rPr>
        <b/>
        <sz val="11"/>
        <color rgb="FF26808E"/>
        <rFont val="Calibri"/>
        <family val="2"/>
        <scheme val="minor"/>
      </rPr>
      <t>blue</t>
    </r>
    <r>
      <rPr>
        <sz val="11"/>
        <color theme="1"/>
        <rFont val="Calibri"/>
        <family val="2"/>
        <scheme val="minor"/>
      </rPr>
      <t xml:space="preserve">.  </t>
    </r>
  </si>
  <si>
    <r>
      <t xml:space="preserve">The worksheet tabs are labeled at the bottom of the workbook. The tabs in </t>
    </r>
    <r>
      <rPr>
        <b/>
        <sz val="11"/>
        <color theme="9" tint="-0.499984740745262"/>
        <rFont val="Calibri"/>
        <family val="2"/>
        <scheme val="minor"/>
      </rPr>
      <t>green</t>
    </r>
    <r>
      <rPr>
        <sz val="11"/>
        <color theme="1"/>
        <rFont val="Calibri"/>
        <family val="2"/>
        <scheme val="minor"/>
      </rPr>
      <t xml:space="preserve"> must be completed: Contact Information, Application, Unit Mix &amp; Rents, Financing, Development Budget, Commercial Budget, Proforma, Income &amp; Expense, Scoring,  Amenities, Cost Summary and Final Building Profile (final application only).</t>
    </r>
  </si>
  <si>
    <r>
      <t xml:space="preserve">Once the green tabs have been completed the values are calculated and populated to the </t>
    </r>
    <r>
      <rPr>
        <b/>
        <sz val="11"/>
        <color theme="5"/>
        <rFont val="Calibri"/>
        <family val="2"/>
        <scheme val="minor"/>
      </rPr>
      <t>orange</t>
    </r>
    <r>
      <rPr>
        <sz val="11"/>
        <color theme="1"/>
        <rFont val="Calibri"/>
        <family val="2"/>
        <scheme val="minor"/>
      </rPr>
      <t xml:space="preserve"> tabs.</t>
    </r>
  </si>
  <si>
    <r>
      <t xml:space="preserve">Missing or incorrect data will result in an error message and a comment on the </t>
    </r>
    <r>
      <rPr>
        <sz val="11"/>
        <color rgb="FFFF0000"/>
        <rFont val="Calibri"/>
        <family val="2"/>
        <scheme val="minor"/>
      </rPr>
      <t>Data Issues</t>
    </r>
    <r>
      <rPr>
        <sz val="11"/>
        <color theme="1"/>
        <rFont val="Calibri"/>
        <family val="2"/>
        <scheme val="minor"/>
      </rPr>
      <t xml:space="preserve"> tab.   </t>
    </r>
  </si>
  <si>
    <t>All guidance related to the application process and supporting documentation can be found in the Qualified Allocation Plan (see link below).</t>
  </si>
  <si>
    <t>Link to Qualified Allocation Plan</t>
  </si>
  <si>
    <t>Data Issues</t>
  </si>
  <si>
    <r>
      <t xml:space="preserve">Do not submit if there are any comments other than </t>
    </r>
    <r>
      <rPr>
        <b/>
        <sz val="11"/>
        <color theme="9" tint="-0.249977111117893"/>
        <rFont val="Calibri"/>
        <family val="2"/>
        <scheme val="minor"/>
      </rPr>
      <t>"No Missing Data or Data Entry Errors,"</t>
    </r>
    <r>
      <rPr>
        <sz val="11"/>
        <color theme="1"/>
        <rFont val="Calibri"/>
        <family val="2"/>
        <scheme val="minor"/>
      </rPr>
      <t xml:space="preserve"> except for blank contacts if not applicable to this application or stage.</t>
    </r>
  </si>
  <si>
    <t>Comments for each section will be shown under the section header by the same name.</t>
  </si>
  <si>
    <t>Contact Information</t>
  </si>
  <si>
    <r>
      <t xml:space="preserve">Complete all contact information. If not yet selected, leave blank. </t>
    </r>
    <r>
      <rPr>
        <b/>
        <sz val="11"/>
        <color theme="1"/>
        <rFont val="Calibri"/>
        <family val="2"/>
        <scheme val="minor"/>
      </rPr>
      <t>Do not enter N/A or TBD.</t>
    </r>
  </si>
  <si>
    <t>Disregard errors for blank contacts if not applicable to this application.</t>
  </si>
  <si>
    <t>The nonprofit questions must be answered if the nonprofit status is to be recognized.</t>
  </si>
  <si>
    <t>With respect to its programs, services, activities, and employment practices, Colorado Housing and Finance Authority does not discriminate on the basis of race, color, religion, sex (including gender, gender identity, sexual orientation, and sexual harassment), age, national origin, disability, or any other protected classification under federal, state, or local law.</t>
  </si>
  <si>
    <t>Application</t>
  </si>
  <si>
    <t xml:space="preserve">Every question in blue must be answered by entering an alpha/numeric value or selecting from the drop-down menu. </t>
  </si>
  <si>
    <t>Unit Mix &amp; Rents</t>
  </si>
  <si>
    <t>Totals are provided on the Tax Credit Details tab beginning at row 109.</t>
  </si>
  <si>
    <t xml:space="preserve">Rent and Income limits are calculated based on the county in which the development is located. </t>
  </si>
  <si>
    <t>Total number of units - enter a numeric value</t>
  </si>
  <si>
    <t>Utility Allowance - complete for each bedroom sizethat is applicable</t>
  </si>
  <si>
    <t>Utilities Included in Rent - use the drop-down menu</t>
  </si>
  <si>
    <t>Rental Income Table - use the drop-down menu for columns A and B, and enter numeric values in columns C, D and E</t>
  </si>
  <si>
    <t>If units are market rate, select 100% from the Income Level drop-down menu.</t>
  </si>
  <si>
    <t>Financing</t>
  </si>
  <si>
    <t>Totals are provided on the Tax Credit Summary tab beginning at row 48.</t>
  </si>
  <si>
    <t>Construction Loan Amount - enter loan value</t>
  </si>
  <si>
    <t>Construction Loan Rate - enter loan rate</t>
  </si>
  <si>
    <r>
      <rPr>
        <b/>
        <sz val="11"/>
        <color theme="1"/>
        <rFont val="Calibri"/>
        <family val="2"/>
        <scheme val="minor"/>
      </rPr>
      <t>Residential Loan(s)</t>
    </r>
    <r>
      <rPr>
        <sz val="11"/>
        <color theme="1"/>
        <rFont val="Calibri"/>
        <family val="2"/>
        <scheme val="minor"/>
      </rPr>
      <t xml:space="preserve"> </t>
    </r>
  </si>
  <si>
    <t xml:space="preserve">Amortized loans begin at row 8 - enter: source, amount, interest rate, term, amortization, approval </t>
  </si>
  <si>
    <t>Cash Flow loans begin at row 15 - enter: source, amount, interest rate, term, approval</t>
  </si>
  <si>
    <t>Grants begin at row 23 - enter: source, amount</t>
  </si>
  <si>
    <t>Other, Deferred Developer Fee begin at row 37 - enter numeric value</t>
  </si>
  <si>
    <t xml:space="preserve">Commercial Loans </t>
  </si>
  <si>
    <t>Amortized loans begin at row 44 - enter: source, amount, interest rate, term, amortization, approval</t>
  </si>
  <si>
    <t>Cash Flow loans begin at row 51 - enter: source, amount, interest rate, term, approval</t>
  </si>
  <si>
    <t>Grants begin at row 61 - enter: source, amount</t>
  </si>
  <si>
    <t>Other, Deferred Developer Fee begin at row 73 - enter numeric value</t>
  </si>
  <si>
    <t>Development Budget</t>
  </si>
  <si>
    <t>Totals are provided on the Tax Credit Summary tab beginning at row 66 and the Budget Output tab at row 6.</t>
  </si>
  <si>
    <t>Budget amounts are entered in column B.</t>
  </si>
  <si>
    <t>4% Basis Limit Calculations are entered in column C.</t>
  </si>
  <si>
    <t>9% Basis Limit Calculations are entered in column D.</t>
  </si>
  <si>
    <t>Helpful hint: use Copy/Paste FX to remove formulas before submitting application</t>
  </si>
  <si>
    <t>Amounts last provided to CHFA are entered in column E.</t>
  </si>
  <si>
    <t>10% Carryover Actual Incurred Costs are entered in column F. Note: this is only completed at Carryover for federal 9% Housing Tax Credit applications.</t>
  </si>
  <si>
    <t>Commercial Budget</t>
  </si>
  <si>
    <t>Totals are provided on the Budget Output tab beginning at row 126.</t>
  </si>
  <si>
    <t>Complete this worksheet if there is a retail or commercial component to the development.</t>
  </si>
  <si>
    <t>Proforma, Income &amp; Expense</t>
  </si>
  <si>
    <t>Proforma totals are provided on the Tax Credit Details tab beginning at row 183.</t>
  </si>
  <si>
    <t>Income totals are provided on the Tax Credit Details tab beginning at row 166.</t>
  </si>
  <si>
    <t>Expense totals are provided on the Tax Credit Summary tab beginning at row 86.</t>
  </si>
  <si>
    <t>Proforma - enter values, if applicable, for Partnership Management Fees, Asset Management Fees, Cash Flow Notes and Other, for years 1 through 15</t>
  </si>
  <si>
    <t>Row 6 must be completed if there is a Deferred Developer Fee.</t>
  </si>
  <si>
    <t xml:space="preserve">Income - enter values, if applicable, for Laundry, Parking, Other and Annual Retail/Commercial Income </t>
  </si>
  <si>
    <t>Expense - enter value, if applicable, for Administration, Operations, Maintenance, Fixed Expenses and Total Per- Unit Annual Replacement Reserves</t>
  </si>
  <si>
    <t>Requesting waiver of PUPA requirement - make selection using drop-down menu</t>
  </si>
  <si>
    <t>Tax Credit Details</t>
  </si>
  <si>
    <t>Data will populate once the Green tabs are entered correctly.</t>
  </si>
  <si>
    <t>Tax Credit Summary</t>
  </si>
  <si>
    <t>Budget Output</t>
  </si>
  <si>
    <t>Contact Output</t>
  </si>
  <si>
    <t>Scoring</t>
  </si>
  <si>
    <t>Documentation must be provided to support all points claimed.</t>
  </si>
  <si>
    <t>Complete at all stages.</t>
  </si>
  <si>
    <t>Data will populate once all questions are answered and the Application and Unit Mix &amp; Rents tabs have been completed.</t>
  </si>
  <si>
    <t>Amenities</t>
  </si>
  <si>
    <t>Complete all sections and questions.</t>
  </si>
  <si>
    <t>Use the drop-down menu to select "yes" for the amenities that are included in the development.</t>
  </si>
  <si>
    <t>Cost Summary</t>
  </si>
  <si>
    <t>Complete all questions.</t>
  </si>
  <si>
    <r>
      <rPr>
        <b/>
        <sz val="11"/>
        <color theme="1"/>
        <rFont val="Calibri"/>
        <family val="2"/>
        <scheme val="minor"/>
      </rPr>
      <t>Gross Square Foot (GSF)</t>
    </r>
    <r>
      <rPr>
        <sz val="11"/>
        <color theme="1"/>
        <rFont val="Calibri"/>
        <family val="2"/>
        <scheme val="minor"/>
      </rPr>
      <t xml:space="preserve"> unit of measurement of a building from outside the exterior walls. Example: an office building that is 100'x100' as measured by outside walls has an area of 10,000 gross square feet.</t>
    </r>
  </si>
  <si>
    <r>
      <rPr>
        <b/>
        <sz val="11"/>
        <color theme="1"/>
        <rFont val="Calibri"/>
        <family val="2"/>
        <scheme val="minor"/>
      </rPr>
      <t>Net Rentable Square Footage (NRSF)</t>
    </r>
    <r>
      <rPr>
        <sz val="11"/>
        <color theme="1"/>
        <rFont val="Calibri"/>
        <family val="2"/>
        <scheme val="minor"/>
      </rPr>
      <t xml:space="preserve"> Net Leasable Area in a building or project, floor space that may be rented to tenants. The area upon which rental payments are based. Residential Units: Interior Walls, no porches or balconies, only living space. Generally </t>
    </r>
    <r>
      <rPr>
        <u/>
        <sz val="11"/>
        <color theme="1"/>
        <rFont val="Calibri"/>
        <family val="2"/>
        <scheme val="minor"/>
      </rPr>
      <t>excludes</t>
    </r>
    <r>
      <rPr>
        <sz val="11"/>
        <color theme="1"/>
        <rFont val="Calibri"/>
        <family val="2"/>
        <scheme val="minor"/>
      </rPr>
      <t xml:space="preserve"> common areas and space devoted to the heating, cooling and other equipment of  a building. Common Space: hallways, stairways, roof deck or terraces, leasing area, major vertical penetration, storage space. Example: a building with 10 floors, each containing 3,000 square feet of space, may have a net leasable area of 25,000 square feet.  Elevators, hallways, etc. absorb the remaining 5,000 square feet.</t>
    </r>
  </si>
  <si>
    <t>Final Building Profile</t>
  </si>
  <si>
    <t>Complete for the "Final" stage only.</t>
  </si>
  <si>
    <t>Totals are provided on line 104. Totals must match the application.</t>
  </si>
  <si>
    <t>Complete one row for each building in the development.</t>
  </si>
  <si>
    <t>Rent &amp; Income Limits</t>
  </si>
  <si>
    <t>CHFA Income and Rent Tables are based on HUD limits and will be updated when new limits are released.</t>
  </si>
  <si>
    <t>Calculations</t>
  </si>
  <si>
    <t xml:space="preserve">For reference on how calculations are performed </t>
  </si>
  <si>
    <t>Only relevant when applying for CDOH funds (light blue tabs)</t>
  </si>
  <si>
    <t>Data will populate once the application is complete.</t>
  </si>
  <si>
    <t>Missing or Incorrect Data</t>
  </si>
  <si>
    <t>Contact Information Worksheet</t>
  </si>
  <si>
    <t>Application Worksheet</t>
  </si>
  <si>
    <t>Unit Mix &amp; Rents Worksheet</t>
  </si>
  <si>
    <t>Financing Worksheet</t>
  </si>
  <si>
    <t>Development Budget Worksheet</t>
  </si>
  <si>
    <t>Commercial Budget Worksheet</t>
  </si>
  <si>
    <t>Proforma, Income &amp; Expense Worksheet</t>
  </si>
  <si>
    <t>Scoring Worksheet - complete at Preliminary Application Only</t>
  </si>
  <si>
    <t>Amenities Worksheet</t>
  </si>
  <si>
    <t>Cost Summary Worksheet</t>
  </si>
  <si>
    <t>Final Building Profile Worksheet</t>
  </si>
  <si>
    <t>Total Number of Units</t>
  </si>
  <si>
    <t>Do Rents Include Utilities</t>
  </si>
  <si>
    <t>Utility Allowance by Bedroom Size - ONLY ENTER TENANT-PAID UTILITIES</t>
  </si>
  <si>
    <t>0 bedroom</t>
  </si>
  <si>
    <t>1 bedroom</t>
  </si>
  <si>
    <t>2 bedroom</t>
  </si>
  <si>
    <t>3 bedroom</t>
  </si>
  <si>
    <t>4 bedroom</t>
  </si>
  <si>
    <t>5 bedroom</t>
  </si>
  <si>
    <r>
      <t xml:space="preserve">For the Rental Income Table below, the applicant must select Income level in column A, select type of unit in column B, enter unit square footage in Column C, number of units in Column D and actual rent in Column E. The bathroom count must be a whole number based on the number of toilets. </t>
    </r>
    <r>
      <rPr>
        <b/>
        <sz val="9"/>
        <color theme="1"/>
        <rFont val="Calibri"/>
        <family val="2"/>
        <scheme val="minor"/>
      </rPr>
      <t>DO NOT LEAVE BLANK SPACES BETWEEN ROWS OF DATA</t>
    </r>
    <r>
      <rPr>
        <sz val="9"/>
        <color theme="1"/>
        <rFont val="Calibri"/>
        <family val="2"/>
        <scheme val="minor"/>
      </rPr>
      <t>.</t>
    </r>
  </si>
  <si>
    <t>Income Level</t>
  </si>
  <si>
    <t>Type of Unit</t>
  </si>
  <si>
    <t>Unit Size (sq. ft.)</t>
  </si>
  <si>
    <t># of  Units</t>
  </si>
  <si>
    <t>Actual Rent per Unit</t>
  </si>
  <si>
    <t>Show me the maximum allowable rents</t>
  </si>
  <si>
    <t>Project Contacts</t>
  </si>
  <si>
    <t>Applicant to be Published on Reports</t>
  </si>
  <si>
    <t>Organization</t>
  </si>
  <si>
    <t>Contact First Name</t>
  </si>
  <si>
    <t>Contact Last Name</t>
  </si>
  <si>
    <t>Phone (10 #'s only)</t>
  </si>
  <si>
    <t>Email</t>
  </si>
  <si>
    <t xml:space="preserve">Applicant Contact for Application Questions </t>
  </si>
  <si>
    <t>Address</t>
  </si>
  <si>
    <t xml:space="preserve">City </t>
  </si>
  <si>
    <t>State</t>
  </si>
  <si>
    <t>Zip (first five #'s only)</t>
  </si>
  <si>
    <t>Phone (#'s only)</t>
  </si>
  <si>
    <t>Please identify the racial/ethnic composition of your organization's ownership (for profit) or executive leadership (nonprofit) whichever is applicable</t>
  </si>
  <si>
    <t>Please identify the gender composition of your organization's ownership (for profit) or executive leadership (nonprofit) whichever is applicable</t>
  </si>
  <si>
    <t>Additional Applicant Questions</t>
  </si>
  <si>
    <t>Entity Type</t>
  </si>
  <si>
    <t xml:space="preserve">Has the applicant, or other principals of the development's ownership entity, previously received tax credits in Colorado? </t>
  </si>
  <si>
    <t>If "Yes", indicate development name and year.</t>
  </si>
  <si>
    <t>Has the applicant, or other principals of the development's ownership entity, previously received tax credits in other states?</t>
  </si>
  <si>
    <t>If "Yes", indicate year(s).</t>
  </si>
  <si>
    <t>Has the applicant placed any developments in service, in any state?</t>
  </si>
  <si>
    <t>If "Yes", who is/are the limited partners using the credits?</t>
  </si>
  <si>
    <t>Name</t>
  </si>
  <si>
    <t>Address (Street, City, State, Zip)</t>
  </si>
  <si>
    <t xml:space="preserve">Describe any default, disposition of or status of default, foreclosure or findings of non-compliance for any of the developments listed on attachments. </t>
  </si>
  <si>
    <r>
      <t xml:space="preserve">List all the limited partners of the ownership entity and their percentage of interest </t>
    </r>
    <r>
      <rPr>
        <b/>
        <i/>
        <sz val="11"/>
        <color theme="1"/>
        <rFont val="Calibri"/>
        <family val="2"/>
        <scheme val="minor"/>
      </rPr>
      <t>(once formed or if applicable)</t>
    </r>
  </si>
  <si>
    <t>Applicant Entity</t>
  </si>
  <si>
    <t>Limited Partner(s) Names</t>
  </si>
  <si>
    <r>
      <t xml:space="preserve">Ownership Percentage </t>
    </r>
    <r>
      <rPr>
        <b/>
        <i/>
        <sz val="11"/>
        <color theme="1"/>
        <rFont val="Calibri"/>
        <family val="2"/>
        <scheme val="minor"/>
      </rPr>
      <t>(must total 100%)</t>
    </r>
  </si>
  <si>
    <r>
      <t xml:space="preserve">List all the general partners of the ownership entity and their percentage of interest </t>
    </r>
    <r>
      <rPr>
        <b/>
        <i/>
        <sz val="11"/>
        <color theme="1"/>
        <rFont val="Calibri"/>
        <family val="2"/>
        <scheme val="minor"/>
      </rPr>
      <t>(once formed or if applicable)</t>
    </r>
  </si>
  <si>
    <t xml:space="preserve">General Partner(s) Name </t>
  </si>
  <si>
    <t>Managing Member(s) Names</t>
  </si>
  <si>
    <r>
      <t xml:space="preserve">Ownership Percentage of the general partnership </t>
    </r>
    <r>
      <rPr>
        <b/>
        <i/>
        <sz val="11"/>
        <color theme="1"/>
        <rFont val="Calibri"/>
        <family val="2"/>
        <scheme val="minor"/>
      </rPr>
      <t>(must total 100%)</t>
    </r>
  </si>
  <si>
    <t xml:space="preserve">Developer Contact </t>
  </si>
  <si>
    <t>Organization (Common Name)</t>
  </si>
  <si>
    <t>Name(s) and State(s) of previous LIHTC properties</t>
  </si>
  <si>
    <t xml:space="preserve">Syndicator/Investor </t>
  </si>
  <si>
    <t>State TC Syndicator/Investor</t>
  </si>
  <si>
    <r>
      <t>Ownership Entity</t>
    </r>
    <r>
      <rPr>
        <b/>
        <sz val="12"/>
        <rFont val="Calibri"/>
        <family val="2"/>
        <scheme val="minor"/>
      </rPr>
      <t xml:space="preserve"> (if formed, required for Carryover, PIS/Final and CHFA Loan)</t>
    </r>
  </si>
  <si>
    <t>Legal Status</t>
  </si>
  <si>
    <t>Tax ID Number (#'s only or leave blank if not formed yet)</t>
  </si>
  <si>
    <t xml:space="preserve">Status of Entity </t>
  </si>
  <si>
    <t>Participating Nonprofit or PHA</t>
  </si>
  <si>
    <t>(Character Limit: 300 - List common name only.)</t>
  </si>
  <si>
    <t>Tax ID Number</t>
  </si>
  <si>
    <r>
      <t xml:space="preserve">Does the applicant intend to request an allocation of tax credits from the nonprofit set-aside portion of the state credit ceiling under Section 42(h)(5)? Select "Yes" if claiming points under Applicant Characteristics of the Scoring criteria. </t>
    </r>
    <r>
      <rPr>
        <b/>
        <i/>
        <sz val="11"/>
        <color theme="1"/>
        <rFont val="Calibri"/>
        <family val="2"/>
        <scheme val="minor"/>
      </rPr>
      <t>Only applicable for 9% Competitive Tax Credit</t>
    </r>
  </si>
  <si>
    <t>Is the nonprofit or PHA assured of owning an interest in the development throughout the compliance period?</t>
  </si>
  <si>
    <t>Describe in detail the nonprofit or PHA ownership interest</t>
  </si>
  <si>
    <t>Describe the nonprofit or PHA material participation in the development</t>
  </si>
  <si>
    <t>Describe the nonprofit or PHA material participation in the operation of the development throughout the extended use period</t>
  </si>
  <si>
    <t>Will the nonprofit or PHA receive any part of the development or management fees paid in connection with the development?</t>
  </si>
  <si>
    <r>
      <t>If "Yes", explain; if "No"</t>
    </r>
    <r>
      <rPr>
        <b/>
        <sz val="11"/>
        <color rgb="FFFF0000"/>
        <rFont val="Calibri"/>
        <family val="2"/>
        <scheme val="minor"/>
      </rPr>
      <t xml:space="preserve"> skip to row 131</t>
    </r>
  </si>
  <si>
    <t>How many full-time staff members does the nonprofit or PHA have?</t>
  </si>
  <si>
    <t>Describe the type and extent of their activities</t>
  </si>
  <si>
    <t xml:space="preserve">Has any for-profit entity (including the owner of the development or any entity directly or indirectly related to such owner) appointed any directors to the governing board of the nonprofit? </t>
  </si>
  <si>
    <t>If "Yes", explain</t>
  </si>
  <si>
    <t xml:space="preserve">Does the nonprofit have any financial arrangements with any individual(s) of for-profit entity, including anyone or any entity related, directly or indirectly, to the owner of the development? </t>
  </si>
  <si>
    <t>Date of legal formation of nonprofit or PHA</t>
  </si>
  <si>
    <t>Purpose(s) of formation of nonprofit</t>
  </si>
  <si>
    <t>Disclose any business or personal (including family) relationships that any of the staff members, directors or other principals involved in the formation or operation of the nonprofit have, either directly or indirectly, with any persons or entities involved or to be involved in the development on a for-profit basis including, but not limited to, the owner of the development, any of its for-profit general partners,  employees, limited partners or any other parties directly or indirectly related to such owner.</t>
  </si>
  <si>
    <t>3rd Party Estimator</t>
  </si>
  <si>
    <t>General Partner</t>
  </si>
  <si>
    <t>Zip</t>
  </si>
  <si>
    <t>General Contractor</t>
  </si>
  <si>
    <t>Management Company</t>
  </si>
  <si>
    <t>Fee/Turnkey Developer</t>
  </si>
  <si>
    <t>Consultant (specify)</t>
  </si>
  <si>
    <t>Type of Consultant</t>
  </si>
  <si>
    <t>Tax Attorney Firm</t>
  </si>
  <si>
    <t>CPA Firm</t>
  </si>
  <si>
    <t>Architect Firm</t>
  </si>
  <si>
    <t>Permanent Lender</t>
  </si>
  <si>
    <t>Commercial Lender</t>
  </si>
  <si>
    <t>Construction Lender</t>
  </si>
  <si>
    <t>Environmental Phase I Preparer</t>
  </si>
  <si>
    <t>Capital Needs Report Preparer</t>
  </si>
  <si>
    <t>Green Consultant</t>
  </si>
  <si>
    <t>Bond Purchaser</t>
  </si>
  <si>
    <t>Bonds are Public or Private Placement</t>
  </si>
  <si>
    <t>Bond Issuer (if not CHFA)</t>
  </si>
  <si>
    <t>Bond Counsel (if not CHFA)</t>
  </si>
  <si>
    <t>Mayor/Elected Official/Jurisdiction</t>
  </si>
  <si>
    <t>City/Jurisdiction Name</t>
  </si>
  <si>
    <t>Title of Elected Official</t>
  </si>
  <si>
    <t>Council Member</t>
  </si>
  <si>
    <t>Jurisdiction Name</t>
  </si>
  <si>
    <t>City Manager (if applicable)</t>
  </si>
  <si>
    <t>City Planner</t>
  </si>
  <si>
    <t>Local Housing Authortity</t>
  </si>
  <si>
    <t>Executive Director Contact First Name</t>
  </si>
  <si>
    <t>Executive Director Contact Last Name</t>
  </si>
  <si>
    <t>Guarantees</t>
  </si>
  <si>
    <t>Construction/Completion Guarantee</t>
  </si>
  <si>
    <t>Lease Up Guarantee</t>
  </si>
  <si>
    <t xml:space="preserve">Operating Deficit Guarantee </t>
  </si>
  <si>
    <t xml:space="preserve">Compliance Guarantee </t>
  </si>
  <si>
    <t>Application Version</t>
  </si>
  <si>
    <t>Application Date</t>
  </si>
  <si>
    <t>Reservation Year</t>
  </si>
  <si>
    <t>The year applied for credit</t>
  </si>
  <si>
    <t>Application Stage</t>
  </si>
  <si>
    <t>Is Supplemental Credit being requested?</t>
  </si>
  <si>
    <t>Not applicable for preliminary applications</t>
  </si>
  <si>
    <t xml:space="preserve">Are you requesting a CHFA DDA Basis Boost? </t>
  </si>
  <si>
    <t>CHFA Boost requests must be made at preliminary application. For carryover or final applications please answer "Yes" if granted a CHFA basis boost.</t>
  </si>
  <si>
    <t>Identity of Interest</t>
  </si>
  <si>
    <t>Type Of Tax Credit</t>
  </si>
  <si>
    <t>Type of State Tax Credit (if applicable)</t>
  </si>
  <si>
    <t>TOC Credit?</t>
  </si>
  <si>
    <t>Project Type</t>
  </si>
  <si>
    <t>Is this an existing LIHTC property</t>
  </si>
  <si>
    <t>Locking Applicable Percentage?</t>
  </si>
  <si>
    <t>Only applicable for carryover or final applications</t>
  </si>
  <si>
    <t>Federal Equity Factor</t>
  </si>
  <si>
    <t>State Equity Factor</t>
  </si>
  <si>
    <t>TOC Credit Equity Factor</t>
  </si>
  <si>
    <t xml:space="preserve">9% Applicable Percentage Rates (APR) </t>
  </si>
  <si>
    <r>
      <rPr>
        <b/>
        <i/>
        <sz val="11"/>
        <color theme="1"/>
        <rFont val="Calibri"/>
        <family val="2"/>
        <scheme val="minor"/>
      </rPr>
      <t>Rehab/Construction</t>
    </r>
    <r>
      <rPr>
        <b/>
        <sz val="11"/>
        <color theme="1"/>
        <rFont val="Calibri"/>
        <family val="2"/>
        <scheme val="minor"/>
      </rPr>
      <t xml:space="preserve"> 4% Applicable Percentage Rates (APR)</t>
    </r>
  </si>
  <si>
    <r>
      <rPr>
        <b/>
        <i/>
        <sz val="11"/>
        <color theme="1"/>
        <rFont val="Calibri"/>
        <family val="2"/>
        <scheme val="minor"/>
      </rPr>
      <t>Acquisition</t>
    </r>
    <r>
      <rPr>
        <b/>
        <sz val="11"/>
        <color theme="1"/>
        <rFont val="Calibri"/>
        <family val="2"/>
        <scheme val="minor"/>
      </rPr>
      <t xml:space="preserve"> 4% Applicable Percentage Rates (APR)</t>
    </r>
  </si>
  <si>
    <t>Lock-in gross rent floor</t>
  </si>
  <si>
    <t>Lock-in gross rent floor Date</t>
  </si>
  <si>
    <t>Enter Last Building Placed in Service Date</t>
  </si>
  <si>
    <t xml:space="preserve">Only applicable for final applications, leave blank if not applicable </t>
  </si>
  <si>
    <t>Development Information</t>
  </si>
  <si>
    <t>City</t>
  </si>
  <si>
    <t>County</t>
  </si>
  <si>
    <t>Census Tract</t>
  </si>
  <si>
    <t>State Senate District</t>
  </si>
  <si>
    <t>State House District</t>
  </si>
  <si>
    <t>Congressional District</t>
  </si>
  <si>
    <t>Site Control</t>
  </si>
  <si>
    <t xml:space="preserve">Identify current Owner/Seller/Lessor </t>
  </si>
  <si>
    <t xml:space="preserve">Related Party? </t>
  </si>
  <si>
    <t xml:space="preserve">If yes please explain related party </t>
  </si>
  <si>
    <t>Is the site properly zoned?</t>
  </si>
  <si>
    <t>If "Yes", provide evidence of the Zoning Status. If "No", provide a detailed narrative of the Zoning Status describing the process for re-zoning,  including the estimated dates for completion of the re-zoning process.</t>
  </si>
  <si>
    <t>Does Zoning meet parking ratio requirements?</t>
  </si>
  <si>
    <t>If no please explain parking ratio</t>
  </si>
  <si>
    <t>Are all utilities available for the development?</t>
  </si>
  <si>
    <t>Heating Type In-Unit</t>
  </si>
  <si>
    <t>Heating Type Common Area</t>
  </si>
  <si>
    <t>Cooling Type In-Unit</t>
  </si>
  <si>
    <t>Cooling Type Common Area</t>
  </si>
  <si>
    <t>HVAC System In-Unit</t>
  </si>
  <si>
    <t>Hot Water Heating Type</t>
  </si>
  <si>
    <t>Ventalation System</t>
  </si>
  <si>
    <t>All-Electric Development</t>
  </si>
  <si>
    <t>Electrification-Ready Development</t>
  </si>
  <si>
    <t>Green Systems</t>
  </si>
  <si>
    <t>Type of Energy Efficiency Certification</t>
  </si>
  <si>
    <t>Radon Mitigation</t>
  </si>
  <si>
    <t>Water-Wise Landscaping</t>
  </si>
  <si>
    <t>Number of Residential Building(s)</t>
  </si>
  <si>
    <t>Number values only</t>
  </si>
  <si>
    <t>Number of Floors in the Tallest Building</t>
  </si>
  <si>
    <t>Building Construction</t>
  </si>
  <si>
    <t>Building Type</t>
  </si>
  <si>
    <t>Parcel Size (Site Acres)</t>
  </si>
  <si>
    <t>Common Space Square Footage</t>
  </si>
  <si>
    <t>Commercial Space Square Footage</t>
  </si>
  <si>
    <t>Type of Units/Housing</t>
  </si>
  <si>
    <t>Federal Assistance</t>
  </si>
  <si>
    <t xml:space="preserve">Enter "Yes" for tax exempt bond projects </t>
  </si>
  <si>
    <t>USDA Rural Development Sect. 515</t>
  </si>
  <si>
    <t>USDA Rural Development Sect. 514 (Farmworker)</t>
  </si>
  <si>
    <t xml:space="preserve">FHA Insurance-221(d)(4) </t>
  </si>
  <si>
    <t>FHA Insurance 223 (f)</t>
  </si>
  <si>
    <t>FHA Insurance-Risk-Sharing</t>
  </si>
  <si>
    <t>Tax Exempt Bond Financing</t>
  </si>
  <si>
    <t>Bond Issuer Name</t>
  </si>
  <si>
    <t xml:space="preserve">Enter the Total Amount of A Bonds being issued  </t>
  </si>
  <si>
    <t xml:space="preserve">Number values only, leave blank if N/A </t>
  </si>
  <si>
    <t xml:space="preserve">Enter the Total Amount of B Bonds being issued  </t>
  </si>
  <si>
    <t xml:space="preserve">Enter the Total Amount of C Bonds being issued </t>
  </si>
  <si>
    <t>Enter the Total Amount of Recycled Bonds being issued</t>
  </si>
  <si>
    <t xml:space="preserve">Enter name of Entity Transferring Bond Cap </t>
  </si>
  <si>
    <t xml:space="preserve">Only available for 4% private activity bond </t>
  </si>
  <si>
    <t>Enter the Total Amount of Bond Cap Being Transferred</t>
  </si>
  <si>
    <t>Taxable Bond Financing</t>
  </si>
  <si>
    <t xml:space="preserve">Enter the Total Amount of Taxable Bonds being issued  </t>
  </si>
  <si>
    <t>Federal Historic Rehabilitation Tax Credits</t>
  </si>
  <si>
    <t xml:space="preserve">Enter the federal historic credit amount  </t>
  </si>
  <si>
    <t>State Historic Rehabilitation Tax Credits</t>
  </si>
  <si>
    <t xml:space="preserve">Enter the state historic credit amount  </t>
  </si>
  <si>
    <t>Enter the Amount of the Solar Tax Credit</t>
  </si>
  <si>
    <t>45L Energy Efficiency Home Credit</t>
  </si>
  <si>
    <t>Enter the Amount of the 45L EEH Credit</t>
  </si>
  <si>
    <t>100% Project-based rental assistance (HAP Contract)</t>
  </si>
  <si>
    <t>McKinney Act Homeless Funding</t>
  </si>
  <si>
    <t>HOME Funding</t>
  </si>
  <si>
    <t>CDBG DR Funding</t>
  </si>
  <si>
    <t>FHLB Affordable Housing Program Funding</t>
  </si>
  <si>
    <t>CDBG Funding</t>
  </si>
  <si>
    <t>Project-based Vouchers</t>
  </si>
  <si>
    <t>Examples would be HCV, Shelter Plus Care or VASH Vouchers, etc.</t>
  </si>
  <si>
    <t xml:space="preserve">Enter the Number of Project-based Vouchers  </t>
  </si>
  <si>
    <t>State Funds - HDG</t>
  </si>
  <si>
    <t>State Funds - HSP</t>
  </si>
  <si>
    <t>State Funds - DOH Vouchers</t>
  </si>
  <si>
    <t>Voucher Administrator(s)</t>
  </si>
  <si>
    <t>Number of Vouchers</t>
  </si>
  <si>
    <t>Type of Vouchers</t>
  </si>
  <si>
    <r>
      <t xml:space="preserve">State Funds - Other </t>
    </r>
    <r>
      <rPr>
        <sz val="10"/>
        <color theme="1"/>
        <rFont val="Calibri"/>
        <family val="2"/>
        <scheme val="minor"/>
      </rPr>
      <t>(please describe)</t>
    </r>
  </si>
  <si>
    <t>Additional 5% Developer Fee Boost for PSH Units</t>
  </si>
  <si>
    <t>Targeting of Units</t>
  </si>
  <si>
    <t>Number of Units (must equal total units)</t>
  </si>
  <si>
    <t>Assisted Living</t>
  </si>
  <si>
    <t>Special Populations</t>
  </si>
  <si>
    <t>Family</t>
  </si>
  <si>
    <t>Homeless (not PSH)</t>
  </si>
  <si>
    <t>Older Adult</t>
  </si>
  <si>
    <t>Veterans</t>
  </si>
  <si>
    <t xml:space="preserve">Permanent Supportive Housing </t>
  </si>
  <si>
    <t>For Projects with both New Construction and Acq/Rehab or Rehab</t>
  </si>
  <si>
    <t>New Construction</t>
  </si>
  <si>
    <t>Acq/Rehab or Rehab</t>
  </si>
  <si>
    <r>
      <t>Timeline</t>
    </r>
    <r>
      <rPr>
        <sz val="12"/>
        <color theme="1"/>
        <rFont val="Calibri"/>
        <family val="2"/>
        <scheme val="minor"/>
      </rPr>
      <t xml:space="preserve"> (enter a date for each element below)</t>
    </r>
  </si>
  <si>
    <t>APPLICATION STEPS</t>
  </si>
  <si>
    <t>Letter of Intent &amp; Market Analyst Engagement Letter to CHFA</t>
  </si>
  <si>
    <t>Submit Housing Credit Application &amp; Market Study to CHFA</t>
  </si>
  <si>
    <t>Housing Credit Application Approval/Reservation</t>
  </si>
  <si>
    <t>FINANCING STEPS</t>
  </si>
  <si>
    <t>Inducement Resolution</t>
  </si>
  <si>
    <t>n/a for 9%</t>
  </si>
  <si>
    <t>Final Authorizing Resolution</t>
  </si>
  <si>
    <t>Construction Loan Closing</t>
  </si>
  <si>
    <t>Close Acquisition (if applicable)</t>
  </si>
  <si>
    <t>All Loans Closed</t>
  </si>
  <si>
    <t>Execute Partnership Agreement</t>
  </si>
  <si>
    <t>Submit Carryover Application for 9% Project</t>
  </si>
  <si>
    <t>9% only</t>
  </si>
  <si>
    <t>Submit Milestone Documention for State AHTC</t>
  </si>
  <si>
    <t>State credit only</t>
  </si>
  <si>
    <t>CONSTRUCTION STEPS</t>
  </si>
  <si>
    <t>Complete Construction Drawings approved by Planning/Building Dept.</t>
  </si>
  <si>
    <t>Final Site Plan Approval</t>
  </si>
  <si>
    <t>Groundbreaking Ceremony (if planned)</t>
  </si>
  <si>
    <t>Building Permit(s) Issued</t>
  </si>
  <si>
    <t>Complete Construction &amp; Anticipated Place-In-Service
(Obtain Certificates of Occupancy)</t>
  </si>
  <si>
    <t>Enter Estimated Construction Period (Months)</t>
  </si>
  <si>
    <t>POST-CONSTRUCTION STEPS</t>
  </si>
  <si>
    <t>Place-In-Service Application for LURA to CHFA (must submit within 45 days of first building placing in service)</t>
  </si>
  <si>
    <t>Grand Opening (if planned)</t>
  </si>
  <si>
    <t>Stabilization/Lease up</t>
  </si>
  <si>
    <t>Convert to Permanent Loan</t>
  </si>
  <si>
    <t>Final Application to CHFA</t>
  </si>
  <si>
    <t>Development Financing</t>
  </si>
  <si>
    <t>Construction Loan Amount</t>
  </si>
  <si>
    <t>Construction Loan Rate</t>
  </si>
  <si>
    <t>Project Funded without Permanent Debt</t>
  </si>
  <si>
    <t>Residential Loans (amortizing)</t>
  </si>
  <si>
    <t>Source of Loan</t>
  </si>
  <si>
    <t>Amount of funds</t>
  </si>
  <si>
    <t>Interest Rate</t>
  </si>
  <si>
    <t>Term of Loan</t>
  </si>
  <si>
    <t>Amortization (Years)</t>
  </si>
  <si>
    <t>Approval</t>
  </si>
  <si>
    <t>Show me annual debt</t>
  </si>
  <si>
    <t>Total</t>
  </si>
  <si>
    <t>Residential Loans (cash flow only)</t>
  </si>
  <si>
    <t>Source of Grant</t>
  </si>
  <si>
    <t>Residential Other</t>
  </si>
  <si>
    <t>Source</t>
  </si>
  <si>
    <t>Deferred Developer Fee</t>
  </si>
  <si>
    <t>Other Owner Equity</t>
  </si>
  <si>
    <t>Additional Amount to cover GAP</t>
  </si>
  <si>
    <t>If applicable, please enter the amount of additional Owner Funds needed to either reduce the CHFA DDA Boost to 30% or the Annual Credit Amount to $1,350,000.</t>
  </si>
  <si>
    <t>Residential Grand Total</t>
  </si>
  <si>
    <t>Commercial Loans (amortizing)</t>
  </si>
  <si>
    <t>Commercial Loans (cash flow only)</t>
  </si>
  <si>
    <t>Commercial Grants</t>
  </si>
  <si>
    <t>Commercial Other</t>
  </si>
  <si>
    <t>Amount of funds*</t>
  </si>
  <si>
    <t>Commercial Grand Total</t>
  </si>
  <si>
    <t>*only enter amount of funds for those that apply</t>
  </si>
  <si>
    <t>Development Budget (for Residential Development Costs only)</t>
  </si>
  <si>
    <t>Please do no enter formulas in any column below. Applications with formulas will not be accepted.</t>
  </si>
  <si>
    <t>Land &amp; Buildings</t>
  </si>
  <si>
    <t>Amount</t>
  </si>
  <si>
    <t>4% LIHTC Basis Calculation</t>
  </si>
  <si>
    <t>9% LIHTC Basis Calculation</t>
  </si>
  <si>
    <t>Amount Last Provided to CHFA*</t>
  </si>
  <si>
    <t>10% Carryover Actual Incurred Costs</t>
  </si>
  <si>
    <t>Explain changes greater than 10% *</t>
  </si>
  <si>
    <t>Land</t>
  </si>
  <si>
    <t>Existing Structures</t>
  </si>
  <si>
    <t>Demolition</t>
  </si>
  <si>
    <t>Site Work</t>
  </si>
  <si>
    <t>On Site Work</t>
  </si>
  <si>
    <t>Off Site Work</t>
  </si>
  <si>
    <t>Rehab. &amp; New Construction</t>
  </si>
  <si>
    <t>New Structures</t>
  </si>
  <si>
    <t>Rehabilitation</t>
  </si>
  <si>
    <t>Accessory Structures (CSF, storage, garage(s))</t>
  </si>
  <si>
    <t>Green Systems (Solar, Geothermal, Other, etc.)</t>
  </si>
  <si>
    <t>General Requirements</t>
  </si>
  <si>
    <t>Contractor Overhead</t>
  </si>
  <si>
    <t>Contractor Profit</t>
  </si>
  <si>
    <t>Contractor Construction Contingency</t>
  </si>
  <si>
    <t>Owner Hard Cost Contingency</t>
  </si>
  <si>
    <t>Furniture, Fixtures, &amp; Equipment</t>
  </si>
  <si>
    <t>Building Permits</t>
  </si>
  <si>
    <t>Professional Fees</t>
  </si>
  <si>
    <t>Architect, Design</t>
  </si>
  <si>
    <t>Architect Construction Management/Admin</t>
  </si>
  <si>
    <t>Landscape Design</t>
  </si>
  <si>
    <t>Structural Engineering</t>
  </si>
  <si>
    <t>Civil Engineering</t>
  </si>
  <si>
    <t>Other Engineering</t>
  </si>
  <si>
    <t>Surveyor</t>
  </si>
  <si>
    <t>Attorney, Real Estate</t>
  </si>
  <si>
    <t>Green Charrette</t>
  </si>
  <si>
    <t>Construction Accounting</t>
  </si>
  <si>
    <t>Construction Interim Costs</t>
  </si>
  <si>
    <t>Hazard &amp; Liability Insurance</t>
  </si>
  <si>
    <t>Builder's Risk Insurance</t>
  </si>
  <si>
    <t>Perform. &amp; Pymt Bonds</t>
  </si>
  <si>
    <t>Construction Interest</t>
  </si>
  <si>
    <t>Constr. Origination Fees</t>
  </si>
  <si>
    <t>Tap Fees (Water/Sewer)</t>
  </si>
  <si>
    <t>Impact fees</t>
  </si>
  <si>
    <t>Materials Testing</t>
  </si>
  <si>
    <t>Power and Telecom Provider fees</t>
  </si>
  <si>
    <t>3rd Party/Bank Inspections/Admin</t>
  </si>
  <si>
    <t>Title &amp; Recording</t>
  </si>
  <si>
    <t>Construction Lender Legal Fees</t>
  </si>
  <si>
    <t>Prop. Taxes During Construction</t>
  </si>
  <si>
    <t>Bridge Loan</t>
  </si>
  <si>
    <t>Bond Issuance Costs amortized during construction</t>
  </si>
  <si>
    <t>Permanent Financing</t>
  </si>
  <si>
    <t>Bond Premium</t>
  </si>
  <si>
    <t>Bond Issue 30-day lag reserve</t>
  </si>
  <si>
    <t>Bond Cost of Issuance</t>
  </si>
  <si>
    <t>Discount Points</t>
  </si>
  <si>
    <t>Perm Loan Origination</t>
  </si>
  <si>
    <t>Credit Enhancement</t>
  </si>
  <si>
    <t>Legal Fees</t>
  </si>
  <si>
    <t>Prepaid MIP</t>
  </si>
  <si>
    <t>Forward Rate Lock</t>
  </si>
  <si>
    <t>Conversion Fee</t>
  </si>
  <si>
    <t>Soft Costs</t>
  </si>
  <si>
    <t>Marketing/Leasing Costs</t>
  </si>
  <si>
    <t xml:space="preserve"> </t>
  </si>
  <si>
    <t>Cost Estimating/Capital Needs Assessment</t>
  </si>
  <si>
    <t>Geotechnical/Soils Study</t>
  </si>
  <si>
    <t>Appraisal</t>
  </si>
  <si>
    <t>Market Study</t>
  </si>
  <si>
    <t>Environmental Study (Phase 1, Phase 2, Lead, Asbestos, etc.)</t>
  </si>
  <si>
    <t>Other Studies (traffic, wetlands, etc.)</t>
  </si>
  <si>
    <t>Tax Credit Fees</t>
  </si>
  <si>
    <t>Compliance Fees</t>
  </si>
  <si>
    <t>Cost Certification</t>
  </si>
  <si>
    <t>Green Certification Fees (LEED Certification, etc.)</t>
  </si>
  <si>
    <t>Relocation - Temporary</t>
  </si>
  <si>
    <t>Relocation - Permanent</t>
  </si>
  <si>
    <t>Soft Cost Contingency</t>
  </si>
  <si>
    <t>Syndication Costs</t>
  </si>
  <si>
    <t>Organization Costs</t>
  </si>
  <si>
    <t>Tax Opinion</t>
  </si>
  <si>
    <t>Syndication Legal Fees</t>
  </si>
  <si>
    <t>Developer Fees</t>
  </si>
  <si>
    <t>Developer Fee</t>
  </si>
  <si>
    <t>Developer Overhead</t>
  </si>
  <si>
    <t>Developer Profit</t>
  </si>
  <si>
    <t>PSH developer fee boost (up to 5%)</t>
  </si>
  <si>
    <t>Third Party Development Management/Owner's Rep</t>
  </si>
  <si>
    <t>Financial/Tax Credit Consultant, Application Preparation, etc.</t>
  </si>
  <si>
    <t>Other Consultant Fees</t>
  </si>
  <si>
    <t>Project Reserves</t>
  </si>
  <si>
    <t>Rent-up Reserves</t>
  </si>
  <si>
    <t>Operating Reserves</t>
  </si>
  <si>
    <t>Replacement Reserves</t>
  </si>
  <si>
    <t>Debt Service Reserves</t>
  </si>
  <si>
    <t>*Not Applicable for Preliminary Application</t>
  </si>
  <si>
    <t>Commercial Development Budget</t>
  </si>
  <si>
    <t>*Not applicable for initial application</t>
  </si>
  <si>
    <t>Accessory Structures</t>
  </si>
  <si>
    <t>Construction Contingency</t>
  </si>
  <si>
    <t>Architect, Supervision</t>
  </si>
  <si>
    <t>Consultant/agent</t>
  </si>
  <si>
    <t>Engineer/Surveyor</t>
  </si>
  <si>
    <t>Other-Accounting</t>
  </si>
  <si>
    <t>Credit Report</t>
  </si>
  <si>
    <t>Impact Fees</t>
  </si>
  <si>
    <t>Prop. Taxes during const</t>
  </si>
  <si>
    <t>Feasibility Study</t>
  </si>
  <si>
    <t>Environmental Study</t>
  </si>
  <si>
    <t>Other - Accounting</t>
  </si>
  <si>
    <t>Escrows</t>
  </si>
  <si>
    <t>Section 1: Primary Selection Criteria</t>
  </si>
  <si>
    <t>Low Income Targeting (See Section 5.A.1. of the Allocation Plan for CHFA requirements under this Criteria.)</t>
  </si>
  <si>
    <t>Threshold</t>
  </si>
  <si>
    <t>Points are weighted based upon number of units in % of Median Income (Weights: 60% = 50, 50% = 72.5, 40% = 92.5)</t>
  </si>
  <si>
    <t>70% and 80% AMI units are not eligible for credit unless Average Income is selected.</t>
  </si>
  <si>
    <t>Targeting 30% or less of area median income (See Section 5.A.1.c. of the Allocation Plan for eligibility requirements for making this selection)</t>
  </si>
  <si>
    <t>Very, Very Low-Income Targeting</t>
  </si>
  <si>
    <t>10% = 5 points, 20% = 10 points, 30% = 15 points</t>
  </si>
  <si>
    <t>Extended Low-Income Use</t>
  </si>
  <si>
    <t>Community Revitalization Plan (See Section 5.A.4. of the Allocation Plan for CHFA requirements under this Criteria.)</t>
  </si>
  <si>
    <t>Yes = 1 point</t>
  </si>
  <si>
    <t>Section 2: Secondary Selection Criteria (See Section 5.B.2. of the Allocation Plan for CHFA requirements under this Criteria.)</t>
  </si>
  <si>
    <t>Development Characteristics</t>
  </si>
  <si>
    <t>Yes = 5 points</t>
  </si>
  <si>
    <t>Developments located in non Metro counties that have a population of 180,000 or less.</t>
  </si>
  <si>
    <t>Rehabilitation of blighted buildings or locally or federally designated historic structures. See Section 5.B.3.c. of the Allocation Plan for the definition of "blighted buildings".</t>
  </si>
  <si>
    <t>Acquisition/ Rehabilitation of a Preservation Development. See Section 5.B.3.d. of the Allocation Plan for the definition of a "Preservation Development".</t>
  </si>
  <si>
    <t>Yes = 15 points</t>
  </si>
  <si>
    <t>Applicant Characteristics</t>
  </si>
  <si>
    <t>Applicant is a 501(c)(3) or 501(c)(4) tax-exempt organization having an express purpose of fostering low-income housing or a Colorado public housing authority. The applicant is the one and only owner of the development and will remain as the one and only general partner (either itself or through its or a related subsidiary). The applicant will, from the time of application through the compliance period, materially participate in the development and operation of the development. The applicant is required to complete the nonprofit questions beginning on row 100 of the Contact Information tab.</t>
  </si>
  <si>
    <t>Tenant Population serving Persons experiencing Homelessness or Special Populations</t>
  </si>
  <si>
    <t>Projects serving Persons experiencing Homelessness or Special Populations. See Section 5.B.5 of the Allocation Plan for the definition and required documentation.</t>
  </si>
  <si>
    <t>Housing Authority Waitlist</t>
  </si>
  <si>
    <t>Yes = 2 points</t>
  </si>
  <si>
    <t>Show me the Scoring Details</t>
  </si>
  <si>
    <t>Show me the full proforma</t>
  </si>
  <si>
    <t>Proforma</t>
  </si>
  <si>
    <t>Year 1</t>
  </si>
  <si>
    <t>Year 2</t>
  </si>
  <si>
    <t>Year 3</t>
  </si>
  <si>
    <t>Year 4</t>
  </si>
  <si>
    <t>Year 5</t>
  </si>
  <si>
    <t>Year 6</t>
  </si>
  <si>
    <t>Year 7</t>
  </si>
  <si>
    <t>Year 8</t>
  </si>
  <si>
    <t>Year 9</t>
  </si>
  <si>
    <t>Year 10</t>
  </si>
  <si>
    <t>Year 11</t>
  </si>
  <si>
    <t>Year 12</t>
  </si>
  <si>
    <t>Year 13</t>
  </si>
  <si>
    <t>Year 14</t>
  </si>
  <si>
    <t>Year 15</t>
  </si>
  <si>
    <t>Partnership/Asset Mgt. Fees</t>
  </si>
  <si>
    <t>Bond Fees (if applicable)</t>
  </si>
  <si>
    <t>Deferred Developer Fee Repayment*</t>
  </si>
  <si>
    <t>Cash Flow Paid for Services</t>
  </si>
  <si>
    <t>*Row 6 must be completed if there is a deferred developer fee</t>
  </si>
  <si>
    <t>Income</t>
  </si>
  <si>
    <t xml:space="preserve">*Amount Last Provided to CHFA is not applicable for initial application. </t>
  </si>
  <si>
    <t>Laundry Revenue</t>
  </si>
  <si>
    <t>Show me the income details</t>
  </si>
  <si>
    <t>Parking Revenue</t>
  </si>
  <si>
    <t/>
  </si>
  <si>
    <t>Total Annual Retail/Commercial Income</t>
  </si>
  <si>
    <r>
      <t>Annual Operating Expenses</t>
    </r>
    <r>
      <rPr>
        <sz val="14"/>
        <color theme="1"/>
        <rFont val="Calibri"/>
        <family val="2"/>
        <scheme val="minor"/>
      </rPr>
      <t xml:space="preserve"> (Estimated annual operating expenses as of the end of the first full year of operation)</t>
    </r>
  </si>
  <si>
    <t>Administration</t>
  </si>
  <si>
    <t>Residential</t>
  </si>
  <si>
    <t>Commercial</t>
  </si>
  <si>
    <t>Accounting</t>
  </si>
  <si>
    <t>Advertising</t>
  </si>
  <si>
    <t>Legal</t>
  </si>
  <si>
    <t>Leased Equipment</t>
  </si>
  <si>
    <t>Management Fees</t>
  </si>
  <si>
    <t>Management Salaries</t>
  </si>
  <si>
    <t>Management Payroll Tax</t>
  </si>
  <si>
    <t>Model Apartment</t>
  </si>
  <si>
    <t>Office Supplies</t>
  </si>
  <si>
    <t>Telephone</t>
  </si>
  <si>
    <t>Operations</t>
  </si>
  <si>
    <t>Fuel (Heat/Water)</t>
  </si>
  <si>
    <t>Electricity</t>
  </si>
  <si>
    <t>Water</t>
  </si>
  <si>
    <t>Sewer</t>
  </si>
  <si>
    <t>Gas</t>
  </si>
  <si>
    <t>Trash</t>
  </si>
  <si>
    <t>Security</t>
  </si>
  <si>
    <t>Cable</t>
  </si>
  <si>
    <t>Maintenance</t>
  </si>
  <si>
    <t>Elevator</t>
  </si>
  <si>
    <t>Extermination</t>
  </si>
  <si>
    <t>Grounds</t>
  </si>
  <si>
    <t>Repairs</t>
  </si>
  <si>
    <t>Maintenance Salaries</t>
  </si>
  <si>
    <t>Maintenance Supplies</t>
  </si>
  <si>
    <t>Contracts</t>
  </si>
  <si>
    <t>Decorating</t>
  </si>
  <si>
    <t>Snow Removal</t>
  </si>
  <si>
    <t>Fixed Expenses</t>
  </si>
  <si>
    <t>Real Estate Taxes</t>
  </si>
  <si>
    <t>Payment in Lieu of Taxes</t>
  </si>
  <si>
    <t>Other Tax Assessments</t>
  </si>
  <si>
    <t>Insurance</t>
  </si>
  <si>
    <t>Payroll Tax</t>
  </si>
  <si>
    <t>Total Per Unit Annual Replacement Reserves</t>
  </si>
  <si>
    <t>Indicate if requesting waiver of Minimum PUPA Requirement.</t>
  </si>
  <si>
    <t>No</t>
  </si>
  <si>
    <t>Unit and Project Amenities</t>
  </si>
  <si>
    <t>Unit Amenities</t>
  </si>
  <si>
    <t>Window Coverings/Blinds</t>
  </si>
  <si>
    <t>Ceiling Fan E-star</t>
  </si>
  <si>
    <t>Storage Closet/Shed</t>
  </si>
  <si>
    <t>Coat Closet</t>
  </si>
  <si>
    <t>Walk-in Closet</t>
  </si>
  <si>
    <t>Fireplace</t>
  </si>
  <si>
    <t>Bathroom Fan E-star</t>
  </si>
  <si>
    <t>Patio/Porch/Balcony</t>
  </si>
  <si>
    <t>Cable Connection</t>
  </si>
  <si>
    <t>Internet Connection</t>
  </si>
  <si>
    <t>Units individually metered</t>
  </si>
  <si>
    <t>Other (specify)</t>
  </si>
  <si>
    <r>
      <t xml:space="preserve">Appliances (Items with an </t>
    </r>
    <r>
      <rPr>
        <b/>
        <i/>
        <sz val="11"/>
        <color theme="1"/>
        <rFont val="Calibri"/>
        <family val="2"/>
        <scheme val="minor"/>
      </rPr>
      <t>*</t>
    </r>
    <r>
      <rPr>
        <i/>
        <sz val="11"/>
        <color theme="1"/>
        <rFont val="Calibri"/>
        <family val="2"/>
        <scheme val="minor"/>
      </rPr>
      <t xml:space="preserve"> are required)</t>
    </r>
  </si>
  <si>
    <t>Refrigerator E-star*</t>
  </si>
  <si>
    <t>Stove/Oven*</t>
  </si>
  <si>
    <t>Dishwasher E-star*</t>
  </si>
  <si>
    <t>Garbage Disposal*</t>
  </si>
  <si>
    <t>Built-in Microwave</t>
  </si>
  <si>
    <t>In-unit washer/dryer (included in rent)</t>
  </si>
  <si>
    <t>In-unit washer/dryer (not included in rent)</t>
  </si>
  <si>
    <t>Washer/Dryer Hookups</t>
  </si>
  <si>
    <t>Project Amenities</t>
  </si>
  <si>
    <t>Clubhouse/Community Room</t>
  </si>
  <si>
    <t>Fitness/Exercise Room</t>
  </si>
  <si>
    <t>Library</t>
  </si>
  <si>
    <t>Computer Lab</t>
  </si>
  <si>
    <t>Business Center</t>
  </si>
  <si>
    <t>Laundry Room</t>
  </si>
  <si>
    <t>Number of Laundry Rooms</t>
  </si>
  <si>
    <t>Laundry Room in each building (if more than one bldg)</t>
  </si>
  <si>
    <t>Laundry Room on each floor</t>
  </si>
  <si>
    <t>Dining Room</t>
  </si>
  <si>
    <t>Kitchen</t>
  </si>
  <si>
    <t>Living/Activity/Game Room</t>
  </si>
  <si>
    <t>WiFi in Common Areas</t>
  </si>
  <si>
    <t>Elevator (quantity)</t>
  </si>
  <si>
    <t>Picnic/BBQ area</t>
  </si>
  <si>
    <t>Tot Lot/Playground</t>
  </si>
  <si>
    <t>Athletic courts</t>
  </si>
  <si>
    <t>Community Garden</t>
  </si>
  <si>
    <t>Swimming Pool</t>
  </si>
  <si>
    <t>Spa/Jacuzzi</t>
  </si>
  <si>
    <t>Bike Storage</t>
  </si>
  <si>
    <t>Bike Maintenance</t>
  </si>
  <si>
    <t>Pet Wash Area</t>
  </si>
  <si>
    <t>Pet Relief Area</t>
  </si>
  <si>
    <t>Dog Run</t>
  </si>
  <si>
    <t>Onsite Manager</t>
  </si>
  <si>
    <t>Privacy Fencing</t>
  </si>
  <si>
    <t>Reception Desk</t>
  </si>
  <si>
    <t>Surveillance Cameras</t>
  </si>
  <si>
    <t>Control Access Entry</t>
  </si>
  <si>
    <t>Emergency Pull Cords</t>
  </si>
  <si>
    <t>Other Project Amenities</t>
  </si>
  <si>
    <r>
      <t xml:space="preserve">Surface Parking - </t>
    </r>
    <r>
      <rPr>
        <b/>
        <u/>
        <sz val="11"/>
        <color theme="1"/>
        <rFont val="Calibri"/>
        <family val="2"/>
        <scheme val="minor"/>
      </rPr>
      <t># of spaces</t>
    </r>
  </si>
  <si>
    <r>
      <t xml:space="preserve">Carport - </t>
    </r>
    <r>
      <rPr>
        <b/>
        <u/>
        <sz val="11"/>
        <color theme="1"/>
        <rFont val="Calibri"/>
        <family val="2"/>
        <scheme val="minor"/>
      </rPr>
      <t># of carports</t>
    </r>
  </si>
  <si>
    <r>
      <t xml:space="preserve">Underground Parking - </t>
    </r>
    <r>
      <rPr>
        <b/>
        <u/>
        <sz val="11"/>
        <color theme="1"/>
        <rFont val="Calibri"/>
        <family val="2"/>
        <scheme val="minor"/>
      </rPr>
      <t># of spaces</t>
    </r>
  </si>
  <si>
    <r>
      <t xml:space="preserve">Detached Garage - </t>
    </r>
    <r>
      <rPr>
        <b/>
        <u/>
        <sz val="11"/>
        <color theme="1"/>
        <rFont val="Calibri"/>
        <family val="2"/>
        <scheme val="minor"/>
      </rPr>
      <t># of garages</t>
    </r>
  </si>
  <si>
    <r>
      <t>Attached Garage -</t>
    </r>
    <r>
      <rPr>
        <b/>
        <u/>
        <sz val="11"/>
        <color theme="1"/>
        <rFont val="Calibri"/>
        <family val="2"/>
        <scheme val="minor"/>
      </rPr>
      <t xml:space="preserve"> # of garages</t>
    </r>
  </si>
  <si>
    <r>
      <t xml:space="preserve">Tuck-under / Podium Parking - </t>
    </r>
    <r>
      <rPr>
        <b/>
        <u/>
        <sz val="11"/>
        <color theme="1"/>
        <rFont val="Calibri"/>
        <family val="2"/>
        <scheme val="minor"/>
      </rPr>
      <t># of spaces</t>
    </r>
  </si>
  <si>
    <t>Total # of Parking Spaces</t>
  </si>
  <si>
    <t>Is Parking in Eligible Basis</t>
  </si>
  <si>
    <t>Is there a Fee for Parking</t>
  </si>
  <si>
    <t>Fee Amount/Month ($)</t>
  </si>
  <si>
    <t># of spaces not in Eligible Basis</t>
  </si>
  <si>
    <t>Storage Units or Lockers</t>
  </si>
  <si>
    <t>Part of Eligible Basis</t>
  </si>
  <si>
    <t xml:space="preserve">Electric Vehicle (EV) Ready </t>
  </si>
  <si>
    <t># of EV Charging Stations</t>
  </si>
  <si>
    <t>Number of spaces for commerical or nonresidential</t>
  </si>
  <si>
    <t>Transit Passes</t>
  </si>
  <si>
    <t>Number of Transit Passes</t>
  </si>
  <si>
    <t>Number of Transit Passes Budgeted for number of years</t>
  </si>
  <si>
    <t>Older Adult Properties</t>
  </si>
  <si>
    <t>Age 62+/all occupants</t>
  </si>
  <si>
    <t>Age 55+/at least one occupant</t>
  </si>
  <si>
    <t>Service Coordinator</t>
  </si>
  <si>
    <t>Additional fees for services</t>
  </si>
  <si>
    <t>Accessible Units</t>
  </si>
  <si>
    <t>Number of Type A units</t>
  </si>
  <si>
    <t>Number of Type B units</t>
  </si>
  <si>
    <t>Rent charged per household composition</t>
  </si>
  <si>
    <t>Rent charged per bed</t>
  </si>
  <si>
    <t>Utilities</t>
  </si>
  <si>
    <t>Utility Model</t>
  </si>
  <si>
    <t>Owner Paid Utilities</t>
  </si>
  <si>
    <t>Cable  - If  contracted with cable provider</t>
  </si>
  <si>
    <t>WiFi in Unit</t>
  </si>
  <si>
    <t>Tenant Paid Utilities</t>
  </si>
  <si>
    <t>Final Allocation</t>
  </si>
  <si>
    <t>Renter's insurance required</t>
  </si>
  <si>
    <t>not applicable for initial application</t>
  </si>
  <si>
    <t>List any changes from Preliminary &amp; Carryover</t>
  </si>
  <si>
    <t>Were changes pre-approved</t>
  </si>
  <si>
    <t>Make Selection Below</t>
  </si>
  <si>
    <t>Level of Drawings Completed</t>
  </si>
  <si>
    <t>Pricing based on percentage of drawings completed</t>
  </si>
  <si>
    <t>Prevailing Wages</t>
  </si>
  <si>
    <t>Applicant enter/copy data from Third Party Cost Estimate Below</t>
  </si>
  <si>
    <t>CSI Division</t>
  </si>
  <si>
    <t>CSI Division Description</t>
  </si>
  <si>
    <t>Cost</t>
  </si>
  <si>
    <t>Estimate Comments</t>
  </si>
  <si>
    <t>01 00 00</t>
  </si>
  <si>
    <t>Note - include any hard cost allowances within specific scope of work as applicable, comment/clarify as necessary</t>
  </si>
  <si>
    <t>02 00 00</t>
  </si>
  <si>
    <t>Existing Conditions</t>
  </si>
  <si>
    <t>03 00 00</t>
  </si>
  <si>
    <t>Concrete</t>
  </si>
  <si>
    <t>04 00 00</t>
  </si>
  <si>
    <t>Masonry</t>
  </si>
  <si>
    <t>05 00 00</t>
  </si>
  <si>
    <t>Metals</t>
  </si>
  <si>
    <t>06 00 00</t>
  </si>
  <si>
    <t>Wood, Plastics &amp; Composites</t>
  </si>
  <si>
    <t>07 00 00</t>
  </si>
  <si>
    <t>Thermal and Moisture Protection</t>
  </si>
  <si>
    <t>08 00 00</t>
  </si>
  <si>
    <t>Openings</t>
  </si>
  <si>
    <t>09 00 00</t>
  </si>
  <si>
    <t>Finishes</t>
  </si>
  <si>
    <t>10 00 00</t>
  </si>
  <si>
    <t>Specialties</t>
  </si>
  <si>
    <t>11 00 00</t>
  </si>
  <si>
    <t>Equipment</t>
  </si>
  <si>
    <t>12 00 00</t>
  </si>
  <si>
    <t>Furnishings</t>
  </si>
  <si>
    <t>13 00 00</t>
  </si>
  <si>
    <t>Special Construction</t>
  </si>
  <si>
    <t>14 00 00</t>
  </si>
  <si>
    <t>Conveying Equipment</t>
  </si>
  <si>
    <t>21 00 00</t>
  </si>
  <si>
    <t>Fire Suppression</t>
  </si>
  <si>
    <t>22 00 00</t>
  </si>
  <si>
    <t>Plumbing</t>
  </si>
  <si>
    <t>23 00 00</t>
  </si>
  <si>
    <t>Heating Ventilation Air Conditioning</t>
  </si>
  <si>
    <t>25 00 00</t>
  </si>
  <si>
    <t>Integrated Automation</t>
  </si>
  <si>
    <t>26 00 00</t>
  </si>
  <si>
    <t>Electrical</t>
  </si>
  <si>
    <t>27 00 00</t>
  </si>
  <si>
    <t>Communications</t>
  </si>
  <si>
    <t>28 00 00</t>
  </si>
  <si>
    <t>Electronic Safety &amp; Security</t>
  </si>
  <si>
    <t>31 00 00</t>
  </si>
  <si>
    <t>Earthwork</t>
  </si>
  <si>
    <t>32 00 00</t>
  </si>
  <si>
    <t>Exterior Improvements</t>
  </si>
  <si>
    <t>33 00 00</t>
  </si>
  <si>
    <t>34 00 00</t>
  </si>
  <si>
    <t>Transportation</t>
  </si>
  <si>
    <t>48 00 00</t>
  </si>
  <si>
    <t xml:space="preserve">Electrical Power Generation </t>
  </si>
  <si>
    <t>Other costs /mark-up -  describe in next line items</t>
  </si>
  <si>
    <t>Procurement Pre-construction, Design-Build</t>
  </si>
  <si>
    <t>Bonds &amp; Insurance</t>
  </si>
  <si>
    <t>Payment &amp; Performance Bond</t>
  </si>
  <si>
    <t>Builders Risk</t>
  </si>
  <si>
    <t>General Liability</t>
  </si>
  <si>
    <t>Wrap Insurance Program</t>
  </si>
  <si>
    <t>Contingency, OH&amp;P, etc.</t>
  </si>
  <si>
    <t>Contingency (Contractor's)</t>
  </si>
  <si>
    <t>Cost progression/ escalation</t>
  </si>
  <si>
    <t>Permits</t>
  </si>
  <si>
    <t>Sales, Use Taxes, etc.</t>
  </si>
  <si>
    <t>BIN Number</t>
  </si>
  <si>
    <t>Building Street Address Only 
(DO NOT ENTER CITY, STATE, OR ZIP)</t>
  </si>
  <si>
    <t>Total Units in Building*</t>
  </si>
  <si>
    <t>Employee Units</t>
  </si>
  <si>
    <t>Low-Income Units</t>
  </si>
  <si>
    <t>Residential Square Footage**</t>
  </si>
  <si>
    <t>Square Footage of Employee Units</t>
  </si>
  <si>
    <t>Square Footage of Low-Income Units</t>
  </si>
  <si>
    <t>Placed-In-Service Date</t>
  </si>
  <si>
    <t>New Construction/ Rehab APR</t>
  </si>
  <si>
    <t>New Construction Eligible Basis</t>
  </si>
  <si>
    <t>Eligible Basis for Rehab</t>
  </si>
  <si>
    <t>Cost of Acquiring the Building***</t>
  </si>
  <si>
    <t>Higher of Land Purchase Price or Land Appraised Value****</t>
  </si>
  <si>
    <t>Acquisition Placed-in-Service Date</t>
  </si>
  <si>
    <t>Acquisition APR</t>
  </si>
  <si>
    <t xml:space="preserve"> *Include employee units</t>
  </si>
  <si>
    <t>***Include the cost of land</t>
  </si>
  <si>
    <t>****Proportional to the Total Cost of Acquiring the Building</t>
  </si>
  <si>
    <t>Total Units in Building</t>
  </si>
  <si>
    <t>Residential Square Footage</t>
  </si>
  <si>
    <t>Eligible Basis</t>
  </si>
  <si>
    <t>Cost of Acquiring the Building</t>
  </si>
  <si>
    <t>Higher of Land Purchase Price or Land Appraised Value</t>
  </si>
  <si>
    <t>**Include all common units</t>
  </si>
  <si>
    <t>PUT THIS IN THE INSTRUCTIONS:This is a Summary page for deal Contact Information. This is a non-entry page. If you are seeing blanks it’s because the Applicant entered TBD/N/A</t>
  </si>
  <si>
    <t>Contact Type</t>
  </si>
  <si>
    <t xml:space="preserve">State </t>
  </si>
  <si>
    <t>Zip Code</t>
  </si>
  <si>
    <t xml:space="preserve">Phone </t>
  </si>
  <si>
    <t>Applicant Contact to be Published</t>
  </si>
  <si>
    <t xml:space="preserve">Applicant </t>
  </si>
  <si>
    <t>Developer (if different from Applicant)</t>
  </si>
  <si>
    <t>Syndicator/Investor</t>
  </si>
  <si>
    <t>Ownership Entity (if formed, required for Carryover, PIS/Final and CHFA Loan)</t>
  </si>
  <si>
    <t xml:space="preserve">Participating Nonprofit or PHA </t>
  </si>
  <si>
    <t>Fee/Turnkey Developer 
(as defined by CHFA QAP)</t>
  </si>
  <si>
    <t>Commercial Permanent Lender</t>
  </si>
  <si>
    <t>City Manager</t>
  </si>
  <si>
    <t>Local Housing Authority</t>
  </si>
  <si>
    <t>Operating Deficit Guarantee</t>
  </si>
  <si>
    <t>Compliance Guarantee</t>
  </si>
  <si>
    <t>Additional Sponsor/Applicant Questions</t>
  </si>
  <si>
    <t>List all the general partners of the ownership entity and the percentages of their interest</t>
  </si>
  <si>
    <t>Ownership Percentage</t>
  </si>
  <si>
    <t>Additional Non-Profit or PHA Questions</t>
  </si>
  <si>
    <t>Is the non-profit or PHA assured of owning an interest in the development throughout the compliance period?</t>
  </si>
  <si>
    <t>Yes</t>
  </si>
  <si>
    <t>Describe in detail the non-profit or PHA ownership interest</t>
  </si>
  <si>
    <t>Describe the non-profit or PHA material participation in the development</t>
  </si>
  <si>
    <t>Describe the non-profit or PHA material participation in the operation of the development throughout the extended use period</t>
  </si>
  <si>
    <t>Will the non-profit or PHA receive any part of the development or management fees paid in connection with the development?</t>
  </si>
  <si>
    <t>If "Yes", explain; if "No" skip to row 106</t>
  </si>
  <si>
    <t>How many full-time staff members does the non-profit or PHA have?</t>
  </si>
  <si>
    <t xml:space="preserve">Has any for-profit entity (including the owner of the development or any entity directly or indirectly related to such owner) appointed any directors to the governing board of the non-profit? </t>
  </si>
  <si>
    <t xml:space="preserve">Does the non-profit have any financial arrangements with any individual(s) of for-profit entity, including anyone or any entity related, directly or indirectly, to the owner of the development? </t>
  </si>
  <si>
    <t>Date of legal formation of non-profit or PHA</t>
  </si>
  <si>
    <t>Purpose(s) of formation of non-profit</t>
  </si>
  <si>
    <t>Disclose any business or personal (including family) relationships that any of the staff members, directors or other principals involved in the formation or operation of the non-profit have, either directly or indirectly, with any persons or entities involved or to be involved in the development on a for-profit basis including, but not limited to, the owner of the development, any of its for-profit general partners,  employees, limited partners or any other parties directly or indirectly related to such owner.</t>
  </si>
  <si>
    <t>Does the applicant intend to request an allocation of tax credits from the non-profit set-aside portion of the state credit ceiling under Section 42(h)(5)? Select "Yes" if claiming points under Applicant Characteristics of the Scoring criteria.</t>
  </si>
  <si>
    <t>Only applicable for 9% Competitive Tax Credit</t>
  </si>
  <si>
    <t>Development Name</t>
  </si>
  <si>
    <t>Number of Parking Spaces:</t>
  </si>
  <si>
    <t>Parking Ratio:</t>
  </si>
  <si>
    <t>Scoring Details</t>
  </si>
  <si>
    <t>Primary Selection Criteria</t>
  </si>
  <si>
    <t>% of Median Income</t>
  </si>
  <si>
    <t># of Rent Restricted Units</t>
  </si>
  <si>
    <t>% of Rent Restricted Units</t>
  </si>
  <si>
    <t>Weight</t>
  </si>
  <si>
    <t>Points</t>
  </si>
  <si>
    <t>70% and 80% units only eligible for credits when Average Income is selected</t>
  </si>
  <si>
    <t>% of Total Units at, or below, 30% AMI</t>
  </si>
  <si>
    <t>County with lowest AMI</t>
  </si>
  <si>
    <t>Developments in a Qualified Census Tract</t>
  </si>
  <si>
    <t>Secondary Selection Criteria</t>
  </si>
  <si>
    <t>Housing Needs Characteristics</t>
  </si>
  <si>
    <t>Score related to Household Percentage below 51% AMI with Housing Problems</t>
  </si>
  <si>
    <t>Score related to the number of All Households with Housing Problems</t>
  </si>
  <si>
    <t>Development Location</t>
  </si>
  <si>
    <t>Subsidized Housing Waiting Lists</t>
  </si>
  <si>
    <t>Total Points</t>
  </si>
  <si>
    <t>Determination of Annual Tax Credit Amount</t>
  </si>
  <si>
    <t>Method One: Qualified Basis Calculation Annual Credit</t>
  </si>
  <si>
    <t>Federal</t>
  </si>
  <si>
    <t>Eligible Basis from Development Budget</t>
  </si>
  <si>
    <t>Basis reduction from Fee Worksheet</t>
  </si>
  <si>
    <t>Historic or Grant Funds reduced from Basis *</t>
  </si>
  <si>
    <t>*(to be added by CHFA Staff manually)</t>
  </si>
  <si>
    <t>Total Eligible Basis</t>
  </si>
  <si>
    <t>Multiplied by the following factors</t>
  </si>
  <si>
    <t xml:space="preserve">QCT, DDA, or SADDA Factor </t>
  </si>
  <si>
    <t>Applicable Fraction</t>
  </si>
  <si>
    <t xml:space="preserve">Applicable Percentage Rates (APR) </t>
  </si>
  <si>
    <t>Total Qualified Basis Annual Credit</t>
  </si>
  <si>
    <t>Method Two: Gap Calculation Annual Credit</t>
  </si>
  <si>
    <t>Total Uses</t>
  </si>
  <si>
    <t>Less Total Funds</t>
  </si>
  <si>
    <t>Total Gap</t>
  </si>
  <si>
    <t>Divided by the following factor</t>
  </si>
  <si>
    <t>Equity Factor</t>
  </si>
  <si>
    <t>Total Gap Annual Credit</t>
  </si>
  <si>
    <t>Method Three: Cost Basis Calculation Annual Credit</t>
  </si>
  <si>
    <t>Bedroom Count</t>
  </si>
  <si>
    <t># of Units</t>
  </si>
  <si>
    <t>Basis Limit per Unit</t>
  </si>
  <si>
    <t>Cost Basis</t>
  </si>
  <si>
    <t>Total Cost Basis</t>
  </si>
  <si>
    <t>Total Cost Basis Annual Credit</t>
  </si>
  <si>
    <t>Annual Credit Amount</t>
  </si>
  <si>
    <t>Eligible for a Total Annual Credit</t>
  </si>
  <si>
    <t>CHFA Designated DDA Annual Credit Amount</t>
  </si>
  <si>
    <t>N/A</t>
  </si>
  <si>
    <t>Population Served</t>
  </si>
  <si>
    <t>Number of Units</t>
  </si>
  <si>
    <t>Percent of Total Units</t>
  </si>
  <si>
    <t>Special Population</t>
  </si>
  <si>
    <t>Homeless</t>
  </si>
  <si>
    <t>Permanent Supportive Housing (PSH)</t>
  </si>
  <si>
    <t>Total Units</t>
  </si>
  <si>
    <t>Application Fee</t>
  </si>
  <si>
    <t>Description</t>
  </si>
  <si>
    <t>Total Fee Amount</t>
  </si>
  <si>
    <t>Sponsor Name</t>
  </si>
  <si>
    <t>Development Address</t>
  </si>
  <si>
    <t>Summary</t>
  </si>
  <si>
    <t>% of GSF</t>
  </si>
  <si>
    <t>Total Net Rentable</t>
  </si>
  <si>
    <t>Number of Parking Spaces</t>
  </si>
  <si>
    <t>Total Common Area Square Footage</t>
  </si>
  <si>
    <t>Parking Ratio</t>
  </si>
  <si>
    <t>Total Commercial Square Footage</t>
  </si>
  <si>
    <t>Gross Square Footage</t>
  </si>
  <si>
    <t>Total Development Costs</t>
  </si>
  <si>
    <t>Per Square Foot</t>
  </si>
  <si>
    <t>Per Unit</t>
  </si>
  <si>
    <t>Per Bedroom</t>
  </si>
  <si>
    <t>Land Costs</t>
  </si>
  <si>
    <t>Total Soft Costs</t>
  </si>
  <si>
    <t>PAB Total Bond amount</t>
  </si>
  <si>
    <t>Average Income Midpoint</t>
  </si>
  <si>
    <t>CHFA PAB Limit</t>
  </si>
  <si>
    <t>Minimum Debt Coverage Ratio</t>
  </si>
  <si>
    <t>Annual Debt Coverage Ratio</t>
  </si>
  <si>
    <t>Scoring Summary (see Tax Credit Details for more information)</t>
  </si>
  <si>
    <t>Minimum Score</t>
  </si>
  <si>
    <t>Total Score</t>
  </si>
  <si>
    <t>Method</t>
  </si>
  <si>
    <t>1: Qualified Basis Calculation Annual Credit</t>
  </si>
  <si>
    <t>2: Gap Calculation Annual Credit</t>
  </si>
  <si>
    <t>3: Cost Basis Calculation Annual Credit</t>
  </si>
  <si>
    <t>Eligible for QCT/SADDA/DDA Boost</t>
  </si>
  <si>
    <t>Sources and Uses</t>
  </si>
  <si>
    <t>Source of Financing</t>
  </si>
  <si>
    <t>Amount of Funds</t>
  </si>
  <si>
    <t>Total Annual Debt</t>
  </si>
  <si>
    <t>Uses</t>
  </si>
  <si>
    <t>Subtotal of Loans</t>
  </si>
  <si>
    <t>Subtotal of Grants</t>
  </si>
  <si>
    <t>Total Finance Sources</t>
  </si>
  <si>
    <t xml:space="preserve"> (other than Tax Credit Equity)</t>
  </si>
  <si>
    <t>State Tax Credit Equity</t>
  </si>
  <si>
    <t>Federal Tax Credit Equity</t>
  </si>
  <si>
    <t>Other Sources of Funds</t>
  </si>
  <si>
    <t>Commercial Sources</t>
  </si>
  <si>
    <t>Total Funds</t>
  </si>
  <si>
    <t>Total Budget</t>
  </si>
  <si>
    <t>Financing Gap</t>
  </si>
  <si>
    <t>Grand Total</t>
  </si>
  <si>
    <t>Construction Interest Test</t>
  </si>
  <si>
    <t>Construction Interest Actual</t>
  </si>
  <si>
    <t>Max Allowable Developer Fee</t>
  </si>
  <si>
    <t>Total Developer Fee</t>
  </si>
  <si>
    <t xml:space="preserve">Deferred Developer Fee % </t>
  </si>
  <si>
    <t>Development Income</t>
  </si>
  <si>
    <t>Residential Income Amount</t>
  </si>
  <si>
    <t>Annual Rental Income</t>
  </si>
  <si>
    <t>Annual Miscellaneous Income</t>
  </si>
  <si>
    <t>Total Annual Residential Income</t>
  </si>
  <si>
    <t>Vacancy Allowance Amount</t>
  </si>
  <si>
    <t>Total Residential Gross Income</t>
  </si>
  <si>
    <t>Commercial Income Amount</t>
  </si>
  <si>
    <t>Annual Retail/Commercial Income</t>
  </si>
  <si>
    <t>Annual Retail/Commercial Expense</t>
  </si>
  <si>
    <t>10% Vacancy Allowance</t>
  </si>
  <si>
    <t>Total Retail/Commercial Gross Income</t>
  </si>
  <si>
    <t>Annual Operating Expenses</t>
  </si>
  <si>
    <t>Total Annual</t>
  </si>
  <si>
    <t>PUPA*</t>
  </si>
  <si>
    <t>Minimum Threshold</t>
  </si>
  <si>
    <t>*Per Unit Per Annum</t>
  </si>
  <si>
    <t>Residential Operating Expenses</t>
  </si>
  <si>
    <t>Development Operating Reserves</t>
  </si>
  <si>
    <t>15 Year Pro Forma</t>
  </si>
  <si>
    <t>Year 1 of this Pro Forma assumes full lease-up</t>
  </si>
  <si>
    <t xml:space="preserve">Year 2 </t>
  </si>
  <si>
    <t>10 Year Cash Flow After Debt Service</t>
  </si>
  <si>
    <t>15 Year Cash Flow After Debt Service</t>
  </si>
  <si>
    <t>Contractor - Developer Fee Limits</t>
  </si>
  <si>
    <t>Contractor Fee Limits (Builder's Profit &amp; Overhead as a Percent of Hard Construction Costs)</t>
  </si>
  <si>
    <t>Contractor Fees</t>
  </si>
  <si>
    <t>Total Contractor Fees</t>
  </si>
  <si>
    <t>Contractor Costs</t>
  </si>
  <si>
    <t>Maximum Allowable</t>
  </si>
  <si>
    <t>New Structures/Rehabilitation</t>
  </si>
  <si>
    <t>On-Site Work</t>
  </si>
  <si>
    <t>Contractor Const. Contingency</t>
  </si>
  <si>
    <t>Total Contractor Costs</t>
  </si>
  <si>
    <t>Contractor Fees as Percentage</t>
  </si>
  <si>
    <t>Amount of Eligible Basis Reduction</t>
  </si>
  <si>
    <t>Aggregate Developer Fee, Overhead, Consultant Fee Limits</t>
  </si>
  <si>
    <t>Developer-Related Costs</t>
  </si>
  <si>
    <t>Total Development Budget</t>
  </si>
  <si>
    <t>Less 50% Reduction of Existing Structures</t>
  </si>
  <si>
    <t>Less Contractor Costs Eligible Basis Reduction</t>
  </si>
  <si>
    <t>Less Land</t>
  </si>
  <si>
    <t>Less Developer Fees</t>
  </si>
  <si>
    <t>Less Project Reserves</t>
  </si>
  <si>
    <t>Total Costs for Developer Fees</t>
  </si>
  <si>
    <t>Percentage of Fee</t>
  </si>
  <si>
    <t>PSH Fee Boost</t>
  </si>
  <si>
    <t>Total Developer Fees</t>
  </si>
  <si>
    <t>Unit AMI Targeting and Square Footage</t>
  </si>
  <si>
    <t>20% AMI</t>
  </si>
  <si>
    <t xml:space="preserve">30% AMI </t>
  </si>
  <si>
    <t xml:space="preserve">40% AMI </t>
  </si>
  <si>
    <t xml:space="preserve">50% AMI </t>
  </si>
  <si>
    <t>60% AMI</t>
  </si>
  <si>
    <t>70% AMI</t>
  </si>
  <si>
    <t>80% AMI</t>
  </si>
  <si>
    <t>Low Income Subtotal</t>
  </si>
  <si>
    <t xml:space="preserve">Employee </t>
  </si>
  <si>
    <t>Unrestricted</t>
  </si>
  <si>
    <t xml:space="preserve">Total Residential </t>
  </si>
  <si>
    <t>Non-Residential Areas</t>
  </si>
  <si>
    <t>Square Footage</t>
  </si>
  <si>
    <t>Percentage</t>
  </si>
  <si>
    <t>Common Area</t>
  </si>
  <si>
    <t>Commercial Space</t>
  </si>
  <si>
    <t>Non Residential Square Footage</t>
  </si>
  <si>
    <t>Total Square Footage</t>
  </si>
  <si>
    <t>Note: 70% and 80% units only eligible for credits when Average Income is selected.</t>
  </si>
  <si>
    <t>Lowest Applicable Fraction for Calculating Credit Amount</t>
  </si>
  <si>
    <t>Cumulative Rents</t>
  </si>
  <si>
    <t>Actual Rent
per Unit</t>
  </si>
  <si>
    <t>Max Adjusted Rent</t>
  </si>
  <si>
    <t>Annual Rent</t>
  </si>
  <si>
    <t>Development Budget and Carryover Test</t>
  </si>
  <si>
    <t>% of Change from Last Provided</t>
  </si>
  <si>
    <t>Reasonably Expected Basis for 10% Test</t>
  </si>
  <si>
    <t>Total Commercial Project Costs</t>
  </si>
  <si>
    <t>Project Name:</t>
  </si>
  <si>
    <t>Applicant:</t>
  </si>
  <si>
    <t>County:</t>
  </si>
  <si>
    <t>Total Cost</t>
  </si>
  <si>
    <t>Cost/Unit</t>
  </si>
  <si>
    <t>Cost/Sq Ft</t>
  </si>
  <si>
    <t>Rentable Square Footage</t>
  </si>
  <si>
    <t>ACQUISITION COSTS</t>
  </si>
  <si>
    <t>Non Living Square Footage</t>
  </si>
  <si>
    <t xml:space="preserve">Land </t>
  </si>
  <si>
    <t>Total Project Square Feet</t>
  </si>
  <si>
    <t>SUBTOTAL</t>
  </si>
  <si>
    <t>SITE IMPROVEMENTS*</t>
  </si>
  <si>
    <t>On-Site Infrastructure</t>
  </si>
  <si>
    <t>Off-Site Infrastructure</t>
  </si>
  <si>
    <t>CONSTRUCTION*</t>
  </si>
  <si>
    <t xml:space="preserve">New Construction </t>
  </si>
  <si>
    <t>Contractor Overhead &amp; Profit</t>
  </si>
  <si>
    <t>FF&amp;E</t>
  </si>
  <si>
    <t xml:space="preserve">Building Permit Fees </t>
  </si>
  <si>
    <t>Other (Specify)</t>
  </si>
  <si>
    <t>PROFESSIONAL FEES</t>
  </si>
  <si>
    <t>Architect Fees</t>
  </si>
  <si>
    <t>Engineering Fees</t>
  </si>
  <si>
    <t>Real Estate Attorney Fees</t>
  </si>
  <si>
    <t>Surveys</t>
  </si>
  <si>
    <t>Green Planning and Design Fees</t>
  </si>
  <si>
    <t>Construction Management Fees</t>
  </si>
  <si>
    <t>CONSTRUCTION FINANCE</t>
  </si>
  <si>
    <t>Construction Insurance (H&amp;L, Builder's Risk)</t>
  </si>
  <si>
    <t>Construction Performance &amp; Payment Bonds</t>
  </si>
  <si>
    <t>Construction Loan Orig. Fee</t>
  </si>
  <si>
    <t>Title and Recording</t>
  </si>
  <si>
    <t>Taxes During Construction</t>
  </si>
  <si>
    <t>Insp. Fees (3rd party/Bank)</t>
  </si>
  <si>
    <t>Power/Telecom Fees</t>
  </si>
  <si>
    <t xml:space="preserve">PERMANENT FINANCE AND SYNDICATION </t>
  </si>
  <si>
    <t>Loan Fees &amp; Expenses</t>
  </si>
  <si>
    <t>Lender Legal Fees</t>
  </si>
  <si>
    <t>SOFT COSTS</t>
  </si>
  <si>
    <t>Appraisals</t>
  </si>
  <si>
    <t>Environmental Studies (Phase 1, Phase 2, Lead, Asbestos, etc.)</t>
  </si>
  <si>
    <t>Geotechnical/Soils Testing</t>
  </si>
  <si>
    <t>Material Testing</t>
  </si>
  <si>
    <t>Capital Needs Assessment</t>
  </si>
  <si>
    <t>Temporary Relocation</t>
  </si>
  <si>
    <t>Permanent Relocation</t>
  </si>
  <si>
    <t>Marketing</t>
  </si>
  <si>
    <t>DEVELOPER FEE / PROFIT</t>
  </si>
  <si>
    <t>Developer's Fee</t>
  </si>
  <si>
    <t>Third Party Development/Management/Owners Rep</t>
  </si>
  <si>
    <t>Consultants</t>
  </si>
  <si>
    <t>SUBTOTAL (i.e. - maximum developer fee)</t>
  </si>
  <si>
    <t>RESERVES</t>
  </si>
  <si>
    <t>Operating Reserve</t>
  </si>
  <si>
    <t>Debt Service Reserve</t>
  </si>
  <si>
    <t>Lease-up Reserve</t>
  </si>
  <si>
    <t>Replacement Reserve</t>
  </si>
  <si>
    <t>TOTAL DEVELOPMENT EXPENSES</t>
  </si>
  <si>
    <t>per unit</t>
  </si>
  <si>
    <t>per SF</t>
  </si>
  <si>
    <t>Hard Costs</t>
  </si>
  <si>
    <t>*costs included in hard cost evaluation.</t>
  </si>
  <si>
    <t>Housing Development &amp; Preservation Application</t>
  </si>
  <si>
    <t xml:space="preserve">  </t>
  </si>
  <si>
    <t>Less Vacancy</t>
  </si>
  <si>
    <t>Effective Gross Income</t>
  </si>
  <si>
    <t>NET OPERATING INCOME</t>
  </si>
  <si>
    <t>0 Bed*</t>
  </si>
  <si>
    <t>1 Bed*</t>
  </si>
  <si>
    <t>2 Bed*</t>
  </si>
  <si>
    <t>3 Bed*</t>
  </si>
  <si>
    <t>4 Bed*</t>
  </si>
  <si>
    <t>Lender</t>
  </si>
  <si>
    <t>Grant</t>
  </si>
  <si>
    <t>Amortization</t>
  </si>
  <si>
    <t>Annual Payment</t>
  </si>
  <si>
    <t>Historic Tax Credits (Fed. or State)</t>
  </si>
  <si>
    <t>TOTAL SOURCES</t>
  </si>
  <si>
    <t>Debt Coverage Ratio</t>
  </si>
  <si>
    <t>COLORADO HOUSING AND FINANCE AUTHORITY</t>
  </si>
  <si>
    <t>20% to 120% of Area Median Income (AMI)</t>
  </si>
  <si>
    <t>Note: These Limits Are Used for Low-Income Housing Tax Credit</t>
  </si>
  <si>
    <t>and CHFA Rental Programs Only</t>
  </si>
  <si>
    <t>0 BDRM</t>
  </si>
  <si>
    <t>1 BDRM</t>
  </si>
  <si>
    <t>2 BDRM</t>
  </si>
  <si>
    <t>3 BDRM</t>
  </si>
  <si>
    <t>4 BDRM</t>
  </si>
  <si>
    <t>1 PERSON</t>
  </si>
  <si>
    <t>2 PERSON</t>
  </si>
  <si>
    <t>3 PERSON</t>
  </si>
  <si>
    <t>4 PERSON</t>
  </si>
  <si>
    <t>5 PERSON</t>
  </si>
  <si>
    <t>6 PERSON</t>
  </si>
  <si>
    <t>7 PERSON</t>
  </si>
  <si>
    <t>8 PERSON</t>
  </si>
  <si>
    <t>Adams</t>
  </si>
  <si>
    <t>Alamosa</t>
  </si>
  <si>
    <t>Arapahoe</t>
  </si>
  <si>
    <t>Archuleta</t>
  </si>
  <si>
    <t>Baca</t>
  </si>
  <si>
    <t>Bent</t>
  </si>
  <si>
    <t>Boulder</t>
  </si>
  <si>
    <t>Broomfield</t>
  </si>
  <si>
    <t>Chaffee</t>
  </si>
  <si>
    <t>Cheyenne</t>
  </si>
  <si>
    <t>Clear Creek</t>
  </si>
  <si>
    <t>Conejos</t>
  </si>
  <si>
    <t>Costilla</t>
  </si>
  <si>
    <t>Crowley</t>
  </si>
  <si>
    <t>Custer</t>
  </si>
  <si>
    <t>Delta</t>
  </si>
  <si>
    <t xml:space="preserve">Denver </t>
  </si>
  <si>
    <t>Dolores</t>
  </si>
  <si>
    <t>Douglas</t>
  </si>
  <si>
    <t>Eagle</t>
  </si>
  <si>
    <t>El Paso</t>
  </si>
  <si>
    <t>Elbert</t>
  </si>
  <si>
    <t>Fremont</t>
  </si>
  <si>
    <t>Garfield</t>
  </si>
  <si>
    <t>Gilpin</t>
  </si>
  <si>
    <t>Grand</t>
  </si>
  <si>
    <t>Gunnison</t>
  </si>
  <si>
    <t>Hinsdale</t>
  </si>
  <si>
    <t>Huerfano</t>
  </si>
  <si>
    <t>Jackson</t>
  </si>
  <si>
    <t>Jefferson</t>
  </si>
  <si>
    <t>Kiowa</t>
  </si>
  <si>
    <t>Kit Carson</t>
  </si>
  <si>
    <t>La Plata</t>
  </si>
  <si>
    <t>Lake</t>
  </si>
  <si>
    <t>Larimer</t>
  </si>
  <si>
    <t>Las Animas</t>
  </si>
  <si>
    <t>Lincoln</t>
  </si>
  <si>
    <t>Logan</t>
  </si>
  <si>
    <t>Mesa</t>
  </si>
  <si>
    <t>Mineral</t>
  </si>
  <si>
    <t>Moffat</t>
  </si>
  <si>
    <t>Montezuma</t>
  </si>
  <si>
    <t>Montrose</t>
  </si>
  <si>
    <t>Morgan</t>
  </si>
  <si>
    <t>Otero</t>
  </si>
  <si>
    <t>Ouray</t>
  </si>
  <si>
    <t>Park</t>
  </si>
  <si>
    <t>Phillips</t>
  </si>
  <si>
    <t>Pitkin</t>
  </si>
  <si>
    <t>Prowers</t>
  </si>
  <si>
    <t xml:space="preserve">Pueblo </t>
  </si>
  <si>
    <t>Rio Blanco</t>
  </si>
  <si>
    <t>Rio Grande</t>
  </si>
  <si>
    <t>Routt</t>
  </si>
  <si>
    <t>Saguache</t>
  </si>
  <si>
    <t>San Juan</t>
  </si>
  <si>
    <t>San Miguel</t>
  </si>
  <si>
    <t>Sedgwick</t>
  </si>
  <si>
    <t>Summit</t>
  </si>
  <si>
    <t>Teller</t>
  </si>
  <si>
    <t>Washington</t>
  </si>
  <si>
    <t>Weld</t>
  </si>
  <si>
    <t>Yuma</t>
  </si>
  <si>
    <t>Final Building Profile Totals</t>
  </si>
  <si>
    <t>VACANCY STRESS TEST / RENT SENSITIVITY ANALYSIS</t>
  </si>
  <si>
    <t>Vacancy Stress Test</t>
  </si>
  <si>
    <t>Expenses</t>
  </si>
  <si>
    <t>Net Operating Income</t>
  </si>
  <si>
    <t>Debt Service</t>
  </si>
  <si>
    <t>Net Cash Flow</t>
  </si>
  <si>
    <t>Max Supportable Vacancy</t>
  </si>
  <si>
    <t>Rent Sensitivity Analysis</t>
  </si>
  <si>
    <t>RENT REDUCTION</t>
  </si>
  <si>
    <t xml:space="preserve">Per month/per unit </t>
  </si>
  <si>
    <t>Per month/per NRSF</t>
  </si>
  <si>
    <t>Deferred Developer Fee % of Budgeted</t>
  </si>
  <si>
    <t>Total Finance Sources (other than Tax Credit Equity)</t>
  </si>
  <si>
    <t>% of State TC Eligible Basis</t>
  </si>
  <si>
    <t xml:space="preserve">State Tax Credit Equity Price </t>
  </si>
  <si>
    <t>Federal Tax Credit Equity Price</t>
  </si>
  <si>
    <t>Total Funds for Development</t>
  </si>
  <si>
    <t>100% AMI</t>
  </si>
  <si>
    <t>Income Averaging Midpoint</t>
  </si>
  <si>
    <t>Units</t>
  </si>
  <si>
    <t>Unit Size</t>
  </si>
  <si>
    <t>Annual
Rent</t>
  </si>
  <si>
    <t>Friendly Name</t>
  </si>
  <si>
    <t>Prolink Name</t>
  </si>
  <si>
    <t>Value</t>
  </si>
  <si>
    <t>OLD Range Location</t>
  </si>
  <si>
    <t>TCTotalVacancyAllowance</t>
  </si>
  <si>
    <t>=' Development Income'!$E$14</t>
  </si>
  <si>
    <t>AnnualEGILowIncomeUnits</t>
  </si>
  <si>
    <t>=' Development Income'!$E$15</t>
  </si>
  <si>
    <t>DebtCoverageRatioYear1</t>
  </si>
  <si>
    <t>='15 Yr. Pro Forma'!$B$12</t>
  </si>
  <si>
    <t>DebtCoverageRatioYear2</t>
  </si>
  <si>
    <t>='15 Yr. Pro Forma'!$C$12</t>
  </si>
  <si>
    <t>DebtCoverageRatioYear15</t>
  </si>
  <si>
    <t>Partnership/Asset Mgt. Fees (Year1)</t>
  </si>
  <si>
    <t>Bond Fees (Year1)</t>
  </si>
  <si>
    <t>Deferred Developer Fee (Year1)</t>
  </si>
  <si>
    <t>Other Number (Year1)</t>
  </si>
  <si>
    <t>Other Specify Name (Year1)</t>
  </si>
  <si>
    <t>Cash Flow Pledged to PSH Services  (Year1)</t>
  </si>
  <si>
    <t>Cash Flow Available after above obligations (year 1)</t>
  </si>
  <si>
    <t>Partnership/Asset Mgt. Fees (Year 2)</t>
  </si>
  <si>
    <t>Bond Fees (Year2)</t>
  </si>
  <si>
    <t>Deferred Developer Fee (Year2)</t>
  </si>
  <si>
    <t>Other Number (Year2)</t>
  </si>
  <si>
    <t>Other Specify Name (Year2)</t>
  </si>
  <si>
    <t>Cash Flow Pledged to PSH Services (Year 2)</t>
  </si>
  <si>
    <t>Cash Flow Available after above obligations (year 2)</t>
  </si>
  <si>
    <t>Partnership/Asset Mgt. Fees (Year 3)</t>
  </si>
  <si>
    <t>Bond Fees(Year 3)</t>
  </si>
  <si>
    <t>Deferred Developer Fee (Year 3)</t>
  </si>
  <si>
    <t>Other (Year 3)</t>
  </si>
  <si>
    <t>Other Specify Name (Year 3)</t>
  </si>
  <si>
    <t>Cash Flow Pledged to PSH Services (Year 3)</t>
  </si>
  <si>
    <t>Cash Flow Available after above obligations (year 3)</t>
  </si>
  <si>
    <t>Partnership/Asset Mgt. Fees (Year 4)</t>
  </si>
  <si>
    <t>Bond Fees(Year 4)</t>
  </si>
  <si>
    <t>Deferred Developer Fee (Year 4)</t>
  </si>
  <si>
    <t>Other (Year 4)</t>
  </si>
  <si>
    <t>Other Specify Name (Year 4)</t>
  </si>
  <si>
    <t>Cash Flow Pledged to PSH Services (Year 4)</t>
  </si>
  <si>
    <t>Cash Flow Available after above obligations (year 4)</t>
  </si>
  <si>
    <t>Partnership/Asset Mgt. Fees (Year 5)</t>
  </si>
  <si>
    <t>Bond Fees(Year 5)</t>
  </si>
  <si>
    <t>Deferred Developer Fee (Year 5)</t>
  </si>
  <si>
    <t>Other(Year 5)</t>
  </si>
  <si>
    <t>Other Specify Name(Year 5)</t>
  </si>
  <si>
    <t>Cash Flow Pledged to PSH Services (Year 5)</t>
  </si>
  <si>
    <t>Cash Flow Available after above obligations (year 5)</t>
  </si>
  <si>
    <t>Partnership/Asset Mgt. Fees (Year 6)</t>
  </si>
  <si>
    <t>Bond Fees(Year 6)</t>
  </si>
  <si>
    <t>Deferred Developer Fee (Year 6)</t>
  </si>
  <si>
    <t>Other(Year 6)</t>
  </si>
  <si>
    <t>Other Specify Name(Year 6)</t>
  </si>
  <si>
    <t>Cash Flow Pledged to PSH Services (Year 6)</t>
  </si>
  <si>
    <t>Cash Flow Available after above obligations (year 6)</t>
  </si>
  <si>
    <t>Partnership/Asset Mgt. Fees (Year 7)</t>
  </si>
  <si>
    <t>Column1</t>
  </si>
  <si>
    <t>Bond Fees(Year 7)</t>
  </si>
  <si>
    <t>Deferred Developer Fee (Year 7)</t>
  </si>
  <si>
    <t>Other(Year 7)</t>
  </si>
  <si>
    <t>Other Specify Name(Year 7)</t>
  </si>
  <si>
    <t>Cash Flow Pledged to PSH Services (Year 7)</t>
  </si>
  <si>
    <t>Cash Flow Available after above obligations (year 7)</t>
  </si>
  <si>
    <t>Partnership/Asset Mgt. Fees (Year 8)</t>
  </si>
  <si>
    <t>Bond Fees(Year 8)</t>
  </si>
  <si>
    <t>Deferred Developer Fee (Year 8)</t>
  </si>
  <si>
    <t>Other(Year 8)</t>
  </si>
  <si>
    <t>Other Specify Name(Year 8)</t>
  </si>
  <si>
    <t>Cash Flow Pledged to PSH Services (Year 8)</t>
  </si>
  <si>
    <t>Cash Flow Available after above obligations (year 8)</t>
  </si>
  <si>
    <t>Partnership/Asset Mgt. Fees (Year 9)</t>
  </si>
  <si>
    <t>Bond Fees(Year 9)</t>
  </si>
  <si>
    <t>Deferred Developer Fee (Year 9)</t>
  </si>
  <si>
    <t>Other(Year 9)</t>
  </si>
  <si>
    <t>Other Specify Name(Year 9)</t>
  </si>
  <si>
    <t>Cash Flow Pledged to PSH Services (Year 9)</t>
  </si>
  <si>
    <t>Cash Flow Available after above obligations (year 9)</t>
  </si>
  <si>
    <t>Partnership/Asset Mgt. Fees (Year 10)</t>
  </si>
  <si>
    <t>Bond Fees(Year 10)</t>
  </si>
  <si>
    <t>Deferred Developer Fee (Year 10)</t>
  </si>
  <si>
    <t>Other(Year 10)</t>
  </si>
  <si>
    <t>Other Specify Name(Year 10)</t>
  </si>
  <si>
    <t>Cash Flow Pledged to PSH Services (Year 10)</t>
  </si>
  <si>
    <t>Cash Flow Available after above obligations (year 10)</t>
  </si>
  <si>
    <t>Partnership/Asset Mgt. Fees (Year 11)</t>
  </si>
  <si>
    <t>Bond Fees(Year 11)</t>
  </si>
  <si>
    <t>Deferred Developer Fee (Year 11)</t>
  </si>
  <si>
    <t>Other(Year 11)</t>
  </si>
  <si>
    <t>Other Specify Name(Year 11)</t>
  </si>
  <si>
    <t>Cash Flow Pledged to PSH Services (Year 11)</t>
  </si>
  <si>
    <t>Cash Flow Available after above obligations (year 11)</t>
  </si>
  <si>
    <t>Partnership/Asset Mgt. Fees (Year 12)</t>
  </si>
  <si>
    <t>Bond Fees(Year 12)</t>
  </si>
  <si>
    <t>Deferred Developer Fee (Year 12)</t>
  </si>
  <si>
    <t>Other(Year 12)</t>
  </si>
  <si>
    <t>Other Specify Name(Year 12)</t>
  </si>
  <si>
    <t>Cash Flow Pledged to PSH Services (Year 12)</t>
  </si>
  <si>
    <t>Cash Flow Available after above obligations (year 12)</t>
  </si>
  <si>
    <t>Partnership/Asset Mgt. Fees (Year 13)</t>
  </si>
  <si>
    <t>Bond Fees(Year 13)</t>
  </si>
  <si>
    <t>Deferred Developer Fee (Year 13)</t>
  </si>
  <si>
    <t>Other(Year 13)</t>
  </si>
  <si>
    <t>Other Specify Name(Year 13)</t>
  </si>
  <si>
    <t>Cash Flow Pledged to PSH Services (Year 13)</t>
  </si>
  <si>
    <t>Cash Flow Available after above obligations (year 13)</t>
  </si>
  <si>
    <t>Partnership/Asset Mgt. Fees (Year 14)</t>
  </si>
  <si>
    <t>Bond Fees(Year 14)</t>
  </si>
  <si>
    <t>Deferred Developer Fee (Year 14)</t>
  </si>
  <si>
    <t>Other(Year 14)</t>
  </si>
  <si>
    <t>Other Specify Name(Year 14)</t>
  </si>
  <si>
    <t>Cash Flow Pledged to PSH Services (Year 14)</t>
  </si>
  <si>
    <t>Cash Flow Available after above obligations (year 14)</t>
  </si>
  <si>
    <t>Partnership/Asset Mgt. Fees (Year 15)</t>
  </si>
  <si>
    <t>Bond Fees(Year 15)</t>
  </si>
  <si>
    <t>Deferred Developer Fee (Year 15)</t>
  </si>
  <si>
    <t>Other(Year 15)</t>
  </si>
  <si>
    <t>Other Specify Name(Year 15)</t>
  </si>
  <si>
    <t>Cash Flow Pledged to PSH Services (Year 15)</t>
  </si>
  <si>
    <t>Proforma, Income &amp; Expense Other (Year 15)</t>
  </si>
  <si>
    <t>Cash Flow Available for Distribution (Year 1)</t>
  </si>
  <si>
    <t>Cash Flow Available for Distribution (Year 2)</t>
  </si>
  <si>
    <t>Cash Flow Available for Distribution (Year 3)</t>
  </si>
  <si>
    <t>Cash Flow Available for Distribution (Year 4)</t>
  </si>
  <si>
    <t>Cash Flow Available for Distribution (Year 5)</t>
  </si>
  <si>
    <t>Cash Flow Available for Distribution (Year 6)</t>
  </si>
  <si>
    <t>Cash Flow Available for Distribution (Year 7)</t>
  </si>
  <si>
    <t>Cash Flow Available for Distribution (Year 8)</t>
  </si>
  <si>
    <t>Cash Flow Available for Distribution (Year 9)</t>
  </si>
  <si>
    <t>Cash Flow Available for Distribution (Year 10)</t>
  </si>
  <si>
    <t>Cash Flow Available for Distribution (Year 11)</t>
  </si>
  <si>
    <t>Cash Flow Available for Distribution (Year 12)</t>
  </si>
  <si>
    <t>Cash Flow Available for Distribution (Year 13)</t>
  </si>
  <si>
    <t>Cash Flow Available for Distribution (Year 14)</t>
  </si>
  <si>
    <t>Cash Flow Available for Distribution (Year 15)</t>
  </si>
  <si>
    <t>Cash Flow Available after above obligations (Year 1)</t>
  </si>
  <si>
    <t>Cash Flow Available after above obligations (Year 2)</t>
  </si>
  <si>
    <t>Cash Flow Available after above obligations (Year 3)</t>
  </si>
  <si>
    <t>Cash Flow Available after above obligations (Year 4)</t>
  </si>
  <si>
    <t>Cash Flow Available after above obligations (Year 5)</t>
  </si>
  <si>
    <t>Cash Flow Available after above obligations (Year 6)</t>
  </si>
  <si>
    <t>Cash Flow Available after above obligations (Year 7)</t>
  </si>
  <si>
    <t>Cash Flow Available after above obligations (Year 8)</t>
  </si>
  <si>
    <t>Cash Flow Available after above obligations (Year 9)</t>
  </si>
  <si>
    <t>Cash Flow Available after above obligations (Year 10)</t>
  </si>
  <si>
    <t>Cash Flow Available after above obligations (Year 11)</t>
  </si>
  <si>
    <t>Cash Flow Available after above obligations (Year 12)</t>
  </si>
  <si>
    <t>Cash Flow Available after above obligations (Year 13)</t>
  </si>
  <si>
    <t>Cash Flow Available after above obligations (Year 14)</t>
  </si>
  <si>
    <t>Cash Flow Available after above obligations (Year 15)</t>
  </si>
  <si>
    <t>The 10 Year cash flow available after obligations payable test has been met</t>
  </si>
  <si>
    <t>The 15 Year cash flow available after obligations payable test has been met</t>
  </si>
  <si>
    <t>AdminBookkeepingfees</t>
  </si>
  <si>
    <t>='Development Expenses'!$C$7</t>
  </si>
  <si>
    <t>AdminAdvMrktg</t>
  </si>
  <si>
    <t>='Development Expenses'!$C$8</t>
  </si>
  <si>
    <t>AdminLegal</t>
  </si>
  <si>
    <t>='Development Expenses'!$C$9</t>
  </si>
  <si>
    <t>Optional Field 116</t>
  </si>
  <si>
    <t xml:space="preserve">Cash Flow Pledged to PSH Services </t>
  </si>
  <si>
    <t>AdminMgtFee</t>
  </si>
  <si>
    <t>='Development Expenses'!$C$11</t>
  </si>
  <si>
    <t>AdminMgtSalaries</t>
  </si>
  <si>
    <t>='Development Expenses'!$C$12</t>
  </si>
  <si>
    <t>Optional Field 117</t>
  </si>
  <si>
    <t>='Development Expenses'!$C$13</t>
  </si>
  <si>
    <t>AdminOfficeModelApt</t>
  </si>
  <si>
    <t>='Development Expenses'!$C$14</t>
  </si>
  <si>
    <t>AdminOfficeSupplies</t>
  </si>
  <si>
    <t>='Development Expenses'!$C$15</t>
  </si>
  <si>
    <t>AdminTelephoneAndAnsweringSvc</t>
  </si>
  <si>
    <t>='Development Expenses'!$C$16</t>
  </si>
  <si>
    <t>Optional Field 118</t>
  </si>
  <si>
    <t>='Development Expenses'!$C$17</t>
  </si>
  <si>
    <t>Optional Field 119</t>
  </si>
  <si>
    <t>='Development Expenses'!$C$18</t>
  </si>
  <si>
    <t>Optional Field 120</t>
  </si>
  <si>
    <t>='Development Expenses'!$C$19</t>
  </si>
  <si>
    <t>UtilitiesFuelOil</t>
  </si>
  <si>
    <t>='Development Expenses'!$H$7</t>
  </si>
  <si>
    <t>UtilitiesElectricity</t>
  </si>
  <si>
    <t>='Development Expenses'!$H$8</t>
  </si>
  <si>
    <t>UtilitiesWater</t>
  </si>
  <si>
    <t>='Development Expenses'!$H$9</t>
  </si>
  <si>
    <t>UtilitiesSewer</t>
  </si>
  <si>
    <t>='Development Expenses'!$H$10</t>
  </si>
  <si>
    <t>UtilitiesGas</t>
  </si>
  <si>
    <t>='Development Expenses'!$H$11</t>
  </si>
  <si>
    <t>OperTrashRemoval</t>
  </si>
  <si>
    <t>='Development Expenses'!$H$12</t>
  </si>
  <si>
    <t>OperSecurityPayroll</t>
  </si>
  <si>
    <t>='Development Expenses'!$H$13</t>
  </si>
  <si>
    <t>Optional Field 125</t>
  </si>
  <si>
    <t>='Development Expenses'!$H$14</t>
  </si>
  <si>
    <t>Optional Field 126</t>
  </si>
  <si>
    <t>='Development Expenses'!$H$15</t>
  </si>
  <si>
    <t>Optional Field 127</t>
  </si>
  <si>
    <t>='Development Expenses'!$H$16</t>
  </si>
  <si>
    <t>Optional Field 128</t>
  </si>
  <si>
    <t>='Development Expenses'!$H$17</t>
  </si>
  <si>
    <t>Optional Field 129</t>
  </si>
  <si>
    <t>='Development Expenses'!$H$18</t>
  </si>
  <si>
    <t>OperElevatorMaincontract</t>
  </si>
  <si>
    <t>='Development Expenses'!$C$26</t>
  </si>
  <si>
    <t>OperExterminating</t>
  </si>
  <si>
    <t>='Development Expenses'!$C$27</t>
  </si>
  <si>
    <t>OperGroundsContract</t>
  </si>
  <si>
    <t>='Development Expenses'!$C$28</t>
  </si>
  <si>
    <t>OperRepairsContract</t>
  </si>
  <si>
    <t>='Development Expenses'!$C$29</t>
  </si>
  <si>
    <t>OperMainPayroll</t>
  </si>
  <si>
    <t>='Development Expenses'!$C$30</t>
  </si>
  <si>
    <t>OperRepairsMaterial</t>
  </si>
  <si>
    <t>='Development Expenses'!$C$31</t>
  </si>
  <si>
    <t>Optional Field 121</t>
  </si>
  <si>
    <t>='Development Expenses'!$C$32</t>
  </si>
  <si>
    <t>OperDecoratingPayrollContract</t>
  </si>
  <si>
    <t>='Development Expenses'!$C$33</t>
  </si>
  <si>
    <t>OperSnowRemoval</t>
  </si>
  <si>
    <t>='Development Expenses'!$C$34</t>
  </si>
  <si>
    <t>Optional Field 122</t>
  </si>
  <si>
    <t>='Development Expenses'!$C$35</t>
  </si>
  <si>
    <t>Optional Field 123</t>
  </si>
  <si>
    <t>='Development Expenses'!$C$36</t>
  </si>
  <si>
    <t>Optional Field 124</t>
  </si>
  <si>
    <t>='Development Expenses'!$C$37</t>
  </si>
  <si>
    <t>TIRealEstateTaxes</t>
  </si>
  <si>
    <t>='Development Expenses'!$H$26</t>
  </si>
  <si>
    <t>Optional Field 131</t>
  </si>
  <si>
    <t>='Development Expenses'!$H$27</t>
  </si>
  <si>
    <t>TIMisc</t>
  </si>
  <si>
    <t>='Development Expenses'!$H$28</t>
  </si>
  <si>
    <t>TIPropertyAndLiabilityIns</t>
  </si>
  <si>
    <t>='Development Expenses'!$H$29</t>
  </si>
  <si>
    <t>TIPayrollTaxes</t>
  </si>
  <si>
    <t>='Development Expenses'!$H$30</t>
  </si>
  <si>
    <t>Optional Field 132</t>
  </si>
  <si>
    <t>='Development Expenses'!$H$31</t>
  </si>
  <si>
    <t>Optional Field 133</t>
  </si>
  <si>
    <t>='Development Expenses'!$H$32</t>
  </si>
  <si>
    <t>PUPA</t>
  </si>
  <si>
    <t>Optional Field 136</t>
  </si>
  <si>
    <t>='Development Expenses'!$H$42</t>
  </si>
  <si>
    <t>Total Annual Residential Operating Expenses</t>
  </si>
  <si>
    <t>Optional Field 134</t>
  </si>
  <si>
    <t>='Development Expenses'!$C$42</t>
  </si>
  <si>
    <t>Total Annual Commercial Operating Expenses</t>
  </si>
  <si>
    <t>Optional Field 135</t>
  </si>
  <si>
    <t>='Development Expenses'!$C$45</t>
  </si>
  <si>
    <t>Optional Field 137</t>
  </si>
  <si>
    <t>='Development Expenses'!$C$50</t>
  </si>
  <si>
    <t>Development Operating Reserve Requirement</t>
  </si>
  <si>
    <t>map me and create me</t>
  </si>
  <si>
    <t xml:space="preserve">Method 1 Federal </t>
  </si>
  <si>
    <t xml:space="preserve">Method 1 State </t>
  </si>
  <si>
    <t xml:space="preserve">Method 2 Federal </t>
  </si>
  <si>
    <t xml:space="preserve">Method 2 State </t>
  </si>
  <si>
    <t xml:space="preserve">Method 3 Federal </t>
  </si>
  <si>
    <t xml:space="preserve">Method 3 State </t>
  </si>
  <si>
    <t>DeferredDevFee</t>
  </si>
  <si>
    <t>='Development Financing'!$E$33</t>
  </si>
  <si>
    <t>EquityGap</t>
  </si>
  <si>
    <t>='Federal Credit Amount'!$I$23</t>
  </si>
  <si>
    <t>Gap Vaule</t>
  </si>
  <si>
    <t>EquityDollarsperCredit</t>
  </si>
  <si>
    <t>='Development Financing'!$G$5</t>
  </si>
  <si>
    <t>AnnualCreditRequired</t>
  </si>
  <si>
    <t>='Federal Credit Amount'!$F$51</t>
  </si>
  <si>
    <t xml:space="preserve">2nd AnnualCreditRequired </t>
  </si>
  <si>
    <t>CreditAmountIssued</t>
  </si>
  <si>
    <t>='Development Financing'!$E$47</t>
  </si>
  <si>
    <t xml:space="preserve">State Credit Amount Issued </t>
  </si>
  <si>
    <t>Optional Field 360</t>
  </si>
  <si>
    <t xml:space="preserve">State Tax Credit Equity </t>
  </si>
  <si>
    <t>State Qualified Amount</t>
  </si>
  <si>
    <t xml:space="preserve">State Qualified </t>
  </si>
  <si>
    <t>Eligible Basis %</t>
  </si>
  <si>
    <t xml:space="preserve">Eligible Basis </t>
  </si>
  <si>
    <t>Optional Field 1</t>
  </si>
  <si>
    <t>=' Development Information'!$P$10</t>
  </si>
  <si>
    <t>9% APR</t>
  </si>
  <si>
    <t>Optional Field 2</t>
  </si>
  <si>
    <t>=' Development Information'!$P$11</t>
  </si>
  <si>
    <t>Optional Field 3</t>
  </si>
  <si>
    <t>=' Development Information'!$P$13</t>
  </si>
  <si>
    <t>Anticipated Placed in Service Date</t>
  </si>
  <si>
    <t>Optional Field 4</t>
  </si>
  <si>
    <t>=' Development Information'!$P$58</t>
  </si>
  <si>
    <t xml:space="preserve">Number of parking spaces </t>
  </si>
  <si>
    <t>Optional Field 5</t>
  </si>
  <si>
    <t xml:space="preserve">PAB Issuer </t>
  </si>
  <si>
    <t>Optional Field 358</t>
  </si>
  <si>
    <t>PAB Contact Name</t>
  </si>
  <si>
    <t>PAB Address</t>
  </si>
  <si>
    <t xml:space="preserve">PAB City </t>
  </si>
  <si>
    <t>PAB State</t>
  </si>
  <si>
    <t>PAB Zip</t>
  </si>
  <si>
    <t>PAB AMOUNT</t>
  </si>
  <si>
    <t xml:space="preserve">pab Amount </t>
  </si>
  <si>
    <t>PAB AMOUNT TOTAL</t>
  </si>
  <si>
    <t xml:space="preserve">TOTAL pab amount currenency </t>
  </si>
  <si>
    <t>PAB Mortgage %</t>
  </si>
  <si>
    <t xml:space="preserve">%ofAggregate Basis </t>
  </si>
  <si>
    <t xml:space="preserve">State CHFA DDA BOOST AMOUNT </t>
  </si>
  <si>
    <t>Optional Field 450</t>
  </si>
  <si>
    <t>State CHFA DDA BOOST %</t>
  </si>
  <si>
    <t>Optional Field 451</t>
  </si>
  <si>
    <t xml:space="preserve">CHFA Basis Boost Y/N </t>
  </si>
  <si>
    <t>IsTaxExemptBonds</t>
  </si>
  <si>
    <t>=' Development Information'!$P$78</t>
  </si>
  <si>
    <t>PropertyName</t>
  </si>
  <si>
    <t>Address1</t>
  </si>
  <si>
    <t>=' Development Information'!$C$25</t>
  </si>
  <si>
    <t>=' Development Information'!$C$26</t>
  </si>
  <si>
    <t>CO</t>
  </si>
  <si>
    <t>ZipCode</t>
  </si>
  <si>
    <t>=' Development Information'!$G$27</t>
  </si>
  <si>
    <t>CensusTract</t>
  </si>
  <si>
    <t>=' Development Information'!$C$27</t>
  </si>
  <si>
    <t>CongressionalDistrict</t>
  </si>
  <si>
    <t>=' Development Information'!$C$33</t>
  </si>
  <si>
    <t>StateSenateDistrict</t>
  </si>
  <si>
    <t>=' Development Information'!$C$32</t>
  </si>
  <si>
    <t>StateHouseDistrict</t>
  </si>
  <si>
    <t>=' Development Information'!$G$32</t>
  </si>
  <si>
    <t>Jurisdiction</t>
  </si>
  <si>
    <t>IsZonedCorrectly</t>
  </si>
  <si>
    <t>=' Development Information'!$P$38</t>
  </si>
  <si>
    <t>Section221d4</t>
  </si>
  <si>
    <t>=' Development Information'!$P$77</t>
  </si>
  <si>
    <t>Section223f</t>
  </si>
  <si>
    <t>HOMEFunds</t>
  </si>
  <si>
    <t>=' Development Information'!$P$84</t>
  </si>
  <si>
    <t>TaxableBonds</t>
  </si>
  <si>
    <t>=' Development Information'!$P$79</t>
  </si>
  <si>
    <t>CDBG</t>
  </si>
  <si>
    <t>=' Development Information'!$P$87</t>
  </si>
  <si>
    <t xml:space="preserve">Federal Subsidies </t>
  </si>
  <si>
    <t>=' Development Information'!$P$69</t>
  </si>
  <si>
    <t>Optional Field 6</t>
  </si>
  <si>
    <t>=' Development Information'!$P$81</t>
  </si>
  <si>
    <t>Optional Field 7</t>
  </si>
  <si>
    <t>=' Development Information'!$P$82</t>
  </si>
  <si>
    <t>Opitonal Field 333</t>
  </si>
  <si>
    <t>Type of Heating In-Unit</t>
  </si>
  <si>
    <t>Type of Heating Common Area</t>
  </si>
  <si>
    <t>Type of Cooling In-Unit</t>
  </si>
  <si>
    <t>Type of Cooling Common Area</t>
  </si>
  <si>
    <t>Ventilation System</t>
  </si>
  <si>
    <t xml:space="preserve">Green  Systems </t>
  </si>
  <si>
    <t>FedHistoricCreditAmt</t>
  </si>
  <si>
    <t>=' Development Information'!$E$91</t>
  </si>
  <si>
    <t xml:space="preserve">State Historic Credit Amount </t>
  </si>
  <si>
    <t xml:space="preserve">Grant </t>
  </si>
  <si>
    <t xml:space="preserve">Cash </t>
  </si>
  <si>
    <t>Optional Field 8</t>
  </si>
  <si>
    <t>=' Development Information'!$P$83</t>
  </si>
  <si>
    <t>Needs to be mapped</t>
  </si>
  <si>
    <t>Optional Field 10</t>
  </si>
  <si>
    <t>Optional Field 9</t>
  </si>
  <si>
    <t>=' Development Information'!$P$86</t>
  </si>
  <si>
    <t>Optional Field 11</t>
  </si>
  <si>
    <t>=' Development Information'!$E$90</t>
  </si>
  <si>
    <t>Opitonal Field 335</t>
  </si>
  <si>
    <t xml:space="preserve">Total Amount of C Bonds being Issued </t>
  </si>
  <si>
    <t>test</t>
  </si>
  <si>
    <t>Optional Field 13</t>
  </si>
  <si>
    <t>=' Development Information'!$E$92</t>
  </si>
  <si>
    <t>Optional Field 14</t>
  </si>
  <si>
    <t>=' Development Information'!$E$93</t>
  </si>
  <si>
    <t>IsS8ProjectBased</t>
  </si>
  <si>
    <t>=' Development Information'!$P$80</t>
  </si>
  <si>
    <t>RD 514</t>
  </si>
  <si>
    <t>Opitonal Field 336</t>
  </si>
  <si>
    <t>HasRD515</t>
  </si>
  <si>
    <t>=' Development Information'!$P$75</t>
  </si>
  <si>
    <t>IsQCT</t>
  </si>
  <si>
    <t>=' Development Information'!$P$29</t>
  </si>
  <si>
    <t>IsDDA</t>
  </si>
  <si>
    <t>=' Development Information'!$P$30</t>
  </si>
  <si>
    <t>SADDA</t>
  </si>
  <si>
    <t>Optional Field 353</t>
  </si>
  <si>
    <t>PL_TypeofAllocationRequestedId</t>
  </si>
  <si>
    <t>=' Development Information'!$P$8</t>
  </si>
  <si>
    <t>PL_SiteControlTypeId</t>
  </si>
  <si>
    <t>=' Development Information'!$P$35</t>
  </si>
  <si>
    <t>PL_BldgAllocTypeId</t>
  </si>
  <si>
    <t>=' Development Information'!$P$66</t>
  </si>
  <si>
    <t>SD_D_PL_BldgAllocType_Name</t>
  </si>
  <si>
    <t>DETERMINE TARGET TYPE</t>
  </si>
  <si>
    <t>HasFamilyPreference</t>
  </si>
  <si>
    <t>=' Development Information'!$P$109</t>
  </si>
  <si>
    <t>COUNT</t>
  </si>
  <si>
    <t>MATCH</t>
  </si>
  <si>
    <t>EVAL MIXED</t>
  </si>
  <si>
    <t>PL_TargetTypeId</t>
  </si>
  <si>
    <t>=' Development Information'!$P$101</t>
  </si>
  <si>
    <t>Optional Field 17</t>
  </si>
  <si>
    <t>=' Development Information'!$P$104</t>
  </si>
  <si>
    <t>Optional Field 18</t>
  </si>
  <si>
    <t>=' Development Information'!$P$105</t>
  </si>
  <si>
    <t>Optional Field 19</t>
  </si>
  <si>
    <t>=' Development Information'!$P$106</t>
  </si>
  <si>
    <t>Optional Field 20</t>
  </si>
  <si>
    <t>=' Development Information'!$P$107</t>
  </si>
  <si>
    <t>Optional Field 339</t>
  </si>
  <si>
    <t>Optional Field 455</t>
  </si>
  <si>
    <t>Number of residential Building</t>
  </si>
  <si>
    <t>NumBuildings</t>
  </si>
  <si>
    <t>=' Development Information'!$C$58</t>
  </si>
  <si>
    <t>IsLowRise</t>
  </si>
  <si>
    <t>=' Development Information'!$P$60</t>
  </si>
  <si>
    <t>1 or 2</t>
  </si>
  <si>
    <t>MOVE TO CALCS</t>
  </si>
  <si>
    <t>IsMidRise</t>
  </si>
  <si>
    <t>=' Development Information'!$P$61</t>
  </si>
  <si>
    <t>3 or 4</t>
  </si>
  <si>
    <t>IsHighRise</t>
  </si>
  <si>
    <t>=' Development Information'!$P$62</t>
  </si>
  <si>
    <t>5 or greater</t>
  </si>
  <si>
    <t>HasElevator</t>
  </si>
  <si>
    <t xml:space="preserve">Parcel Size </t>
  </si>
  <si>
    <t>Optional Field 342</t>
  </si>
  <si>
    <t>Optional Field 343</t>
  </si>
  <si>
    <t xml:space="preserve">Construction Duration </t>
  </si>
  <si>
    <t>Optional Field 344</t>
  </si>
  <si>
    <t xml:space="preserve">Construction Loan Amount </t>
  </si>
  <si>
    <t xml:space="preserve">Construction Loan Rate  </t>
  </si>
  <si>
    <t>ConstructionInterestFromBudget</t>
  </si>
  <si>
    <t xml:space="preserve">Inducement Resolution </t>
  </si>
  <si>
    <t>Final Resolution</t>
  </si>
  <si>
    <t xml:space="preserve">Construction Loan Closing </t>
  </si>
  <si>
    <t xml:space="preserve">All Loan Closed </t>
  </si>
  <si>
    <t xml:space="preserve">Submit Carryover Application for 9% Project </t>
  </si>
  <si>
    <t xml:space="preserve">Milestone Docmention </t>
  </si>
  <si>
    <t xml:space="preserve">(General Contractor)Complete Construction Drawings approved by Plannin/Building Dept </t>
  </si>
  <si>
    <r>
      <t>Final Site Plan Approval</t>
    </r>
    <r>
      <rPr>
        <sz val="11"/>
        <color theme="1"/>
        <rFont val="Arial"/>
        <family val="2"/>
      </rPr>
      <t xml:space="preserve"> </t>
    </r>
  </si>
  <si>
    <t xml:space="preserve">Groundbreaking Ceremony </t>
  </si>
  <si>
    <t xml:space="preserve">Building Permits </t>
  </si>
  <si>
    <t>Placed-In Service (Obtain Certs of Occupancy)</t>
  </si>
  <si>
    <t xml:space="preserve">Submit Housing Credit pis Application for LURA to CHFA </t>
  </si>
  <si>
    <t xml:space="preserve">Grand Opening </t>
  </si>
  <si>
    <t xml:space="preserve">Stabilization / LEASE UP </t>
  </si>
  <si>
    <t xml:space="preserve">Convert to PERM Loan </t>
  </si>
  <si>
    <t>LandAcqCost</t>
  </si>
  <si>
    <t>='Development Budget'!$D$6</t>
  </si>
  <si>
    <t>ExistingImprovementsCost</t>
  </si>
  <si>
    <t>='Development Budget'!$D$7</t>
  </si>
  <si>
    <t>='Development Budget'!$D$8</t>
  </si>
  <si>
    <t>SiteWork</t>
  </si>
  <si>
    <t>OffSiteImprovements</t>
  </si>
  <si>
    <t>='Development Budget'!$D$12</t>
  </si>
  <si>
    <t>UnitStructuresNew</t>
  </si>
  <si>
    <t>='Development Budget'!$D$15</t>
  </si>
  <si>
    <t>UnitStructuresRehab</t>
  </si>
  <si>
    <t>='Development Budget'!$D$16</t>
  </si>
  <si>
    <t>AccessoryBuildings</t>
  </si>
  <si>
    <t>='Development Budget'!$D$17</t>
  </si>
  <si>
    <t>Geothermal</t>
  </si>
  <si>
    <t>='Development Budget'!$D$18</t>
  </si>
  <si>
    <t>GeneralRequirements</t>
  </si>
  <si>
    <t>='Development Budget'!$D$19</t>
  </si>
  <si>
    <t>BuildersOverhead</t>
  </si>
  <si>
    <t>='Development Budget'!$D$20</t>
  </si>
  <si>
    <t>BuildersProfit</t>
  </si>
  <si>
    <t>='Development Budget'!$D$21</t>
  </si>
  <si>
    <t>OtherContingencyTotal</t>
  </si>
  <si>
    <t>='Development Budget'!$D$22</t>
  </si>
  <si>
    <t>Optional Field 21</t>
  </si>
  <si>
    <t>='Development Budget'!$D$23</t>
  </si>
  <si>
    <t>SpecialEquipment</t>
  </si>
  <si>
    <t>='Development Budget'!$D$24</t>
  </si>
  <si>
    <t>BuildingPermit</t>
  </si>
  <si>
    <t>='Development Budget'!$D$25</t>
  </si>
  <si>
    <t>Optional Field 22</t>
  </si>
  <si>
    <t>='Development Budget'!$D$26</t>
  </si>
  <si>
    <t>Optional Field 23</t>
  </si>
  <si>
    <t>='Development Budget'!$D$27</t>
  </si>
  <si>
    <t>Optional Field 24</t>
  </si>
  <si>
    <t>='Development Budget'!$D$28</t>
  </si>
  <si>
    <t>ArchEnginDesignFee</t>
  </si>
  <si>
    <t>='Development Budget'!$D$31</t>
  </si>
  <si>
    <t>ArchSupervisionFee</t>
  </si>
  <si>
    <t>='Development Budget'!$D$32</t>
  </si>
  <si>
    <t>Lawns</t>
  </si>
  <si>
    <t>='Development Budget'!$D$33</t>
  </si>
  <si>
    <t>SturcMechStudy</t>
  </si>
  <si>
    <t>='Development Budget'!$D$34</t>
  </si>
  <si>
    <t>Engineering</t>
  </si>
  <si>
    <t>='Development Budget'!$D$35</t>
  </si>
  <si>
    <t>Optional Field 25</t>
  </si>
  <si>
    <t>='Development Budget'!$D$36</t>
  </si>
  <si>
    <t>Optional Field 26</t>
  </si>
  <si>
    <t>='Development Budget'!$D$37</t>
  </si>
  <si>
    <t>ClosingLegalFees</t>
  </si>
  <si>
    <t>='Development Budget'!$D$38</t>
  </si>
  <si>
    <t>Optional Field 27</t>
  </si>
  <si>
    <t>='Development Budget'!$D$39</t>
  </si>
  <si>
    <t>Optional Field 28</t>
  </si>
  <si>
    <t>='Development Budget'!$D$40</t>
  </si>
  <si>
    <t>Optional Field 29</t>
  </si>
  <si>
    <t>='Development Budget'!$D$41</t>
  </si>
  <si>
    <t>Optional Field 30</t>
  </si>
  <si>
    <t>='Development Budget'!$D$42</t>
  </si>
  <si>
    <t>Optional Field 31</t>
  </si>
  <si>
    <t>='Development Budget'!$D$43</t>
  </si>
  <si>
    <t>Optional Field 32</t>
  </si>
  <si>
    <t>='Development Budget'!$D$44</t>
  </si>
  <si>
    <t>InsuranceduringConstr</t>
  </si>
  <si>
    <t>='Development Budget'!$D$47</t>
  </si>
  <si>
    <t>Optional Field 33</t>
  </si>
  <si>
    <t>='Development Budget'!$D$48</t>
  </si>
  <si>
    <t>BondingFee</t>
  </si>
  <si>
    <t>='Development Budget'!$D$49</t>
  </si>
  <si>
    <t>ConstrInterest</t>
  </si>
  <si>
    <t>='Development Budget'!$D$50</t>
  </si>
  <si>
    <t>ConstrLoanOrigFee</t>
  </si>
  <si>
    <t>='Development Budget'!$D$51</t>
  </si>
  <si>
    <t>TapFees</t>
  </si>
  <si>
    <t>='Development Budget'!$D$52</t>
  </si>
  <si>
    <t>Optional Field 34</t>
  </si>
  <si>
    <t>='Development Budget'!$D$53</t>
  </si>
  <si>
    <t>OtherConstruction1</t>
  </si>
  <si>
    <t>='Development Budget'!$D$54</t>
  </si>
  <si>
    <t>OtherConstruction2</t>
  </si>
  <si>
    <t>='Development Budget'!$D$55</t>
  </si>
  <si>
    <t>Optional Field 35</t>
  </si>
  <si>
    <t>='Development Budget'!$D$56</t>
  </si>
  <si>
    <t>Optional Field 36</t>
  </si>
  <si>
    <t>='Development Budget'!$D$57</t>
  </si>
  <si>
    <t>OtherPermLoanFees</t>
  </si>
  <si>
    <t>='Development Budget'!$D$58</t>
  </si>
  <si>
    <t>TaxesduringConstr</t>
  </si>
  <si>
    <t>='Development Budget'!$D$59</t>
  </si>
  <si>
    <t>Optional Field 38</t>
  </si>
  <si>
    <t>='Development Budget'!$D$60</t>
  </si>
  <si>
    <t>OtherConstruction3</t>
  </si>
  <si>
    <t>='Development Budget'!$D$61</t>
  </si>
  <si>
    <t>Optional Field 40</t>
  </si>
  <si>
    <t>='Development Budget'!$D$62</t>
  </si>
  <si>
    <t>Optional Field 41</t>
  </si>
  <si>
    <t>='Development Budget'!$D$63</t>
  </si>
  <si>
    <t>Optional Field 42</t>
  </si>
  <si>
    <t>='Development Budget'!$D$67</t>
  </si>
  <si>
    <t>Optional Field 43</t>
  </si>
  <si>
    <t>='Development Budget'!$D$68</t>
  </si>
  <si>
    <t>Optional Field 44</t>
  </si>
  <si>
    <t>='Development Budget'!$D$69</t>
  </si>
  <si>
    <t>Optional Field 45</t>
  </si>
  <si>
    <t>='Development Budget'!$D$70</t>
  </si>
  <si>
    <t>PermLoanFee</t>
  </si>
  <si>
    <t>='Development Budget'!$D$71</t>
  </si>
  <si>
    <t>CreditEnhancement</t>
  </si>
  <si>
    <t>='Development Budget'!$D$72</t>
  </si>
  <si>
    <t>TitleAndRecording</t>
  </si>
  <si>
    <t>='Development Budget'!$D$73</t>
  </si>
  <si>
    <t>Optional Field 46</t>
  </si>
  <si>
    <t>='Development Budget'!$D$74</t>
  </si>
  <si>
    <t>Optional Field 47</t>
  </si>
  <si>
    <t>='Development Budget'!$D$75</t>
  </si>
  <si>
    <t>Optional Field 48</t>
  </si>
  <si>
    <t>='Development Budget'!$D$76</t>
  </si>
  <si>
    <t>Optional Field 49</t>
  </si>
  <si>
    <t>='Development Budget'!$D$77</t>
  </si>
  <si>
    <t>Optional Field 50</t>
  </si>
  <si>
    <t>='Development Budget'!$D$78</t>
  </si>
  <si>
    <t>Optional Field 51</t>
  </si>
  <si>
    <t>='Development Budget'!$D$79</t>
  </si>
  <si>
    <t>Optional Field 52</t>
  </si>
  <si>
    <t>='Development Budget'!$D$80</t>
  </si>
  <si>
    <t>Optional Field 53</t>
  </si>
  <si>
    <t>='Development Budget'!$D$83</t>
  </si>
  <si>
    <t>Optional Field 54</t>
  </si>
  <si>
    <t>='Development Budget'!$D$84</t>
  </si>
  <si>
    <t>SoilBorings</t>
  </si>
  <si>
    <t>='Development Budget'!$D$85</t>
  </si>
  <si>
    <t>AppraisalFee</t>
  </si>
  <si>
    <t>='Development Budget'!$D$86</t>
  </si>
  <si>
    <t>MarketStudy</t>
  </si>
  <si>
    <t>='Development Budget'!$D$87</t>
  </si>
  <si>
    <t>EnviroStudy</t>
  </si>
  <si>
    <t>='Development Budget'!$D$88</t>
  </si>
  <si>
    <t>Optional Field 55</t>
  </si>
  <si>
    <t>='Development Budget'!$D$89</t>
  </si>
  <si>
    <t>TaxCreditFee</t>
  </si>
  <si>
    <t>='Development Budget'!$D$90</t>
  </si>
  <si>
    <t>Optional Field 56</t>
  </si>
  <si>
    <t>='Development Budget'!$D$91</t>
  </si>
  <si>
    <t>CostCertFee</t>
  </si>
  <si>
    <t>='Development Budget'!$D$92</t>
  </si>
  <si>
    <t>Optional Field 57</t>
  </si>
  <si>
    <t>='Development Budget'!$D$93</t>
  </si>
  <si>
    <t>Optional Field 58</t>
  </si>
  <si>
    <t>='Development Budget'!$D$94</t>
  </si>
  <si>
    <t>Optional Field 338</t>
  </si>
  <si>
    <t>Optional Field 59</t>
  </si>
  <si>
    <t>='Development Budget'!$D$95</t>
  </si>
  <si>
    <t>Optional Field 60</t>
  </si>
  <si>
    <t>='Development Budget'!$D$96</t>
  </si>
  <si>
    <t>Optional Field 61</t>
  </si>
  <si>
    <t>='Development Budget'!$D$97</t>
  </si>
  <si>
    <t>Optional Field 62</t>
  </si>
  <si>
    <t>='Development Budget'!$D$98</t>
  </si>
  <si>
    <t>Optional Field 63</t>
  </si>
  <si>
    <t>='Development Budget'!$D$101</t>
  </si>
  <si>
    <t>Optional Field 64</t>
  </si>
  <si>
    <t>='Development Budget'!$D$102</t>
  </si>
  <si>
    <t>Optional Field 65</t>
  </si>
  <si>
    <t>='Development Budget'!$D$103</t>
  </si>
  <si>
    <t>Optional Field 66</t>
  </si>
  <si>
    <t>='Development Budget'!$D$104</t>
  </si>
  <si>
    <t>Optional Field 67</t>
  </si>
  <si>
    <t>='Development Budget'!$D$105</t>
  </si>
  <si>
    <t>Optional Field 68</t>
  </si>
  <si>
    <t>='Development Budget'!$D$106</t>
  </si>
  <si>
    <t>DeveloperFees</t>
  </si>
  <si>
    <t>='Development Budget'!$D$107</t>
  </si>
  <si>
    <t>Optional Field 69</t>
  </si>
  <si>
    <t>='Development Budget'!$D$108</t>
  </si>
  <si>
    <t>Optional Field 70</t>
  </si>
  <si>
    <t>='Development Budget'!$D$109</t>
  </si>
  <si>
    <t>Optional Field 456</t>
  </si>
  <si>
    <t>='Development Budget'!$D$110</t>
  </si>
  <si>
    <t>Optional Field 71</t>
  </si>
  <si>
    <t>='Development Budget'!$D$111</t>
  </si>
  <si>
    <t>Optional Field 72</t>
  </si>
  <si>
    <t>='Development Budget'!$D$112</t>
  </si>
  <si>
    <t>Optional Field 73</t>
  </si>
  <si>
    <t>='Development Budget'!$D$113</t>
  </si>
  <si>
    <t>Optional Field 74</t>
  </si>
  <si>
    <t>='Development Budget'!$D$116</t>
  </si>
  <si>
    <t>OperReserve</t>
  </si>
  <si>
    <t>='Development Budget'!$D$117</t>
  </si>
  <si>
    <t>ReplacementReserves</t>
  </si>
  <si>
    <t>='Development Budget'!$D$118</t>
  </si>
  <si>
    <t>mapping in stage and not in property costs</t>
  </si>
  <si>
    <t>Optional Field 340</t>
  </si>
  <si>
    <t>='Development Budget'!$D$119</t>
  </si>
  <si>
    <t>Optional Field 75</t>
  </si>
  <si>
    <t>='Development Budget'!$D$120</t>
  </si>
  <si>
    <t>Optional Field 76</t>
  </si>
  <si>
    <t>='Development Budget'!$D$121</t>
  </si>
  <si>
    <t>Total Project Costs</t>
  </si>
  <si>
    <t>Optional Field 77</t>
  </si>
  <si>
    <t>='Development Budget'!$D$122</t>
  </si>
  <si>
    <t>4% Eligible Basis</t>
  </si>
  <si>
    <t>Optional Field 78</t>
  </si>
  <si>
    <t>='Development Budget'!$E$125</t>
  </si>
  <si>
    <t>9% Eligible Basis</t>
  </si>
  <si>
    <t>Optional Field 79</t>
  </si>
  <si>
    <t>='Development Budget'!$F$125</t>
  </si>
  <si>
    <t>Aggregate Basis for PAB-Financed Developments Only</t>
  </si>
  <si>
    <t>Optional Field 80</t>
  </si>
  <si>
    <t>='Development Budget'!$E$127</t>
  </si>
  <si>
    <t>Private Activity Bond Mortgage Amount</t>
  </si>
  <si>
    <t>Optional Field 81</t>
  </si>
  <si>
    <t>='Development Budget'!$E$128</t>
  </si>
  <si>
    <t>50% Test</t>
  </si>
  <si>
    <t>Optional Field 468</t>
  </si>
  <si>
    <t>Hard Costs/Square Foot</t>
  </si>
  <si>
    <t>Optional Field 82</t>
  </si>
  <si>
    <t>='Development Budget'!$F$136</t>
  </si>
  <si>
    <t>Hard Costs/Unit</t>
  </si>
  <si>
    <t>Optional Field 83</t>
  </si>
  <si>
    <t>='Development Budget'!$G$136</t>
  </si>
  <si>
    <t>Soft Costs/Square Foot</t>
  </si>
  <si>
    <t>Optional Field 459</t>
  </si>
  <si>
    <t>Soft Costs/Unit</t>
  </si>
  <si>
    <t>Optional Field 460</t>
  </si>
  <si>
    <t>Dev Costs/Square Foot</t>
  </si>
  <si>
    <t>Optional Field 84</t>
  </si>
  <si>
    <t>='Development Budget'!$F$137</t>
  </si>
  <si>
    <t>Dev Costs/Unit</t>
  </si>
  <si>
    <t>Optional Field 85</t>
  </si>
  <si>
    <t>='Development Budget'!$G$137</t>
  </si>
  <si>
    <t>Reserves/Square Foot</t>
  </si>
  <si>
    <t>Optional Field 86</t>
  </si>
  <si>
    <t>='Development Budget'!$F$138</t>
  </si>
  <si>
    <t>Reserves/Unit</t>
  </si>
  <si>
    <t>Optional Field 87</t>
  </si>
  <si>
    <t>='Development Budget'!$G$138</t>
  </si>
  <si>
    <t>Dev Fee/Square Foot</t>
  </si>
  <si>
    <t>Optional Field 88</t>
  </si>
  <si>
    <t>='Development Budget'!$F$139</t>
  </si>
  <si>
    <t>Dev Fee/Unit</t>
  </si>
  <si>
    <t>Optional Field 89</t>
  </si>
  <si>
    <t>='Development Budget'!$G$139</t>
  </si>
  <si>
    <t>Total Expected Project Basis</t>
  </si>
  <si>
    <t>FinalizedAccumulatedBasis</t>
  </si>
  <si>
    <t>='10% Test for Carryover'!$F$91</t>
  </si>
  <si>
    <t>FinalizedReasonablyExpectedTotalBasis</t>
  </si>
  <si>
    <t>='10% Test for Carryover'!$D$91</t>
  </si>
  <si>
    <t>Issuer for 20%</t>
  </si>
  <si>
    <t>Num of Units at 20%</t>
  </si>
  <si>
    <t>Issuer for 30%</t>
  </si>
  <si>
    <t>Num of Units at 30%</t>
  </si>
  <si>
    <t>Issuer for 40%</t>
  </si>
  <si>
    <t>Num of Units at 40%</t>
  </si>
  <si>
    <t>Issuer for 50%</t>
  </si>
  <si>
    <t>Num of Units at 50%</t>
  </si>
  <si>
    <t>Issuer for 60%</t>
  </si>
  <si>
    <t>Num of Units at 60%</t>
  </si>
  <si>
    <t>Issuer for 70%</t>
  </si>
  <si>
    <t>Num of Units at 70%</t>
  </si>
  <si>
    <t>Issuer for 80%</t>
  </si>
  <si>
    <t>Num of Units at 80%</t>
  </si>
  <si>
    <t>Issuer for 100%</t>
  </si>
  <si>
    <t>Num of Units at 100%(MKT)</t>
  </si>
  <si>
    <t xml:space="preserve">Total Bedroom </t>
  </si>
  <si>
    <t>Total Employee units</t>
  </si>
  <si>
    <t>Optional Field 102</t>
  </si>
  <si>
    <t>='Unit Mix &amp; Rents'!$J$87</t>
  </si>
  <si>
    <t>Total Development Square Footage</t>
  </si>
  <si>
    <t>TotalFloorSqFt</t>
  </si>
  <si>
    <t>='Unit Mix &amp; Rents'!$K$110</t>
  </si>
  <si>
    <t>TotalUnits</t>
  </si>
  <si>
    <t>='Development Summary'!$C$23</t>
  </si>
  <si>
    <t>TotalAllowance0BR</t>
  </si>
  <si>
    <t>='Unit Mix &amp; Rents'!$D$18</t>
  </si>
  <si>
    <t>TotalAllowance1BR</t>
  </si>
  <si>
    <t>='Unit Mix &amp; Rents'!$D$19</t>
  </si>
  <si>
    <t>TotalAllowance2BR</t>
  </si>
  <si>
    <t>='Unit Mix &amp; Rents'!$D$20</t>
  </si>
  <si>
    <t>TotalAllowance3BR</t>
  </si>
  <si>
    <t>='Unit Mix &amp; Rents'!$H$18</t>
  </si>
  <si>
    <t>TotalAllowance4BR</t>
  </si>
  <si>
    <t>='Unit Mix &amp; Rents'!$H$19</t>
  </si>
  <si>
    <t>5 Bedroom</t>
  </si>
  <si>
    <t>Optional Field 341</t>
  </si>
  <si>
    <t>Do Rents Include Utilities?</t>
  </si>
  <si>
    <t>Optional Field 100</t>
  </si>
  <si>
    <t>='Unit Mix &amp; Rents'!$O$19</t>
  </si>
  <si>
    <t>Total Residential SF</t>
  </si>
  <si>
    <t>Optional Field 103</t>
  </si>
  <si>
    <t>='Unit Mix &amp; Rents'!$D$90</t>
  </si>
  <si>
    <t>Total Employee SF</t>
  </si>
  <si>
    <t>Optional Field 105</t>
  </si>
  <si>
    <t>='Unit Mix &amp; Rents'!$D$95</t>
  </si>
  <si>
    <t>Common Space SF</t>
  </si>
  <si>
    <t>Optional Field 109</t>
  </si>
  <si>
    <t>='Unit Mix &amp; Rents'!$D$101</t>
  </si>
  <si>
    <t>TotalLowIncomeUnits</t>
  </si>
  <si>
    <t>='Unit Mix &amp; Rents'!$E$92</t>
  </si>
  <si>
    <t>CommercialSqFt</t>
  </si>
  <si>
    <t>='Unit Mix &amp; Rents'!$D$104</t>
  </si>
  <si>
    <t>TCNetRentableSF</t>
  </si>
  <si>
    <t>='Unit Mix &amp; Rents'!$D$92</t>
  </si>
  <si>
    <t>MktNetRentableSF</t>
  </si>
  <si>
    <t>='Unit Mix &amp; Rents'!$D$98</t>
  </si>
  <si>
    <t>Low Income Square Footage  Applicable Fraction</t>
  </si>
  <si>
    <t>FloorSpaceFraction</t>
  </si>
  <si>
    <t>='Unit Mix &amp; Rents'!$D$107</t>
  </si>
  <si>
    <t xml:space="preserve">Total Bedrooms </t>
  </si>
  <si>
    <t>PL_ExtendedUseRestrictionId</t>
  </si>
  <si>
    <t>=Scoring!$J$45</t>
  </si>
  <si>
    <t>TotalScore</t>
  </si>
  <si>
    <t>=Scoring!$I$152</t>
  </si>
  <si>
    <t>Threshold: 40% at 60% of Area Median Income</t>
  </si>
  <si>
    <t>Optional Field 356</t>
  </si>
  <si>
    <t>=Scoring!$J$8</t>
  </si>
  <si>
    <t>Threshold: 20% at 50% of Area Median Income</t>
  </si>
  <si>
    <t>Optional Field 357</t>
  </si>
  <si>
    <t>=Scoring!$J$19</t>
  </si>
  <si>
    <t>Average Income yes/no</t>
  </si>
  <si>
    <t>Optional Field 452</t>
  </si>
  <si>
    <t>Income Averaging Percent</t>
  </si>
  <si>
    <t>Optional Field 469</t>
  </si>
  <si>
    <t>Threshold 1: 60%</t>
  </si>
  <si>
    <t>BonusA</t>
  </si>
  <si>
    <t>=Scoring!$H$11</t>
  </si>
  <si>
    <t>Threshold 1: 50%</t>
  </si>
  <si>
    <t>BonusB</t>
  </si>
  <si>
    <t>=Scoring!$H$12</t>
  </si>
  <si>
    <t>Threshold 1: 40%</t>
  </si>
  <si>
    <t>BonusC</t>
  </si>
  <si>
    <t>=Scoring!$H$13</t>
  </si>
  <si>
    <t>Threshold 2: 50%</t>
  </si>
  <si>
    <t>BonusD</t>
  </si>
  <si>
    <t>=Scoring!$H$22</t>
  </si>
  <si>
    <t>Threshold 2: 40%</t>
  </si>
  <si>
    <t>BonusE</t>
  </si>
  <si>
    <t>=Scoring!$H$23</t>
  </si>
  <si>
    <t>Targeting 30% of area median income - 10%</t>
  </si>
  <si>
    <t>BonusF</t>
  </si>
  <si>
    <t>=Scoring!$H$35</t>
  </si>
  <si>
    <t>Targeting 30% of area median income - 20%</t>
  </si>
  <si>
    <t>BonusG</t>
  </si>
  <si>
    <t>=Scoring!$H$36</t>
  </si>
  <si>
    <t>Targeting 30% of area median income - 30%</t>
  </si>
  <si>
    <t>BonusH</t>
  </si>
  <si>
    <t>=Scoring!$H$37</t>
  </si>
  <si>
    <t>15 Years Compliance + 15 Year Waiver</t>
  </si>
  <si>
    <t>BonusK</t>
  </si>
  <si>
    <t>=Scoring!$G$48</t>
  </si>
  <si>
    <t>15 Years Compliance + 25 Year Waiver</t>
  </si>
  <si>
    <t>BonusM</t>
  </si>
  <si>
    <t>=Scoring!$G$50</t>
  </si>
  <si>
    <t>Housing Needs Characteristics 1</t>
  </si>
  <si>
    <t>HousingNeedsA</t>
  </si>
  <si>
    <t>=Scoring!$E$73</t>
  </si>
  <si>
    <t>Housing Needs Characteristics 2</t>
  </si>
  <si>
    <t>HousingNeedsB</t>
  </si>
  <si>
    <t>=Scoring!$E$77</t>
  </si>
  <si>
    <t>Homeless  (Minimum of 25% of total units set-aside for Homeless)</t>
  </si>
  <si>
    <t>HousingNeedsC</t>
  </si>
  <si>
    <t>=Scoring!$I$136</t>
  </si>
  <si>
    <t>Supportive Housing for non-elderly Special Population Tenants (Minimum of 25% of total units set-aside)</t>
  </si>
  <si>
    <t>HousingNeedsD</t>
  </si>
  <si>
    <t>=Scoring!$I$138</t>
  </si>
  <si>
    <t>Community Revitalization Plan</t>
  </si>
  <si>
    <t>=Scoring!$I$62</t>
  </si>
  <si>
    <t>Development Location: OPTION A</t>
  </si>
  <si>
    <t>=Scoring!$I$85</t>
  </si>
  <si>
    <t>Development Location: OPTION B</t>
  </si>
  <si>
    <t>=Scoring!$I$90</t>
  </si>
  <si>
    <t>Development Characteristics 1</t>
  </si>
  <si>
    <t>=Scoring!$I$99</t>
  </si>
  <si>
    <t>Development Characteristics 2</t>
  </si>
  <si>
    <t>=Scoring!$I$102</t>
  </si>
  <si>
    <t>Development Characteristics 3</t>
  </si>
  <si>
    <t>=Scoring!$I$104</t>
  </si>
  <si>
    <t>Development Characteristics 4</t>
  </si>
  <si>
    <t>=Scoring!$I$107</t>
  </si>
  <si>
    <t>Development Characteristics 5</t>
  </si>
  <si>
    <t>=Scoring!$I$110</t>
  </si>
  <si>
    <t>SponsorCharA</t>
  </si>
  <si>
    <t>=Scoring!$I$120</t>
  </si>
  <si>
    <t>TenantCharA</t>
  </si>
  <si>
    <t>=Scoring!$I$148</t>
  </si>
  <si>
    <t>Applicant Name</t>
  </si>
  <si>
    <t xml:space="preserve">Applicant First Name </t>
  </si>
  <si>
    <t>changed to applicant to be published 2/10</t>
  </si>
  <si>
    <t xml:space="preserve">Applicant Last Name </t>
  </si>
  <si>
    <t xml:space="preserve">Applicant Address </t>
  </si>
  <si>
    <t xml:space="preserve">Applicant City </t>
  </si>
  <si>
    <t>Applicant Phone</t>
  </si>
  <si>
    <t>Applicant Email</t>
  </si>
  <si>
    <t xml:space="preserve">Applicant State </t>
  </si>
  <si>
    <t>Applicant Zip</t>
  </si>
  <si>
    <t>Applicant racial/ethnic composition</t>
  </si>
  <si>
    <t>Applicant gender composition</t>
  </si>
  <si>
    <t>OwnerName</t>
  </si>
  <si>
    <t>='Applicant Info-Development Team'!$D$7</t>
  </si>
  <si>
    <t>OwnerContactFirstName</t>
  </si>
  <si>
    <t>='Applicant Info-Development Team'!$D$13</t>
  </si>
  <si>
    <t>OwnerContactLastName</t>
  </si>
  <si>
    <t>='Applicant Info-Development Team'!$G$13</t>
  </si>
  <si>
    <t>OwnerAddress</t>
  </si>
  <si>
    <t>='Applicant Info-Development Team'!$D$8</t>
  </si>
  <si>
    <t>OwnerCity</t>
  </si>
  <si>
    <t>='Applicant Info-Development Team'!$D$9</t>
  </si>
  <si>
    <t>PL_StateId_Owner</t>
  </si>
  <si>
    <t>='Applicant Info-Development Team'!$D$10</t>
  </si>
  <si>
    <t>OwnerZip</t>
  </si>
  <si>
    <t>='Applicant Info-Development Team'!$D$11</t>
  </si>
  <si>
    <t>OwnerFedTaxIDNum</t>
  </si>
  <si>
    <t>='Applicant Info-Development Team'!$D$12</t>
  </si>
  <si>
    <t>OwnerPhone</t>
  </si>
  <si>
    <t>='Applicant Info-Development Team'!$D$14</t>
  </si>
  <si>
    <t>OwnerEmail</t>
  </si>
  <si>
    <t>='Applicant Info-Development Team'!$D$16</t>
  </si>
  <si>
    <t>Owner Cell</t>
  </si>
  <si>
    <t>Owner racial/ethnic composition</t>
  </si>
  <si>
    <t>Owner gender composition</t>
  </si>
  <si>
    <t>NonProfitInvolvement</t>
  </si>
  <si>
    <t>='Non-Profit Questionnaire'!$M$22</t>
  </si>
  <si>
    <t>ContractorContactName</t>
  </si>
  <si>
    <t>='Applicant Info-Development Team'!$D$103</t>
  </si>
  <si>
    <t>ContractorFirmName</t>
  </si>
  <si>
    <t>='Applicant Info-Development Team'!$D$100</t>
  </si>
  <si>
    <t>MgtEntityContactName</t>
  </si>
  <si>
    <t>='Applicant Info-Development Team'!$D$116</t>
  </si>
  <si>
    <t>MgtEntityFirmName</t>
  </si>
  <si>
    <t>='Applicant Info-Development Team'!$D$113</t>
  </si>
  <si>
    <t>MgtEntityEmail</t>
  </si>
  <si>
    <t>MgtEntityPhone</t>
  </si>
  <si>
    <t>ConsultantContactName</t>
  </si>
  <si>
    <t>='Applicant Info-Development Team'!$D$129</t>
  </si>
  <si>
    <t>ConsultantFirmName</t>
  </si>
  <si>
    <t>='Applicant Info-Development Team'!$D$126</t>
  </si>
  <si>
    <t>TaxAccountantContactName</t>
  </si>
  <si>
    <t>='Applicant Info-Development Team'!$D$155</t>
  </si>
  <si>
    <t>TaxAccountantFirmName</t>
  </si>
  <si>
    <t>='Applicant Info-Development Team'!$D$152</t>
  </si>
  <si>
    <t>ArchitectContactName</t>
  </si>
  <si>
    <t>='Applicant Info-Development Team'!$D$168</t>
  </si>
  <si>
    <t>ArchitectFirmName</t>
  </si>
  <si>
    <t>='Applicant Info-Development Team'!$D$165</t>
  </si>
  <si>
    <t>NonProfitName</t>
  </si>
  <si>
    <t>='Non-Profit Questionnaire'!$E$18</t>
  </si>
  <si>
    <t>Syndicator</t>
  </si>
  <si>
    <t>='Development Financing'!$D$8</t>
  </si>
  <si>
    <t xml:space="preserve">3rdPartyEstimatorName </t>
  </si>
  <si>
    <t>Opitonal Field 346</t>
  </si>
  <si>
    <t xml:space="preserve">Construction Lender </t>
  </si>
  <si>
    <t>Developer racial/ethnic composition</t>
  </si>
  <si>
    <t>Developer gender composition</t>
  </si>
  <si>
    <t xml:space="preserve">General Partner </t>
  </si>
  <si>
    <t>General Partner racial/ethnic composition</t>
  </si>
  <si>
    <t>General Partner gender composition</t>
  </si>
  <si>
    <t xml:space="preserve">Syndicator </t>
  </si>
  <si>
    <t>General Contractor racial/ethnic composition</t>
  </si>
  <si>
    <t>General Contractor gender composition</t>
  </si>
  <si>
    <t>Consultant 3</t>
  </si>
  <si>
    <t>Fee/Turnkey Developer racial/ethnic composition</t>
  </si>
  <si>
    <t>Fee-Turnkey Developer gender composition</t>
  </si>
  <si>
    <t>Lookup</t>
  </si>
  <si>
    <t>Sequence</t>
  </si>
  <si>
    <t>Doing Business As</t>
  </si>
  <si>
    <t xml:space="preserve">Address </t>
  </si>
  <si>
    <t xml:space="preserve">Zip Code </t>
  </si>
  <si>
    <t xml:space="preserve">Direct Phone </t>
  </si>
  <si>
    <t xml:space="preserve">Email Address </t>
  </si>
  <si>
    <t xml:space="preserve">Entity TYPE </t>
  </si>
  <si>
    <t>Company?</t>
  </si>
  <si>
    <t>Pri Player?</t>
  </si>
  <si>
    <t>Get all data for orgs - this is not mapped to prolink here</t>
  </si>
  <si>
    <t>this is a blank row</t>
  </si>
  <si>
    <t>Developer</t>
  </si>
  <si>
    <t>Company</t>
  </si>
  <si>
    <t xml:space="preserve">State TC Syndicator/State Syndicator </t>
  </si>
  <si>
    <t xml:space="preserve">3rd Party Estimator </t>
  </si>
  <si>
    <t>3rd Party Cost Estimate</t>
  </si>
  <si>
    <t xml:space="preserve">Contractor/General Contractor </t>
  </si>
  <si>
    <t xml:space="preserve">Management Company/Management Agent </t>
  </si>
  <si>
    <t>Management Agent</t>
  </si>
  <si>
    <t xml:space="preserve">Consultant </t>
  </si>
  <si>
    <t xml:space="preserve">Tax Attorney Firm/Law Firm </t>
  </si>
  <si>
    <t>Law Firm</t>
  </si>
  <si>
    <t xml:space="preserve">CPA Firm/Accountant </t>
  </si>
  <si>
    <t>Accountant</t>
  </si>
  <si>
    <t xml:space="preserve">Architect </t>
  </si>
  <si>
    <t>Architect</t>
  </si>
  <si>
    <t xml:space="preserve">Perm Lender </t>
  </si>
  <si>
    <t xml:space="preserve">Enviroment Review </t>
  </si>
  <si>
    <t>Environment Review</t>
  </si>
  <si>
    <t xml:space="preserve">Capital Needs Preparer/Other </t>
  </si>
  <si>
    <t xml:space="preserve">Green Consultant </t>
  </si>
  <si>
    <t>Optional Field 150</t>
  </si>
  <si>
    <t>='Applicant Info-Development Team'!$L$30</t>
  </si>
  <si>
    <t>Optional Field 151</t>
  </si>
  <si>
    <t>='Applicant Info-Development Team'!$L$39</t>
  </si>
  <si>
    <t>Private Placement</t>
  </si>
  <si>
    <t>Optional Field 152</t>
  </si>
  <si>
    <t>='Applicant Info-Development Team'!$M$222</t>
  </si>
  <si>
    <t>Public Placement</t>
  </si>
  <si>
    <t>Optional Field 153</t>
  </si>
  <si>
    <t>='Applicant Info-Development Team'!$M$223</t>
  </si>
  <si>
    <t>Mayor</t>
  </si>
  <si>
    <t>Optional Field 154</t>
  </si>
  <si>
    <t>='Official Notification'!$M$6</t>
  </si>
  <si>
    <t xml:space="preserve">Contact First and Last </t>
  </si>
  <si>
    <t>Optional Field 155</t>
  </si>
  <si>
    <t>='Official Notification'!$M$7</t>
  </si>
  <si>
    <t>Optional Field 156</t>
  </si>
  <si>
    <t>='Official Notification'!$M$8</t>
  </si>
  <si>
    <t>Optional Field 157</t>
  </si>
  <si>
    <t>='Official Notification'!$M$9</t>
  </si>
  <si>
    <t xml:space="preserve">Zip </t>
  </si>
  <si>
    <t>Optional Field 158</t>
  </si>
  <si>
    <t>='Official Notification'!$N$9</t>
  </si>
  <si>
    <t xml:space="preserve">Mayor Number </t>
  </si>
  <si>
    <t>Optional Field 453</t>
  </si>
  <si>
    <t>='Official Notification'!$M$10</t>
  </si>
  <si>
    <t>Mayor State</t>
  </si>
  <si>
    <t>Mayor Email</t>
  </si>
  <si>
    <t xml:space="preserve">Local Housing Authority </t>
  </si>
  <si>
    <t>Optional Field 160</t>
  </si>
  <si>
    <t>='Official Notification'!$M$16</t>
  </si>
  <si>
    <t>Optional Field 161</t>
  </si>
  <si>
    <t>='Official Notification'!$M$17</t>
  </si>
  <si>
    <t>Optional Field 162</t>
  </si>
  <si>
    <t>='Official Notification'!$M$18</t>
  </si>
  <si>
    <t>city</t>
  </si>
  <si>
    <t>Optional Field 163</t>
  </si>
  <si>
    <t>='Official Notification'!$M$19</t>
  </si>
  <si>
    <t>Optional Field 164</t>
  </si>
  <si>
    <t>='Official Notification'!$N$19</t>
  </si>
  <si>
    <t xml:space="preserve">number </t>
  </si>
  <si>
    <t>Optional Field 454</t>
  </si>
  <si>
    <t>='Official Notification'!$M$20</t>
  </si>
  <si>
    <t xml:space="preserve">Council Member </t>
  </si>
  <si>
    <t xml:space="preserve">UDF </t>
  </si>
  <si>
    <t>Council Email</t>
  </si>
  <si>
    <t>Optional Field 92</t>
  </si>
  <si>
    <t>='Commercial Budget'!$E$103</t>
  </si>
  <si>
    <t>Total Funds for Commercial Development</t>
  </si>
  <si>
    <t>Optional Field 93</t>
  </si>
  <si>
    <t>='Dev Commercial Financing'!$E$44</t>
  </si>
  <si>
    <t>Optional Field 462</t>
  </si>
  <si>
    <t>='Development Financing'!$K$5</t>
  </si>
  <si>
    <t>462 - Use to be UDF 95</t>
  </si>
  <si>
    <t>Optional Field 97</t>
  </si>
  <si>
    <t>='Development Financing'!$E$34</t>
  </si>
  <si>
    <t>City Manager Email</t>
  </si>
  <si>
    <t>Total Annual Miscellaneous Income</t>
  </si>
  <si>
    <t>Optional Field 112</t>
  </si>
  <si>
    <t>=' Development Income'!$E$11</t>
  </si>
  <si>
    <t>Total Annual Rental Income</t>
  </si>
  <si>
    <t>Optional Field 113</t>
  </si>
  <si>
    <t>=' Development Income'!$E$12</t>
  </si>
  <si>
    <t>Optional Field 114</t>
  </si>
  <si>
    <t>=' Development Income'!$E$13</t>
  </si>
  <si>
    <t>Optional Field 115</t>
  </si>
  <si>
    <t>=' Development Income'!$E$17</t>
  </si>
  <si>
    <t>Identity: # Units</t>
  </si>
  <si>
    <t>Optional Field 138</t>
  </si>
  <si>
    <t>='Contractor-Developer Fee Limits'!$B$8</t>
  </si>
  <si>
    <t>INDEX USED</t>
  </si>
  <si>
    <t>Identity: Max %</t>
  </si>
  <si>
    <t>Optional Field 463</t>
  </si>
  <si>
    <t>='Contractor-Developer Fee Limits'!$D$8</t>
  </si>
  <si>
    <t>463 - Use to be UDF 139</t>
  </si>
  <si>
    <t>No Identity: # Units</t>
  </si>
  <si>
    <t>Optional Field 140</t>
  </si>
  <si>
    <t>='Contractor-Developer Fee Limits'!$B$9</t>
  </si>
  <si>
    <t>No Identity: Max %</t>
  </si>
  <si>
    <t>Optional Field 464</t>
  </si>
  <si>
    <t>='Contractor-Developer Fee Limits'!$D$9</t>
  </si>
  <si>
    <t>464 - Use to be UDF 141</t>
  </si>
  <si>
    <t xml:space="preserve">PrevailWage </t>
  </si>
  <si>
    <t>Opitonal Field 345</t>
  </si>
  <si>
    <t>Optional Field 286</t>
  </si>
  <si>
    <t>='Cost Summary'!$D$16</t>
  </si>
  <si>
    <t>Optional Field 287</t>
  </si>
  <si>
    <t>='Cost Summary'!$D$17</t>
  </si>
  <si>
    <t>Optional Field 288</t>
  </si>
  <si>
    <t>='Cost Summary'!$D$18</t>
  </si>
  <si>
    <t>Optional Field 289</t>
  </si>
  <si>
    <t>='Cost Summary'!$D$19</t>
  </si>
  <si>
    <t>Optional Field 290</t>
  </si>
  <si>
    <t>='Cost Summary'!$D$20</t>
  </si>
  <si>
    <t>Optional Field 291</t>
  </si>
  <si>
    <t>='Cost Summary'!$D$21</t>
  </si>
  <si>
    <t>Optional Field 292</t>
  </si>
  <si>
    <t>='Cost Summary'!$D$22</t>
  </si>
  <si>
    <t>Optional Field 293</t>
  </si>
  <si>
    <t>='Cost Summary'!$D$23</t>
  </si>
  <si>
    <t>Optional Field 294</t>
  </si>
  <si>
    <t>='Cost Summary'!$D$24</t>
  </si>
  <si>
    <t>Optional Field 295</t>
  </si>
  <si>
    <t>='Cost Summary'!$D$25</t>
  </si>
  <si>
    <t>Optional Field 296</t>
  </si>
  <si>
    <t>='Cost Summary'!$D$26</t>
  </si>
  <si>
    <t>Optional Field 297</t>
  </si>
  <si>
    <t>='Cost Summary'!$D$27</t>
  </si>
  <si>
    <t>Optional Field 298</t>
  </si>
  <si>
    <t>='Cost Summary'!$D$28</t>
  </si>
  <si>
    <t>Optional Field 299</t>
  </si>
  <si>
    <t>='Cost Summary'!$D$29</t>
  </si>
  <si>
    <t>Optional Field 300</t>
  </si>
  <si>
    <t>='Cost Summary'!$D$30</t>
  </si>
  <si>
    <t>Optional Field 301</t>
  </si>
  <si>
    <t>='Cost Summary'!$D$31</t>
  </si>
  <si>
    <t>Optional Field 302</t>
  </si>
  <si>
    <t>='Cost Summary'!$D$32</t>
  </si>
  <si>
    <t>Optional Field 303</t>
  </si>
  <si>
    <t>='Cost Summary'!$D$33</t>
  </si>
  <si>
    <t>Optional Field 304</t>
  </si>
  <si>
    <t>='Cost Summary'!$D$34</t>
  </si>
  <si>
    <t>Optional Field 305</t>
  </si>
  <si>
    <t>='Cost Summary'!$D$35</t>
  </si>
  <si>
    <t>Optional Field 306</t>
  </si>
  <si>
    <t>='Cost Summary'!$D$36</t>
  </si>
  <si>
    <t>Optional Field 307</t>
  </si>
  <si>
    <t>='Cost Summary'!$D$37</t>
  </si>
  <si>
    <t>Optional Field 308</t>
  </si>
  <si>
    <t>='Cost Summary'!$D$38</t>
  </si>
  <si>
    <t>Optional Field 309</t>
  </si>
  <si>
    <t>='Cost Summary'!$D$39</t>
  </si>
  <si>
    <t>Optional Field 310</t>
  </si>
  <si>
    <t>='Cost Summary'!$D$40</t>
  </si>
  <si>
    <t>Electric Power Generation</t>
  </si>
  <si>
    <t>='Cost Summary'!$D$41</t>
  </si>
  <si>
    <t>Optional Field 311</t>
  </si>
  <si>
    <t>='Cost Summary'!$D$42</t>
  </si>
  <si>
    <t>Optional Field 312</t>
  </si>
  <si>
    <t>='Cost Summary'!$D$43</t>
  </si>
  <si>
    <t>Optional Field 313</t>
  </si>
  <si>
    <t>='Cost Summary'!$D$44</t>
  </si>
  <si>
    <t>Optional Field 314</t>
  </si>
  <si>
    <t>='Cost Summary'!$D$45</t>
  </si>
  <si>
    <t>Optional Field 315</t>
  </si>
  <si>
    <t>='Cost Summary'!$D$46</t>
  </si>
  <si>
    <t>Optional Field 316</t>
  </si>
  <si>
    <t>='Cost Summary'!$D$47</t>
  </si>
  <si>
    <t>Optional Field 317</t>
  </si>
  <si>
    <t>='Cost Summary'!$D$48</t>
  </si>
  <si>
    <t>Optional Field 318</t>
  </si>
  <si>
    <t>='Cost Summary'!$D$49</t>
  </si>
  <si>
    <t>Optional Field 319</t>
  </si>
  <si>
    <t>='Cost Summary'!$D$50</t>
  </si>
  <si>
    <t>Optional Field 320</t>
  </si>
  <si>
    <t>='Cost Summary'!$D$51</t>
  </si>
  <si>
    <t>Optional Field 321</t>
  </si>
  <si>
    <t>='Cost Summary'!$D$52</t>
  </si>
  <si>
    <t>Optional Field 322</t>
  </si>
  <si>
    <t>='Cost Summary'!$D$53</t>
  </si>
  <si>
    <t>Optional Field 323</t>
  </si>
  <si>
    <t>='Cost Summary'!$D$54</t>
  </si>
  <si>
    <t>Optional Field 324</t>
  </si>
  <si>
    <t>='Cost Summary'!$D$55</t>
  </si>
  <si>
    <t>Optional Field 325</t>
  </si>
  <si>
    <t>='Cost Summary'!$D$56</t>
  </si>
  <si>
    <t>Optional Field 326</t>
  </si>
  <si>
    <t>='Cost Summary'!$D$57</t>
  </si>
  <si>
    <t>Optional Field 327</t>
  </si>
  <si>
    <t>='Cost Summary'!$D$58</t>
  </si>
  <si>
    <t xml:space="preserve">CostSummarySection1OtherDescription1 </t>
  </si>
  <si>
    <t>Opitonal Field 347</t>
  </si>
  <si>
    <t>CostSummarySection1OtherDescription2</t>
  </si>
  <si>
    <t>Opitonal Field 348</t>
  </si>
  <si>
    <t>CostSummarySection2OtherDescription1</t>
  </si>
  <si>
    <t>Opitonal Field 349</t>
  </si>
  <si>
    <t>CostSummarySection2OtherDescription2</t>
  </si>
  <si>
    <t>Opitonal Field 350</t>
  </si>
  <si>
    <t>CostSummarySection2OtherDescription3</t>
  </si>
  <si>
    <t>Opitonal Field 351</t>
  </si>
  <si>
    <t>CostSummarySection3OtherDescription1</t>
  </si>
  <si>
    <t>Opitonal Field 352</t>
  </si>
  <si>
    <t>Copy Residential Loan Financing Data</t>
  </si>
  <si>
    <t>SourceName</t>
  </si>
  <si>
    <t>InterestRate</t>
  </si>
  <si>
    <t>LoanTerm</t>
  </si>
  <si>
    <t>NumAmortYears</t>
  </si>
  <si>
    <t>AnnualDebtSvcCost</t>
  </si>
  <si>
    <t>PL_FinancingTypeId</t>
  </si>
  <si>
    <t>Map  Residential Loan Financing Data</t>
  </si>
  <si>
    <t>Source Name</t>
  </si>
  <si>
    <t>Copy Residential Grant Financing Data</t>
  </si>
  <si>
    <t>Map  Residential Grant Financing Data</t>
  </si>
  <si>
    <t>='Development Financing'!$E$37</t>
  </si>
  <si>
    <t>='Development Financing'!$J$37</t>
  </si>
  <si>
    <t>='Development Financing'!$B$37</t>
  </si>
  <si>
    <t>='Development Financing'!$E$25</t>
  </si>
  <si>
    <t>='Development Financing'!$I$25</t>
  </si>
  <si>
    <t>='Development Financing'!$F$25</t>
  </si>
  <si>
    <t>='Development Financing'!$R$25</t>
  </si>
  <si>
    <t>='Development Financing'!$G$25</t>
  </si>
  <si>
    <t>='Development Financing'!$J$25</t>
  </si>
  <si>
    <t>='Development Financing'!$B$25</t>
  </si>
  <si>
    <t>Fees</t>
  </si>
  <si>
    <t>Seq</t>
  </si>
  <si>
    <t>PL_TCDealFeeTypeId</t>
  </si>
  <si>
    <t>Preliminary Application Fee for Competitive Round</t>
  </si>
  <si>
    <t>4%  Non Competitive and State (if applicable) Application Fee</t>
  </si>
  <si>
    <t>Preliminary Reservation Fee for Competitive Round</t>
  </si>
  <si>
    <t>4%  Non Competitive and State (if applicable) Initial Determination Fee</t>
  </si>
  <si>
    <t>Carryover Application Fee</t>
  </si>
  <si>
    <t>4%  Non Competitive and State (if applicable) Final Application Fee</t>
  </si>
  <si>
    <t>Compliance Monitoring Fee</t>
  </si>
  <si>
    <t>State Milestone Fee</t>
  </si>
  <si>
    <t>='Application Fee'!$I$9</t>
  </si>
  <si>
    <t>='Application Fee'!$B$7</t>
  </si>
  <si>
    <t>PL_TCUnitTypeId</t>
  </si>
  <si>
    <t>='Unit Mix &amp; Rents'!$S$120</t>
  </si>
  <si>
    <t>NumTCUnits</t>
  </si>
  <si>
    <t>='Unit Mix &amp; Rents'!$R$120</t>
  </si>
  <si>
    <t># 0 bed Units</t>
  </si>
  <si>
    <t>SRO</t>
  </si>
  <si>
    <t>='Unit Mix &amp; Rents'!$S$121</t>
  </si>
  <si>
    <t># 1 bed Units</t>
  </si>
  <si>
    <t>1BR</t>
  </si>
  <si>
    <t>='Unit Mix &amp; Rents'!$R$121</t>
  </si>
  <si>
    <t># 2 bed Units</t>
  </si>
  <si>
    <t>2BR</t>
  </si>
  <si>
    <t>='Unit Mix &amp; Rents'!$S$122</t>
  </si>
  <si>
    <t># 3 bed Units</t>
  </si>
  <si>
    <t>3BR</t>
  </si>
  <si>
    <t>='Unit Mix &amp; Rents'!$R$122</t>
  </si>
  <si>
    <t># 4 bed Units</t>
  </si>
  <si>
    <t>4BR</t>
  </si>
  <si>
    <t>='Unit Mix &amp; Rents'!$S$123</t>
  </si>
  <si>
    <t># 5 bed Units</t>
  </si>
  <si>
    <t>5BR</t>
  </si>
  <si>
    <t>='Unit Mix &amp; Rents'!$R$123</t>
  </si>
  <si>
    <t>='Unit Mix &amp; Rents'!$S$124</t>
  </si>
  <si>
    <t>='Unit Mix &amp; Rents'!$R$124</t>
  </si>
  <si>
    <t>Copy Unit Mix &amp; Rent Data</t>
  </si>
  <si>
    <t>PL_IncomeTargetId</t>
  </si>
  <si>
    <t>PL_TCUnitMixTypeId</t>
  </si>
  <si>
    <t>NetRentableSqFt</t>
  </si>
  <si>
    <t>NumUnits</t>
  </si>
  <si>
    <t>MonthlyRentPerUnit</t>
  </si>
  <si>
    <t>Map Unit Mix &amp; Rent Data</t>
  </si>
  <si>
    <t>='Unit Mix &amp; Rents'!$S$30</t>
  </si>
  <si>
    <t>='Unit Mix &amp; Rents'!$O$30</t>
  </si>
  <si>
    <t>='Unit Mix &amp; Rents'!$P$30</t>
  </si>
  <si>
    <t>='Unit Mix &amp; Rents'!$Q$30</t>
  </si>
  <si>
    <t>='Unit Mix &amp; Rents'!$R$30</t>
  </si>
  <si>
    <t>Optional Field 177</t>
  </si>
  <si>
    <t>='Final Building Profile'!$F$53</t>
  </si>
  <si>
    <t>SUM of New Con/Rehab Annual Credit Amount</t>
  </si>
  <si>
    <t>Optional Field 178</t>
  </si>
  <si>
    <t>='Final Building Profile'!$F$54</t>
  </si>
  <si>
    <t>SUM of Acq Total Quaified Basis</t>
  </si>
  <si>
    <t>Optional Field 179</t>
  </si>
  <si>
    <t>='Final Building Profile'!$F$55</t>
  </si>
  <si>
    <t>SUM of Acq Annual Credit Amount</t>
  </si>
  <si>
    <t>Optional Field 180</t>
  </si>
  <si>
    <t>='Final Building Profile'!$F$56</t>
  </si>
  <si>
    <t>SUM of New Con Applicable Fraction</t>
  </si>
  <si>
    <t>Optional Field 465</t>
  </si>
  <si>
    <t>='Final Building Profile'!$F$70</t>
  </si>
  <si>
    <t>was Optional Field 181</t>
  </si>
  <si>
    <t>SUM of Rehab Applicable Fraction</t>
  </si>
  <si>
    <t>Optional Field 466</t>
  </si>
  <si>
    <t>='Final Building Profile'!$F$71</t>
  </si>
  <si>
    <t>was Optional Field 182</t>
  </si>
  <si>
    <t>SUM of Lowest Applicable Fraction</t>
  </si>
  <si>
    <t>Optional Field 467</t>
  </si>
  <si>
    <t>='Final Building Profile'!$F$72</t>
  </si>
  <si>
    <t>was Optional Field 183</t>
  </si>
  <si>
    <t>Copy Final Bldg Data</t>
  </si>
  <si>
    <t>Row Used</t>
  </si>
  <si>
    <t>BIN</t>
  </si>
  <si>
    <t>PVCPISDate</t>
  </si>
  <si>
    <t>PVCApplicablePercentage</t>
  </si>
  <si>
    <t>PVCEstQualBasis</t>
  </si>
  <si>
    <t>PVC8609Basis</t>
  </si>
  <si>
    <t>PVC8609Credit</t>
  </si>
  <si>
    <t>ConstrPISDate</t>
  </si>
  <si>
    <t>ConstrApplicablePercentage</t>
  </si>
  <si>
    <t>ConstrEstQualBasis</t>
  </si>
  <si>
    <t>Constr8609Basis</t>
  </si>
  <si>
    <t>Constr8609Credit</t>
  </si>
  <si>
    <t>AcqPISDate</t>
  </si>
  <si>
    <t>AcqApplicablePercentage</t>
  </si>
  <si>
    <t>AcqEstQualBasis</t>
  </si>
  <si>
    <t>Acq8609Basis</t>
  </si>
  <si>
    <t>Acq8609Credit</t>
  </si>
  <si>
    <t>Map Final Bldg Data</t>
  </si>
  <si>
    <t>='Final Building Profile'!$G$2</t>
  </si>
  <si>
    <t>='Final Building Profile'!$G$3</t>
  </si>
  <si>
    <t>='Final Building Profile'!$G$6</t>
  </si>
  <si>
    <t>='Final Building Profile'!$G$80</t>
  </si>
  <si>
    <t>='Final Building Profile'!$G$81</t>
  </si>
  <si>
    <t>='Final Building Profile'!$G$82</t>
  </si>
  <si>
    <t>='Final Building Profile'!$G$83</t>
  </si>
  <si>
    <t>='Final Building Profile'!$G$84</t>
  </si>
  <si>
    <t>='Final Building Profile'!$G$86</t>
  </si>
  <si>
    <t>='Final Building Profile'!$G$87</t>
  </si>
  <si>
    <t>='Final Building Profile'!$G$88</t>
  </si>
  <si>
    <t>='Final Building Profile'!$G$89</t>
  </si>
  <si>
    <t>='Final Building Profile'!$G$90</t>
  </si>
  <si>
    <t>='Final Building Profile'!$G$92</t>
  </si>
  <si>
    <t>='Final Building Profile'!$G$93</t>
  </si>
  <si>
    <t>='Final Building Profile'!$G$94</t>
  </si>
  <si>
    <t>='Final Building Profile'!$G$95</t>
  </si>
  <si>
    <t>='Final Building Profile'!$G$96</t>
  </si>
  <si>
    <t>UDF NAME</t>
  </si>
  <si>
    <t>Optional Field 364</t>
  </si>
  <si>
    <t>Optional Field 365</t>
  </si>
  <si>
    <t>Optional Field 366</t>
  </si>
  <si>
    <t>Optional Field 367</t>
  </si>
  <si>
    <t>Optional Field 368</t>
  </si>
  <si>
    <t>Optional Field 369</t>
  </si>
  <si>
    <t>Optional Field 370</t>
  </si>
  <si>
    <t>Optional Field 371</t>
  </si>
  <si>
    <t>Optional Field 372</t>
  </si>
  <si>
    <t>Optional Field 373</t>
  </si>
  <si>
    <t>Optional Field 374</t>
  </si>
  <si>
    <t>Optional Field 375</t>
  </si>
  <si>
    <t xml:space="preserve">Appliances </t>
  </si>
  <si>
    <t>Optional Field 376</t>
  </si>
  <si>
    <t>Refrigerator E-star</t>
  </si>
  <si>
    <t>Optional Field 377</t>
  </si>
  <si>
    <t>Stove/Oven</t>
  </si>
  <si>
    <t>Optional Field 378</t>
  </si>
  <si>
    <t>Dishwasher E-star</t>
  </si>
  <si>
    <t>Optional Field 379</t>
  </si>
  <si>
    <t>Garbage Disposal</t>
  </si>
  <si>
    <t>Optional Field 380</t>
  </si>
  <si>
    <t>Optional Field 381</t>
  </si>
  <si>
    <t>Optional Field 382</t>
  </si>
  <si>
    <t>Optional Field 383</t>
  </si>
  <si>
    <t xml:space="preserve">Project Amenities </t>
  </si>
  <si>
    <t>Optional Field 384</t>
  </si>
  <si>
    <t>Optional Field 385</t>
  </si>
  <si>
    <t>Optional Field 386</t>
  </si>
  <si>
    <t>Optional Field 387</t>
  </si>
  <si>
    <t>Optional Field 388</t>
  </si>
  <si>
    <t>Optional Field 389</t>
  </si>
  <si>
    <t>Optional Field 390</t>
  </si>
  <si>
    <t>Optional Field 391</t>
  </si>
  <si>
    <t>Optional Field 392</t>
  </si>
  <si>
    <t>Optional Field 393</t>
  </si>
  <si>
    <t>Optional Field 394</t>
  </si>
  <si>
    <t>Optional Field 395</t>
  </si>
  <si>
    <t>Optional Field 396</t>
  </si>
  <si>
    <t>Optional Field 397</t>
  </si>
  <si>
    <t>Optional Field 398</t>
  </si>
  <si>
    <t>Optional Field 399</t>
  </si>
  <si>
    <t>Optional Field 400</t>
  </si>
  <si>
    <t>Optional Field 401</t>
  </si>
  <si>
    <t>On Site Manager</t>
  </si>
  <si>
    <t xml:space="preserve">SECURITY </t>
  </si>
  <si>
    <t>Optional Field 402</t>
  </si>
  <si>
    <t>Optional Field 403</t>
  </si>
  <si>
    <t>Optional Field 404</t>
  </si>
  <si>
    <t>Optional Field 405</t>
  </si>
  <si>
    <t>Optional Field 406</t>
  </si>
  <si>
    <t xml:space="preserve">Other Project Amernities </t>
  </si>
  <si>
    <t>Optional Field 407</t>
  </si>
  <si>
    <t>Surface Parking (#/per unit)</t>
  </si>
  <si>
    <t>Optional Field 408</t>
  </si>
  <si>
    <t>Carport - # of carports</t>
  </si>
  <si>
    <t>Optional Field 409</t>
  </si>
  <si>
    <t>Underground Parking -# of spaces</t>
  </si>
  <si>
    <t>Optional Field 410</t>
  </si>
  <si>
    <t>Detached Garage - # of garages</t>
  </si>
  <si>
    <t>Optional Field 411</t>
  </si>
  <si>
    <t>Attached Garage - # of garages</t>
  </si>
  <si>
    <t>Optional Field 412</t>
  </si>
  <si>
    <t>Tuck-under / Podium Parking - # of spaces</t>
  </si>
  <si>
    <t>Optional Field 413</t>
  </si>
  <si>
    <t>Optional Field 414</t>
  </si>
  <si>
    <t>Optional Field 415</t>
  </si>
  <si>
    <t>Optional Field 416</t>
  </si>
  <si>
    <t>Optional Field 417</t>
  </si>
  <si>
    <t>Optional Field 418</t>
  </si>
  <si>
    <t>Optional Field 421</t>
  </si>
  <si>
    <t>Optional Field 422</t>
  </si>
  <si>
    <t>Optional Field 423</t>
  </si>
  <si>
    <t>Optional Field 424</t>
  </si>
  <si>
    <t>Number of Type A Units</t>
  </si>
  <si>
    <t>Number of Type B Units</t>
  </si>
  <si>
    <t xml:space="preserve">Assisted Living </t>
  </si>
  <si>
    <t>Optional Field 425</t>
  </si>
  <si>
    <t>Optional Field 426</t>
  </si>
  <si>
    <t xml:space="preserve">Owner Paid </t>
  </si>
  <si>
    <t>Optional Field 427</t>
  </si>
  <si>
    <t>Optional Field 428</t>
  </si>
  <si>
    <t>Optional Field 429</t>
  </si>
  <si>
    <t>Optional Field 430</t>
  </si>
  <si>
    <t>Optional Field 431</t>
  </si>
  <si>
    <t>Optional Field 432</t>
  </si>
  <si>
    <t xml:space="preserve">Tenant Paid </t>
  </si>
  <si>
    <t>Optional Field 433</t>
  </si>
  <si>
    <t>Optional Field 434</t>
  </si>
  <si>
    <t>Optional Field 435</t>
  </si>
  <si>
    <t>Optional Field 436</t>
  </si>
  <si>
    <t>Optional Field 437</t>
  </si>
  <si>
    <t>Optional Field 438</t>
  </si>
  <si>
    <t>Needs mapping</t>
  </si>
  <si>
    <t>Is Initial Application</t>
  </si>
  <si>
    <t>Is Carryover Application</t>
  </si>
  <si>
    <t>Number of Parking Spaces in Eligible Basis</t>
  </si>
  <si>
    <t>Is Final Application</t>
  </si>
  <si>
    <t>Has 4%</t>
  </si>
  <si>
    <t>Has 9%</t>
  </si>
  <si>
    <t>Has Acq/Rehab</t>
  </si>
  <si>
    <t>Has New Construction</t>
  </si>
  <si>
    <t>Has Rehab</t>
  </si>
  <si>
    <t>Has State Tax Credit</t>
  </si>
  <si>
    <t>State Credit Tax Type</t>
  </si>
  <si>
    <t>County Row Index</t>
  </si>
  <si>
    <t>In DDA</t>
  </si>
  <si>
    <t>Find QCT</t>
  </si>
  <si>
    <t>DDA/SADDA/QCT</t>
  </si>
  <si>
    <t>Is Requesting CHFA DDA Boost</t>
  </si>
  <si>
    <t>Has Commercial</t>
  </si>
  <si>
    <t>Total Commercial Financing</t>
  </si>
  <si>
    <t>Total Residential Financing</t>
  </si>
  <si>
    <t>Total Number of Residential Buildings</t>
  </si>
  <si>
    <t>5 Bed*</t>
  </si>
  <si>
    <t>Average Income is the sum of the units multiplied by the AMI for each unit divided by the total units</t>
  </si>
  <si>
    <t>Subtotal</t>
  </si>
  <si>
    <t>Average Income</t>
  </si>
  <si>
    <t>Income Average is less than threshold of 60% ?</t>
  </si>
  <si>
    <t>Employee</t>
  </si>
  <si>
    <t>SUM 70% &amp; 80%</t>
  </si>
  <si>
    <t>Total Low-Income S.F.</t>
  </si>
  <si>
    <t>0 Bed</t>
  </si>
  <si>
    <t>1 Bed</t>
  </si>
  <si>
    <t>2 Bed</t>
  </si>
  <si>
    <t>3 Bed</t>
  </si>
  <si>
    <t>4 Bed</t>
  </si>
  <si>
    <t>5 Bed</t>
  </si>
  <si>
    <t>Total Sq Ft</t>
  </si>
  <si>
    <t xml:space="preserve">NRSF (Net Rentable Square Footage) </t>
  </si>
  <si>
    <t>GSF (Gross Square Footage)</t>
  </si>
  <si>
    <t>use N48 for TC Summary calc %</t>
  </si>
  <si>
    <t>Total Non-Residential Footage</t>
  </si>
  <si>
    <t>Total Rent</t>
  </si>
  <si>
    <t>Monthly Rent Per Sq Ft</t>
  </si>
  <si>
    <t>Special Needs</t>
  </si>
  <si>
    <t>PSH</t>
  </si>
  <si>
    <t>Low Income Applicable Fraction</t>
  </si>
  <si>
    <t>Max Gross Rent *</t>
  </si>
  <si>
    <t>5 BDRM</t>
  </si>
  <si>
    <t>5 BDRM = Annualized average of these 2 values times 30% cost of living</t>
  </si>
  <si>
    <t xml:space="preserve">Utility Allowance * </t>
  </si>
  <si>
    <t>By Bedroom Size</t>
  </si>
  <si>
    <t>Max Adjusted Rent *</t>
  </si>
  <si>
    <t xml:space="preserve">60% AMI  </t>
  </si>
  <si>
    <t>MAX RENT LOOKUP</t>
  </si>
  <si>
    <t>County Lookup</t>
  </si>
  <si>
    <t>&lt;-- array formula</t>
  </si>
  <si>
    <t>row lookup</t>
  </si>
  <si>
    <t>Cell</t>
  </si>
  <si>
    <t>Other Counties</t>
  </si>
  <si>
    <t>Sheet</t>
  </si>
  <si>
    <t>'Rent &amp; Income Limits'!</t>
  </si>
  <si>
    <t>Start Column</t>
  </si>
  <si>
    <t>B</t>
  </si>
  <si>
    <t>% Range</t>
  </si>
  <si>
    <t>N</t>
  </si>
  <si>
    <t>O</t>
  </si>
  <si>
    <t>Sources of Funds</t>
  </si>
  <si>
    <t>Annual Debt</t>
  </si>
  <si>
    <t>Construction Loan Per Month</t>
  </si>
  <si>
    <t>Construction Duration</t>
  </si>
  <si>
    <t>Tax Credit Summary Message</t>
  </si>
  <si>
    <t>Construction Interest Budget</t>
  </si>
  <si>
    <t>Residential Source of Financing</t>
  </si>
  <si>
    <t>Total Commercial Funds</t>
  </si>
  <si>
    <t xml:space="preserve">Uses </t>
  </si>
  <si>
    <t>Difference
if Applicable</t>
  </si>
  <si>
    <t>% of Total Expected Project Basis</t>
  </si>
  <si>
    <t>Difference</t>
  </si>
  <si>
    <t>Total Reasonably/Expected Basis</t>
  </si>
  <si>
    <t>Minimum Allowed Credit Score</t>
  </si>
  <si>
    <t>Selection</t>
  </si>
  <si>
    <t>% Units</t>
  </si>
  <si>
    <t>Use</t>
  </si>
  <si>
    <t>Low Income Targeting</t>
  </si>
  <si>
    <t>Actually 60% plus 70% plus 80%</t>
  </si>
  <si>
    <t>If not Average Income selected, exclude 70% and 80% AMI units from this calculation.</t>
  </si>
  <si>
    <t>Language for Data Issue: 70% and 80% AMI units are not eligible for credit unless average income is selected.</t>
  </si>
  <si>
    <t>Actually 20% plus 30% plus 40%</t>
  </si>
  <si>
    <t>Counties with lowest Area Median Income (AMI)</t>
  </si>
  <si>
    <t>Targeting 30% of AMI</t>
  </si>
  <si>
    <t>Score related to Household Percentage below 51% AMI with Housing Problems
(the points from the C1 table are automatically calculated for cell E73 below)</t>
  </si>
  <si>
    <t>Housing Needs Characteristics 2 City</t>
  </si>
  <si>
    <t>Housing Needs Characteristics 2 County</t>
  </si>
  <si>
    <t>Development Characteristics 6</t>
  </si>
  <si>
    <t>Tenant Population with Special Housing Needs</t>
  </si>
  <si>
    <t>Residential Operating Expenses Minimum Threshold Determination</t>
  </si>
  <si>
    <t>Answer</t>
  </si>
  <si>
    <t>Operating Expense Threshold</t>
  </si>
  <si>
    <t>Is Section 8</t>
  </si>
  <si>
    <t>Other</t>
  </si>
  <si>
    <t>Max of above</t>
  </si>
  <si>
    <t>Development Operating Reserves Threshold Determination</t>
  </si>
  <si>
    <t>Factor</t>
  </si>
  <si>
    <t>Other Information</t>
  </si>
  <si>
    <t>Results</t>
  </si>
  <si>
    <t>Commercial Operating Expenses</t>
  </si>
  <si>
    <t>100% Project-based rental assistance</t>
  </si>
  <si>
    <t>Vacancy Allowance %</t>
  </si>
  <si>
    <t>Commercial Income</t>
  </si>
  <si>
    <t>Annual Retail/Commercial Vacancy Allowance</t>
  </si>
  <si>
    <t xml:space="preserve">Total Gross Income </t>
  </si>
  <si>
    <t>x</t>
  </si>
  <si>
    <t>number of units</t>
  </si>
  <si>
    <t>Total Expenses</t>
  </si>
  <si>
    <t>Total Project Expenses</t>
  </si>
  <si>
    <t>Effective Gross Income Year Factor</t>
  </si>
  <si>
    <t>Total Project Expenses Year Factor</t>
  </si>
  <si>
    <t>Has No Loans</t>
  </si>
  <si>
    <t>First Mortgage</t>
  </si>
  <si>
    <t>Second Mortgage</t>
  </si>
  <si>
    <t>Third Mortgage</t>
  </si>
  <si>
    <t>Net Project Cash Flow</t>
  </si>
  <si>
    <t>Cash Flow Available for Distribution</t>
  </si>
  <si>
    <t>If the PSH Funds shouldn't be included here, enter ZEROS on the performa row 8</t>
  </si>
  <si>
    <t>Cash Flow Available after above obligations</t>
  </si>
  <si>
    <t>DDF Amort</t>
  </si>
  <si>
    <t>Beginning Balance</t>
  </si>
  <si>
    <t>Payments</t>
  </si>
  <si>
    <t>QAP Minimum Debt Coverage Ratio</t>
  </si>
  <si>
    <t>Ending Balance</t>
  </si>
  <si>
    <t>Contractor-Developer Fee Limits</t>
  </si>
  <si>
    <t>Contractor Developer Fee Limits</t>
  </si>
  <si>
    <t>column for max allowed</t>
  </si>
  <si>
    <t>Max Allowed %</t>
  </si>
  <si>
    <t>Contractor Fees - Overhead</t>
  </si>
  <si>
    <t>Contractor Fees - Profit</t>
  </si>
  <si>
    <t>Other Costs</t>
  </si>
  <si>
    <t>Total Costs for Calculating Contractor Fees</t>
  </si>
  <si>
    <t>Max Allowable Contractor Fees</t>
  </si>
  <si>
    <t>Actual % of Contractor Fee</t>
  </si>
  <si>
    <t xml:space="preserve">Aggregate Developer Fee, Overhead, Consultant Fee Limits </t>
  </si>
  <si>
    <t>Max PSH Boost%</t>
  </si>
  <si>
    <t>Less Reduction from Above</t>
  </si>
  <si>
    <t>Less 50% Reduction from Existing Structures</t>
  </si>
  <si>
    <t xml:space="preserve">Less Land </t>
  </si>
  <si>
    <t>Less Developer Fee Category</t>
  </si>
  <si>
    <t>Less Project Reserves Category</t>
  </si>
  <si>
    <t>Total Costs for Calculating Developer Fees</t>
  </si>
  <si>
    <t>ALLOWABLE Developer Fees</t>
  </si>
  <si>
    <t>Developer Fee Test</t>
  </si>
  <si>
    <t>Budgeted Developer Fee</t>
  </si>
  <si>
    <t>Actual Developer Fees</t>
  </si>
  <si>
    <t>PSH Budgeted Developer Fee</t>
  </si>
  <si>
    <t>Actual PSH Developer Fee</t>
  </si>
  <si>
    <t>Max Allowed % Developer Fee</t>
  </si>
  <si>
    <t>Method 1 Total Eligible Basis for Credit Amount (used by both federal and state credit amount)</t>
  </si>
  <si>
    <t>if NOT 9%</t>
  </si>
  <si>
    <t>If 9%</t>
  </si>
  <si>
    <t>Additional basis for 9% With Acq/Rehab</t>
  </si>
  <si>
    <t>If 9% AND Has Acq/Rehab</t>
  </si>
  <si>
    <t>STATE VALUES</t>
  </si>
  <si>
    <t>Basis reduction from Contractor-Developer Fee Limits</t>
  </si>
  <si>
    <t>Historic Credit or Grant Funds reduced from Basis (to be added by CHFA Staff manually)</t>
  </si>
  <si>
    <t>Grant entered in Admin plus half of Historic Grant amount on Application</t>
  </si>
  <si>
    <t>Federal Credit Amount</t>
  </si>
  <si>
    <t>QCT Eligible</t>
  </si>
  <si>
    <t>Method One</t>
  </si>
  <si>
    <t xml:space="preserve">Rehab/New Construction </t>
  </si>
  <si>
    <t>Minus Existing Structures</t>
  </si>
  <si>
    <t>HUD QCT or DDA</t>
  </si>
  <si>
    <t>Adjusted Eligible Basis</t>
  </si>
  <si>
    <t>Qualified Basis</t>
  </si>
  <si>
    <t>Applicable Percentage</t>
  </si>
  <si>
    <t>9% APR on 9% deal / 4% APR on 4% only deal</t>
  </si>
  <si>
    <t>Annual Credit</t>
  </si>
  <si>
    <t xml:space="preserve">Acquisition </t>
  </si>
  <si>
    <t>4% APR</t>
  </si>
  <si>
    <t>Acquisition Credit</t>
  </si>
  <si>
    <t xml:space="preserve">Total Basis Annual Credit </t>
  </si>
  <si>
    <t>Method Two - Gap Calculation</t>
  </si>
  <si>
    <t>combine the state tc equity with total funds for development in cell B469 to lock state credit for Final application calculations</t>
  </si>
  <si>
    <t>Gap</t>
  </si>
  <si>
    <t>Method Three - Cost Basis Calculation</t>
  </si>
  <si>
    <t>Zone</t>
  </si>
  <si>
    <t>Zone Factor</t>
  </si>
  <si>
    <t>Elevator Index</t>
  </si>
  <si>
    <t>Basis Limit</t>
  </si>
  <si>
    <t>Basis Limit/Unit</t>
  </si>
  <si>
    <t>Adjusted Qualified Basis</t>
  </si>
  <si>
    <t>Adjusted Annual Credit</t>
  </si>
  <si>
    <t>Maximum Credit Award as per Section II.F. of the Allocation Plan</t>
  </si>
  <si>
    <t>Eligible for a Total Annual Federal Credit</t>
  </si>
  <si>
    <t>CHFA Designated DDA Annual Credit Amount needed to fill the financing Gap</t>
  </si>
  <si>
    <t>apply max allowed (only if 9%)</t>
  </si>
  <si>
    <t>State Credit Amount</t>
  </si>
  <si>
    <t>Is Allowed</t>
  </si>
  <si>
    <t>State Credit per Unit Basis</t>
  </si>
  <si>
    <t>Maximum Allowed</t>
  </si>
  <si>
    <t>Adjusted Annual Credit (Max Credit Applied)</t>
  </si>
  <si>
    <t>Special State Credit APR Calculation</t>
  </si>
  <si>
    <t xml:space="preserve">Total Qualified Basis Annual Credit </t>
  </si>
  <si>
    <t>Desired Annual Credit</t>
  </si>
  <si>
    <t>Method Two</t>
  </si>
  <si>
    <t>Desired APR</t>
  </si>
  <si>
    <t>Method Three</t>
  </si>
  <si>
    <t>HUD QCT or DDA not eligible for State Credit</t>
  </si>
  <si>
    <t>Eligible for a Total Annual State Credit</t>
  </si>
  <si>
    <t>this number may need to be manually input to set the final state credit amount and allow the federal credit to fill the gap</t>
  </si>
  <si>
    <t>Percent of State Eligible Basis</t>
  </si>
  <si>
    <t>Tax Credit Equity</t>
  </si>
  <si>
    <t>calculations</t>
  </si>
  <si>
    <t>output</t>
  </si>
  <si>
    <t>10 Year Credit Period</t>
  </si>
  <si>
    <t>Tax Credit Summary Development Financing</t>
  </si>
  <si>
    <t>Project's Federal Equity Factor</t>
  </si>
  <si>
    <t>Tax Credit Equity w/ CHFA DDA Boost</t>
  </si>
  <si>
    <t>Total Residential Funds</t>
  </si>
  <si>
    <t>CHFA DDA Calc</t>
  </si>
  <si>
    <t>NOT QCT Eligible</t>
  </si>
  <si>
    <t>Requested?</t>
  </si>
  <si>
    <t>CHFA Boost Eligible</t>
  </si>
  <si>
    <t>9% AND NOT QCT eligible AND Requested</t>
  </si>
  <si>
    <t>MIN from Method 1-3</t>
  </si>
  <si>
    <t>Project's Total Tax Credit Equity</t>
  </si>
  <si>
    <t>Project's Other Sources of Funds</t>
  </si>
  <si>
    <t>Project's Total Sources of Funds</t>
  </si>
  <si>
    <t>Project's Financing Gap (GAP)</t>
  </si>
  <si>
    <t>Total Tax Credit Equity needed to fund the GAP</t>
  </si>
  <si>
    <t>Project's Eligible Basis with the CHFA DDA Basis Boost</t>
  </si>
  <si>
    <t>Project's Total Qualified Basis</t>
  </si>
  <si>
    <t>Calculated Basis Boost % Increase needed to fund the GAP</t>
  </si>
  <si>
    <t>CHFA DDA Maximum 30% Basis Boost calculated</t>
  </si>
  <si>
    <t>Max CHFA Boost to Annual Credit</t>
  </si>
  <si>
    <t>Calculated CHFA DDA Boost Amount</t>
  </si>
  <si>
    <t>CHFA DDA Boost Override Amount</t>
  </si>
  <si>
    <t>New CHFA DDA Boost Amount</t>
  </si>
  <si>
    <t>CHFA Boost Amount</t>
  </si>
  <si>
    <t>CHFA BOOST ELIGIBLE</t>
  </si>
  <si>
    <t>If over 100% then eligible</t>
  </si>
  <si>
    <t>Budget</t>
  </si>
  <si>
    <t>Budget Category</t>
  </si>
  <si>
    <t>Category</t>
  </si>
  <si>
    <t>Apply Boost %</t>
  </si>
  <si>
    <t>Total Low Income Square Footage</t>
  </si>
  <si>
    <t>Total Low Income Units</t>
  </si>
  <si>
    <t>IF NOT ACQ REHAB DON’T DO CALCS</t>
  </si>
  <si>
    <t>Final Bldg Profile Totals</t>
  </si>
  <si>
    <t>Building #</t>
  </si>
  <si>
    <t>Low-Income Unit Applicable Fraction</t>
  </si>
  <si>
    <t>Square Footage Applicable Fraction</t>
  </si>
  <si>
    <t xml:space="preserve">Lowest Applicable for Calculating Credit </t>
  </si>
  <si>
    <t>Boosted New Con Eligible Basis</t>
  </si>
  <si>
    <t>Rehab Eligible Basis</t>
  </si>
  <si>
    <t>Boosted Rehab Eligible Basis</t>
  </si>
  <si>
    <t>New Con/Rehab Total Eligible Basis</t>
  </si>
  <si>
    <t>New Con/Rehab Total Qualified Basis</t>
  </si>
  <si>
    <t>New Con/Rehab APR</t>
  </si>
  <si>
    <t>New Con/Rehab Annual Credit Amount</t>
  </si>
  <si>
    <t>Total Acquisition Eligible Basis</t>
  </si>
  <si>
    <t>Acq Total Qualified Basis</t>
  </si>
  <si>
    <t>Acq APR</t>
  </si>
  <si>
    <t>Acq Annual Credit Amount</t>
  </si>
  <si>
    <t>New Con/Rehab Applicable Percentage</t>
  </si>
  <si>
    <t>Acq Applicable Percentage</t>
  </si>
  <si>
    <t>Applicable Fraction Sq Footage</t>
  </si>
  <si>
    <t>Applicable Fraction LI Units</t>
  </si>
  <si>
    <t>Lowest Applicable Fraction</t>
  </si>
  <si>
    <t>New Con/Rehab 8609 Basis</t>
  </si>
  <si>
    <t>New Con/Rehab 8609 Credit</t>
  </si>
  <si>
    <t>Acq 8609 Basis</t>
  </si>
  <si>
    <t>Acq 8609 Credit</t>
  </si>
  <si>
    <t>Compare to Property-based data</t>
  </si>
  <si>
    <t>Tax Credit Summary Errors</t>
  </si>
  <si>
    <t>Total New Construction/Rehab Eligible Basis</t>
  </si>
  <si>
    <t>C752</t>
  </si>
  <si>
    <t>F752</t>
  </si>
  <si>
    <t xml:space="preserve">SUM of New Con/Rehab and Acq Annual Credit Amount </t>
  </si>
  <si>
    <t>Total New Construction/Rehab Qualified Basis</t>
  </si>
  <si>
    <t>Total New Construction/Rehab Annual Credit Amount</t>
  </si>
  <si>
    <t>Total Acquisition Qualified Basis</t>
  </si>
  <si>
    <t>Total Acquisition Annual Credit</t>
  </si>
  <si>
    <t>Min Annual Credit</t>
  </si>
  <si>
    <t>Total Adjusted New Construction/Rehab Annual Credit</t>
  </si>
  <si>
    <t>Total Adjusted Acquisition Qualified Basis</t>
  </si>
  <si>
    <t>Total Adjusted Acquisition Annual Credit</t>
  </si>
  <si>
    <t>Eligible Basis for Acquisition</t>
  </si>
  <si>
    <t>Low Income and Employee Units</t>
  </si>
  <si>
    <t>9% Competitive Application Fees:</t>
  </si>
  <si>
    <t>Application fee</t>
  </si>
  <si>
    <t>4% of Preliminary Reservation Amount for Federal and State (if applicable)</t>
  </si>
  <si>
    <t>Comment</t>
  </si>
  <si>
    <t>3% of Carryover Amount for Federal and State (if applicable)</t>
  </si>
  <si>
    <t>Fee 1</t>
  </si>
  <si>
    <t>Fee 2</t>
  </si>
  <si>
    <t>Fee 3</t>
  </si>
  <si>
    <t>Fee 4</t>
  </si>
  <si>
    <t>4% Non-Competitive Application Fees:</t>
  </si>
  <si>
    <t>Compliance</t>
  </si>
  <si>
    <t>4%  Non Competitive Application Fee</t>
  </si>
  <si>
    <t>Total Fees</t>
  </si>
  <si>
    <t>4% Application Fee</t>
  </si>
  <si>
    <t>State Application Fee</t>
  </si>
  <si>
    <t>For Federal &amp; State Annual Credit (if applicable)</t>
  </si>
  <si>
    <t>4%  Non Competitive Initial Determination Fee</t>
  </si>
  <si>
    <t>For Federal and State (if applicable)</t>
  </si>
  <si>
    <t>4%  Non Competitive Final Application Fee</t>
  </si>
  <si>
    <t>(Not applicable to developments that received a Carryover Allocation and paid a Carryover Application Fee)</t>
  </si>
  <si>
    <t>Compliance Monitoring Fee (applies to all LIHTC deals)</t>
  </si>
  <si>
    <t>Compliance Monitoring Fee is automatically calculated.  The Fee for projects receiving a reservation from 2016 on is $500 per low income &amp; employee unit. This Fee is due with the Placed-In-Service (PIS) or with the Final Application whichever occurs first.</t>
  </si>
  <si>
    <t>Podium</t>
  </si>
  <si>
    <t>Underground Parking</t>
  </si>
  <si>
    <t>GC's/ Month</t>
  </si>
  <si>
    <t>Other Development Financing</t>
  </si>
  <si>
    <t>Is CHFA Issued Bonds</t>
  </si>
  <si>
    <t>bond</t>
  </si>
  <si>
    <t>Aggregate Basis for PAB-Financed Devs Only</t>
  </si>
  <si>
    <t>Total Bedrooms</t>
  </si>
  <si>
    <t>Total Square Feet</t>
  </si>
  <si>
    <t>Total Hard Costs</t>
  </si>
  <si>
    <t>Total Reserves</t>
  </si>
  <si>
    <t>Unit Mix and Rents Table</t>
  </si>
  <si>
    <t>Annual
Revenue</t>
  </si>
  <si>
    <t>Minimum Application Date</t>
  </si>
  <si>
    <t>Maximum Application Date</t>
  </si>
  <si>
    <t>Minimum Reserve Requirement</t>
  </si>
  <si>
    <t>Minimum Replacement Reserve Requirement</t>
  </si>
  <si>
    <t>Minimum PUPA Requirement</t>
  </si>
  <si>
    <t>Minimum DCR Requirement</t>
  </si>
  <si>
    <t>Minimum 9% Score</t>
  </si>
  <si>
    <t>9% Maximum Credit Amount</t>
  </si>
  <si>
    <t>State Maximum Credit Amount</t>
  </si>
  <si>
    <t>Perform Method 1 State Calculation</t>
  </si>
  <si>
    <t>Perform Method 2 State Calculation</t>
  </si>
  <si>
    <t>Perform Method 3 State Calculation</t>
  </si>
  <si>
    <t>Use this to set the final credit amount for method one - this will adjust the APR so that it proved this credit amount</t>
  </si>
  <si>
    <t>FEDERAL Method 2 Total Funds Override</t>
  </si>
  <si>
    <t>STATE Method 2 Total Funds Override</t>
  </si>
  <si>
    <t>FEDERAL Method 3 Adjusted Eligible Basis Override</t>
  </si>
  <si>
    <t>STATE Method 3 Adjusted Eligible Basis Override</t>
  </si>
  <si>
    <t>Dev Fee Existing Structures Override</t>
  </si>
  <si>
    <t>enter yes if override is being granted</t>
  </si>
  <si>
    <t>TOC Credit per Unit Basis</t>
  </si>
  <si>
    <t xml:space="preserve">Scoring </t>
  </si>
  <si>
    <t>Tenant Population</t>
  </si>
  <si>
    <t>Standard Vacancy Allowance</t>
  </si>
  <si>
    <t>Project-Based Section 8 Vacancy Allowance</t>
  </si>
  <si>
    <t>Commercial Vacancy Allowance</t>
  </si>
  <si>
    <t>Residential Operating Expenses Threshold - Assisted Living</t>
  </si>
  <si>
    <t>Residential Operating Expenses Threshold - Section 8</t>
  </si>
  <si>
    <t>Residential Operating Expenses Threshold - Others</t>
  </si>
  <si>
    <t>Replacement Reserves Threshold - Other</t>
  </si>
  <si>
    <t>Development Operating Reserves Threshold Factor</t>
  </si>
  <si>
    <t>Aggregate Developer Fee PSH Services</t>
  </si>
  <si>
    <t>Contractor/Developer Fee Limits</t>
  </si>
  <si>
    <t>unit min</t>
  </si>
  <si>
    <t>unit max</t>
  </si>
  <si>
    <t>Max Allowed % 1</t>
  </si>
  <si>
    <t>Max Allowed % 2</t>
  </si>
  <si>
    <t>Max Allowed % 3</t>
  </si>
  <si>
    <t>Aggregate</t>
  </si>
  <si>
    <t>%</t>
  </si>
  <si>
    <t>Aggregate Max Allowed 1</t>
  </si>
  <si>
    <t>Aggregate Max Allowed 2</t>
  </si>
  <si>
    <t>Federal Historic Grant Funds override</t>
  </si>
  <si>
    <t>100% of the Federal Historic Grant should be removed from basis</t>
  </si>
  <si>
    <t>State Historic Grant Funds override</t>
  </si>
  <si>
    <t>100% of the State Historic Grant should be removed from basis for the State Credit Calculation only</t>
  </si>
  <si>
    <t>QCT/DDA Boost</t>
  </si>
  <si>
    <t>CHFA Boost</t>
  </si>
  <si>
    <t>Bedrooms</t>
  </si>
  <si>
    <t>Elevator Base</t>
  </si>
  <si>
    <t>Non-Elevator Base</t>
  </si>
  <si>
    <t>Zone Factors</t>
  </si>
  <si>
    <t>9% Application fee</t>
  </si>
  <si>
    <t>9% Prelim Res Fee Federal %</t>
  </si>
  <si>
    <t>9% Prelim Res Fee State %</t>
  </si>
  <si>
    <t>9% Carryover App Fee Federal %</t>
  </si>
  <si>
    <t>9% Carryover App State %</t>
  </si>
  <si>
    <t>4% Application fee</t>
  </si>
  <si>
    <t>State Application fee</t>
  </si>
  <si>
    <t>4% Init Determination Federal %</t>
  </si>
  <si>
    <t>4% Init Determination State %</t>
  </si>
  <si>
    <t>4% Init Determination State Min</t>
  </si>
  <si>
    <t>4% Final App Fee Federal %</t>
  </si>
  <si>
    <t>4% Final App Fee State %</t>
  </si>
  <si>
    <t>4% Final App Fee Min</t>
  </si>
  <si>
    <t>Compliance Monitoring Fee Amt/Unit &lt; 2016</t>
  </si>
  <si>
    <t>Compliance Monitoring Fee Amt/Unit &gt;= 2016</t>
  </si>
  <si>
    <t>Low income Score</t>
  </si>
  <si>
    <t>Score related to Household Percentage below 51%</t>
  </si>
  <si>
    <t>IS DDA</t>
  </si>
  <si>
    <t>QCT Census Tract Lookup List</t>
  </si>
  <si>
    <t>Denver</t>
  </si>
  <si>
    <t>Pueblo</t>
  </si>
  <si>
    <t>SADDA Zip</t>
  </si>
  <si>
    <t>Score</t>
  </si>
  <si>
    <t>Aguilar</t>
  </si>
  <si>
    <t>Akron</t>
  </si>
  <si>
    <t>Allenspark</t>
  </si>
  <si>
    <t>Almont</t>
  </si>
  <si>
    <t xml:space="preserve">Anton </t>
  </si>
  <si>
    <t>Antonito</t>
  </si>
  <si>
    <t>Arboles</t>
  </si>
  <si>
    <t>Arriba</t>
  </si>
  <si>
    <t>Arvada</t>
  </si>
  <si>
    <t>Aspen</t>
  </si>
  <si>
    <t>Ault</t>
  </si>
  <si>
    <t>Aurora</t>
  </si>
  <si>
    <t xml:space="preserve">Avon </t>
  </si>
  <si>
    <t>Avondale</t>
  </si>
  <si>
    <t xml:space="preserve">Bailey </t>
  </si>
  <si>
    <t xml:space="preserve">Basalt </t>
  </si>
  <si>
    <t xml:space="preserve">Bayfield </t>
  </si>
  <si>
    <t>Bellvue</t>
  </si>
  <si>
    <t>Bennett</t>
  </si>
  <si>
    <t>Beulah</t>
  </si>
  <si>
    <t>Black Forest</t>
  </si>
  <si>
    <t>Berthoud</t>
  </si>
  <si>
    <t>Black Hawk</t>
  </si>
  <si>
    <t>Blanca</t>
  </si>
  <si>
    <t>Blende</t>
  </si>
  <si>
    <t>Boone</t>
  </si>
  <si>
    <t>Bow Mar</t>
  </si>
  <si>
    <t>Breckenridge</t>
  </si>
  <si>
    <t>Briggsdale</t>
  </si>
  <si>
    <t>Brighton</t>
  </si>
  <si>
    <t>Bristol</t>
  </si>
  <si>
    <t>Brush</t>
  </si>
  <si>
    <t>Buena Vista</t>
  </si>
  <si>
    <t>Burlington</t>
  </si>
  <si>
    <t>Byers</t>
  </si>
  <si>
    <t>Calhan</t>
  </si>
  <si>
    <t>Campo</t>
  </si>
  <si>
    <t>Campion</t>
  </si>
  <si>
    <t>Canon City</t>
  </si>
  <si>
    <t>Carbondale</t>
  </si>
  <si>
    <t>Cascade</t>
  </si>
  <si>
    <t>Castle Rock</t>
  </si>
  <si>
    <t>Cedaredge</t>
  </si>
  <si>
    <t>Centennial</t>
  </si>
  <si>
    <t>Central City</t>
  </si>
  <si>
    <t>Chama</t>
  </si>
  <si>
    <t>Cheraw</t>
  </si>
  <si>
    <t>Cherry Hills Village</t>
  </si>
  <si>
    <t>Cheyenne Wells</t>
  </si>
  <si>
    <t>Cimarron</t>
  </si>
  <si>
    <t>Clark</t>
  </si>
  <si>
    <t>Clifton</t>
  </si>
  <si>
    <t>Coaldale</t>
  </si>
  <si>
    <t>Collbran</t>
  </si>
  <si>
    <t>Colorado City</t>
  </si>
  <si>
    <t>Colorado Springs</t>
  </si>
  <si>
    <t>Columbine Valley</t>
  </si>
  <si>
    <t>Commerce City</t>
  </si>
  <si>
    <t>Conifer</t>
  </si>
  <si>
    <t>Copper Mountain</t>
  </si>
  <si>
    <t>Cortez</t>
  </si>
  <si>
    <t>Cowdrey</t>
  </si>
  <si>
    <t>Craig</t>
  </si>
  <si>
    <t>Crawford</t>
  </si>
  <si>
    <t>Creede</t>
  </si>
  <si>
    <t>Crested Butte</t>
  </si>
  <si>
    <t>Cripple Creek</t>
  </si>
  <si>
    <t>Cuchara</t>
  </si>
  <si>
    <t>Dacono</t>
  </si>
  <si>
    <t>De Beque</t>
  </si>
  <si>
    <t>Deer Trail</t>
  </si>
  <si>
    <t>Del Norte</t>
  </si>
  <si>
    <t>Dillon</t>
  </si>
  <si>
    <t>Dinosaur</t>
  </si>
  <si>
    <t>Divide</t>
  </si>
  <si>
    <t>Dove Creek</t>
  </si>
  <si>
    <t>Dupont</t>
  </si>
  <si>
    <t>Durango</t>
  </si>
  <si>
    <t>Eads</t>
  </si>
  <si>
    <t>Eastlake</t>
  </si>
  <si>
    <t>Eaton</t>
  </si>
  <si>
    <t>Eckley</t>
  </si>
  <si>
    <t>Edgewater</t>
  </si>
  <si>
    <t>Edwards</t>
  </si>
  <si>
    <t>El Jebel</t>
  </si>
  <si>
    <t>Eldorado Springs</t>
  </si>
  <si>
    <t>Elizabeth</t>
  </si>
  <si>
    <t>Ellicot</t>
  </si>
  <si>
    <t>Empire</t>
  </si>
  <si>
    <t>Englewood</t>
  </si>
  <si>
    <t>Erie</t>
  </si>
  <si>
    <t>Estes Park</t>
  </si>
  <si>
    <t>Evans</t>
  </si>
  <si>
    <t>Evergreen</t>
  </si>
  <si>
    <t>Fairplay</t>
  </si>
  <si>
    <t>Federal Heights</t>
  </si>
  <si>
    <t>Firestone</t>
  </si>
  <si>
    <t>Flagler</t>
  </si>
  <si>
    <t>Fleming</t>
  </si>
  <si>
    <t>Florence</t>
  </si>
  <si>
    <t>Florissant</t>
  </si>
  <si>
    <t>Fort Collins</t>
  </si>
  <si>
    <t>Fort Garland</t>
  </si>
  <si>
    <t>Fort Lupton</t>
  </si>
  <si>
    <t>Fort Morgan</t>
  </si>
  <si>
    <t>Fountain</t>
  </si>
  <si>
    <t>Fowler</t>
  </si>
  <si>
    <t>Fraser</t>
  </si>
  <si>
    <t>Frederick</t>
  </si>
  <si>
    <t>Frisco</t>
  </si>
  <si>
    <t>Fruita</t>
  </si>
  <si>
    <t>Fruitvale</t>
  </si>
  <si>
    <t>Garden City</t>
  </si>
  <si>
    <t>Gateway</t>
  </si>
  <si>
    <t>Genoa</t>
  </si>
  <si>
    <t>Georgetown</t>
  </si>
  <si>
    <t>Gilcrest</t>
  </si>
  <si>
    <t>Glendale</t>
  </si>
  <si>
    <t xml:space="preserve">Glenwood Springs </t>
  </si>
  <si>
    <t>Golden</t>
  </si>
  <si>
    <t>Granada</t>
  </si>
  <si>
    <t>Granby</t>
  </si>
  <si>
    <t>Grand Junction</t>
  </si>
  <si>
    <t>Grand Lake</t>
  </si>
  <si>
    <t>Granite</t>
  </si>
  <si>
    <t>Greeley</t>
  </si>
  <si>
    <t>Green Mountain Falls</t>
  </si>
  <si>
    <t xml:space="preserve">Greenwood Village </t>
  </si>
  <si>
    <t>Gypsum</t>
  </si>
  <si>
    <t>Haxtun</t>
  </si>
  <si>
    <t>Hayden</t>
  </si>
  <si>
    <t>Henderson</t>
  </si>
  <si>
    <t>Hesperus</t>
  </si>
  <si>
    <t>Highlands Ranch</t>
  </si>
  <si>
    <t>Hoehne</t>
  </si>
  <si>
    <t>Holly</t>
  </si>
  <si>
    <t>Holyoke</t>
  </si>
  <si>
    <t xml:space="preserve">Hot Sulphur Springs </t>
  </si>
  <si>
    <t>Hotchkiss</t>
  </si>
  <si>
    <t>Howard</t>
  </si>
  <si>
    <t>Hudson</t>
  </si>
  <si>
    <t>Hugo</t>
  </si>
  <si>
    <t>Hygiene</t>
  </si>
  <si>
    <t>Idaho Springs</t>
  </si>
  <si>
    <t>Idalia</t>
  </si>
  <si>
    <t>Ignacio</t>
  </si>
  <si>
    <t xml:space="preserve">Indian Hills </t>
  </si>
  <si>
    <t>Irondale</t>
  </si>
  <si>
    <t>Jamestown</t>
  </si>
  <si>
    <t>Jansen</t>
  </si>
  <si>
    <t>Johnson Village</t>
  </si>
  <si>
    <t>Joes</t>
  </si>
  <si>
    <t>Johnstown</t>
  </si>
  <si>
    <t xml:space="preserve">Julesburg </t>
  </si>
  <si>
    <t>Keenesburg</t>
  </si>
  <si>
    <t>Kersey</t>
  </si>
  <si>
    <t>Keystone</t>
  </si>
  <si>
    <t>Kremmling</t>
  </si>
  <si>
    <t>La Jara</t>
  </si>
  <si>
    <t>La Junta</t>
  </si>
  <si>
    <t>La Salle</t>
  </si>
  <si>
    <t>La Veta</t>
  </si>
  <si>
    <t>Lafayette</t>
  </si>
  <si>
    <t>Lake City</t>
  </si>
  <si>
    <t>Lake George</t>
  </si>
  <si>
    <t>Lakewood</t>
  </si>
  <si>
    <t>Lamar</t>
  </si>
  <si>
    <t>Laporte</t>
  </si>
  <si>
    <t>Larkspur</t>
  </si>
  <si>
    <t>Lawson</t>
  </si>
  <si>
    <t>Leadville</t>
  </si>
  <si>
    <t>Limon</t>
  </si>
  <si>
    <t>Lincoln Park</t>
  </si>
  <si>
    <t>Lindon</t>
  </si>
  <si>
    <t>Littleton</t>
  </si>
  <si>
    <t>Lochbuie</t>
  </si>
  <si>
    <t>Log Lane Village</t>
  </si>
  <si>
    <t>Loma</t>
  </si>
  <si>
    <t>Lombard Village</t>
  </si>
  <si>
    <t>Lone Tree</t>
  </si>
  <si>
    <t>Longmont</t>
  </si>
  <si>
    <t>Louisville</t>
  </si>
  <si>
    <t>Loveland</t>
  </si>
  <si>
    <t>Louviers</t>
  </si>
  <si>
    <t>Lucerne</t>
  </si>
  <si>
    <t>Lyons</t>
  </si>
  <si>
    <t>Mack</t>
  </si>
  <si>
    <t>Manassa</t>
  </si>
  <si>
    <t>Mancos</t>
  </si>
  <si>
    <t>Manitou Springs</t>
  </si>
  <si>
    <t>Manzanola</t>
  </si>
  <si>
    <t>Masonville</t>
  </si>
  <si>
    <t>McCoy</t>
  </si>
  <si>
    <t>Meeker</t>
  </si>
  <si>
    <t>Meeker Park</t>
  </si>
  <si>
    <t>Meredith</t>
  </si>
  <si>
    <t>Merino</t>
  </si>
  <si>
    <t>Milliken</t>
  </si>
  <si>
    <t>Minturn</t>
  </si>
  <si>
    <t>Monarch</t>
  </si>
  <si>
    <t>Monte Vista</t>
  </si>
  <si>
    <t>Monument</t>
  </si>
  <si>
    <t>Morrison</t>
  </si>
  <si>
    <t>Mountain View</t>
  </si>
  <si>
    <t>Mosca</t>
  </si>
  <si>
    <t>Nathrop</t>
  </si>
  <si>
    <t>Naturita</t>
  </si>
  <si>
    <t>Nederland</t>
  </si>
  <si>
    <t>New Castle</t>
  </si>
  <si>
    <t>Niwot</t>
  </si>
  <si>
    <t>Northglenn</t>
  </si>
  <si>
    <t>Norwood</t>
  </si>
  <si>
    <t>Nucla</t>
  </si>
  <si>
    <t>Nunn</t>
  </si>
  <si>
    <t>Oak Creek</t>
  </si>
  <si>
    <t>Olathe</t>
  </si>
  <si>
    <t>Olney Springs</t>
  </si>
  <si>
    <t>Orchard City</t>
  </si>
  <si>
    <t>Orchard Mesa</t>
  </si>
  <si>
    <t>Otis</t>
  </si>
  <si>
    <t>Ordway</t>
  </si>
  <si>
    <t>Ovid</t>
  </si>
  <si>
    <t>Pagosa Springs</t>
  </si>
  <si>
    <t>Palisade</t>
  </si>
  <si>
    <t>Palmer Lake</t>
  </si>
  <si>
    <t>Paonia</t>
  </si>
  <si>
    <t>Parachute</t>
  </si>
  <si>
    <t>Parker</t>
  </si>
  <si>
    <t>Parshall</t>
  </si>
  <si>
    <t>Penrose</t>
  </si>
  <si>
    <t>Phippsburg</t>
  </si>
  <si>
    <t>Pierce</t>
  </si>
  <si>
    <t>Pine</t>
  </si>
  <si>
    <t>Placerville</t>
  </si>
  <si>
    <t>Platteville</t>
  </si>
  <si>
    <t>Poncha Springs</t>
  </si>
  <si>
    <t>Powderhorn</t>
  </si>
  <si>
    <t>Pueblo West</t>
  </si>
  <si>
    <t>Punkin Center</t>
  </si>
  <si>
    <t>Rangely</t>
  </si>
  <si>
    <t>Redcliff</t>
  </si>
  <si>
    <t xml:space="preserve">Red Feather Lakes </t>
  </si>
  <si>
    <t>Redstone</t>
  </si>
  <si>
    <t>Rico</t>
  </si>
  <si>
    <t>Ridgway</t>
  </si>
  <si>
    <t>Rifle</t>
  </si>
  <si>
    <t>Rockvale</t>
  </si>
  <si>
    <t>Rocky Ford</t>
  </si>
  <si>
    <t>Rollinsville</t>
  </si>
  <si>
    <t>Romeo</t>
  </si>
  <si>
    <t>Roxborough Park</t>
  </si>
  <si>
    <t>Rye</t>
  </si>
  <si>
    <t>Salida</t>
  </si>
  <si>
    <t>San Acacio</t>
  </si>
  <si>
    <t>San Luis</t>
  </si>
  <si>
    <t>Sanford</t>
  </si>
  <si>
    <t>Sedalia</t>
  </si>
  <si>
    <t>Sheridan</t>
  </si>
  <si>
    <t>Sherrelwood</t>
  </si>
  <si>
    <t>Silt</t>
  </si>
  <si>
    <t>Silver Cliff</t>
  </si>
  <si>
    <t>Silverthorne</t>
  </si>
  <si>
    <t>Silverton</t>
  </si>
  <si>
    <t>Simla</t>
  </si>
  <si>
    <t>Snowmass Village</t>
  </si>
  <si>
    <t>South Fork</t>
  </si>
  <si>
    <t>Springfield</t>
  </si>
  <si>
    <t>Steamboat Springs</t>
  </si>
  <si>
    <t>Sterling</t>
  </si>
  <si>
    <t>Stoneham</t>
  </si>
  <si>
    <t>Strasburg</t>
  </si>
  <si>
    <t>Stratmoor Hills</t>
  </si>
  <si>
    <t>Stratton</t>
  </si>
  <si>
    <t>Sugar City</t>
  </si>
  <si>
    <t>Superior</t>
  </si>
  <si>
    <t>Telluride</t>
  </si>
  <si>
    <t>Thornton</t>
  </si>
  <si>
    <t>Timnath</t>
  </si>
  <si>
    <t>Towaoc</t>
  </si>
  <si>
    <t>Trinidad</t>
  </si>
  <si>
    <t>Twin Lakes</t>
  </si>
  <si>
    <t>Uravan</t>
  </si>
  <si>
    <t>Vail</t>
  </si>
  <si>
    <t>Victor</t>
  </si>
  <si>
    <t>Walden</t>
  </si>
  <si>
    <t>Walsenburg</t>
  </si>
  <si>
    <t>Walsh</t>
  </si>
  <si>
    <t>Ward</t>
  </si>
  <si>
    <t>Watkins</t>
  </si>
  <si>
    <t>Wattenberg</t>
  </si>
  <si>
    <t>Wellington</t>
  </si>
  <si>
    <t>Westcliffe</t>
  </si>
  <si>
    <t>Western Hills</t>
  </si>
  <si>
    <t>Westminster</t>
  </si>
  <si>
    <t>Weston</t>
  </si>
  <si>
    <t>Wheat Ridge</t>
  </si>
  <si>
    <t>Whitewater</t>
  </si>
  <si>
    <t>Widefield</t>
  </si>
  <si>
    <t>Wiggins</t>
  </si>
  <si>
    <t>Wiley</t>
  </si>
  <si>
    <t>Windsor</t>
  </si>
  <si>
    <t>Winter Park</t>
  </si>
  <si>
    <t>Wolcott</t>
  </si>
  <si>
    <t>Woodland Park</t>
  </si>
  <si>
    <t>Woody Creek</t>
  </si>
  <si>
    <t>Wray</t>
  </si>
  <si>
    <t>Yampa</t>
  </si>
  <si>
    <t>[Other - describe]</t>
  </si>
  <si>
    <t>(Other costs /mark-up)  describe in next line items</t>
  </si>
  <si>
    <t>Bonds and Insurance</t>
  </si>
  <si>
    <t>Contingency OH&amp;P</t>
  </si>
  <si>
    <t>Sales, Use Tax, etc.</t>
  </si>
  <si>
    <t>CHANGE LOG: Changes since last release (TAG 0.0)</t>
  </si>
  <si>
    <t>12/01/2017 - TAG 0.1:  Tax Credit Detail: Corrected row 11 (formatting of Parking Ratio to number with 2 decimal points)</t>
  </si>
  <si>
    <t>12/01/2017 - TAG 0.1:  Tax Credit Detail: Corrected row 35 (corrected spelling error of "…Households with…")</t>
  </si>
  <si>
    <t>12/01/2017 - TAG 0.1:  Tax Credit Detail: Corrected row 35 (needs re-work: should look at county points if city is blank)</t>
  </si>
  <si>
    <t xml:space="preserve">12/01/2017 - TAG 0.1:  Tax Credit Summary: Added line 56 (Other Owner Equity) </t>
  </si>
  <si>
    <t>12/01/2017 - TAG 0.1:  Tax Credit Summary: Corrected row 95 (comment: re-pointed to minimum development operating reserves)</t>
  </si>
  <si>
    <t>12/01/2017 - TAG 0.1:  Tax Credit Summary: Corrected rows 112 &amp; 126 (re-formatting of Fees as percentage from 3 decimal points to 2)</t>
  </si>
  <si>
    <t>12/04/2017 - TAG 0.1: Updated to TAG 0.2</t>
  </si>
  <si>
    <t>12/04/2017 - TAG 0.2: Corrected calculation for Score related to the number of All Households with Housing Problems Calculations:B263 - added 2 additional lines to simplify</t>
  </si>
  <si>
    <t>12/07/2017 - TAG 0.2: Updated to TAG 0.3</t>
  </si>
  <si>
    <t>12/07/2017 - TAG 0.3: Disabled portions of Dev Budget 10% Test column, rule changes</t>
  </si>
  <si>
    <t>12/07/2017 - TAG 0.3: State and Federal Historic Credit Amount</t>
  </si>
  <si>
    <t>12/08/2017 - TAG 0.3: Fixed a circular reference error regarding the minimum amount</t>
  </si>
  <si>
    <t>12/08/2017 - TAG 0.3: Application: Line 8 (Requesting CHFA boost) worked into Calculations throughout application</t>
  </si>
  <si>
    <t>12/08/2017 - TAG 0.3: Application: Line 76 (State Funds) will split out the different types of state funds onto separate lines</t>
  </si>
  <si>
    <t xml:space="preserve">12/08/2017 - TAG 0.3: Tax Credit Detail: Corrected G22 (30% AMI units) by re-pointing to correct total of 30% AMI units. </t>
  </si>
  <si>
    <t>12/08/2017 - TAG 0.3: Tax Credit Detail: Corrected F95 (Annual Credit Amount) now includes CHFA boost</t>
  </si>
  <si>
    <t>12/08/2017 - TAG 0.3: Tax Credit Summary: Added D21 (Annual Credit Amount) section for better clarification</t>
  </si>
  <si>
    <t>12/08/2017 - TAG 0.3: Tax Credit Summary: Corrected D69 (Construction Interest) basing on full budgeted amount</t>
  </si>
  <si>
    <t>12/11/2017 - TAB 0.4: Moved Validation</t>
  </si>
  <si>
    <t>12/11/2017 - TAB 0.4: Added Scores to Scoring Sheet</t>
  </si>
  <si>
    <t>12/11/2017 - TAB 0.4: Added Prolink formulas</t>
  </si>
  <si>
    <t>12/11/2017 - TAB 0.4:  Prolink mapping</t>
  </si>
  <si>
    <t>12/12/2017 - WEBINAR 0.1 New name</t>
  </si>
  <si>
    <t>12/12/2017 - WEBINAR 0.1: Data validation on house and senate districts</t>
  </si>
  <si>
    <t>12/14/2017 - WEBINAR 0.1: Data validation corrections (contacts and remove Is Formula)</t>
  </si>
  <si>
    <t>12/14/2017 - WEBINAR 0.1: Calculation based on ZIP code causing #NAME? on older versions of Excel</t>
  </si>
  <si>
    <t>12/14/2017 - WEBINAR 0.1: Validation of Contact information for 'Additional Developer Questions'</t>
  </si>
  <si>
    <t>12/14/2017 - WEBINAR 0.2: Corrected Data validation on Federal Equity Factor</t>
  </si>
  <si>
    <t>12/14/2017 - WEBINAR 0.2: Updated DDA</t>
  </si>
  <si>
    <t>12/19/2017 - BETA 0.1: Final Prolink Mapping</t>
  </si>
  <si>
    <t>12/22/2017 - BETA 0.1: Updated Contact Validation</t>
  </si>
  <si>
    <t>12/27/2017 - BETA 0.2: Updated Prolink mapping for financing, unit mix &amp; rents</t>
  </si>
  <si>
    <t>12/27/2017 - BETA 0.2:  Corrected calc in D510 to be "=B510&lt;=0.3"</t>
  </si>
  <si>
    <t>12/27/2017 - BETA 0.2:  Added permanent passwords</t>
  </si>
  <si>
    <t>12/27/2017 - BETA 0.2:  TC Details correct J55 point to Calculations B273</t>
  </si>
  <si>
    <t xml:space="preserve">12/27/2017 - BETA 0.2:  Prolink - Threshold: 40% at 60% of Area Median Income Optional Field 356 TRUE
</t>
  </si>
  <si>
    <t xml:space="preserve">12/27/2017 - BETA 0.2:  Prolink - Threshold: 20% at 50% of Area Median Income Optional Field 357 TRUE
</t>
  </si>
  <si>
    <t>12/27/17 - 2018 V 1.0: posted to website</t>
  </si>
  <si>
    <t xml:space="preserve">1/9/18 - 2018 V 1.1: On Calculations tab, copy formula from cell B56 down to the cell range of B60:G61 </t>
  </si>
  <si>
    <t xml:space="preserve">1/9/18 - 2018 V 1.1: On the Tax Credit Details tab, copy the formatting in cell D145 to the cell range of C149 through E149. Also, copy this formatting to cell C145 as well. 
 </t>
  </si>
  <si>
    <t>1/9/18 - 2018 V 1.1: DDAs and QCTs updated for 2018 see y drive for list</t>
  </si>
  <si>
    <t>1/9/18 - 2018 V1.1: On Calculations tab, B18 correct qct lookup formula =IFERROR(MATCH(B14,INDEX(Admin!$G$95:$BF$158, B13,0),0), 0) &gt;0</t>
  </si>
  <si>
    <t>1/16/2018 - V1.1: On Prolink Tab edit mapping for Total amount requested Row70</t>
  </si>
  <si>
    <t xml:space="preserve">1/23/18 - V1.1: On Financing Tab - Added validation to Interest Rate and Term of Loan </t>
  </si>
  <si>
    <t xml:space="preserve">1/23/18 - V1.1 - Edited the cell drag and drop in excel options </t>
  </si>
  <si>
    <t xml:space="preserve">1/24/18 -V1.1 - Added bedroom count to calculation tab row 41 </t>
  </si>
  <si>
    <t>1/29/2018 - V 1.1: Corrected Data Validation on State Equity Factor</t>
  </si>
  <si>
    <t xml:space="preserve">1/29/2018 - V 1.1: Added line 60 to application (Enter the Total Amount of Taxable Bonds being issued) </t>
  </si>
  <si>
    <t>1/29/2018 - V 1.1: Updated Calculation B768 (Private Activity Bond Mortgage Amount) to be =SUM(Application!B56:B57)-Application!B60. Subtracting new taxable bond amount</t>
  </si>
  <si>
    <t>1/29/2018 - V 1.1: Eliminated Amenities row 123 and 127 from Data Issues</t>
  </si>
  <si>
    <t>1/29/2018 - V 1.1: Updated Validation of Max Allowable rent to reduce allowed amount if rents do not include utilities by the amount indicated for each unit size</t>
  </si>
  <si>
    <t>1/29/2018 - V 1.1:  Add "cost basis override granted" to Tax Credit Details!H93 and Tax Credit Summary!G19 if Admin override for method 3 is utilized.</t>
  </si>
  <si>
    <t>1/29/2018 - V 1.1: Change Construction Interest Budget Calculations!H91 to use appropriate eligible basis column</t>
  </si>
  <si>
    <t>1/29/2018 - V 1.1: Change messaging for Construction Interest Budget</t>
  </si>
  <si>
    <t>1/29/2018 - V 1.1: Change contact - move Tax Id number to owner and change owner mapping in Prolink from developer to ownership entity</t>
  </si>
  <si>
    <t xml:space="preserve">2/6/2018 - V.1.1: Application Tab - Cell 37 - add data validation </t>
  </si>
  <si>
    <t>2/6/2018 - V.1.1: Application Tab - Cell 20- add data validation</t>
  </si>
  <si>
    <t>2/6/2018 - V.1.1: Application Tab - Cell 111- add data validation</t>
  </si>
  <si>
    <t>2/6/2018 - V.1.1: Lookup Tab - A12 to read New Const</t>
  </si>
  <si>
    <t xml:space="preserve">2/6/2018 - V.1.1:Cost Summary Analysis - updated fields </t>
  </si>
  <si>
    <t>2/8/18 - V.1.2: released to staff, Polaris, website</t>
  </si>
  <si>
    <t>2/21/18 - V.1.2: Calculations Tab - Cell D511 formula changed (=B511 &lt;= 0.31); Cell D546 changed (=ROUND(B524,0)=ROUND(B247,0)</t>
  </si>
  <si>
    <t>2/22/18 - V.1.2: Scoring Tab - Cell A30 language corrected to refer applicants to Contact Information Tab</t>
  </si>
  <si>
    <t>2/21/18 - V.1.2: Calculations Tab - Cell F306 formula changed (=B306 &lt;= D306)</t>
  </si>
  <si>
    <t>3/6/2018 - V 1.2 - Calculations: Changed final Building Profile to not round on line items but only round on total for comparison purposes</t>
  </si>
  <si>
    <t>3/6/2018 - V 1.2 - Calculations: Final Building Profile missing total calculations in row 704. Some totals are now rounded</t>
  </si>
  <si>
    <t>3/6/2018 - V 1.2 - Calculations: Changed F706 to be =B410 so that Eligible basis will be the boosted amount</t>
  </si>
  <si>
    <t>3/6/2018 - V 1.2 - Calculations: Added values for B719 and B720</t>
  </si>
  <si>
    <t xml:space="preserve">3/9/2018 - V.1.2 - Application Instructions: definitions added to the Cost Summary instructions </t>
  </si>
  <si>
    <t>3/9/2018 - V.1.2 - Cost Summary Analysis - updated per instructions 2/27/18</t>
  </si>
  <si>
    <t>3/12/18 - V.1.2 - Tax Credit Details - change titles in rows 171, 178</t>
  </si>
  <si>
    <t>3/21/18 - V.1.2. - Stress Test - Correct formulas B6 =Calculations!B315, B25 =Calculations!B318</t>
  </si>
  <si>
    <t>3/23/18 - V.1.3 - released to staff, Polaris and website</t>
  </si>
  <si>
    <t>3/26/18 - V.1.3 - Admin - increase cost basis limits by 4.5% cells B63-B67, C63-C67</t>
  </si>
  <si>
    <t>4/2/18 - V.1.3 - Tax Credit Summary G97 data validation added</t>
  </si>
  <si>
    <t>4/11/18 - V.1.3 - Add new field for 4% APR - Splitting Acq and New Con/Rehab. Changed calc in cells B414, B421, B451</t>
  </si>
  <si>
    <t>4/11/18 - V.1.3 - Change mechanism to determine special needs points in calculations (row 273, 274). Had to split homeless and elderly for output. Corrected value on details output.</t>
  </si>
  <si>
    <t>4/11/18 - V.1.3 - Change formula for date output on Prolink D76</t>
  </si>
  <si>
    <t>4/13/18 - V.1.3 - Instructions - add hint for paste fx row 47</t>
  </si>
  <si>
    <t>4/13/18 - V.1.3 - Application - Identity of Interest? moved from Contact Information. Updated Calculations</t>
  </si>
  <si>
    <t>4/13/18 - V.1.3 - Financing - correct B40, add totals/grand totals</t>
  </si>
  <si>
    <t>4/13/18 - V.1.3 - Rent &amp; Income Limits updated for 2018</t>
  </si>
  <si>
    <t>5/1/18 - V.2 - Calculations - Scoring row 273 and 274 validation added to E273, F273, F274</t>
  </si>
  <si>
    <t>5/1/18 - V.2 - Calculations - Budget subtotal formulas corrected, E187,E222,E230,E238,E247</t>
  </si>
  <si>
    <t>5/1/18 - V.2 - Calculations - B720 (+B407), B721 (=B418)</t>
  </si>
  <si>
    <t>5/1/18 - V.2 - Tax Credit Summary chart order re-organized</t>
  </si>
  <si>
    <t>5/1/18 - V.2 - Tax Credit Details chart order re-organized</t>
  </si>
  <si>
    <t xml:space="preserve">5/1/18 - V.2 - Stress Test, Memo Attachments added </t>
  </si>
  <si>
    <t>5/1/18 - V.2 - Amenities Chart updated</t>
  </si>
  <si>
    <t>5/1/18 - V.2 - Validation - formulas corrected B377,B378,B778,B512,B530,B519,F1384,K1387,I1390,F1391</t>
  </si>
  <si>
    <t>5/2/18 - V.2 - Prolink - re-mapped C155-C220</t>
  </si>
  <si>
    <t>5/3/18 - V.2 - Cost Summary Worksheet L15-L63, E70-F72, F70-F72 updated for 2018 round 2</t>
  </si>
  <si>
    <t>5/8/18 - V.2.1 - Amenities - adjust data validation for B54 - B59</t>
  </si>
  <si>
    <t>5/8/18 - V.2.1 - Contact Information - data validation added to column E</t>
  </si>
  <si>
    <t>5/14/18 - V.2.1 - Calculations H91 formula corrected (='Development Budget'!B48)</t>
  </si>
  <si>
    <t>5/29/18 - V.2.1 - Corrected Issue with Amenities Validation</t>
  </si>
  <si>
    <t>5/29/18 - V.2.1 -  L606:L704 in final building profile calculation did not apply boost correctly since to was pointing to wrong cell</t>
  </si>
  <si>
    <t xml:space="preserve">5/29/18 - V.2.1 -  Changed Calculation B597 to use B540 instead of B19 so that if a boost was requested it would be used </t>
  </si>
  <si>
    <t>5/30/18 - V2.1.1 - Admin - remove LaPlata county from DDA</t>
  </si>
  <si>
    <t xml:space="preserve">6/8/18 - V2.1.1 Prolink tab - C132 </t>
  </si>
  <si>
    <t>6/13/18 - V.2.1.1 - Admin - add CHFA DDA Boost Override B18</t>
  </si>
  <si>
    <t>6/13/18 - V.2.1.1 - Calculations O49 error message added for TC Summary B27</t>
  </si>
  <si>
    <t>6/21/18 - V.2.1.1 - Created new section on Calculations for Tax Credit Summary Development Financing - Federal amount did not include boost on Summary. New section is easier to follow</t>
  </si>
  <si>
    <t>7/3/18 - V.2.1.1 Mapped amenities on Prolink tab starting at 984-1053</t>
  </si>
  <si>
    <t>7/26/18 - V.2.1.1 Calculations B597 corrected =IF(OR($B$19, $B$540), Admin!$B$58, IF($B$568, MIN(Admin!$B$59, $B$561), 1))</t>
  </si>
  <si>
    <t>7/27/18 V2.1.1. Mapped Developer Fee on the Prolink Tab Cell B242</t>
  </si>
  <si>
    <t>7/27/18 V2.1.1. Added Assisted Living to Unit Mix Type PL on the Look Page Cell E60</t>
  </si>
  <si>
    <t>8/22/18 V2.2 - Calculations B730 changed to =IF($B$4,$C$709,$B$461)</t>
  </si>
  <si>
    <t>8/22/18 V2.2 - Calculations A103 added Additional Amount to cover GAP</t>
  </si>
  <si>
    <t>8/27/18 V2.2 - Calculations C397 formula corrected</t>
  </si>
  <si>
    <t>8/28/18 V2.2 - Budget cell F6 unlocked for 10% test</t>
  </si>
  <si>
    <t>8/28/18 V2.2 - Stress Test and Attachments Units Mix &amp; Rents added, aggregate basis calc redirected</t>
  </si>
  <si>
    <t>9/27/18 V.2.2 - Calculations W610 and X610 column labels corrected</t>
  </si>
  <si>
    <t>10/10/18 V2.2 - Prolink C72 changed to (=Calculations$B$511)</t>
  </si>
  <si>
    <t xml:space="preserve">10/12/18 V2.2 - Prolink Tab - Added State CHFA DDA BOOST AMOUNT AND PERCENT in cell A81-A82 - with equations- calculation tab B571 AND b562 </t>
  </si>
  <si>
    <t>10/22/18 2018 V.1 - Application questions/dropdowns added for existing building, green systems, energy efficiency, income averaging, permanent supportive housing</t>
  </si>
  <si>
    <t>10/22/18 2018 V.1 - 20%,70%, 80% AMIs added</t>
  </si>
  <si>
    <t>10/22/18 2018 V.1 - Calculations C712 changed to =O710</t>
  </si>
  <si>
    <t>10/23/18 2018 V.1 - Calculations J283 corrected to (=SUM(G167:G169,G172,G176:G189,G192:G205,G208:G224,G244:G259,G270:G276)</t>
  </si>
  <si>
    <t>10/23/19 2018 V.1 - Calculations H248 corrected to (=IF(B$3,G248/$J$245,""))</t>
  </si>
  <si>
    <t>10/31/18 2018 V.1 - Lookup added 20%, 70%, 80% AMI levels</t>
  </si>
  <si>
    <t>10/31/18 2018 V.1 - Calculations Proforma Debt Coverage Ratio formula changed to - =IF($B$330,0,IF(SUM(B336:B338) = 0, "Loans Missing",  B335/ABS(B336+B337+B338)))</t>
  </si>
  <si>
    <t>11/6/18 2018 V.1 - Application Removed Building Net Rentable SQ and Gross Square Footage</t>
  </si>
  <si>
    <t>11/6/18 2018 V.1 - Added 20%, 70%, 80% AMI levels throughout Rent &amp; Income Limits, Calculations, and Tax Credit Details/Summary sheets</t>
  </si>
  <si>
    <t>11/7/18 2018 V.1 - Added income averaging as calculation and displayed output on Tax Credit Summary sheet</t>
  </si>
  <si>
    <t>11/7/18 2018 V.1 - Added Max Adjusted Rent limits to the bottom of the Tax Credit Summary sheet</t>
  </si>
  <si>
    <t>11/8/18 2018 V.1 - Validation - additional contacts added to list</t>
  </si>
  <si>
    <t>11/8/18 2018 V.1 - Financing added category for no permanent loans</t>
  </si>
  <si>
    <t>11/13/18 2018 V.1 - Budget PSH row 110 added</t>
  </si>
  <si>
    <t>11/20/18 2018 V.1 - Prolink mapping changes, deleted 221d3, duplicate state credit amount, optional field 165 and 159 to b453 and b454, formatted 625-681 for percentage, optional field 455 (PSH), add total rental units soft costs/sqft 259, soft costs/unit 260, removed duplicate total rental units, income averaging, deleted owner fax, added owner cell#, deleted optional field 96,   </t>
  </si>
  <si>
    <t>11/30/18 2018 V.1 - Validation - error message added for IA(market units)</t>
  </si>
  <si>
    <t>11/30/18 2018 V.1 - Contacts re-organized, added</t>
  </si>
  <si>
    <t>11/30/18 2018 V.1 - Calculations H828 corrected to (=IF(E829&gt;F829,IF(F829&gt;0,"Adjusted rent exceeds allowable rent limit",""),""))</t>
  </si>
  <si>
    <t>12/7/18 2018 V.1 - Sinking Fund test and Cost Summary Worksheet removed</t>
  </si>
  <si>
    <t xml:space="preserve">1/15/19 2019 V.1.1 - Contact Info, column F, correct format </t>
  </si>
  <si>
    <t>1/15/19 2019 V.1.1 - Prolink, map B92 Development Budget</t>
  </si>
  <si>
    <t>1/15/19 2019 V.1.1 - TC Summary format I67, D71 corrected =Calculations!E563</t>
  </si>
  <si>
    <t xml:space="preserve">1/15/19 2019 V.1.1 - Calculations B24 corrected to (=SUM(Financing!B46:B48,Financing!B53:B58,Financing!B63:B70,Financing!B75:B76) </t>
  </si>
  <si>
    <t>2/16/19 2019 V.1.1 - Calculations H286 corrected =SUM(D286+B167+B168)</t>
  </si>
  <si>
    <t>2/16/19 2019 V.1.1 - Prolink C71 corrected =Calculations!B552</t>
  </si>
  <si>
    <t>4/25/19 2019 V.1.1 - Calculations E562 corrected (=$B$564)</t>
  </si>
  <si>
    <t>4/25/19 2019 V.1.1 - Calculations E563 corrected (=$B$565)</t>
  </si>
  <si>
    <t>4/25/19 2019 V.1.1 - Calculations E564 corrected (=$B$566)</t>
  </si>
  <si>
    <t>4/25/19 2019 V.1.1 - Calculations B565 corrected (=SUM(B563:B564)+$B$161)</t>
  </si>
  <si>
    <t>4/25/19 2019 V.1.1 - Calculations B566 corrected (=$B$286 +$B$630)</t>
  </si>
  <si>
    <t>5/2/19 2019 V.2 - Income and Rent limits updated to 2019 limits</t>
  </si>
  <si>
    <t>5/6/19 2019 V.2 - Calculations B771 corrected (=IF($B$4,$C$758,$B$502))</t>
  </si>
  <si>
    <t>5/6/19 2019 V.2 - Calculations B642 corrected (=IF(OR($B$19, $B$581), Admin!$B$59, IF($B$613, MIN(Admin!$B$59, $B$60), 1)))</t>
  </si>
  <si>
    <t>5/6/19 2019 V.2 - Calculations H128 corrected (=SUM('Development Budget'!C48:D48))</t>
  </si>
  <si>
    <t>5/6/19 2019 V.2 - TC Summary D71 corrected (=Calculations!E563)</t>
  </si>
  <si>
    <t>5/6/19 2019 V.2 - TC Summary D80 corrected (=Calculations!B825)</t>
  </si>
  <si>
    <t>5/6/19 2019 V.2 - TC Summary D88 corrected (=Calculations!B825)</t>
  </si>
  <si>
    <t>5/6/19 2019 V.2 - Stress Test &amp; Attachments D66 corrected (=Calculations!H128)</t>
  </si>
  <si>
    <t>5/6/19 2019 V.2 - Stress Test &amp; Attachments D81 corrected (=Calculations!B19)</t>
  </si>
  <si>
    <t>5/7/19 2019 V.2 - Prolink mapping added for Applicant Information at row 351</t>
  </si>
  <si>
    <t>5/7/19 2019 V.2 - Calculations C816 and I817 changed to reflect PAB maximum of 52%</t>
  </si>
  <si>
    <t>5/7/19 2019 V.2 - Lookup E175 and E176 changed to reflect PAB maximum of 52%</t>
  </si>
  <si>
    <t>5/28/19 2019 v.2 - Calculations C47 - formula added</t>
  </si>
  <si>
    <t xml:space="preserve">5/31/2019 V.2 Prolink, added some additional mapping  Proforma Income &amp; Expense all the others "comments" are mapped now </t>
  </si>
  <si>
    <t>6/3/2019 V2. - Rent and Income Limits corrected, Broomfield, Chaffee and Cheyenne counties updated to 2019 limits</t>
  </si>
  <si>
    <t xml:space="preserve">6/12/19 V.2 - Excel Workbook disabled "Drag and Drop" in the advanced settings in excel </t>
  </si>
  <si>
    <t>6/26/19 V.2.1 - Calculations E563 changed (=$B$565+$B$161)</t>
  </si>
  <si>
    <t>6/26/19 V.2.1 - Calculations E564 changed (=$B$566+$B$630)</t>
  </si>
  <si>
    <t>6/26/19 V.2.1 - Stress Test &amp; Attachments Deferred Developer Fee added to cell D117</t>
  </si>
  <si>
    <t xml:space="preserve">8/15/2019 V.2.1 Adding Management Email and Phone mapping on Prolink tab ay C378-379 to pull from Contact Page </t>
  </si>
  <si>
    <t xml:space="preserve">8/15/2019 V.2.1 Added mapping to Prolink tab on cell C126 to capture resyndication </t>
  </si>
  <si>
    <t>8/15/2019 V.2.1 Removed Mapping of Project Name so the applicate can't update Prolink</t>
  </si>
  <si>
    <t xml:space="preserve">8/15/2019 V.2.1 Change the QAP Title on the Application Instruction Tab to read 2019 and not 2018 </t>
  </si>
  <si>
    <t>9/4/2019 V.2.1 Added Income Averaging to Stress Test &amp; Attachments Tab H143 and I143</t>
  </si>
  <si>
    <t>11/1/2019 V.2.1 Changed top of Cost Summary tab for ease of completion</t>
  </si>
  <si>
    <t>11/4/2019 V.2.1 Calculations B613 changed (=B602&gt;0.001)</t>
  </si>
  <si>
    <t>11/4/2019 V.2.1 Admin HUD Metro SAFMR zip codes updated for 2020</t>
  </si>
  <si>
    <t>11/4/2019 V.2.1 Admin HUD Non-Metro DDA updated for 2020</t>
  </si>
  <si>
    <t>11/4/2019 V.2.1 Admin HUD Metro/Non-Metro QCT updated for 2020</t>
  </si>
  <si>
    <t>11/18/19 V.2.1 Contact Information - Instruction added to line 2, cell validation to M10 and A107</t>
  </si>
  <si>
    <t>11/18/19 V.2.1 Scoring added language to be completed at Preliminary Application Only</t>
  </si>
  <si>
    <t>11/25/2019 V.2.1 Formula Added on Stress Test &amp; Attachments D81</t>
  </si>
  <si>
    <t xml:space="preserve">11/25/2019 V.2.1 Changed the messaging color on F66 on Stress Test &amp; Attachments </t>
  </si>
  <si>
    <t>11/25/2019 V.2.1 Prolink Tab - added mapping to C7-C66/C120-125/C129/C134-135/C214-216</t>
  </si>
  <si>
    <t>11/26/2019 V.2.1 Validation Tab - added calculations to row 1467</t>
  </si>
  <si>
    <t>11/26/2019 V.2.1. Admin Tab increased Basis Limit by 4%</t>
  </si>
  <si>
    <t>11/26/2019 V.2.1 Data Issues - =IF(TRIM(Validation!G1523)="", "No Missing Data or Data Entry Errors", Validation!G1523)</t>
  </si>
  <si>
    <t>11/26/2019 V.2.1 TC Cost Summary D57 - =CONCATENATE(Calculations!C16," ",Calculations!C17," ",Calculations!C18)</t>
  </si>
  <si>
    <t>11/26/2019 V.2.1 TC Cost Summary D79 - =Calculations!E420</t>
  </si>
  <si>
    <t>11/26/2019 V.2.1 Stress Test and Attachments K53 - =Calculations!E421</t>
  </si>
  <si>
    <t>12/5/2019 V.2.1 Validation Tab - D1468 =ADDRESS(B1468, 3,4  )</t>
  </si>
  <si>
    <t>12/5/2019 V.2.1 TC Details H20 =Calculations!G298</t>
  </si>
  <si>
    <t>12/5/2019 V.2.1 Calculations G298 =IF($H$39 = 0, 0, E298/$H$39)</t>
  </si>
  <si>
    <t>12/5/2019 V.2.1 Calculations C816 =B816*0.55</t>
  </si>
  <si>
    <t>12/13/2019 V.2.1 Added additional mapping on Prolink Tab on c7-c66/c144/c145/c140/c120-c125/c128/c134-135/c214-c216/c192</t>
  </si>
  <si>
    <t xml:space="preserve">12/13/2019 V.2.1 Added amenities to B66 with a data issue issues error as well </t>
  </si>
  <si>
    <t xml:space="preserve">12/16/2019 V.2.1 Contact Tab M8/N8 didn't need a data issues, removed the data issue </t>
  </si>
  <si>
    <t>12/16/2019 V.2.1 Contact Tab M27 DIDN’T NEED A DATA ISSUES, M28 however did need a data issue applied data issue for M28</t>
  </si>
  <si>
    <t xml:space="preserve">12/16/2019 V.2.1 Application Tab B48-B50 Added data validation </t>
  </si>
  <si>
    <t xml:space="preserve">12/16/2019 V.2.1 Data Issues Tab - couldn’t see the title of Row 17 expanded that </t>
  </si>
  <si>
    <t xml:space="preserve">1/15/2020 v.2.1 Look up Tab - E175, E176 change message to max 55% </t>
  </si>
  <si>
    <t>1/15/20202 V2.1 Contacts - Column J4-J34, J36-J39 and K4-K34, K36-K39 data validation corrected</t>
  </si>
  <si>
    <t>1/30/2020 V.2.1 Validation - Column L127-L191 =INDEX(Calculations!$A$75:$G$82, MATCH(H129, Calculations!$A$75:$A$82),MATCH(J129,Calculations!$A$75:$G$75))</t>
  </si>
  <si>
    <t>1/30/2020 V.2.1 Validation - M127-M191 =INDEX(Calculations!$A$87:$G$94, MATCH(H129, Calculations!$A$75:$A$82),MATCH(J129,Calculations!$A$75:$G$75))</t>
  </si>
  <si>
    <t>2/20/2020 V.2.1 Lookup - A89 changed to Average Income</t>
  </si>
  <si>
    <t>2/20/2020 V.2.1 TC Summary replaced Income Averaging with Average Income</t>
  </si>
  <si>
    <t>2/20/2020 V.2.1 Calculations =B378&lt;=Admin!B9</t>
  </si>
  <si>
    <t xml:space="preserve">2/26/2020 V.2.1 TC Summary C78 changed to Max Allowable Developer Fee </t>
  </si>
  <si>
    <t xml:space="preserve">2/26/2020 V.2.1 TC Summary D78 format for $ </t>
  </si>
  <si>
    <t xml:space="preserve">6/1/2020 V.2.1 Updated 2020 Rents </t>
  </si>
  <si>
    <t>6/8/2020 V.2.1 Calculations B645 =ROUND($B$502,0)</t>
  </si>
  <si>
    <t xml:space="preserve">6/8/2020 V.2.1 Application Tab added Radon Mitigation on line 42 </t>
  </si>
  <si>
    <t xml:space="preserve">6/8/2020 V.2.1 Application Tad added a hyperlink on line 20 </t>
  </si>
  <si>
    <t xml:space="preserve">6/8/2020 V.2.1 Application Tab added C Bonds at 64 and Recycled Bonds at 65 </t>
  </si>
  <si>
    <t>6/9/2020 V.2.1 Calculations - B565=SUM(B563+B564+B161+B573)</t>
  </si>
  <si>
    <t>6/9/2020 V.2.1 Calculations - G817=SUM(M54-M52)</t>
  </si>
  <si>
    <t>6/12/2020 V.2.1 Calculations B420 added: =IF(B418+B419 &gt; B417, B418-B417+B419, 0)</t>
  </si>
  <si>
    <t xml:space="preserve">6/22/2020 V2.2 Application Tab - reordered funding sources, removed; Veterans, 223(a)(7), </t>
  </si>
  <si>
    <t>6/22/2020 V2.2 Application Tab - B50/B51 no decimal spaces</t>
  </si>
  <si>
    <t>6/22/2020 V2.2 Application Tab - Data Validation modified B106-B106, B111</t>
  </si>
  <si>
    <t>6/22/2020 V2.2 TC Summary tab added conditional formatting to F37</t>
  </si>
  <si>
    <t>6/22/2020 V2.2 Final Building Profile format number format using commas</t>
  </si>
  <si>
    <t>6/22/2020 V2.2 TC Details E108 = Calculations !M67</t>
  </si>
  <si>
    <t>6/22/2020 V2.2 TC Summary D36 =Calculations!E390</t>
  </si>
  <si>
    <t>6/22/2020 V2.2 TC Summary D71 =Calculations!E563</t>
  </si>
  <si>
    <t>6/22/2020 V2.2 TC Summary D71, I17 no decimals</t>
  </si>
  <si>
    <t>6/22/2020 V2.2 TC Summary D62, E62, E68 font size corrected</t>
  </si>
  <si>
    <t>6/29/2020 V2.2 Contacts - data validation removed for column K</t>
  </si>
  <si>
    <t>6/29/2020 V2.2 Calculations F390 =ROUNDDOWN(B378,4)&lt;=ROUNDDOWN(Admin!B9,4)</t>
  </si>
  <si>
    <t>6/30/2020 V2.2.1 Prolink - refresh dropdowns, reformat C715 - C774</t>
  </si>
  <si>
    <t xml:space="preserve">7/7/2020 V2.2.1 Reformatted Application B76 </t>
  </si>
  <si>
    <t>7/8/2020 V2.2.1 Calculations - B351 =Application!B80</t>
  </si>
  <si>
    <t>7/8/2020 V2.2.1 Calculations - correct F390 =ROUNDDOWN(B378,4)&gt;=ROUNDDOWN(Admin!B9,4)</t>
  </si>
  <si>
    <t>7/21/2020 V2.2.1 Amenities A54 label changed to - Surface Parking (# of spaces)</t>
  </si>
  <si>
    <t>move the parking space question to the amenities tab from the application tab, double check the mapping</t>
  </si>
  <si>
    <t>7/29/2020 V2.2.1 Prolink - C390 changed to =Scoring!$B$5="Average Income"</t>
  </si>
  <si>
    <t>9/15/2020 V2.2.1 Validation F1541 update formula =IFNA(Calculations!$B$450, 0)</t>
  </si>
  <si>
    <r>
      <t xml:space="preserve">9/15/2020 V2.2.1 Validation A1559 - A3111 - every 16 rows, </t>
    </r>
    <r>
      <rPr>
        <b/>
        <sz val="11"/>
        <color theme="1"/>
        <rFont val="Calibri"/>
        <family val="2"/>
        <scheme val="minor"/>
      </rPr>
      <t>=IF(AND(Calculations!$B$4,Calculations!$B$27&gt;=C1557, E1557 &lt;&gt; 13),F1557,"")</t>
    </r>
    <r>
      <rPr>
        <sz val="11"/>
        <color theme="1"/>
        <rFont val="Calibri"/>
        <family val="2"/>
        <scheme val="minor"/>
      </rPr>
      <t xml:space="preserve">  -  C1557, E1557, F1557 adjust to match row number</t>
    </r>
  </si>
  <si>
    <t>10/13/2020 V2.2.1 TC Details H73, H74 text added</t>
  </si>
  <si>
    <t>10/13/2020 V2.2.1 TC Summary I73 = calculations!B630</t>
  </si>
  <si>
    <t>10/13/2020 V2.2.1 TC Summary I74 = I72+I73</t>
  </si>
  <si>
    <t xml:space="preserve">10/26/2020 V2.2.1 Contacts Information M9 - Updated Legal Status to include some of MF Status </t>
  </si>
  <si>
    <t xml:space="preserve">11/13/2020 V2.2.1 Admin Tab updated the 2021 DDA/SADDA/QCT Numbers/ZIP Codes </t>
  </si>
  <si>
    <t>11/13/2020 V2.2.1 Application Tab - updated the Data Vaildation for B36-B45</t>
  </si>
  <si>
    <t xml:space="preserve">11/13/2020 V2.2.1 Application Tab - updated Timeline Section to match the Quarterly Report </t>
  </si>
  <si>
    <t>11/13/2020 V2.2.1 Application Tab - removed number of parking cell B51 - moved to amenities tab - updated calculation tab - updated validation</t>
  </si>
  <si>
    <t>11/13/2020 V2.2.1 Calculations Tab - I817 Changed equation to =IF(AND(B817&gt;=0.5,B817&lt;=0.55),TRUE,FALSE)</t>
  </si>
  <si>
    <t xml:space="preserve">11/13/2020 V2.2.1 Tax Credit Summary Tab - changed title in row B80 to Deferred Developer Fee % </t>
  </si>
  <si>
    <t>update report</t>
  </si>
  <si>
    <t>11/17/2020 V2.2.1 Tax Credit Summary Tab - add bedroom mix by AMI targeting to chart at row 183</t>
  </si>
  <si>
    <t>11/17/2020 V2.2.1 Tax Credit Summary Tab -L72, L73 removed text messages regarding commercial sources and funds</t>
  </si>
  <si>
    <t>11/17/2020 V2.2.1 Scoring - updated language at C11 = Waiver: 15 year = 30 points, 25 year = 38 points</t>
  </si>
  <si>
    <t>11/17/2020 Instructions, Application Tab - Application year and title changed to 2021 Housing Credit Application</t>
  </si>
  <si>
    <t>11/17/2020 Admin Tab - updated application date range B2,B3</t>
  </si>
  <si>
    <t xml:space="preserve">11/17/2020 search 2020 and replace with 2021 </t>
  </si>
  <si>
    <t>11/17/2020 search LIHTC and replace with Housing Credit</t>
  </si>
  <si>
    <t>11/17/2020 V.3 Contact tab - moved Additional NP questions below GP questions</t>
  </si>
  <si>
    <t>11/17/2020 V.3 Development Budget - added column G for applicant entry</t>
  </si>
  <si>
    <t>11/17/2020 V.3 Development Budget - G3 = Explain changes greater than 5%</t>
  </si>
  <si>
    <t xml:space="preserve">12/1/2020 V.3 TC Summary - Commercial Sources added to C71 and Commercial Sources Amount to D71 </t>
  </si>
  <si>
    <t>12/1/2020 V.3 Calculations A413 added - Less 50% Reduction from Existing Structures</t>
  </si>
  <si>
    <t>12/1/2020 V.3 Calculations B413 =IF(Application!B91 = "Yes", Admin!B47, Admin!B47/2)</t>
  </si>
  <si>
    <t>12/1/2020 V.3 TC Summary - C171 = Less 50% Reduction of Existing Structures</t>
  </si>
  <si>
    <t>12/1/2020 V.3 TC Summary - D171 =Calculations!B413</t>
  </si>
  <si>
    <t>12/1/2020 V.3 Stress Test - columns C - L, adjust width (14)</t>
  </si>
  <si>
    <t>12/1/2020 V.3 Stress Test - C46 - L46 reformatted, no decimals</t>
  </si>
  <si>
    <t>12/1/2020 V.3 Stress Test - C36 - L36 reformatted, no decimals</t>
  </si>
  <si>
    <t>12/2/2020 V.3 Scoring - added new category, update scores and language</t>
  </si>
  <si>
    <t>12/2/2020 V.3 Calculations - A311 - added Developer Characteristics 6 for 5 points</t>
  </si>
  <si>
    <t>12/2/2020 V.3 Calculations - A313 - updated score to 15 points</t>
  </si>
  <si>
    <t>12/7/2020V.3 Validations A106 =IF(AND(E106="",$H$98),F106, "")</t>
  </si>
  <si>
    <t>12/7/2020 V.3 Final Building Profile - A2 = Complete at Final only</t>
  </si>
  <si>
    <t>12/7/2020 Stress Test &amp; Attachments - E122 - K130 added table for bedroom size</t>
  </si>
  <si>
    <t>12/8/2020 Admin Tab - update costs basis limits, increase by .025</t>
  </si>
  <si>
    <t>12/8/2020 Calculations - B413 =IF(Admin!B19&gt;0,Admin!B19,-Calculations!B168*0.5)</t>
  </si>
  <si>
    <t xml:space="preserve">12/8/2020 Added State Milestone Fee to ProLink D571 and added to calculation tab B795 </t>
  </si>
  <si>
    <t>12/10/2020 Added mapping to prolink tab 503-517</t>
  </si>
  <si>
    <t xml:space="preserve">12/10/2020 Calculations Tab changed h125 to application b122 </t>
  </si>
  <si>
    <t>4/12/2021 V3.2 - Application Tab - C20 link updated</t>
  </si>
  <si>
    <t>4/12/2021 V3.2 - Application Tab - comments in column C removed for rows 36,37,38,40,41</t>
  </si>
  <si>
    <t>4/12/2021 V3.2 - Rent &amp; Income Limits updated to 2021 4/1/21 limits</t>
  </si>
  <si>
    <t>4/12/2021 V3.2 - Contact Information - A15 updated to Fee/Turnkey Developer</t>
  </si>
  <si>
    <t>4/12/2021 V3.2 - Calculations B98 =MATCH($B$12, TRIM('Rent &amp; Income Limits'!A9:A709), 0) + ROW('Rent &amp; Income Limits'!A8)</t>
  </si>
  <si>
    <t>4/12/2021 V3.2 - Calculations B109 =MATCH($B$12, TRIM('Rent &amp; Income Limits'!A9:A709), 0) + ROW('Rent &amp; Income Limits'!A8)</t>
  </si>
  <si>
    <t>4/14/2021 V3.2 - Calculations Tab - F3 =SUM(Amenities!B54:B59)</t>
  </si>
  <si>
    <t xml:space="preserve">4/14/2021 V3.2 - Validation F91 =CONCATENATE("Enter a value for '", C91, "' in cell ", D91, ".", CHAR(10)) </t>
  </si>
  <si>
    <t>4/14/2021 V3.1 - Financing B4 - validation added, numbers only</t>
  </si>
  <si>
    <t>4/15/2021 V3.2 - Application Tab - added All Electric at row 45</t>
  </si>
  <si>
    <t xml:space="preserve">4/15/2021 ProLink Tab C503-I516 Updated formula to say if blank keep blank  </t>
  </si>
  <si>
    <t>4/15/2021 V3.2 - Instructions updated - contact information, "Disregard errors for blank contacts if not applicable to this application"</t>
  </si>
  <si>
    <t xml:space="preserve">6/1/2021-  V3.3 ProLink tab edited the proxy entities, and the quarterly report dates changed the formula to not read blank </t>
  </si>
  <si>
    <t xml:space="preserve">7/13/2021 - V3.3 Application Tab B2 - added release date </t>
  </si>
  <si>
    <t>7/13/2021 - V3.3 Calculations - B413 =IF(Admin!B19="yes",0,-Calculations!B168*0.5)</t>
  </si>
  <si>
    <t>7/13/2021 - V3.3 Calculations - C413 =IF(Admin!B19="yes", "existing structures override granted", "")</t>
  </si>
  <si>
    <t xml:space="preserve">7/27/2021 - V3.3 Calculations - B543 =IF(Admin!B17&gt;0, Admin!B17, E487) </t>
  </si>
  <si>
    <t>7/27/2021 - V3.3 Calculations - D548 =IF(Admin!B17&gt;0, "cost basis override granted", "")</t>
  </si>
  <si>
    <t>8/9/2021 - V3.3 Prolink - C144 =Calculations!B817</t>
  </si>
  <si>
    <t>8/9/2021 - V3.3 Prolink - C145 =Calculations!B818</t>
  </si>
  <si>
    <t>9/20/2021 - V3.3 Tax Credit Summary - D120 = Calculations!C380</t>
  </si>
  <si>
    <t>10/19/21 - V3.3 Admin - A89 = 4% Init Determination State Min</t>
  </si>
  <si>
    <t>10/19/21 - V3.3 Admin - A92 = 4% Final App Fee Min</t>
  </si>
  <si>
    <t>10/19/21 - V3.3 Prolink C350 =Calculations!G823</t>
  </si>
  <si>
    <t>10/19/21 - V3.3 Prolink C144 =Calculations!B817</t>
  </si>
  <si>
    <t>10/19/21 - V3.3 Prolink C145 =Calculations!B817</t>
  </si>
  <si>
    <t>10/19/21 - V3.3 Prolink C132 = IFERROR(Calculations!$B$564, 0)</t>
  </si>
  <si>
    <t>11/14/21 - V3.3 Admin update QCT, DDA and SADDA for 2022</t>
  </si>
  <si>
    <t>11/15/21 - V3.3 DOH tabs Replaced and Remaped; Development Budget, Income+Expense, Financing DOH, Rental_Proforma</t>
  </si>
  <si>
    <t>11/15/21 - V3.3 Application - add row 51, number of residential buildings</t>
  </si>
  <si>
    <t>11/15/21 - V3.3 Application - add row 67, name of entity providing Bond Cap</t>
  </si>
  <si>
    <t>11/15/21 - V3.3 Application - add row 68, amount of Bond Cap</t>
  </si>
  <si>
    <t>11/15/21 - V3.3 Amenities - add row 69, number of EV charging stations</t>
  </si>
  <si>
    <t>11/22/21 - V4 2022 - new version created</t>
  </si>
  <si>
    <t>12/09/21 -V4 Change Equation from 1447-1680 =ROW('Contact Information'!B151)</t>
  </si>
  <si>
    <t>12/16/21 - V4 Prolink - C779 - C838 formatted for percentage</t>
  </si>
  <si>
    <t xml:space="preserve">2/1/22 - V4 Prolink - row added at 187 for Entitiy Transferring Bond Cap, C187 mapped to prolink </t>
  </si>
  <si>
    <t xml:space="preserve">2/1/22 - V4 Validation - rows added at 64, 65 for Entity Transferring Bond Cap, Amount of Bond Cap </t>
  </si>
  <si>
    <t>2/28/22 - V4 DOH Financing - formula updated rows E18, E26, E34 to include 4 rows above =IF(E17=0,PMT(E15/12,12*1,E14,0,0)*12,PMT(E15/12,12*E17,E14,0,0)*12)</t>
  </si>
  <si>
    <t>3/3/22 - V4 Prolink - C449 =IF(Scoring!$B$5="Average Income", FALSE, INDEX(Scoring_Threshold_Table[Score 60%], MATCH(Scoring!$B$5, Scoring_Threshold_Table[Scoring Threshold], 0), 1))</t>
  </si>
  <si>
    <t>3/3/22 - V4 Prolink - C450 =IF(Scoring!$B$5="Average Income", FALSE, NOT(INDEX(Scoring_Threshold_Table[Score 60%], MATCH(Scoring!$B$5, Scoring_Threshold_Table[Scoring Threshold], 0), 1)))</t>
  </si>
  <si>
    <t>3/3/22 - V4 TC Summary - Row 98, remove Grand Total Gross Income</t>
  </si>
  <si>
    <t>3/4/22 - V4 Development Budget - lock cells C10, D10 and change formating to white</t>
  </si>
  <si>
    <t>3/25/22 - V4 Calculations column G changed to populate for every application stage =B167-E167</t>
  </si>
  <si>
    <t>3/25/22 - V4 Contacts B104 formated to number</t>
  </si>
  <si>
    <t>3/28/22 - V4 Prolink A174 =ApplicationA52</t>
  </si>
  <si>
    <t>3/28/22 - V4 Prolink C174 =ApplicationB52</t>
  </si>
  <si>
    <t>4/26/22 - V4.1 2022 Rent and Income Limits updated</t>
  </si>
  <si>
    <t>7/1/22 - V4.1 TC Summary - E194 - K194 = Calculation B41 - G41</t>
  </si>
  <si>
    <t>7/1/22 - V4.1 TC Summary - E195 - K195 = Calculations B42 - G42</t>
  </si>
  <si>
    <t>7/1/22 - V4.1 Prolink C220 = Application!B67</t>
  </si>
  <si>
    <t>9/9/22 - V4.1 Calculations - A160, B160 - Commercial Deferred Developer Fee added</t>
  </si>
  <si>
    <t>10/6/222 - V4.1 Calculations - B644 =IF(OR($B$19, $B$583), Admin!$B$61, IF($B$604, MIN(Admin!$B$61, $B$60), 1))</t>
  </si>
  <si>
    <t>11/10/2022 V4.1 Calculations -Removed Row 438 deleting ETC Basis Reduction</t>
  </si>
  <si>
    <t xml:space="preserve">11/10/2022 V4.1 Contact sheet updated </t>
  </si>
  <si>
    <t>11/13/22 V4.1 DOH Tabs updated with provided changes</t>
  </si>
  <si>
    <t>11/13/22 V4.1 Cost Basis Numbers updated</t>
  </si>
  <si>
    <t>11/13/22 V4.1 Zone Calculations updated</t>
  </si>
  <si>
    <t>11/22/22 V4.1 Proforma updated - Partnership/Asset Mgt Fees, Bond Fees, DDF,Other, Cash Flow for Services</t>
  </si>
  <si>
    <t>11/22/22 V4.1 Tax Credit Details - proforma section updated</t>
  </si>
  <si>
    <t>11/22/22 V4.1 Tax Credit Summary - proforma section updated</t>
  </si>
  <si>
    <t>11/22/22 V4.1 Stress Test &amp; Attachments - proforma section updated</t>
  </si>
  <si>
    <t>11/22/22 V4.1 Prolink - additional proforma fields added and mapped</t>
  </si>
  <si>
    <t>11/22/22 V4.1 Application - Heating Type In-Unit, Heating Type Common Area, Cooling Type In-Unit, Cooling Type Common Area, HVAC System In-Unit, How Water Heating Type, Ventalation System added</t>
  </si>
  <si>
    <t>11/22/22 V4.1 Prolink - Heating Type In-Unit, Heating Type Common Area, Cooling Type In-Unit, Cooling Type Common Area, HVAC System In-Unit, How Water Heating Type, Ventalation System added and mapped</t>
  </si>
  <si>
    <t>11/22/22 V4.1 Look Up - Heating Type In-Unit, Heating Type Common Area, Cooling Type In-Unit, Cooling Type Common Area, HVAC System In-Unit, How Water Heating Type, Ventalation System dropdown lists added</t>
  </si>
  <si>
    <t>11/23/22 V4.1 Calculations D389 =MATCH(0,R392:AF392,0)</t>
  </si>
  <si>
    <t>11/23/22 V4.1 Calculations DDF Payoff schedule added Q389-AF392</t>
  </si>
  <si>
    <t xml:space="preserve">2/9/23 V5 Update c254 on prolink tab drop down needed updated and remapped </t>
  </si>
  <si>
    <t xml:space="preserve">2/9/23 V5 Cal Tab B386 WAS LOOK AT YEAR two and older changed year 1-15 to read correct years </t>
  </si>
  <si>
    <t xml:space="preserve">2/9/2023 Application Tab - B2 Made the cell yellow and locked down, and updated the release date </t>
  </si>
  <si>
    <t>2/13/23 V5 ProLink tab 779-784  and 768-778 remapped the cells</t>
  </si>
  <si>
    <t xml:space="preserve">2/16/23 V5 Added census track 83.06 to denver county </t>
  </si>
  <si>
    <t>4/10/23 V5 Proforma, Income &amp; Expense Titles updated - A6 - Deferred Developer Fee Repayment, A8 Cash Flow Paid for Services</t>
  </si>
  <si>
    <t>4/10/23 V5 Application - B55 added to include dropdown yes, no, or N/A for Water-Wise Landscaping</t>
  </si>
  <si>
    <t>4/10/23 V5 Admin - updated rural QCT numbers</t>
  </si>
  <si>
    <t xml:space="preserve">4/10/23 V5 Application B6 - added 'State Milestone Application' to stage dropdown  </t>
  </si>
  <si>
    <t>4/14/23 V5 Prolink: verified that 'is existing LIHTC property' from Application tab is mapped (to be able to identify resyndications)</t>
  </si>
  <si>
    <t>4/14/23 V5 Scoring: A 33-34 and Tax Credit Details row 49-50: changed language to “Projects serving persons experiencing homelessness or special populations” to match QAP</t>
  </si>
  <si>
    <t>4/14/23 V5 Application B124 'Submit Milestone Documention for AHTC' we selected 'Ignore if Blank' in data validation but will ask IT for assistance to align in Validation tab that this is application only for State credit deals. Also added 'State' in front of AHTC and need to confirm that addition with KG</t>
  </si>
  <si>
    <t>4/14/23 V5 Application A78 and A81, added descriptions to Bond Issuer Name (Tax Exempt and Taxable) to clarify/specify for Data Issues if left blank</t>
  </si>
  <si>
    <t>4/17/23 V5 Contact Information: added City Manager back in and mapped in Validation</t>
  </si>
  <si>
    <t>4/17/23 V5 Contact Information Tax ID Number cell B100, changed data validation to be 'whole numbers' 'min 0, max 999999999' and added language "#'s only or leave blank if not yet formed." In Prolink tab, updated C49 to allow the cell to be left blank</t>
  </si>
  <si>
    <t>4/17/23 V5 Prolink: changed formulas in C254-C260 and C263, C264 to allow selection to be blank if not selected instead of giving a zero</t>
  </si>
  <si>
    <t>4/21/23: V5 Calculation F820 updated formula to include studios/0-bedroom units</t>
  </si>
  <si>
    <t>4/27/23: V5 Scoring, C23 changed 10 points to 5 points; Admin B22 changed 10 points to 5 points</t>
  </si>
  <si>
    <t>4/27/23: V5 Admin, B43 changed from 3,900 to 4,500</t>
  </si>
  <si>
    <t>5/5/23: V5 Calculations C389 updated to say 'DDF paid off in year,' and E389 updated to say either 'YEAR #' or 'After Year 15'</t>
  </si>
  <si>
    <t>5/10/23: V5Stress Test, D58=CalculationsE562; D59 =CalculationsE563; D60=CalculationsE564; D61=CalculationsE565; D62=CalculationsE566; D63=CalculationsE567</t>
  </si>
  <si>
    <t>5/15/23: V5 Validation: Row 231, created true or false validations for 4% apps that are selecting AMI to ensure they also meet 40% at 60% AMI OR 20% at 50% AMI, creates data issue if both are FALSE (Wes)</t>
  </si>
  <si>
    <t xml:space="preserve">5/24/2023. Added Mapping and Proxy Enitites back to ProLink Tab 684- 697 </t>
  </si>
  <si>
    <t>6/5/2023: V5.2: Updated to version 5.2</t>
  </si>
  <si>
    <t>6/5/2023: V5.2: Calculations: changed formula in R391 to =IF((R390&lt;(B381)),R390,ABS(B384))</t>
  </si>
  <si>
    <t>6/5/2023: V5.2: Calculations: added formula in G389 =IF(B387:K387&lt;=0,"Cash Flow After Above Obligations Must Be Positive"," ") also added notes in Tax Credit Summary and Tax Credit Details</t>
  </si>
  <si>
    <t>6/5/2023: V5.2: Application Instructions: Proforma, row 6 must be complete if there is a Deferred Developer Fee</t>
  </si>
  <si>
    <t>6/5/23 V5.2: Validation A231 updated =IF(AND(H231,I231,NOT(OR(J231,K231))), F231,"")</t>
  </si>
  <si>
    <t>6/7/23: V5.2: Lookup: Added Average Income table Comments</t>
  </si>
  <si>
    <t>6/7/23 V5.2: Calculations: L41: =AND(B5,M41,NOT(OR(N41,O41))); M41: =Scoring!B5 = "Average Income"; N41 =IF(H43 = 0, TRUE,  SUM(H32:H35)/H43 &gt;= 0.2); O41: =IF(H43 = 0, TRUE,  SUM(H32:H36)/H43 &gt;= 0.4)</t>
  </si>
  <si>
    <t>6/7/23: V5.2: Tax Credit Details: Error Message added in Scoring Details B16: =Calculations!L42</t>
  </si>
  <si>
    <t>9/11/23: V5.3: Admin B8, updated PUPA from 3900 to 4500</t>
  </si>
  <si>
    <t>9/14/23: V5.3: Fixed issue when pushing to ProLink: error "The value in the [Type of Heating in Unit] dropdown is not valid. Please select a value from the dropdown list. Location: =Prolink!$C$254" (Happens with subsequent rows as well) Resolved in ProLink: Utilities - User Defined Fields: Ctrl+F to search for names of Application B43-B49. Then went through list (active) of dropdown names, checked for spaces, delete spaces, saved. Tested successfully from drive (no errors).</t>
  </si>
  <si>
    <t>9/19/23: V5.3: TC Details: Unhid row 125; TC Summary: Unhid rows 122 and 140 (these rows are bond fees)</t>
  </si>
  <si>
    <t>9/19/23: V5.3:  Prolink C375 - updated formula to =CONCATENATE('Contact Summary'!G31, " ", 'Contact Summary'!H31) so that first and last name pull for mail merge, not just organization name</t>
  </si>
  <si>
    <t>9/19/23: V5.3: Contact Summary: added row for City Manager (row 32), dragged down formulas in each column, reviewed and revised where needed K29-K34 to confirm rows from Contact tab are correct because they were changed when City Manager was added in V5.2</t>
  </si>
  <si>
    <t>9/28/23: V5.3: Admin: Updated DDA counties and zip codes</t>
  </si>
  <si>
    <t>9/29/23: V5.3: Fixed issues with mail merge, formulas, and added mayor, city, state, city council to Contact Summary and mapped in Prolink tab (City Manager also mapped)</t>
  </si>
  <si>
    <t xml:space="preserve">10/3/23: V5.3: Contact Information: added rows and notes to help resolve the character maximum issues. </t>
  </si>
  <si>
    <t>10/3/23: V5.3: Tax Credit Details: removed Proforma</t>
  </si>
  <si>
    <t>10/10/23: V5.3: Application: Tax-Exempt Bond Financing Section - moved 'Name of Bond Issuer' to top of section, moved 'Name of Entity Transferring Bond Cap' and 'Amount of Bond Cap Being Transferred' to bottom. Taxable Bond Financing Section - removed 'Name of Taxable Bond Issuer' because it is same as tax-exempt bond issuer</t>
  </si>
  <si>
    <t>10/26/23: V5.3: Proforma: moved note about DDF repayment to Row 9 and added asterisks</t>
  </si>
  <si>
    <t>10/27/23: V5.3: Application: Changed target type 'Senior' to 'Older Adult' - Kaylen also updated the picklist in ProLink system. Updated in Calculations K65 and Amenities A73</t>
  </si>
  <si>
    <t>10/27/23: V5.3: Application: Deleted target type, AIDS/HIV - Kaylen deleted in ProLink system. Removed in Calculations K61, L61, and M61.</t>
  </si>
  <si>
    <t>10/27/23: V5.3: ProLink: updated C297 dropdown Special Needs target type to Special Populations target type. Kaylen updated in ProLink system. Refreshed dropdowns for all changes (older adult, AIDS/HIV deleted, and special populations)</t>
  </si>
  <si>
    <t>10/27/23: V5.3: Tax Credit Details B104: Changed Eldery Independent to Older Adult</t>
  </si>
  <si>
    <t xml:space="preserve">10/27/23: V5.3: Application: Added 45L Energy Efficiency Home Credit and and the yes/no dropdown. Also added in ProLink and Validation tabs. </t>
  </si>
  <si>
    <t>11/01/23: V5.3: Validation: Wes added in row 232: 70% and 80% AMI units are not permitted unless Average Income is selected on Scoring worksheet.</t>
  </si>
  <si>
    <t>11/13/23: V5.3: Amenities: “In-unit Wi-Fi service” to the Owner Paid Utilities and Tenant Paid Utilities sections; Project Amenities section: Under “Laundry Room” added, “Enter number of Laundry Rooms;” “Laundry Room in each building (if more than one bldg.)” and "Laundry room on each floor"; Added “Bike Storage” “Bike Maintenance” “Pet Relief Area” “Pet Wash Area” and “Dog Run” – Other Amenities Section: Added “Transit Passes” “Number of Passes” and “Number of Passes Budgeted for Number of Years”</t>
  </si>
  <si>
    <t>11/13/23: V5.3: Prolink: Added rows for all added amenities named above.</t>
  </si>
  <si>
    <t>11/14/23: V5.3: Amenities A78, B78, added "Number of spaces for commerical or nonresidential"</t>
  </si>
  <si>
    <t xml:space="preserve">11/14/23: V5.3:  Application row 88, added amount for 45L Credit; row 89 added Investment Tax Credit and row 90 added ITC amount. Added in Prolink and Validation tabs. </t>
  </si>
  <si>
    <t xml:space="preserve">11/14/23: V5.3: Application rows 102-104, added "Voucher Administrator(s)" "Number of Vouchers" and "Type of Vouchers" </t>
  </si>
  <si>
    <r>
      <t xml:space="preserve">11/14/23: V5.3: Contact: </t>
    </r>
    <r>
      <rPr>
        <sz val="11"/>
        <rFont val="Calibri"/>
        <family val="2"/>
        <scheme val="minor"/>
      </rPr>
      <t>made notes for names of properties fields to be rebuilt as text fields and 5,000 character limit - Kaylen</t>
    </r>
  </si>
  <si>
    <t>12/21/23: V5.3: ProLink tab - remapped and fixed entities - Kaylen</t>
  </si>
  <si>
    <t>Missing Data</t>
  </si>
  <si>
    <t>Application!</t>
  </si>
  <si>
    <t>Rule</t>
  </si>
  <si>
    <t>Row</t>
  </si>
  <si>
    <t>Field Name</t>
  </si>
  <si>
    <t>Data Entry Cell</t>
  </si>
  <si>
    <t>Cell Value</t>
  </si>
  <si>
    <t>Error</t>
  </si>
  <si>
    <t>Combined Errors</t>
  </si>
  <si>
    <t>?operating reserves rule: 4mo annual opearting exp + 4mo of debt service payments</t>
  </si>
  <si>
    <t>4% rule</t>
  </si>
  <si>
    <t>Final Building Profile'!C4:C102</t>
  </si>
  <si>
    <t># bldgs on final building profile must be greater than or equal to # residential buildings</t>
  </si>
  <si>
    <t>IS PAB?</t>
  </si>
  <si>
    <t>Help with data validation, applicable only for State deals</t>
  </si>
  <si>
    <t>END APPLICATION ERRORS</t>
  </si>
  <si>
    <t>'Unit Mix &amp; Rents'!</t>
  </si>
  <si>
    <t>special IA messaging</t>
  </si>
  <si>
    <t>END UNIT MIX AND RENTS ERRORS</t>
  </si>
  <si>
    <t>ScoringWorksheet</t>
  </si>
  <si>
    <t>'Scoring'!</t>
  </si>
  <si>
    <t>question 1 of Development Characteristics</t>
  </si>
  <si>
    <t>question 2 of Development Characteristics</t>
  </si>
  <si>
    <t>question 3 of Development Characteristics</t>
  </si>
  <si>
    <t>question 4 of Development Characteristics</t>
  </si>
  <si>
    <t>question 5 of Development Characteristics</t>
  </si>
  <si>
    <t>MIN</t>
  </si>
  <si>
    <t>Very,Very Low-Income Targeting can not be combined with Tenant Population with Special Population</t>
  </si>
  <si>
    <t>END SCORING ERRORS</t>
  </si>
  <si>
    <t>'Financing'!</t>
  </si>
  <si>
    <t>total residential financing</t>
  </si>
  <si>
    <t>total commercial financing</t>
  </si>
  <si>
    <t>=IF(E49=E50,"","'Total Funds for Development' do not equal 'Total Development Budget' - They must be equal") -- ALL FUND FROM RESIDENTIAL PLUS EQUITY</t>
  </si>
  <si>
    <t>=IF('Commercial Budget'!E103&gt;E41,"The Commercial Budget excedes the Sources of Commercial Financing, please correct.", "") same as above but no equity</t>
  </si>
  <si>
    <t>END FINANCING ERRORS</t>
  </si>
  <si>
    <t>'Development Budget'!</t>
  </si>
  <si>
    <t>no formulas in col B</t>
  </si>
  <si>
    <t>=DevelopmentBudgetLandAmountstHasFormula</t>
  </si>
  <si>
    <t>=GET.CELL(48, 'Development Budget'!B4:B6)</t>
  </si>
  <si>
    <t>no formulas in col C</t>
  </si>
  <si>
    <t>no formulas in col D</t>
  </si>
  <si>
    <t>no formulas in col E</t>
  </si>
  <si>
    <t>no formulas in col F</t>
  </si>
  <si>
    <t>use formula in "A" for other line items</t>
  </si>
  <si>
    <t>END DEVELOPMENT BUDGET ERRORS</t>
  </si>
  <si>
    <t>'Commercial Budget'!</t>
  </si>
  <si>
    <t>END COMMERCIAL BUDGET ERRORS</t>
  </si>
  <si>
    <t>'Proforma, Income &amp; Expense'!</t>
  </si>
  <si>
    <t>END PROFORMA, INCOME &amp; EXPENSE ERRORS</t>
  </si>
  <si>
    <t>'Contact Information'!</t>
  </si>
  <si>
    <t>Required (TRUE is always rqd. Formula only if prelim)</t>
  </si>
  <si>
    <t xml:space="preserve"># OF CELLS REQUIRED </t>
  </si>
  <si>
    <t xml:space="preserve">Enter a all information for  Developer  in line '3.
</t>
  </si>
  <si>
    <t xml:space="preserve">Enter a all information for  Developer  in line '4.
</t>
  </si>
  <si>
    <t>Not used as an error, but used below to ensure all data is enetered</t>
  </si>
  <si>
    <t>only if 4% and no 9%</t>
  </si>
  <si>
    <t>HAS ONLY  4%</t>
  </si>
  <si>
    <t>END CONTACT INFORMATION ERRORS</t>
  </si>
  <si>
    <t>'Cost Summary'!</t>
  </si>
  <si>
    <t>END COST SUMMARY ERRORS</t>
  </si>
  <si>
    <t>'Final Building Profile'!</t>
  </si>
  <si>
    <t>final sum</t>
  </si>
  <si>
    <t>unit sum</t>
  </si>
  <si>
    <t>calc</t>
  </si>
  <si>
    <t>END FINAL BUILDING PROFILE ERRORS</t>
  </si>
  <si>
    <t>'Amenities'!</t>
  </si>
  <si>
    <t>carryover and final 4%</t>
  </si>
  <si>
    <t>Check this</t>
  </si>
  <si>
    <t>END AMENITIES  ERRORS</t>
  </si>
  <si>
    <t>Lookup Data</t>
  </si>
  <si>
    <t>Yes/No</t>
  </si>
  <si>
    <t>Yes/No/NA</t>
  </si>
  <si>
    <t>Project  Type</t>
  </si>
  <si>
    <t>Radon Migitgation</t>
  </si>
  <si>
    <t>Passive</t>
  </si>
  <si>
    <t>New Construction &amp; Acquisition/Rehabilitation</t>
  </si>
  <si>
    <t>Active</t>
  </si>
  <si>
    <t>New Construction &amp; Rehab Only</t>
  </si>
  <si>
    <t>None</t>
  </si>
  <si>
    <t>Acquisition/Rehabilitation</t>
  </si>
  <si>
    <t>Rehab Only</t>
  </si>
  <si>
    <t>Has State</t>
  </si>
  <si>
    <t>Fee</t>
  </si>
  <si>
    <t>Type of State Tax Credit</t>
  </si>
  <si>
    <t>Use Alternate Credit Calculation</t>
  </si>
  <si>
    <t>9% Competitive Tax Credit</t>
  </si>
  <si>
    <t>9% Competitive and State Tax Credit</t>
  </si>
  <si>
    <t>Standard</t>
  </si>
  <si>
    <t>9% / 4% Competitive Tax Credit</t>
  </si>
  <si>
    <t>9% / 4% and State Tax Credit</t>
  </si>
  <si>
    <t>4% Noncompetitive Tax Credit</t>
  </si>
  <si>
    <t>4% Noncompetitive and State Tax Credit</t>
  </si>
  <si>
    <t>Accelerated</t>
  </si>
  <si>
    <t xml:space="preserve">4% Noncompetitive and Noncompetitive State Tax Credit </t>
  </si>
  <si>
    <t>Is Preliminary</t>
  </si>
  <si>
    <t>Is Carryover</t>
  </si>
  <si>
    <t>Is Final</t>
  </si>
  <si>
    <t>Is State Milestone</t>
  </si>
  <si>
    <t>Preliminary Application</t>
  </si>
  <si>
    <t>Carryover Application</t>
  </si>
  <si>
    <t>State Milestone Application</t>
  </si>
  <si>
    <t>Final Application</t>
  </si>
  <si>
    <t>Basis Limit test Index</t>
  </si>
  <si>
    <t>Multifamily Apartments</t>
  </si>
  <si>
    <t>Townhouse</t>
  </si>
  <si>
    <t>Walk-up</t>
  </si>
  <si>
    <t>Single Family Detached</t>
  </si>
  <si>
    <t>Slab on Grade</t>
  </si>
  <si>
    <t>Manufactured</t>
  </si>
  <si>
    <t>Type of Energy Efficiency Program</t>
  </si>
  <si>
    <t>Domestic Hot Water System</t>
  </si>
  <si>
    <t>Historic Rehabilitation Tax Credits</t>
  </si>
  <si>
    <t>Drawings Complete</t>
  </si>
  <si>
    <t>EGC</t>
  </si>
  <si>
    <t>Natural</t>
  </si>
  <si>
    <t>Deed</t>
  </si>
  <si>
    <t>Construction Drawings</t>
  </si>
  <si>
    <t>EGC Plus</t>
  </si>
  <si>
    <t>Electric Resistance</t>
  </si>
  <si>
    <t>Exhaust Only</t>
  </si>
  <si>
    <t>Option</t>
  </si>
  <si>
    <t>Design Development</t>
  </si>
  <si>
    <t>Energy Star MFNC</t>
  </si>
  <si>
    <t>Electric Heat Pump</t>
  </si>
  <si>
    <t>Mechanical Supply Only</t>
  </si>
  <si>
    <t>Long Term Lease</t>
  </si>
  <si>
    <t>Schematic</t>
  </si>
  <si>
    <t>LEED Certified</t>
  </si>
  <si>
    <t>Balanced Ventilation</t>
  </si>
  <si>
    <t>LEED Gold</t>
  </si>
  <si>
    <t>Balanced Ventilation with Energy or Heat Recovery</t>
  </si>
  <si>
    <t>LEED Platinum</t>
  </si>
  <si>
    <t>LEED Silver</t>
  </si>
  <si>
    <t>Direct Expansion</t>
  </si>
  <si>
    <t>Aquatherm</t>
  </si>
  <si>
    <t>NGBS Bronze</t>
  </si>
  <si>
    <t>Heat Pump</t>
  </si>
  <si>
    <t>Evaporative Cooling</t>
  </si>
  <si>
    <t>Green Roof</t>
  </si>
  <si>
    <t>Baseboard</t>
  </si>
  <si>
    <t>NGBS Emerald</t>
  </si>
  <si>
    <t>Cold Climate Heat Pump</t>
  </si>
  <si>
    <t>Other Cooling System</t>
  </si>
  <si>
    <t>Furnace/Fan Coil</t>
  </si>
  <si>
    <t>NGBS Gold</t>
  </si>
  <si>
    <t>Other Electric Heat System</t>
  </si>
  <si>
    <t>NGBS Silver</t>
  </si>
  <si>
    <t>Gas Heat</t>
  </si>
  <si>
    <t>PV Ready</t>
  </si>
  <si>
    <t>PTAC</t>
  </si>
  <si>
    <t>PHI</t>
  </si>
  <si>
    <t>Condensing Gas Heat (92%+AFUE)</t>
  </si>
  <si>
    <t>Solar</t>
  </si>
  <si>
    <t>VTAC</t>
  </si>
  <si>
    <t>PHIUS</t>
  </si>
  <si>
    <t>Other Gas Heat System</t>
  </si>
  <si>
    <t>Scoring Weight</t>
  </si>
  <si>
    <t>Unit Mix Type</t>
  </si>
  <si>
    <t>Has Max Rent</t>
  </si>
  <si>
    <t>0 Bed 1 Bath</t>
  </si>
  <si>
    <t>0 Bed 1 Bath Assisted Living</t>
  </si>
  <si>
    <t>0 Bed 1 Bath Subsidized</t>
  </si>
  <si>
    <t>1 Bed 1 Bath</t>
  </si>
  <si>
    <t>1 Bed 1 Bath Assisted Living</t>
  </si>
  <si>
    <t>1 Bed 1 Bath Subsidized</t>
  </si>
  <si>
    <t>2 Bed 1 Bath</t>
  </si>
  <si>
    <t>2 Bed 1 Bath Assisted Living</t>
  </si>
  <si>
    <t>2 Bed 1 Bath Subsidized</t>
  </si>
  <si>
    <t>2 Bed 2 Bath</t>
  </si>
  <si>
    <t>2 Bed 2 Bath Assisted Living</t>
  </si>
  <si>
    <t>2 Bed 2 Bath Subsidized</t>
  </si>
  <si>
    <t>3 Bed 1 Bath</t>
  </si>
  <si>
    <t>3 Bed 1 Bath Assisted Living</t>
  </si>
  <si>
    <t>3 Bed 1 Bath Subsidized</t>
  </si>
  <si>
    <t>3 Bed 2 Bath</t>
  </si>
  <si>
    <t>3 Bed 2 Bath Assisted Living</t>
  </si>
  <si>
    <t>3 Bed 2 Bath Subsidized</t>
  </si>
  <si>
    <t>4 Bed 2 Bath</t>
  </si>
  <si>
    <t>4 Bed 2 Bath Assisted Living</t>
  </si>
  <si>
    <t>4 Bed 2 Bath Subsidized</t>
  </si>
  <si>
    <t>5 Bed 3 Bath</t>
  </si>
  <si>
    <t>5 Bed 3 Bath Assisted Living</t>
  </si>
  <si>
    <t>5 Bed 3 Bath Subsidized</t>
  </si>
  <si>
    <t>Scoring Threshold</t>
  </si>
  <si>
    <t>Score 60%</t>
  </si>
  <si>
    <t>20% at 50% of Area Median Income</t>
  </si>
  <si>
    <t>40% at 60% of Area Median Income</t>
  </si>
  <si>
    <t>10% of Total Units at, or below, 30% of area median income</t>
  </si>
  <si>
    <t>20% of Total Units at, or below, 30% of area median income</t>
  </si>
  <si>
    <t>30% of Total Units at, or below, 30% of area median income</t>
  </si>
  <si>
    <t>Years</t>
  </si>
  <si>
    <t>IsHomelessOption</t>
  </si>
  <si>
    <t>Residential Loan Type</t>
  </si>
  <si>
    <t>Permanent</t>
  </si>
  <si>
    <t>Pending</t>
  </si>
  <si>
    <t>Subsidized</t>
  </si>
  <si>
    <t>Committed</t>
  </si>
  <si>
    <t>Developer Additional Question</t>
  </si>
  <si>
    <t>Dev Fee Max Allowed Percent 1</t>
  </si>
  <si>
    <t>Dev Fee Max Allowed Percent 2</t>
  </si>
  <si>
    <t>Dev Fee Max Allowed Percent 3</t>
  </si>
  <si>
    <t>No Identity of Interest</t>
  </si>
  <si>
    <t>Is Non Profit</t>
  </si>
  <si>
    <t xml:space="preserve">Entity Proxy Type </t>
  </si>
  <si>
    <t>Gender</t>
  </si>
  <si>
    <t>Bond Placement</t>
  </si>
  <si>
    <t>Is Public</t>
  </si>
  <si>
    <t>Legal Status: 501(c)(3)</t>
  </si>
  <si>
    <t>Non-Profit Corporation</t>
  </si>
  <si>
    <t>Female</t>
  </si>
  <si>
    <t>Bonds are Private Placement</t>
  </si>
  <si>
    <t>Legal Status: 501(c)(4)</t>
  </si>
  <si>
    <t>For-Profit Corporation</t>
  </si>
  <si>
    <t>Male</t>
  </si>
  <si>
    <t>Bonds are Public Placement</t>
  </si>
  <si>
    <t>Legal Status: Tax-Exempt Under 501(a)</t>
  </si>
  <si>
    <t>Public Housing Authority</t>
  </si>
  <si>
    <t>I do not wish to answer</t>
  </si>
  <si>
    <t>Legal Status: Public Housing Authority</t>
  </si>
  <si>
    <t xml:space="preserve">Legal Status: General Partnership </t>
  </si>
  <si>
    <t xml:space="preserve">Legal Status: Limited Partnership </t>
  </si>
  <si>
    <t>Consultant</t>
  </si>
  <si>
    <t xml:space="preserve">Race </t>
  </si>
  <si>
    <t>Ethnicity</t>
  </si>
  <si>
    <t>Legal Status: Limited Liability Company</t>
  </si>
  <si>
    <t>American Indian or Alaska Native</t>
  </si>
  <si>
    <t>Hispanic or Latino</t>
  </si>
  <si>
    <t>Legal Status: Limited Liability Limited Partnership</t>
  </si>
  <si>
    <t>Asian</t>
  </si>
  <si>
    <t>Not Hispanic or Latino</t>
  </si>
  <si>
    <t>Legal Status: For-Profit Corporation</t>
  </si>
  <si>
    <t>Black or African American</t>
  </si>
  <si>
    <t>Legal Status: Indivdual</t>
  </si>
  <si>
    <t>Native Hawaiian or Other Pacific Islander</t>
  </si>
  <si>
    <t>Legal Status: Other</t>
  </si>
  <si>
    <t>White</t>
  </si>
  <si>
    <t>Jurisdiction Title</t>
  </si>
  <si>
    <t>Mayor's Designate</t>
  </si>
  <si>
    <t>Number of beds per room</t>
  </si>
  <si>
    <t>Utilitiy Model</t>
  </si>
  <si>
    <t>1 bed per room</t>
  </si>
  <si>
    <t>PHA</t>
  </si>
  <si>
    <t>Not Optional</t>
  </si>
  <si>
    <t>2 beds per room</t>
  </si>
  <si>
    <t>Local Utility Estimates</t>
  </si>
  <si>
    <t>Optional</t>
  </si>
  <si>
    <t>HUD Model</t>
  </si>
  <si>
    <t>Energy Consumption Model</t>
  </si>
  <si>
    <t>Output Form Comments</t>
  </si>
  <si>
    <t>Minimum PUPA</t>
  </si>
  <si>
    <t>The mininum PUPA requirement has been met</t>
  </si>
  <si>
    <t>The construction interest requirement has been met</t>
  </si>
  <si>
    <t>The mininum PUPA requirement has NOT been met</t>
  </si>
  <si>
    <t>Construction interest actual exceeds construction interest test</t>
  </si>
  <si>
    <t>Minimum Operating Reserves</t>
  </si>
  <si>
    <t>Development Funds</t>
  </si>
  <si>
    <t>The minimum development operating reserves requirement has been met</t>
  </si>
  <si>
    <t>The minimum development operating reserves requirement has NOT been met</t>
  </si>
  <si>
    <t>Minimum Replacement Reserves</t>
  </si>
  <si>
    <t>The mininum replacement reserves requirement has been met</t>
  </si>
  <si>
    <t>The minimum score requirement has been met</t>
  </si>
  <si>
    <t>The mininum replacement reserves requirement has NOT been met</t>
  </si>
  <si>
    <t>The minimum score requirement has NOT been met</t>
  </si>
  <si>
    <t>State Tax Credit Test</t>
  </si>
  <si>
    <t>PAB Requirements</t>
  </si>
  <si>
    <t>State Tax Credit Eligible Basis 30% test passed</t>
  </si>
  <si>
    <t>The PAB requirement measures between 50% and 55%</t>
  </si>
  <si>
    <t>State Tax Credit Eligible Basis 30% test failed</t>
  </si>
  <si>
    <t>The PAB requirement should measure between 50% and 55%</t>
  </si>
  <si>
    <t>10 Year Cash Flow</t>
  </si>
  <si>
    <t>15 Year Cash Flow</t>
  </si>
  <si>
    <t>The 10 Year cash flow available after obligations payable test has NOT been met</t>
  </si>
  <si>
    <t>The 15 Year cash flow available after obligations payable test has NOT been met</t>
  </si>
  <si>
    <t>Min DCR</t>
  </si>
  <si>
    <t>The minimum Debt Coverage Ratio test has been met</t>
  </si>
  <si>
    <t>*40% of the units must be less than or equal to 60% AMI OR 20% of the units MUST be less than or equal to 50% AMI</t>
  </si>
  <si>
    <t>The minimum Debt Coverage Ratio test has NOT been met</t>
  </si>
  <si>
    <t xml:space="preserve">CHFA Financing </t>
  </si>
  <si>
    <t xml:space="preserve">Legal Status of Borrower </t>
  </si>
  <si>
    <t xml:space="preserve">Status of Borrowing / Ownership </t>
  </si>
  <si>
    <t xml:space="preserve">General Partnership </t>
  </si>
  <si>
    <t xml:space="preserve">Currently Exists </t>
  </si>
  <si>
    <t xml:space="preserve">Limited Partnership </t>
  </si>
  <si>
    <t>To be Formed</t>
  </si>
  <si>
    <t xml:space="preserve">Limited Liability Company </t>
  </si>
  <si>
    <t xml:space="preserve">Limited Liability Limited Partnership </t>
  </si>
  <si>
    <t xml:space="preserve">Non-Profit Corporation </t>
  </si>
  <si>
    <t xml:space="preserve">For-Profit Corporation </t>
  </si>
  <si>
    <t xml:space="preserve">Individual </t>
  </si>
  <si>
    <t xml:space="preserve">Other </t>
  </si>
  <si>
    <t>AL</t>
  </si>
  <si>
    <t>AK</t>
  </si>
  <si>
    <t>AZ</t>
  </si>
  <si>
    <t>AR</t>
  </si>
  <si>
    <t>CA</t>
  </si>
  <si>
    <t>CT</t>
  </si>
  <si>
    <t>DE</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</si>
  <si>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</si>
  <si>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</si>
  <si>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</si>
  <si>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</si>
  <si>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</si>
  <si>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</si>
  <si>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</si>
  <si>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</si>
  <si>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</si>
  <si>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</si>
  <si>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</si>
  <si>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</si>
  <si>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</si>
  <si>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</si>
  <si>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</si>
  <si>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</si>
  <si>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</si>
  <si>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</si>
  <si>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</si>
  <si>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</si>
  <si>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</si>
  <si>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</si>
  <si>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</si>
  <si>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</si>
  <si>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</si>
  <si>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</si>
  <si>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</si>
  <si>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</si>
  <si>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</si>
  <si>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</si>
  <si>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</si>
  <si>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</si>
  <si>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</si>
  <si>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</si>
  <si>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</si>
  <si>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</si>
  <si>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</si>
  <si>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</si>
  <si>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</si>
  <si>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</si>
  <si>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</si>
  <si>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</si>
  <si>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Name Change Fee</t>
  </si>
  <si>
    <t>20</t>
  </si>
  <si>
    <t>20%</t>
  </si>
  <si>
    <t>Second Initial Determination Fee</t>
  </si>
  <si>
    <t>Handicapped</t>
  </si>
  <si>
    <t>25</t>
  </si>
  <si>
    <t>Acquisition</t>
  </si>
  <si>
    <t>1 Story Eff - Elderly</t>
  </si>
  <si>
    <t>Subsidized Funding</t>
  </si>
  <si>
    <t>30%</t>
  </si>
  <si>
    <t>Individual</t>
  </si>
  <si>
    <t>AM Special Activity</t>
  </si>
  <si>
    <t xml:space="preserve">Supplemental/Additional Credit Fee </t>
  </si>
  <si>
    <t>Mixed</t>
  </si>
  <si>
    <t>30</t>
  </si>
  <si>
    <t>1 Story 1BR - Elderly</t>
  </si>
  <si>
    <t>40%</t>
  </si>
  <si>
    <t>Applicant</t>
  </si>
  <si>
    <t>35</t>
  </si>
  <si>
    <t>Purchase Contract</t>
  </si>
  <si>
    <t>1 Story 2BR - Elderly</t>
  </si>
  <si>
    <t>50%</t>
  </si>
  <si>
    <t>Business Relationship</t>
  </si>
  <si>
    <t>40</t>
  </si>
  <si>
    <t>New Const w/Fed Subsidies</t>
  </si>
  <si>
    <t>Eff - Elderly</t>
  </si>
  <si>
    <t>60%</t>
  </si>
  <si>
    <t>Disabled</t>
  </si>
  <si>
    <t>1BR Elderly</t>
  </si>
  <si>
    <t>70%</t>
  </si>
  <si>
    <t>Construction Inspector</t>
  </si>
  <si>
    <t>Rehabilitation w/Fed Subsidies</t>
  </si>
  <si>
    <t>2BR Elderly</t>
  </si>
  <si>
    <t>80%</t>
  </si>
  <si>
    <t>DC</t>
  </si>
  <si>
    <t>Rehabilitation w/out Fed Subsidies</t>
  </si>
  <si>
    <t>Eff - Garden</t>
  </si>
  <si>
    <t>100%</t>
  </si>
  <si>
    <t>1BR Garden</t>
  </si>
  <si>
    <t>2BR Garden</t>
  </si>
  <si>
    <t>3BR Garden</t>
  </si>
  <si>
    <t>Subsidy Layering Review Fee</t>
  </si>
  <si>
    <t>4BR Garden</t>
  </si>
  <si>
    <t>Insurance Broker</t>
  </si>
  <si>
    <t>2+ Story 2BR Townhouse</t>
  </si>
  <si>
    <t>Insurance Carrier</t>
  </si>
  <si>
    <t>2+ Story 3BR Townhouse</t>
  </si>
  <si>
    <t>2+ Story 4BR Townhouse</t>
  </si>
  <si>
    <t>Mortgagor</t>
  </si>
  <si>
    <t>Partner</t>
  </si>
  <si>
    <t>Sponsor</t>
  </si>
  <si>
    <t>Title Company</t>
  </si>
  <si>
    <t>Owner</t>
  </si>
  <si>
    <t>Management Entity</t>
  </si>
  <si>
    <t>Mortgage Banker</t>
  </si>
  <si>
    <t>Partnership</t>
  </si>
  <si>
    <t>Sedwick</t>
  </si>
  <si>
    <t>Alternate Credit</t>
  </si>
  <si>
    <t>TOC</t>
  </si>
  <si>
    <t>Credit Calculation (Basis/Unit)</t>
  </si>
  <si>
    <t>TOC Credit Amount</t>
  </si>
  <si>
    <t>TOC VALUES</t>
  </si>
  <si>
    <t xml:space="preserve"> DDA Boost</t>
  </si>
  <si>
    <t>% of CHFA Designated</t>
  </si>
  <si>
    <t>Minimum 4% and State</t>
  </si>
  <si>
    <t>15 Years Compliance + 15 Year Extended Use</t>
  </si>
  <si>
    <t>15 Years Compliance + 25 Year Extended Use</t>
  </si>
  <si>
    <t>Extended Use: 15 year = 25 points, 25 year = 40 points</t>
  </si>
  <si>
    <t>Yes=2 point</t>
  </si>
  <si>
    <t>Development Characteristics 7</t>
  </si>
  <si>
    <t>Maximum State Credit per Unit Basis Amount</t>
  </si>
  <si>
    <t>Maximum TOC Credit per Unit Basis Amount</t>
  </si>
  <si>
    <t>Replacement Reserves Threshold - Older Adult/New Construction</t>
  </si>
  <si>
    <t>Is Older Adult</t>
  </si>
  <si>
    <t>No Smoking Policy. Projects that will institute a no smoking policy for 100% of the project, which includes anywhere inside the building or on the grounds of the property. The policy needs to be provided at the time of application.</t>
  </si>
  <si>
    <t>Development that provides housing for a mix of incomes by having no more than 80% tax credit-eligible total units.</t>
  </si>
  <si>
    <t>Yes = 3 points</t>
  </si>
  <si>
    <t xml:space="preserve">Development is located in a community that has an identified community affordable housing priority. Applicant must provide evidence, clearly demonstrating the project fits into the community's needs.
</t>
  </si>
  <si>
    <t>Developments maximizing construction efficiency by utilizing modular or factory-built construction, prefabricated components. Applicants must provide supporting documentation detailing modular boxes or type of components, delivery, installation and any cost savings.</t>
  </si>
  <si>
    <t>Developments utilizing Universal Design or providing accessible units which total at least five percent of the project’s total units. Applicants must provide details in supporting documentation.</t>
  </si>
  <si>
    <t>Development be located at an existing or planned Transit Oriented Design (TOD) site, which is defined as that which is within a half-mile walk distance of transit corridors with easy access to job center. Housing proposal should maximize allowable density at TOD site.</t>
  </si>
  <si>
    <t>Development Location 1</t>
  </si>
  <si>
    <t>Development Location 2</t>
  </si>
  <si>
    <t>TOC Application Fee</t>
  </si>
  <si>
    <t>TOC Application Fee (if applicable)</t>
  </si>
  <si>
    <t>Preliminary Application Fee for TOC Credit</t>
  </si>
  <si>
    <t>TOC Credit? Y/N</t>
  </si>
  <si>
    <t>TOC Fee</t>
  </si>
  <si>
    <t>Management Company racial/ethnic composition</t>
  </si>
  <si>
    <t>Management Company gender composition</t>
  </si>
  <si>
    <t>9% Max</t>
  </si>
  <si>
    <t>State Max</t>
  </si>
  <si>
    <t>Minimum 4% Noncompetitive Score</t>
  </si>
  <si>
    <t>TOC Credit Equity</t>
  </si>
  <si>
    <t>TOC Maximum Credit Amount</t>
  </si>
  <si>
    <t>Eligible for a Total Annual TOC Credit</t>
  </si>
  <si>
    <t>HAS TOC</t>
  </si>
  <si>
    <t>TOC Credit Equity (if applicable)</t>
  </si>
  <si>
    <t>Total Finance Sources (other than Tax Credit Equity for non-9%/state deals)</t>
  </si>
  <si>
    <t>TOC Annual Credit Overide</t>
  </si>
  <si>
    <t>Show Method 2?</t>
  </si>
  <si>
    <t xml:space="preserve">Has TOC </t>
  </si>
  <si>
    <t>State Annual Credit Override</t>
  </si>
  <si>
    <t>9%/State Gap Method Credit Amount</t>
  </si>
  <si>
    <t>Is NOT 9% and State</t>
  </si>
  <si>
    <t>Solar Tax Credits/ITC</t>
  </si>
  <si>
    <t>Residential Grants and/or Other Source</t>
  </si>
  <si>
    <t>Number of EV Charging Stations (if applicable)</t>
  </si>
  <si>
    <t>State Credit Equity-Total Funds 9%/State</t>
  </si>
  <si>
    <t>TOC Credit Equity-Total Funds 9%/State</t>
  </si>
  <si>
    <t>TOC Credit Equity Price</t>
  </si>
  <si>
    <t>State Credit Equity Price</t>
  </si>
  <si>
    <t>Federal Credit Equity Price</t>
  </si>
  <si>
    <t>Development Total Funds equal Budget</t>
  </si>
  <si>
    <t>Development Total Funds do not equal Budget</t>
  </si>
  <si>
    <t>Less Federal Credit Equity, if applicable</t>
  </si>
  <si>
    <t>reviewed in Dec 2024, no changes</t>
  </si>
  <si>
    <t>updated 11/9/22, reviewed in Dec 2024, no changes</t>
  </si>
  <si>
    <t>Cost Basis Limit Test</t>
  </si>
  <si>
    <t>updated 11/28/23 (+16%)</t>
  </si>
  <si>
    <t>Fee 5</t>
  </si>
  <si>
    <t>Projects that are pet-inclusive allowing one or more pet animals, defined as a dog or cat that is commonly kept in the home as a companionship rather than for commercial purposes, and within allowable reasonable conditions as defined in CRS 24-32-735 (c)(I) and (II), applicable state and local laws governing public health, animal control, and anti-cruelty, and applicable conditions adopted by the authority.  Pet inclusive practices do not limit or affect other laws that require reasonable accommodations to be made for an individual with a disability who maintains an animal to provide assistance, service, or support.  </t>
  </si>
  <si>
    <t>Yes=1 point</t>
  </si>
  <si>
    <t>Development Characteristics 8</t>
  </si>
  <si>
    <t>Affiliate of the Applicant</t>
  </si>
  <si>
    <t>All fees are non-refundable</t>
  </si>
  <si>
    <t>Do not pay fee(s) prior to receiving invoice from CHFA</t>
  </si>
  <si>
    <t>TOC Credit Equity Amount</t>
  </si>
  <si>
    <t>2025 Income Limit and Maximum Rent Tables for all Colorado Counties</t>
  </si>
  <si>
    <t>HUD Effective Date: April 1, 2025</t>
  </si>
  <si>
    <t>- The IRS allows Housing Tax Credit projects that placed in service as of 12.31.2008 to use higher HERA Special limits. 
- All Housing Tax Credit and CHFA Loan projects are “held harmless” from limit decreases. To be “held harmless,” a project must be in service before 05.16.2025. 
- Housing Tax Credit and CHFA Multifamily Loan projects whose counties experienced a decrease in 2025 limits and that place in service before 05.16.2025 may continue to apply the same limits used in 2024.</t>
  </si>
  <si>
    <t>Affiliate of the Applicant Org Name</t>
  </si>
  <si>
    <t>Affiliate of the Applicant Address</t>
  </si>
  <si>
    <t>Affiliate of the Applicant City</t>
  </si>
  <si>
    <t>Affiliate of the Applicant State</t>
  </si>
  <si>
    <t>Affiliate of the Applicant Zip</t>
  </si>
  <si>
    <t>Affiliate of the Applicant Contact First Name</t>
  </si>
  <si>
    <t>Affiliate of the Applicant Contact Last Name</t>
  </si>
  <si>
    <t>Affiliate of the Applicant gender comp</t>
  </si>
  <si>
    <t>Affiliate of the Applicant racial/ethnic comp</t>
  </si>
  <si>
    <t>Affiliate of the Applicant Email</t>
  </si>
  <si>
    <t>Affiliate of the Applicant Phone</t>
  </si>
  <si>
    <t>DevCharK - Pet Inclusive</t>
  </si>
  <si>
    <t>Affiliate of the Sponsor</t>
  </si>
  <si>
    <t>State Credit Application Fee</t>
  </si>
  <si>
    <t>MIHTC Application Fee - Initial Review</t>
  </si>
  <si>
    <t>MIHTC Application Fee - Advanced Review</t>
  </si>
  <si>
    <t>MIHTC Reservation Fee</t>
  </si>
  <si>
    <t>MIHTC Milestone Fee</t>
  </si>
  <si>
    <t>MIHTC Final Application Fee</t>
  </si>
  <si>
    <t>90%</t>
  </si>
  <si>
    <t>110%</t>
  </si>
  <si>
    <t>120%</t>
  </si>
  <si>
    <t>130%</t>
  </si>
  <si>
    <t>140%</t>
  </si>
  <si>
    <t>MIHTC Credit Transferee</t>
  </si>
  <si>
    <t xml:space="preserve">MIHTC Syndicator/Investor </t>
  </si>
  <si>
    <t>DevCharA -Community Revitalization Plan</t>
  </si>
  <si>
    <t>DevCharB - Development Location 1</t>
  </si>
  <si>
    <t>DevCharC - Development Location 2</t>
  </si>
  <si>
    <t>DevCharD - Development Characteristics 1</t>
  </si>
  <si>
    <t>DevCharE - Development Characteristics 2</t>
  </si>
  <si>
    <t>DevCharF - Development Characteristics 3</t>
  </si>
  <si>
    <t>DevCharG - Development Characteristics 4</t>
  </si>
  <si>
    <t>DevCharH - Development Characteristics 5</t>
  </si>
  <si>
    <t>DevCharI - Development Characteristics 6</t>
  </si>
  <si>
    <t>DevCharJ Development Characteristics 7</t>
  </si>
  <si>
    <t>C</t>
  </si>
  <si>
    <t>D</t>
  </si>
  <si>
    <t>E</t>
  </si>
  <si>
    <t>F</t>
  </si>
  <si>
    <t>I</t>
  </si>
  <si>
    <t>J</t>
  </si>
  <si>
    <t>ROW</t>
  </si>
  <si>
    <t>*** if these orgs change rows on contact summary update ROW</t>
  </si>
  <si>
    <r>
      <t xml:space="preserve">Complete all contact information. If not yet selected, leave blank. </t>
    </r>
    <r>
      <rPr>
        <b/>
        <sz val="11"/>
        <color rgb="FFFF0000"/>
        <rFont val="Calibri"/>
        <family val="2"/>
        <scheme val="minor"/>
      </rPr>
      <t xml:space="preserve">Do not enter TBD or N/A in any contact data cells. </t>
    </r>
    <r>
      <rPr>
        <b/>
        <sz val="11"/>
        <rFont val="Calibri"/>
        <family val="2"/>
        <scheme val="minor"/>
      </rPr>
      <t>Only use N/A if accurate for racial/ethnic and gender composition answers.</t>
    </r>
  </si>
  <si>
    <t>Additional Participating Nonprofit or PHA Questions</t>
  </si>
  <si>
    <t>Onsite Work</t>
  </si>
  <si>
    <t xml:space="preserve">      Part of Eligible Basis</t>
  </si>
  <si>
    <t>If a Development team member hasn't been selected, 
please leave blank. 
Do not enter TBD or N/A in any contact data cells.</t>
  </si>
  <si>
    <t xml:space="preserve">Note: Additional points will be awarded for "Score related to Household Percentage below 51% AMI with Housing Problems" and "Score related to the number of All Households with Housing Problems." To view points awarded for each please see Tax Credit Details sheet. </t>
  </si>
  <si>
    <t>% of Non-living SF</t>
  </si>
  <si>
    <t>PSH Developer Fee Boost (up to 5%, LIHTC only)</t>
  </si>
  <si>
    <t>DOH combined award</t>
  </si>
  <si>
    <t>DOH Grant</t>
  </si>
  <si>
    <t>DOH Loan</t>
  </si>
  <si>
    <t>% breakdown</t>
  </si>
  <si>
    <t>Subsidy per all affordable Units (excluding market rate and employee unit)</t>
  </si>
  <si>
    <t>DOH Breakdown</t>
  </si>
  <si>
    <t>*Enter the DOH Loan/Grant on the Financing tab</t>
  </si>
  <si>
    <t>GAP (SURPLUS):</t>
  </si>
  <si>
    <t>TOTAL USES</t>
  </si>
  <si>
    <t>4% Federal Tax Credit Equity</t>
  </si>
  <si>
    <t>9% Federal Tax Credit Equity</t>
  </si>
  <si>
    <t>Reserves</t>
  </si>
  <si>
    <t>Developer Fee / Profit</t>
  </si>
  <si>
    <t>Perm. Finance &amp; Synd.</t>
  </si>
  <si>
    <t>Construction Finance</t>
  </si>
  <si>
    <t>Construction</t>
  </si>
  <si>
    <t>Site Improvements</t>
  </si>
  <si>
    <t>Acquisition Costs</t>
  </si>
  <si>
    <t>Status</t>
  </si>
  <si>
    <t>Permanent Sources &amp; Uses Budget</t>
  </si>
  <si>
    <t xml:space="preserve">Submitted Date: </t>
  </si>
  <si>
    <t xml:space="preserve">County: </t>
  </si>
  <si>
    <t>Housing Development &amp; Preservation - Staff Analysis</t>
  </si>
  <si>
    <t>Totals</t>
  </si>
  <si>
    <t>Totals by Bedroom Type</t>
  </si>
  <si>
    <t>% Of Unit Total</t>
  </si>
  <si>
    <t>"HOME Cost" by BR Type</t>
  </si>
  <si>
    <t>Num. Non-Asstd Units</t>
  </si>
  <si>
    <t>Num. of HOME Units</t>
  </si>
  <si>
    <t>Sq. Ft.</t>
  </si>
  <si>
    <t>#of units</t>
  </si>
  <si>
    <t>% AMI</t>
  </si>
  <si>
    <t>Bd/Bath</t>
  </si>
  <si>
    <t>Assisted Units</t>
  </si>
  <si>
    <t>Imported from Inc&amp;Exp Tab</t>
  </si>
  <si>
    <t>Total Affordable Units</t>
  </si>
  <si>
    <t>Manager's Unit - Unrestricted</t>
  </si>
  <si>
    <t>Other Affordable</t>
  </si>
  <si>
    <t>90% AMI</t>
  </si>
  <si>
    <t>50% AMI</t>
  </si>
  <si>
    <t>Total HOME Limit</t>
  </si>
  <si>
    <t>HOME Subsidy Limit</t>
  </si>
  <si>
    <t>Actual # Assisted units</t>
  </si>
  <si>
    <t>Round # Assisted units</t>
  </si>
  <si>
    <t># Units in project</t>
  </si>
  <si>
    <t>40% AMI</t>
  </si>
  <si>
    <t>Distribution of CDOH Assisted units by BR size - use this for the CDOH Contract &amp; Use Covenant</t>
  </si>
  <si>
    <t>30% AMI</t>
  </si>
  <si>
    <t>DOH Share Ratio</t>
  </si>
  <si>
    <t>DOH-Assisted</t>
  </si>
  <si>
    <t>Base Project Cost per Sq Ft</t>
  </si>
  <si>
    <t>Total Residential Sq Ft</t>
  </si>
  <si>
    <t>Base Project Cost</t>
  </si>
  <si>
    <t xml:space="preserve"> - Expenses for Stand-Alone, Non-Exclusive Space &amp; Luxury Space</t>
  </si>
  <si>
    <t xml:space="preserve">  - Furnishings</t>
  </si>
  <si>
    <t xml:space="preserve">  - LIHTC Expenses</t>
  </si>
  <si>
    <t xml:space="preserve">  - Off-Site Improvements</t>
  </si>
  <si>
    <t xml:space="preserve">  - Ineligible Reserves</t>
  </si>
  <si>
    <t>Total Development Expenses</t>
  </si>
  <si>
    <t>Income Limits</t>
  </si>
  <si>
    <t>Unit Type</t>
  </si>
  <si>
    <t>Total DOH Funds</t>
  </si>
  <si>
    <t>Unit Mix Exhibit</t>
  </si>
  <si>
    <t>Are all units within each unit type comparable?**</t>
  </si>
  <si>
    <t>Assisted Units Based on HOME Methodology (% of HOME Funds and HOME Subsidy Limit)</t>
  </si>
  <si>
    <t>Percent of units at 30% AMI (%)</t>
  </si>
  <si>
    <t>Number of 30% AMI Units (#)</t>
  </si>
  <si>
    <t>Average Affordability (% AMI)</t>
  </si>
  <si>
    <t>Other Criteria</t>
  </si>
  <si>
    <t>State AHTC Credit Pricing</t>
  </si>
  <si>
    <t>4% LIHTC Credit Pricing</t>
  </si>
  <si>
    <t>9% LIHTC Credit Pricing</t>
  </si>
  <si>
    <t>Primary Financing Term (Years)</t>
  </si>
  <si>
    <t>Primary Financing Int. Rate</t>
  </si>
  <si>
    <t>DOH funds as % of total budget:</t>
  </si>
  <si>
    <t xml:space="preserve">Rural: Up to </t>
  </si>
  <si>
    <t xml:space="preserve">Up to </t>
  </si>
  <si>
    <t>/Unit</t>
  </si>
  <si>
    <t>DOH Subsidy per Unit</t>
  </si>
  <si>
    <t xml:space="preserve">Urban: Up to </t>
  </si>
  <si>
    <t>Financial Commitments</t>
  </si>
  <si>
    <t>Deferred Developer Fee projected payback Year (of TC Partnership)</t>
  </si>
  <si>
    <t>Deferred Developer Fee (%)</t>
  </si>
  <si>
    <t>4-6 month debt and operating costs, per lender or investor requirement</t>
  </si>
  <si>
    <t>Operating Reserve (Months)</t>
  </si>
  <si>
    <t>4-6 month debt and operating costs, 
per lender or investor requirement</t>
  </si>
  <si>
    <t>1.15 – 1.30, not to exceed lender/investor requirement</t>
  </si>
  <si>
    <t>1.15 – 1.30 not to exceed 
lender/investor requirement</t>
  </si>
  <si>
    <t>$350 for PSH</t>
  </si>
  <si>
    <t>Annual Replacement Reserve per Unit</t>
  </si>
  <si>
    <t>$300 ($250 for seniors)</t>
  </si>
  <si>
    <t>Annual Operating Expense per Unit</t>
  </si>
  <si>
    <t>Rental Metrics</t>
  </si>
  <si>
    <t>15% if 50 units or less</t>
  </si>
  <si>
    <t>Up to</t>
  </si>
  <si>
    <t>Developer Fee as % of total allowable costs</t>
  </si>
  <si>
    <t>Select One</t>
  </si>
  <si>
    <t xml:space="preserve">12% if over 50 units </t>
  </si>
  <si>
    <t>Land Cost/Unit</t>
  </si>
  <si>
    <t>Soft Cost/Unit</t>
  </si>
  <si>
    <t>Hard Cost/Unit</t>
  </si>
  <si>
    <t>/Sq. Ft.</t>
  </si>
  <si>
    <t>Land Cost/Sq. Ft.</t>
  </si>
  <si>
    <t>Soft Cost/Sq. Ft.</t>
  </si>
  <si>
    <t>Hard Cost/Sq. Ft.</t>
  </si>
  <si>
    <t>Cost reasonableness</t>
  </si>
  <si>
    <t>Cost/Sq. Ft.</t>
  </si>
  <si>
    <t>Leveraged funds</t>
  </si>
  <si>
    <t>Development Cost</t>
  </si>
  <si>
    <t>UW Scores</t>
  </si>
  <si>
    <t>Variances</t>
  </si>
  <si>
    <t>DOH Range</t>
  </si>
  <si>
    <t>Project Data</t>
  </si>
  <si>
    <t>Criteria</t>
  </si>
  <si>
    <t>Permanent Supportive Housing (PSH) PROJECT ASSESSMENT</t>
  </si>
  <si>
    <t>Rental (non-PSH) and Homeownership Project Assessment</t>
  </si>
  <si>
    <t>Payment</t>
  </si>
  <si>
    <t>CF #5 Start</t>
  </si>
  <si>
    <t>Y40</t>
  </si>
  <si>
    <t>Y39</t>
  </si>
  <si>
    <t>Y38</t>
  </si>
  <si>
    <t>Y37</t>
  </si>
  <si>
    <t>Y36</t>
  </si>
  <si>
    <t>Y35</t>
  </si>
  <si>
    <t>Y34</t>
  </si>
  <si>
    <t>Y33</t>
  </si>
  <si>
    <t>Y32</t>
  </si>
  <si>
    <t>Y31</t>
  </si>
  <si>
    <t>Y30</t>
  </si>
  <si>
    <t>Y29</t>
  </si>
  <si>
    <t>Y28</t>
  </si>
  <si>
    <t>Y27</t>
  </si>
  <si>
    <t>Y26</t>
  </si>
  <si>
    <t>Y25</t>
  </si>
  <si>
    <t>Y24</t>
  </si>
  <si>
    <t>Y23</t>
  </si>
  <si>
    <t>Y22</t>
  </si>
  <si>
    <t>Y21</t>
  </si>
  <si>
    <t>Y20</t>
  </si>
  <si>
    <t>Y19</t>
  </si>
  <si>
    <t>Y18</t>
  </si>
  <si>
    <t>Y17</t>
  </si>
  <si>
    <t>Y16</t>
  </si>
  <si>
    <t>Y15</t>
  </si>
  <si>
    <t>Y14</t>
  </si>
  <si>
    <t>Y13</t>
  </si>
  <si>
    <t>Y12</t>
  </si>
  <si>
    <t>Y11</t>
  </si>
  <si>
    <t>Y10</t>
  </si>
  <si>
    <t>Y9</t>
  </si>
  <si>
    <t>Y8</t>
  </si>
  <si>
    <t>Y7</t>
  </si>
  <si>
    <t>Y6</t>
  </si>
  <si>
    <t>Y5</t>
  </si>
  <si>
    <t>Y4</t>
  </si>
  <si>
    <t>Y3</t>
  </si>
  <si>
    <t>Y2</t>
  </si>
  <si>
    <t>Y1</t>
  </si>
  <si>
    <t>Cash Flow Loan Payments</t>
  </si>
  <si>
    <t>CF #4 Start</t>
  </si>
  <si>
    <t>CF #3 Start</t>
  </si>
  <si>
    <t>CF #2 Start</t>
  </si>
  <si>
    <t>CF  #1 Start</t>
  </si>
  <si>
    <t>DDF Start Bal</t>
  </si>
  <si>
    <t>CALCULATIONS:</t>
  </si>
  <si>
    <t xml:space="preserve">**Balance must be less than 0 - Cell turns Green when able to Refi** </t>
  </si>
  <si>
    <t>Total Debt - Max loan amount:</t>
  </si>
  <si>
    <t>Max loan amount/ Lesser of loan options:</t>
  </si>
  <si>
    <t>Loan Amount (LTV)</t>
  </si>
  <si>
    <t>Loan-to-Value</t>
  </si>
  <si>
    <t>Cap Rate</t>
  </si>
  <si>
    <t>Loan Amount (DSCR)</t>
  </si>
  <si>
    <t>DSCR</t>
  </si>
  <si>
    <t>Net Operating Income in Year 30</t>
  </si>
  <si>
    <t>Total Debt</t>
  </si>
  <si>
    <t>Outstanding Subordinate loan balance CFL6</t>
  </si>
  <si>
    <t>Outstanding Subordinate loan balance CFL5</t>
  </si>
  <si>
    <t>Outstanding Subordinate loan balance CFL4</t>
  </si>
  <si>
    <t>Outstanding Subordinate loan balance CFL3</t>
  </si>
  <si>
    <t>Outstanding Subordinate loan balance CFL2</t>
  </si>
  <si>
    <t>Outstanding Subordinate loan balance CFL1</t>
  </si>
  <si>
    <t>Outstanding Subordinate loan balance DDF</t>
  </si>
  <si>
    <t>Outstanding 3rd Mortgage Loan Balance</t>
  </si>
  <si>
    <t>Outstanding 2nd Mortgage Loan Balance</t>
  </si>
  <si>
    <t>Outstanding 1st Mortgage Loan Balance</t>
  </si>
  <si>
    <t>Year 40</t>
  </si>
  <si>
    <t>Year 39</t>
  </si>
  <si>
    <t>Year 38</t>
  </si>
  <si>
    <t>Year 37</t>
  </si>
  <si>
    <t>Year 36</t>
  </si>
  <si>
    <t>Year 35</t>
  </si>
  <si>
    <t>Year 34</t>
  </si>
  <si>
    <t>Year 33</t>
  </si>
  <si>
    <t>Year 32</t>
  </si>
  <si>
    <t>Year 31</t>
  </si>
  <si>
    <t>Year 30</t>
  </si>
  <si>
    <t>Year 29</t>
  </si>
  <si>
    <t>Year 28</t>
  </si>
  <si>
    <t>Year 27</t>
  </si>
  <si>
    <t>Year 26</t>
  </si>
  <si>
    <t>Year 25</t>
  </si>
  <si>
    <t>Year 24</t>
  </si>
  <si>
    <t>Year 23</t>
  </si>
  <si>
    <t>Year 22</t>
  </si>
  <si>
    <t>Year 21</t>
  </si>
  <si>
    <t>Year 20</t>
  </si>
  <si>
    <t>Year 19</t>
  </si>
  <si>
    <t>Year 18</t>
  </si>
  <si>
    <t>Year 17</t>
  </si>
  <si>
    <t>Year 16</t>
  </si>
  <si>
    <t>Refinance Scenario</t>
  </si>
  <si>
    <t>Available Cash after Payments</t>
  </si>
  <si>
    <t>Deferred Developer Fees</t>
  </si>
  <si>
    <t>Projected Payments from Cash flow</t>
  </si>
  <si>
    <t>Cash flow Available</t>
  </si>
  <si>
    <t>Other Annual Payments (Ground Lease, PSH, etc)</t>
  </si>
  <si>
    <t>Total Debt Service</t>
  </si>
  <si>
    <t>Eff. Gross Income</t>
  </si>
  <si>
    <t>Operating Proforma</t>
  </si>
  <si>
    <t>TOTAL</t>
  </si>
  <si>
    <t>Yrs 31-40</t>
  </si>
  <si>
    <t>Yrs 21 - 30</t>
  </si>
  <si>
    <t>Yrs 11-20</t>
  </si>
  <si>
    <t>Yrs 1-10</t>
  </si>
  <si>
    <t>Deferred Developer Fee Totals</t>
  </si>
  <si>
    <t>Cash Flow % of Services Budget (Trust Fund + CF Contribution)</t>
  </si>
  <si>
    <t>Net Cash Services Reserve</t>
  </si>
  <si>
    <t>Surplus/Deficit by Year</t>
  </si>
  <si>
    <t>Available Cash Flow after Pmts</t>
  </si>
  <si>
    <t>Services Contribution Needed from Cash Flow After Pmts</t>
  </si>
  <si>
    <t>Sum of Services Sources</t>
  </si>
  <si>
    <t>Source #6</t>
  </si>
  <si>
    <t>Source #5</t>
  </si>
  <si>
    <t>Source #4</t>
  </si>
  <si>
    <t>Source #3</t>
  </si>
  <si>
    <t>Source #2</t>
  </si>
  <si>
    <t>Source #1</t>
  </si>
  <si>
    <t>Capitalized Service Fund (5% of Developers Fee made available through PSH boost)</t>
  </si>
  <si>
    <t>Year 0</t>
  </si>
  <si>
    <t>Name of Funder</t>
  </si>
  <si>
    <t>Forecast of Sources</t>
  </si>
  <si>
    <t>Annual inflation factor of _3__% applied to Years 2-5</t>
  </si>
  <si>
    <t>Forecast of Expenses (Year 1 Taken from Budget)</t>
  </si>
  <si>
    <t>Housing Development &amp; Preservation -  Projected Funding &amp; Reserves for Supportive Services</t>
  </si>
  <si>
    <t>TOC Credit Pricing</t>
  </si>
  <si>
    <t>Updated 10/6/25</t>
  </si>
  <si>
    <t>Metro Statistical Area (MSA), updated 10/6/25</t>
  </si>
  <si>
    <t>Updated 11/1/22-updated rural QCT numbers 4/10/23, 10/20/23, 10/6/25</t>
  </si>
  <si>
    <t>Updated 10/6/25-deleted 30, added 1 (80530)</t>
  </si>
  <si>
    <t>Monthly Residential Income</t>
  </si>
  <si>
    <t>Monthly Amount</t>
  </si>
  <si>
    <t>Updated 10/6/25 (+3.8%)</t>
  </si>
  <si>
    <t>DDF could be repaid as early as</t>
  </si>
  <si>
    <t>DOE Efficient New Homes (fka ZERH)</t>
  </si>
  <si>
    <t xml:space="preserve">NGBS Gold </t>
  </si>
  <si>
    <t>Development Summary</t>
  </si>
  <si>
    <t>PAB 25% Test (Aggregate Basis)</t>
  </si>
  <si>
    <t>PAB Mortgage % (25% test)</t>
  </si>
  <si>
    <t xml:space="preserve">Supportive Housing </t>
  </si>
  <si>
    <t>The PAB requirement is 45% or lower.</t>
  </si>
  <si>
    <t>CDOH Worksheets</t>
  </si>
  <si>
    <t>Complete at Final Housing Tax Credit Application only</t>
  </si>
  <si>
    <t>Parking Information</t>
  </si>
  <si>
    <t>Development is located in a qualified census tract, the development of which contributes to a concerted Community Revitalization Plan. (A community revitalization plan is defined in Section 5.A.3 of the Allocation Plan for CHFA requirements under this Criteria)</t>
  </si>
  <si>
    <t>Total Annual Income</t>
  </si>
  <si>
    <t>State AHTC Equity</t>
  </si>
  <si>
    <t>If including a loan or grant from the Colorado Division of Housing (DOH), the Source field must begin with the characters, "DOH."</t>
  </si>
  <si>
    <t>2026 Housing Tax Credit Application V8 Instructions</t>
  </si>
  <si>
    <t>2026 Housing Tax Credit Application</t>
  </si>
  <si>
    <t>2026 V8 - released November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</si>
</sst>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2" formatCode="_(&quot;$&quot;* #,##0_);_(&quot;$&quot;* \(#,##0\);_(&quot;$&quot;* &quot;-&quot;_);_(@_)"/>
    <numFmt numFmtId="44" formatCode="_(&quot;$&quot;* #,##0.00_);_(&quot;$&quot;* \(#,##0.00\);_(&quot;$&quot;* &quot;-&quot;??_);_(@_)"/>
    <numFmt numFmtId="43" formatCode="_(* #,##0.00_);_(* \(#,##0.00\);_(* &quot;-&quot;??_);_(@_)"/>
    <numFmt numFmtId="164" formatCode="0.0"/>
    <numFmt numFmtId="165" formatCode="&quot;$&quot;#,##0.00"/>
    <numFmt numFmtId="166" formatCode="_(&quot;$&quot;* #,##0_);_(&quot;$&quot;* \(#,##0\);_(&quot;$&quot;* &quot;-&quot;??_);_(@_)"/>
    <numFmt numFmtId="167" formatCode="0.000%"/>
    <numFmt numFmtId="168" formatCode="_(&quot;$&quot;* #,##0.0000_);_(&quot;$&quot;* \(#,##0.0000\);_(&quot;$&quot;* &quot;-&quot;??_);_(@_)"/>
    <numFmt numFmtId="169" formatCode="_(* #,##0_);_(* \(#,##0\);_(* &quot;-&quot;??_);_(@_)"/>
    <numFmt numFmtId="170" formatCode="_(* #,##0.000_);_(* \(#,##0.000\);_(* &quot;-&quot;??_);_(@_)"/>
    <numFmt numFmtId="171" formatCode="_(&quot;$&quot;* #,##0.0000_);_(&quot;$&quot;* \(#,##0.0000\);_(&quot;$&quot;* &quot;-&quot;_);_(@_)"/>
    <numFmt numFmtId="172" formatCode="_(&quot;$&quot;* #,##0.00_);_(&quot;$&quot;* \(#,##0.00\);_(&quot;$&quot;* &quot;-&quot;_);_(@_)"/>
    <numFmt numFmtId="173" formatCode="0.0000"/>
    <numFmt numFmtId="174" formatCode="_(&quot;$&quot;* #,##0.000_);_(&quot;$&quot;* \(#,##0.000\);_(&quot;$&quot;* &quot;-&quot;??_);_(@_)"/>
    <numFmt numFmtId="175" formatCode="&quot;$&quot;#,##0"/>
    <numFmt numFmtId="176" formatCode="0.0%"/>
    <numFmt numFmtId="177" formatCode="0.0000%"/>
    <numFmt numFmtId="178" formatCode="0.000"/>
    <numFmt numFmtId="179" formatCode="0.00000000"/>
    <numFmt numFmtId="180" formatCode="#,##0.0_);\(#,##0.0\)"/>
    <numFmt numFmtId="181" formatCode="0.000000"/>
    <numFmt numFmtId="182" formatCode="mm/dd/yy;@"/>
    <numFmt numFmtId="183" formatCode="&quot;$&quot;#,##0.000"/>
  </numFmts>
  <fonts count="170">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u/>
      <sz val="10"/>
      <color indexed="12"/>
      <name val="Arial"/>
      <family val="2"/>
    </font>
    <font>
      <sz val="11"/>
      <color theme="0"/>
      <name val="Calibri"/>
      <family val="2"/>
      <scheme val="minor"/>
    </font>
    <font>
      <i/>
      <sz val="11"/>
      <color theme="1"/>
      <name val="Calibri"/>
      <family val="2"/>
      <scheme val="minor"/>
    </font>
    <font>
      <b/>
      <sz val="16"/>
      <color theme="0"/>
      <name val="Calibri"/>
      <family val="2"/>
      <scheme val="minor"/>
    </font>
    <font>
      <sz val="9"/>
      <color theme="1"/>
      <name val="Calibri"/>
      <family val="2"/>
      <scheme val="minor"/>
    </font>
    <font>
      <b/>
      <sz val="14"/>
      <color theme="1"/>
      <name val="Calibri"/>
      <family val="2"/>
      <scheme val="minor"/>
    </font>
    <font>
      <sz val="11"/>
      <color indexed="8"/>
      <name val="Calibri"/>
      <family val="2"/>
    </font>
    <font>
      <sz val="12"/>
      <color theme="1"/>
      <name val="Calibri"/>
      <family val="2"/>
      <scheme val="minor"/>
    </font>
    <font>
      <sz val="16"/>
      <color theme="1"/>
      <name val="Calibri"/>
      <family val="2"/>
      <scheme val="minor"/>
    </font>
    <font>
      <b/>
      <u/>
      <sz val="11"/>
      <color theme="1"/>
      <name val="Calibri"/>
      <family val="2"/>
      <scheme val="minor"/>
    </font>
    <font>
      <sz val="11"/>
      <color rgb="FFFF0000"/>
      <name val="Calibri"/>
      <family val="2"/>
      <scheme val="minor"/>
    </font>
    <font>
      <sz val="11"/>
      <color theme="1"/>
      <name val="Calibri"/>
      <family val="2"/>
      <scheme val="minor"/>
    </font>
    <font>
      <sz val="8"/>
      <name val="Arial"/>
      <family val="2"/>
    </font>
    <font>
      <i/>
      <u/>
      <sz val="11"/>
      <color theme="1"/>
      <name val="Calibri"/>
      <family val="2"/>
      <scheme val="minor"/>
    </font>
    <font>
      <b/>
      <sz val="10"/>
      <name val="CG Times (WN)"/>
    </font>
    <font>
      <sz val="10"/>
      <name val="Arial"/>
      <family val="2"/>
    </font>
    <font>
      <b/>
      <sz val="8"/>
      <name val="CG Times (WN)"/>
    </font>
    <font>
      <b/>
      <i/>
      <sz val="8"/>
      <name val="CG Times (WN)"/>
    </font>
    <font>
      <b/>
      <sz val="8"/>
      <name val="Times New Roman"/>
      <family val="1"/>
    </font>
    <font>
      <b/>
      <sz val="10"/>
      <name val="Courier"/>
      <family val="3"/>
    </font>
    <font>
      <b/>
      <sz val="9"/>
      <name val="Verdana"/>
      <family val="2"/>
    </font>
    <font>
      <sz val="9"/>
      <name val="Verdana"/>
      <family val="2"/>
    </font>
    <font>
      <sz val="8"/>
      <name val="Courier"/>
      <family val="3"/>
    </font>
    <font>
      <b/>
      <sz val="8"/>
      <name val="Courier"/>
      <family val="3"/>
    </font>
    <font>
      <b/>
      <sz val="8"/>
      <name val="CG Times"/>
      <family val="1"/>
    </font>
    <font>
      <b/>
      <sz val="11"/>
      <color rgb="FFFF0000"/>
      <name val="Calibri"/>
      <family val="2"/>
      <scheme val="minor"/>
    </font>
    <font>
      <sz val="11"/>
      <color theme="1"/>
      <name val="Calibri"/>
      <family val="2"/>
      <scheme val="minor"/>
    </font>
    <font>
      <sz val="11"/>
      <color theme="1"/>
      <name val="Calibri"/>
      <family val="2"/>
      <scheme val="minor"/>
    </font>
    <font>
      <b/>
      <sz val="11"/>
      <color rgb="FFC00000"/>
      <name val="Calibri"/>
      <family val="2"/>
      <scheme val="minor"/>
    </font>
    <font>
      <sz val="9"/>
      <name val="Arial"/>
      <family val="2"/>
    </font>
    <font>
      <b/>
      <sz val="10"/>
      <name val="Arial"/>
      <family val="2"/>
    </font>
    <font>
      <sz val="11"/>
      <color theme="2" tint="-0.249977111117893"/>
      <name val="Calibri"/>
      <family val="2"/>
      <scheme val="minor"/>
    </font>
    <font>
      <b/>
      <sz val="11"/>
      <color theme="0"/>
      <name val="Calibri"/>
      <family val="2"/>
      <scheme val="minor"/>
    </font>
    <font>
      <strike/>
      <sz val="11"/>
      <color theme="1"/>
      <name val="Calibri"/>
      <family val="2"/>
      <scheme val="minor"/>
    </font>
    <font>
      <sz val="11"/>
      <name val="Calibri"/>
      <family val="2"/>
      <scheme val="minor"/>
    </font>
    <font>
      <b/>
      <sz val="11"/>
      <name val="Calibri"/>
      <family val="2"/>
      <scheme val="minor"/>
    </font>
    <font>
      <sz val="10"/>
      <name val="Times New Roman"/>
      <family val="1"/>
    </font>
    <font>
      <sz val="9"/>
      <color rgb="FF00B050"/>
      <name val="Calibri"/>
      <family val="2"/>
      <scheme val="minor"/>
    </font>
    <font>
      <b/>
      <i/>
      <sz val="11"/>
      <color theme="1"/>
      <name val="Calibri"/>
      <family val="2"/>
      <scheme val="minor"/>
    </font>
    <font>
      <sz val="10"/>
      <color theme="1"/>
      <name val="Calibri"/>
      <family val="2"/>
      <scheme val="minor"/>
    </font>
    <font>
      <sz val="14"/>
      <color theme="1"/>
      <name val="Calibri"/>
      <family val="2"/>
      <scheme val="minor"/>
    </font>
    <font>
      <b/>
      <sz val="12"/>
      <name val="Arial"/>
      <family val="2"/>
    </font>
    <font>
      <b/>
      <u/>
      <sz val="10"/>
      <name val="Arial"/>
      <family val="2"/>
    </font>
    <font>
      <i/>
      <sz val="14"/>
      <color theme="1"/>
      <name val="Calibri"/>
      <family val="2"/>
      <scheme val="minor"/>
    </font>
    <font>
      <b/>
      <sz val="11"/>
      <color rgb="FF0070C0"/>
      <name val="Calibri"/>
      <family val="2"/>
      <scheme val="minor"/>
    </font>
    <font>
      <b/>
      <sz val="9"/>
      <color theme="1"/>
      <name val="Calibri"/>
      <family val="2"/>
      <scheme val="minor"/>
    </font>
    <font>
      <b/>
      <sz val="11"/>
      <color indexed="8"/>
      <name val="Calibri"/>
      <family val="2"/>
    </font>
    <font>
      <i/>
      <u val="singleAccounting"/>
      <sz val="11"/>
      <color theme="1"/>
      <name val="Calibri"/>
      <family val="2"/>
      <scheme val="minor"/>
    </font>
    <font>
      <sz val="9"/>
      <name val="Calibri"/>
      <family val="2"/>
      <scheme val="minor"/>
    </font>
    <font>
      <sz val="12"/>
      <name val="Arial"/>
      <family val="2"/>
    </font>
    <font>
      <sz val="12"/>
      <color theme="1"/>
      <name val="Arial"/>
      <family val="2"/>
    </font>
    <font>
      <sz val="12"/>
      <name val="Arial"/>
      <family val="2"/>
    </font>
    <font>
      <b/>
      <sz val="14"/>
      <color theme="0"/>
      <name val="Arial"/>
      <family val="2"/>
    </font>
    <font>
      <sz val="12"/>
      <color theme="0"/>
      <name val="Arial"/>
      <family val="2"/>
    </font>
    <font>
      <sz val="12"/>
      <name val="Arial"/>
      <family val="2"/>
    </font>
    <font>
      <b/>
      <sz val="11"/>
      <color theme="9" tint="-0.499984740745262"/>
      <name val="Calibri"/>
      <family val="2"/>
      <scheme val="minor"/>
    </font>
    <font>
      <b/>
      <sz val="11"/>
      <color theme="5"/>
      <name val="Calibri"/>
      <family val="2"/>
      <scheme val="minor"/>
    </font>
    <font>
      <b/>
      <sz val="11"/>
      <color theme="9" tint="-0.249977111117893"/>
      <name val="Calibri"/>
      <family val="2"/>
      <scheme val="minor"/>
    </font>
    <font>
      <b/>
      <sz val="11"/>
      <color rgb="FF26808E"/>
      <name val="Calibri"/>
      <family val="2"/>
      <scheme val="minor"/>
    </font>
    <font>
      <u/>
      <sz val="11"/>
      <color theme="1"/>
      <name val="Calibri"/>
      <family val="2"/>
      <scheme val="minor"/>
    </font>
    <font>
      <i/>
      <sz val="11"/>
      <name val="Calibri"/>
      <family val="2"/>
      <scheme val="minor"/>
    </font>
    <font>
      <b/>
      <sz val="10"/>
      <color theme="1"/>
      <name val="Calibri"/>
      <family val="2"/>
      <scheme val="minor"/>
    </font>
    <font>
      <sz val="11"/>
      <color rgb="FF9C0006"/>
      <name val="Calibri"/>
      <family val="2"/>
      <scheme val="minor"/>
    </font>
    <font>
      <sz val="8"/>
      <color rgb="FFFF0000"/>
      <name val="Calibri"/>
      <family val="2"/>
      <scheme val="minor"/>
    </font>
    <font>
      <sz val="10"/>
      <color rgb="FF000000"/>
      <name val="Segoe UI"/>
      <family val="2"/>
    </font>
    <font>
      <sz val="11"/>
      <color theme="9"/>
      <name val="Calibri"/>
      <family val="2"/>
      <scheme val="minor"/>
    </font>
    <font>
      <sz val="10"/>
      <color theme="9"/>
      <name val="Segoe UI"/>
      <family val="2"/>
    </font>
    <font>
      <sz val="10"/>
      <name val="Segoe U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1"/>
      <color rgb="FF9C5700"/>
      <name val="Calibri"/>
      <family val="2"/>
      <scheme val="minor"/>
    </font>
    <font>
      <sz val="9"/>
      <color rgb="FFFF0000"/>
      <name val="Calibri"/>
      <family val="2"/>
      <scheme val="minor"/>
    </font>
    <font>
      <sz val="8"/>
      <name val="Calibri"/>
      <family val="2"/>
      <scheme val="minor"/>
    </font>
    <font>
      <sz val="10"/>
      <color rgb="FFFF0000"/>
      <name val="Calibri"/>
      <family val="2"/>
      <scheme val="minor"/>
    </font>
    <font>
      <b/>
      <sz val="9"/>
      <color indexed="81"/>
      <name val="Tahoma"/>
      <family val="2"/>
    </font>
    <font>
      <sz val="13"/>
      <color rgb="FF3A3A3A"/>
      <name val="Arial"/>
      <family val="2"/>
    </font>
    <font>
      <b/>
      <i/>
      <sz val="16"/>
      <color theme="1"/>
      <name val="Calibri"/>
      <family val="2"/>
      <scheme val="minor"/>
    </font>
    <font>
      <sz val="10"/>
      <color theme="1"/>
      <name val="Verdana"/>
      <family val="2"/>
    </font>
    <font>
      <sz val="11"/>
      <color rgb="FF00789C"/>
      <name val="Calibri"/>
      <family val="2"/>
      <scheme val="minor"/>
    </font>
    <font>
      <sz val="11"/>
      <color theme="1"/>
      <name val="Arial"/>
      <family val="2"/>
    </font>
    <font>
      <b/>
      <i/>
      <sz val="12"/>
      <color theme="1"/>
      <name val="Calibri"/>
      <family val="2"/>
      <scheme val="minor"/>
    </font>
    <font>
      <b/>
      <i/>
      <sz val="14"/>
      <color theme="1"/>
      <name val="Calibri"/>
      <family val="2"/>
      <scheme val="minor"/>
    </font>
    <font>
      <b/>
      <sz val="12"/>
      <name val="Calibri"/>
      <family val="2"/>
      <scheme val="minor"/>
    </font>
    <font>
      <b/>
      <sz val="28"/>
      <name val="Calibri"/>
      <family val="2"/>
      <scheme val="minor"/>
    </font>
    <font>
      <b/>
      <sz val="14"/>
      <color theme="1"/>
      <name val="Arial"/>
      <family val="2"/>
    </font>
    <font>
      <sz val="12"/>
      <color rgb="FF000000"/>
      <name val="Arial"/>
      <family val="2"/>
    </font>
    <font>
      <sz val="12"/>
      <color rgb="FFFF0000"/>
      <name val="Arial"/>
      <family val="2"/>
    </font>
    <font>
      <b/>
      <sz val="12"/>
      <color theme="1"/>
      <name val="Arial"/>
      <family val="2"/>
    </font>
    <font>
      <b/>
      <sz val="12"/>
      <color rgb="FFFF0000"/>
      <name val="Arial"/>
      <family val="2"/>
    </font>
    <font>
      <sz val="10"/>
      <color theme="1"/>
      <name val="Arial"/>
      <family val="2"/>
    </font>
    <font>
      <sz val="9"/>
      <color indexed="81"/>
      <name val="Tahoma"/>
      <family val="2"/>
    </font>
    <font>
      <sz val="10"/>
      <name val="Calibri"/>
      <family val="2"/>
      <scheme val="minor"/>
    </font>
    <font>
      <sz val="11"/>
      <color rgb="FF000000"/>
      <name val="Calibri"/>
      <family val="2"/>
    </font>
    <font>
      <b/>
      <sz val="11"/>
      <color rgb="FF000000"/>
      <name val="Calibri"/>
      <family val="2"/>
    </font>
    <font>
      <sz val="8"/>
      <color theme="1"/>
      <name val="Calibri"/>
      <family val="2"/>
      <scheme val="minor"/>
    </font>
    <font>
      <sz val="7.5"/>
      <color theme="1"/>
      <name val="Calibri"/>
      <family val="2"/>
      <scheme val="minor"/>
    </font>
    <font>
      <b/>
      <u/>
      <sz val="11"/>
      <color rgb="FF000000"/>
      <name val="Calibri"/>
      <family val="2"/>
    </font>
    <font>
      <b/>
      <sz val="11"/>
      <color theme="1"/>
      <name val="Calibri"/>
      <family val="2"/>
      <scheme val="minor"/>
    </font>
    <font>
      <sz val="12"/>
      <color rgb="FF000000"/>
      <name val="Trebuchet MS"/>
      <family val="2"/>
    </font>
    <font>
      <strike/>
      <sz val="12"/>
      <color rgb="FFA5A5A5"/>
      <name val="Trebuchet MS"/>
      <family val="2"/>
    </font>
    <font>
      <sz val="12"/>
      <color theme="1"/>
      <name val="Trebuchet MS"/>
      <family val="2"/>
    </font>
    <font>
      <b/>
      <sz val="12"/>
      <color theme="1"/>
      <name val="Trebuchet MS"/>
      <family val="2"/>
    </font>
    <font>
      <b/>
      <i/>
      <sz val="12"/>
      <color theme="1"/>
      <name val="Trebuchet MS"/>
      <family val="2"/>
    </font>
    <font>
      <sz val="12"/>
      <name val="Trebuchet MS"/>
      <family val="2"/>
    </font>
    <font>
      <sz val="12"/>
      <color theme="0"/>
      <name val="Trebuchet MS"/>
      <family val="2"/>
    </font>
    <font>
      <strike/>
      <sz val="10"/>
      <color rgb="FFA5A5A5"/>
      <name val="Trebuchet MS"/>
      <family val="2"/>
    </font>
    <font>
      <b/>
      <sz val="12"/>
      <color rgb="FF000000"/>
      <name val="Trebuchet MS"/>
      <family val="2"/>
    </font>
    <font>
      <i/>
      <sz val="14"/>
      <color theme="1"/>
      <name val="Trebuchet MS"/>
      <family val="2"/>
    </font>
    <font>
      <b/>
      <sz val="12"/>
      <color rgb="FFFFFFFF"/>
      <name val="Trebuchet MS"/>
      <family val="2"/>
    </font>
    <font>
      <b/>
      <strike/>
      <sz val="12"/>
      <color rgb="FFA5A5A5"/>
      <name val="Trebuchet MS"/>
      <family val="2"/>
    </font>
    <font>
      <b/>
      <sz val="12"/>
      <color theme="1"/>
      <name val="Calibri"/>
      <family val="2"/>
      <scheme val="minor"/>
    </font>
    <font>
      <b/>
      <sz val="14"/>
      <color theme="0"/>
      <name val="Trebuchet MS"/>
      <family val="2"/>
    </font>
    <font>
      <b/>
      <sz val="14"/>
      <color rgb="FFFFFFFF"/>
      <name val="Trebuchet MS"/>
      <family val="2"/>
    </font>
    <font>
      <strike/>
      <sz val="14"/>
      <color rgb="FFA5A5A5"/>
      <name val="Trebuchet MS"/>
      <family val="2"/>
    </font>
    <font>
      <b/>
      <u/>
      <sz val="14"/>
      <color theme="1"/>
      <name val="Trebuchet MS"/>
      <family val="2"/>
    </font>
    <font>
      <sz val="12"/>
      <color theme="10"/>
      <name val="Trebuchet MS"/>
      <family val="2"/>
    </font>
    <font>
      <sz val="11"/>
      <color rgb="FF000000"/>
      <name val="Trebuchet MS"/>
      <family val="2"/>
    </font>
    <font>
      <sz val="14"/>
      <color theme="1"/>
      <name val="Trebuchet MS"/>
      <family val="2"/>
    </font>
    <font>
      <sz val="16"/>
      <color theme="1"/>
      <name val="Trebuchet MS"/>
      <family val="2"/>
    </font>
    <font>
      <b/>
      <sz val="14"/>
      <color theme="1"/>
      <name val="Trebuchet MS"/>
      <family val="2"/>
    </font>
    <font>
      <sz val="10"/>
      <color theme="1"/>
      <name val="Trebuchet MS"/>
      <family val="2"/>
    </font>
    <font>
      <b/>
      <sz val="10"/>
      <color theme="1"/>
      <name val="Trebuchet MS"/>
      <family val="2"/>
    </font>
    <font>
      <sz val="10"/>
      <color rgb="FF0000FF"/>
      <name val="Trebuchet MS"/>
      <family val="2"/>
    </font>
    <font>
      <b/>
      <sz val="10"/>
      <color rgb="FFFF0000"/>
      <name val="Trebuchet MS"/>
      <family val="2"/>
    </font>
    <font>
      <sz val="11"/>
      <color theme="1"/>
      <name val="Trebuchet MS"/>
      <family val="2"/>
    </font>
    <font>
      <b/>
      <sz val="11"/>
      <color theme="1"/>
      <name val="Trebuchet MS"/>
      <family val="2"/>
    </font>
    <font>
      <i/>
      <sz val="10"/>
      <color theme="1"/>
      <name val="Trebuchet MS"/>
      <family val="2"/>
    </font>
    <font>
      <b/>
      <u/>
      <sz val="12"/>
      <color theme="1"/>
      <name val="Trebuchet MS"/>
      <family val="2"/>
    </font>
    <font>
      <b/>
      <u/>
      <sz val="16"/>
      <color theme="1"/>
      <name val="Trebuchet MS"/>
      <family val="2"/>
    </font>
    <font>
      <sz val="20"/>
      <color rgb="FF000000"/>
      <name val="Trebuchet MS"/>
      <family val="2"/>
    </font>
    <font>
      <u/>
      <sz val="10"/>
      <color theme="10"/>
      <name val="Trebuchet MS"/>
      <family val="2"/>
    </font>
    <font>
      <b/>
      <sz val="13"/>
      <color theme="1"/>
      <name val="Trebuchet MS"/>
      <family val="2"/>
    </font>
    <font>
      <b/>
      <sz val="14"/>
      <color rgb="FF000000"/>
      <name val="Trebuchet MS"/>
      <family val="2"/>
    </font>
    <font>
      <sz val="10"/>
      <color theme="0"/>
      <name val="Trebuchet MS"/>
      <family val="2"/>
    </font>
    <font>
      <b/>
      <sz val="12"/>
      <color theme="0"/>
      <name val="Trebuchet MS"/>
      <family val="2"/>
    </font>
    <font>
      <sz val="12"/>
      <color rgb="FFFFFFFF"/>
      <name val="Arial"/>
      <family val="2"/>
    </font>
    <font>
      <sz val="10"/>
      <color theme="0"/>
      <name val="Arial"/>
      <family val="2"/>
    </font>
    <font>
      <sz val="10"/>
      <color rgb="FF000000"/>
      <name val="Arial"/>
      <family val="2"/>
    </font>
    <font>
      <sz val="10"/>
      <color rgb="FF006100"/>
      <name val="Trebuchet MS"/>
      <family val="2"/>
    </font>
    <font>
      <sz val="10"/>
      <color rgb="FF000000"/>
      <name val="Trebuchet MS"/>
      <family val="2"/>
    </font>
    <font>
      <sz val="11"/>
      <color rgb="FFFFFFFF"/>
      <name val="Trebuchet MS"/>
      <family val="2"/>
    </font>
    <font>
      <b/>
      <sz val="10"/>
      <color rgb="FF000000"/>
      <name val="Trebuchet MS"/>
      <family val="2"/>
    </font>
    <font>
      <sz val="10"/>
      <color rgb="FFFFFFFF"/>
      <name val="Trebuchet MS"/>
      <family val="2"/>
    </font>
    <font>
      <sz val="12"/>
      <color rgb="FFFFFFFF"/>
      <name val="Trebuchet MS"/>
      <family val="2"/>
    </font>
    <font>
      <sz val="10"/>
      <name val="Trebuchet MS"/>
      <family val="2"/>
    </font>
    <font>
      <sz val="11"/>
      <name val="Trebuchet MS"/>
      <family val="2"/>
    </font>
    <font>
      <sz val="12"/>
      <color rgb="FF0000FF"/>
      <name val="Trebuchet MS"/>
      <family val="2"/>
    </font>
    <font>
      <sz val="11"/>
      <color rgb="FF0000FF"/>
      <name val="Trebuchet MS"/>
      <family val="2"/>
    </font>
    <font>
      <b/>
      <sz val="11"/>
      <color theme="0"/>
      <name val="Trebuchet MS"/>
      <family val="2"/>
    </font>
    <font>
      <sz val="12"/>
      <color rgb="FFFF0000"/>
      <name val="Trebuchet MS"/>
      <family val="2"/>
    </font>
    <font>
      <u/>
      <sz val="12"/>
      <color theme="10"/>
      <name val="Trebuchet MS"/>
      <family val="2"/>
    </font>
    <font>
      <i/>
      <sz val="11"/>
      <color theme="1"/>
      <name val="Trebuchet MS"/>
      <family val="2"/>
    </font>
    <font>
      <b/>
      <sz val="9"/>
      <color indexed="81"/>
      <name val="Tahoma"/>
      <charset val="1"/>
    </font>
  </fonts>
  <fills count="77">
    <fill>
      <patternFill patternType="none"/>
    </fill>
    <fill>
      <patternFill patternType="gray125"/>
    </fill>
    <fill>
      <patternFill patternType="solid">
        <fgColor rgb="FF00789C"/>
        <bgColor indexed="64"/>
      </patternFill>
    </fill>
    <fill>
      <patternFill patternType="solid">
        <fgColor rgb="FFFCF7D1"/>
        <bgColor indexed="64"/>
      </patternFill>
    </fill>
    <fill>
      <patternFill patternType="solid">
        <fgColor rgb="FFB2D6D7"/>
        <bgColor indexed="64"/>
      </patternFill>
    </fill>
    <fill>
      <patternFill patternType="solid">
        <fgColor indexed="6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rgb="FFCCE1E4"/>
        <bgColor indexed="64"/>
      </patternFill>
    </fill>
    <fill>
      <patternFill patternType="solid">
        <fgColor rgb="FF26808E"/>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4" tint="0.79998168889431442"/>
        <bgColor theme="4" tint="0.79998168889431442"/>
      </patternFill>
    </fill>
    <fill>
      <patternFill patternType="solid">
        <fgColor indexed="43"/>
      </patternFill>
    </fill>
    <fill>
      <patternFill patternType="solid">
        <fgColor rgb="FF92D050"/>
        <bgColor indexed="64"/>
      </patternFill>
    </fill>
    <fill>
      <patternFill patternType="solid">
        <fgColor theme="2"/>
        <bgColor indexed="64"/>
      </patternFill>
    </fill>
    <fill>
      <patternFill patternType="solid">
        <fgColor theme="6" tint="0.39997558519241921"/>
        <bgColor indexed="64"/>
      </patternFill>
    </fill>
    <fill>
      <patternFill patternType="solid">
        <fgColor theme="7"/>
        <bgColor indexed="64"/>
      </patternFill>
    </fill>
    <fill>
      <patternFill patternType="solid">
        <fgColor rgb="FFFFC7CE"/>
      </patternFill>
    </fill>
    <fill>
      <patternFill patternType="solid">
        <fgColor rgb="FF00B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rgb="FFFFEB9C"/>
      </patternFill>
    </fill>
    <fill>
      <patternFill patternType="solid">
        <fgColor theme="4"/>
        <bgColor theme="4"/>
      </patternFill>
    </fill>
    <fill>
      <patternFill patternType="solid">
        <fgColor rgb="FFF907C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rgb="FFFFFFCC"/>
        <bgColor rgb="FFFFFFCC"/>
      </patternFill>
    </fill>
    <fill>
      <patternFill patternType="solid">
        <fgColor rgb="FF7F7F7F"/>
        <bgColor rgb="FF7F7F7F"/>
      </patternFill>
    </fill>
    <fill>
      <patternFill patternType="solid">
        <fgColor rgb="FFD8D8D8"/>
        <bgColor rgb="FFD8D8D8"/>
      </patternFill>
    </fill>
    <fill>
      <patternFill patternType="solid">
        <fgColor theme="0"/>
        <bgColor theme="0"/>
      </patternFill>
    </fill>
    <fill>
      <patternFill patternType="solid">
        <fgColor theme="7" tint="0.79998168889431442"/>
        <bgColor indexed="64"/>
      </patternFill>
    </fill>
    <fill>
      <patternFill patternType="solid">
        <fgColor rgb="FFDDEBF7"/>
        <bgColor rgb="FF000000"/>
      </patternFill>
    </fill>
    <fill>
      <patternFill patternType="solid">
        <fgColor theme="9" tint="0.59999389629810485"/>
        <bgColor indexed="64"/>
      </patternFill>
    </fill>
    <fill>
      <patternFill patternType="solid">
        <fgColor theme="8" tint="0.59999389629810485"/>
        <bgColor indexed="64"/>
      </patternFill>
    </fill>
    <fill>
      <patternFill patternType="solid">
        <fgColor rgb="FF002060"/>
        <bgColor indexed="64"/>
      </patternFill>
    </fill>
    <fill>
      <patternFill patternType="solid">
        <fgColor theme="8" tint="-0.499984740745262"/>
        <bgColor indexed="64"/>
      </patternFill>
    </fill>
    <fill>
      <patternFill patternType="solid">
        <fgColor theme="0"/>
        <bgColor rgb="FFFFFFCC"/>
      </patternFill>
    </fill>
    <fill>
      <patternFill patternType="solid">
        <fgColor theme="0" tint="-0.14999847407452621"/>
        <bgColor rgb="FFD8D8D8"/>
      </patternFill>
    </fill>
    <fill>
      <patternFill patternType="solid">
        <fgColor theme="9" tint="0.59999389629810485"/>
        <bgColor rgb="FFD8D8D8"/>
      </patternFill>
    </fill>
    <fill>
      <patternFill patternType="solid">
        <fgColor rgb="FFBFBFBF"/>
        <bgColor rgb="FFBFBFBF"/>
      </patternFill>
    </fill>
    <fill>
      <patternFill patternType="solid">
        <fgColor rgb="FFDAEEF3"/>
        <bgColor rgb="FFDAEEF3"/>
      </patternFill>
    </fill>
    <fill>
      <patternFill patternType="solid">
        <fgColor rgb="FFB6DDE8"/>
        <bgColor rgb="FFB6DDE8"/>
      </patternFill>
    </fill>
    <fill>
      <patternFill patternType="solid">
        <fgColor rgb="FFCCFFFF"/>
        <bgColor rgb="FFCCFFFF"/>
      </patternFill>
    </fill>
    <fill>
      <patternFill patternType="solid">
        <fgColor rgb="FFFFFF00"/>
        <bgColor rgb="FFFFFF00"/>
      </patternFill>
    </fill>
    <fill>
      <patternFill patternType="solid">
        <fgColor theme="0"/>
        <bgColor rgb="FFFFFFFF"/>
      </patternFill>
    </fill>
    <fill>
      <patternFill patternType="solid">
        <fgColor rgb="FFC6EFCE"/>
        <bgColor rgb="FFC6EFCE"/>
      </patternFill>
    </fill>
    <fill>
      <patternFill patternType="solid">
        <fgColor rgb="FF0B5394"/>
        <bgColor rgb="FF0B5394"/>
      </patternFill>
    </fill>
    <fill>
      <patternFill patternType="solid">
        <fgColor rgb="FFFFFF99"/>
        <bgColor rgb="FFFFFF99"/>
      </patternFill>
    </fill>
    <fill>
      <patternFill patternType="solid">
        <fgColor rgb="FF3F3F3F"/>
        <bgColor rgb="FF3F3F3F"/>
      </patternFill>
    </fill>
    <fill>
      <patternFill patternType="solid">
        <fgColor rgb="FFFFFFFF"/>
        <bgColor rgb="FFFFFFFF"/>
      </patternFill>
    </fill>
    <fill>
      <patternFill patternType="solid">
        <fgColor rgb="FFD9D9D9"/>
        <bgColor rgb="FFD9D9D9"/>
      </patternFill>
    </fill>
    <fill>
      <patternFill patternType="solid">
        <fgColor theme="7" tint="0.39997558519241921"/>
        <bgColor indexed="64"/>
      </patternFill>
    </fill>
  </fills>
  <borders count="190">
    <border>
      <left/>
      <right/>
      <top/>
      <bottom/>
      <diagonal/>
    </border>
    <border>
      <left style="thin">
        <color rgb="FFFCF7D1"/>
      </left>
      <right style="thin">
        <color rgb="FFFCF7D1"/>
      </right>
      <top style="thin">
        <color rgb="FFFCF7D1"/>
      </top>
      <bottom style="thin">
        <color rgb="FFFCF7D1"/>
      </bottom>
      <diagonal/>
    </border>
    <border>
      <left style="medium">
        <color indexed="64"/>
      </left>
      <right/>
      <top style="medium">
        <color indexed="64"/>
      </top>
      <bottom/>
      <diagonal/>
    </border>
    <border>
      <left style="thin">
        <color indexed="64"/>
      </left>
      <right style="thin">
        <color indexed="64"/>
      </right>
      <top style="thick">
        <color indexed="64"/>
      </top>
      <bottom style="thin">
        <color indexed="64"/>
      </bottom>
      <diagonal/>
    </border>
    <border>
      <left style="medium">
        <color indexed="64"/>
      </left>
      <right/>
      <top/>
      <bottom/>
      <diagonal/>
    </border>
    <border>
      <left style="thin">
        <color indexed="64"/>
      </left>
      <right style="thin">
        <color indexed="64"/>
      </right>
      <top style="thin">
        <color indexed="64"/>
      </top>
      <bottom style="thick">
        <color indexed="64"/>
      </bottom>
      <diagonal/>
    </border>
    <border>
      <left/>
      <right/>
      <top style="dotted">
        <color indexed="64"/>
      </top>
      <bottom/>
      <diagonal/>
    </border>
    <border>
      <left/>
      <right/>
      <top/>
      <bottom style="dotted">
        <color indexed="64"/>
      </bottom>
      <diagonal/>
    </border>
    <border>
      <left style="thin">
        <color rgb="FFFCF7D1"/>
      </left>
      <right/>
      <top/>
      <bottom/>
      <diagonal/>
    </border>
    <border>
      <left style="thin">
        <color rgb="FFFCF7D1"/>
      </left>
      <right/>
      <top style="thin">
        <color rgb="FFFCF7D1"/>
      </top>
      <bottom style="thin">
        <color rgb="FFFCF7D1"/>
      </bottom>
      <diagonal/>
    </border>
    <border>
      <left/>
      <right style="thin">
        <color rgb="FFFCF7D1"/>
      </right>
      <top style="thin">
        <color rgb="FFFCF7D1"/>
      </top>
      <bottom style="thin">
        <color rgb="FFFCF7D1"/>
      </bottom>
      <diagonal/>
    </border>
    <border>
      <left style="medium">
        <color theme="4"/>
      </left>
      <right style="medium">
        <color theme="4"/>
      </right>
      <top style="medium">
        <color theme="4"/>
      </top>
      <bottom style="medium">
        <color theme="4"/>
      </bottom>
      <diagonal/>
    </border>
    <border>
      <left/>
      <right/>
      <top style="double">
        <color theme="2" tint="-9.9948118533890809E-2"/>
      </top>
      <bottom/>
      <diagonal/>
    </border>
    <border>
      <left/>
      <right/>
      <top/>
      <bottom style="thin">
        <color theme="0" tint="-0.24994659260841701"/>
      </bottom>
      <diagonal/>
    </border>
    <border>
      <left/>
      <right/>
      <top style="thin">
        <color theme="0" tint="-0.249977111117893"/>
      </top>
      <bottom/>
      <diagonal/>
    </border>
    <border>
      <left/>
      <right/>
      <top/>
      <bottom style="thin">
        <color theme="0" tint="-0.249977111117893"/>
      </bottom>
      <diagonal/>
    </border>
    <border>
      <left/>
      <right/>
      <top/>
      <bottom style="thin">
        <color theme="0" tint="-0.14999847407452621"/>
      </bottom>
      <diagonal/>
    </border>
    <border>
      <left/>
      <right/>
      <top style="thin">
        <color theme="0" tint="-0.14999847407452621"/>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right style="medium">
        <color auto="1"/>
      </right>
      <top/>
      <bottom/>
      <diagonal/>
    </border>
    <border>
      <left/>
      <right/>
      <top/>
      <bottom style="thin">
        <color indexed="64"/>
      </bottom>
      <diagonal/>
    </border>
    <border>
      <left/>
      <right/>
      <top style="thin">
        <color auto="1"/>
      </top>
      <bottom/>
      <diagonal/>
    </border>
    <border>
      <left/>
      <right style="thin">
        <color theme="4" tint="0.39997558519241921"/>
      </right>
      <top style="thin">
        <color theme="4" tint="0.39997558519241921"/>
      </top>
      <bottom style="thin">
        <color theme="4" tint="0.39997558519241921"/>
      </bottom>
      <diagonal/>
    </border>
    <border>
      <left/>
      <right/>
      <top/>
      <bottom style="medium">
        <color rgb="FF26808E"/>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top/>
      <bottom style="double">
        <color theme="2" tint="-9.9917600024414813E-2"/>
      </bottom>
      <diagonal/>
    </border>
    <border>
      <left/>
      <right/>
      <top style="double">
        <color theme="2" tint="-9.9917600024414813E-2"/>
      </top>
      <bottom/>
      <diagonal/>
    </border>
    <border>
      <left/>
      <right/>
      <top/>
      <bottom style="double">
        <color theme="2" tint="-9.9948118533890809E-2"/>
      </bottom>
      <diagonal/>
    </border>
    <border>
      <left/>
      <right/>
      <top/>
      <bottom style="thin">
        <color theme="2" tint="-9.9948118533890809E-2"/>
      </bottom>
      <diagonal/>
    </border>
    <border>
      <left style="thin">
        <color rgb="FFFCF7D1"/>
      </left>
      <right/>
      <top/>
      <bottom style="thin">
        <color rgb="FFFCF7D1"/>
      </bottom>
      <diagonal/>
    </border>
    <border>
      <left/>
      <right/>
      <top/>
      <bottom style="thin">
        <color rgb="FFFCF7D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diagonal/>
    </border>
    <border>
      <left style="medium">
        <color auto="1"/>
      </left>
      <right style="thin">
        <color auto="1"/>
      </right>
      <top style="thin">
        <color auto="1"/>
      </top>
      <bottom/>
      <diagonal/>
    </border>
    <border>
      <left style="thin">
        <color auto="1"/>
      </left>
      <right style="thin">
        <color auto="1"/>
      </right>
      <top style="thin">
        <color auto="1"/>
      </top>
      <bottom style="medium">
        <color auto="1"/>
      </bottom>
      <diagonal/>
    </border>
    <border>
      <left/>
      <right/>
      <top style="thin">
        <color rgb="FFFCF7D1"/>
      </top>
      <bottom style="double">
        <color theme="2" tint="-9.9948118533890809E-2"/>
      </bottom>
      <diagonal/>
    </border>
    <border>
      <left style="thin">
        <color rgb="FFFCF7D1"/>
      </left>
      <right/>
      <top style="thin">
        <color rgb="FFFCF7D1"/>
      </top>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top/>
      <bottom/>
      <diagonal/>
    </border>
    <border>
      <left/>
      <right style="double">
        <color rgb="FF000000"/>
      </right>
      <top/>
      <bottom/>
      <diagonal/>
    </border>
    <border>
      <left style="double">
        <color rgb="FF000000"/>
      </left>
      <right/>
      <top/>
      <bottom style="double">
        <color rgb="FF000000"/>
      </bottom>
      <diagonal/>
    </border>
    <border>
      <left/>
      <right style="double">
        <color rgb="FF000000"/>
      </right>
      <top/>
      <bottom style="double">
        <color rgb="FF000000"/>
      </bottom>
      <diagonal/>
    </border>
    <border>
      <left/>
      <right/>
      <top/>
      <bottom style="double">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double">
        <color rgb="FF000000"/>
      </bottom>
      <diagonal/>
    </border>
    <border>
      <left style="double">
        <color rgb="FF000000"/>
      </left>
      <right/>
      <top style="double">
        <color rgb="FF000000"/>
      </top>
      <bottom style="thin">
        <color rgb="FF000000"/>
      </bottom>
      <diagonal/>
    </border>
    <border>
      <left/>
      <right/>
      <top style="double">
        <color rgb="FF000000"/>
      </top>
      <bottom style="thin">
        <color rgb="FF000000"/>
      </bottom>
      <diagonal/>
    </border>
    <border>
      <left style="thin">
        <color rgb="FF000000"/>
      </left>
      <right/>
      <top/>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style="medium">
        <color auto="1"/>
      </left>
      <right style="thin">
        <color auto="1"/>
      </right>
      <top style="thin">
        <color auto="1"/>
      </top>
      <bottom style="thin">
        <color auto="1"/>
      </bottom>
      <diagonal/>
    </border>
    <border>
      <left style="medium">
        <color auto="1"/>
      </left>
      <right style="thin">
        <color auto="1"/>
      </right>
      <top/>
      <bottom style="medium">
        <color auto="1"/>
      </bottom>
      <diagonal/>
    </border>
    <border>
      <left style="thin">
        <color indexed="64"/>
      </left>
      <right style="thin">
        <color indexed="64"/>
      </right>
      <top/>
      <bottom style="medium">
        <color indexed="64"/>
      </bottom>
      <diagonal/>
    </border>
    <border>
      <left style="thin">
        <color auto="1"/>
      </left>
      <right style="medium">
        <color auto="1"/>
      </right>
      <top/>
      <bottom style="medium">
        <color auto="1"/>
      </bottom>
      <diagonal/>
    </border>
    <border>
      <left/>
      <right style="medium">
        <color indexed="64"/>
      </right>
      <top/>
      <bottom style="medium">
        <color indexed="64"/>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
      <left/>
      <right/>
      <top style="thin">
        <color theme="4" tint="0.39997558519241921"/>
      </top>
      <bottom/>
      <diagonal/>
    </border>
    <border>
      <left/>
      <right/>
      <top/>
      <bottom style="thin">
        <color theme="4" tint="0.39997558519241921"/>
      </bottom>
      <diagonal/>
    </border>
    <border>
      <left style="thin">
        <color theme="4" tint="0.39997558519241921"/>
      </left>
      <right style="thin">
        <color theme="4" tint="0.39997558519241921"/>
      </right>
      <top/>
      <bottom/>
      <diagonal/>
    </border>
    <border>
      <left style="thin">
        <color rgb="FF7F7F7F"/>
      </left>
      <right style="thin">
        <color rgb="FF7F7F7F"/>
      </right>
      <top style="thin">
        <color rgb="FF7F7F7F"/>
      </top>
      <bottom style="thin">
        <color rgb="FF7F7F7F"/>
      </bottom>
      <diagonal/>
    </border>
    <border>
      <left style="thin">
        <color rgb="FFA5A5A5"/>
      </left>
      <right style="double">
        <color rgb="FF000000"/>
      </right>
      <top style="thin">
        <color rgb="FFA5A5A5"/>
      </top>
      <bottom style="double">
        <color rgb="FF000000"/>
      </bottom>
      <diagonal/>
    </border>
    <border>
      <left style="double">
        <color rgb="FF000000"/>
      </left>
      <right style="thin">
        <color rgb="FFA5A5A5"/>
      </right>
      <top style="thin">
        <color rgb="FFA5A5A5"/>
      </top>
      <bottom style="double">
        <color rgb="FF000000"/>
      </bottom>
      <diagonal/>
    </border>
    <border>
      <left style="thin">
        <color rgb="FFA5A5A5"/>
      </left>
      <right style="double">
        <color rgb="FF000000"/>
      </right>
      <top style="thin">
        <color rgb="FFA5A5A5"/>
      </top>
      <bottom style="thin">
        <color rgb="FFA5A5A5"/>
      </bottom>
      <diagonal/>
    </border>
    <border>
      <left style="double">
        <color rgb="FF000000"/>
      </left>
      <right style="thin">
        <color rgb="FFA5A5A5"/>
      </right>
      <top style="thin">
        <color rgb="FFA5A5A5"/>
      </top>
      <bottom style="thin">
        <color rgb="FFA5A5A5"/>
      </bottom>
      <diagonal/>
    </border>
    <border>
      <left style="thin">
        <color rgb="FFA5A5A5"/>
      </left>
      <right style="double">
        <color rgb="FF000000"/>
      </right>
      <top style="double">
        <color rgb="FF000000"/>
      </top>
      <bottom style="thin">
        <color rgb="FFA5A5A5"/>
      </bottom>
      <diagonal/>
    </border>
    <border>
      <left style="double">
        <color rgb="FF000000"/>
      </left>
      <right style="thin">
        <color rgb="FFA5A5A5"/>
      </right>
      <top style="double">
        <color rgb="FF000000"/>
      </top>
      <bottom style="thin">
        <color rgb="FFA5A5A5"/>
      </bottom>
      <diagonal/>
    </border>
    <border>
      <left style="thin">
        <color rgb="FFA5A5A5"/>
      </left>
      <right style="medium">
        <color rgb="FF000000"/>
      </right>
      <top style="thin">
        <color rgb="FFA5A5A5"/>
      </top>
      <bottom style="medium">
        <color rgb="FF000000"/>
      </bottom>
      <diagonal/>
    </border>
    <border>
      <left style="thin">
        <color rgb="FFA5A5A5"/>
      </left>
      <right style="thin">
        <color rgb="FFA5A5A5"/>
      </right>
      <top style="thin">
        <color rgb="FFA5A5A5"/>
      </top>
      <bottom style="medium">
        <color rgb="FF000000"/>
      </bottom>
      <diagonal/>
    </border>
    <border>
      <left style="medium">
        <color rgb="FF000000"/>
      </left>
      <right style="thin">
        <color rgb="FFA5A5A5"/>
      </right>
      <top style="thin">
        <color rgb="FFA5A5A5"/>
      </top>
      <bottom style="medium">
        <color rgb="FF000000"/>
      </bottom>
      <diagonal/>
    </border>
    <border>
      <left style="thin">
        <color rgb="FFA5A5A5"/>
      </left>
      <right style="medium">
        <color rgb="FF000000"/>
      </right>
      <top style="thin">
        <color rgb="FFA5A5A5"/>
      </top>
      <bottom style="thin">
        <color rgb="FFA5A5A5"/>
      </bottom>
      <diagonal/>
    </border>
    <border>
      <left style="thin">
        <color rgb="FFA5A5A5"/>
      </left>
      <right style="thin">
        <color rgb="FFA5A5A5"/>
      </right>
      <top style="thin">
        <color rgb="FFA5A5A5"/>
      </top>
      <bottom style="thin">
        <color rgb="FFA5A5A5"/>
      </bottom>
      <diagonal/>
    </border>
    <border>
      <left style="medium">
        <color rgb="FF000000"/>
      </left>
      <right style="thin">
        <color rgb="FFA5A5A5"/>
      </right>
      <top style="thin">
        <color rgb="FFA5A5A5"/>
      </top>
      <bottom style="thin">
        <color rgb="FFA5A5A5"/>
      </bottom>
      <diagonal/>
    </border>
    <border>
      <left style="thin">
        <color rgb="FFA5A5A5"/>
      </left>
      <right style="medium">
        <color rgb="FF000000"/>
      </right>
      <top style="medium">
        <color rgb="FF000000"/>
      </top>
      <bottom style="thin">
        <color rgb="FFA5A5A5"/>
      </bottom>
      <diagonal/>
    </border>
    <border>
      <left style="thin">
        <color rgb="FFA5A5A5"/>
      </left>
      <right style="thin">
        <color rgb="FFA5A5A5"/>
      </right>
      <top style="medium">
        <color rgb="FF000000"/>
      </top>
      <bottom style="thin">
        <color rgb="FFA5A5A5"/>
      </bottom>
      <diagonal/>
    </border>
    <border>
      <left style="medium">
        <color rgb="FF000000"/>
      </left>
      <right style="thin">
        <color rgb="FFA5A5A5"/>
      </right>
      <top style="medium">
        <color rgb="FF000000"/>
      </top>
      <bottom style="thin">
        <color rgb="FFA5A5A5"/>
      </bottom>
      <diagonal/>
    </border>
    <border>
      <left style="thin">
        <color rgb="FFBFBFBF"/>
      </left>
      <right style="double">
        <color rgb="FF000000"/>
      </right>
      <top style="thin">
        <color rgb="FFBFBFBF"/>
      </top>
      <bottom style="double">
        <color rgb="FF000000"/>
      </bottom>
      <diagonal/>
    </border>
    <border>
      <left style="thin">
        <color rgb="FFBFBFBF"/>
      </left>
      <right style="thin">
        <color rgb="FFBFBFBF"/>
      </right>
      <top style="thin">
        <color rgb="FFBFBFBF"/>
      </top>
      <bottom style="double">
        <color rgb="FF000000"/>
      </bottom>
      <diagonal/>
    </border>
    <border>
      <left style="double">
        <color rgb="FF000000"/>
      </left>
      <right style="thin">
        <color rgb="FFBFBFBF"/>
      </right>
      <top style="thin">
        <color rgb="FFBFBFBF"/>
      </top>
      <bottom style="double">
        <color rgb="FF000000"/>
      </bottom>
      <diagonal/>
    </border>
    <border>
      <left style="thin">
        <color rgb="FFBFBFBF"/>
      </left>
      <right style="double">
        <color rgb="FF000000"/>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double">
        <color rgb="FF000000"/>
      </left>
      <right style="thin">
        <color rgb="FFBFBFBF"/>
      </right>
      <top style="thin">
        <color rgb="FFBFBFBF"/>
      </top>
      <bottom style="thin">
        <color rgb="FFBFBFBF"/>
      </bottom>
      <diagonal/>
    </border>
    <border>
      <left style="thin">
        <color rgb="FF7F7F7F"/>
      </left>
      <right style="thin">
        <color rgb="FF000000"/>
      </right>
      <top style="medium">
        <color rgb="FF000000"/>
      </top>
      <bottom style="thin">
        <color rgb="FF000000"/>
      </bottom>
      <diagonal/>
    </border>
    <border>
      <left style="thin">
        <color rgb="FF7F7F7F"/>
      </left>
      <right style="thin">
        <color rgb="FF7F7F7F"/>
      </right>
      <top style="medium">
        <color rgb="FF000000"/>
      </top>
      <bottom style="thin">
        <color rgb="FF000000"/>
      </bottom>
      <diagonal/>
    </border>
    <border>
      <left style="thin">
        <color rgb="FF000000"/>
      </left>
      <right style="thin">
        <color rgb="FF7F7F7F"/>
      </right>
      <top style="medium">
        <color rgb="FF000000"/>
      </top>
      <bottom style="thin">
        <color rgb="FF000000"/>
      </bottom>
      <diagonal/>
    </border>
    <border>
      <left/>
      <right style="thin">
        <color indexed="64"/>
      </right>
      <top/>
      <bottom style="thin">
        <color indexed="64"/>
      </bottom>
      <diagonal/>
    </border>
    <border>
      <left style="thin">
        <color indexed="64"/>
      </left>
      <right/>
      <top/>
      <bottom style="thin">
        <color indexed="64"/>
      </bottom>
      <diagonal/>
    </border>
    <border>
      <left style="thin">
        <color rgb="FF7F7F7F"/>
      </left>
      <right style="thin">
        <color rgb="FF000000"/>
      </right>
      <top style="thin">
        <color rgb="FF7F7F7F"/>
      </top>
      <bottom style="thin">
        <color rgb="FF7F7F7F"/>
      </bottom>
      <diagonal/>
    </border>
    <border>
      <left style="thin">
        <color rgb="FF7F7F7F"/>
      </left>
      <right style="thin">
        <color rgb="FF7F7F7F"/>
      </right>
      <top style="thin">
        <color rgb="FF7F7F7F"/>
      </top>
      <bottom style="thin">
        <color rgb="FFA5A5A5"/>
      </bottom>
      <diagonal/>
    </border>
    <border>
      <left style="thin">
        <color rgb="FF000000"/>
      </left>
      <right style="thin">
        <color rgb="FF7F7F7F"/>
      </right>
      <top style="thin">
        <color rgb="FF7F7F7F"/>
      </top>
      <bottom style="thin">
        <color rgb="FFA5A5A5"/>
      </bottom>
      <diagonal/>
    </border>
    <border>
      <left/>
      <right style="thin">
        <color indexed="64"/>
      </right>
      <top/>
      <bottom/>
      <diagonal/>
    </border>
    <border>
      <left style="thin">
        <color indexed="64"/>
      </left>
      <right/>
      <top/>
      <bottom/>
      <diagonal/>
    </border>
    <border>
      <left style="thin">
        <color rgb="FF000000"/>
      </left>
      <right style="thin">
        <color rgb="FF7F7F7F"/>
      </right>
      <top style="thin">
        <color rgb="FF7F7F7F"/>
      </top>
      <bottom style="thin">
        <color rgb="FF7F7F7F"/>
      </bottom>
      <diagonal/>
    </border>
    <border>
      <left/>
      <right style="thin">
        <color indexed="64"/>
      </right>
      <top style="thin">
        <color indexed="64"/>
      </top>
      <bottom/>
      <diagonal/>
    </border>
    <border>
      <left style="thin">
        <color indexed="64"/>
      </left>
      <right/>
      <top style="thin">
        <color indexed="64"/>
      </top>
      <bottom/>
      <diagonal/>
    </border>
    <border>
      <left/>
      <right/>
      <top style="thin">
        <color rgb="FF000000"/>
      </top>
      <bottom style="thin">
        <color rgb="FF7F7F7F"/>
      </bottom>
      <diagonal/>
    </border>
    <border>
      <left style="thin">
        <color rgb="FF000000"/>
      </left>
      <right/>
      <top style="thin">
        <color rgb="FF000000"/>
      </top>
      <bottom style="thin">
        <color rgb="FF7F7F7F"/>
      </bottom>
      <diagonal/>
    </border>
    <border>
      <left/>
      <right style="medium">
        <color rgb="FF000000"/>
      </right>
      <top style="thin">
        <color rgb="FF000000"/>
      </top>
      <bottom/>
      <diagonal/>
    </border>
    <border>
      <left style="medium">
        <color rgb="FF000000"/>
      </left>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BFBFBF"/>
      </left>
      <right style="double">
        <color rgb="FF000000"/>
      </right>
      <top style="double">
        <color rgb="FF000000"/>
      </top>
      <bottom style="thin">
        <color rgb="FFBFBFBF"/>
      </bottom>
      <diagonal/>
    </border>
    <border>
      <left style="thin">
        <color rgb="FFBFBFBF"/>
      </left>
      <right style="thin">
        <color rgb="FFBFBFBF"/>
      </right>
      <top style="double">
        <color rgb="FF000000"/>
      </top>
      <bottom style="thin">
        <color rgb="FFBFBFBF"/>
      </bottom>
      <diagonal/>
    </border>
    <border>
      <left style="double">
        <color rgb="FF000000"/>
      </left>
      <right style="thin">
        <color rgb="FFBFBFBF"/>
      </right>
      <top style="double">
        <color rgb="FF000000"/>
      </top>
      <bottom style="thin">
        <color rgb="FFBFBFBF"/>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thin">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style="thin">
        <color rgb="FF000000"/>
      </bottom>
      <diagonal/>
    </border>
    <border>
      <left style="medium">
        <color rgb="FFA5A5A5"/>
      </left>
      <right style="medium">
        <color rgb="FF000000"/>
      </right>
      <top style="medium">
        <color rgb="FFA5A5A5"/>
      </top>
      <bottom style="medium">
        <color rgb="FF000000"/>
      </bottom>
      <diagonal/>
    </border>
    <border>
      <left style="medium">
        <color rgb="FF000000"/>
      </left>
      <right style="medium">
        <color rgb="FFA5A5A5"/>
      </right>
      <top style="medium">
        <color rgb="FFA5A5A5"/>
      </top>
      <bottom style="medium">
        <color rgb="FF000000"/>
      </bottom>
      <diagonal/>
    </border>
    <border>
      <left style="medium">
        <color rgb="FFA5A5A5"/>
      </left>
      <right style="medium">
        <color rgb="FF000000"/>
      </right>
      <top style="medium">
        <color rgb="FFA5A5A5"/>
      </top>
      <bottom style="medium">
        <color rgb="FFA5A5A5"/>
      </bottom>
      <diagonal/>
    </border>
    <border>
      <left style="medium">
        <color rgb="FF000000"/>
      </left>
      <right style="medium">
        <color rgb="FFA5A5A5"/>
      </right>
      <top style="medium">
        <color rgb="FFA5A5A5"/>
      </top>
      <bottom style="medium">
        <color rgb="FFA5A5A5"/>
      </bottom>
      <diagonal/>
    </border>
    <border>
      <left style="medium">
        <color rgb="FFA5A5A5"/>
      </left>
      <right style="medium">
        <color rgb="FF000000"/>
      </right>
      <top style="medium">
        <color rgb="FF000000"/>
      </top>
      <bottom style="medium">
        <color rgb="FFA5A5A5"/>
      </bottom>
      <diagonal/>
    </border>
    <border>
      <left style="medium">
        <color rgb="FF000000"/>
      </left>
      <right style="medium">
        <color rgb="FFA5A5A5"/>
      </right>
      <top style="medium">
        <color rgb="FF000000"/>
      </top>
      <bottom style="medium">
        <color rgb="FFA5A5A5"/>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thin">
        <color indexed="64"/>
      </left>
      <right style="thin">
        <color indexed="64"/>
      </right>
      <top/>
      <bottom style="thin">
        <color indexed="64"/>
      </bottom>
      <diagonal/>
    </border>
    <border>
      <left/>
      <right style="thin">
        <color indexed="64"/>
      </right>
      <top/>
      <bottom style="thin">
        <color rgb="FF000000"/>
      </bottom>
      <diagonal/>
    </border>
    <border>
      <left style="thin">
        <color rgb="FF000000"/>
      </left>
      <right style="thin">
        <color rgb="FF000000"/>
      </right>
      <top/>
      <bottom style="thin">
        <color rgb="FF000000"/>
      </bottom>
      <diagonal/>
    </border>
    <border>
      <left/>
      <right style="thin">
        <color indexed="64"/>
      </right>
      <top style="thin">
        <color rgb="FF000000"/>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rgb="FFB7B7B7"/>
      </left>
      <right style="thin">
        <color rgb="FFB7B7B7"/>
      </right>
      <top/>
      <bottom style="thin">
        <color rgb="FFBFBFBF"/>
      </bottom>
      <diagonal/>
    </border>
    <border>
      <left style="thin">
        <color rgb="FFBFBFBF"/>
      </left>
      <right/>
      <top/>
      <bottom style="thin">
        <color rgb="FFBFBFBF"/>
      </bottom>
      <diagonal/>
    </border>
    <border>
      <left/>
      <right/>
      <top/>
      <bottom style="thin">
        <color rgb="FFBFBFBF"/>
      </bottom>
      <diagonal/>
    </border>
    <border>
      <left/>
      <right/>
      <top/>
      <bottom style="thin">
        <color rgb="FFB7B7B7"/>
      </bottom>
      <diagonal/>
    </border>
    <border>
      <left style="thin">
        <color rgb="FFBFBFBF"/>
      </left>
      <right/>
      <top/>
      <bottom style="thin">
        <color rgb="FFB7B7B7"/>
      </bottom>
      <diagonal/>
    </border>
    <border>
      <left style="thin">
        <color rgb="FFBFBFBF"/>
      </left>
      <right style="thin">
        <color rgb="FFB7B7B7"/>
      </right>
      <top/>
      <bottom/>
      <diagonal/>
    </border>
    <border>
      <left style="thin">
        <color rgb="FFBFBFBF"/>
      </left>
      <right/>
      <top/>
      <bottom/>
      <diagonal/>
    </border>
    <border>
      <left style="thin">
        <color rgb="FFB7B7B7"/>
      </left>
      <right style="thin">
        <color rgb="FFB7B7B7"/>
      </right>
      <top style="thin">
        <color rgb="FFBFBFBF"/>
      </top>
      <bottom/>
      <diagonal/>
    </border>
    <border>
      <left style="thin">
        <color rgb="FFBFBFBF"/>
      </left>
      <right/>
      <top style="thin">
        <color rgb="FFBFBFBF"/>
      </top>
      <bottom/>
      <diagonal/>
    </border>
    <border>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bottom/>
      <diagonal/>
    </border>
    <border>
      <left style="thin">
        <color rgb="FFBFBFBF"/>
      </left>
      <right/>
      <top style="thin">
        <color rgb="FFBFBFBF"/>
      </top>
      <bottom style="thin">
        <color rgb="FFBFBFBF"/>
      </bottom>
      <diagonal/>
    </border>
    <border>
      <left style="thin">
        <color rgb="FFB7B7B7"/>
      </left>
      <right style="thin">
        <color rgb="FFB7B7B7"/>
      </right>
      <top/>
      <bottom/>
      <diagonal/>
    </border>
    <border>
      <left/>
      <right style="double">
        <color auto="1"/>
      </right>
      <top/>
      <bottom/>
      <diagonal/>
    </border>
    <border>
      <left style="thin">
        <color rgb="FF000000"/>
      </left>
      <right style="double">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right style="double">
        <color rgb="FF000000"/>
      </right>
      <top style="double">
        <color rgb="FF000000"/>
      </top>
      <bottom style="thin">
        <color rgb="FF000000"/>
      </bottom>
      <diagonal/>
    </border>
  </borders>
  <cellStyleXfs count="1020">
    <xf numFmtId="0" fontId="0" fillId="0" borderId="0"/>
    <xf numFmtId="9" fontId="1" fillId="0" borderId="0" applyFont="0" applyFill="0" applyBorder="0" applyAlignment="0" applyProtection="0"/>
    <xf numFmtId="0" fontId="4" fillId="0" borderId="0" applyNumberFormat="0" applyFill="0" applyBorder="0" applyAlignment="0" applyProtection="0">
      <alignment vertical="top"/>
      <protection locked="0"/>
    </xf>
    <xf numFmtId="44" fontId="1" fillId="0" borderId="0" applyFont="0" applyFill="0" applyBorder="0" applyAlignment="0" applyProtection="0"/>
    <xf numFmtId="0" fontId="3" fillId="0" borderId="0"/>
    <xf numFmtId="0" fontId="3" fillId="0" borderId="0"/>
    <xf numFmtId="0" fontId="1" fillId="0" borderId="0"/>
    <xf numFmtId="43" fontId="10" fillId="0" borderId="0" applyFont="0" applyFill="0" applyBorder="0" applyAlignment="0" applyProtection="0"/>
    <xf numFmtId="0" fontId="1" fillId="0" borderId="0"/>
    <xf numFmtId="44" fontId="1"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9" fontId="10"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53" fillId="0" borderId="0">
      <alignment vertical="top"/>
    </xf>
    <xf numFmtId="4" fontId="53" fillId="0" borderId="0" applyFont="0" applyFill="0" applyBorder="0" applyAlignment="0" applyProtection="0"/>
    <xf numFmtId="0" fontId="53" fillId="0" borderId="0">
      <alignment vertical="top"/>
    </xf>
    <xf numFmtId="0" fontId="55" fillId="0" borderId="0">
      <alignment vertical="top"/>
    </xf>
    <xf numFmtId="10" fontId="53" fillId="0" borderId="0" applyFont="0" applyFill="0" applyBorder="0" applyAlignment="0" applyProtection="0"/>
    <xf numFmtId="7" fontId="53" fillId="0" borderId="0" applyFont="0" applyFill="0" applyBorder="0" applyAlignment="0" applyProtection="0"/>
    <xf numFmtId="0" fontId="53" fillId="0" borderId="0">
      <alignment vertical="top"/>
    </xf>
    <xf numFmtId="0" fontId="53" fillId="0" borderId="0">
      <alignment vertical="top"/>
    </xf>
    <xf numFmtId="0" fontId="58" fillId="0" borderId="0">
      <alignment vertical="top"/>
    </xf>
    <xf numFmtId="0" fontId="53" fillId="0" borderId="0">
      <alignment vertical="top"/>
    </xf>
    <xf numFmtId="0" fontId="66" fillId="22" borderId="0" applyNumberFormat="0" applyBorder="0" applyAlignment="0" applyProtection="0"/>
    <xf numFmtId="0" fontId="3" fillId="0" borderId="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72" fillId="34"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35" borderId="0" applyNumberFormat="0" applyBorder="0" applyAlignment="0" applyProtection="0"/>
    <xf numFmtId="0" fontId="72" fillId="36" borderId="0" applyNumberFormat="0" applyBorder="0" applyAlignment="0" applyProtection="0"/>
    <xf numFmtId="0" fontId="72" fillId="37" borderId="0" applyNumberFormat="0" applyBorder="0" applyAlignment="0" applyProtection="0"/>
    <xf numFmtId="0" fontId="72" fillId="38" borderId="0" applyNumberFormat="0" applyBorder="0" applyAlignment="0" applyProtection="0"/>
    <xf numFmtId="0" fontId="72" fillId="39" borderId="0" applyNumberFormat="0" applyBorder="0" applyAlignment="0" applyProtection="0"/>
    <xf numFmtId="0" fontId="72" fillId="40" borderId="0" applyNumberFormat="0" applyBorder="0" applyAlignment="0" applyProtection="0"/>
    <xf numFmtId="0" fontId="72" fillId="35" borderId="0" applyNumberFormat="0" applyBorder="0" applyAlignment="0" applyProtection="0"/>
    <xf numFmtId="0" fontId="72" fillId="36" borderId="0" applyNumberFormat="0" applyBorder="0" applyAlignment="0" applyProtection="0"/>
    <xf numFmtId="0" fontId="72" fillId="41" borderId="0" applyNumberFormat="0" applyBorder="0" applyAlignment="0" applyProtection="0"/>
    <xf numFmtId="0" fontId="73" fillId="25" borderId="0" applyNumberFormat="0" applyBorder="0" applyAlignment="0" applyProtection="0"/>
    <xf numFmtId="0" fontId="74" fillId="42" borderId="31" applyNumberFormat="0" applyAlignment="0" applyProtection="0"/>
    <xf numFmtId="0" fontId="75" fillId="43" borderId="32"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4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76" fillId="0" borderId="0" applyNumberFormat="0" applyFill="0" applyBorder="0" applyAlignment="0" applyProtection="0"/>
    <xf numFmtId="0" fontId="77" fillId="26" borderId="0" applyNumberFormat="0" applyBorder="0" applyAlignment="0" applyProtection="0"/>
    <xf numFmtId="0" fontId="78" fillId="0" borderId="33" applyNumberFormat="0" applyFill="0" applyAlignment="0" applyProtection="0"/>
    <xf numFmtId="0" fontId="79" fillId="0" borderId="34" applyNumberFormat="0" applyFill="0" applyAlignment="0" applyProtection="0"/>
    <xf numFmtId="0" fontId="80" fillId="0" borderId="35" applyNumberFormat="0" applyFill="0" applyAlignment="0" applyProtection="0"/>
    <xf numFmtId="0" fontId="80" fillId="0" borderId="0" applyNumberFormat="0" applyFill="0" applyBorder="0" applyAlignment="0" applyProtection="0"/>
    <xf numFmtId="0" fontId="81" fillId="29" borderId="31" applyNumberFormat="0" applyAlignment="0" applyProtection="0"/>
    <xf numFmtId="0" fontId="82" fillId="0" borderId="36" applyNumberFormat="0" applyFill="0" applyAlignment="0" applyProtection="0"/>
    <xf numFmtId="0" fontId="83" fillId="17" borderId="0" applyNumberFormat="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3" fillId="44" borderId="37" applyNumberFormat="0" applyFont="0" applyAlignment="0" applyProtection="0"/>
    <xf numFmtId="0" fontId="84" fillId="42" borderId="38"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5" fillId="0" borderId="0" applyNumberFormat="0" applyFill="0" applyBorder="0" applyAlignment="0" applyProtection="0"/>
    <xf numFmtId="0" fontId="50" fillId="0" borderId="39" applyNumberFormat="0" applyFill="0" applyAlignment="0" applyProtection="0"/>
    <xf numFmtId="0" fontId="86" fillId="0" borderId="0" applyNumberForma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3" fillId="0" borderId="0"/>
    <xf numFmtId="0" fontId="87" fillId="45" borderId="0" applyNumberFormat="0" applyBorder="0" applyAlignment="0" applyProtection="0"/>
  </cellStyleXfs>
  <cellXfs count="1206">
    <xf numFmtId="0" fontId="0" fillId="0" borderId="0" xfId="0"/>
    <xf numFmtId="0" fontId="2" fillId="0" borderId="0" xfId="0" applyFont="1"/>
    <xf numFmtId="164" fontId="5" fillId="2" borderId="0" xfId="0" applyNumberFormat="1" applyFont="1" applyFill="1"/>
    <xf numFmtId="0" fontId="6" fillId="3" borderId="0" xfId="0" applyFont="1" applyFill="1"/>
    <xf numFmtId="0" fontId="7" fillId="2" borderId="0" xfId="0" applyFont="1" applyFill="1"/>
    <xf numFmtId="0" fontId="9" fillId="0" borderId="0" xfId="0" applyFont="1"/>
    <xf numFmtId="0" fontId="8" fillId="0" borderId="0" xfId="0" quotePrefix="1" applyFont="1"/>
    <xf numFmtId="0" fontId="12" fillId="0" borderId="0" xfId="0" applyFont="1"/>
    <xf numFmtId="9" fontId="0" fillId="0" borderId="0" xfId="1" applyFont="1"/>
    <xf numFmtId="0" fontId="0" fillId="0" borderId="0" xfId="0" applyAlignment="1">
      <alignment wrapText="1"/>
    </xf>
    <xf numFmtId="0" fontId="8" fillId="0" borderId="0" xfId="0" applyFont="1"/>
    <xf numFmtId="0" fontId="0" fillId="4" borderId="1" xfId="0" applyFill="1" applyBorder="1"/>
    <xf numFmtId="2" fontId="0" fillId="0" borderId="0" xfId="0" applyNumberFormat="1"/>
    <xf numFmtId="0" fontId="13" fillId="0" borderId="0" xfId="0" applyFont="1"/>
    <xf numFmtId="49" fontId="0" fillId="0" borderId="0" xfId="0" applyNumberFormat="1"/>
    <xf numFmtId="0" fontId="15" fillId="0" borderId="0" xfId="0" applyFont="1"/>
    <xf numFmtId="0" fontId="0" fillId="6" borderId="0" xfId="0" applyFill="1"/>
    <xf numFmtId="0" fontId="2" fillId="0" borderId="0" xfId="0" applyFont="1" applyAlignment="1">
      <alignment horizontal="left" indent="2"/>
    </xf>
    <xf numFmtId="0" fontId="14" fillId="0" borderId="0" xfId="0" applyFont="1"/>
    <xf numFmtId="0" fontId="2" fillId="7" borderId="0" xfId="0" applyFont="1" applyFill="1"/>
    <xf numFmtId="0" fontId="16" fillId="0" borderId="0" xfId="0" applyFont="1"/>
    <xf numFmtId="0" fontId="14" fillId="0" borderId="0" xfId="0" applyFont="1" applyAlignment="1">
      <alignment horizontal="left" vertical="top" wrapText="1"/>
    </xf>
    <xf numFmtId="0" fontId="17" fillId="0" borderId="0" xfId="0" applyFont="1"/>
    <xf numFmtId="0" fontId="19" fillId="5" borderId="0" xfId="4" applyFont="1" applyFill="1"/>
    <xf numFmtId="0" fontId="20" fillId="0" borderId="0" xfId="4" applyFont="1"/>
    <xf numFmtId="0" fontId="21" fillId="0" borderId="0" xfId="4" applyFont="1"/>
    <xf numFmtId="0" fontId="21" fillId="0" borderId="0" xfId="4" applyFont="1" applyAlignment="1">
      <alignment wrapText="1"/>
    </xf>
    <xf numFmtId="0" fontId="20" fillId="0" borderId="0" xfId="4" applyFont="1" applyAlignment="1">
      <alignment wrapText="1"/>
    </xf>
    <xf numFmtId="0" fontId="22" fillId="0" borderId="0" xfId="4" applyFont="1"/>
    <xf numFmtId="0" fontId="23" fillId="0" borderId="0" xfId="4" applyFont="1"/>
    <xf numFmtId="15" fontId="20" fillId="0" borderId="0" xfId="4" applyNumberFormat="1" applyFont="1" applyAlignment="1">
      <alignment horizontal="left"/>
    </xf>
    <xf numFmtId="0" fontId="20" fillId="0" borderId="0" xfId="4" applyFont="1" applyAlignment="1">
      <alignment horizontal="left"/>
    </xf>
    <xf numFmtId="0" fontId="24" fillId="0" borderId="0" xfId="4" applyFont="1" applyAlignment="1">
      <alignment horizontal="center"/>
    </xf>
    <xf numFmtId="0" fontId="24" fillId="0" borderId="0" xfId="4" applyFont="1"/>
    <xf numFmtId="3" fontId="24" fillId="0" borderId="0" xfId="4" applyNumberFormat="1" applyFont="1" applyAlignment="1">
      <alignment horizontal="center"/>
    </xf>
    <xf numFmtId="3" fontId="24" fillId="0" borderId="0" xfId="4" quotePrefix="1" applyNumberFormat="1" applyFont="1" applyAlignment="1">
      <alignment horizontal="center"/>
    </xf>
    <xf numFmtId="0" fontId="24" fillId="0" borderId="2" xfId="4" applyFont="1" applyBorder="1" applyAlignment="1">
      <alignment horizontal="left"/>
    </xf>
    <xf numFmtId="9" fontId="25" fillId="0" borderId="3" xfId="8" applyNumberFormat="1" applyFont="1" applyBorder="1" applyAlignment="1">
      <alignment horizontal="center"/>
    </xf>
    <xf numFmtId="0" fontId="24" fillId="0" borderId="4" xfId="4" applyFont="1" applyBorder="1" applyAlignment="1">
      <alignment horizontal="right"/>
    </xf>
    <xf numFmtId="0" fontId="26" fillId="5" borderId="0" xfId="4" applyFont="1" applyFill="1"/>
    <xf numFmtId="9" fontId="25" fillId="0" borderId="5" xfId="8" applyNumberFormat="1" applyFont="1" applyBorder="1" applyAlignment="1">
      <alignment horizontal="center"/>
    </xf>
    <xf numFmtId="0" fontId="27" fillId="5" borderId="0" xfId="4" applyFont="1" applyFill="1"/>
    <xf numFmtId="0" fontId="26" fillId="5" borderId="6" xfId="4" applyFont="1" applyFill="1" applyBorder="1"/>
    <xf numFmtId="0" fontId="24" fillId="0" borderId="4" xfId="4" quotePrefix="1" applyFont="1" applyBorder="1" applyAlignment="1">
      <alignment horizontal="right"/>
    </xf>
    <xf numFmtId="0" fontId="24" fillId="0" borderId="2" xfId="4" applyFont="1" applyBorder="1" applyAlignment="1">
      <alignment horizontal="right"/>
    </xf>
    <xf numFmtId="0" fontId="27" fillId="5" borderId="7" xfId="4" applyFont="1" applyFill="1" applyBorder="1"/>
    <xf numFmtId="0" fontId="24" fillId="0" borderId="4" xfId="4" applyFont="1" applyBorder="1" applyAlignment="1">
      <alignment horizontal="left"/>
    </xf>
    <xf numFmtId="0" fontId="28" fillId="5" borderId="0" xfId="4" applyFont="1" applyFill="1" applyAlignment="1">
      <alignment horizontal="center"/>
    </xf>
    <xf numFmtId="0" fontId="26" fillId="5" borderId="7" xfId="4" applyFont="1" applyFill="1" applyBorder="1"/>
    <xf numFmtId="0" fontId="0" fillId="0" borderId="0" xfId="0" quotePrefix="1"/>
    <xf numFmtId="14" fontId="0" fillId="8" borderId="11" xfId="0" applyNumberFormat="1" applyFill="1" applyBorder="1"/>
    <xf numFmtId="2" fontId="0" fillId="8" borderId="11" xfId="0" applyNumberFormat="1" applyFill="1" applyBorder="1"/>
    <xf numFmtId="0" fontId="0" fillId="7" borderId="0" xfId="0" applyFill="1"/>
    <xf numFmtId="0" fontId="2" fillId="9" borderId="0" xfId="0" applyFont="1" applyFill="1"/>
    <xf numFmtId="0" fontId="2" fillId="9" borderId="0" xfId="0" quotePrefix="1" applyFont="1" applyFill="1"/>
    <xf numFmtId="0" fontId="29" fillId="9" borderId="0" xfId="0" applyFont="1" applyFill="1"/>
    <xf numFmtId="0" fontId="14" fillId="9" borderId="0" xfId="0" applyFont="1" applyFill="1" applyAlignment="1">
      <alignment wrapText="1"/>
    </xf>
    <xf numFmtId="166" fontId="0" fillId="8" borderId="11" xfId="3" applyNumberFormat="1" applyFont="1" applyFill="1" applyBorder="1"/>
    <xf numFmtId="0" fontId="30" fillId="0" borderId="0" xfId="0" applyFont="1"/>
    <xf numFmtId="0" fontId="31" fillId="0" borderId="0" xfId="0" applyFont="1"/>
    <xf numFmtId="0" fontId="32" fillId="0" borderId="0" xfId="0" applyFont="1"/>
    <xf numFmtId="10" fontId="33" fillId="0" borderId="0" xfId="1" applyNumberFormat="1" applyFont="1" applyAlignment="1">
      <alignment horizontal="left"/>
    </xf>
    <xf numFmtId="0" fontId="33" fillId="0" borderId="0" xfId="0" applyFont="1" applyAlignment="1">
      <alignment horizontal="left"/>
    </xf>
    <xf numFmtId="0" fontId="34" fillId="0" borderId="0" xfId="0" applyFont="1"/>
    <xf numFmtId="0" fontId="0" fillId="6" borderId="0" xfId="0" quotePrefix="1" applyFill="1"/>
    <xf numFmtId="44" fontId="0" fillId="0" borderId="0" xfId="0" applyNumberFormat="1"/>
    <xf numFmtId="166" fontId="0" fillId="0" borderId="0" xfId="0" applyNumberFormat="1"/>
    <xf numFmtId="0" fontId="0" fillId="0" borderId="0" xfId="0" applyAlignment="1">
      <alignment horizontal="right"/>
    </xf>
    <xf numFmtId="0" fontId="35" fillId="0" borderId="0" xfId="0" applyFont="1" applyAlignment="1">
      <alignment horizontal="right"/>
    </xf>
    <xf numFmtId="0" fontId="35" fillId="0" borderId="0" xfId="0" applyFont="1" applyAlignment="1">
      <alignment horizontal="right" wrapText="1"/>
    </xf>
    <xf numFmtId="9" fontId="0" fillId="0" borderId="0" xfId="0" applyNumberFormat="1"/>
    <xf numFmtId="0" fontId="0" fillId="10" borderId="0" xfId="0" applyFill="1"/>
    <xf numFmtId="0" fontId="2" fillId="11" borderId="0" xfId="0" applyFont="1" applyFill="1"/>
    <xf numFmtId="0" fontId="0" fillId="0" borderId="0" xfId="0" applyAlignment="1">
      <alignment horizontal="left"/>
    </xf>
    <xf numFmtId="0" fontId="2" fillId="0" borderId="13" xfId="0" applyFont="1" applyBorder="1" applyAlignment="1">
      <alignment horizontal="center" vertical="center" wrapText="1"/>
    </xf>
    <xf numFmtId="0" fontId="2" fillId="0" borderId="13" xfId="0" applyFont="1" applyBorder="1" applyAlignment="1">
      <alignment horizontal="left" vertical="center"/>
    </xf>
    <xf numFmtId="0" fontId="0" fillId="0" borderId="14" xfId="0" applyBorder="1" applyAlignment="1">
      <alignment horizontal="left" indent="1"/>
    </xf>
    <xf numFmtId="169" fontId="0" fillId="0" borderId="0" xfId="11" applyNumberFormat="1" applyFont="1"/>
    <xf numFmtId="0" fontId="0" fillId="0" borderId="15" xfId="0" applyBorder="1" applyAlignment="1">
      <alignment horizontal="left" indent="1"/>
    </xf>
    <xf numFmtId="169" fontId="0" fillId="0" borderId="15" xfId="11" applyNumberFormat="1" applyFont="1" applyBorder="1" applyAlignment="1">
      <alignment horizontal="center"/>
    </xf>
    <xf numFmtId="169" fontId="0" fillId="0" borderId="0" xfId="11" applyNumberFormat="1" applyFont="1" applyAlignment="1">
      <alignment horizontal="center"/>
    </xf>
    <xf numFmtId="0" fontId="2" fillId="11" borderId="0" xfId="0" applyFont="1" applyFill="1" applyAlignment="1">
      <alignment horizontal="right" indent="1"/>
    </xf>
    <xf numFmtId="0" fontId="0" fillId="0" borderId="0" xfId="0" applyAlignment="1">
      <alignment horizontal="right" indent="1"/>
    </xf>
    <xf numFmtId="166" fontId="1" fillId="0" borderId="0" xfId="11" applyNumberFormat="1"/>
    <xf numFmtId="0" fontId="1" fillId="0" borderId="0" xfId="0" applyFont="1" applyAlignment="1">
      <alignment horizontal="left" indent="1"/>
    </xf>
    <xf numFmtId="1" fontId="0" fillId="0" borderId="1" xfId="0" applyNumberFormat="1" applyBorder="1"/>
    <xf numFmtId="44" fontId="0" fillId="0" borderId="1" xfId="0" applyNumberFormat="1" applyBorder="1"/>
    <xf numFmtId="0" fontId="2" fillId="11" borderId="0" xfId="0" applyFont="1" applyFill="1" applyAlignment="1">
      <alignment horizontal="right"/>
    </xf>
    <xf numFmtId="0" fontId="1" fillId="0" borderId="0" xfId="0" applyFont="1"/>
    <xf numFmtId="9" fontId="1" fillId="0" borderId="0" xfId="0" applyNumberFormat="1" applyFont="1" applyAlignment="1">
      <alignment horizontal="left"/>
    </xf>
    <xf numFmtId="9" fontId="2" fillId="7" borderId="0" xfId="0" applyNumberFormat="1" applyFont="1" applyFill="1"/>
    <xf numFmtId="1" fontId="0" fillId="0" borderId="12" xfId="0" applyNumberFormat="1" applyBorder="1"/>
    <xf numFmtId="1" fontId="0" fillId="0" borderId="0" xfId="0" applyNumberFormat="1"/>
    <xf numFmtId="0" fontId="2" fillId="7" borderId="0" xfId="0" applyFont="1" applyFill="1" applyAlignment="1">
      <alignment wrapText="1"/>
    </xf>
    <xf numFmtId="2" fontId="0" fillId="0" borderId="0" xfId="1" applyNumberFormat="1" applyFont="1"/>
    <xf numFmtId="1" fontId="2" fillId="0" borderId="0" xfId="1" applyNumberFormat="1" applyFont="1"/>
    <xf numFmtId="49" fontId="17" fillId="0" borderId="0" xfId="0" applyNumberFormat="1" applyFont="1"/>
    <xf numFmtId="1" fontId="0" fillId="8" borderId="11" xfId="0" applyNumberFormat="1" applyFill="1" applyBorder="1"/>
    <xf numFmtId="0" fontId="6" fillId="0" borderId="0" xfId="0" applyFont="1"/>
    <xf numFmtId="0" fontId="2" fillId="10" borderId="13" xfId="0" applyFont="1" applyFill="1" applyBorder="1" applyAlignment="1">
      <alignment horizontal="center" vertical="center" wrapText="1"/>
    </xf>
    <xf numFmtId="0" fontId="37" fillId="0" borderId="0" xfId="0" applyFont="1"/>
    <xf numFmtId="0" fontId="2" fillId="0" borderId="16" xfId="0" applyFont="1" applyBorder="1" applyAlignment="1">
      <alignment horizontal="left"/>
    </xf>
    <xf numFmtId="0" fontId="2" fillId="0" borderId="0" xfId="0" applyFont="1" applyAlignment="1">
      <alignment horizontal="left" indent="1"/>
    </xf>
    <xf numFmtId="0" fontId="1" fillId="0" borderId="16" xfId="0" applyFont="1" applyBorder="1"/>
    <xf numFmtId="0" fontId="2" fillId="0" borderId="16" xfId="0" applyFont="1" applyBorder="1" applyAlignment="1">
      <alignment horizontal="right"/>
    </xf>
    <xf numFmtId="166" fontId="1" fillId="0" borderId="0" xfId="11" applyNumberFormat="1" applyAlignment="1">
      <alignment vertical="top"/>
    </xf>
    <xf numFmtId="42" fontId="1" fillId="0" borderId="0" xfId="11" applyNumberFormat="1" applyAlignment="1">
      <alignment vertical="top"/>
    </xf>
    <xf numFmtId="42" fontId="2" fillId="0" borderId="14" xfId="11" applyNumberFormat="1" applyFont="1" applyBorder="1" applyAlignment="1">
      <alignment vertical="top"/>
    </xf>
    <xf numFmtId="0" fontId="39" fillId="5" borderId="14" xfId="0" applyFont="1" applyFill="1" applyBorder="1" applyAlignment="1" applyProtection="1">
      <alignment horizontal="right"/>
      <protection locked="0"/>
    </xf>
    <xf numFmtId="0" fontId="0" fillId="0" borderId="14" xfId="0" applyBorder="1"/>
    <xf numFmtId="0" fontId="38" fillId="5" borderId="0" xfId="0" applyFont="1" applyFill="1" applyAlignment="1" applyProtection="1">
      <alignment horizontal="right"/>
      <protection locked="0"/>
    </xf>
    <xf numFmtId="0" fontId="39" fillId="5" borderId="0" xfId="0" applyFont="1" applyFill="1" applyAlignment="1" applyProtection="1">
      <alignment horizontal="left"/>
      <protection locked="0"/>
    </xf>
    <xf numFmtId="42" fontId="2" fillId="0" borderId="0" xfId="11" applyNumberFormat="1" applyFont="1" applyAlignment="1">
      <alignment vertical="top"/>
    </xf>
    <xf numFmtId="42" fontId="1" fillId="0" borderId="0" xfId="11" applyNumberFormat="1"/>
    <xf numFmtId="0" fontId="39" fillId="5" borderId="0" xfId="0" applyFont="1" applyFill="1" applyAlignment="1" applyProtection="1">
      <alignment horizontal="right"/>
      <protection locked="0"/>
    </xf>
    <xf numFmtId="0" fontId="2" fillId="0" borderId="13" xfId="0" applyFont="1" applyBorder="1" applyAlignment="1">
      <alignment horizontal="center" wrapText="1"/>
    </xf>
    <xf numFmtId="0" fontId="2" fillId="0" borderId="13" xfId="0" applyFont="1" applyBorder="1" applyAlignment="1">
      <alignment horizontal="right"/>
    </xf>
    <xf numFmtId="0" fontId="2" fillId="0" borderId="13" xfId="0" applyFont="1" applyBorder="1" applyAlignment="1">
      <alignment horizontal="left"/>
    </xf>
    <xf numFmtId="0" fontId="41" fillId="0" borderId="0" xfId="0" applyFont="1"/>
    <xf numFmtId="0" fontId="0" fillId="0" borderId="0" xfId="0" applyAlignment="1">
      <alignment horizontal="center" vertical="center"/>
    </xf>
    <xf numFmtId="43" fontId="1" fillId="0" borderId="0" xfId="11" applyAlignment="1">
      <alignment horizontal="right" vertical="top"/>
    </xf>
    <xf numFmtId="0" fontId="2" fillId="0" borderId="0" xfId="0" applyFont="1" applyAlignment="1">
      <alignment horizontal="right"/>
    </xf>
    <xf numFmtId="0" fontId="40" fillId="0" borderId="0" xfId="0" applyFont="1"/>
    <xf numFmtId="0" fontId="38" fillId="0" borderId="0" xfId="0" applyFont="1"/>
    <xf numFmtId="0" fontId="39" fillId="0" borderId="0" xfId="0" applyFont="1" applyAlignment="1" applyProtection="1">
      <alignment horizontal="right"/>
      <protection locked="0"/>
    </xf>
    <xf numFmtId="2" fontId="0" fillId="0" borderId="0" xfId="0" applyNumberFormat="1" applyAlignment="1">
      <alignment horizontal="center"/>
    </xf>
    <xf numFmtId="42" fontId="1" fillId="0" borderId="17" xfId="11" applyNumberFormat="1" applyBorder="1"/>
    <xf numFmtId="0" fontId="2" fillId="0" borderId="17" xfId="0" applyFont="1" applyBorder="1" applyAlignment="1">
      <alignment horizontal="right"/>
    </xf>
    <xf numFmtId="0" fontId="2" fillId="0" borderId="17" xfId="0" applyFont="1" applyBorder="1"/>
    <xf numFmtId="0" fontId="2" fillId="0" borderId="0" xfId="0" applyFont="1" applyAlignment="1">
      <alignment horizontal="left"/>
    </xf>
    <xf numFmtId="171" fontId="1" fillId="0" borderId="0" xfId="11" applyNumberFormat="1" applyAlignment="1">
      <alignment vertical="top"/>
    </xf>
    <xf numFmtId="172" fontId="1" fillId="0" borderId="0" xfId="11" applyNumberFormat="1" applyAlignment="1">
      <alignment vertical="top"/>
    </xf>
    <xf numFmtId="42" fontId="1" fillId="0" borderId="17" xfId="11" applyNumberFormat="1" applyBorder="1" applyAlignment="1">
      <alignment vertical="top"/>
    </xf>
    <xf numFmtId="0" fontId="0" fillId="0" borderId="0" xfId="0" applyAlignment="1">
      <alignment vertical="top"/>
    </xf>
    <xf numFmtId="0" fontId="2" fillId="0" borderId="0" xfId="0" applyFont="1" applyAlignment="1">
      <alignment horizontal="right" vertical="top" wrapText="1"/>
    </xf>
    <xf numFmtId="0" fontId="2" fillId="0" borderId="16" xfId="0" applyFont="1" applyBorder="1" applyAlignment="1">
      <alignment horizontal="center" wrapText="1"/>
    </xf>
    <xf numFmtId="0" fontId="2" fillId="0" borderId="16" xfId="0" applyFont="1" applyBorder="1"/>
    <xf numFmtId="10" fontId="0" fillId="0" borderId="0" xfId="0" applyNumberFormat="1"/>
    <xf numFmtId="0" fontId="2" fillId="0" borderId="0" xfId="0" applyFont="1" applyAlignment="1">
      <alignment horizontal="center" vertical="top" wrapText="1"/>
    </xf>
    <xf numFmtId="166" fontId="0" fillId="0" borderId="0" xfId="11" applyNumberFormat="1" applyFont="1"/>
    <xf numFmtId="166" fontId="0" fillId="0" borderId="0" xfId="11" applyNumberFormat="1" applyFont="1" applyAlignment="1">
      <alignment horizontal="center"/>
    </xf>
    <xf numFmtId="166" fontId="0" fillId="0" borderId="15" xfId="11" applyNumberFormat="1" applyFont="1" applyBorder="1" applyAlignment="1">
      <alignment horizontal="center"/>
    </xf>
    <xf numFmtId="0" fontId="0" fillId="0" borderId="15" xfId="0" applyBorder="1" applyAlignment="1">
      <alignment horizontal="left" indent="4"/>
    </xf>
    <xf numFmtId="0" fontId="0" fillId="0" borderId="0" xfId="0" applyAlignment="1">
      <alignment horizontal="left" indent="4"/>
    </xf>
    <xf numFmtId="0" fontId="2" fillId="0" borderId="14" xfId="0" applyFont="1" applyBorder="1" applyAlignment="1">
      <alignment wrapText="1"/>
    </xf>
    <xf numFmtId="0" fontId="2" fillId="0" borderId="15" xfId="0" applyFont="1" applyBorder="1" applyAlignment="1">
      <alignment wrapText="1"/>
    </xf>
    <xf numFmtId="166" fontId="0" fillId="0" borderId="17" xfId="3" applyNumberFormat="1" applyFont="1" applyBorder="1"/>
    <xf numFmtId="0" fontId="0" fillId="0" borderId="17" xfId="0" applyBorder="1"/>
    <xf numFmtId="166" fontId="0" fillId="0" borderId="0" xfId="3" applyNumberFormat="1" applyFont="1" applyAlignment="1">
      <alignment horizontal="center"/>
    </xf>
    <xf numFmtId="166" fontId="0" fillId="0" borderId="0" xfId="3" applyNumberFormat="1" applyFont="1"/>
    <xf numFmtId="0" fontId="0" fillId="0" borderId="0" xfId="0" applyAlignment="1">
      <alignment horizontal="center"/>
    </xf>
    <xf numFmtId="0" fontId="0" fillId="0" borderId="0" xfId="0" applyAlignment="1">
      <alignment horizontal="left" vertical="top"/>
    </xf>
    <xf numFmtId="0" fontId="1" fillId="0" borderId="0" xfId="0" applyFont="1" applyAlignment="1">
      <alignment horizontal="left"/>
    </xf>
    <xf numFmtId="2" fontId="1" fillId="0" borderId="0" xfId="0" applyNumberFormat="1" applyFont="1"/>
    <xf numFmtId="0" fontId="1" fillId="12" borderId="0" xfId="0" applyFont="1" applyFill="1"/>
    <xf numFmtId="0" fontId="1" fillId="0" borderId="0" xfId="0" applyFont="1" applyAlignment="1">
      <alignment wrapText="1"/>
    </xf>
    <xf numFmtId="0" fontId="2" fillId="0" borderId="16" xfId="0" applyFont="1" applyBorder="1" applyAlignment="1">
      <alignment horizontal="center" vertical="center" wrapText="1"/>
    </xf>
    <xf numFmtId="9" fontId="1" fillId="0" borderId="0" xfId="0" quotePrefix="1" applyNumberFormat="1" applyFont="1" applyAlignment="1">
      <alignment horizontal="center" vertical="center"/>
    </xf>
    <xf numFmtId="0" fontId="1" fillId="0" borderId="0" xfId="0" applyFont="1" applyAlignment="1">
      <alignment horizontal="center" vertical="center"/>
    </xf>
    <xf numFmtId="9" fontId="1" fillId="0" borderId="0" xfId="0" applyNumberFormat="1" applyFont="1" applyAlignment="1">
      <alignment horizontal="center" vertical="center"/>
    </xf>
    <xf numFmtId="0" fontId="0" fillId="0" borderId="14" xfId="0" applyBorder="1" applyAlignment="1">
      <alignment horizontal="left" vertical="center" indent="1"/>
    </xf>
    <xf numFmtId="0" fontId="1" fillId="0" borderId="14" xfId="0" applyFont="1" applyBorder="1" applyAlignment="1">
      <alignment horizontal="left" vertical="center" indent="1"/>
    </xf>
    <xf numFmtId="0" fontId="1" fillId="0" borderId="0" xfId="0" applyFont="1" applyAlignment="1">
      <alignment horizontal="left" wrapText="1"/>
    </xf>
    <xf numFmtId="0" fontId="2" fillId="0" borderId="0" xfId="0" applyFont="1" applyAlignment="1">
      <alignment horizontal="center" vertical="center"/>
    </xf>
    <xf numFmtId="0" fontId="0" fillId="0" borderId="0" xfId="0" applyAlignment="1">
      <alignment horizontal="left" indent="1"/>
    </xf>
    <xf numFmtId="0" fontId="1" fillId="0" borderId="0" xfId="0" applyFont="1" applyAlignment="1">
      <alignment horizontal="center" wrapText="1"/>
    </xf>
    <xf numFmtId="0" fontId="1" fillId="0" borderId="0" xfId="0" applyFont="1" applyAlignment="1">
      <alignment horizontal="left" vertical="center" indent="1"/>
    </xf>
    <xf numFmtId="0" fontId="1" fillId="0" borderId="0" xfId="0" applyFont="1" applyAlignment="1">
      <alignment horizontal="center"/>
    </xf>
    <xf numFmtId="0" fontId="1" fillId="0" borderId="14" xfId="0" applyFont="1" applyBorder="1" applyAlignment="1">
      <alignment horizontal="left" indent="1"/>
    </xf>
    <xf numFmtId="0" fontId="1" fillId="0" borderId="14" xfId="0" applyFont="1" applyBorder="1"/>
    <xf numFmtId="0" fontId="1" fillId="0" borderId="0" xfId="0" applyFont="1" applyAlignment="1">
      <alignment horizontal="left" vertical="center" wrapText="1"/>
    </xf>
    <xf numFmtId="0" fontId="2" fillId="0" borderId="0" xfId="0" applyFont="1" applyAlignment="1">
      <alignment horizontal="left" vertical="center" wrapText="1"/>
    </xf>
    <xf numFmtId="0" fontId="0" fillId="12" borderId="0" xfId="0" applyFill="1"/>
    <xf numFmtId="0" fontId="2" fillId="12" borderId="0" xfId="0" applyFont="1" applyFill="1"/>
    <xf numFmtId="0" fontId="2" fillId="12" borderId="0" xfId="0" applyFont="1" applyFill="1" applyAlignment="1">
      <alignment horizontal="center"/>
    </xf>
    <xf numFmtId="164" fontId="0" fillId="0" borderId="0" xfId="3" applyNumberFormat="1" applyFont="1" applyAlignment="1">
      <alignment horizontal="right" indent="1"/>
    </xf>
    <xf numFmtId="9" fontId="0" fillId="0" borderId="0" xfId="1" applyFont="1" applyAlignment="1">
      <alignment horizontal="right" indent="1"/>
    </xf>
    <xf numFmtId="10" fontId="0" fillId="0" borderId="0" xfId="1" applyNumberFormat="1" applyFont="1" applyAlignment="1">
      <alignment horizontal="right" indent="1"/>
    </xf>
    <xf numFmtId="0" fontId="2" fillId="0" borderId="16" xfId="0" applyFont="1" applyBorder="1" applyAlignment="1">
      <alignment horizontal="center"/>
    </xf>
    <xf numFmtId="166" fontId="2" fillId="0" borderId="16" xfId="3" applyNumberFormat="1" applyFont="1" applyBorder="1" applyAlignment="1">
      <alignment horizontal="center"/>
    </xf>
    <xf numFmtId="9" fontId="1" fillId="0" borderId="0" xfId="1" applyAlignment="1">
      <alignment horizontal="center"/>
    </xf>
    <xf numFmtId="9" fontId="1" fillId="0" borderId="15" xfId="1" applyBorder="1" applyAlignment="1">
      <alignment horizontal="center"/>
    </xf>
    <xf numFmtId="0" fontId="2" fillId="0" borderId="0" xfId="0" applyFont="1" applyAlignment="1">
      <alignment horizontal="center" vertical="center" wrapText="1"/>
    </xf>
    <xf numFmtId="169" fontId="1" fillId="0" borderId="0" xfId="11" applyNumberFormat="1" applyAlignment="1">
      <alignment horizontal="center"/>
    </xf>
    <xf numFmtId="0" fontId="1" fillId="0" borderId="0" xfId="0" applyFont="1" applyAlignment="1">
      <alignment horizontal="right"/>
    </xf>
    <xf numFmtId="0" fontId="1" fillId="0" borderId="16" xfId="0" applyFont="1" applyBorder="1" applyAlignment="1">
      <alignment horizontal="right"/>
    </xf>
    <xf numFmtId="0" fontId="1" fillId="0" borderId="16" xfId="0" applyFont="1" applyBorder="1" applyAlignment="1">
      <alignment horizontal="left" indent="1"/>
    </xf>
    <xf numFmtId="0" fontId="38" fillId="5" borderId="0" xfId="0" applyFont="1" applyFill="1" applyAlignment="1">
      <alignment horizontal="right"/>
    </xf>
    <xf numFmtId="0" fontId="38" fillId="5" borderId="0" xfId="0" applyFont="1" applyFill="1" applyAlignment="1">
      <alignment horizontal="right" wrapText="1"/>
    </xf>
    <xf numFmtId="42" fontId="0" fillId="0" borderId="0" xfId="11" applyNumberFormat="1" applyFont="1" applyAlignment="1">
      <alignment vertical="top"/>
    </xf>
    <xf numFmtId="0" fontId="43" fillId="0" borderId="0" xfId="0" applyFont="1"/>
    <xf numFmtId="0" fontId="0" fillId="0" borderId="0" xfId="0" applyAlignment="1">
      <alignment horizontal="right" vertical="top"/>
    </xf>
    <xf numFmtId="0" fontId="2" fillId="0" borderId="16" xfId="0" applyFont="1" applyBorder="1" applyAlignment="1">
      <alignment horizontal="left" wrapText="1"/>
    </xf>
    <xf numFmtId="42" fontId="1" fillId="0" borderId="16" xfId="11" applyNumberFormat="1" applyBorder="1" applyAlignment="1">
      <alignment vertical="top"/>
    </xf>
    <xf numFmtId="0" fontId="2" fillId="10" borderId="13" xfId="0" applyFont="1" applyFill="1" applyBorder="1" applyAlignment="1">
      <alignment horizontal="left" vertical="center" wrapText="1"/>
    </xf>
    <xf numFmtId="0" fontId="0" fillId="14" borderId="0" xfId="0" applyFill="1"/>
    <xf numFmtId="10" fontId="0" fillId="8" borderId="11" xfId="1" applyNumberFormat="1" applyFont="1" applyFill="1" applyBorder="1"/>
    <xf numFmtId="10" fontId="0" fillId="0" borderId="0" xfId="1" applyNumberFormat="1" applyFont="1"/>
    <xf numFmtId="166" fontId="2" fillId="0" borderId="12" xfId="0" applyNumberFormat="1" applyFont="1" applyBorder="1"/>
    <xf numFmtId="166" fontId="2" fillId="0" borderId="0" xfId="0" applyNumberFormat="1" applyFont="1"/>
    <xf numFmtId="173" fontId="0" fillId="0" borderId="0" xfId="0" applyNumberFormat="1"/>
    <xf numFmtId="1" fontId="2" fillId="0" borderId="12" xfId="0" applyNumberFormat="1" applyFont="1" applyBorder="1"/>
    <xf numFmtId="42" fontId="37" fillId="0" borderId="0" xfId="11" applyNumberFormat="1" applyFont="1" applyAlignment="1">
      <alignment vertical="top"/>
    </xf>
    <xf numFmtId="44" fontId="2" fillId="0" borderId="0" xfId="0" applyNumberFormat="1" applyFont="1"/>
    <xf numFmtId="167" fontId="0" fillId="0" borderId="0" xfId="1" applyNumberFormat="1" applyFont="1"/>
    <xf numFmtId="0" fontId="17" fillId="0" borderId="0" xfId="0" applyFont="1" applyAlignment="1">
      <alignment horizontal="left"/>
    </xf>
    <xf numFmtId="173" fontId="0" fillId="8" borderId="11" xfId="0" applyNumberFormat="1" applyFill="1" applyBorder="1"/>
    <xf numFmtId="9" fontId="0" fillId="0" borderId="0" xfId="0" applyNumberFormat="1" applyAlignment="1">
      <alignment horizontal="left"/>
    </xf>
    <xf numFmtId="166" fontId="2" fillId="0" borderId="0" xfId="0" applyNumberFormat="1" applyFont="1" applyAlignment="1">
      <alignment horizontal="center" vertical="center" wrapText="1"/>
    </xf>
    <xf numFmtId="0" fontId="0" fillId="0" borderId="0" xfId="0" applyAlignment="1">
      <alignment horizontal="left" indent="2"/>
    </xf>
    <xf numFmtId="9" fontId="0" fillId="8" borderId="11" xfId="1" applyFont="1" applyFill="1" applyBorder="1"/>
    <xf numFmtId="174" fontId="0" fillId="0" borderId="0" xfId="0" applyNumberFormat="1"/>
    <xf numFmtId="0" fontId="3" fillId="5" borderId="0" xfId="13" applyFill="1"/>
    <xf numFmtId="0" fontId="34" fillId="5" borderId="19" xfId="13" applyFont="1" applyFill="1" applyBorder="1" applyAlignment="1">
      <alignment horizontal="center"/>
    </xf>
    <xf numFmtId="0" fontId="34" fillId="5" borderId="20" xfId="13" applyFont="1" applyFill="1" applyBorder="1" applyAlignment="1">
      <alignment horizontal="center"/>
    </xf>
    <xf numFmtId="0" fontId="34" fillId="5" borderId="21" xfId="13" applyFont="1" applyFill="1" applyBorder="1" applyAlignment="1">
      <alignment horizontal="center"/>
    </xf>
    <xf numFmtId="0" fontId="3" fillId="5" borderId="22" xfId="13" applyFill="1" applyBorder="1"/>
    <xf numFmtId="175" fontId="3" fillId="5" borderId="23" xfId="14" applyNumberFormat="1" applyFill="1" applyBorder="1"/>
    <xf numFmtId="175" fontId="3" fillId="5" borderId="24" xfId="14" applyNumberFormat="1" applyFill="1" applyBorder="1"/>
    <xf numFmtId="38" fontId="3" fillId="5" borderId="23" xfId="14" applyNumberFormat="1" applyFill="1" applyBorder="1"/>
    <xf numFmtId="38" fontId="3" fillId="5" borderId="24" xfId="14" applyNumberFormat="1" applyFill="1" applyBorder="1"/>
    <xf numFmtId="0" fontId="3" fillId="5" borderId="23" xfId="13" applyFill="1" applyBorder="1"/>
    <xf numFmtId="0" fontId="3" fillId="5" borderId="24" xfId="13" applyFill="1" applyBorder="1"/>
    <xf numFmtId="0" fontId="3" fillId="5" borderId="4" xfId="13" applyFill="1" applyBorder="1"/>
    <xf numFmtId="0" fontId="3" fillId="5" borderId="25" xfId="13" applyFill="1" applyBorder="1"/>
    <xf numFmtId="0" fontId="34" fillId="5" borderId="0" xfId="13" applyFont="1" applyFill="1" applyAlignment="1">
      <alignment horizontal="center"/>
    </xf>
    <xf numFmtId="0" fontId="34" fillId="5" borderId="25" xfId="13" applyFont="1" applyFill="1" applyBorder="1" applyAlignment="1">
      <alignment horizontal="center"/>
    </xf>
    <xf numFmtId="169" fontId="3" fillId="5" borderId="0" xfId="14" applyNumberFormat="1" applyFill="1"/>
    <xf numFmtId="169" fontId="3" fillId="5" borderId="25" xfId="14" applyNumberFormat="1" applyFill="1" applyBorder="1"/>
    <xf numFmtId="166" fontId="3" fillId="5" borderId="0" xfId="14" applyNumberFormat="1" applyFill="1"/>
    <xf numFmtId="166" fontId="3" fillId="5" borderId="25" xfId="14" applyNumberFormat="1" applyFill="1" applyBorder="1"/>
    <xf numFmtId="10" fontId="34" fillId="5" borderId="0" xfId="15" applyNumberFormat="1" applyFont="1" applyFill="1"/>
    <xf numFmtId="0" fontId="46" fillId="5" borderId="22" xfId="13" applyFont="1" applyFill="1" applyBorder="1"/>
    <xf numFmtId="175" fontId="34" fillId="5" borderId="23" xfId="14" applyNumberFormat="1" applyFont="1" applyFill="1" applyBorder="1"/>
    <xf numFmtId="175" fontId="34" fillId="5" borderId="24" xfId="14" applyNumberFormat="1" applyFont="1" applyFill="1" applyBorder="1"/>
    <xf numFmtId="0" fontId="34" fillId="5" borderId="22" xfId="13" applyFont="1" applyFill="1" applyBorder="1"/>
    <xf numFmtId="44" fontId="3" fillId="5" borderId="0" xfId="14" applyFill="1"/>
    <xf numFmtId="44" fontId="3" fillId="5" borderId="25" xfId="14" applyFill="1" applyBorder="1"/>
    <xf numFmtId="169" fontId="34" fillId="5" borderId="0" xfId="14" applyNumberFormat="1" applyFont="1" applyFill="1"/>
    <xf numFmtId="169" fontId="34" fillId="5" borderId="25" xfId="14" applyNumberFormat="1" applyFont="1" applyFill="1" applyBorder="1"/>
    <xf numFmtId="43" fontId="34" fillId="5" borderId="0" xfId="14" applyNumberFormat="1" applyFont="1" applyFill="1"/>
    <xf numFmtId="43" fontId="34" fillId="5" borderId="25" xfId="14" applyNumberFormat="1" applyFont="1" applyFill="1" applyBorder="1"/>
    <xf numFmtId="0" fontId="3" fillId="5" borderId="0" xfId="4" applyFill="1"/>
    <xf numFmtId="1" fontId="0" fillId="0" borderId="0" xfId="0" applyNumberFormat="1" applyAlignment="1">
      <alignment horizontal="center"/>
    </xf>
    <xf numFmtId="0" fontId="1" fillId="0" borderId="0" xfId="0" quotePrefix="1" applyFont="1" applyAlignment="1">
      <alignment horizontal="center" vertical="center"/>
    </xf>
    <xf numFmtId="176" fontId="1" fillId="0" borderId="0" xfId="0" quotePrefix="1" applyNumberFormat="1" applyFont="1" applyAlignment="1">
      <alignment horizontal="center" vertical="center"/>
    </xf>
    <xf numFmtId="1" fontId="1" fillId="0" borderId="0" xfId="0" applyNumberFormat="1" applyFont="1" applyAlignment="1">
      <alignment horizontal="center" vertical="center"/>
    </xf>
    <xf numFmtId="1" fontId="2" fillId="0" borderId="18" xfId="0" applyNumberFormat="1" applyFont="1" applyBorder="1" applyAlignment="1">
      <alignment horizontal="center" vertical="center"/>
    </xf>
    <xf numFmtId="0" fontId="2" fillId="10" borderId="13" xfId="0" applyFont="1" applyFill="1" applyBorder="1" applyAlignment="1">
      <alignment horizontal="left" vertical="center"/>
    </xf>
    <xf numFmtId="0" fontId="47" fillId="0" borderId="0" xfId="0" applyFont="1"/>
    <xf numFmtId="177" fontId="0" fillId="0" borderId="0" xfId="1" applyNumberFormat="1" applyFont="1"/>
    <xf numFmtId="10" fontId="2" fillId="0" borderId="0" xfId="1" applyNumberFormat="1" applyFont="1"/>
    <xf numFmtId="166" fontId="0" fillId="7" borderId="0" xfId="0" applyNumberFormat="1" applyFill="1"/>
    <xf numFmtId="0" fontId="0" fillId="0" borderId="27" xfId="0" applyBorder="1"/>
    <xf numFmtId="166" fontId="0" fillId="0" borderId="27" xfId="0" applyNumberFormat="1" applyBorder="1"/>
    <xf numFmtId="0" fontId="8" fillId="0" borderId="0" xfId="0" quotePrefix="1" applyFont="1" applyAlignment="1">
      <alignment wrapText="1"/>
    </xf>
    <xf numFmtId="3" fontId="0" fillId="0" borderId="12" xfId="0" applyNumberFormat="1" applyBorder="1"/>
    <xf numFmtId="166" fontId="0" fillId="8" borderId="0" xfId="3" applyNumberFormat="1" applyFont="1" applyFill="1"/>
    <xf numFmtId="0" fontId="1" fillId="0" borderId="0" xfId="6" quotePrefix="1" applyAlignment="1">
      <alignment horizontal="center"/>
    </xf>
    <xf numFmtId="0" fontId="0" fillId="0" borderId="0" xfId="6" applyFont="1"/>
    <xf numFmtId="178" fontId="0" fillId="8" borderId="11" xfId="0" applyNumberFormat="1" applyFill="1" applyBorder="1"/>
    <xf numFmtId="0" fontId="1" fillId="0" borderId="0" xfId="6"/>
    <xf numFmtId="0" fontId="1" fillId="0" borderId="0" xfId="6" quotePrefix="1"/>
    <xf numFmtId="0" fontId="48" fillId="0" borderId="0" xfId="6" applyFont="1" applyProtection="1">
      <protection locked="0"/>
    </xf>
    <xf numFmtId="0" fontId="6" fillId="0" borderId="0" xfId="6" applyFont="1"/>
    <xf numFmtId="3" fontId="0" fillId="0" borderId="0" xfId="0" applyNumberFormat="1"/>
    <xf numFmtId="179" fontId="0" fillId="0" borderId="0" xfId="0" applyNumberFormat="1"/>
    <xf numFmtId="0" fontId="42" fillId="0" borderId="0" xfId="0" applyFont="1"/>
    <xf numFmtId="166" fontId="0" fillId="0" borderId="17" xfId="3" applyNumberFormat="1" applyFont="1" applyBorder="1" applyAlignment="1">
      <alignment horizontal="left"/>
    </xf>
    <xf numFmtId="44" fontId="0" fillId="0" borderId="0" xfId="3" applyFont="1" applyAlignment="1">
      <alignment horizontal="right" indent="1"/>
    </xf>
    <xf numFmtId="0" fontId="0" fillId="0" borderId="16" xfId="0" quotePrefix="1" applyBorder="1" applyAlignment="1">
      <alignment horizontal="right" vertical="top"/>
    </xf>
    <xf numFmtId="2" fontId="0" fillId="0" borderId="0" xfId="0" applyNumberFormat="1" applyAlignment="1">
      <alignment horizontal="right" indent="1"/>
    </xf>
    <xf numFmtId="10" fontId="2" fillId="0" borderId="16" xfId="0" applyNumberFormat="1" applyFont="1" applyBorder="1" applyAlignment="1">
      <alignment horizontal="left"/>
    </xf>
    <xf numFmtId="175" fontId="1" fillId="0" borderId="0" xfId="12" applyNumberFormat="1" applyFont="1"/>
    <xf numFmtId="10" fontId="1" fillId="8" borderId="0" xfId="11" applyNumberFormat="1" applyFill="1" applyAlignment="1">
      <alignment vertical="top"/>
    </xf>
    <xf numFmtId="9" fontId="0" fillId="0" borderId="0" xfId="1" applyFont="1" applyAlignment="1">
      <alignment horizontal="right" vertical="center" indent="1"/>
    </xf>
    <xf numFmtId="42" fontId="38" fillId="0" borderId="0" xfId="11" applyNumberFormat="1" applyFont="1" applyAlignment="1">
      <alignment vertical="top"/>
    </xf>
    <xf numFmtId="10" fontId="38" fillId="0" borderId="0" xfId="1" applyNumberFormat="1" applyFont="1" applyAlignment="1">
      <alignment vertical="top"/>
    </xf>
    <xf numFmtId="0" fontId="2" fillId="0" borderId="0" xfId="0" applyFont="1" applyAlignment="1">
      <alignment horizontal="right" indent="1"/>
    </xf>
    <xf numFmtId="1" fontId="1" fillId="0" borderId="0" xfId="6" applyNumberFormat="1"/>
    <xf numFmtId="166" fontId="51" fillId="0" borderId="0" xfId="0" applyNumberFormat="1" applyFont="1"/>
    <xf numFmtId="0" fontId="0" fillId="16" borderId="28" xfId="0" applyFill="1" applyBorder="1"/>
    <xf numFmtId="0" fontId="0" fillId="0" borderId="28" xfId="0" applyBorder="1"/>
    <xf numFmtId="0" fontId="52" fillId="0" borderId="0" xfId="0" applyFont="1"/>
    <xf numFmtId="0" fontId="0" fillId="4" borderId="1" xfId="0" applyFill="1" applyBorder="1" applyAlignment="1" applyProtection="1">
      <alignment horizontal="left"/>
      <protection locked="0"/>
    </xf>
    <xf numFmtId="1" fontId="0" fillId="4" borderId="1" xfId="0" applyNumberFormat="1" applyFill="1" applyBorder="1" applyAlignment="1" applyProtection="1">
      <alignment horizontal="left"/>
      <protection locked="0"/>
    </xf>
    <xf numFmtId="0" fontId="0" fillId="4" borderId="1" xfId="0" applyFill="1" applyBorder="1" applyProtection="1">
      <protection locked="0"/>
    </xf>
    <xf numFmtId="1" fontId="0" fillId="4" borderId="1" xfId="0" applyNumberFormat="1" applyFill="1" applyBorder="1" applyProtection="1">
      <protection locked="0"/>
    </xf>
    <xf numFmtId="167" fontId="0" fillId="4" borderId="1" xfId="1" applyNumberFormat="1" applyFont="1" applyFill="1" applyBorder="1" applyProtection="1">
      <protection locked="0"/>
    </xf>
    <xf numFmtId="166" fontId="0" fillId="4" borderId="1" xfId="0" applyNumberFormat="1" applyFill="1" applyBorder="1" applyProtection="1">
      <protection locked="0"/>
    </xf>
    <xf numFmtId="0" fontId="2" fillId="4" borderId="1" xfId="0" applyFont="1" applyFill="1" applyBorder="1" applyProtection="1">
      <protection locked="0"/>
    </xf>
    <xf numFmtId="0" fontId="0" fillId="4" borderId="1" xfId="0" applyFill="1" applyBorder="1" applyAlignment="1" applyProtection="1">
      <alignment vertical="top"/>
      <protection locked="0"/>
    </xf>
    <xf numFmtId="165" fontId="0" fillId="4" borderId="1" xfId="0" applyNumberFormat="1" applyFill="1" applyBorder="1" applyProtection="1">
      <protection locked="0"/>
    </xf>
    <xf numFmtId="49" fontId="0" fillId="4" borderId="1" xfId="0" applyNumberFormat="1" applyFill="1" applyBorder="1" applyProtection="1">
      <protection locked="0"/>
    </xf>
    <xf numFmtId="10" fontId="0" fillId="4" borderId="1" xfId="1" applyNumberFormat="1" applyFont="1" applyFill="1" applyBorder="1" applyProtection="1">
      <protection locked="0"/>
    </xf>
    <xf numFmtId="14" fontId="0" fillId="4" borderId="1" xfId="0" applyNumberFormat="1" applyFill="1" applyBorder="1" applyProtection="1">
      <protection locked="0"/>
    </xf>
    <xf numFmtId="0" fontId="0" fillId="0" borderId="16" xfId="0" applyBorder="1" applyAlignment="1">
      <alignment vertical="top" wrapText="1"/>
    </xf>
    <xf numFmtId="0" fontId="0" fillId="0" borderId="29" xfId="0" applyBorder="1"/>
    <xf numFmtId="0" fontId="2" fillId="0" borderId="29" xfId="0" applyFont="1" applyBorder="1"/>
    <xf numFmtId="0" fontId="42" fillId="0" borderId="26" xfId="0" applyFont="1" applyBorder="1" applyAlignment="1">
      <alignment horizontal="right"/>
    </xf>
    <xf numFmtId="0" fontId="0" fillId="15" borderId="0" xfId="0" applyFill="1"/>
    <xf numFmtId="0" fontId="43" fillId="0" borderId="0" xfId="11" applyNumberFormat="1" applyFont="1"/>
    <xf numFmtId="169" fontId="0" fillId="0" borderId="0" xfId="0" applyNumberFormat="1"/>
    <xf numFmtId="0" fontId="2" fillId="0" borderId="13" xfId="0" applyFont="1" applyBorder="1" applyAlignment="1">
      <alignment horizontal="left" indent="1"/>
    </xf>
    <xf numFmtId="0" fontId="4" fillId="0" borderId="0" xfId="2" applyAlignment="1">
      <protection locked="0"/>
    </xf>
    <xf numFmtId="181" fontId="0" fillId="0" borderId="0" xfId="0" applyNumberFormat="1"/>
    <xf numFmtId="178" fontId="0" fillId="0" borderId="0" xfId="0" applyNumberFormat="1"/>
    <xf numFmtId="0" fontId="4" fillId="0" borderId="0" xfId="2" applyAlignment="1">
      <alignment wrapText="1"/>
      <protection locked="0"/>
    </xf>
    <xf numFmtId="2" fontId="1" fillId="0" borderId="0" xfId="0" applyNumberFormat="1" applyFont="1" applyAlignment="1">
      <alignment horizontal="left"/>
    </xf>
    <xf numFmtId="0" fontId="0" fillId="3" borderId="0" xfId="0" applyFill="1"/>
    <xf numFmtId="10" fontId="2" fillId="0" borderId="14" xfId="1" applyNumberFormat="1" applyFont="1" applyBorder="1" applyAlignment="1">
      <alignment vertical="top"/>
    </xf>
    <xf numFmtId="9" fontId="2" fillId="0" borderId="0" xfId="1" applyFont="1"/>
    <xf numFmtId="9" fontId="2" fillId="0" borderId="13" xfId="1" applyFont="1" applyBorder="1" applyAlignment="1">
      <alignment horizontal="center" vertical="center" wrapText="1"/>
    </xf>
    <xf numFmtId="0" fontId="2" fillId="14" borderId="0" xfId="0" applyFont="1" applyFill="1"/>
    <xf numFmtId="14" fontId="0" fillId="0" borderId="0" xfId="0" applyNumberFormat="1"/>
    <xf numFmtId="0" fontId="0" fillId="0" borderId="0" xfId="0" quotePrefix="1" applyAlignment="1">
      <alignment wrapText="1"/>
    </xf>
    <xf numFmtId="0" fontId="0" fillId="0" borderId="0" xfId="0" applyAlignment="1">
      <alignment vertical="center"/>
    </xf>
    <xf numFmtId="182" fontId="0" fillId="4" borderId="1" xfId="0" applyNumberFormat="1" applyFill="1" applyBorder="1" applyAlignment="1" applyProtection="1">
      <alignment horizontal="left"/>
      <protection locked="0"/>
    </xf>
    <xf numFmtId="182" fontId="0" fillId="4" borderId="1" xfId="0" applyNumberFormat="1" applyFill="1" applyBorder="1" applyProtection="1">
      <protection locked="0"/>
    </xf>
    <xf numFmtId="0" fontId="0" fillId="8" borderId="0" xfId="0" applyFill="1"/>
    <xf numFmtId="0" fontId="0" fillId="20" borderId="0" xfId="0" applyFill="1"/>
    <xf numFmtId="166" fontId="0" fillId="10" borderId="0" xfId="0" applyNumberFormat="1" applyFill="1"/>
    <xf numFmtId="166" fontId="0" fillId="21" borderId="12" xfId="0" applyNumberFormat="1" applyFill="1" applyBorder="1"/>
    <xf numFmtId="10" fontId="0" fillId="18" borderId="0" xfId="0" applyNumberFormat="1" applyFill="1"/>
    <xf numFmtId="0" fontId="64" fillId="0" borderId="0" xfId="0" applyFont="1" applyAlignment="1">
      <alignment horizontal="left" wrapText="1"/>
    </xf>
    <xf numFmtId="0" fontId="32" fillId="0" borderId="0" xfId="0" applyFont="1" applyAlignment="1">
      <alignment wrapText="1"/>
    </xf>
    <xf numFmtId="9" fontId="25" fillId="0" borderId="20" xfId="0" applyNumberFormat="1" applyFont="1" applyBorder="1" applyAlignment="1">
      <alignment horizontal="center"/>
    </xf>
    <xf numFmtId="42" fontId="43" fillId="0" borderId="0" xfId="11" applyNumberFormat="1" applyFont="1"/>
    <xf numFmtId="0" fontId="0" fillId="0" borderId="16" xfId="0" applyBorder="1"/>
    <xf numFmtId="166" fontId="1" fillId="0" borderId="16" xfId="11" applyNumberFormat="1" applyBorder="1" applyAlignment="1">
      <alignment vertical="center"/>
    </xf>
    <xf numFmtId="2" fontId="1" fillId="0" borderId="0" xfId="11" applyNumberFormat="1" applyAlignment="1">
      <alignment vertical="top"/>
    </xf>
    <xf numFmtId="0" fontId="0" fillId="20" borderId="0" xfId="0" applyFill="1" applyAlignment="1">
      <alignment wrapText="1"/>
    </xf>
    <xf numFmtId="0" fontId="36" fillId="0" borderId="0" xfId="0" applyFont="1" applyAlignment="1">
      <alignment horizontal="center"/>
    </xf>
    <xf numFmtId="44" fontId="0" fillId="0" borderId="0" xfId="3" applyFont="1"/>
    <xf numFmtId="169" fontId="1" fillId="0" borderId="0" xfId="11" applyNumberFormat="1" applyAlignment="1">
      <alignment vertical="top"/>
    </xf>
    <xf numFmtId="166" fontId="38" fillId="5" borderId="0" xfId="3" applyNumberFormat="1" applyFont="1" applyFill="1" applyAlignment="1">
      <alignment horizontal="right"/>
    </xf>
    <xf numFmtId="166" fontId="0" fillId="0" borderId="13" xfId="3" applyNumberFormat="1" applyFont="1" applyBorder="1" applyAlignment="1">
      <alignment horizontal="center" vertical="center" wrapText="1"/>
    </xf>
    <xf numFmtId="166" fontId="0" fillId="4" borderId="1" xfId="3" applyNumberFormat="1" applyFont="1" applyFill="1" applyBorder="1" applyProtection="1">
      <protection locked="0"/>
    </xf>
    <xf numFmtId="2" fontId="38" fillId="5" borderId="0" xfId="1" applyNumberFormat="1" applyFont="1" applyFill="1" applyAlignment="1">
      <alignment horizontal="right"/>
    </xf>
    <xf numFmtId="0" fontId="67" fillId="0" borderId="0" xfId="35" applyFont="1" applyFill="1"/>
    <xf numFmtId="168" fontId="0" fillId="0" borderId="0" xfId="3" applyNumberFormat="1" applyFont="1"/>
    <xf numFmtId="0" fontId="68" fillId="0" borderId="0" xfId="0" applyFont="1" applyAlignment="1">
      <alignment vertical="center"/>
    </xf>
    <xf numFmtId="0" fontId="69" fillId="0" borderId="0" xfId="0" applyFont="1"/>
    <xf numFmtId="0" fontId="70" fillId="0" borderId="0" xfId="0" applyFont="1" applyAlignment="1">
      <alignment vertical="center"/>
    </xf>
    <xf numFmtId="0" fontId="39" fillId="0" borderId="0" xfId="0" applyFont="1"/>
    <xf numFmtId="0" fontId="71" fillId="0" borderId="0" xfId="0" applyFont="1" applyAlignment="1">
      <alignment vertical="center"/>
    </xf>
    <xf numFmtId="0" fontId="69" fillId="0" borderId="26" xfId="0" applyFont="1" applyBorder="1"/>
    <xf numFmtId="0" fontId="70" fillId="0" borderId="26" xfId="0" applyFont="1" applyBorder="1" applyAlignment="1">
      <alignment vertical="center"/>
    </xf>
    <xf numFmtId="175" fontId="3" fillId="5" borderId="23" xfId="14" applyNumberFormat="1" applyFill="1" applyBorder="1" applyAlignment="1">
      <alignment horizontal="right"/>
    </xf>
    <xf numFmtId="175" fontId="34" fillId="5" borderId="23" xfId="14" applyNumberFormat="1" applyFont="1" applyFill="1" applyBorder="1" applyAlignment="1">
      <alignment horizontal="right"/>
    </xf>
    <xf numFmtId="9" fontId="0" fillId="0" borderId="1" xfId="1" applyFont="1" applyBorder="1" applyAlignment="1" applyProtection="1">
      <alignment horizontal="left"/>
      <protection locked="0"/>
    </xf>
    <xf numFmtId="0" fontId="0" fillId="0" borderId="1" xfId="0" applyBorder="1" applyProtection="1">
      <protection locked="0"/>
    </xf>
    <xf numFmtId="1" fontId="0" fillId="0" borderId="1" xfId="0" applyNumberFormat="1" applyBorder="1" applyProtection="1">
      <protection locked="0"/>
    </xf>
    <xf numFmtId="166" fontId="0" fillId="0" borderId="1" xfId="0" applyNumberFormat="1" applyBorder="1" applyProtection="1">
      <protection locked="0"/>
    </xf>
    <xf numFmtId="0" fontId="36" fillId="46" borderId="40" xfId="0" applyFont="1" applyFill="1" applyBorder="1"/>
    <xf numFmtId="0" fontId="0" fillId="16" borderId="40" xfId="0" applyFill="1" applyBorder="1"/>
    <xf numFmtId="0" fontId="0" fillId="0" borderId="40" xfId="0" applyBorder="1"/>
    <xf numFmtId="0" fontId="0" fillId="47" borderId="0" xfId="0" applyFill="1"/>
    <xf numFmtId="49" fontId="0" fillId="8" borderId="0" xfId="0" applyNumberFormat="1" applyFill="1"/>
    <xf numFmtId="0" fontId="49" fillId="0" borderId="0" xfId="0" applyFont="1"/>
    <xf numFmtId="9" fontId="2" fillId="0" borderId="0" xfId="1" applyFont="1" applyAlignment="1">
      <alignment horizontal="right"/>
    </xf>
    <xf numFmtId="0" fontId="8" fillId="0" borderId="0" xfId="0" applyFont="1" applyAlignment="1">
      <alignment horizontal="right"/>
    </xf>
    <xf numFmtId="9" fontId="2" fillId="0" borderId="0" xfId="0" applyNumberFormat="1" applyFont="1" applyAlignment="1">
      <alignment horizontal="left"/>
    </xf>
    <xf numFmtId="0" fontId="2" fillId="0" borderId="0" xfId="0" applyFont="1" applyAlignment="1">
      <alignment vertical="top"/>
    </xf>
    <xf numFmtId="166" fontId="88" fillId="0" borderId="0" xfId="3" applyNumberFormat="1" applyFont="1"/>
    <xf numFmtId="0" fontId="6" fillId="3" borderId="0" xfId="0" applyFont="1" applyFill="1" applyAlignment="1">
      <alignment horizontal="left" wrapText="1"/>
    </xf>
    <xf numFmtId="0" fontId="2" fillId="0" borderId="0" xfId="0" quotePrefix="1" applyFont="1" applyAlignment="1">
      <alignment horizontal="right"/>
    </xf>
    <xf numFmtId="10" fontId="0" fillId="0" borderId="0" xfId="1" applyNumberFormat="1" applyFont="1" applyAlignment="1">
      <alignment horizontal="center"/>
    </xf>
    <xf numFmtId="10" fontId="0" fillId="0" borderId="15" xfId="11" applyNumberFormat="1" applyFont="1" applyBorder="1" applyAlignment="1">
      <alignment horizontal="center"/>
    </xf>
    <xf numFmtId="10" fontId="0" fillId="0" borderId="0" xfId="11" applyNumberFormat="1" applyFont="1" applyAlignment="1">
      <alignment horizontal="center"/>
    </xf>
    <xf numFmtId="10" fontId="1" fillId="0" borderId="14" xfId="1" applyNumberFormat="1" applyBorder="1" applyAlignment="1">
      <alignment vertical="top"/>
    </xf>
    <xf numFmtId="10" fontId="1" fillId="0" borderId="0" xfId="1" applyNumberFormat="1" applyAlignment="1">
      <alignment vertical="top"/>
    </xf>
    <xf numFmtId="10" fontId="1" fillId="0" borderId="0" xfId="11" applyNumberFormat="1" applyAlignment="1">
      <alignment vertical="top"/>
    </xf>
    <xf numFmtId="42" fontId="43" fillId="0" borderId="0" xfId="11" applyNumberFormat="1" applyFont="1" applyAlignment="1">
      <alignment vertical="top"/>
    </xf>
    <xf numFmtId="42" fontId="43" fillId="0" borderId="17" xfId="11" applyNumberFormat="1" applyFont="1" applyBorder="1"/>
    <xf numFmtId="0" fontId="65" fillId="0" borderId="0" xfId="0" applyFont="1" applyAlignment="1">
      <alignment horizontal="right"/>
    </xf>
    <xf numFmtId="166" fontId="43" fillId="0" borderId="0" xfId="3" applyNumberFormat="1" applyFont="1"/>
    <xf numFmtId="42" fontId="65" fillId="0" borderId="17" xfId="11" applyNumberFormat="1" applyFont="1" applyBorder="1"/>
    <xf numFmtId="169" fontId="0" fillId="0" borderId="0" xfId="11" applyNumberFormat="1" applyFont="1" applyAlignment="1">
      <alignment horizontal="right"/>
    </xf>
    <xf numFmtId="169" fontId="0" fillId="0" borderId="15" xfId="11" applyNumberFormat="1" applyFont="1" applyBorder="1" applyAlignment="1">
      <alignment horizontal="right"/>
    </xf>
    <xf numFmtId="0" fontId="6" fillId="0" borderId="0" xfId="0" applyFont="1" applyAlignment="1">
      <alignment horizontal="center" wrapText="1"/>
    </xf>
    <xf numFmtId="10" fontId="0" fillId="0" borderId="41" xfId="1" applyNumberFormat="1" applyFont="1" applyBorder="1"/>
    <xf numFmtId="10" fontId="0" fillId="0" borderId="42" xfId="1" applyNumberFormat="1" applyFont="1" applyBorder="1"/>
    <xf numFmtId="10" fontId="0" fillId="0" borderId="0" xfId="0" applyNumberFormat="1" applyAlignment="1">
      <alignment horizontal="right"/>
    </xf>
    <xf numFmtId="0" fontId="2" fillId="6" borderId="0" xfId="0" applyFont="1" applyFill="1" applyAlignment="1">
      <alignment horizontal="right"/>
    </xf>
    <xf numFmtId="10" fontId="0" fillId="6" borderId="0" xfId="1" applyNumberFormat="1" applyFont="1" applyFill="1"/>
    <xf numFmtId="165" fontId="0" fillId="0" borderId="0" xfId="0" applyNumberFormat="1"/>
    <xf numFmtId="0" fontId="0" fillId="0" borderId="26" xfId="0" applyBorder="1"/>
    <xf numFmtId="10" fontId="1" fillId="0" borderId="0" xfId="12" applyNumberFormat="1" applyFont="1"/>
    <xf numFmtId="166" fontId="1" fillId="0" borderId="0" xfId="12" applyNumberFormat="1" applyFont="1"/>
    <xf numFmtId="0" fontId="0" fillId="6" borderId="0" xfId="0" applyFill="1" applyAlignment="1">
      <alignment wrapText="1"/>
    </xf>
    <xf numFmtId="0" fontId="0" fillId="44" borderId="37" xfId="735" applyFont="1"/>
    <xf numFmtId="177" fontId="0" fillId="21" borderId="12" xfId="0" applyNumberFormat="1" applyFill="1" applyBorder="1"/>
    <xf numFmtId="177" fontId="0" fillId="0" borderId="0" xfId="0" applyNumberFormat="1"/>
    <xf numFmtId="0" fontId="38" fillId="0" borderId="0" xfId="1019" applyFont="1" applyFill="1"/>
    <xf numFmtId="10" fontId="2" fillId="0" borderId="43" xfId="1" applyNumberFormat="1" applyFont="1" applyBorder="1"/>
    <xf numFmtId="0" fontId="39" fillId="0" borderId="0" xfId="0" applyFont="1" applyAlignment="1">
      <alignment horizontal="left"/>
    </xf>
    <xf numFmtId="166" fontId="2" fillId="0" borderId="0" xfId="0" applyNumberFormat="1" applyFont="1" applyAlignment="1">
      <alignment horizontal="right"/>
    </xf>
    <xf numFmtId="9" fontId="0" fillId="0" borderId="0" xfId="0" applyNumberFormat="1" applyAlignment="1">
      <alignment horizontal="left" indent="1"/>
    </xf>
    <xf numFmtId="1" fontId="0" fillId="0" borderId="0" xfId="11" applyNumberFormat="1" applyFont="1" applyAlignment="1">
      <alignment horizontal="right" indent="1"/>
    </xf>
    <xf numFmtId="0" fontId="0" fillId="0" borderId="0" xfId="11" applyNumberFormat="1" applyFont="1" applyAlignment="1">
      <alignment horizontal="right" indent="1"/>
    </xf>
    <xf numFmtId="1" fontId="0" fillId="0" borderId="0" xfId="0" applyNumberFormat="1" applyAlignment="1">
      <alignment horizontal="right" indent="1"/>
    </xf>
    <xf numFmtId="175" fontId="0" fillId="0" borderId="0" xfId="0" applyNumberFormat="1" applyAlignment="1">
      <alignment horizontal="right" indent="1"/>
    </xf>
    <xf numFmtId="169" fontId="0" fillId="0" borderId="0" xfId="11" applyNumberFormat="1" applyFont="1" applyAlignment="1">
      <alignment horizontal="right" indent="1"/>
    </xf>
    <xf numFmtId="9" fontId="0" fillId="0" borderId="0" xfId="0" applyNumberFormat="1" applyAlignment="1">
      <alignment horizontal="right" indent="1"/>
    </xf>
    <xf numFmtId="175" fontId="90" fillId="0" borderId="0" xfId="0" applyNumberFormat="1" applyFont="1" applyAlignment="1">
      <alignment horizontal="left" vertical="center"/>
    </xf>
    <xf numFmtId="169" fontId="2" fillId="0" borderId="0" xfId="11" applyNumberFormat="1" applyFont="1" applyAlignment="1">
      <alignment horizontal="right"/>
    </xf>
    <xf numFmtId="0" fontId="0" fillId="0" borderId="0" xfId="0" applyAlignment="1">
      <alignment horizontal="right" vertical="center" wrapText="1"/>
    </xf>
    <xf numFmtId="0" fontId="0" fillId="0" borderId="44" xfId="0" applyBorder="1" applyAlignment="1">
      <alignment horizontal="right" vertical="center" wrapText="1"/>
    </xf>
    <xf numFmtId="0" fontId="0" fillId="9" borderId="0" xfId="0" applyFill="1"/>
    <xf numFmtId="175" fontId="0" fillId="0" borderId="0" xfId="0" applyNumberFormat="1"/>
    <xf numFmtId="9" fontId="0" fillId="0" borderId="15" xfId="0" applyNumberFormat="1" applyBorder="1" applyAlignment="1">
      <alignment horizontal="left" indent="4"/>
    </xf>
    <xf numFmtId="0" fontId="36" fillId="46" borderId="28" xfId="0" applyFont="1" applyFill="1" applyBorder="1"/>
    <xf numFmtId="16" fontId="0" fillId="0" borderId="0" xfId="0" applyNumberFormat="1"/>
    <xf numFmtId="0" fontId="92" fillId="0" borderId="0" xfId="0" applyFont="1"/>
    <xf numFmtId="0" fontId="2" fillId="8" borderId="0" xfId="0" applyFont="1" applyFill="1" applyAlignment="1">
      <alignment horizontal="left" indent="2"/>
    </xf>
    <xf numFmtId="49" fontId="66" fillId="8" borderId="0" xfId="35" applyNumberFormat="1" applyFill="1"/>
    <xf numFmtId="0" fontId="0" fillId="23" borderId="0" xfId="0" applyFill="1"/>
    <xf numFmtId="177" fontId="0" fillId="4" borderId="1" xfId="1" applyNumberFormat="1" applyFont="1" applyFill="1" applyBorder="1" applyProtection="1">
      <protection locked="0"/>
    </xf>
    <xf numFmtId="42" fontId="43" fillId="0" borderId="17" xfId="11" applyNumberFormat="1" applyFont="1" applyBorder="1" applyAlignment="1">
      <alignment vertical="top"/>
    </xf>
    <xf numFmtId="172" fontId="43" fillId="0" borderId="0" xfId="11" applyNumberFormat="1" applyFont="1" applyAlignment="1">
      <alignment vertical="top"/>
    </xf>
    <xf numFmtId="10" fontId="43" fillId="8" borderId="0" xfId="11" applyNumberFormat="1" applyFont="1" applyFill="1" applyAlignment="1">
      <alignment vertical="top"/>
    </xf>
    <xf numFmtId="171" fontId="43" fillId="0" borderId="0" xfId="11" applyNumberFormat="1" applyFont="1" applyAlignment="1">
      <alignment vertical="top"/>
    </xf>
    <xf numFmtId="166" fontId="0" fillId="0" borderId="0" xfId="3" applyNumberFormat="1" applyFont="1" applyFill="1"/>
    <xf numFmtId="0" fontId="0" fillId="8" borderId="0" xfId="0" applyFill="1" applyAlignment="1">
      <alignment wrapText="1"/>
    </xf>
    <xf numFmtId="0" fontId="39" fillId="0" borderId="13" xfId="0" applyFont="1" applyBorder="1" applyAlignment="1">
      <alignment horizontal="center" wrapText="1"/>
    </xf>
    <xf numFmtId="175" fontId="38" fillId="0" borderId="0" xfId="0" applyNumberFormat="1" applyFont="1" applyAlignment="1">
      <alignment horizontal="right" indent="1"/>
    </xf>
    <xf numFmtId="2" fontId="1" fillId="0" borderId="0" xfId="1" applyNumberFormat="1" applyBorder="1" applyAlignment="1">
      <alignment vertical="top"/>
    </xf>
    <xf numFmtId="42" fontId="1" fillId="0" borderId="0" xfId="11" applyNumberFormat="1" applyBorder="1" applyAlignment="1">
      <alignment vertical="top"/>
    </xf>
    <xf numFmtId="0" fontId="0" fillId="0" borderId="47" xfId="0" applyBorder="1"/>
    <xf numFmtId="0" fontId="0" fillId="8" borderId="47" xfId="0" applyFill="1" applyBorder="1"/>
    <xf numFmtId="10" fontId="0" fillId="8" borderId="0" xfId="0" applyNumberFormat="1" applyFill="1"/>
    <xf numFmtId="2" fontId="0" fillId="8" borderId="47" xfId="0" applyNumberFormat="1" applyFill="1" applyBorder="1"/>
    <xf numFmtId="9" fontId="0" fillId="8" borderId="47" xfId="1" applyFont="1" applyFill="1" applyBorder="1"/>
    <xf numFmtId="14" fontId="38" fillId="4" borderId="1" xfId="1019" applyNumberFormat="1" applyFont="1" applyFill="1" applyBorder="1" applyAlignment="1" applyProtection="1">
      <alignment horizontal="left"/>
      <protection locked="0"/>
    </xf>
    <xf numFmtId="10" fontId="0" fillId="0" borderId="48" xfId="0" applyNumberFormat="1" applyBorder="1"/>
    <xf numFmtId="0" fontId="66" fillId="8" borderId="0" xfId="35" applyFill="1" applyAlignment="1">
      <alignment vertical="center"/>
    </xf>
    <xf numFmtId="0" fontId="39" fillId="0" borderId="0" xfId="0" applyFont="1" applyAlignment="1">
      <alignment horizontal="left" indent="2"/>
    </xf>
    <xf numFmtId="0" fontId="39" fillId="0" borderId="26" xfId="0" applyFont="1" applyBorder="1" applyAlignment="1">
      <alignment horizontal="left" indent="2"/>
    </xf>
    <xf numFmtId="0" fontId="4" fillId="0" borderId="0" xfId="2" applyAlignment="1" applyProtection="1"/>
    <xf numFmtId="166" fontId="0" fillId="0" borderId="12" xfId="0" applyNumberFormat="1" applyBorder="1"/>
    <xf numFmtId="0" fontId="5" fillId="2" borderId="0" xfId="0" applyFont="1" applyFill="1"/>
    <xf numFmtId="14" fontId="1" fillId="4" borderId="1" xfId="0" applyNumberFormat="1" applyFont="1" applyFill="1" applyBorder="1" applyAlignment="1" applyProtection="1">
      <alignment horizontal="left"/>
      <protection locked="0"/>
    </xf>
    <xf numFmtId="1" fontId="1" fillId="4" borderId="1" xfId="0" applyNumberFormat="1" applyFont="1" applyFill="1" applyBorder="1" applyAlignment="1" applyProtection="1">
      <alignment horizontal="left"/>
      <protection locked="0"/>
    </xf>
    <xf numFmtId="0" fontId="1" fillId="4" borderId="1" xfId="0" applyFont="1" applyFill="1" applyBorder="1" applyAlignment="1" applyProtection="1">
      <alignment horizontal="left"/>
      <protection locked="0"/>
    </xf>
    <xf numFmtId="168" fontId="1" fillId="4" borderId="1" xfId="3" applyNumberFormat="1" applyFont="1" applyFill="1" applyBorder="1" applyAlignment="1" applyProtection="1">
      <alignment horizontal="left"/>
      <protection locked="0"/>
    </xf>
    <xf numFmtId="10" fontId="1" fillId="0" borderId="0" xfId="1" applyNumberFormat="1" applyFont="1" applyAlignment="1">
      <alignment horizontal="right"/>
    </xf>
    <xf numFmtId="0" fontId="3" fillId="0" borderId="0" xfId="0" applyFont="1" applyAlignment="1">
      <alignment horizontal="right"/>
    </xf>
    <xf numFmtId="0" fontId="2" fillId="0" borderId="0" xfId="0" quotePrefix="1" applyFont="1" applyAlignment="1">
      <alignment horizontal="left"/>
    </xf>
    <xf numFmtId="166" fontId="1" fillId="4" borderId="1" xfId="3" applyNumberFormat="1" applyFont="1" applyFill="1" applyBorder="1" applyAlignment="1" applyProtection="1">
      <alignment horizontal="left"/>
      <protection locked="0"/>
    </xf>
    <xf numFmtId="0" fontId="2" fillId="0" borderId="0" xfId="0" quotePrefix="1" applyFont="1" applyAlignment="1">
      <alignment horizontal="left" indent="2"/>
    </xf>
    <xf numFmtId="0" fontId="2" fillId="0" borderId="0" xfId="0" applyFont="1" applyProtection="1">
      <protection locked="0"/>
    </xf>
    <xf numFmtId="166" fontId="1" fillId="4" borderId="1" xfId="0" applyNumberFormat="1" applyFont="1" applyFill="1" applyBorder="1" applyProtection="1">
      <protection locked="0"/>
    </xf>
    <xf numFmtId="166" fontId="6" fillId="3" borderId="0" xfId="0" applyNumberFormat="1" applyFont="1" applyFill="1"/>
    <xf numFmtId="166" fontId="1" fillId="0" borderId="0" xfId="0" applyNumberFormat="1" applyFont="1"/>
    <xf numFmtId="0" fontId="1" fillId="4" borderId="1" xfId="0" applyFont="1" applyFill="1" applyBorder="1" applyProtection="1">
      <protection locked="0"/>
    </xf>
    <xf numFmtId="9" fontId="1" fillId="4" borderId="1" xfId="1" applyFont="1" applyFill="1" applyBorder="1" applyProtection="1">
      <protection locked="0"/>
    </xf>
    <xf numFmtId="44" fontId="1" fillId="4" borderId="1" xfId="0" applyNumberFormat="1" applyFont="1" applyFill="1" applyBorder="1" applyProtection="1">
      <protection locked="0"/>
    </xf>
    <xf numFmtId="0" fontId="3" fillId="0" borderId="0" xfId="4"/>
    <xf numFmtId="0" fontId="3" fillId="5" borderId="30" xfId="13" applyFill="1" applyBorder="1"/>
    <xf numFmtId="170" fontId="34" fillId="5" borderId="30" xfId="14" applyNumberFormat="1" applyFont="1" applyFill="1" applyBorder="1"/>
    <xf numFmtId="9" fontId="1" fillId="0" borderId="0" xfId="1" applyFont="1"/>
    <xf numFmtId="2" fontId="1" fillId="0" borderId="0" xfId="1" applyNumberFormat="1" applyFont="1"/>
    <xf numFmtId="0" fontId="0" fillId="8" borderId="0" xfId="0" applyFill="1" applyAlignment="1">
      <alignment horizontal="left"/>
    </xf>
    <xf numFmtId="166" fontId="0" fillId="8" borderId="12" xfId="0" applyNumberFormat="1" applyFill="1" applyBorder="1"/>
    <xf numFmtId="0" fontId="0" fillId="8" borderId="0" xfId="0" applyFill="1" applyAlignment="1">
      <alignment horizontal="right"/>
    </xf>
    <xf numFmtId="166" fontId="2" fillId="8" borderId="0" xfId="0" applyNumberFormat="1" applyFont="1" applyFill="1"/>
    <xf numFmtId="0" fontId="8" fillId="8" borderId="0" xfId="0" applyFont="1" applyFill="1"/>
    <xf numFmtId="169" fontId="0" fillId="4" borderId="1" xfId="11" applyNumberFormat="1" applyFont="1" applyFill="1" applyBorder="1" applyProtection="1">
      <protection locked="0"/>
    </xf>
    <xf numFmtId="166" fontId="43" fillId="0" borderId="0" xfId="3" applyNumberFormat="1" applyFont="1" applyAlignment="1">
      <alignment vertical="top"/>
    </xf>
    <xf numFmtId="169" fontId="1" fillId="4" borderId="1" xfId="11" applyNumberFormat="1" applyFont="1" applyFill="1" applyBorder="1" applyAlignment="1" applyProtection="1">
      <alignment horizontal="left"/>
      <protection locked="0"/>
    </xf>
    <xf numFmtId="169" fontId="0" fillId="0" borderId="0" xfId="11" applyNumberFormat="1" applyFont="1" applyFill="1" applyAlignment="1">
      <alignment horizontal="right" indent="1"/>
    </xf>
    <xf numFmtId="0" fontId="0" fillId="0" borderId="0" xfId="11" applyNumberFormat="1" applyFont="1" applyFill="1" applyAlignment="1">
      <alignment horizontal="right" indent="1"/>
    </xf>
    <xf numFmtId="169" fontId="1" fillId="0" borderId="0" xfId="11" applyNumberFormat="1" applyFill="1" applyAlignment="1">
      <alignment horizontal="center"/>
    </xf>
    <xf numFmtId="14" fontId="14" fillId="0" borderId="0" xfId="0" applyNumberFormat="1" applyFont="1"/>
    <xf numFmtId="14" fontId="38" fillId="0" borderId="0" xfId="0" applyNumberFormat="1" applyFont="1"/>
    <xf numFmtId="0" fontId="0" fillId="16" borderId="49" xfId="0" applyFill="1" applyBorder="1"/>
    <xf numFmtId="0" fontId="0" fillId="0" borderId="49" xfId="0" applyBorder="1"/>
    <xf numFmtId="0" fontId="0" fillId="0" borderId="50" xfId="0" applyBorder="1"/>
    <xf numFmtId="0" fontId="36" fillId="46" borderId="49" xfId="0" applyFont="1" applyFill="1" applyBorder="1"/>
    <xf numFmtId="49" fontId="0" fillId="0" borderId="0" xfId="1" applyNumberFormat="1" applyFont="1"/>
    <xf numFmtId="0" fontId="2" fillId="8" borderId="0" xfId="0" applyFont="1" applyFill="1"/>
    <xf numFmtId="169" fontId="2" fillId="0" borderId="0" xfId="11" applyNumberFormat="1" applyFont="1" applyAlignment="1"/>
    <xf numFmtId="0" fontId="95" fillId="0" borderId="0" xfId="0" applyFont="1"/>
    <xf numFmtId="0" fontId="1" fillId="0" borderId="0" xfId="1" applyNumberFormat="1" applyFill="1" applyAlignment="1">
      <alignment horizontal="right" vertical="top"/>
    </xf>
    <xf numFmtId="0" fontId="0" fillId="0" borderId="0" xfId="0" applyAlignment="1">
      <alignment horizontal="left" vertical="center" indent="1"/>
    </xf>
    <xf numFmtId="2" fontId="1" fillId="0" borderId="0" xfId="1" applyNumberFormat="1" applyFill="1" applyAlignment="1">
      <alignment horizontal="right" vertical="top"/>
    </xf>
    <xf numFmtId="42" fontId="1" fillId="0" borderId="0" xfId="11" applyNumberFormat="1" applyFill="1" applyAlignment="1">
      <alignment vertical="top"/>
    </xf>
    <xf numFmtId="0" fontId="2" fillId="0" borderId="13" xfId="0" applyFont="1" applyBorder="1" applyAlignment="1">
      <alignment horizontal="right" vertical="center" wrapText="1"/>
    </xf>
    <xf numFmtId="42" fontId="43" fillId="0" borderId="0" xfId="11" applyNumberFormat="1" applyFont="1" applyFill="1" applyAlignment="1">
      <alignment vertical="top"/>
    </xf>
    <xf numFmtId="171" fontId="1" fillId="0" borderId="0" xfId="11" applyNumberFormat="1" applyFill="1" applyAlignment="1">
      <alignment vertical="top"/>
    </xf>
    <xf numFmtId="166" fontId="43" fillId="0" borderId="0" xfId="3" applyNumberFormat="1" applyFont="1" applyFill="1"/>
    <xf numFmtId="42" fontId="65" fillId="0" borderId="17" xfId="11" applyNumberFormat="1" applyFont="1" applyFill="1" applyBorder="1"/>
    <xf numFmtId="166" fontId="0" fillId="0" borderId="11" xfId="3" applyNumberFormat="1" applyFont="1" applyFill="1" applyBorder="1"/>
    <xf numFmtId="1" fontId="0" fillId="0" borderId="11" xfId="0" applyNumberFormat="1" applyBorder="1"/>
    <xf numFmtId="0" fontId="38" fillId="0" borderId="0" xfId="0" applyFont="1" applyAlignment="1">
      <alignment horizontal="left" vertical="top"/>
    </xf>
    <xf numFmtId="2" fontId="1" fillId="4" borderId="1" xfId="0" applyNumberFormat="1" applyFont="1" applyFill="1" applyBorder="1" applyAlignment="1" applyProtection="1">
      <alignment horizontal="left"/>
      <protection locked="0"/>
    </xf>
    <xf numFmtId="37" fontId="0" fillId="0" borderId="0" xfId="0" applyNumberFormat="1"/>
    <xf numFmtId="0" fontId="39" fillId="0" borderId="0" xfId="0" applyFont="1" applyAlignment="1">
      <alignment horizontal="center"/>
    </xf>
    <xf numFmtId="166" fontId="52" fillId="0" borderId="0" xfId="3" applyNumberFormat="1" applyFont="1"/>
    <xf numFmtId="166" fontId="0" fillId="8" borderId="0" xfId="0" applyNumberFormat="1" applyFill="1"/>
    <xf numFmtId="0" fontId="2" fillId="0" borderId="0" xfId="0" applyFont="1" applyAlignment="1">
      <alignment wrapText="1"/>
    </xf>
    <xf numFmtId="0" fontId="6" fillId="3" borderId="0" xfId="0" applyFont="1" applyFill="1" applyAlignment="1">
      <alignment wrapText="1"/>
    </xf>
    <xf numFmtId="0" fontId="2" fillId="0" borderId="0" xfId="0" applyFont="1" applyAlignment="1">
      <alignment horizontal="center"/>
    </xf>
    <xf numFmtId="0" fontId="42" fillId="0" borderId="0" xfId="0" applyFont="1" applyAlignment="1">
      <alignment horizontal="left"/>
    </xf>
    <xf numFmtId="0" fontId="0" fillId="0" borderId="0" xfId="0" applyAlignment="1">
      <alignment horizontal="left" wrapText="1"/>
    </xf>
    <xf numFmtId="0" fontId="2" fillId="0" borderId="0" xfId="0" applyFont="1" applyAlignment="1">
      <alignment horizontal="right" wrapText="1"/>
    </xf>
    <xf numFmtId="166" fontId="2" fillId="0" borderId="0" xfId="0" applyNumberFormat="1" applyFont="1" applyAlignment="1">
      <alignment horizontal="left"/>
    </xf>
    <xf numFmtId="0" fontId="2" fillId="0" borderId="0" xfId="0" applyFont="1" applyAlignment="1">
      <alignment horizontal="center" wrapText="1"/>
    </xf>
    <xf numFmtId="0" fontId="5" fillId="0" borderId="0" xfId="0" applyFont="1"/>
    <xf numFmtId="9" fontId="25" fillId="0" borderId="51" xfId="8" applyNumberFormat="1" applyFont="1" applyBorder="1" applyAlignment="1">
      <alignment horizontal="center"/>
    </xf>
    <xf numFmtId="0" fontId="3" fillId="5" borderId="52" xfId="13" applyFill="1" applyBorder="1"/>
    <xf numFmtId="3" fontId="25" fillId="0" borderId="53" xfId="0" applyNumberFormat="1" applyFont="1" applyBorder="1" applyAlignment="1">
      <alignment horizontal="right"/>
    </xf>
    <xf numFmtId="3" fontId="25" fillId="0" borderId="53" xfId="0" applyNumberFormat="1" applyFont="1" applyBorder="1" applyAlignment="1">
      <alignment horizontal="right" wrapText="1"/>
    </xf>
    <xf numFmtId="3" fontId="25" fillId="0" borderId="20" xfId="0" applyNumberFormat="1" applyFont="1" applyBorder="1" applyAlignment="1">
      <alignment horizontal="right"/>
    </xf>
    <xf numFmtId="0" fontId="4" fillId="0" borderId="0" xfId="2" applyFill="1" applyAlignment="1" applyProtection="1"/>
    <xf numFmtId="0" fontId="39" fillId="0" borderId="0" xfId="0" applyFont="1" applyAlignment="1">
      <alignment horizontal="left" indent="1"/>
    </xf>
    <xf numFmtId="1" fontId="0" fillId="4" borderId="1" xfId="11" applyNumberFormat="1" applyFont="1" applyFill="1" applyBorder="1" applyProtection="1">
      <protection locked="0"/>
    </xf>
    <xf numFmtId="0" fontId="49" fillId="0" borderId="0" xfId="0" applyFont="1" applyAlignment="1">
      <alignment horizontal="left"/>
    </xf>
    <xf numFmtId="166" fontId="1" fillId="4" borderId="1" xfId="3" applyNumberFormat="1" applyFont="1" applyFill="1" applyBorder="1" applyProtection="1">
      <protection locked="0"/>
    </xf>
    <xf numFmtId="9" fontId="38" fillId="0" borderId="0" xfId="0" applyNumberFormat="1" applyFont="1"/>
    <xf numFmtId="0" fontId="0" fillId="2" borderId="0" xfId="0" applyFill="1"/>
    <xf numFmtId="0" fontId="0" fillId="48" borderId="0" xfId="0" applyFill="1"/>
    <xf numFmtId="0" fontId="0" fillId="4" borderId="55" xfId="0" applyFill="1" applyBorder="1" applyAlignment="1" applyProtection="1">
      <alignment wrapText="1"/>
      <protection locked="0"/>
    </xf>
    <xf numFmtId="165" fontId="0" fillId="50" borderId="1" xfId="0" applyNumberFormat="1" applyFill="1" applyBorder="1" applyProtection="1">
      <protection locked="0"/>
    </xf>
    <xf numFmtId="0" fontId="14" fillId="0" borderId="0" xfId="0" applyFont="1" applyAlignment="1">
      <alignment wrapText="1"/>
    </xf>
    <xf numFmtId="0" fontId="39" fillId="0" borderId="0" xfId="0" applyFont="1" applyAlignment="1">
      <alignment wrapText="1"/>
    </xf>
    <xf numFmtId="0" fontId="1" fillId="4" borderId="1" xfId="3" applyNumberFormat="1" applyFont="1" applyFill="1" applyBorder="1" applyAlignment="1" applyProtection="1">
      <alignment horizontal="left"/>
      <protection locked="0"/>
    </xf>
    <xf numFmtId="0" fontId="0" fillId="4" borderId="1" xfId="3" applyNumberFormat="1" applyFont="1" applyFill="1" applyBorder="1" applyAlignment="1" applyProtection="1">
      <alignment horizontal="left"/>
      <protection locked="0"/>
    </xf>
    <xf numFmtId="0" fontId="38" fillId="0" borderId="0" xfId="0" applyFont="1" applyAlignment="1">
      <alignment horizontal="left" wrapText="1"/>
    </xf>
    <xf numFmtId="0" fontId="38" fillId="4" borderId="1" xfId="0" applyFont="1" applyFill="1" applyBorder="1" applyAlignment="1" applyProtection="1">
      <alignment horizontal="left"/>
      <protection locked="0"/>
    </xf>
    <xf numFmtId="0" fontId="52" fillId="0" borderId="0" xfId="0" quotePrefix="1" applyFont="1" applyAlignment="1">
      <alignment wrapText="1"/>
    </xf>
    <xf numFmtId="14" fontId="0" fillId="4" borderId="1" xfId="0" applyNumberFormat="1" applyFill="1" applyBorder="1" applyAlignment="1" applyProtection="1">
      <alignment horizontal="left"/>
      <protection locked="0"/>
    </xf>
    <xf numFmtId="0" fontId="0" fillId="4" borderId="1" xfId="0" applyFill="1" applyBorder="1" applyAlignment="1" applyProtection="1">
      <alignment horizontal="left" vertical="top"/>
      <protection locked="0"/>
    </xf>
    <xf numFmtId="0" fontId="97" fillId="48" borderId="0" xfId="0" applyFont="1" applyFill="1"/>
    <xf numFmtId="0" fontId="47" fillId="48" borderId="0" xfId="0" applyFont="1" applyFill="1"/>
    <xf numFmtId="0" fontId="97" fillId="48" borderId="0" xfId="0" applyFont="1" applyFill="1" applyAlignment="1">
      <alignment wrapText="1"/>
    </xf>
    <xf numFmtId="0" fontId="6" fillId="49" borderId="0" xfId="0" applyFont="1" applyFill="1"/>
    <xf numFmtId="0" fontId="2" fillId="0" borderId="0" xfId="0" applyFont="1" applyAlignment="1">
      <alignment horizontal="left" wrapText="1" indent="1"/>
    </xf>
    <xf numFmtId="0" fontId="2" fillId="0" borderId="0" xfId="0" applyFont="1" applyAlignment="1">
      <alignment horizontal="left" wrapText="1"/>
    </xf>
    <xf numFmtId="0" fontId="98" fillId="48" borderId="0" xfId="0" applyFont="1" applyFill="1"/>
    <xf numFmtId="0" fontId="97" fillId="2" borderId="0" xfId="0" applyFont="1" applyFill="1"/>
    <xf numFmtId="0" fontId="47" fillId="2" borderId="0" xfId="0" applyFont="1" applyFill="1"/>
    <xf numFmtId="0" fontId="2" fillId="3" borderId="0" xfId="0" applyFont="1" applyFill="1"/>
    <xf numFmtId="0" fontId="0" fillId="11" borderId="1" xfId="0" applyFill="1" applyBorder="1" applyAlignment="1" applyProtection="1">
      <alignment horizontal="left"/>
      <protection hidden="1"/>
    </xf>
    <xf numFmtId="1" fontId="0" fillId="11" borderId="1" xfId="0" applyNumberFormat="1" applyFill="1" applyBorder="1" applyAlignment="1" applyProtection="1">
      <alignment horizontal="left"/>
      <protection hidden="1"/>
    </xf>
    <xf numFmtId="0" fontId="2" fillId="0" borderId="0" xfId="0" applyFont="1" applyAlignment="1">
      <alignment horizontal="left" vertical="top" wrapText="1"/>
    </xf>
    <xf numFmtId="0" fontId="38" fillId="4" borderId="1" xfId="3" applyNumberFormat="1" applyFont="1" applyFill="1" applyBorder="1" applyAlignment="1" applyProtection="1">
      <alignment horizontal="left"/>
      <protection locked="0"/>
    </xf>
    <xf numFmtId="0" fontId="101" fillId="0" borderId="0" xfId="0" applyFont="1"/>
    <xf numFmtId="0" fontId="102" fillId="0" borderId="0" xfId="0" applyFont="1"/>
    <xf numFmtId="0" fontId="101" fillId="0" borderId="0" xfId="0" applyFont="1" applyAlignment="1">
      <alignment horizontal="left"/>
    </xf>
    <xf numFmtId="0" fontId="104" fillId="0" borderId="0" xfId="0" applyFont="1"/>
    <xf numFmtId="0" fontId="54" fillId="0" borderId="0" xfId="0" applyFont="1"/>
    <xf numFmtId="0" fontId="103" fillId="0" borderId="0" xfId="0" applyFont="1"/>
    <xf numFmtId="0" fontId="105" fillId="0" borderId="0" xfId="0" applyFont="1"/>
    <xf numFmtId="0" fontId="106" fillId="0" borderId="0" xfId="0" applyFont="1"/>
    <xf numFmtId="0" fontId="0" fillId="0" borderId="60" xfId="0" applyBorder="1"/>
    <xf numFmtId="0" fontId="7" fillId="2" borderId="0" xfId="0" applyFont="1" applyFill="1" applyAlignment="1">
      <alignment wrapText="1"/>
    </xf>
    <xf numFmtId="0" fontId="108" fillId="0" borderId="0" xfId="0" applyFont="1" applyAlignment="1" applyProtection="1">
      <alignment horizontal="right"/>
      <protection locked="0"/>
    </xf>
    <xf numFmtId="0" fontId="98" fillId="0" borderId="0" xfId="0" applyFont="1"/>
    <xf numFmtId="0" fontId="1" fillId="55" borderId="0" xfId="0" applyFont="1" applyFill="1"/>
    <xf numFmtId="0" fontId="31" fillId="55" borderId="0" xfId="0" applyFont="1" applyFill="1"/>
    <xf numFmtId="0" fontId="39" fillId="0" borderId="16" xfId="0" applyFont="1" applyBorder="1" applyAlignment="1">
      <alignment horizontal="center" wrapText="1"/>
    </xf>
    <xf numFmtId="0" fontId="4" fillId="4" borderId="1" xfId="2" applyNumberFormat="1" applyFill="1" applyBorder="1" applyAlignment="1" applyProtection="1">
      <alignment horizontal="left"/>
      <protection locked="0"/>
    </xf>
    <xf numFmtId="0" fontId="0" fillId="0" borderId="87" xfId="0" applyBorder="1"/>
    <xf numFmtId="14" fontId="0" fillId="8" borderId="87" xfId="0" applyNumberFormat="1" applyFill="1" applyBorder="1"/>
    <xf numFmtId="0" fontId="0" fillId="19" borderId="87" xfId="0" applyFill="1" applyBorder="1"/>
    <xf numFmtId="0" fontId="11" fillId="8" borderId="87" xfId="0" applyFont="1" applyFill="1" applyBorder="1" applyAlignment="1">
      <alignment vertical="center" wrapText="1"/>
    </xf>
    <xf numFmtId="0" fontId="11" fillId="8" borderId="87" xfId="0" applyFont="1" applyFill="1" applyBorder="1" applyAlignment="1">
      <alignment vertical="center"/>
    </xf>
    <xf numFmtId="0" fontId="56" fillId="0" borderId="0" xfId="0" applyFont="1"/>
    <xf numFmtId="9" fontId="25" fillId="0" borderId="87" xfId="0" applyNumberFormat="1" applyFont="1" applyBorder="1" applyAlignment="1">
      <alignment horizontal="center"/>
    </xf>
    <xf numFmtId="3" fontId="25" fillId="0" borderId="87" xfId="0" applyNumberFormat="1" applyFont="1" applyBorder="1" applyAlignment="1">
      <alignment horizontal="right"/>
    </xf>
    <xf numFmtId="3" fontId="25" fillId="0" borderId="87" xfId="0" applyNumberFormat="1" applyFont="1" applyBorder="1" applyAlignment="1">
      <alignment horizontal="right" wrapText="1"/>
    </xf>
    <xf numFmtId="3" fontId="25" fillId="0" borderId="87" xfId="3" applyNumberFormat="1" applyFont="1" applyFill="1" applyBorder="1" applyAlignment="1" applyProtection="1">
      <alignment horizontal="right"/>
    </xf>
    <xf numFmtId="9" fontId="25" fillId="0" borderId="87" xfId="8" applyNumberFormat="1" applyFont="1" applyBorder="1" applyAlignment="1">
      <alignment horizontal="center"/>
    </xf>
    <xf numFmtId="0" fontId="24" fillId="0" borderId="91" xfId="4" applyFont="1" applyBorder="1" applyAlignment="1">
      <alignment horizontal="right"/>
    </xf>
    <xf numFmtId="0" fontId="34" fillId="5" borderId="87" xfId="13" applyFont="1" applyFill="1" applyBorder="1" applyAlignment="1">
      <alignment horizontal="center"/>
    </xf>
    <xf numFmtId="0" fontId="34" fillId="5" borderId="92" xfId="13" applyFont="1" applyFill="1" applyBorder="1" applyAlignment="1">
      <alignment horizontal="center"/>
    </xf>
    <xf numFmtId="0" fontId="24" fillId="0" borderId="91" xfId="4" applyFont="1" applyBorder="1" applyAlignment="1">
      <alignment horizontal="center"/>
    </xf>
    <xf numFmtId="14" fontId="11" fillId="8" borderId="87" xfId="0" applyNumberFormat="1" applyFont="1" applyFill="1" applyBorder="1" applyAlignment="1">
      <alignment vertical="center" wrapText="1"/>
    </xf>
    <xf numFmtId="49" fontId="0" fillId="4" borderId="0" xfId="3" applyNumberFormat="1" applyFont="1" applyFill="1" applyBorder="1" applyAlignment="1" applyProtection="1">
      <alignment horizontal="left"/>
      <protection locked="0"/>
    </xf>
    <xf numFmtId="0" fontId="69" fillId="8" borderId="0" xfId="0" applyFont="1" applyFill="1"/>
    <xf numFmtId="0" fontId="70" fillId="8" borderId="0" xfId="0" applyFont="1" applyFill="1" applyAlignment="1">
      <alignment vertical="center"/>
    </xf>
    <xf numFmtId="9" fontId="0" fillId="0" borderId="0" xfId="1" applyFont="1" applyFill="1"/>
    <xf numFmtId="9" fontId="0" fillId="0" borderId="41" xfId="1" applyFont="1" applyBorder="1"/>
    <xf numFmtId="1" fontId="38" fillId="4" borderId="1" xfId="1019" applyNumberFormat="1" applyFont="1" applyFill="1" applyBorder="1" applyAlignment="1" applyProtection="1">
      <alignment horizontal="left"/>
      <protection locked="0"/>
    </xf>
    <xf numFmtId="0" fontId="6" fillId="49" borderId="0" xfId="0" applyFont="1" applyFill="1" applyAlignment="1">
      <alignment horizontal="left" indent="1"/>
    </xf>
    <xf numFmtId="0" fontId="0" fillId="0" borderId="0" xfId="0" quotePrefix="1" applyAlignment="1">
      <alignment horizontal="right" vertical="top"/>
    </xf>
    <xf numFmtId="166" fontId="1" fillId="0" borderId="0" xfId="11" applyNumberFormat="1" applyBorder="1" applyAlignment="1">
      <alignment vertical="center"/>
    </xf>
    <xf numFmtId="166" fontId="1" fillId="0" borderId="0" xfId="11" applyNumberFormat="1" applyBorder="1"/>
    <xf numFmtId="176" fontId="1" fillId="0" borderId="0" xfId="1" applyNumberFormat="1" applyAlignment="1">
      <alignment horizontal="center" vertical="center"/>
    </xf>
    <xf numFmtId="0" fontId="2" fillId="7" borderId="0" xfId="0" applyFont="1" applyFill="1" applyAlignment="1">
      <alignment horizontal="left" wrapText="1"/>
    </xf>
    <xf numFmtId="1" fontId="0" fillId="6" borderId="0" xfId="0" applyNumberFormat="1" applyFill="1"/>
    <xf numFmtId="0" fontId="42" fillId="3" borderId="0" xfId="0" applyFont="1" applyFill="1"/>
    <xf numFmtId="0" fontId="24" fillId="0" borderId="93" xfId="4" applyFont="1" applyBorder="1" applyAlignment="1">
      <alignment horizontal="right"/>
    </xf>
    <xf numFmtId="0" fontId="34" fillId="5" borderId="93" xfId="13" applyFont="1" applyFill="1" applyBorder="1"/>
    <xf numFmtId="9" fontId="34" fillId="5" borderId="94" xfId="15" applyFont="1" applyFill="1" applyBorder="1"/>
    <xf numFmtId="9" fontId="34" fillId="5" borderId="95" xfId="15" applyFont="1" applyFill="1" applyBorder="1"/>
    <xf numFmtId="9" fontId="34" fillId="5" borderId="94" xfId="14" applyNumberFormat="1" applyFont="1" applyFill="1" applyBorder="1"/>
    <xf numFmtId="0" fontId="3" fillId="5" borderId="96" xfId="13" applyFill="1" applyBorder="1"/>
    <xf numFmtId="175" fontId="34" fillId="5" borderId="94" xfId="14" applyNumberFormat="1" applyFont="1" applyFill="1" applyBorder="1" applyAlignment="1">
      <alignment horizontal="right"/>
    </xf>
    <xf numFmtId="165" fontId="34" fillId="5" borderId="94" xfId="14" applyNumberFormat="1" applyFont="1" applyFill="1" applyBorder="1" applyAlignment="1">
      <alignment horizontal="right"/>
    </xf>
    <xf numFmtId="165" fontId="34" fillId="5" borderId="94" xfId="14" applyNumberFormat="1" applyFont="1" applyFill="1" applyBorder="1"/>
    <xf numFmtId="175" fontId="34" fillId="5" borderId="94" xfId="14" applyNumberFormat="1" applyFont="1" applyFill="1" applyBorder="1"/>
    <xf numFmtId="170" fontId="34" fillId="5" borderId="96" xfId="14" applyNumberFormat="1" applyFont="1" applyFill="1" applyBorder="1"/>
    <xf numFmtId="1" fontId="0" fillId="0" borderId="0" xfId="11" applyNumberFormat="1" applyFont="1" applyFill="1"/>
    <xf numFmtId="0" fontId="109" fillId="56" borderId="0" xfId="0" applyFont="1" applyFill="1"/>
    <xf numFmtId="0" fontId="109" fillId="56" borderId="0" xfId="0" quotePrefix="1" applyFont="1" applyFill="1"/>
    <xf numFmtId="0" fontId="109" fillId="0" borderId="0" xfId="0" applyFont="1"/>
    <xf numFmtId="0" fontId="110" fillId="0" borderId="0" xfId="0" applyFont="1"/>
    <xf numFmtId="0" fontId="6" fillId="49" borderId="0" xfId="0" applyFont="1" applyFill="1" applyAlignment="1">
      <alignment wrapText="1"/>
    </xf>
    <xf numFmtId="166" fontId="0" fillId="0" borderId="0" xfId="0" applyNumberFormat="1" applyProtection="1">
      <protection locked="0"/>
    </xf>
    <xf numFmtId="0" fontId="0" fillId="0" borderId="0" xfId="3" applyNumberFormat="1" applyFont="1" applyFill="1" applyBorder="1" applyAlignment="1" applyProtection="1">
      <alignment horizontal="left"/>
      <protection locked="0"/>
    </xf>
    <xf numFmtId="42" fontId="1" fillId="0" borderId="0" xfId="11" applyNumberFormat="1" applyFont="1"/>
    <xf numFmtId="0" fontId="38" fillId="0" borderId="0" xfId="0" applyFont="1" applyAlignment="1">
      <alignment horizontal="right" wrapText="1"/>
    </xf>
    <xf numFmtId="0" fontId="38" fillId="0" borderId="0" xfId="0" applyFont="1" applyAlignment="1">
      <alignment horizontal="right"/>
    </xf>
    <xf numFmtId="49" fontId="43" fillId="0" borderId="0" xfId="0" applyNumberFormat="1" applyFont="1" applyAlignment="1">
      <alignment wrapText="1"/>
    </xf>
    <xf numFmtId="49" fontId="0" fillId="0" borderId="0" xfId="0" applyNumberFormat="1" applyAlignment="1">
      <alignment wrapText="1"/>
    </xf>
    <xf numFmtId="0" fontId="43" fillId="0" borderId="0" xfId="0" applyFont="1" applyAlignment="1">
      <alignment wrapText="1"/>
    </xf>
    <xf numFmtId="0" fontId="8" fillId="0" borderId="0" xfId="0" applyFont="1" applyAlignment="1">
      <alignment horizontal="left"/>
    </xf>
    <xf numFmtId="0" fontId="111" fillId="0" borderId="0" xfId="0" applyFont="1"/>
    <xf numFmtId="2" fontId="0" fillId="8" borderId="0" xfId="0" applyNumberFormat="1" applyFill="1"/>
    <xf numFmtId="0" fontId="0" fillId="9" borderId="0" xfId="0" applyFill="1" applyAlignment="1">
      <alignment wrapText="1"/>
    </xf>
    <xf numFmtId="0" fontId="0" fillId="47" borderId="0" xfId="0" applyFill="1" applyAlignment="1">
      <alignment wrapText="1"/>
    </xf>
    <xf numFmtId="0" fontId="2" fillId="47" borderId="0" xfId="0" applyFont="1" applyFill="1"/>
    <xf numFmtId="0" fontId="0" fillId="8" borderId="0" xfId="3" applyNumberFormat="1" applyFont="1" applyFill="1" applyBorder="1" applyAlignment="1" applyProtection="1">
      <alignment horizontal="left"/>
      <protection locked="0"/>
    </xf>
    <xf numFmtId="0" fontId="11" fillId="8" borderId="87" xfId="0" applyFont="1" applyFill="1" applyBorder="1" applyAlignment="1">
      <alignment horizontal="left" vertical="center" wrapText="1"/>
    </xf>
    <xf numFmtId="0" fontId="0" fillId="8" borderId="87" xfId="0" applyFill="1" applyBorder="1"/>
    <xf numFmtId="0" fontId="2" fillId="0" borderId="0" xfId="0" applyFont="1" applyAlignment="1">
      <alignment vertical="top" wrapText="1"/>
    </xf>
    <xf numFmtId="0" fontId="14" fillId="9" borderId="0" xfId="0" applyFont="1" applyFill="1" applyAlignment="1">
      <alignment horizontal="left" wrapText="1"/>
    </xf>
    <xf numFmtId="0" fontId="36" fillId="46" borderId="97" xfId="0" applyFont="1" applyFill="1" applyBorder="1"/>
    <xf numFmtId="0" fontId="36" fillId="46" borderId="98" xfId="0" applyFont="1" applyFill="1" applyBorder="1"/>
    <xf numFmtId="0" fontId="0" fillId="0" borderId="99" xfId="0" applyBorder="1"/>
    <xf numFmtId="0" fontId="0" fillId="16" borderId="50" xfId="0" applyFill="1" applyBorder="1"/>
    <xf numFmtId="0" fontId="36" fillId="46" borderId="100" xfId="0" applyFont="1" applyFill="1" applyBorder="1"/>
    <xf numFmtId="0" fontId="0" fillId="57" borderId="0" xfId="0" applyFill="1"/>
    <xf numFmtId="1" fontId="0" fillId="57" borderId="0" xfId="0" applyNumberFormat="1" applyFill="1"/>
    <xf numFmtId="0" fontId="39" fillId="47" borderId="0" xfId="0" applyFont="1" applyFill="1"/>
    <xf numFmtId="0" fontId="38" fillId="47" borderId="0" xfId="0" applyFont="1" applyFill="1"/>
    <xf numFmtId="0" fontId="1" fillId="4" borderId="0" xfId="0" applyFont="1" applyFill="1" applyProtection="1">
      <protection locked="0"/>
    </xf>
    <xf numFmtId="0" fontId="2" fillId="0" borderId="0" xfId="0" applyFont="1" applyAlignment="1">
      <alignment horizontal="left" wrapText="1" indent="2"/>
    </xf>
    <xf numFmtId="0" fontId="0" fillId="16" borderId="101" xfId="0" applyFill="1" applyBorder="1"/>
    <xf numFmtId="0" fontId="39" fillId="8" borderId="0" xfId="0" applyFont="1" applyFill="1"/>
    <xf numFmtId="0" fontId="68" fillId="8" borderId="0" xfId="0" applyFont="1" applyFill="1" applyAlignment="1">
      <alignment vertical="center"/>
    </xf>
    <xf numFmtId="0" fontId="39" fillId="8" borderId="0" xfId="0" applyFont="1" applyFill="1" applyAlignment="1">
      <alignment horizontal="left" indent="2"/>
    </xf>
    <xf numFmtId="0" fontId="39" fillId="15" borderId="0" xfId="0" applyFont="1" applyFill="1"/>
    <xf numFmtId="0" fontId="68" fillId="15" borderId="0" xfId="0" applyFont="1" applyFill="1" applyAlignment="1">
      <alignment vertical="center"/>
    </xf>
    <xf numFmtId="166" fontId="0" fillId="0" borderId="0" xfId="3" applyNumberFormat="1" applyFont="1" applyFill="1" applyBorder="1"/>
    <xf numFmtId="49" fontId="0" fillId="0" borderId="0" xfId="0" applyNumberFormat="1" applyAlignment="1">
      <alignment horizontal="right"/>
    </xf>
    <xf numFmtId="10" fontId="1" fillId="8" borderId="0" xfId="1" applyNumberFormat="1" applyFont="1" applyFill="1" applyAlignment="1">
      <alignment horizontal="right"/>
    </xf>
    <xf numFmtId="0" fontId="1" fillId="8" borderId="1" xfId="0" applyFont="1" applyFill="1" applyBorder="1" applyAlignment="1">
      <alignment horizontal="left"/>
    </xf>
    <xf numFmtId="0" fontId="113" fillId="0" borderId="0" xfId="0" applyFont="1"/>
    <xf numFmtId="9" fontId="0" fillId="4" borderId="1" xfId="1" applyFont="1" applyFill="1" applyBorder="1" applyAlignment="1" applyProtection="1">
      <alignment horizontal="left"/>
      <protection locked="0"/>
    </xf>
    <xf numFmtId="0" fontId="13" fillId="0" borderId="0" xfId="0" applyFont="1" applyAlignment="1">
      <alignment horizontal="center"/>
    </xf>
    <xf numFmtId="42" fontId="0" fillId="0" borderId="0" xfId="3" applyNumberFormat="1" applyFont="1"/>
    <xf numFmtId="175" fontId="0" fillId="8" borderId="0" xfId="0" applyNumberFormat="1" applyFill="1"/>
    <xf numFmtId="0" fontId="114" fillId="0" borderId="0" xfId="0" applyFont="1"/>
    <xf numFmtId="172" fontId="0" fillId="0" borderId="0" xfId="11" applyNumberFormat="1" applyFont="1" applyAlignment="1">
      <alignment vertical="top"/>
    </xf>
    <xf numFmtId="172" fontId="0" fillId="0" borderId="0" xfId="11" applyNumberFormat="1" applyFont="1" applyAlignment="1">
      <alignment horizontal="center" vertical="top"/>
    </xf>
    <xf numFmtId="172" fontId="1" fillId="0" borderId="17" xfId="11" applyNumberFormat="1" applyBorder="1" applyAlignment="1">
      <alignment vertical="top"/>
    </xf>
    <xf numFmtId="0" fontId="0" fillId="4" borderId="0" xfId="0" applyFill="1" applyAlignment="1" applyProtection="1">
      <alignment vertical="top"/>
      <protection locked="0"/>
    </xf>
    <xf numFmtId="0" fontId="39" fillId="0" borderId="0" xfId="0" applyFont="1" applyAlignment="1">
      <alignment horizontal="left" wrapText="1"/>
    </xf>
    <xf numFmtId="0" fontId="0" fillId="0" borderId="1" xfId="0" applyBorder="1" applyAlignment="1" applyProtection="1">
      <alignment horizontal="left"/>
      <protection hidden="1"/>
    </xf>
    <xf numFmtId="1" fontId="0" fillId="0" borderId="1" xfId="0" applyNumberFormat="1" applyBorder="1" applyAlignment="1" applyProtection="1">
      <alignment horizontal="left"/>
      <protection hidden="1"/>
    </xf>
    <xf numFmtId="0" fontId="2" fillId="3" borderId="0" xfId="0" applyFont="1" applyFill="1" applyAlignment="1" applyProtection="1">
      <alignment horizontal="left"/>
      <protection hidden="1"/>
    </xf>
    <xf numFmtId="0" fontId="2" fillId="0" borderId="16" xfId="0" applyFont="1" applyBorder="1" applyAlignment="1">
      <alignment horizontal="right" vertical="top"/>
    </xf>
    <xf numFmtId="177" fontId="0" fillId="4" borderId="1" xfId="0" applyNumberFormat="1" applyFill="1" applyBorder="1" applyProtection="1">
      <protection locked="0"/>
    </xf>
    <xf numFmtId="0" fontId="0" fillId="4" borderId="1" xfId="1" applyNumberFormat="1" applyFont="1" applyFill="1" applyBorder="1" applyAlignment="1" applyProtection="1">
      <alignment horizontal="left"/>
      <protection locked="0"/>
    </xf>
    <xf numFmtId="0" fontId="53" fillId="0" borderId="0" xfId="32" applyAlignment="1"/>
    <xf numFmtId="0" fontId="53" fillId="59" borderId="0" xfId="32" applyFill="1" applyAlignment="1"/>
    <xf numFmtId="0" fontId="0" fillId="60" borderId="0" xfId="0" applyFill="1"/>
    <xf numFmtId="0" fontId="115" fillId="60" borderId="0" xfId="0" applyFont="1" applyFill="1"/>
    <xf numFmtId="0" fontId="115" fillId="0" borderId="0" xfId="0" applyFont="1"/>
    <xf numFmtId="3" fontId="115" fillId="0" borderId="0" xfId="0" applyNumberFormat="1" applyFont="1"/>
    <xf numFmtId="0" fontId="115" fillId="0" borderId="0" xfId="0" applyFont="1" applyAlignment="1">
      <alignment horizontal="left"/>
    </xf>
    <xf numFmtId="0" fontId="116" fillId="0" borderId="0" xfId="0" applyFont="1"/>
    <xf numFmtId="176" fontId="117" fillId="0" borderId="74" xfId="0" applyNumberFormat="1" applyFont="1" applyBorder="1"/>
    <xf numFmtId="0" fontId="117" fillId="0" borderId="74" xfId="0" applyFont="1" applyBorder="1" applyAlignment="1">
      <alignment horizontal="right"/>
    </xf>
    <xf numFmtId="3" fontId="117" fillId="0" borderId="103" xfId="0" applyNumberFormat="1" applyFont="1" applyBorder="1"/>
    <xf numFmtId="0" fontId="118" fillId="0" borderId="104" xfId="0" applyFont="1" applyBorder="1"/>
    <xf numFmtId="3" fontId="117" fillId="0" borderId="105" xfId="0" applyNumberFormat="1" applyFont="1" applyBorder="1"/>
    <xf numFmtId="0" fontId="118" fillId="0" borderId="106" xfId="0" applyFont="1" applyBorder="1"/>
    <xf numFmtId="3" fontId="117" fillId="0" borderId="107" xfId="0" applyNumberFormat="1" applyFont="1" applyBorder="1"/>
    <xf numFmtId="0" fontId="118" fillId="0" borderId="108" xfId="0" applyFont="1" applyBorder="1"/>
    <xf numFmtId="3" fontId="117" fillId="0" borderId="0" xfId="0" applyNumberFormat="1" applyFont="1"/>
    <xf numFmtId="9" fontId="0" fillId="0" borderId="0" xfId="1" applyFont="1" applyAlignment="1">
      <alignment horizontal="left"/>
    </xf>
    <xf numFmtId="44" fontId="117" fillId="0" borderId="109" xfId="0" applyNumberFormat="1" applyFont="1" applyBorder="1"/>
    <xf numFmtId="166" fontId="117" fillId="0" borderId="110" xfId="0" applyNumberFormat="1" applyFont="1" applyBorder="1"/>
    <xf numFmtId="0" fontId="118" fillId="0" borderId="111" xfId="0" applyFont="1" applyBorder="1"/>
    <xf numFmtId="7" fontId="117" fillId="0" borderId="0" xfId="0" applyNumberFormat="1" applyFont="1" applyAlignment="1">
      <alignment horizontal="left"/>
    </xf>
    <xf numFmtId="44" fontId="117" fillId="0" borderId="112" xfId="0" applyNumberFormat="1" applyFont="1" applyBorder="1"/>
    <xf numFmtId="166" fontId="117" fillId="0" borderId="113" xfId="0" applyNumberFormat="1" applyFont="1" applyBorder="1"/>
    <xf numFmtId="0" fontId="118" fillId="0" borderId="114" xfId="0" applyFont="1" applyBorder="1"/>
    <xf numFmtId="0" fontId="117" fillId="60" borderId="0" xfId="0" applyFont="1" applyFill="1"/>
    <xf numFmtId="176" fontId="117" fillId="0" borderId="0" xfId="0" applyNumberFormat="1" applyFont="1" applyAlignment="1">
      <alignment horizontal="left"/>
    </xf>
    <xf numFmtId="44" fontId="117" fillId="54" borderId="115" xfId="0" applyNumberFormat="1" applyFont="1" applyFill="1" applyBorder="1"/>
    <xf numFmtId="166" fontId="117" fillId="0" borderId="116" xfId="0" applyNumberFormat="1" applyFont="1" applyBorder="1"/>
    <xf numFmtId="0" fontId="118" fillId="0" borderId="117" xfId="0" applyFont="1" applyBorder="1"/>
    <xf numFmtId="9" fontId="117" fillId="0" borderId="0" xfId="0" applyNumberFormat="1" applyFont="1" applyAlignment="1">
      <alignment horizontal="left"/>
    </xf>
    <xf numFmtId="0" fontId="119" fillId="0" borderId="0" xfId="0" applyFont="1" applyAlignment="1">
      <alignment horizontal="center"/>
    </xf>
    <xf numFmtId="3" fontId="119" fillId="0" borderId="0" xfId="0" applyNumberFormat="1" applyFont="1" applyAlignment="1">
      <alignment horizontal="center"/>
    </xf>
    <xf numFmtId="0" fontId="118" fillId="0" borderId="0" xfId="0" applyFont="1"/>
    <xf numFmtId="7" fontId="118" fillId="53" borderId="118" xfId="0" applyNumberFormat="1" applyFont="1" applyFill="1" applyBorder="1"/>
    <xf numFmtId="3" fontId="118" fillId="53" borderId="119" xfId="0" applyNumberFormat="1" applyFont="1" applyFill="1" applyBorder="1"/>
    <xf numFmtId="5" fontId="118" fillId="53" borderId="119" xfId="0" applyNumberFormat="1" applyFont="1" applyFill="1" applyBorder="1"/>
    <xf numFmtId="0" fontId="118" fillId="53" borderId="120" xfId="0" applyFont="1" applyFill="1" applyBorder="1"/>
    <xf numFmtId="4" fontId="118" fillId="0" borderId="121" xfId="0" applyNumberFormat="1" applyFont="1" applyBorder="1"/>
    <xf numFmtId="3" fontId="118" fillId="0" borderId="122" xfId="0" applyNumberFormat="1" applyFont="1" applyBorder="1"/>
    <xf numFmtId="175" fontId="118" fillId="0" borderId="122" xfId="0" applyNumberFormat="1" applyFont="1" applyBorder="1"/>
    <xf numFmtId="0" fontId="118" fillId="0" borderId="123" xfId="0" applyFont="1" applyBorder="1"/>
    <xf numFmtId="4" fontId="117" fillId="0" borderId="121" xfId="0" applyNumberFormat="1" applyFont="1" applyBorder="1"/>
    <xf numFmtId="3" fontId="117" fillId="0" borderId="122" xfId="0" applyNumberFormat="1" applyFont="1" applyBorder="1"/>
    <xf numFmtId="175" fontId="120" fillId="61" borderId="122" xfId="0" applyNumberFormat="1" applyFont="1" applyFill="1" applyBorder="1"/>
    <xf numFmtId="0" fontId="117" fillId="0" borderId="123" xfId="0" applyFont="1" applyBorder="1"/>
    <xf numFmtId="0" fontId="121" fillId="53" borderId="121" xfId="0" applyFont="1" applyFill="1" applyBorder="1"/>
    <xf numFmtId="3" fontId="121" fillId="53" borderId="122" xfId="0" applyNumberFormat="1" applyFont="1" applyFill="1" applyBorder="1"/>
    <xf numFmtId="0" fontId="121" fillId="53" borderId="122" xfId="0" applyFont="1" applyFill="1" applyBorder="1"/>
    <xf numFmtId="0" fontId="118" fillId="53" borderId="123" xfId="0" applyFont="1" applyFill="1" applyBorder="1"/>
    <xf numFmtId="0" fontId="122" fillId="0" borderId="0" xfId="0" applyFont="1"/>
    <xf numFmtId="0" fontId="117" fillId="0" borderId="0" xfId="0" applyFont="1"/>
    <xf numFmtId="176" fontId="123" fillId="0" borderId="124" xfId="1" applyNumberFormat="1" applyFont="1" applyBorder="1"/>
    <xf numFmtId="166" fontId="123" fillId="0" borderId="125" xfId="0" applyNumberFormat="1" applyFont="1" applyBorder="1"/>
    <xf numFmtId="0" fontId="123" fillId="0" borderId="126" xfId="0" applyFont="1" applyBorder="1"/>
    <xf numFmtId="176" fontId="115" fillId="0" borderId="129" xfId="0" applyNumberFormat="1" applyFont="1" applyBorder="1"/>
    <xf numFmtId="166" fontId="120" fillId="8" borderId="130" xfId="3" applyNumberFormat="1" applyFont="1" applyFill="1" applyBorder="1" applyAlignment="1">
      <alignment horizontal="right"/>
    </xf>
    <xf numFmtId="0" fontId="115" fillId="0" borderId="131" xfId="0" applyFont="1" applyBorder="1"/>
    <xf numFmtId="166" fontId="120" fillId="8" borderId="102" xfId="0" applyNumberFormat="1" applyFont="1" applyFill="1" applyBorder="1"/>
    <xf numFmtId="0" fontId="115" fillId="0" borderId="134" xfId="0" applyFont="1" applyBorder="1"/>
    <xf numFmtId="0" fontId="45" fillId="0" borderId="0" xfId="32" applyFont="1" applyAlignment="1"/>
    <xf numFmtId="0" fontId="45" fillId="59" borderId="0" xfId="32" applyFont="1" applyFill="1" applyAlignment="1"/>
    <xf numFmtId="9" fontId="123" fillId="0" borderId="129" xfId="0" applyNumberFormat="1" applyFont="1" applyBorder="1"/>
    <xf numFmtId="166" fontId="123" fillId="0" borderId="102" xfId="0" applyNumberFormat="1" applyFont="1" applyBorder="1"/>
    <xf numFmtId="0" fontId="123" fillId="0" borderId="134" xfId="0" applyFont="1" applyBorder="1"/>
    <xf numFmtId="0" fontId="126" fillId="0" borderId="0" xfId="0" applyFont="1"/>
    <xf numFmtId="0" fontId="115" fillId="11" borderId="127" xfId="0" applyFont="1" applyFill="1" applyBorder="1"/>
    <xf numFmtId="0" fontId="115" fillId="11" borderId="26" xfId="0" applyFont="1" applyFill="1" applyBorder="1"/>
    <xf numFmtId="0" fontId="126" fillId="11" borderId="26" xfId="0" applyFont="1" applyFill="1" applyBorder="1"/>
    <xf numFmtId="0" fontId="116" fillId="11" borderId="26" xfId="0" applyFont="1" applyFill="1" applyBorder="1"/>
    <xf numFmtId="0" fontId="116" fillId="11" borderId="128" xfId="0" applyFont="1" applyFill="1" applyBorder="1"/>
    <xf numFmtId="5" fontId="118" fillId="62" borderId="132" xfId="0" applyNumberFormat="1" applyFont="1" applyFill="1" applyBorder="1"/>
    <xf numFmtId="5" fontId="127" fillId="57" borderId="90" xfId="0" applyNumberFormat="1" applyFont="1" applyFill="1" applyBorder="1" applyAlignment="1">
      <alignment horizontal="left" vertical="center"/>
    </xf>
    <xf numFmtId="0" fontId="116" fillId="57" borderId="89" xfId="0" applyFont="1" applyFill="1" applyBorder="1"/>
    <xf numFmtId="0" fontId="0" fillId="57" borderId="89" xfId="0" applyFill="1" applyBorder="1"/>
    <xf numFmtId="0" fontId="118" fillId="63" borderId="88" xfId="0" applyFont="1" applyFill="1" applyBorder="1"/>
    <xf numFmtId="0" fontId="118" fillId="62" borderId="133" xfId="0" applyFont="1" applyFill="1" applyBorder="1" applyAlignment="1">
      <alignment horizontal="left"/>
    </xf>
    <xf numFmtId="5" fontId="118" fillId="62" borderId="135" xfId="0" applyNumberFormat="1" applyFont="1" applyFill="1" applyBorder="1"/>
    <xf numFmtId="0" fontId="118" fillId="62" borderId="27" xfId="0" applyFont="1" applyFill="1" applyBorder="1" applyAlignment="1">
      <alignment horizontal="left"/>
    </xf>
    <xf numFmtId="0" fontId="116" fillId="11" borderId="27" xfId="0" applyFont="1" applyFill="1" applyBorder="1"/>
    <xf numFmtId="0" fontId="118" fillId="62" borderId="27" xfId="0" applyFont="1" applyFill="1" applyBorder="1"/>
    <xf numFmtId="5" fontId="118" fillId="62" borderId="27" xfId="0" applyNumberFormat="1" applyFont="1" applyFill="1" applyBorder="1"/>
    <xf numFmtId="0" fontId="118" fillId="62" borderId="136" xfId="0" applyFont="1" applyFill="1" applyBorder="1" applyAlignment="1">
      <alignment horizontal="left"/>
    </xf>
    <xf numFmtId="5" fontId="118" fillId="53" borderId="68" xfId="0" applyNumberFormat="1" applyFont="1" applyFill="1" applyBorder="1"/>
    <xf numFmtId="0" fontId="118" fillId="53" borderId="67" xfId="0" applyFont="1" applyFill="1" applyBorder="1" applyAlignment="1">
      <alignment horizontal="left"/>
    </xf>
    <xf numFmtId="0" fontId="118" fillId="53" borderId="139" xfId="0" applyFont="1" applyFill="1" applyBorder="1"/>
    <xf numFmtId="5" fontId="118" fillId="53" borderId="73" xfId="0" applyNumberFormat="1" applyFont="1" applyFill="1" applyBorder="1"/>
    <xf numFmtId="0" fontId="118" fillId="53" borderId="140" xfId="0" applyFont="1" applyFill="1" applyBorder="1" applyAlignment="1">
      <alignment horizontal="left"/>
    </xf>
    <xf numFmtId="175" fontId="117" fillId="0" borderId="141" xfId="0" applyNumberFormat="1" applyFont="1" applyBorder="1" applyAlignment="1">
      <alignment vertical="center"/>
    </xf>
    <xf numFmtId="0" fontId="117" fillId="0" borderId="142" xfId="0" applyFont="1" applyBorder="1" applyAlignment="1">
      <alignment vertical="center"/>
    </xf>
    <xf numFmtId="0" fontId="117" fillId="8" borderId="141" xfId="0" applyFont="1" applyFill="1" applyBorder="1" applyAlignment="1">
      <alignment vertical="center"/>
    </xf>
    <xf numFmtId="5" fontId="117" fillId="0" borderId="74" xfId="0" applyNumberFormat="1" applyFont="1" applyBorder="1" applyAlignment="1">
      <alignment vertical="center"/>
    </xf>
    <xf numFmtId="174" fontId="117" fillId="8" borderId="141" xfId="3" applyNumberFormat="1" applyFont="1" applyFill="1" applyBorder="1" applyAlignment="1">
      <alignment vertical="center"/>
    </xf>
    <xf numFmtId="0" fontId="120" fillId="8" borderId="123" xfId="0" applyFont="1" applyFill="1" applyBorder="1"/>
    <xf numFmtId="166" fontId="117" fillId="0" borderId="141" xfId="0" applyNumberFormat="1" applyFont="1" applyBorder="1" applyAlignment="1">
      <alignment horizontal="right" vertical="center"/>
    </xf>
    <xf numFmtId="0" fontId="117" fillId="0" borderId="141" xfId="0" applyFont="1" applyBorder="1" applyAlignment="1">
      <alignment vertical="center"/>
    </xf>
    <xf numFmtId="175" fontId="118" fillId="8" borderId="122" xfId="0" applyNumberFormat="1" applyFont="1" applyFill="1" applyBorder="1"/>
    <xf numFmtId="0" fontId="117" fillId="0" borderId="142" xfId="0" applyFont="1" applyBorder="1" applyAlignment="1">
      <alignment vertical="center" wrapText="1"/>
    </xf>
    <xf numFmtId="175" fontId="117" fillId="0" borderId="122" xfId="0" applyNumberFormat="1" applyFont="1" applyBorder="1"/>
    <xf numFmtId="0" fontId="128" fillId="52" borderId="66" xfId="0" applyFont="1" applyFill="1" applyBorder="1" applyAlignment="1">
      <alignment horizontal="left" wrapText="1"/>
    </xf>
    <xf numFmtId="0" fontId="129" fillId="52" borderId="64" xfId="0" applyFont="1" applyFill="1" applyBorder="1" applyAlignment="1">
      <alignment horizontal="left"/>
    </xf>
    <xf numFmtId="0" fontId="130" fillId="0" borderId="0" xfId="0" applyFont="1"/>
    <xf numFmtId="0" fontId="128" fillId="52" borderId="143" xfId="0" applyFont="1" applyFill="1" applyBorder="1" applyAlignment="1">
      <alignment horizontal="left" wrapText="1"/>
    </xf>
    <xf numFmtId="0" fontId="128" fillId="52" borderId="144" xfId="0" applyFont="1" applyFill="1" applyBorder="1" applyAlignment="1">
      <alignment horizontal="left" wrapText="1"/>
    </xf>
    <xf numFmtId="0" fontId="128" fillId="52" borderId="145" xfId="0" applyFont="1" applyFill="1" applyBorder="1" applyAlignment="1">
      <alignment horizontal="left"/>
    </xf>
    <xf numFmtId="0" fontId="128" fillId="52" borderId="146" xfId="0" applyFont="1" applyFill="1" applyBorder="1" applyAlignment="1">
      <alignment horizontal="right"/>
    </xf>
    <xf numFmtId="3" fontId="128" fillId="52" borderId="147" xfId="0" applyNumberFormat="1" applyFont="1" applyFill="1" applyBorder="1" applyAlignment="1">
      <alignment horizontal="right"/>
    </xf>
    <xf numFmtId="0" fontId="128" fillId="52" borderId="147" xfId="0" applyFont="1" applyFill="1" applyBorder="1" applyAlignment="1">
      <alignment horizontal="right"/>
    </xf>
    <xf numFmtId="0" fontId="128" fillId="52" borderId="148" xfId="0" applyFont="1" applyFill="1" applyBorder="1"/>
    <xf numFmtId="0" fontId="3" fillId="0" borderId="0" xfId="32" applyFont="1" applyAlignment="1"/>
    <xf numFmtId="0" fontId="131" fillId="0" borderId="0" xfId="0" applyFont="1" applyAlignment="1">
      <alignment horizontal="center"/>
    </xf>
    <xf numFmtId="14" fontId="117" fillId="0" borderId="0" xfId="0" applyNumberFormat="1" applyFont="1" applyAlignment="1">
      <alignment horizontal="left"/>
    </xf>
    <xf numFmtId="0" fontId="132" fillId="0" borderId="0" xfId="0" applyFont="1"/>
    <xf numFmtId="0" fontId="131" fillId="0" borderId="0" xfId="0" applyFont="1" applyAlignment="1">
      <alignment horizontal="left"/>
    </xf>
    <xf numFmtId="0" fontId="133" fillId="60" borderId="0" xfId="0" applyFont="1" applyFill="1"/>
    <xf numFmtId="0" fontId="34" fillId="0" borderId="0" xfId="32" applyFont="1" applyAlignment="1"/>
    <xf numFmtId="0" fontId="116" fillId="0" borderId="0" xfId="0" applyFont="1" applyAlignment="1">
      <alignment horizontal="right"/>
    </xf>
    <xf numFmtId="0" fontId="134" fillId="0" borderId="0" xfId="0" applyFont="1"/>
    <xf numFmtId="0" fontId="135" fillId="0" borderId="0" xfId="0" applyFont="1" applyAlignment="1">
      <alignment horizontal="left"/>
    </xf>
    <xf numFmtId="0" fontId="136" fillId="0" borderId="0" xfId="0" applyFont="1"/>
    <xf numFmtId="0" fontId="137" fillId="0" borderId="0" xfId="0" applyFont="1"/>
    <xf numFmtId="0" fontId="115" fillId="64" borderId="0" xfId="0" applyFont="1" applyFill="1"/>
    <xf numFmtId="0" fontId="137" fillId="64" borderId="0" xfId="0" applyFont="1" applyFill="1"/>
    <xf numFmtId="3" fontId="137" fillId="0" borderId="0" xfId="0" applyNumberFormat="1" applyFont="1"/>
    <xf numFmtId="175" fontId="138" fillId="0" borderId="149" xfId="0" applyNumberFormat="1" applyFont="1" applyBorder="1"/>
    <xf numFmtId="3" fontId="138" fillId="0" borderId="150" xfId="0" applyNumberFormat="1" applyFont="1" applyBorder="1"/>
    <xf numFmtId="3" fontId="138" fillId="0" borderId="151" xfId="0" applyNumberFormat="1" applyFont="1" applyBorder="1"/>
    <xf numFmtId="0" fontId="138" fillId="65" borderId="152" xfId="0" applyFont="1" applyFill="1" applyBorder="1" applyAlignment="1">
      <alignment horizontal="right"/>
    </xf>
    <xf numFmtId="1" fontId="138" fillId="65" borderId="152" xfId="0" applyNumberFormat="1" applyFont="1" applyFill="1" applyBorder="1" applyAlignment="1">
      <alignment horizontal="right"/>
    </xf>
    <xf numFmtId="0" fontId="138" fillId="65" borderId="153" xfId="0" applyFont="1" applyFill="1" applyBorder="1"/>
    <xf numFmtId="44" fontId="137" fillId="0" borderId="141" xfId="0" applyNumberFormat="1" applyFont="1" applyBorder="1"/>
    <xf numFmtId="3" fontId="139" fillId="0" borderId="154" xfId="0" applyNumberFormat="1" applyFont="1" applyBorder="1"/>
    <xf numFmtId="3" fontId="139" fillId="51" borderId="80" xfId="0" applyNumberFormat="1" applyFont="1" applyFill="1" applyBorder="1"/>
    <xf numFmtId="3" fontId="137" fillId="65" borderId="72" xfId="0" applyNumberFormat="1" applyFont="1" applyFill="1" applyBorder="1"/>
    <xf numFmtId="1" fontId="137" fillId="65" borderId="72" xfId="0" applyNumberFormat="1" applyFont="1" applyFill="1" applyBorder="1" applyAlignment="1">
      <alignment horizontal="right"/>
    </xf>
    <xf numFmtId="9" fontId="137" fillId="65" borderId="72" xfId="0" applyNumberFormat="1" applyFont="1" applyFill="1" applyBorder="1" applyAlignment="1">
      <alignment horizontal="right"/>
    </xf>
    <xf numFmtId="0" fontId="137" fillId="65" borderId="140" xfId="0" applyFont="1" applyFill="1" applyBorder="1" applyAlignment="1">
      <alignment horizontal="left"/>
    </xf>
    <xf numFmtId="3" fontId="139" fillId="51" borderId="74" xfId="0" applyNumberFormat="1" applyFont="1" applyFill="1" applyBorder="1"/>
    <xf numFmtId="3" fontId="137" fillId="64" borderId="0" xfId="0" applyNumberFormat="1" applyFont="1" applyFill="1"/>
    <xf numFmtId="3" fontId="140" fillId="64" borderId="0" xfId="0" applyNumberFormat="1" applyFont="1" applyFill="1" applyAlignment="1">
      <alignment horizontal="right"/>
    </xf>
    <xf numFmtId="0" fontId="141" fillId="0" borderId="74" xfId="0" applyFont="1" applyBorder="1"/>
    <xf numFmtId="0" fontId="141" fillId="0" borderId="0" xfId="0" applyFont="1"/>
    <xf numFmtId="10" fontId="141" fillId="0" borderId="74" xfId="0" applyNumberFormat="1" applyFont="1" applyBorder="1" applyAlignment="1">
      <alignment horizontal="right" wrapText="1"/>
    </xf>
    <xf numFmtId="176" fontId="141" fillId="66" borderId="74" xfId="0" applyNumberFormat="1" applyFont="1" applyFill="1" applyBorder="1"/>
    <xf numFmtId="3" fontId="138" fillId="0" borderId="141" xfId="0" applyNumberFormat="1" applyFont="1" applyBorder="1" applyAlignment="1">
      <alignment horizontal="center" wrapText="1"/>
    </xf>
    <xf numFmtId="3" fontId="138" fillId="0" borderId="154" xfId="0" applyNumberFormat="1" applyFont="1" applyBorder="1" applyAlignment="1">
      <alignment horizontal="center" wrapText="1"/>
    </xf>
    <xf numFmtId="3" fontId="138" fillId="0" borderId="74" xfId="0" applyNumberFormat="1" applyFont="1" applyBorder="1" applyAlignment="1">
      <alignment horizontal="center" wrapText="1"/>
    </xf>
    <xf numFmtId="0" fontId="137" fillId="65" borderId="84" xfId="0" applyFont="1" applyFill="1" applyBorder="1" applyAlignment="1">
      <alignment horizontal="center" wrapText="1"/>
    </xf>
    <xf numFmtId="0" fontId="137" fillId="65" borderId="67" xfId="0" applyFont="1" applyFill="1" applyBorder="1" applyAlignment="1">
      <alignment horizontal="center" wrapText="1"/>
    </xf>
    <xf numFmtId="49" fontId="141" fillId="0" borderId="74" xfId="0" applyNumberFormat="1" applyFont="1" applyBorder="1" applyAlignment="1">
      <alignment horizontal="center" wrapText="1"/>
    </xf>
    <xf numFmtId="1" fontId="141" fillId="0" borderId="74" xfId="0" applyNumberFormat="1" applyFont="1" applyBorder="1"/>
    <xf numFmtId="0" fontId="137" fillId="0" borderId="66" xfId="0" applyFont="1" applyBorder="1"/>
    <xf numFmtId="0" fontId="137" fillId="0" borderId="65" xfId="0" applyFont="1" applyBorder="1"/>
    <xf numFmtId="1" fontId="142" fillId="0" borderId="74" xfId="0" applyNumberFormat="1" applyFont="1" applyBorder="1"/>
    <xf numFmtId="0" fontId="142" fillId="0" borderId="74" xfId="0" applyFont="1" applyBorder="1"/>
    <xf numFmtId="5" fontId="138" fillId="0" borderId="149" xfId="0" applyNumberFormat="1" applyFont="1" applyBorder="1" applyAlignment="1">
      <alignment horizontal="right"/>
    </xf>
    <xf numFmtId="0" fontId="138" fillId="0" borderId="151" xfId="0" applyFont="1" applyBorder="1" applyAlignment="1">
      <alignment horizontal="right"/>
    </xf>
    <xf numFmtId="1" fontId="138" fillId="0" borderId="151" xfId="0" applyNumberFormat="1" applyFont="1" applyBorder="1" applyAlignment="1">
      <alignment horizontal="right"/>
    </xf>
    <xf numFmtId="0" fontId="137" fillId="0" borderId="153" xfId="0" applyFont="1" applyBorder="1"/>
    <xf numFmtId="9" fontId="141" fillId="0" borderId="0" xfId="0" applyNumberFormat="1" applyFont="1" applyAlignment="1">
      <alignment horizontal="right"/>
    </xf>
    <xf numFmtId="175" fontId="115" fillId="0" borderId="0" xfId="0" applyNumberFormat="1" applyFont="1"/>
    <xf numFmtId="5" fontId="137" fillId="0" borderId="141" xfId="0" applyNumberFormat="1" applyFont="1" applyBorder="1" applyAlignment="1">
      <alignment horizontal="right"/>
    </xf>
    <xf numFmtId="175" fontId="137" fillId="68" borderId="74" xfId="0" applyNumberFormat="1" applyFont="1" applyFill="1" applyBorder="1"/>
    <xf numFmtId="0" fontId="139" fillId="51" borderId="74" xfId="0" applyFont="1" applyFill="1" applyBorder="1" applyAlignment="1">
      <alignment horizontal="right"/>
    </xf>
    <xf numFmtId="1" fontId="137" fillId="0" borderId="74" xfId="0" applyNumberFormat="1" applyFont="1" applyBorder="1" applyAlignment="1">
      <alignment horizontal="right"/>
    </xf>
    <xf numFmtId="0" fontId="137" fillId="0" borderId="142" xfId="0" applyFont="1" applyBorder="1" applyAlignment="1">
      <alignment horizontal="right"/>
    </xf>
    <xf numFmtId="9" fontId="141" fillId="0" borderId="0" xfId="0" applyNumberFormat="1" applyFont="1" applyAlignment="1">
      <alignment horizontal="right" wrapText="1"/>
    </xf>
    <xf numFmtId="0" fontId="138" fillId="0" borderId="141" xfId="0" applyFont="1" applyBorder="1" applyAlignment="1">
      <alignment horizontal="center" wrapText="1"/>
    </xf>
    <xf numFmtId="0" fontId="138" fillId="0" borderId="74" xfId="0" applyFont="1" applyBorder="1" applyAlignment="1">
      <alignment horizontal="center" wrapText="1"/>
    </xf>
    <xf numFmtId="0" fontId="138" fillId="0" borderId="142" xfId="0" applyFont="1" applyBorder="1" applyAlignment="1">
      <alignment horizontal="right" wrapText="1"/>
    </xf>
    <xf numFmtId="0" fontId="138" fillId="0" borderId="64" xfId="0" applyFont="1" applyBorder="1"/>
    <xf numFmtId="0" fontId="133" fillId="0" borderId="0" xfId="0" applyFont="1"/>
    <xf numFmtId="0" fontId="137" fillId="0" borderId="0" xfId="0" applyFont="1" applyAlignment="1">
      <alignment horizontal="right"/>
    </xf>
    <xf numFmtId="10" fontId="138" fillId="0" borderId="158" xfId="0" applyNumberFormat="1" applyFont="1" applyBorder="1" applyAlignment="1">
      <alignment horizontal="right"/>
    </xf>
    <xf numFmtId="0" fontId="143" fillId="0" borderId="159" xfId="0" quotePrefix="1" applyFont="1" applyBorder="1"/>
    <xf numFmtId="44" fontId="137" fillId="0" borderId="160" xfId="3" applyFont="1" applyBorder="1"/>
    <xf numFmtId="0" fontId="143" fillId="0" borderId="161" xfId="0" applyFont="1" applyBorder="1"/>
    <xf numFmtId="3" fontId="137" fillId="0" borderId="160" xfId="0" applyNumberFormat="1" applyFont="1" applyBorder="1"/>
    <xf numFmtId="3" fontId="137" fillId="0" borderId="161" xfId="0" applyNumberFormat="1" applyFont="1" applyBorder="1"/>
    <xf numFmtId="0" fontId="143" fillId="0" borderId="0" xfId="0" applyFont="1"/>
    <xf numFmtId="175" fontId="137" fillId="0" borderId="160" xfId="0" applyNumberFormat="1" applyFont="1" applyBorder="1"/>
    <xf numFmtId="0" fontId="137" fillId="0" borderId="0" xfId="0" applyFont="1" applyAlignment="1">
      <alignment wrapText="1"/>
    </xf>
    <xf numFmtId="175" fontId="139" fillId="51" borderId="160" xfId="0" applyNumberFormat="1" applyFont="1" applyFill="1" applyBorder="1"/>
    <xf numFmtId="0" fontId="137" fillId="0" borderId="161" xfId="0" applyFont="1" applyBorder="1" applyAlignment="1">
      <alignment horizontal="center" wrapText="1"/>
    </xf>
    <xf numFmtId="0" fontId="137" fillId="0" borderId="161" xfId="0" applyFont="1" applyBorder="1"/>
    <xf numFmtId="0" fontId="118" fillId="67" borderId="74" xfId="0" applyFont="1" applyFill="1" applyBorder="1" applyAlignment="1">
      <alignment horizontal="center" wrapText="1"/>
    </xf>
    <xf numFmtId="175" fontId="137" fillId="0" borderId="162" xfId="0" applyNumberFormat="1" applyFont="1" applyBorder="1"/>
    <xf numFmtId="0" fontId="137" fillId="0" borderId="163" xfId="0" applyFont="1" applyBorder="1"/>
    <xf numFmtId="0" fontId="144" fillId="0" borderId="0" xfId="0" applyFont="1"/>
    <xf numFmtId="0" fontId="145" fillId="0" borderId="0" xfId="0" applyFont="1"/>
    <xf numFmtId="0" fontId="137" fillId="0" borderId="0" xfId="0" applyFont="1" applyAlignment="1">
      <alignment horizontal="left"/>
    </xf>
    <xf numFmtId="175" fontId="139" fillId="51" borderId="164" xfId="0" applyNumberFormat="1" applyFont="1" applyFill="1" applyBorder="1"/>
    <xf numFmtId="0" fontId="137" fillId="0" borderId="165" xfId="0" applyFont="1" applyBorder="1" applyAlignment="1">
      <alignment wrapText="1"/>
    </xf>
    <xf numFmtId="0" fontId="138" fillId="64" borderId="0" xfId="0" applyFont="1" applyFill="1"/>
    <xf numFmtId="0" fontId="137" fillId="64" borderId="0" xfId="0" applyFont="1" applyFill="1" applyAlignment="1">
      <alignment vertical="top"/>
    </xf>
    <xf numFmtId="0" fontId="137" fillId="64" borderId="0" xfId="0" applyFont="1" applyFill="1" applyAlignment="1">
      <alignment horizontal="left"/>
    </xf>
    <xf numFmtId="14" fontId="137" fillId="64" borderId="0" xfId="0" applyNumberFormat="1" applyFont="1" applyFill="1" applyAlignment="1">
      <alignment horizontal="left"/>
    </xf>
    <xf numFmtId="0" fontId="138" fillId="0" borderId="0" xfId="0" applyFont="1"/>
    <xf numFmtId="0" fontId="147" fillId="0" borderId="0" xfId="0" applyFont="1"/>
    <xf numFmtId="14" fontId="137" fillId="0" borderId="0" xfId="0" applyNumberFormat="1" applyFont="1" applyAlignment="1">
      <alignment horizontal="left"/>
    </xf>
    <xf numFmtId="0" fontId="117" fillId="0" borderId="0" xfId="0" applyFont="1" applyAlignment="1">
      <alignment horizontal="left"/>
    </xf>
    <xf numFmtId="0" fontId="137" fillId="0" borderId="0" xfId="0" applyFont="1" applyAlignment="1">
      <alignment vertical="top"/>
    </xf>
    <xf numFmtId="0" fontId="148" fillId="0" borderId="0" xfId="0" applyFont="1"/>
    <xf numFmtId="0" fontId="149" fillId="0" borderId="0" xfId="0" applyFont="1"/>
    <xf numFmtId="44" fontId="0" fillId="0" borderId="0" xfId="3" applyFont="1" applyAlignment="1">
      <alignment horizontal="right"/>
    </xf>
    <xf numFmtId="44" fontId="117" fillId="0" borderId="0" xfId="3" applyFont="1" applyAlignment="1">
      <alignment horizontal="right"/>
    </xf>
    <xf numFmtId="44" fontId="117" fillId="14" borderId="166" xfId="3" applyFont="1" applyFill="1" applyBorder="1" applyAlignment="1">
      <alignment horizontal="right"/>
    </xf>
    <xf numFmtId="0" fontId="117" fillId="0" borderId="90" xfId="0" applyFont="1" applyBorder="1" applyAlignment="1">
      <alignment horizontal="left" wrapText="1"/>
    </xf>
    <xf numFmtId="0" fontId="117" fillId="0" borderId="88" xfId="0" applyFont="1" applyBorder="1" applyAlignment="1">
      <alignment horizontal="left" wrapText="1"/>
    </xf>
    <xf numFmtId="1" fontId="117" fillId="0" borderId="75" xfId="0" applyNumberFormat="1" applyFont="1" applyBorder="1"/>
    <xf numFmtId="9" fontId="117" fillId="0" borderId="75" xfId="0" applyNumberFormat="1" applyFont="1" applyBorder="1" applyAlignment="1">
      <alignment horizontal="right"/>
    </xf>
    <xf numFmtId="0" fontId="117" fillId="0" borderId="74" xfId="0" applyFont="1" applyBorder="1"/>
    <xf numFmtId="0" fontId="117" fillId="0" borderId="90" xfId="0" applyFont="1" applyBorder="1"/>
    <xf numFmtId="0" fontId="117" fillId="0" borderId="88" xfId="0" applyFont="1" applyBorder="1"/>
    <xf numFmtId="44" fontId="117" fillId="14" borderId="23" xfId="3" applyFont="1" applyFill="1" applyBorder="1" applyAlignment="1">
      <alignment horizontal="right"/>
    </xf>
    <xf numFmtId="0" fontId="117" fillId="0" borderId="75" xfId="0" applyFont="1" applyBorder="1" applyAlignment="1">
      <alignment horizontal="left"/>
    </xf>
    <xf numFmtId="10" fontId="117" fillId="0" borderId="154" xfId="0" applyNumberFormat="1" applyFont="1" applyBorder="1" applyAlignment="1">
      <alignment horizontal="right"/>
    </xf>
    <xf numFmtId="0" fontId="117" fillId="53" borderId="90" xfId="0" applyFont="1" applyFill="1" applyBorder="1"/>
    <xf numFmtId="0" fontId="117" fillId="53" borderId="88" xfId="0" applyFont="1" applyFill="1" applyBorder="1"/>
    <xf numFmtId="0" fontId="117" fillId="53" borderId="75" xfId="0" applyFont="1" applyFill="1" applyBorder="1"/>
    <xf numFmtId="0" fontId="117" fillId="53" borderId="154" xfId="0" applyFont="1" applyFill="1" applyBorder="1"/>
    <xf numFmtId="0" fontId="117" fillId="53" borderId="74" xfId="0" applyFont="1" applyFill="1" applyBorder="1"/>
    <xf numFmtId="0" fontId="117" fillId="0" borderId="75" xfId="0" applyFont="1" applyBorder="1"/>
    <xf numFmtId="183" fontId="117" fillId="0" borderId="154" xfId="0" applyNumberFormat="1" applyFont="1" applyBorder="1" applyAlignment="1">
      <alignment horizontal="right"/>
    </xf>
    <xf numFmtId="44" fontId="117" fillId="0" borderId="23" xfId="3" applyFont="1" applyFill="1" applyBorder="1" applyAlignment="1">
      <alignment horizontal="right"/>
    </xf>
    <xf numFmtId="176" fontId="117" fillId="0" borderId="154" xfId="0" applyNumberFormat="1" applyFont="1" applyBorder="1" applyAlignment="1">
      <alignment horizontal="right"/>
    </xf>
    <xf numFmtId="175" fontId="117" fillId="0" borderId="90" xfId="0" applyNumberFormat="1" applyFont="1" applyBorder="1" applyAlignment="1">
      <alignment horizontal="left"/>
    </xf>
    <xf numFmtId="0" fontId="117" fillId="0" borderId="88" xfId="0" applyFont="1" applyBorder="1" applyAlignment="1">
      <alignment horizontal="right" wrapText="1"/>
    </xf>
    <xf numFmtId="44" fontId="117" fillId="14" borderId="51" xfId="3" applyFont="1" applyFill="1" applyBorder="1" applyAlignment="1">
      <alignment horizontal="right"/>
    </xf>
    <xf numFmtId="0" fontId="117" fillId="53" borderId="87" xfId="0" applyFont="1" applyFill="1" applyBorder="1" applyAlignment="1">
      <alignment horizontal="left"/>
    </xf>
    <xf numFmtId="0" fontId="117" fillId="53" borderId="154" xfId="0" applyFont="1" applyFill="1" applyBorder="1" applyAlignment="1">
      <alignment horizontal="left"/>
    </xf>
    <xf numFmtId="44" fontId="117" fillId="14" borderId="87" xfId="3" applyFont="1" applyFill="1" applyBorder="1" applyAlignment="1">
      <alignment horizontal="right"/>
    </xf>
    <xf numFmtId="9" fontId="117" fillId="0" borderId="90" xfId="0" applyNumberFormat="1" applyFont="1" applyBorder="1" applyAlignment="1">
      <alignment horizontal="left" wrapText="1"/>
    </xf>
    <xf numFmtId="37" fontId="117" fillId="69" borderId="154" xfId="0" applyNumberFormat="1" applyFont="1" applyFill="1" applyBorder="1" applyAlignment="1">
      <alignment horizontal="right"/>
    </xf>
    <xf numFmtId="0" fontId="117" fillId="0" borderId="74" xfId="0" applyFont="1" applyBorder="1" applyAlignment="1">
      <alignment wrapText="1"/>
    </xf>
    <xf numFmtId="0" fontId="117" fillId="0" borderId="88" xfId="0" applyFont="1" applyBorder="1" applyAlignment="1">
      <alignment horizontal="right"/>
    </xf>
    <xf numFmtId="176" fontId="117" fillId="8" borderId="154" xfId="0" applyNumberFormat="1" applyFont="1" applyFill="1" applyBorder="1" applyAlignment="1">
      <alignment horizontal="right"/>
    </xf>
    <xf numFmtId="180" fontId="117" fillId="0" borderId="154" xfId="0" applyNumberFormat="1" applyFont="1" applyBorder="1" applyAlignment="1">
      <alignment horizontal="right"/>
    </xf>
    <xf numFmtId="44" fontId="117" fillId="8" borderId="87" xfId="3" applyFont="1" applyFill="1" applyBorder="1" applyAlignment="1">
      <alignment horizontal="right"/>
    </xf>
    <xf numFmtId="0" fontId="117" fillId="8" borderId="75" xfId="0" applyFont="1" applyFill="1" applyBorder="1"/>
    <xf numFmtId="2" fontId="117" fillId="8" borderId="154" xfId="0" applyNumberFormat="1" applyFont="1" applyFill="1" applyBorder="1" applyAlignment="1">
      <alignment horizontal="right"/>
    </xf>
    <xf numFmtId="0" fontId="117" fillId="8" borderId="74" xfId="0" applyFont="1" applyFill="1" applyBorder="1"/>
    <xf numFmtId="0" fontId="117" fillId="8" borderId="0" xfId="0" applyFont="1" applyFill="1"/>
    <xf numFmtId="5" fontId="117" fillId="8" borderId="154" xfId="0" applyNumberFormat="1" applyFont="1" applyFill="1" applyBorder="1" applyAlignment="1">
      <alignment horizontal="right"/>
    </xf>
    <xf numFmtId="6" fontId="117" fillId="0" borderId="76" xfId="0" applyNumberFormat="1" applyFont="1" applyBorder="1" applyAlignment="1">
      <alignment horizontal="left"/>
    </xf>
    <xf numFmtId="0" fontId="117" fillId="53" borderId="87" xfId="0" applyFont="1" applyFill="1" applyBorder="1"/>
    <xf numFmtId="9" fontId="121" fillId="0" borderId="0" xfId="0" applyNumberFormat="1" applyFont="1"/>
    <xf numFmtId="9" fontId="117" fillId="0" borderId="90" xfId="0" applyNumberFormat="1" applyFont="1" applyBorder="1" applyAlignment="1">
      <alignment horizontal="left"/>
    </xf>
    <xf numFmtId="175" fontId="117" fillId="0" borderId="154" xfId="0" applyNumberFormat="1" applyFont="1" applyBorder="1" applyAlignment="1">
      <alignment horizontal="right"/>
    </xf>
    <xf numFmtId="0" fontId="117" fillId="0" borderId="73" xfId="0" applyFont="1" applyBorder="1"/>
    <xf numFmtId="175" fontId="117" fillId="0" borderId="72" xfId="0" applyNumberFormat="1" applyFont="1" applyBorder="1" applyAlignment="1">
      <alignment horizontal="right"/>
    </xf>
    <xf numFmtId="0" fontId="117" fillId="0" borderId="80" xfId="0" applyFont="1" applyBorder="1"/>
    <xf numFmtId="165" fontId="117" fillId="0" borderId="73" xfId="0" applyNumberFormat="1" applyFont="1" applyBorder="1" applyAlignment="1">
      <alignment horizontal="right"/>
    </xf>
    <xf numFmtId="0" fontId="115" fillId="0" borderId="170" xfId="0" applyFont="1" applyBorder="1" applyAlignment="1">
      <alignment horizontal="right" wrapText="1"/>
    </xf>
    <xf numFmtId="0" fontId="115" fillId="0" borderId="171" xfId="0" applyFont="1" applyBorder="1" applyAlignment="1">
      <alignment wrapText="1"/>
    </xf>
    <xf numFmtId="0" fontId="115" fillId="0" borderId="21" xfId="0" applyFont="1" applyBorder="1" applyAlignment="1">
      <alignment horizontal="right" wrapText="1"/>
    </xf>
    <xf numFmtId="0" fontId="115" fillId="0" borderId="19" xfId="0" applyFont="1" applyBorder="1" applyAlignment="1">
      <alignment wrapText="1"/>
    </xf>
    <xf numFmtId="0" fontId="151" fillId="52" borderId="80" xfId="0" applyFont="1" applyFill="1" applyBorder="1"/>
    <xf numFmtId="0" fontId="151" fillId="52" borderId="74" xfId="0" applyFont="1" applyFill="1" applyBorder="1"/>
    <xf numFmtId="44" fontId="115" fillId="0" borderId="0" xfId="3" applyFont="1" applyAlignment="1">
      <alignment horizontal="right"/>
    </xf>
    <xf numFmtId="175" fontId="106" fillId="0" borderId="0" xfId="0" applyNumberFormat="1" applyFont="1"/>
    <xf numFmtId="175" fontId="106" fillId="0" borderId="74" xfId="0" applyNumberFormat="1" applyFont="1" applyBorder="1"/>
    <xf numFmtId="175" fontId="57" fillId="52" borderId="0" xfId="0" applyNumberFormat="1" applyFont="1" applyFill="1"/>
    <xf numFmtId="175" fontId="152" fillId="52" borderId="0" xfId="0" applyNumberFormat="1" applyFont="1" applyFill="1"/>
    <xf numFmtId="0" fontId="57" fillId="52" borderId="0" xfId="0" applyFont="1" applyFill="1"/>
    <xf numFmtId="0" fontId="153" fillId="52" borderId="0" xfId="0" applyFont="1" applyFill="1"/>
    <xf numFmtId="0" fontId="96" fillId="0" borderId="0" xfId="0" applyFont="1"/>
    <xf numFmtId="175" fontId="96" fillId="0" borderId="0" xfId="0" applyNumberFormat="1" applyFont="1"/>
    <xf numFmtId="175" fontId="154" fillId="0" borderId="0" xfId="0" applyNumberFormat="1" applyFont="1"/>
    <xf numFmtId="0" fontId="154" fillId="0" borderId="0" xfId="0" applyFont="1"/>
    <xf numFmtId="0" fontId="115" fillId="0" borderId="172" xfId="0" applyFont="1" applyBorder="1"/>
    <xf numFmtId="0" fontId="133" fillId="0" borderId="172" xfId="0" applyFont="1" applyBorder="1"/>
    <xf numFmtId="0" fontId="115" fillId="0" borderId="173" xfId="0" applyFont="1" applyBorder="1"/>
    <xf numFmtId="0" fontId="133" fillId="0" borderId="174" xfId="0" applyFont="1" applyBorder="1"/>
    <xf numFmtId="0" fontId="133" fillId="0" borderId="173" xfId="0" applyFont="1" applyBorder="1" applyAlignment="1">
      <alignment horizontal="left" wrapText="1"/>
    </xf>
    <xf numFmtId="0" fontId="156" fillId="0" borderId="0" xfId="0" applyFont="1"/>
    <xf numFmtId="166" fontId="137" fillId="0" borderId="177" xfId="0" applyNumberFormat="1" applyFont="1" applyBorder="1"/>
    <xf numFmtId="166" fontId="137" fillId="0" borderId="178" xfId="0" applyNumberFormat="1" applyFont="1" applyBorder="1"/>
    <xf numFmtId="0" fontId="150" fillId="71" borderId="179" xfId="0" applyFont="1" applyFill="1" applyBorder="1"/>
    <xf numFmtId="0" fontId="150" fillId="71" borderId="180" xfId="0" applyFont="1" applyFill="1" applyBorder="1"/>
    <xf numFmtId="0" fontId="150" fillId="71" borderId="181" xfId="0" applyFont="1" applyFill="1" applyBorder="1"/>
    <xf numFmtId="0" fontId="157" fillId="71" borderId="180" xfId="0" applyFont="1" applyFill="1" applyBorder="1"/>
    <xf numFmtId="166" fontId="137" fillId="0" borderId="182" xfId="0" applyNumberFormat="1" applyFont="1" applyBorder="1"/>
    <xf numFmtId="9" fontId="156" fillId="0" borderId="183" xfId="0" applyNumberFormat="1" applyFont="1" applyBorder="1" applyAlignment="1">
      <alignment horizontal="center" wrapText="1"/>
    </xf>
    <xf numFmtId="9" fontId="137" fillId="72" borderId="183" xfId="0" applyNumberFormat="1" applyFont="1" applyFill="1" applyBorder="1" applyAlignment="1">
      <alignment horizontal="center"/>
    </xf>
    <xf numFmtId="166" fontId="137" fillId="0" borderId="183" xfId="0" applyNumberFormat="1" applyFont="1" applyBorder="1"/>
    <xf numFmtId="0" fontId="156" fillId="0" borderId="183" xfId="0" applyFont="1" applyBorder="1" applyAlignment="1">
      <alignment horizontal="center" wrapText="1"/>
    </xf>
    <xf numFmtId="0" fontId="137" fillId="72" borderId="183" xfId="0" applyFont="1" applyFill="1" applyBorder="1" applyAlignment="1">
      <alignment horizontal="center"/>
    </xf>
    <xf numFmtId="0" fontId="137" fillId="0" borderId="183" xfId="0" applyFont="1" applyBorder="1" applyAlignment="1">
      <alignment horizontal="center"/>
    </xf>
    <xf numFmtId="166" fontId="137" fillId="0" borderId="122" xfId="0" applyNumberFormat="1" applyFont="1" applyBorder="1"/>
    <xf numFmtId="166" fontId="137" fillId="0" borderId="184" xfId="0" applyNumberFormat="1" applyFont="1" applyBorder="1"/>
    <xf numFmtId="166" fontId="137" fillId="0" borderId="183" xfId="0" applyNumberFormat="1" applyFont="1" applyBorder="1" applyAlignment="1">
      <alignment horizontal="center"/>
    </xf>
    <xf numFmtId="166" fontId="137" fillId="0" borderId="178" xfId="0" applyNumberFormat="1" applyFont="1" applyBorder="1" applyAlignment="1">
      <alignment horizontal="center"/>
    </xf>
    <xf numFmtId="166" fontId="137" fillId="0" borderId="185" xfId="0" applyNumberFormat="1" applyFont="1" applyBorder="1" applyAlignment="1">
      <alignment horizontal="center"/>
    </xf>
    <xf numFmtId="0" fontId="159" fillId="71" borderId="179" xfId="0" applyFont="1" applyFill="1" applyBorder="1"/>
    <xf numFmtId="0" fontId="159" fillId="71" borderId="180" xfId="0" applyFont="1" applyFill="1" applyBorder="1"/>
    <xf numFmtId="0" fontId="160" fillId="0" borderId="0" xfId="0" applyFont="1"/>
    <xf numFmtId="0" fontId="157" fillId="0" borderId="0" xfId="0" applyFont="1"/>
    <xf numFmtId="0" fontId="157" fillId="0" borderId="0" xfId="0" applyFont="1" applyAlignment="1">
      <alignment horizontal="right"/>
    </xf>
    <xf numFmtId="5" fontId="137" fillId="0" borderId="0" xfId="0" applyNumberFormat="1" applyFont="1"/>
    <xf numFmtId="0" fontId="120" fillId="0" borderId="0" xfId="0" applyFont="1"/>
    <xf numFmtId="5" fontId="161" fillId="0" borderId="62" xfId="0" applyNumberFormat="1" applyFont="1" applyBorder="1"/>
    <xf numFmtId="5" fontId="161" fillId="0" borderId="63" xfId="0" applyNumberFormat="1" applyFont="1" applyBorder="1"/>
    <xf numFmtId="0" fontId="162" fillId="0" borderId="63" xfId="0" applyFont="1" applyBorder="1"/>
    <xf numFmtId="5" fontId="161" fillId="0" borderId="60" xfId="0" applyNumberFormat="1" applyFont="1" applyBorder="1"/>
    <xf numFmtId="5" fontId="161" fillId="0" borderId="0" xfId="0" applyNumberFormat="1" applyFont="1"/>
    <xf numFmtId="0" fontId="162" fillId="0" borderId="0" xfId="0" applyFont="1"/>
    <xf numFmtId="5" fontId="161" fillId="0" borderId="186" xfId="0" applyNumberFormat="1" applyFont="1" applyBorder="1"/>
    <xf numFmtId="5" fontId="161" fillId="0" borderId="60" xfId="0" applyNumberFormat="1" applyFont="1" applyBorder="1" applyAlignment="1">
      <alignment horizontal="right"/>
    </xf>
    <xf numFmtId="5" fontId="139" fillId="51" borderId="0" xfId="0" applyNumberFormat="1" applyFont="1" applyFill="1"/>
    <xf numFmtId="5" fontId="161" fillId="0" borderId="0" xfId="0" applyNumberFormat="1" applyFont="1" applyAlignment="1">
      <alignment horizontal="right"/>
    </xf>
    <xf numFmtId="9" fontId="162" fillId="51" borderId="0" xfId="0" applyNumberFormat="1" applyFont="1" applyFill="1"/>
    <xf numFmtId="5" fontId="137" fillId="0" borderId="60" xfId="0" applyNumberFormat="1" applyFont="1" applyBorder="1" applyAlignment="1">
      <alignment horizontal="right"/>
    </xf>
    <xf numFmtId="5" fontId="137" fillId="0" borderId="0" xfId="0" applyNumberFormat="1" applyFont="1" applyAlignment="1">
      <alignment horizontal="right"/>
    </xf>
    <xf numFmtId="5" fontId="156" fillId="0" borderId="0" xfId="0" applyNumberFormat="1" applyFont="1"/>
    <xf numFmtId="9" fontId="137" fillId="0" borderId="60" xfId="0" applyNumberFormat="1" applyFont="1" applyBorder="1" applyAlignment="1">
      <alignment horizontal="right"/>
    </xf>
    <xf numFmtId="9" fontId="137" fillId="0" borderId="0" xfId="0" applyNumberFormat="1" applyFont="1" applyAlignment="1">
      <alignment horizontal="right"/>
    </xf>
    <xf numFmtId="2" fontId="137" fillId="0" borderId="60" xfId="0" applyNumberFormat="1" applyFont="1" applyBorder="1" applyAlignment="1">
      <alignment horizontal="right"/>
    </xf>
    <xf numFmtId="2" fontId="137" fillId="0" borderId="0" xfId="0" applyNumberFormat="1" applyFont="1" applyAlignment="1">
      <alignment horizontal="right"/>
    </xf>
    <xf numFmtId="2" fontId="137" fillId="0" borderId="0" xfId="0" applyNumberFormat="1" applyFont="1" applyAlignment="1">
      <alignment horizontal="right" vertical="center" readingOrder="1"/>
    </xf>
    <xf numFmtId="5" fontId="139" fillId="54" borderId="60" xfId="0" applyNumberFormat="1" applyFont="1" applyFill="1" applyBorder="1"/>
    <xf numFmtId="5" fontId="139" fillId="54" borderId="0" xfId="0" applyNumberFormat="1" applyFont="1" applyFill="1"/>
    <xf numFmtId="5" fontId="139" fillId="54" borderId="60" xfId="0" applyNumberFormat="1" applyFont="1" applyFill="1" applyBorder="1" applyAlignment="1">
      <alignment horizontal="right"/>
    </xf>
    <xf numFmtId="5" fontId="139" fillId="54" borderId="0" xfId="0" applyNumberFormat="1" applyFont="1" applyFill="1" applyAlignment="1">
      <alignment horizontal="right"/>
    </xf>
    <xf numFmtId="5" fontId="0" fillId="0" borderId="0" xfId="0" applyNumberFormat="1"/>
    <xf numFmtId="5" fontId="115" fillId="0" borderId="0" xfId="0" applyNumberFormat="1" applyFont="1"/>
    <xf numFmtId="5" fontId="137" fillId="0" borderId="186" xfId="0" applyNumberFormat="1" applyFont="1" applyBorder="1" applyAlignment="1">
      <alignment horizontal="right"/>
    </xf>
    <xf numFmtId="5" fontId="141" fillId="0" borderId="0" xfId="0" applyNumberFormat="1" applyFont="1"/>
    <xf numFmtId="5" fontId="133" fillId="0" borderId="0" xfId="0" applyNumberFormat="1" applyFont="1"/>
    <xf numFmtId="9" fontId="164" fillId="51" borderId="0" xfId="1" applyFont="1" applyFill="1"/>
    <xf numFmtId="9" fontId="141" fillId="0" borderId="0" xfId="1" applyFont="1"/>
    <xf numFmtId="5" fontId="137" fillId="0" borderId="58" xfId="0" applyNumberFormat="1" applyFont="1" applyBorder="1" applyAlignment="1">
      <alignment horizontal="right"/>
    </xf>
    <xf numFmtId="5" fontId="137" fillId="0" borderId="57" xfId="0" applyNumberFormat="1" applyFont="1" applyBorder="1" applyAlignment="1">
      <alignment horizontal="right"/>
    </xf>
    <xf numFmtId="5" fontId="161" fillId="0" borderId="57" xfId="0" applyNumberFormat="1" applyFont="1" applyBorder="1" applyAlignment="1">
      <alignment horizontal="right"/>
    </xf>
    <xf numFmtId="9" fontId="164" fillId="51" borderId="57" xfId="1" applyFont="1" applyFill="1" applyBorder="1"/>
    <xf numFmtId="5" fontId="165" fillId="73" borderId="0" xfId="0" applyNumberFormat="1" applyFont="1" applyFill="1" applyAlignment="1">
      <alignment horizontal="center"/>
    </xf>
    <xf numFmtId="0" fontId="165" fillId="73" borderId="57" xfId="0" applyFont="1" applyFill="1" applyBorder="1"/>
    <xf numFmtId="0" fontId="165" fillId="73" borderId="56" xfId="0" applyFont="1" applyFill="1" applyBorder="1"/>
    <xf numFmtId="0" fontId="166" fillId="0" borderId="0" xfId="0" applyFont="1"/>
    <xf numFmtId="0" fontId="117" fillId="0" borderId="0" xfId="0" applyFont="1" applyAlignment="1">
      <alignment vertical="top"/>
    </xf>
    <xf numFmtId="0" fontId="131" fillId="0" borderId="0" xfId="0" applyFont="1"/>
    <xf numFmtId="0" fontId="167" fillId="0" borderId="0" xfId="0" applyFont="1"/>
    <xf numFmtId="0" fontId="133" fillId="74" borderId="0" xfId="0" applyFont="1" applyFill="1"/>
    <xf numFmtId="10" fontId="137" fillId="72" borderId="74" xfId="0" applyNumberFormat="1" applyFont="1" applyFill="1" applyBorder="1"/>
    <xf numFmtId="5" fontId="137" fillId="0" borderId="86" xfId="0" applyNumberFormat="1" applyFont="1" applyBorder="1"/>
    <xf numFmtId="5" fontId="137" fillId="0" borderId="81" xfId="0" applyNumberFormat="1" applyFont="1" applyBorder="1"/>
    <xf numFmtId="166" fontId="137" fillId="0" borderId="85" xfId="0" applyNumberFormat="1" applyFont="1" applyBorder="1"/>
    <xf numFmtId="5" fontId="137" fillId="0" borderId="85" xfId="0" applyNumberFormat="1" applyFont="1" applyBorder="1"/>
    <xf numFmtId="10" fontId="137" fillId="0" borderId="74" xfId="0" applyNumberFormat="1" applyFont="1" applyBorder="1"/>
    <xf numFmtId="0" fontId="156" fillId="0" borderId="187" xfId="0" applyFont="1" applyBorder="1" applyAlignment="1">
      <alignment horizontal="center"/>
    </xf>
    <xf numFmtId="0" fontId="156" fillId="0" borderId="74" xfId="0" applyFont="1" applyBorder="1" applyAlignment="1">
      <alignment horizontal="center"/>
    </xf>
    <xf numFmtId="0" fontId="137" fillId="0" borderId="74" xfId="0" applyFont="1" applyBorder="1" applyAlignment="1">
      <alignment horizontal="center"/>
    </xf>
    <xf numFmtId="0" fontId="137" fillId="0" borderId="188" xfId="0" applyFont="1" applyBorder="1" applyAlignment="1">
      <alignment horizontal="center"/>
    </xf>
    <xf numFmtId="166" fontId="137" fillId="0" borderId="74" xfId="0" applyNumberFormat="1" applyFont="1" applyBorder="1" applyAlignment="1">
      <alignment horizontal="right"/>
    </xf>
    <xf numFmtId="175" fontId="137" fillId="0" borderId="74" xfId="0" applyNumberFormat="1" applyFont="1" applyBorder="1"/>
    <xf numFmtId="14" fontId="118" fillId="0" borderId="0" xfId="0" applyNumberFormat="1" applyFont="1"/>
    <xf numFmtId="166" fontId="150" fillId="0" borderId="0" xfId="0" applyNumberFormat="1" applyFont="1"/>
    <xf numFmtId="0" fontId="115" fillId="74" borderId="0" xfId="0" applyFont="1" applyFill="1"/>
    <xf numFmtId="166" fontId="141" fillId="0" borderId="74" xfId="0" applyNumberFormat="1" applyFont="1" applyBorder="1"/>
    <xf numFmtId="175" fontId="141" fillId="0" borderId="74" xfId="0" applyNumberFormat="1" applyFont="1" applyBorder="1"/>
    <xf numFmtId="0" fontId="141" fillId="0" borderId="74" xfId="0" applyFont="1" applyBorder="1" applyAlignment="1">
      <alignment horizontal="left" wrapText="1"/>
    </xf>
    <xf numFmtId="176" fontId="141" fillId="0" borderId="74" xfId="0" applyNumberFormat="1" applyFont="1" applyBorder="1"/>
    <xf numFmtId="42" fontId="141" fillId="0" borderId="74" xfId="0" applyNumberFormat="1" applyFont="1" applyBorder="1"/>
    <xf numFmtId="0" fontId="133" fillId="0" borderId="74" xfId="0" applyFont="1" applyBorder="1" applyAlignment="1">
      <alignment horizontal="left" wrapText="1"/>
    </xf>
    <xf numFmtId="42" fontId="141" fillId="68" borderId="74" xfId="0" applyNumberFormat="1" applyFont="1" applyFill="1" applyBorder="1"/>
    <xf numFmtId="0" fontId="133" fillId="68" borderId="74" xfId="0" applyFont="1" applyFill="1" applyBorder="1" applyAlignment="1">
      <alignment horizontal="left" wrapText="1"/>
    </xf>
    <xf numFmtId="42" fontId="133" fillId="0" borderId="74" xfId="0" applyNumberFormat="1" applyFont="1" applyBorder="1" applyAlignment="1">
      <alignment wrapText="1"/>
    </xf>
    <xf numFmtId="166" fontId="141" fillId="67" borderId="74" xfId="0" applyNumberFormat="1" applyFont="1" applyFill="1" applyBorder="1"/>
    <xf numFmtId="166" fontId="133" fillId="67" borderId="74" xfId="0" applyNumberFormat="1" applyFont="1" applyFill="1" applyBorder="1" applyAlignment="1">
      <alignment wrapText="1"/>
    </xf>
    <xf numFmtId="175" fontId="133" fillId="67" borderId="74" xfId="0" applyNumberFormat="1" applyFont="1" applyFill="1" applyBorder="1" applyAlignment="1">
      <alignment wrapText="1"/>
    </xf>
    <xf numFmtId="0" fontId="133" fillId="67" borderId="74" xfId="0" applyFont="1" applyFill="1" applyBorder="1" applyAlignment="1">
      <alignment horizontal="left" wrapText="1"/>
    </xf>
    <xf numFmtId="166" fontId="133" fillId="74" borderId="74" xfId="0" applyNumberFormat="1" applyFont="1" applyFill="1" applyBorder="1" applyAlignment="1">
      <alignment wrapText="1"/>
    </xf>
    <xf numFmtId="0" fontId="133" fillId="74" borderId="74" xfId="0" applyFont="1" applyFill="1" applyBorder="1" applyAlignment="1">
      <alignment horizontal="left" wrapText="1"/>
    </xf>
    <xf numFmtId="166" fontId="141" fillId="0" borderId="0" xfId="0" applyNumberFormat="1" applyFont="1"/>
    <xf numFmtId="166" fontId="133" fillId="0" borderId="74" xfId="0" applyNumberFormat="1" applyFont="1" applyBorder="1" applyAlignment="1">
      <alignment wrapText="1"/>
    </xf>
    <xf numFmtId="175" fontId="133" fillId="0" borderId="74" xfId="0" applyNumberFormat="1" applyFont="1" applyBorder="1" applyAlignment="1">
      <alignment wrapText="1"/>
    </xf>
    <xf numFmtId="175" fontId="133" fillId="74" borderId="74" xfId="0" applyNumberFormat="1" applyFont="1" applyFill="1" applyBorder="1" applyAlignment="1">
      <alignment wrapText="1"/>
    </xf>
    <xf numFmtId="0" fontId="141" fillId="65" borderId="80" xfId="0" applyFont="1" applyFill="1" applyBorder="1" applyAlignment="1">
      <alignment horizontal="center"/>
    </xf>
    <xf numFmtId="0" fontId="141" fillId="65" borderId="80" xfId="0" applyFont="1" applyFill="1" applyBorder="1" applyAlignment="1">
      <alignment horizontal="center" wrapText="1"/>
    </xf>
    <xf numFmtId="0" fontId="141" fillId="65" borderId="80" xfId="0" applyFont="1" applyFill="1" applyBorder="1"/>
    <xf numFmtId="0" fontId="142" fillId="0" borderId="0" xfId="0" applyFont="1"/>
    <xf numFmtId="0" fontId="142" fillId="65" borderId="74" xfId="0" applyFont="1" applyFill="1" applyBorder="1"/>
    <xf numFmtId="3" fontId="141" fillId="0" borderId="0" xfId="0" applyNumberFormat="1" applyFont="1"/>
    <xf numFmtId="166" fontId="133" fillId="68" borderId="74" xfId="0" applyNumberFormat="1" applyFont="1" applyFill="1" applyBorder="1" applyAlignment="1">
      <alignment wrapText="1"/>
    </xf>
    <xf numFmtId="0" fontId="141" fillId="65" borderId="74" xfId="0" applyFont="1" applyFill="1" applyBorder="1" applyAlignment="1">
      <alignment horizontal="center"/>
    </xf>
    <xf numFmtId="0" fontId="168" fillId="0" borderId="0" xfId="0" applyFont="1"/>
    <xf numFmtId="175" fontId="120" fillId="0" borderId="122" xfId="0" applyNumberFormat="1" applyFont="1" applyBorder="1"/>
    <xf numFmtId="0" fontId="0" fillId="76" borderId="0" xfId="0" applyFill="1"/>
    <xf numFmtId="0" fontId="2" fillId="76" borderId="0" xfId="0" applyFont="1" applyFill="1"/>
    <xf numFmtId="1" fontId="0" fillId="21" borderId="0" xfId="0" applyNumberFormat="1" applyFill="1"/>
    <xf numFmtId="0" fontId="112" fillId="0" borderId="0" xfId="0" applyFont="1" applyAlignment="1">
      <alignment wrapText="1"/>
    </xf>
    <xf numFmtId="49" fontId="38" fillId="0" borderId="0" xfId="0" applyNumberFormat="1" applyFont="1"/>
    <xf numFmtId="9" fontId="3" fillId="0" borderId="0" xfId="2" applyNumberFormat="1" applyFont="1" applyFill="1" applyAlignment="1" applyProtection="1">
      <alignment horizontal="left"/>
    </xf>
    <xf numFmtId="0" fontId="39" fillId="0" borderId="0" xfId="0" applyFont="1" applyAlignment="1">
      <alignment horizontal="left" wrapText="1"/>
    </xf>
    <xf numFmtId="0" fontId="2" fillId="0" borderId="0" xfId="0" applyFont="1" applyAlignment="1">
      <alignment horizontal="center"/>
    </xf>
    <xf numFmtId="0" fontId="97" fillId="48" borderId="0" xfId="0" applyFont="1" applyFill="1" applyAlignment="1">
      <alignment horizontal="left" wrapText="1"/>
    </xf>
    <xf numFmtId="0" fontId="39" fillId="58" borderId="0" xfId="0" applyFont="1" applyFill="1" applyAlignment="1">
      <alignment horizontal="left" wrapText="1"/>
    </xf>
    <xf numFmtId="0" fontId="2" fillId="8" borderId="0" xfId="0" applyFont="1" applyFill="1" applyAlignment="1">
      <alignment horizontal="center" wrapText="1"/>
    </xf>
    <xf numFmtId="0" fontId="49" fillId="0" borderId="0" xfId="0" applyFont="1" applyAlignment="1">
      <alignment horizontal="left" wrapText="1"/>
    </xf>
    <xf numFmtId="0" fontId="8" fillId="0" borderId="88" xfId="0" quotePrefix="1" applyFont="1" applyBorder="1" applyAlignment="1">
      <alignment wrapText="1"/>
    </xf>
    <xf numFmtId="0" fontId="8" fillId="0" borderId="89" xfId="0" quotePrefix="1" applyFont="1" applyBorder="1" applyAlignment="1">
      <alignment wrapText="1"/>
    </xf>
    <xf numFmtId="0" fontId="8" fillId="0" borderId="90" xfId="0" quotePrefix="1" applyFont="1" applyBorder="1" applyAlignment="1">
      <alignment wrapText="1"/>
    </xf>
    <xf numFmtId="166" fontId="0" fillId="0" borderId="12" xfId="0" applyNumberFormat="1" applyBorder="1"/>
    <xf numFmtId="166" fontId="1" fillId="4" borderId="9" xfId="0" applyNumberFormat="1" applyFont="1" applyFill="1" applyBorder="1" applyProtection="1">
      <protection locked="0"/>
    </xf>
    <xf numFmtId="166" fontId="1" fillId="4" borderId="10" xfId="0" applyNumberFormat="1" applyFont="1" applyFill="1" applyBorder="1" applyProtection="1">
      <protection locked="0"/>
    </xf>
    <xf numFmtId="166" fontId="0" fillId="0" borderId="54" xfId="0" applyNumberFormat="1" applyBorder="1"/>
    <xf numFmtId="166" fontId="1" fillId="8" borderId="9" xfId="0" applyNumberFormat="1" applyFont="1" applyFill="1" applyBorder="1" applyProtection="1">
      <protection locked="0"/>
    </xf>
    <xf numFmtId="166" fontId="1" fillId="8" borderId="10" xfId="0" applyNumberFormat="1" applyFont="1" applyFill="1" applyBorder="1" applyProtection="1">
      <protection locked="0"/>
    </xf>
    <xf numFmtId="0" fontId="2" fillId="0" borderId="0" xfId="0" applyFont="1" applyAlignment="1">
      <alignment horizontal="left" wrapText="1"/>
    </xf>
    <xf numFmtId="0" fontId="6" fillId="3" borderId="0" xfId="0" applyFont="1" applyFill="1" applyAlignment="1">
      <alignment wrapText="1"/>
    </xf>
    <xf numFmtId="166" fontId="1" fillId="4" borderId="9" xfId="3" applyNumberFormat="1" applyFont="1" applyFill="1" applyBorder="1" applyAlignment="1" applyProtection="1">
      <protection locked="0"/>
    </xf>
    <xf numFmtId="166" fontId="1" fillId="4" borderId="10" xfId="3" applyNumberFormat="1" applyFont="1" applyFill="1" applyBorder="1" applyAlignment="1" applyProtection="1">
      <protection locked="0"/>
    </xf>
    <xf numFmtId="0" fontId="0" fillId="4" borderId="45" xfId="0" applyFill="1" applyBorder="1" applyAlignment="1" applyProtection="1">
      <alignment horizontal="left"/>
      <protection locked="0"/>
    </xf>
    <xf numFmtId="0" fontId="0" fillId="4" borderId="46" xfId="0" applyFill="1" applyBorder="1" applyAlignment="1" applyProtection="1">
      <alignment horizontal="left"/>
      <protection locked="0"/>
    </xf>
    <xf numFmtId="0" fontId="42" fillId="0" borderId="0" xfId="0" applyFont="1" applyAlignment="1">
      <alignment horizontal="left"/>
    </xf>
    <xf numFmtId="0" fontId="93" fillId="0" borderId="0" xfId="0" applyFont="1" applyAlignment="1">
      <alignment horizontal="center"/>
    </xf>
    <xf numFmtId="0" fontId="0" fillId="4" borderId="8" xfId="0" applyFill="1" applyBorder="1" applyAlignment="1" applyProtection="1">
      <alignment wrapText="1"/>
      <protection locked="0"/>
    </xf>
    <xf numFmtId="0" fontId="0" fillId="4" borderId="0" xfId="0" applyFill="1" applyAlignment="1" applyProtection="1">
      <alignment wrapText="1"/>
      <protection locked="0"/>
    </xf>
    <xf numFmtId="0" fontId="100" fillId="2" borderId="0" xfId="0" applyFont="1" applyFill="1" applyAlignment="1">
      <alignment horizontal="center" wrapText="1"/>
    </xf>
    <xf numFmtId="0" fontId="2" fillId="0" borderId="0" xfId="0" applyFont="1" applyAlignment="1">
      <alignment wrapText="1"/>
    </xf>
    <xf numFmtId="0" fontId="36" fillId="13" borderId="0" xfId="0" applyFont="1" applyFill="1" applyAlignment="1">
      <alignment horizontal="center"/>
    </xf>
    <xf numFmtId="0" fontId="1" fillId="0" borderId="0" xfId="0" applyFont="1" applyAlignment="1">
      <alignment horizontal="left" vertical="top" wrapText="1" indent="1"/>
    </xf>
    <xf numFmtId="0" fontId="1" fillId="0" borderId="0" xfId="0" applyFont="1" applyAlignment="1">
      <alignment horizontal="left" vertical="center" wrapText="1" indent="1"/>
    </xf>
    <xf numFmtId="0" fontId="0" fillId="0" borderId="14" xfId="0" applyBorder="1" applyAlignment="1">
      <alignment horizontal="left" vertical="center" wrapText="1" indent="1"/>
    </xf>
    <xf numFmtId="0" fontId="1" fillId="0" borderId="14" xfId="0" applyFont="1" applyBorder="1" applyAlignment="1">
      <alignment horizontal="left" vertical="center" wrapText="1" indent="1"/>
    </xf>
    <xf numFmtId="0" fontId="0" fillId="0" borderId="0" xfId="0" applyAlignment="1">
      <alignment horizontal="left" wrapText="1"/>
    </xf>
    <xf numFmtId="0" fontId="0" fillId="0" borderId="16" xfId="0" applyBorder="1" applyAlignment="1">
      <alignment horizontal="left" vertical="top" wrapText="1"/>
    </xf>
    <xf numFmtId="0" fontId="43" fillId="0" borderId="0" xfId="0" applyFont="1" applyAlignment="1">
      <alignment wrapText="1"/>
    </xf>
    <xf numFmtId="0" fontId="0" fillId="0" borderId="0" xfId="0" applyAlignment="1">
      <alignment vertical="top" wrapText="1"/>
    </xf>
    <xf numFmtId="0" fontId="2" fillId="0" borderId="17" xfId="0" applyFont="1" applyBorder="1" applyAlignment="1">
      <alignment horizontal="right" wrapText="1"/>
    </xf>
    <xf numFmtId="0" fontId="0" fillId="0" borderId="16" xfId="0" applyBorder="1" applyAlignment="1">
      <alignment horizontal="right" wrapText="1"/>
    </xf>
    <xf numFmtId="0" fontId="1" fillId="0" borderId="16" xfId="0" applyFont="1" applyBorder="1" applyAlignment="1">
      <alignment horizontal="right" wrapText="1"/>
    </xf>
    <xf numFmtId="0" fontId="1" fillId="12" borderId="0" xfId="0" applyFont="1" applyFill="1" applyAlignment="1">
      <alignment horizontal="center"/>
    </xf>
    <xf numFmtId="0" fontId="0" fillId="12" borderId="0" xfId="0" applyFill="1" applyAlignment="1">
      <alignment horizontal="center"/>
    </xf>
    <xf numFmtId="0" fontId="38" fillId="0" borderId="0" xfId="0" applyFont="1" applyAlignment="1" applyProtection="1">
      <alignment horizontal="right" wrapText="1"/>
      <protection locked="0"/>
    </xf>
    <xf numFmtId="0" fontId="2" fillId="0" borderId="0" xfId="0" applyFont="1" applyAlignment="1">
      <alignment horizontal="right" wrapText="1"/>
    </xf>
    <xf numFmtId="166" fontId="2" fillId="0" borderId="0" xfId="0" applyNumberFormat="1" applyFont="1" applyAlignment="1">
      <alignment horizontal="left"/>
    </xf>
    <xf numFmtId="10" fontId="2" fillId="0" borderId="0" xfId="1" applyNumberFormat="1" applyFont="1" applyAlignment="1">
      <alignment horizontal="center" wrapText="1"/>
    </xf>
    <xf numFmtId="166" fontId="2" fillId="0" borderId="0" xfId="0" applyNumberFormat="1" applyFont="1" applyAlignment="1">
      <alignment horizontal="center"/>
    </xf>
    <xf numFmtId="166" fontId="115" fillId="0" borderId="87" xfId="3" applyNumberFormat="1" applyFont="1" applyBorder="1" applyAlignment="1">
      <alignment horizontal="center" vertical="center"/>
    </xf>
    <xf numFmtId="0" fontId="117" fillId="0" borderId="0" xfId="0" applyFont="1" applyAlignment="1">
      <alignment horizontal="left" wrapText="1"/>
    </xf>
    <xf numFmtId="0" fontId="0" fillId="0" borderId="0" xfId="0"/>
    <xf numFmtId="0" fontId="124" fillId="53" borderId="136" xfId="0" applyFont="1" applyFill="1" applyBorder="1" applyAlignment="1">
      <alignment horizontal="center" vertical="center" wrapText="1"/>
    </xf>
    <xf numFmtId="0" fontId="124" fillId="53" borderId="135" xfId="0" applyFont="1" applyFill="1" applyBorder="1" applyAlignment="1">
      <alignment horizontal="center" vertical="center" wrapText="1"/>
    </xf>
    <xf numFmtId="0" fontId="124" fillId="53" borderId="133" xfId="0" applyFont="1" applyFill="1" applyBorder="1" applyAlignment="1">
      <alignment horizontal="center" vertical="center" wrapText="1"/>
    </xf>
    <xf numFmtId="0" fontId="124" fillId="53" borderId="132" xfId="0" applyFont="1" applyFill="1" applyBorder="1" applyAlignment="1">
      <alignment horizontal="center" vertical="center" wrapText="1"/>
    </xf>
    <xf numFmtId="0" fontId="124" fillId="53" borderId="128" xfId="0" applyFont="1" applyFill="1" applyBorder="1" applyAlignment="1">
      <alignment horizontal="center" vertical="center" wrapText="1"/>
    </xf>
    <xf numFmtId="0" fontId="124" fillId="53" borderId="127" xfId="0" applyFont="1" applyFill="1" applyBorder="1" applyAlignment="1">
      <alignment horizontal="center" vertical="center" wrapText="1"/>
    </xf>
    <xf numFmtId="0" fontId="131" fillId="0" borderId="0" xfId="0" applyFont="1" applyAlignment="1">
      <alignment horizontal="right"/>
    </xf>
    <xf numFmtId="0" fontId="131" fillId="0" borderId="0" xfId="0" applyFont="1" applyAlignment="1">
      <alignment horizontal="center"/>
    </xf>
    <xf numFmtId="0" fontId="125" fillId="52" borderId="138" xfId="0" applyFont="1" applyFill="1" applyBorder="1" applyAlignment="1">
      <alignment horizontal="center"/>
    </xf>
    <xf numFmtId="0" fontId="53" fillId="0" borderId="137" xfId="0" applyFont="1" applyBorder="1"/>
    <xf numFmtId="0" fontId="118" fillId="0" borderId="78" xfId="0" applyFont="1" applyBorder="1" applyAlignment="1">
      <alignment horizontal="center"/>
    </xf>
    <xf numFmtId="0" fontId="53" fillId="0" borderId="78" xfId="0" applyFont="1" applyBorder="1"/>
    <xf numFmtId="0" fontId="151" fillId="52" borderId="154" xfId="0" applyFont="1" applyFill="1" applyBorder="1" applyAlignment="1">
      <alignment horizontal="center"/>
    </xf>
    <xf numFmtId="0" fontId="53" fillId="0" borderId="75" xfId="0" applyFont="1" applyBorder="1"/>
    <xf numFmtId="0" fontId="151" fillId="52" borderId="75" xfId="0" applyFont="1" applyFill="1" applyBorder="1" applyAlignment="1">
      <alignment horizontal="center"/>
    </xf>
    <xf numFmtId="0" fontId="151" fillId="52" borderId="76" xfId="0" applyFont="1" applyFill="1" applyBorder="1" applyAlignment="1">
      <alignment horizontal="center"/>
    </xf>
    <xf numFmtId="0" fontId="117" fillId="53" borderId="72" xfId="0" applyFont="1" applyFill="1" applyBorder="1" applyAlignment="1">
      <alignment horizontal="center"/>
    </xf>
    <xf numFmtId="0" fontId="117" fillId="53" borderId="77" xfId="0" applyFont="1" applyFill="1" applyBorder="1" applyAlignment="1">
      <alignment horizontal="center"/>
    </xf>
    <xf numFmtId="0" fontId="141" fillId="0" borderId="87" xfId="0" applyFont="1" applyBorder="1" applyAlignment="1">
      <alignment horizontal="center" wrapText="1"/>
    </xf>
    <xf numFmtId="10" fontId="117" fillId="0" borderId="72" xfId="0" applyNumberFormat="1" applyFont="1" applyBorder="1" applyAlignment="1">
      <alignment horizontal="center" vertical="center"/>
    </xf>
    <xf numFmtId="10" fontId="117" fillId="0" borderId="79" xfId="0" applyNumberFormat="1" applyFont="1" applyBorder="1" applyAlignment="1">
      <alignment horizontal="center" vertical="center"/>
    </xf>
    <xf numFmtId="0" fontId="117" fillId="0" borderId="169" xfId="0" applyFont="1" applyBorder="1" applyAlignment="1">
      <alignment horizontal="center" vertical="center"/>
    </xf>
    <xf numFmtId="0" fontId="117" fillId="0" borderId="167" xfId="0" applyFont="1" applyBorder="1" applyAlignment="1">
      <alignment horizontal="center" vertical="center"/>
    </xf>
    <xf numFmtId="9" fontId="117" fillId="14" borderId="87" xfId="1" applyFont="1" applyFill="1" applyBorder="1" applyAlignment="1">
      <alignment horizontal="center"/>
    </xf>
    <xf numFmtId="0" fontId="117" fillId="53" borderId="88" xfId="0" applyFont="1" applyFill="1" applyBorder="1" applyAlignment="1">
      <alignment horizontal="center"/>
    </xf>
    <xf numFmtId="0" fontId="117" fillId="53" borderId="90" xfId="0" applyFont="1" applyFill="1" applyBorder="1" applyAlignment="1">
      <alignment horizontal="center"/>
    </xf>
    <xf numFmtId="0" fontId="117" fillId="0" borderId="87" xfId="0" applyFont="1" applyBorder="1" applyAlignment="1">
      <alignment horizontal="center"/>
    </xf>
    <xf numFmtId="6" fontId="117" fillId="0" borderId="87" xfId="0" applyNumberFormat="1" applyFont="1" applyBorder="1" applyAlignment="1">
      <alignment horizontal="center"/>
    </xf>
    <xf numFmtId="0" fontId="117" fillId="0" borderId="136" xfId="0" applyFont="1" applyBorder="1" applyAlignment="1">
      <alignment horizontal="center" vertical="center" wrapText="1"/>
    </xf>
    <xf numFmtId="0" fontId="117" fillId="0" borderId="128" xfId="0" applyFont="1" applyBorder="1" applyAlignment="1">
      <alignment horizontal="center" vertical="center" wrapText="1"/>
    </xf>
    <xf numFmtId="0" fontId="117" fillId="0" borderId="80" xfId="0" applyFont="1" applyBorder="1" applyAlignment="1">
      <alignment horizontal="left" vertical="center"/>
    </xf>
    <xf numFmtId="0" fontId="117" fillId="0" borderId="168" xfId="0" applyFont="1" applyBorder="1" applyAlignment="1">
      <alignment horizontal="left" vertical="center"/>
    </xf>
    <xf numFmtId="10" fontId="117" fillId="0" borderId="72" xfId="1" applyNumberFormat="1" applyFont="1" applyBorder="1" applyAlignment="1">
      <alignment horizontal="right" vertical="center"/>
    </xf>
    <xf numFmtId="10" fontId="117" fillId="0" borderId="79" xfId="1" applyNumberFormat="1" applyFont="1" applyBorder="1" applyAlignment="1">
      <alignment horizontal="right" vertical="center"/>
    </xf>
    <xf numFmtId="175" fontId="117" fillId="0" borderId="72" xfId="0" applyNumberFormat="1" applyFont="1" applyBorder="1" applyAlignment="1">
      <alignment horizontal="right" vertical="center"/>
    </xf>
    <xf numFmtId="175" fontId="117" fillId="0" borderId="79" xfId="0" applyNumberFormat="1" applyFont="1" applyBorder="1" applyAlignment="1">
      <alignment horizontal="right" vertical="center"/>
    </xf>
    <xf numFmtId="0" fontId="141" fillId="8" borderId="87" xfId="0" applyFont="1" applyFill="1" applyBorder="1" applyAlignment="1">
      <alignment horizontal="center" wrapText="1"/>
    </xf>
    <xf numFmtId="175" fontId="117" fillId="0" borderId="135" xfId="0" applyNumberFormat="1" applyFont="1" applyBorder="1" applyAlignment="1">
      <alignment horizontal="center" vertical="center"/>
    </xf>
    <xf numFmtId="175" fontId="117" fillId="0" borderId="167" xfId="0" applyNumberFormat="1" applyFont="1" applyBorder="1" applyAlignment="1">
      <alignment horizontal="center" vertical="center"/>
    </xf>
    <xf numFmtId="0" fontId="136" fillId="0" borderId="0" xfId="0" applyFont="1"/>
    <xf numFmtId="0" fontId="151" fillId="52" borderId="88" xfId="0" applyFont="1" applyFill="1" applyBorder="1" applyAlignment="1">
      <alignment horizontal="center"/>
    </xf>
    <xf numFmtId="0" fontId="151" fillId="52" borderId="90" xfId="0" applyFont="1" applyFill="1" applyBorder="1" applyAlignment="1">
      <alignment horizontal="center"/>
    </xf>
    <xf numFmtId="0" fontId="118" fillId="0" borderId="0" xfId="0" applyFont="1" applyAlignment="1">
      <alignment horizontal="center"/>
    </xf>
    <xf numFmtId="0" fontId="117" fillId="0" borderId="0" xfId="0" applyFont="1" applyAlignment="1">
      <alignment horizontal="left"/>
    </xf>
    <xf numFmtId="0" fontId="146" fillId="0" borderId="64" xfId="0" applyFont="1" applyBorder="1" applyAlignment="1">
      <alignment horizontal="center" vertical="center"/>
    </xf>
    <xf numFmtId="0" fontId="53" fillId="0" borderId="65" xfId="0" applyFont="1" applyBorder="1"/>
    <xf numFmtId="0" fontId="53" fillId="0" borderId="66" xfId="0" applyFont="1" applyBorder="1"/>
    <xf numFmtId="0" fontId="53" fillId="0" borderId="67" xfId="0" applyFont="1" applyBorder="1"/>
    <xf numFmtId="0" fontId="53" fillId="0" borderId="68" xfId="0" applyFont="1" applyBorder="1"/>
    <xf numFmtId="0" fontId="53" fillId="0" borderId="69" xfId="0" applyFont="1" applyBorder="1"/>
    <xf numFmtId="0" fontId="53" fillId="0" borderId="70" xfId="0" applyFont="1" applyBorder="1"/>
    <xf numFmtId="0" fontId="53" fillId="0" borderId="71" xfId="0" applyFont="1" applyBorder="1"/>
    <xf numFmtId="3" fontId="138" fillId="67" borderId="157" xfId="0" applyNumberFormat="1" applyFont="1" applyFill="1" applyBorder="1" applyAlignment="1">
      <alignment horizontal="center"/>
    </xf>
    <xf numFmtId="0" fontId="53" fillId="0" borderId="156" xfId="0" applyFont="1" applyBorder="1"/>
    <xf numFmtId="0" fontId="53" fillId="0" borderId="155" xfId="0" applyFont="1" applyBorder="1"/>
    <xf numFmtId="0" fontId="156" fillId="0" borderId="178" xfId="0" applyFont="1" applyBorder="1" applyAlignment="1">
      <alignment horizontal="left" wrapText="1"/>
    </xf>
    <xf numFmtId="0" fontId="155" fillId="70" borderId="176" xfId="0" applyFont="1" applyFill="1" applyBorder="1" applyAlignment="1">
      <alignment horizontal="left" wrapText="1"/>
    </xf>
    <xf numFmtId="0" fontId="53" fillId="0" borderId="175" xfId="0" applyFont="1" applyBorder="1"/>
    <xf numFmtId="0" fontId="133" fillId="0" borderId="174" xfId="0" applyFont="1" applyBorder="1" applyAlignment="1">
      <alignment horizontal="left" wrapText="1"/>
    </xf>
    <xf numFmtId="0" fontId="53" fillId="0" borderId="174" xfId="0" applyFont="1" applyBorder="1"/>
    <xf numFmtId="0" fontId="158" fillId="0" borderId="178" xfId="0" applyFont="1" applyBorder="1" applyAlignment="1">
      <alignment horizontal="left" wrapText="1"/>
    </xf>
    <xf numFmtId="5" fontId="141" fillId="0" borderId="59" xfId="0" applyNumberFormat="1" applyFont="1" applyBorder="1" applyAlignment="1">
      <alignment horizontal="left"/>
    </xf>
    <xf numFmtId="5" fontId="0" fillId="0" borderId="0" xfId="0" applyNumberFormat="1"/>
    <xf numFmtId="5" fontId="142" fillId="0" borderId="59" xfId="0" applyNumberFormat="1" applyFont="1" applyBorder="1" applyAlignment="1">
      <alignment horizontal="left"/>
    </xf>
    <xf numFmtId="0" fontId="162" fillId="61" borderId="59" xfId="0" applyFont="1" applyFill="1" applyBorder="1" applyAlignment="1">
      <alignment horizontal="left" wrapText="1"/>
    </xf>
    <xf numFmtId="0" fontId="53" fillId="8" borderId="0" xfId="0" applyFont="1" applyFill="1"/>
    <xf numFmtId="0" fontId="141" fillId="0" borderId="0" xfId="0" applyFont="1" applyAlignment="1">
      <alignment horizontal="left"/>
    </xf>
    <xf numFmtId="0" fontId="138" fillId="75" borderId="82" xfId="0" applyFont="1" applyFill="1" applyBorder="1" applyAlignment="1">
      <alignment horizontal="center"/>
    </xf>
    <xf numFmtId="0" fontId="53" fillId="0" borderId="83" xfId="0" applyFont="1" applyBorder="1"/>
    <xf numFmtId="0" fontId="53" fillId="0" borderId="189" xfId="0" applyFont="1" applyBorder="1"/>
    <xf numFmtId="0" fontId="132" fillId="0" borderId="0" xfId="0" applyFont="1"/>
    <xf numFmtId="5" fontId="141" fillId="0" borderId="56" xfId="0" applyNumberFormat="1" applyFont="1" applyBorder="1" applyAlignment="1">
      <alignment horizontal="left"/>
    </xf>
    <xf numFmtId="5" fontId="53" fillId="0" borderId="57" xfId="0" applyNumberFormat="1" applyFont="1" applyBorder="1"/>
    <xf numFmtId="0" fontId="163" fillId="51" borderId="59" xfId="0" applyFont="1" applyFill="1" applyBorder="1" applyAlignment="1">
      <alignment horizontal="left" wrapText="1"/>
    </xf>
    <xf numFmtId="0" fontId="53" fillId="0" borderId="0" xfId="0" applyFont="1"/>
    <xf numFmtId="0" fontId="141" fillId="0" borderId="59" xfId="0" applyFont="1" applyBorder="1" applyAlignment="1">
      <alignment horizontal="left"/>
    </xf>
    <xf numFmtId="0" fontId="142" fillId="0" borderId="59" xfId="0" applyFont="1" applyBorder="1" applyAlignment="1">
      <alignment horizontal="left"/>
    </xf>
    <xf numFmtId="0" fontId="141" fillId="0" borderId="59" xfId="0" applyFont="1" applyBorder="1" applyAlignment="1">
      <alignment horizontal="center"/>
    </xf>
    <xf numFmtId="0" fontId="162" fillId="61" borderId="61" xfId="0" applyFont="1" applyFill="1" applyBorder="1" applyAlignment="1">
      <alignment horizontal="left" wrapText="1"/>
    </xf>
    <xf numFmtId="0" fontId="53" fillId="8" borderId="63" xfId="0" applyFont="1" applyFill="1" applyBorder="1"/>
    <xf numFmtId="0" fontId="162" fillId="0" borderId="59" xfId="0" applyFont="1" applyBorder="1" applyAlignment="1">
      <alignment horizontal="left"/>
    </xf>
    <xf numFmtId="0" fontId="38" fillId="0" borderId="0" xfId="0" applyFont="1"/>
    <xf numFmtId="0" fontId="141" fillId="0" borderId="0" xfId="0" applyFont="1" applyAlignment="1">
      <alignment horizontal="left" wrapText="1"/>
    </xf>
    <xf numFmtId="0" fontId="142" fillId="65" borderId="154" xfId="0" applyFont="1" applyFill="1" applyBorder="1" applyAlignment="1">
      <alignment horizontal="left" wrapText="1"/>
    </xf>
    <xf numFmtId="0" fontId="53" fillId="0" borderId="76" xfId="0" applyFont="1" applyBorder="1"/>
    <xf numFmtId="0" fontId="141" fillId="0" borderId="154" xfId="0" applyFont="1" applyBorder="1" applyAlignment="1">
      <alignment horizontal="left" wrapText="1"/>
    </xf>
    <xf numFmtId="0" fontId="18" fillId="0" borderId="0" xfId="4" applyFont="1" applyAlignment="1">
      <alignment horizontal="center"/>
    </xf>
    <xf numFmtId="0" fontId="18" fillId="0" borderId="0" xfId="4" quotePrefix="1" applyFont="1" applyAlignment="1">
      <alignment horizontal="center"/>
    </xf>
    <xf numFmtId="0" fontId="94" fillId="0" borderId="0" xfId="0" quotePrefix="1" applyFont="1" applyAlignment="1">
      <alignment horizontal="left" vertical="top" wrapText="1"/>
    </xf>
    <xf numFmtId="0" fontId="45" fillId="5" borderId="30" xfId="13" applyFont="1" applyFill="1" applyBorder="1" applyAlignment="1">
      <alignment horizontal="center"/>
    </xf>
    <xf numFmtId="166" fontId="0" fillId="0" borderId="0" xfId="3" applyNumberFormat="1" applyFont="1" applyAlignment="1">
      <alignment horizontal="left"/>
    </xf>
    <xf numFmtId="0" fontId="2" fillId="0" borderId="0" xfId="0" applyFont="1" applyAlignment="1">
      <alignment horizontal="center" wrapText="1"/>
    </xf>
    <xf numFmtId="9" fontId="43" fillId="0" borderId="0" xfId="0" applyNumberFormat="1" applyFont="1" applyAlignment="1">
      <alignment horizontal="right"/>
    </xf>
    <xf numFmtId="0" fontId="7" fillId="2" borderId="0" xfId="0" applyFont="1" applyFill="1" applyAlignment="1">
      <alignment horizontal="left" vertical="top"/>
    </xf>
    <xf numFmtId="0" fontId="2" fillId="19" borderId="87" xfId="0" applyFont="1" applyFill="1" applyBorder="1" applyAlignment="1">
      <alignment horizontal="center"/>
    </xf>
    <xf numFmtId="0" fontId="0" fillId="0" borderId="0" xfId="0" applyAlignment="1">
      <alignment horizontal="left" vertical="center" wrapText="1"/>
    </xf>
  </cellXfs>
  <cellStyles count="1020">
    <cellStyle name="20% - Accent1 2" xfId="38" xr:uid="{00000000-0005-0000-0000-000000000000}"/>
    <cellStyle name="20% - Accent1 3" xfId="39" xr:uid="{00000000-0005-0000-0000-000001000000}"/>
    <cellStyle name="20% - Accent1 4" xfId="37" xr:uid="{00000000-0005-0000-0000-000002000000}"/>
    <cellStyle name="20% - Accent2 2" xfId="41" xr:uid="{00000000-0005-0000-0000-000003000000}"/>
    <cellStyle name="20% - Accent2 3" xfId="42" xr:uid="{00000000-0005-0000-0000-000004000000}"/>
    <cellStyle name="20% - Accent2 4" xfId="40" xr:uid="{00000000-0005-0000-0000-000005000000}"/>
    <cellStyle name="20% - Accent3 2" xfId="44" xr:uid="{00000000-0005-0000-0000-000006000000}"/>
    <cellStyle name="20% - Accent3 3" xfId="45" xr:uid="{00000000-0005-0000-0000-000007000000}"/>
    <cellStyle name="20% - Accent3 4" xfId="43" xr:uid="{00000000-0005-0000-0000-000008000000}"/>
    <cellStyle name="20% - Accent4 2" xfId="47" xr:uid="{00000000-0005-0000-0000-000009000000}"/>
    <cellStyle name="20% - Accent4 3" xfId="48" xr:uid="{00000000-0005-0000-0000-00000A000000}"/>
    <cellStyle name="20% - Accent4 4" xfId="46" xr:uid="{00000000-0005-0000-0000-00000B000000}"/>
    <cellStyle name="20% - Accent5 2" xfId="50" xr:uid="{00000000-0005-0000-0000-00000C000000}"/>
    <cellStyle name="20% - Accent5 3" xfId="51" xr:uid="{00000000-0005-0000-0000-00000D000000}"/>
    <cellStyle name="20% - Accent5 4" xfId="49" xr:uid="{00000000-0005-0000-0000-00000E000000}"/>
    <cellStyle name="20% - Accent6 2" xfId="53" xr:uid="{00000000-0005-0000-0000-00000F000000}"/>
    <cellStyle name="20% - Accent6 3" xfId="54" xr:uid="{00000000-0005-0000-0000-000010000000}"/>
    <cellStyle name="20% - Accent6 4" xfId="52" xr:uid="{00000000-0005-0000-0000-000011000000}"/>
    <cellStyle name="40% - Accent1 2" xfId="56" xr:uid="{00000000-0005-0000-0000-000012000000}"/>
    <cellStyle name="40% - Accent1 3" xfId="57" xr:uid="{00000000-0005-0000-0000-000013000000}"/>
    <cellStyle name="40% - Accent1 4" xfId="55" xr:uid="{00000000-0005-0000-0000-000014000000}"/>
    <cellStyle name="40% - Accent2 2" xfId="59" xr:uid="{00000000-0005-0000-0000-000015000000}"/>
    <cellStyle name="40% - Accent2 3" xfId="60" xr:uid="{00000000-0005-0000-0000-000016000000}"/>
    <cellStyle name="40% - Accent2 4" xfId="58" xr:uid="{00000000-0005-0000-0000-000017000000}"/>
    <cellStyle name="40% - Accent3 2" xfId="62" xr:uid="{00000000-0005-0000-0000-000018000000}"/>
    <cellStyle name="40% - Accent3 3" xfId="63" xr:uid="{00000000-0005-0000-0000-000019000000}"/>
    <cellStyle name="40% - Accent3 4" xfId="61" xr:uid="{00000000-0005-0000-0000-00001A000000}"/>
    <cellStyle name="40% - Accent4 2" xfId="65" xr:uid="{00000000-0005-0000-0000-00001B000000}"/>
    <cellStyle name="40% - Accent4 3" xfId="66" xr:uid="{00000000-0005-0000-0000-00001C000000}"/>
    <cellStyle name="40% - Accent4 4" xfId="64" xr:uid="{00000000-0005-0000-0000-00001D000000}"/>
    <cellStyle name="40% - Accent5 2" xfId="68" xr:uid="{00000000-0005-0000-0000-00001E000000}"/>
    <cellStyle name="40% - Accent5 3" xfId="69" xr:uid="{00000000-0005-0000-0000-00001F000000}"/>
    <cellStyle name="40% - Accent5 4" xfId="67" xr:uid="{00000000-0005-0000-0000-000020000000}"/>
    <cellStyle name="40% - Accent6 2" xfId="71" xr:uid="{00000000-0005-0000-0000-000021000000}"/>
    <cellStyle name="40% - Accent6 3" xfId="72" xr:uid="{00000000-0005-0000-0000-000022000000}"/>
    <cellStyle name="40% - Accent6 4" xfId="70" xr:uid="{00000000-0005-0000-0000-000023000000}"/>
    <cellStyle name="60% - Accent1 2" xfId="73" xr:uid="{00000000-0005-0000-0000-000024000000}"/>
    <cellStyle name="60% - Accent2 2" xfId="74" xr:uid="{00000000-0005-0000-0000-000025000000}"/>
    <cellStyle name="60% - Accent3 2" xfId="75" xr:uid="{00000000-0005-0000-0000-000026000000}"/>
    <cellStyle name="60% - Accent4 2" xfId="76" xr:uid="{00000000-0005-0000-0000-000027000000}"/>
    <cellStyle name="60% - Accent5 2" xfId="77" xr:uid="{00000000-0005-0000-0000-000028000000}"/>
    <cellStyle name="60% - Accent6 2" xfId="78" xr:uid="{00000000-0005-0000-0000-000029000000}"/>
    <cellStyle name="Accent1 2" xfId="79" xr:uid="{00000000-0005-0000-0000-00002A000000}"/>
    <cellStyle name="Accent2 2" xfId="80" xr:uid="{00000000-0005-0000-0000-00002B000000}"/>
    <cellStyle name="Accent3 2" xfId="81" xr:uid="{00000000-0005-0000-0000-00002C000000}"/>
    <cellStyle name="Accent4 2" xfId="82" xr:uid="{00000000-0005-0000-0000-00002D000000}"/>
    <cellStyle name="Accent5 2" xfId="83" xr:uid="{00000000-0005-0000-0000-00002E000000}"/>
    <cellStyle name="Accent6 2" xfId="84" xr:uid="{00000000-0005-0000-0000-00002F000000}"/>
    <cellStyle name="Bad" xfId="35" builtinId="27"/>
    <cellStyle name="Bad 2" xfId="85" xr:uid="{00000000-0005-0000-0000-000031000000}"/>
    <cellStyle name="Calculation 2" xfId="86" xr:uid="{00000000-0005-0000-0000-000032000000}"/>
    <cellStyle name="Check Cell 2" xfId="87" xr:uid="{00000000-0005-0000-0000-000033000000}"/>
    <cellStyle name="Comma" xfId="11" builtinId="3"/>
    <cellStyle name="Comma 10" xfId="7" xr:uid="{00000000-0005-0000-0000-000035000000}"/>
    <cellStyle name="Comma 15" xfId="89" xr:uid="{00000000-0005-0000-0000-000036000000}"/>
    <cellStyle name="Comma 15 2" xfId="90" xr:uid="{00000000-0005-0000-0000-000037000000}"/>
    <cellStyle name="Comma 15 3" xfId="91" xr:uid="{00000000-0005-0000-0000-000038000000}"/>
    <cellStyle name="Comma 2" xfId="24" xr:uid="{00000000-0005-0000-0000-000039000000}"/>
    <cellStyle name="Comma 2 10" xfId="92" xr:uid="{00000000-0005-0000-0000-00003A000000}"/>
    <cellStyle name="Comma 2 10 2" xfId="93" xr:uid="{00000000-0005-0000-0000-00003B000000}"/>
    <cellStyle name="Comma 2 10 3" xfId="94" xr:uid="{00000000-0005-0000-0000-00003C000000}"/>
    <cellStyle name="Comma 2 11" xfId="95" xr:uid="{00000000-0005-0000-0000-00003D000000}"/>
    <cellStyle name="Comma 2 11 2" xfId="96" xr:uid="{00000000-0005-0000-0000-00003E000000}"/>
    <cellStyle name="Comma 2 11 3" xfId="97" xr:uid="{00000000-0005-0000-0000-00003F000000}"/>
    <cellStyle name="Comma 2 2" xfId="98" xr:uid="{00000000-0005-0000-0000-000040000000}"/>
    <cellStyle name="Comma 2 2 2" xfId="99" xr:uid="{00000000-0005-0000-0000-000041000000}"/>
    <cellStyle name="Comma 2 2 3" xfId="100" xr:uid="{00000000-0005-0000-0000-000042000000}"/>
    <cellStyle name="Comma 2 3" xfId="101" xr:uid="{00000000-0005-0000-0000-000043000000}"/>
    <cellStyle name="Comma 2 3 2" xfId="102" xr:uid="{00000000-0005-0000-0000-000044000000}"/>
    <cellStyle name="Comma 2 3 3" xfId="103" xr:uid="{00000000-0005-0000-0000-000045000000}"/>
    <cellStyle name="Comma 2 4" xfId="104" xr:uid="{00000000-0005-0000-0000-000046000000}"/>
    <cellStyle name="Comma 2 4 2" xfId="105" xr:uid="{00000000-0005-0000-0000-000047000000}"/>
    <cellStyle name="Comma 2 4 3" xfId="106" xr:uid="{00000000-0005-0000-0000-000048000000}"/>
    <cellStyle name="Comma 2 5" xfId="107" xr:uid="{00000000-0005-0000-0000-000049000000}"/>
    <cellStyle name="Comma 2 5 2" xfId="108" xr:uid="{00000000-0005-0000-0000-00004A000000}"/>
    <cellStyle name="Comma 2 5 3" xfId="109" xr:uid="{00000000-0005-0000-0000-00004B000000}"/>
    <cellStyle name="Comma 2 6" xfId="110" xr:uid="{00000000-0005-0000-0000-00004C000000}"/>
    <cellStyle name="Comma 2 6 2" xfId="111" xr:uid="{00000000-0005-0000-0000-00004D000000}"/>
    <cellStyle name="Comma 2 6 3" xfId="112" xr:uid="{00000000-0005-0000-0000-00004E000000}"/>
    <cellStyle name="Comma 2 7" xfId="113" xr:uid="{00000000-0005-0000-0000-00004F000000}"/>
    <cellStyle name="Comma 2 7 2" xfId="114" xr:uid="{00000000-0005-0000-0000-000050000000}"/>
    <cellStyle name="Comma 2 7 3" xfId="115" xr:uid="{00000000-0005-0000-0000-000051000000}"/>
    <cellStyle name="Comma 2 8" xfId="116" xr:uid="{00000000-0005-0000-0000-000052000000}"/>
    <cellStyle name="Comma 2 8 2" xfId="117" xr:uid="{00000000-0005-0000-0000-000053000000}"/>
    <cellStyle name="Comma 2 8 3" xfId="118" xr:uid="{00000000-0005-0000-0000-000054000000}"/>
    <cellStyle name="Comma 2 9" xfId="119" xr:uid="{00000000-0005-0000-0000-000055000000}"/>
    <cellStyle name="Comma 2 9 2" xfId="120" xr:uid="{00000000-0005-0000-0000-000056000000}"/>
    <cellStyle name="Comma 2 9 3" xfId="121" xr:uid="{00000000-0005-0000-0000-000057000000}"/>
    <cellStyle name="Comma 3" xfId="26" xr:uid="{00000000-0005-0000-0000-000058000000}"/>
    <cellStyle name="Comma 3 2" xfId="88" xr:uid="{00000000-0005-0000-0000-000059000000}"/>
    <cellStyle name="Comma 4" xfId="16" xr:uid="{00000000-0005-0000-0000-00005A000000}"/>
    <cellStyle name="Currency" xfId="3" builtinId="4"/>
    <cellStyle name="Currency 10" xfId="123" xr:uid="{00000000-0005-0000-0000-00005C000000}"/>
    <cellStyle name="Currency 10 2" xfId="12" xr:uid="{00000000-0005-0000-0000-00005D000000}"/>
    <cellStyle name="Currency 10 3" xfId="124" xr:uid="{00000000-0005-0000-0000-00005E000000}"/>
    <cellStyle name="Currency 11" xfId="30" xr:uid="{00000000-0005-0000-0000-00005F000000}"/>
    <cellStyle name="Currency 11 2" xfId="19" xr:uid="{00000000-0005-0000-0000-000060000000}"/>
    <cellStyle name="Currency 11 3" xfId="122" xr:uid="{00000000-0005-0000-0000-000061000000}"/>
    <cellStyle name="Currency 12" xfId="18" xr:uid="{00000000-0005-0000-0000-000062000000}"/>
    <cellStyle name="Currency 16" xfId="125" xr:uid="{00000000-0005-0000-0000-000063000000}"/>
    <cellStyle name="Currency 16 2" xfId="126" xr:uid="{00000000-0005-0000-0000-000064000000}"/>
    <cellStyle name="Currency 16 3" xfId="127" xr:uid="{00000000-0005-0000-0000-000065000000}"/>
    <cellStyle name="Currency 17" xfId="128" xr:uid="{00000000-0005-0000-0000-000066000000}"/>
    <cellStyle name="Currency 17 2" xfId="129" xr:uid="{00000000-0005-0000-0000-000067000000}"/>
    <cellStyle name="Currency 17 3" xfId="130" xr:uid="{00000000-0005-0000-0000-000068000000}"/>
    <cellStyle name="Currency 18" xfId="131" xr:uid="{00000000-0005-0000-0000-000069000000}"/>
    <cellStyle name="Currency 18 2" xfId="132" xr:uid="{00000000-0005-0000-0000-00006A000000}"/>
    <cellStyle name="Currency 18 3" xfId="133" xr:uid="{00000000-0005-0000-0000-00006B000000}"/>
    <cellStyle name="Currency 19" xfId="134" xr:uid="{00000000-0005-0000-0000-00006C000000}"/>
    <cellStyle name="Currency 19 2" xfId="135" xr:uid="{00000000-0005-0000-0000-00006D000000}"/>
    <cellStyle name="Currency 19 3" xfId="136" xr:uid="{00000000-0005-0000-0000-00006E000000}"/>
    <cellStyle name="Currency 2" xfId="10" xr:uid="{00000000-0005-0000-0000-00006F000000}"/>
    <cellStyle name="Currency 2 10" xfId="138" xr:uid="{00000000-0005-0000-0000-000070000000}"/>
    <cellStyle name="Currency 2 10 2" xfId="20" xr:uid="{00000000-0005-0000-0000-000071000000}"/>
    <cellStyle name="Currency 2 10 3" xfId="139" xr:uid="{00000000-0005-0000-0000-000072000000}"/>
    <cellStyle name="Currency 2 11" xfId="140" xr:uid="{00000000-0005-0000-0000-000073000000}"/>
    <cellStyle name="Currency 2 11 2" xfId="141" xr:uid="{00000000-0005-0000-0000-000074000000}"/>
    <cellStyle name="Currency 2 11 3" xfId="142" xr:uid="{00000000-0005-0000-0000-000075000000}"/>
    <cellStyle name="Currency 2 12" xfId="143" xr:uid="{00000000-0005-0000-0000-000076000000}"/>
    <cellStyle name="Currency 2 12 2" xfId="144" xr:uid="{00000000-0005-0000-0000-000077000000}"/>
    <cellStyle name="Currency 2 12 3" xfId="145" xr:uid="{00000000-0005-0000-0000-000078000000}"/>
    <cellStyle name="Currency 2 13" xfId="146" xr:uid="{00000000-0005-0000-0000-000079000000}"/>
    <cellStyle name="Currency 2 13 2" xfId="147" xr:uid="{00000000-0005-0000-0000-00007A000000}"/>
    <cellStyle name="Currency 2 13 3" xfId="148" xr:uid="{00000000-0005-0000-0000-00007B000000}"/>
    <cellStyle name="Currency 2 14" xfId="149" xr:uid="{00000000-0005-0000-0000-00007C000000}"/>
    <cellStyle name="Currency 2 14 2" xfId="150" xr:uid="{00000000-0005-0000-0000-00007D000000}"/>
    <cellStyle name="Currency 2 14 3" xfId="151" xr:uid="{00000000-0005-0000-0000-00007E000000}"/>
    <cellStyle name="Currency 2 15" xfId="152" xr:uid="{00000000-0005-0000-0000-00007F000000}"/>
    <cellStyle name="Currency 2 16" xfId="153" xr:uid="{00000000-0005-0000-0000-000080000000}"/>
    <cellStyle name="Currency 2 17" xfId="137" xr:uid="{00000000-0005-0000-0000-000081000000}"/>
    <cellStyle name="Currency 2 2" xfId="154" xr:uid="{00000000-0005-0000-0000-000082000000}"/>
    <cellStyle name="Currency 2 2 2" xfId="155" xr:uid="{00000000-0005-0000-0000-000083000000}"/>
    <cellStyle name="Currency 2 2 3" xfId="156" xr:uid="{00000000-0005-0000-0000-000084000000}"/>
    <cellStyle name="Currency 2 3" xfId="157" xr:uid="{00000000-0005-0000-0000-000085000000}"/>
    <cellStyle name="Currency 2 3 2" xfId="158" xr:uid="{00000000-0005-0000-0000-000086000000}"/>
    <cellStyle name="Currency 2 3 3" xfId="159" xr:uid="{00000000-0005-0000-0000-000087000000}"/>
    <cellStyle name="Currency 2 4" xfId="160" xr:uid="{00000000-0005-0000-0000-000088000000}"/>
    <cellStyle name="Currency 2 4 2" xfId="161" xr:uid="{00000000-0005-0000-0000-000089000000}"/>
    <cellStyle name="Currency 2 4 3" xfId="162" xr:uid="{00000000-0005-0000-0000-00008A000000}"/>
    <cellStyle name="Currency 2 5" xfId="163" xr:uid="{00000000-0005-0000-0000-00008B000000}"/>
    <cellStyle name="Currency 2 5 2" xfId="164" xr:uid="{00000000-0005-0000-0000-00008C000000}"/>
    <cellStyle name="Currency 2 5 3" xfId="165" xr:uid="{00000000-0005-0000-0000-00008D000000}"/>
    <cellStyle name="Currency 2 6" xfId="166" xr:uid="{00000000-0005-0000-0000-00008E000000}"/>
    <cellStyle name="Currency 2 6 2" xfId="167" xr:uid="{00000000-0005-0000-0000-00008F000000}"/>
    <cellStyle name="Currency 2 6 3" xfId="168" xr:uid="{00000000-0005-0000-0000-000090000000}"/>
    <cellStyle name="Currency 2 7" xfId="169" xr:uid="{00000000-0005-0000-0000-000091000000}"/>
    <cellStyle name="Currency 2 7 2" xfId="170" xr:uid="{00000000-0005-0000-0000-000092000000}"/>
    <cellStyle name="Currency 2 7 3" xfId="171" xr:uid="{00000000-0005-0000-0000-000093000000}"/>
    <cellStyle name="Currency 2 8" xfId="172" xr:uid="{00000000-0005-0000-0000-000094000000}"/>
    <cellStyle name="Currency 2 8 2" xfId="173" xr:uid="{00000000-0005-0000-0000-000095000000}"/>
    <cellStyle name="Currency 2 8 3" xfId="174" xr:uid="{00000000-0005-0000-0000-000096000000}"/>
    <cellStyle name="Currency 2 9" xfId="175" xr:uid="{00000000-0005-0000-0000-000097000000}"/>
    <cellStyle name="Currency 2 9 2" xfId="176" xr:uid="{00000000-0005-0000-0000-000098000000}"/>
    <cellStyle name="Currency 2 9 3" xfId="177" xr:uid="{00000000-0005-0000-0000-000099000000}"/>
    <cellStyle name="Currency 20" xfId="178" xr:uid="{00000000-0005-0000-0000-00009A000000}"/>
    <cellStyle name="Currency 20 2" xfId="179" xr:uid="{00000000-0005-0000-0000-00009B000000}"/>
    <cellStyle name="Currency 20 3" xfId="180" xr:uid="{00000000-0005-0000-0000-00009C000000}"/>
    <cellStyle name="Currency 21" xfId="181" xr:uid="{00000000-0005-0000-0000-00009D000000}"/>
    <cellStyle name="Currency 21 2" xfId="182" xr:uid="{00000000-0005-0000-0000-00009E000000}"/>
    <cellStyle name="Currency 21 3" xfId="183" xr:uid="{00000000-0005-0000-0000-00009F000000}"/>
    <cellStyle name="Currency 23" xfId="184" xr:uid="{00000000-0005-0000-0000-0000A0000000}"/>
    <cellStyle name="Currency 23 2" xfId="185" xr:uid="{00000000-0005-0000-0000-0000A1000000}"/>
    <cellStyle name="Currency 23 3" xfId="186" xr:uid="{00000000-0005-0000-0000-0000A2000000}"/>
    <cellStyle name="Currency 24" xfId="187" xr:uid="{00000000-0005-0000-0000-0000A3000000}"/>
    <cellStyle name="Currency 24 2" xfId="188" xr:uid="{00000000-0005-0000-0000-0000A4000000}"/>
    <cellStyle name="Currency 24 3" xfId="189" xr:uid="{00000000-0005-0000-0000-0000A5000000}"/>
    <cellStyle name="Currency 25" xfId="190" xr:uid="{00000000-0005-0000-0000-0000A6000000}"/>
    <cellStyle name="Currency 25 2" xfId="191" xr:uid="{00000000-0005-0000-0000-0000A7000000}"/>
    <cellStyle name="Currency 25 3" xfId="192" xr:uid="{00000000-0005-0000-0000-0000A8000000}"/>
    <cellStyle name="Currency 26" xfId="193" xr:uid="{00000000-0005-0000-0000-0000A9000000}"/>
    <cellStyle name="Currency 26 2" xfId="194" xr:uid="{00000000-0005-0000-0000-0000AA000000}"/>
    <cellStyle name="Currency 26 3" xfId="195" xr:uid="{00000000-0005-0000-0000-0000AB000000}"/>
    <cellStyle name="Currency 27" xfId="196" xr:uid="{00000000-0005-0000-0000-0000AC000000}"/>
    <cellStyle name="Currency 27 2" xfId="197" xr:uid="{00000000-0005-0000-0000-0000AD000000}"/>
    <cellStyle name="Currency 27 3" xfId="198" xr:uid="{00000000-0005-0000-0000-0000AE000000}"/>
    <cellStyle name="Currency 28" xfId="199" xr:uid="{00000000-0005-0000-0000-0000AF000000}"/>
    <cellStyle name="Currency 28 2" xfId="200" xr:uid="{00000000-0005-0000-0000-0000B0000000}"/>
    <cellStyle name="Currency 28 3" xfId="201" xr:uid="{00000000-0005-0000-0000-0000B1000000}"/>
    <cellStyle name="Currency 29" xfId="202" xr:uid="{00000000-0005-0000-0000-0000B2000000}"/>
    <cellStyle name="Currency 29 2" xfId="203" xr:uid="{00000000-0005-0000-0000-0000B3000000}"/>
    <cellStyle name="Currency 29 3" xfId="204" xr:uid="{00000000-0005-0000-0000-0000B4000000}"/>
    <cellStyle name="Currency 3" xfId="205" xr:uid="{00000000-0005-0000-0000-0000B5000000}"/>
    <cellStyle name="Currency 3 2" xfId="206" xr:uid="{00000000-0005-0000-0000-0000B6000000}"/>
    <cellStyle name="Currency 30" xfId="207" xr:uid="{00000000-0005-0000-0000-0000B7000000}"/>
    <cellStyle name="Currency 30 2" xfId="208" xr:uid="{00000000-0005-0000-0000-0000B8000000}"/>
    <cellStyle name="Currency 30 3" xfId="209" xr:uid="{00000000-0005-0000-0000-0000B9000000}"/>
    <cellStyle name="Currency 31" xfId="210" xr:uid="{00000000-0005-0000-0000-0000BA000000}"/>
    <cellStyle name="Currency 31 2" xfId="211" xr:uid="{00000000-0005-0000-0000-0000BB000000}"/>
    <cellStyle name="Currency 31 3" xfId="212" xr:uid="{00000000-0005-0000-0000-0000BC000000}"/>
    <cellStyle name="Currency 32" xfId="213" xr:uid="{00000000-0005-0000-0000-0000BD000000}"/>
    <cellStyle name="Currency 32 2" xfId="214" xr:uid="{00000000-0005-0000-0000-0000BE000000}"/>
    <cellStyle name="Currency 32 3" xfId="215" xr:uid="{00000000-0005-0000-0000-0000BF000000}"/>
    <cellStyle name="Currency 33" xfId="216" xr:uid="{00000000-0005-0000-0000-0000C0000000}"/>
    <cellStyle name="Currency 33 2" xfId="217" xr:uid="{00000000-0005-0000-0000-0000C1000000}"/>
    <cellStyle name="Currency 33 3" xfId="218" xr:uid="{00000000-0005-0000-0000-0000C2000000}"/>
    <cellStyle name="Currency 34" xfId="219" xr:uid="{00000000-0005-0000-0000-0000C3000000}"/>
    <cellStyle name="Currency 34 2" xfId="220" xr:uid="{00000000-0005-0000-0000-0000C4000000}"/>
    <cellStyle name="Currency 34 3" xfId="221" xr:uid="{00000000-0005-0000-0000-0000C5000000}"/>
    <cellStyle name="Currency 35" xfId="222" xr:uid="{00000000-0005-0000-0000-0000C6000000}"/>
    <cellStyle name="Currency 35 2" xfId="223" xr:uid="{00000000-0005-0000-0000-0000C7000000}"/>
    <cellStyle name="Currency 35 3" xfId="224" xr:uid="{00000000-0005-0000-0000-0000C8000000}"/>
    <cellStyle name="Currency 36" xfId="225" xr:uid="{00000000-0005-0000-0000-0000C9000000}"/>
    <cellStyle name="Currency 36 2" xfId="226" xr:uid="{00000000-0005-0000-0000-0000CA000000}"/>
    <cellStyle name="Currency 36 3" xfId="227" xr:uid="{00000000-0005-0000-0000-0000CB000000}"/>
    <cellStyle name="Currency 37" xfId="228" xr:uid="{00000000-0005-0000-0000-0000CC000000}"/>
    <cellStyle name="Currency 37 2" xfId="229" xr:uid="{00000000-0005-0000-0000-0000CD000000}"/>
    <cellStyle name="Currency 37 3" xfId="230" xr:uid="{00000000-0005-0000-0000-0000CE000000}"/>
    <cellStyle name="Currency 38" xfId="231" xr:uid="{00000000-0005-0000-0000-0000CF000000}"/>
    <cellStyle name="Currency 38 2" xfId="232" xr:uid="{00000000-0005-0000-0000-0000D0000000}"/>
    <cellStyle name="Currency 38 3" xfId="233" xr:uid="{00000000-0005-0000-0000-0000D1000000}"/>
    <cellStyle name="Currency 39" xfId="234" xr:uid="{00000000-0005-0000-0000-0000D2000000}"/>
    <cellStyle name="Currency 39 2" xfId="235" xr:uid="{00000000-0005-0000-0000-0000D3000000}"/>
    <cellStyle name="Currency 39 3" xfId="236" xr:uid="{00000000-0005-0000-0000-0000D4000000}"/>
    <cellStyle name="Currency 4" xfId="237" xr:uid="{00000000-0005-0000-0000-0000D5000000}"/>
    <cellStyle name="Currency 40" xfId="238" xr:uid="{00000000-0005-0000-0000-0000D6000000}"/>
    <cellStyle name="Currency 40 2" xfId="239" xr:uid="{00000000-0005-0000-0000-0000D7000000}"/>
    <cellStyle name="Currency 40 3" xfId="240" xr:uid="{00000000-0005-0000-0000-0000D8000000}"/>
    <cellStyle name="Currency 41" xfId="241" xr:uid="{00000000-0005-0000-0000-0000D9000000}"/>
    <cellStyle name="Currency 41 2" xfId="242" xr:uid="{00000000-0005-0000-0000-0000DA000000}"/>
    <cellStyle name="Currency 41 3" xfId="243" xr:uid="{00000000-0005-0000-0000-0000DB000000}"/>
    <cellStyle name="Currency 42" xfId="244" xr:uid="{00000000-0005-0000-0000-0000DC000000}"/>
    <cellStyle name="Currency 42 2" xfId="245" xr:uid="{00000000-0005-0000-0000-0000DD000000}"/>
    <cellStyle name="Currency 42 3" xfId="246" xr:uid="{00000000-0005-0000-0000-0000DE000000}"/>
    <cellStyle name="Currency 43" xfId="247" xr:uid="{00000000-0005-0000-0000-0000DF000000}"/>
    <cellStyle name="Currency 43 2" xfId="248" xr:uid="{00000000-0005-0000-0000-0000E0000000}"/>
    <cellStyle name="Currency 43 3" xfId="249" xr:uid="{00000000-0005-0000-0000-0000E1000000}"/>
    <cellStyle name="Currency 44" xfId="250" xr:uid="{00000000-0005-0000-0000-0000E2000000}"/>
    <cellStyle name="Currency 44 2" xfId="251" xr:uid="{00000000-0005-0000-0000-0000E3000000}"/>
    <cellStyle name="Currency 44 3" xfId="252" xr:uid="{00000000-0005-0000-0000-0000E4000000}"/>
    <cellStyle name="Currency 45" xfId="253" xr:uid="{00000000-0005-0000-0000-0000E5000000}"/>
    <cellStyle name="Currency 45 2" xfId="254" xr:uid="{00000000-0005-0000-0000-0000E6000000}"/>
    <cellStyle name="Currency 45 3" xfId="255" xr:uid="{00000000-0005-0000-0000-0000E7000000}"/>
    <cellStyle name="Currency 46" xfId="256" xr:uid="{00000000-0005-0000-0000-0000E8000000}"/>
    <cellStyle name="Currency 46 2" xfId="257" xr:uid="{00000000-0005-0000-0000-0000E9000000}"/>
    <cellStyle name="Currency 46 3" xfId="258" xr:uid="{00000000-0005-0000-0000-0000EA000000}"/>
    <cellStyle name="Currency 47" xfId="259" xr:uid="{00000000-0005-0000-0000-0000EB000000}"/>
    <cellStyle name="Currency 47 2" xfId="260" xr:uid="{00000000-0005-0000-0000-0000EC000000}"/>
    <cellStyle name="Currency 47 3" xfId="261" xr:uid="{00000000-0005-0000-0000-0000ED000000}"/>
    <cellStyle name="Currency 48" xfId="262" xr:uid="{00000000-0005-0000-0000-0000EE000000}"/>
    <cellStyle name="Currency 48 2" xfId="263" xr:uid="{00000000-0005-0000-0000-0000EF000000}"/>
    <cellStyle name="Currency 48 3" xfId="264" xr:uid="{00000000-0005-0000-0000-0000F0000000}"/>
    <cellStyle name="Currency 49" xfId="265" xr:uid="{00000000-0005-0000-0000-0000F1000000}"/>
    <cellStyle name="Currency 49 2" xfId="266" xr:uid="{00000000-0005-0000-0000-0000F2000000}"/>
    <cellStyle name="Currency 49 3" xfId="267" xr:uid="{00000000-0005-0000-0000-0000F3000000}"/>
    <cellStyle name="Currency 5" xfId="268" xr:uid="{00000000-0005-0000-0000-0000F4000000}"/>
    <cellStyle name="Currency 5 2" xfId="269" xr:uid="{00000000-0005-0000-0000-0000F5000000}"/>
    <cellStyle name="Currency 5 3" xfId="270" xr:uid="{00000000-0005-0000-0000-0000F6000000}"/>
    <cellStyle name="Currency 50" xfId="271" xr:uid="{00000000-0005-0000-0000-0000F7000000}"/>
    <cellStyle name="Currency 50 2" xfId="272" xr:uid="{00000000-0005-0000-0000-0000F8000000}"/>
    <cellStyle name="Currency 50 3" xfId="273" xr:uid="{00000000-0005-0000-0000-0000F9000000}"/>
    <cellStyle name="Currency 51" xfId="274" xr:uid="{00000000-0005-0000-0000-0000FA000000}"/>
    <cellStyle name="Currency 51 2" xfId="275" xr:uid="{00000000-0005-0000-0000-0000FB000000}"/>
    <cellStyle name="Currency 51 3" xfId="276" xr:uid="{00000000-0005-0000-0000-0000FC000000}"/>
    <cellStyle name="Currency 52" xfId="277" xr:uid="{00000000-0005-0000-0000-0000FD000000}"/>
    <cellStyle name="Currency 52 2" xfId="278" xr:uid="{00000000-0005-0000-0000-0000FE000000}"/>
    <cellStyle name="Currency 52 3" xfId="279" xr:uid="{00000000-0005-0000-0000-0000FF000000}"/>
    <cellStyle name="Currency 53" xfId="280" xr:uid="{00000000-0005-0000-0000-000000010000}"/>
    <cellStyle name="Currency 53 2" xfId="281" xr:uid="{00000000-0005-0000-0000-000001010000}"/>
    <cellStyle name="Currency 53 3" xfId="282" xr:uid="{00000000-0005-0000-0000-000002010000}"/>
    <cellStyle name="Currency 54" xfId="283" xr:uid="{00000000-0005-0000-0000-000003010000}"/>
    <cellStyle name="Currency 54 2" xfId="284" xr:uid="{00000000-0005-0000-0000-000004010000}"/>
    <cellStyle name="Currency 54 3" xfId="285" xr:uid="{00000000-0005-0000-0000-000005010000}"/>
    <cellStyle name="Currency 55" xfId="286" xr:uid="{00000000-0005-0000-0000-000006010000}"/>
    <cellStyle name="Currency 55 2" xfId="287" xr:uid="{00000000-0005-0000-0000-000007010000}"/>
    <cellStyle name="Currency 55 3" xfId="288" xr:uid="{00000000-0005-0000-0000-000008010000}"/>
    <cellStyle name="Currency 56" xfId="289" xr:uid="{00000000-0005-0000-0000-000009010000}"/>
    <cellStyle name="Currency 56 2" xfId="290" xr:uid="{00000000-0005-0000-0000-00000A010000}"/>
    <cellStyle name="Currency 56 3" xfId="291" xr:uid="{00000000-0005-0000-0000-00000B010000}"/>
    <cellStyle name="Currency 57" xfId="292" xr:uid="{00000000-0005-0000-0000-00000C010000}"/>
    <cellStyle name="Currency 57 2" xfId="293" xr:uid="{00000000-0005-0000-0000-00000D010000}"/>
    <cellStyle name="Currency 57 3" xfId="294" xr:uid="{00000000-0005-0000-0000-00000E010000}"/>
    <cellStyle name="Currency 58" xfId="295" xr:uid="{00000000-0005-0000-0000-00000F010000}"/>
    <cellStyle name="Currency 58 2" xfId="296" xr:uid="{00000000-0005-0000-0000-000010010000}"/>
    <cellStyle name="Currency 58 3" xfId="297" xr:uid="{00000000-0005-0000-0000-000011010000}"/>
    <cellStyle name="Currency 59" xfId="298" xr:uid="{00000000-0005-0000-0000-000012010000}"/>
    <cellStyle name="Currency 59 2" xfId="299" xr:uid="{00000000-0005-0000-0000-000013010000}"/>
    <cellStyle name="Currency 59 3" xfId="300" xr:uid="{00000000-0005-0000-0000-000014010000}"/>
    <cellStyle name="Currency 6" xfId="301" xr:uid="{00000000-0005-0000-0000-000015010000}"/>
    <cellStyle name="Currency 6 2" xfId="302" xr:uid="{00000000-0005-0000-0000-000016010000}"/>
    <cellStyle name="Currency 60" xfId="303" xr:uid="{00000000-0005-0000-0000-000017010000}"/>
    <cellStyle name="Currency 60 2" xfId="304" xr:uid="{00000000-0005-0000-0000-000018010000}"/>
    <cellStyle name="Currency 60 3" xfId="305" xr:uid="{00000000-0005-0000-0000-000019010000}"/>
    <cellStyle name="Currency 61" xfId="306" xr:uid="{00000000-0005-0000-0000-00001A010000}"/>
    <cellStyle name="Currency 61 2" xfId="307" xr:uid="{00000000-0005-0000-0000-00001B010000}"/>
    <cellStyle name="Currency 61 3" xfId="308" xr:uid="{00000000-0005-0000-0000-00001C010000}"/>
    <cellStyle name="Currency 62" xfId="309" xr:uid="{00000000-0005-0000-0000-00001D010000}"/>
    <cellStyle name="Currency 62 2" xfId="310" xr:uid="{00000000-0005-0000-0000-00001E010000}"/>
    <cellStyle name="Currency 62 3" xfId="311" xr:uid="{00000000-0005-0000-0000-00001F010000}"/>
    <cellStyle name="Currency 63" xfId="312" xr:uid="{00000000-0005-0000-0000-000020010000}"/>
    <cellStyle name="Currency 63 2" xfId="313" xr:uid="{00000000-0005-0000-0000-000021010000}"/>
    <cellStyle name="Currency 63 3" xfId="314" xr:uid="{00000000-0005-0000-0000-000022010000}"/>
    <cellStyle name="Currency 64" xfId="315" xr:uid="{00000000-0005-0000-0000-000023010000}"/>
    <cellStyle name="Currency 64 2" xfId="316" xr:uid="{00000000-0005-0000-0000-000024010000}"/>
    <cellStyle name="Currency 64 3" xfId="317" xr:uid="{00000000-0005-0000-0000-000025010000}"/>
    <cellStyle name="Currency 65" xfId="318" xr:uid="{00000000-0005-0000-0000-000026010000}"/>
    <cellStyle name="Currency 65 2" xfId="319" xr:uid="{00000000-0005-0000-0000-000027010000}"/>
    <cellStyle name="Currency 65 3" xfId="320" xr:uid="{00000000-0005-0000-0000-000028010000}"/>
    <cellStyle name="Currency 66" xfId="321" xr:uid="{00000000-0005-0000-0000-000029010000}"/>
    <cellStyle name="Currency 66 2" xfId="322" xr:uid="{00000000-0005-0000-0000-00002A010000}"/>
    <cellStyle name="Currency 66 3" xfId="323" xr:uid="{00000000-0005-0000-0000-00002B010000}"/>
    <cellStyle name="Currency 67" xfId="324" xr:uid="{00000000-0005-0000-0000-00002C010000}"/>
    <cellStyle name="Currency 67 2" xfId="325" xr:uid="{00000000-0005-0000-0000-00002D010000}"/>
    <cellStyle name="Currency 67 3" xfId="326" xr:uid="{00000000-0005-0000-0000-00002E010000}"/>
    <cellStyle name="Currency 68" xfId="327" xr:uid="{00000000-0005-0000-0000-00002F010000}"/>
    <cellStyle name="Currency 68 2" xfId="328" xr:uid="{00000000-0005-0000-0000-000030010000}"/>
    <cellStyle name="Currency 68 3" xfId="329" xr:uid="{00000000-0005-0000-0000-000031010000}"/>
    <cellStyle name="Currency 69" xfId="330" xr:uid="{00000000-0005-0000-0000-000032010000}"/>
    <cellStyle name="Currency 69 2" xfId="331" xr:uid="{00000000-0005-0000-0000-000033010000}"/>
    <cellStyle name="Currency 69 3" xfId="332" xr:uid="{00000000-0005-0000-0000-000034010000}"/>
    <cellStyle name="Currency 7" xfId="333" xr:uid="{00000000-0005-0000-0000-000035010000}"/>
    <cellStyle name="Currency 7 2" xfId="334" xr:uid="{00000000-0005-0000-0000-000036010000}"/>
    <cellStyle name="Currency 70" xfId="335" xr:uid="{00000000-0005-0000-0000-000037010000}"/>
    <cellStyle name="Currency 70 2" xfId="336" xr:uid="{00000000-0005-0000-0000-000038010000}"/>
    <cellStyle name="Currency 70 3" xfId="337" xr:uid="{00000000-0005-0000-0000-000039010000}"/>
    <cellStyle name="Currency 71" xfId="338" xr:uid="{00000000-0005-0000-0000-00003A010000}"/>
    <cellStyle name="Currency 71 2" xfId="339" xr:uid="{00000000-0005-0000-0000-00003B010000}"/>
    <cellStyle name="Currency 71 3" xfId="340" xr:uid="{00000000-0005-0000-0000-00003C010000}"/>
    <cellStyle name="Currency 72" xfId="341" xr:uid="{00000000-0005-0000-0000-00003D010000}"/>
    <cellStyle name="Currency 72 2" xfId="342" xr:uid="{00000000-0005-0000-0000-00003E010000}"/>
    <cellStyle name="Currency 72 3" xfId="343" xr:uid="{00000000-0005-0000-0000-00003F010000}"/>
    <cellStyle name="Currency 73" xfId="344" xr:uid="{00000000-0005-0000-0000-000040010000}"/>
    <cellStyle name="Currency 73 2" xfId="345" xr:uid="{00000000-0005-0000-0000-000041010000}"/>
    <cellStyle name="Currency 73 3" xfId="346" xr:uid="{00000000-0005-0000-0000-000042010000}"/>
    <cellStyle name="Currency 74" xfId="347" xr:uid="{00000000-0005-0000-0000-000043010000}"/>
    <cellStyle name="Currency 74 2" xfId="348" xr:uid="{00000000-0005-0000-0000-000044010000}"/>
    <cellStyle name="Currency 74 3" xfId="349" xr:uid="{00000000-0005-0000-0000-000045010000}"/>
    <cellStyle name="Currency 75" xfId="350" xr:uid="{00000000-0005-0000-0000-000046010000}"/>
    <cellStyle name="Currency 75 2" xfId="351" xr:uid="{00000000-0005-0000-0000-000047010000}"/>
    <cellStyle name="Currency 75 3" xfId="352" xr:uid="{00000000-0005-0000-0000-000048010000}"/>
    <cellStyle name="Currency 76" xfId="353" xr:uid="{00000000-0005-0000-0000-000049010000}"/>
    <cellStyle name="Currency 76 2" xfId="354" xr:uid="{00000000-0005-0000-0000-00004A010000}"/>
    <cellStyle name="Currency 76 3" xfId="355" xr:uid="{00000000-0005-0000-0000-00004B010000}"/>
    <cellStyle name="Currency 77" xfId="356" xr:uid="{00000000-0005-0000-0000-00004C010000}"/>
    <cellStyle name="Currency 77 2" xfId="357" xr:uid="{00000000-0005-0000-0000-00004D010000}"/>
    <cellStyle name="Currency 77 3" xfId="358" xr:uid="{00000000-0005-0000-0000-00004E010000}"/>
    <cellStyle name="Currency 78" xfId="359" xr:uid="{00000000-0005-0000-0000-00004F010000}"/>
    <cellStyle name="Currency 78 2" xfId="360" xr:uid="{00000000-0005-0000-0000-000050010000}"/>
    <cellStyle name="Currency 78 3" xfId="361" xr:uid="{00000000-0005-0000-0000-000051010000}"/>
    <cellStyle name="Currency 79" xfId="362" xr:uid="{00000000-0005-0000-0000-000052010000}"/>
    <cellStyle name="Currency 79 2" xfId="363" xr:uid="{00000000-0005-0000-0000-000053010000}"/>
    <cellStyle name="Currency 79 3" xfId="364" xr:uid="{00000000-0005-0000-0000-000054010000}"/>
    <cellStyle name="Currency 8" xfId="365" xr:uid="{00000000-0005-0000-0000-000055010000}"/>
    <cellStyle name="Currency 8 2" xfId="790" xr:uid="{00000000-0005-0000-0000-000056010000}"/>
    <cellStyle name="Currency 80" xfId="366" xr:uid="{00000000-0005-0000-0000-000057010000}"/>
    <cellStyle name="Currency 80 2" xfId="367" xr:uid="{00000000-0005-0000-0000-000058010000}"/>
    <cellStyle name="Currency 80 3" xfId="368" xr:uid="{00000000-0005-0000-0000-000059010000}"/>
    <cellStyle name="Currency 81" xfId="369" xr:uid="{00000000-0005-0000-0000-00005A010000}"/>
    <cellStyle name="Currency 81 2" xfId="370" xr:uid="{00000000-0005-0000-0000-00005B010000}"/>
    <cellStyle name="Currency 81 3" xfId="371" xr:uid="{00000000-0005-0000-0000-00005C010000}"/>
    <cellStyle name="Currency 82" xfId="372" xr:uid="{00000000-0005-0000-0000-00005D010000}"/>
    <cellStyle name="Currency 82 2" xfId="373" xr:uid="{00000000-0005-0000-0000-00005E010000}"/>
    <cellStyle name="Currency 82 3" xfId="374" xr:uid="{00000000-0005-0000-0000-00005F010000}"/>
    <cellStyle name="Currency 83" xfId="375" xr:uid="{00000000-0005-0000-0000-000060010000}"/>
    <cellStyle name="Currency 83 2" xfId="376" xr:uid="{00000000-0005-0000-0000-000061010000}"/>
    <cellStyle name="Currency 83 3" xfId="377" xr:uid="{00000000-0005-0000-0000-000062010000}"/>
    <cellStyle name="Currency 84" xfId="378" xr:uid="{00000000-0005-0000-0000-000063010000}"/>
    <cellStyle name="Currency 84 2" xfId="379" xr:uid="{00000000-0005-0000-0000-000064010000}"/>
    <cellStyle name="Currency 84 3" xfId="380" xr:uid="{00000000-0005-0000-0000-000065010000}"/>
    <cellStyle name="Currency 85" xfId="381" xr:uid="{00000000-0005-0000-0000-000066010000}"/>
    <cellStyle name="Currency 85 2" xfId="382" xr:uid="{00000000-0005-0000-0000-000067010000}"/>
    <cellStyle name="Currency 85 3" xfId="383" xr:uid="{00000000-0005-0000-0000-000068010000}"/>
    <cellStyle name="Currency 86" xfId="384" xr:uid="{00000000-0005-0000-0000-000069010000}"/>
    <cellStyle name="Currency 86 2" xfId="385" xr:uid="{00000000-0005-0000-0000-00006A010000}"/>
    <cellStyle name="Currency 86 3" xfId="386" xr:uid="{00000000-0005-0000-0000-00006B010000}"/>
    <cellStyle name="Currency 87" xfId="387" xr:uid="{00000000-0005-0000-0000-00006C010000}"/>
    <cellStyle name="Currency 87 2" xfId="388" xr:uid="{00000000-0005-0000-0000-00006D010000}"/>
    <cellStyle name="Currency 87 3" xfId="389" xr:uid="{00000000-0005-0000-0000-00006E010000}"/>
    <cellStyle name="Currency 88" xfId="390" xr:uid="{00000000-0005-0000-0000-00006F010000}"/>
    <cellStyle name="Currency 88 2" xfId="391" xr:uid="{00000000-0005-0000-0000-000070010000}"/>
    <cellStyle name="Currency 88 3" xfId="392" xr:uid="{00000000-0005-0000-0000-000071010000}"/>
    <cellStyle name="Currency 89" xfId="393" xr:uid="{00000000-0005-0000-0000-000072010000}"/>
    <cellStyle name="Currency 89 2" xfId="394" xr:uid="{00000000-0005-0000-0000-000073010000}"/>
    <cellStyle name="Currency 89 3" xfId="395" xr:uid="{00000000-0005-0000-0000-000074010000}"/>
    <cellStyle name="Currency 9" xfId="9" xr:uid="{00000000-0005-0000-0000-000075010000}"/>
    <cellStyle name="Currency 9 2" xfId="1017" xr:uid="{00000000-0005-0000-0000-000076010000}"/>
    <cellStyle name="Currency 90" xfId="396" xr:uid="{00000000-0005-0000-0000-000077010000}"/>
    <cellStyle name="Currency 90 2" xfId="397" xr:uid="{00000000-0005-0000-0000-000078010000}"/>
    <cellStyle name="Currency 90 3" xfId="398" xr:uid="{00000000-0005-0000-0000-000079010000}"/>
    <cellStyle name="Currency 91" xfId="399" xr:uid="{00000000-0005-0000-0000-00007A010000}"/>
    <cellStyle name="Currency 91 2" xfId="400" xr:uid="{00000000-0005-0000-0000-00007B010000}"/>
    <cellStyle name="Currency 91 3" xfId="401" xr:uid="{00000000-0005-0000-0000-00007C010000}"/>
    <cellStyle name="Currency 92" xfId="402" xr:uid="{00000000-0005-0000-0000-00007D010000}"/>
    <cellStyle name="Currency 92 2" xfId="403" xr:uid="{00000000-0005-0000-0000-00007E010000}"/>
    <cellStyle name="Currency 92 3" xfId="404" xr:uid="{00000000-0005-0000-0000-00007F010000}"/>
    <cellStyle name="Currency_maximum vacancy" xfId="14" xr:uid="{00000000-0005-0000-0000-000080010000}"/>
    <cellStyle name="Explanatory Text 2" xfId="405" xr:uid="{00000000-0005-0000-0000-000081010000}"/>
    <cellStyle name="Good 2" xfId="406" xr:uid="{00000000-0005-0000-0000-000083010000}"/>
    <cellStyle name="Heading 1 2" xfId="407" xr:uid="{00000000-0005-0000-0000-000084010000}"/>
    <cellStyle name="Heading 2 2" xfId="408" xr:uid="{00000000-0005-0000-0000-000085010000}"/>
    <cellStyle name="Heading 3 2" xfId="409" xr:uid="{00000000-0005-0000-0000-000086010000}"/>
    <cellStyle name="Heading 4 2" xfId="410" xr:uid="{00000000-0005-0000-0000-000087010000}"/>
    <cellStyle name="Hyperlink" xfId="2" builtinId="8"/>
    <cellStyle name="Input 2" xfId="411" xr:uid="{00000000-0005-0000-0000-000089010000}"/>
    <cellStyle name="Linked Cell 2" xfId="412" xr:uid="{00000000-0005-0000-0000-00008A010000}"/>
    <cellStyle name="Neutral" xfId="1019" builtinId="28"/>
    <cellStyle name="Neutral 2" xfId="413" xr:uid="{00000000-0005-0000-0000-00008C010000}"/>
    <cellStyle name="Normal" xfId="0" builtinId="0"/>
    <cellStyle name="Normal 10" xfId="4" xr:uid="{00000000-0005-0000-0000-00008E010000}"/>
    <cellStyle name="Normal 10 2" xfId="5" xr:uid="{00000000-0005-0000-0000-00008F010000}"/>
    <cellStyle name="Normal 10 3" xfId="414" xr:uid="{00000000-0005-0000-0000-000090010000}"/>
    <cellStyle name="Normal 11" xfId="415" xr:uid="{00000000-0005-0000-0000-000091010000}"/>
    <cellStyle name="Normal 11 2" xfId="416" xr:uid="{00000000-0005-0000-0000-000092010000}"/>
    <cellStyle name="Normal 11 2 2" xfId="792" xr:uid="{00000000-0005-0000-0000-000093010000}"/>
    <cellStyle name="Normal 11 3" xfId="417" xr:uid="{00000000-0005-0000-0000-000094010000}"/>
    <cellStyle name="Normal 11 3 2" xfId="793" xr:uid="{00000000-0005-0000-0000-000095010000}"/>
    <cellStyle name="Normal 11 4" xfId="791" xr:uid="{00000000-0005-0000-0000-000096010000}"/>
    <cellStyle name="Normal 12" xfId="418" xr:uid="{00000000-0005-0000-0000-000097010000}"/>
    <cellStyle name="Normal 12 2" xfId="419" xr:uid="{00000000-0005-0000-0000-000098010000}"/>
    <cellStyle name="Normal 12 2 2" xfId="795" xr:uid="{00000000-0005-0000-0000-000099010000}"/>
    <cellStyle name="Normal 12 3" xfId="420" xr:uid="{00000000-0005-0000-0000-00009A010000}"/>
    <cellStyle name="Normal 12 3 2" xfId="796" xr:uid="{00000000-0005-0000-0000-00009B010000}"/>
    <cellStyle name="Normal 12 4" xfId="794" xr:uid="{00000000-0005-0000-0000-00009C010000}"/>
    <cellStyle name="Normal 13" xfId="421" xr:uid="{00000000-0005-0000-0000-00009D010000}"/>
    <cellStyle name="Normal 13 2" xfId="422" xr:uid="{00000000-0005-0000-0000-00009E010000}"/>
    <cellStyle name="Normal 13 2 2" xfId="798" xr:uid="{00000000-0005-0000-0000-00009F010000}"/>
    <cellStyle name="Normal 13 3" xfId="423" xr:uid="{00000000-0005-0000-0000-0000A0010000}"/>
    <cellStyle name="Normal 13 3 2" xfId="799" xr:uid="{00000000-0005-0000-0000-0000A1010000}"/>
    <cellStyle name="Normal 13 4" xfId="797" xr:uid="{00000000-0005-0000-0000-0000A2010000}"/>
    <cellStyle name="Normal 14" xfId="424" xr:uid="{00000000-0005-0000-0000-0000A3010000}"/>
    <cellStyle name="Normal 14 2" xfId="425" xr:uid="{00000000-0005-0000-0000-0000A4010000}"/>
    <cellStyle name="Normal 14 2 2" xfId="801" xr:uid="{00000000-0005-0000-0000-0000A5010000}"/>
    <cellStyle name="Normal 14 3" xfId="426" xr:uid="{00000000-0005-0000-0000-0000A6010000}"/>
    <cellStyle name="Normal 14 3 2" xfId="802" xr:uid="{00000000-0005-0000-0000-0000A7010000}"/>
    <cellStyle name="Normal 14 4" xfId="800" xr:uid="{00000000-0005-0000-0000-0000A8010000}"/>
    <cellStyle name="Normal 15" xfId="427" xr:uid="{00000000-0005-0000-0000-0000A9010000}"/>
    <cellStyle name="Normal 15 2" xfId="428" xr:uid="{00000000-0005-0000-0000-0000AA010000}"/>
    <cellStyle name="Normal 15 2 2" xfId="804" xr:uid="{00000000-0005-0000-0000-0000AB010000}"/>
    <cellStyle name="Normal 15 3" xfId="429" xr:uid="{00000000-0005-0000-0000-0000AC010000}"/>
    <cellStyle name="Normal 15 3 2" xfId="805" xr:uid="{00000000-0005-0000-0000-0000AD010000}"/>
    <cellStyle name="Normal 15 4" xfId="803" xr:uid="{00000000-0005-0000-0000-0000AE010000}"/>
    <cellStyle name="Normal 16" xfId="430" xr:uid="{00000000-0005-0000-0000-0000AF010000}"/>
    <cellStyle name="Normal 16 2" xfId="431" xr:uid="{00000000-0005-0000-0000-0000B0010000}"/>
    <cellStyle name="Normal 16 2 2" xfId="807" xr:uid="{00000000-0005-0000-0000-0000B1010000}"/>
    <cellStyle name="Normal 16 3" xfId="432" xr:uid="{00000000-0005-0000-0000-0000B2010000}"/>
    <cellStyle name="Normal 16 3 2" xfId="808" xr:uid="{00000000-0005-0000-0000-0000B3010000}"/>
    <cellStyle name="Normal 16 4" xfId="806" xr:uid="{00000000-0005-0000-0000-0000B4010000}"/>
    <cellStyle name="Normal 18" xfId="433" xr:uid="{00000000-0005-0000-0000-0000B5010000}"/>
    <cellStyle name="Normal 18 2" xfId="434" xr:uid="{00000000-0005-0000-0000-0000B6010000}"/>
    <cellStyle name="Normal 18 2 2" xfId="810" xr:uid="{00000000-0005-0000-0000-0000B7010000}"/>
    <cellStyle name="Normal 18 3" xfId="435" xr:uid="{00000000-0005-0000-0000-0000B8010000}"/>
    <cellStyle name="Normal 18 3 2" xfId="811" xr:uid="{00000000-0005-0000-0000-0000B9010000}"/>
    <cellStyle name="Normal 18 4" xfId="809" xr:uid="{00000000-0005-0000-0000-0000BA010000}"/>
    <cellStyle name="Normal 187" xfId="22" xr:uid="{00000000-0005-0000-0000-0000BB010000}"/>
    <cellStyle name="Normal 19" xfId="436" xr:uid="{00000000-0005-0000-0000-0000BC010000}"/>
    <cellStyle name="Normal 19 2" xfId="437" xr:uid="{00000000-0005-0000-0000-0000BD010000}"/>
    <cellStyle name="Normal 19 2 2" xfId="813" xr:uid="{00000000-0005-0000-0000-0000BE010000}"/>
    <cellStyle name="Normal 19 3" xfId="438" xr:uid="{00000000-0005-0000-0000-0000BF010000}"/>
    <cellStyle name="Normal 19 3 2" xfId="814" xr:uid="{00000000-0005-0000-0000-0000C0010000}"/>
    <cellStyle name="Normal 19 4" xfId="812" xr:uid="{00000000-0005-0000-0000-0000C1010000}"/>
    <cellStyle name="Normal 2" xfId="25" xr:uid="{00000000-0005-0000-0000-0000C2010000}"/>
    <cellStyle name="Normal 2 10" xfId="440" xr:uid="{00000000-0005-0000-0000-0000C3010000}"/>
    <cellStyle name="Normal 2 10 2" xfId="441" xr:uid="{00000000-0005-0000-0000-0000C4010000}"/>
    <cellStyle name="Normal 2 10 3" xfId="442" xr:uid="{00000000-0005-0000-0000-0000C5010000}"/>
    <cellStyle name="Normal 2 11" xfId="443" xr:uid="{00000000-0005-0000-0000-0000C6010000}"/>
    <cellStyle name="Normal 2 11 2" xfId="444" xr:uid="{00000000-0005-0000-0000-0000C7010000}"/>
    <cellStyle name="Normal 2 11 3" xfId="445" xr:uid="{00000000-0005-0000-0000-0000C8010000}"/>
    <cellStyle name="Normal 2 12" xfId="446" xr:uid="{00000000-0005-0000-0000-0000C9010000}"/>
    <cellStyle name="Normal 2 12 2" xfId="447" xr:uid="{00000000-0005-0000-0000-0000CA010000}"/>
    <cellStyle name="Normal 2 12 3" xfId="448" xr:uid="{00000000-0005-0000-0000-0000CB010000}"/>
    <cellStyle name="Normal 2 13" xfId="449" xr:uid="{00000000-0005-0000-0000-0000CC010000}"/>
    <cellStyle name="Normal 2 13 2" xfId="450" xr:uid="{00000000-0005-0000-0000-0000CD010000}"/>
    <cellStyle name="Normal 2 13 3" xfId="451" xr:uid="{00000000-0005-0000-0000-0000CE010000}"/>
    <cellStyle name="Normal 2 14" xfId="452" xr:uid="{00000000-0005-0000-0000-0000CF010000}"/>
    <cellStyle name="Normal 2 14 2" xfId="453" xr:uid="{00000000-0005-0000-0000-0000D0010000}"/>
    <cellStyle name="Normal 2 14 3" xfId="454" xr:uid="{00000000-0005-0000-0000-0000D1010000}"/>
    <cellStyle name="Normal 2 15" xfId="439" xr:uid="{00000000-0005-0000-0000-0000D2010000}"/>
    <cellStyle name="Normal 2 2" xfId="27" xr:uid="{00000000-0005-0000-0000-0000D3010000}"/>
    <cellStyle name="Normal 2 2 2" xfId="456" xr:uid="{00000000-0005-0000-0000-0000D4010000}"/>
    <cellStyle name="Normal 2 2 3" xfId="457" xr:uid="{00000000-0005-0000-0000-0000D5010000}"/>
    <cellStyle name="Normal 2 2 4" xfId="455" xr:uid="{00000000-0005-0000-0000-0000D6010000}"/>
    <cellStyle name="Normal 2 3" xfId="458" xr:uid="{00000000-0005-0000-0000-0000D7010000}"/>
    <cellStyle name="Normal 2 3 2" xfId="459" xr:uid="{00000000-0005-0000-0000-0000D8010000}"/>
    <cellStyle name="Normal 2 3 3" xfId="460" xr:uid="{00000000-0005-0000-0000-0000D9010000}"/>
    <cellStyle name="Normal 2 4" xfId="461" xr:uid="{00000000-0005-0000-0000-0000DA010000}"/>
    <cellStyle name="Normal 2 4 2" xfId="462" xr:uid="{00000000-0005-0000-0000-0000DB010000}"/>
    <cellStyle name="Normal 2 4 3" xfId="463" xr:uid="{00000000-0005-0000-0000-0000DC010000}"/>
    <cellStyle name="Normal 2 5" xfId="464" xr:uid="{00000000-0005-0000-0000-0000DD010000}"/>
    <cellStyle name="Normal 2 5 2" xfId="465" xr:uid="{00000000-0005-0000-0000-0000DE010000}"/>
    <cellStyle name="Normal 2 5 3" xfId="466" xr:uid="{00000000-0005-0000-0000-0000DF010000}"/>
    <cellStyle name="Normal 2 6" xfId="467" xr:uid="{00000000-0005-0000-0000-0000E0010000}"/>
    <cellStyle name="Normal 2 6 2" xfId="468" xr:uid="{00000000-0005-0000-0000-0000E1010000}"/>
    <cellStyle name="Normal 2 6 3" xfId="469" xr:uid="{00000000-0005-0000-0000-0000E2010000}"/>
    <cellStyle name="Normal 2 7" xfId="470" xr:uid="{00000000-0005-0000-0000-0000E3010000}"/>
    <cellStyle name="Normal 2 7 2" xfId="471" xr:uid="{00000000-0005-0000-0000-0000E4010000}"/>
    <cellStyle name="Normal 2 7 3" xfId="472" xr:uid="{00000000-0005-0000-0000-0000E5010000}"/>
    <cellStyle name="Normal 2 8" xfId="473" xr:uid="{00000000-0005-0000-0000-0000E6010000}"/>
    <cellStyle name="Normal 2 8 2" xfId="474" xr:uid="{00000000-0005-0000-0000-0000E7010000}"/>
    <cellStyle name="Normal 2 8 3" xfId="475" xr:uid="{00000000-0005-0000-0000-0000E8010000}"/>
    <cellStyle name="Normal 2 9" xfId="476" xr:uid="{00000000-0005-0000-0000-0000E9010000}"/>
    <cellStyle name="Normal 2 9 2" xfId="477" xr:uid="{00000000-0005-0000-0000-0000EA010000}"/>
    <cellStyle name="Normal 2 9 3" xfId="478" xr:uid="{00000000-0005-0000-0000-0000EB010000}"/>
    <cellStyle name="Normal 20" xfId="479" xr:uid="{00000000-0005-0000-0000-0000EC010000}"/>
    <cellStyle name="Normal 20 2" xfId="480" xr:uid="{00000000-0005-0000-0000-0000ED010000}"/>
    <cellStyle name="Normal 20 2 2" xfId="816" xr:uid="{00000000-0005-0000-0000-0000EE010000}"/>
    <cellStyle name="Normal 20 3" xfId="481" xr:uid="{00000000-0005-0000-0000-0000EF010000}"/>
    <cellStyle name="Normal 20 3 2" xfId="817" xr:uid="{00000000-0005-0000-0000-0000F0010000}"/>
    <cellStyle name="Normal 20 4" xfId="815" xr:uid="{00000000-0005-0000-0000-0000F1010000}"/>
    <cellStyle name="Normal 21" xfId="482" xr:uid="{00000000-0005-0000-0000-0000F2010000}"/>
    <cellStyle name="Normal 21 2" xfId="483" xr:uid="{00000000-0005-0000-0000-0000F3010000}"/>
    <cellStyle name="Normal 21 2 2" xfId="819" xr:uid="{00000000-0005-0000-0000-0000F4010000}"/>
    <cellStyle name="Normal 21 3" xfId="484" xr:uid="{00000000-0005-0000-0000-0000F5010000}"/>
    <cellStyle name="Normal 21 3 2" xfId="820" xr:uid="{00000000-0005-0000-0000-0000F6010000}"/>
    <cellStyle name="Normal 21 4" xfId="818" xr:uid="{00000000-0005-0000-0000-0000F7010000}"/>
    <cellStyle name="Normal 22" xfId="485" xr:uid="{00000000-0005-0000-0000-0000F8010000}"/>
    <cellStyle name="Normal 22 2" xfId="486" xr:uid="{00000000-0005-0000-0000-0000F9010000}"/>
    <cellStyle name="Normal 22 2 2" xfId="822" xr:uid="{00000000-0005-0000-0000-0000FA010000}"/>
    <cellStyle name="Normal 22 3" xfId="487" xr:uid="{00000000-0005-0000-0000-0000FB010000}"/>
    <cellStyle name="Normal 22 3 2" xfId="823" xr:uid="{00000000-0005-0000-0000-0000FC010000}"/>
    <cellStyle name="Normal 22 4" xfId="821" xr:uid="{00000000-0005-0000-0000-0000FD010000}"/>
    <cellStyle name="Normal 23" xfId="488" xr:uid="{00000000-0005-0000-0000-0000FE010000}"/>
    <cellStyle name="Normal 23 2" xfId="489" xr:uid="{00000000-0005-0000-0000-0000FF010000}"/>
    <cellStyle name="Normal 23 2 2" xfId="825" xr:uid="{00000000-0005-0000-0000-000000020000}"/>
    <cellStyle name="Normal 23 3" xfId="490" xr:uid="{00000000-0005-0000-0000-000001020000}"/>
    <cellStyle name="Normal 23 3 2" xfId="826" xr:uid="{00000000-0005-0000-0000-000002020000}"/>
    <cellStyle name="Normal 23 4" xfId="824" xr:uid="{00000000-0005-0000-0000-000003020000}"/>
    <cellStyle name="Normal 24" xfId="491" xr:uid="{00000000-0005-0000-0000-000004020000}"/>
    <cellStyle name="Normal 24 2" xfId="492" xr:uid="{00000000-0005-0000-0000-000005020000}"/>
    <cellStyle name="Normal 24 2 2" xfId="828" xr:uid="{00000000-0005-0000-0000-000006020000}"/>
    <cellStyle name="Normal 24 3" xfId="493" xr:uid="{00000000-0005-0000-0000-000007020000}"/>
    <cellStyle name="Normal 24 3 2" xfId="829" xr:uid="{00000000-0005-0000-0000-000008020000}"/>
    <cellStyle name="Normal 24 4" xfId="827" xr:uid="{00000000-0005-0000-0000-000009020000}"/>
    <cellStyle name="Normal 25" xfId="494" xr:uid="{00000000-0005-0000-0000-00000A020000}"/>
    <cellStyle name="Normal 25 2" xfId="495" xr:uid="{00000000-0005-0000-0000-00000B020000}"/>
    <cellStyle name="Normal 25 2 2" xfId="831" xr:uid="{00000000-0005-0000-0000-00000C020000}"/>
    <cellStyle name="Normal 25 3" xfId="496" xr:uid="{00000000-0005-0000-0000-00000D020000}"/>
    <cellStyle name="Normal 25 3 2" xfId="832" xr:uid="{00000000-0005-0000-0000-00000E020000}"/>
    <cellStyle name="Normal 25 4" xfId="830" xr:uid="{00000000-0005-0000-0000-00000F020000}"/>
    <cellStyle name="Normal 26" xfId="497" xr:uid="{00000000-0005-0000-0000-000010020000}"/>
    <cellStyle name="Normal 26 2" xfId="498" xr:uid="{00000000-0005-0000-0000-000011020000}"/>
    <cellStyle name="Normal 26 2 2" xfId="834" xr:uid="{00000000-0005-0000-0000-000012020000}"/>
    <cellStyle name="Normal 26 3" xfId="499" xr:uid="{00000000-0005-0000-0000-000013020000}"/>
    <cellStyle name="Normal 26 3 2" xfId="835" xr:uid="{00000000-0005-0000-0000-000014020000}"/>
    <cellStyle name="Normal 26 4" xfId="833" xr:uid="{00000000-0005-0000-0000-000015020000}"/>
    <cellStyle name="Normal 27" xfId="500" xr:uid="{00000000-0005-0000-0000-000016020000}"/>
    <cellStyle name="Normal 27 2" xfId="501" xr:uid="{00000000-0005-0000-0000-000017020000}"/>
    <cellStyle name="Normal 27 2 2" xfId="837" xr:uid="{00000000-0005-0000-0000-000018020000}"/>
    <cellStyle name="Normal 27 3" xfId="502" xr:uid="{00000000-0005-0000-0000-000019020000}"/>
    <cellStyle name="Normal 27 3 2" xfId="838" xr:uid="{00000000-0005-0000-0000-00001A020000}"/>
    <cellStyle name="Normal 27 4" xfId="836" xr:uid="{00000000-0005-0000-0000-00001B020000}"/>
    <cellStyle name="Normal 28" xfId="503" xr:uid="{00000000-0005-0000-0000-00001C020000}"/>
    <cellStyle name="Normal 28 2" xfId="504" xr:uid="{00000000-0005-0000-0000-00001D020000}"/>
    <cellStyle name="Normal 28 2 2" xfId="840" xr:uid="{00000000-0005-0000-0000-00001E020000}"/>
    <cellStyle name="Normal 28 3" xfId="505" xr:uid="{00000000-0005-0000-0000-00001F020000}"/>
    <cellStyle name="Normal 28 3 2" xfId="841" xr:uid="{00000000-0005-0000-0000-000020020000}"/>
    <cellStyle name="Normal 28 4" xfId="839" xr:uid="{00000000-0005-0000-0000-000021020000}"/>
    <cellStyle name="Normal 29" xfId="506" xr:uid="{00000000-0005-0000-0000-000022020000}"/>
    <cellStyle name="Normal 29 2" xfId="507" xr:uid="{00000000-0005-0000-0000-000023020000}"/>
    <cellStyle name="Normal 29 2 2" xfId="843" xr:uid="{00000000-0005-0000-0000-000024020000}"/>
    <cellStyle name="Normal 29 3" xfId="508" xr:uid="{00000000-0005-0000-0000-000025020000}"/>
    <cellStyle name="Normal 29 3 2" xfId="844" xr:uid="{00000000-0005-0000-0000-000026020000}"/>
    <cellStyle name="Normal 29 4" xfId="842" xr:uid="{00000000-0005-0000-0000-000027020000}"/>
    <cellStyle name="Normal 3" xfId="8" xr:uid="{00000000-0005-0000-0000-000028020000}"/>
    <cellStyle name="Normal 3 2" xfId="509" xr:uid="{00000000-0005-0000-0000-000029020000}"/>
    <cellStyle name="Normal 3 2 2" xfId="510" xr:uid="{00000000-0005-0000-0000-00002A020000}"/>
    <cellStyle name="Normal 3 2 3" xfId="511" xr:uid="{00000000-0005-0000-0000-00002B020000}"/>
    <cellStyle name="Normal 3 3" xfId="512" xr:uid="{00000000-0005-0000-0000-00002C020000}"/>
    <cellStyle name="Normal 3 3 2" xfId="513" xr:uid="{00000000-0005-0000-0000-00002D020000}"/>
    <cellStyle name="Normal 3 3 3" xfId="514" xr:uid="{00000000-0005-0000-0000-00002E020000}"/>
    <cellStyle name="Normal 3 4" xfId="515" xr:uid="{00000000-0005-0000-0000-00002F020000}"/>
    <cellStyle name="Normal 3 4 2" xfId="516" xr:uid="{00000000-0005-0000-0000-000030020000}"/>
    <cellStyle name="Normal 3 4 3" xfId="517" xr:uid="{00000000-0005-0000-0000-000031020000}"/>
    <cellStyle name="Normal 3 5" xfId="1016" xr:uid="{00000000-0005-0000-0000-000032020000}"/>
    <cellStyle name="Normal 30" xfId="518" xr:uid="{00000000-0005-0000-0000-000033020000}"/>
    <cellStyle name="Normal 30 2" xfId="519" xr:uid="{00000000-0005-0000-0000-000034020000}"/>
    <cellStyle name="Normal 30 2 2" xfId="846" xr:uid="{00000000-0005-0000-0000-000035020000}"/>
    <cellStyle name="Normal 30 3" xfId="520" xr:uid="{00000000-0005-0000-0000-000036020000}"/>
    <cellStyle name="Normal 30 3 2" xfId="847" xr:uid="{00000000-0005-0000-0000-000037020000}"/>
    <cellStyle name="Normal 30 4" xfId="845" xr:uid="{00000000-0005-0000-0000-000038020000}"/>
    <cellStyle name="Normal 31" xfId="521" xr:uid="{00000000-0005-0000-0000-000039020000}"/>
    <cellStyle name="Normal 31 2" xfId="522" xr:uid="{00000000-0005-0000-0000-00003A020000}"/>
    <cellStyle name="Normal 31 2 2" xfId="849" xr:uid="{00000000-0005-0000-0000-00003B020000}"/>
    <cellStyle name="Normal 31 3" xfId="523" xr:uid="{00000000-0005-0000-0000-00003C020000}"/>
    <cellStyle name="Normal 31 3 2" xfId="850" xr:uid="{00000000-0005-0000-0000-00003D020000}"/>
    <cellStyle name="Normal 31 4" xfId="848" xr:uid="{00000000-0005-0000-0000-00003E020000}"/>
    <cellStyle name="Normal 32" xfId="524" xr:uid="{00000000-0005-0000-0000-00003F020000}"/>
    <cellStyle name="Normal 32 2" xfId="525" xr:uid="{00000000-0005-0000-0000-000040020000}"/>
    <cellStyle name="Normal 32 2 2" xfId="852" xr:uid="{00000000-0005-0000-0000-000041020000}"/>
    <cellStyle name="Normal 32 3" xfId="526" xr:uid="{00000000-0005-0000-0000-000042020000}"/>
    <cellStyle name="Normal 32 3 2" xfId="853" xr:uid="{00000000-0005-0000-0000-000043020000}"/>
    <cellStyle name="Normal 32 4" xfId="851" xr:uid="{00000000-0005-0000-0000-000044020000}"/>
    <cellStyle name="Normal 33" xfId="527" xr:uid="{00000000-0005-0000-0000-000045020000}"/>
    <cellStyle name="Normal 33 2" xfId="528" xr:uid="{00000000-0005-0000-0000-000046020000}"/>
    <cellStyle name="Normal 33 2 2" xfId="855" xr:uid="{00000000-0005-0000-0000-000047020000}"/>
    <cellStyle name="Normal 33 3" xfId="529" xr:uid="{00000000-0005-0000-0000-000048020000}"/>
    <cellStyle name="Normal 33 3 2" xfId="856" xr:uid="{00000000-0005-0000-0000-000049020000}"/>
    <cellStyle name="Normal 33 4" xfId="854" xr:uid="{00000000-0005-0000-0000-00004A020000}"/>
    <cellStyle name="Normal 34" xfId="530" xr:uid="{00000000-0005-0000-0000-00004B020000}"/>
    <cellStyle name="Normal 34 2" xfId="531" xr:uid="{00000000-0005-0000-0000-00004C020000}"/>
    <cellStyle name="Normal 34 2 2" xfId="858" xr:uid="{00000000-0005-0000-0000-00004D020000}"/>
    <cellStyle name="Normal 34 3" xfId="532" xr:uid="{00000000-0005-0000-0000-00004E020000}"/>
    <cellStyle name="Normal 34 3 2" xfId="859" xr:uid="{00000000-0005-0000-0000-00004F020000}"/>
    <cellStyle name="Normal 34 4" xfId="857" xr:uid="{00000000-0005-0000-0000-000050020000}"/>
    <cellStyle name="Normal 35" xfId="533" xr:uid="{00000000-0005-0000-0000-000051020000}"/>
    <cellStyle name="Normal 35 2" xfId="534" xr:uid="{00000000-0005-0000-0000-000052020000}"/>
    <cellStyle name="Normal 35 2 2" xfId="861" xr:uid="{00000000-0005-0000-0000-000053020000}"/>
    <cellStyle name="Normal 35 3" xfId="535" xr:uid="{00000000-0005-0000-0000-000054020000}"/>
    <cellStyle name="Normal 35 3 2" xfId="862" xr:uid="{00000000-0005-0000-0000-000055020000}"/>
    <cellStyle name="Normal 35 4" xfId="860" xr:uid="{00000000-0005-0000-0000-000056020000}"/>
    <cellStyle name="Normal 36" xfId="536" xr:uid="{00000000-0005-0000-0000-000057020000}"/>
    <cellStyle name="Normal 36 2" xfId="537" xr:uid="{00000000-0005-0000-0000-000058020000}"/>
    <cellStyle name="Normal 36 2 2" xfId="864" xr:uid="{00000000-0005-0000-0000-000059020000}"/>
    <cellStyle name="Normal 36 3" xfId="538" xr:uid="{00000000-0005-0000-0000-00005A020000}"/>
    <cellStyle name="Normal 36 3 2" xfId="865" xr:uid="{00000000-0005-0000-0000-00005B020000}"/>
    <cellStyle name="Normal 36 4" xfId="863" xr:uid="{00000000-0005-0000-0000-00005C020000}"/>
    <cellStyle name="Normal 37" xfId="539" xr:uid="{00000000-0005-0000-0000-00005D020000}"/>
    <cellStyle name="Normal 37 2" xfId="540" xr:uid="{00000000-0005-0000-0000-00005E020000}"/>
    <cellStyle name="Normal 37 2 2" xfId="867" xr:uid="{00000000-0005-0000-0000-00005F020000}"/>
    <cellStyle name="Normal 37 3" xfId="541" xr:uid="{00000000-0005-0000-0000-000060020000}"/>
    <cellStyle name="Normal 37 3 2" xfId="868" xr:uid="{00000000-0005-0000-0000-000061020000}"/>
    <cellStyle name="Normal 37 4" xfId="866" xr:uid="{00000000-0005-0000-0000-000062020000}"/>
    <cellStyle name="Normal 38" xfId="542" xr:uid="{00000000-0005-0000-0000-000063020000}"/>
    <cellStyle name="Normal 38 2" xfId="543" xr:uid="{00000000-0005-0000-0000-000064020000}"/>
    <cellStyle name="Normal 38 2 2" xfId="870" xr:uid="{00000000-0005-0000-0000-000065020000}"/>
    <cellStyle name="Normal 38 3" xfId="544" xr:uid="{00000000-0005-0000-0000-000066020000}"/>
    <cellStyle name="Normal 38 3 2" xfId="871" xr:uid="{00000000-0005-0000-0000-000067020000}"/>
    <cellStyle name="Normal 38 4" xfId="869" xr:uid="{00000000-0005-0000-0000-000068020000}"/>
    <cellStyle name="Normal 39" xfId="545" xr:uid="{00000000-0005-0000-0000-000069020000}"/>
    <cellStyle name="Normal 39 2" xfId="546" xr:uid="{00000000-0005-0000-0000-00006A020000}"/>
    <cellStyle name="Normal 39 2 2" xfId="873" xr:uid="{00000000-0005-0000-0000-00006B020000}"/>
    <cellStyle name="Normal 39 3" xfId="547" xr:uid="{00000000-0005-0000-0000-00006C020000}"/>
    <cellStyle name="Normal 39 3 2" xfId="874" xr:uid="{00000000-0005-0000-0000-00006D020000}"/>
    <cellStyle name="Normal 39 4" xfId="872" xr:uid="{00000000-0005-0000-0000-00006E020000}"/>
    <cellStyle name="Normal 4" xfId="23" xr:uid="{00000000-0005-0000-0000-00006F020000}"/>
    <cellStyle name="Normal 4 2" xfId="548" xr:uid="{00000000-0005-0000-0000-000070020000}"/>
    <cellStyle name="Normal 40" xfId="549" xr:uid="{00000000-0005-0000-0000-000071020000}"/>
    <cellStyle name="Normal 40 2" xfId="550" xr:uid="{00000000-0005-0000-0000-000072020000}"/>
    <cellStyle name="Normal 40 2 2" xfId="876" xr:uid="{00000000-0005-0000-0000-000073020000}"/>
    <cellStyle name="Normal 40 3" xfId="551" xr:uid="{00000000-0005-0000-0000-000074020000}"/>
    <cellStyle name="Normal 40 3 2" xfId="877" xr:uid="{00000000-0005-0000-0000-000075020000}"/>
    <cellStyle name="Normal 40 4" xfId="875" xr:uid="{00000000-0005-0000-0000-000076020000}"/>
    <cellStyle name="Normal 41" xfId="552" xr:uid="{00000000-0005-0000-0000-000077020000}"/>
    <cellStyle name="Normal 41 2" xfId="553" xr:uid="{00000000-0005-0000-0000-000078020000}"/>
    <cellStyle name="Normal 41 2 2" xfId="879" xr:uid="{00000000-0005-0000-0000-000079020000}"/>
    <cellStyle name="Normal 41 3" xfId="554" xr:uid="{00000000-0005-0000-0000-00007A020000}"/>
    <cellStyle name="Normal 41 3 2" xfId="880" xr:uid="{00000000-0005-0000-0000-00007B020000}"/>
    <cellStyle name="Normal 41 4" xfId="878" xr:uid="{00000000-0005-0000-0000-00007C020000}"/>
    <cellStyle name="Normal 42" xfId="555" xr:uid="{00000000-0005-0000-0000-00007D020000}"/>
    <cellStyle name="Normal 42 2" xfId="556" xr:uid="{00000000-0005-0000-0000-00007E020000}"/>
    <cellStyle name="Normal 42 2 2" xfId="882" xr:uid="{00000000-0005-0000-0000-00007F020000}"/>
    <cellStyle name="Normal 42 3" xfId="557" xr:uid="{00000000-0005-0000-0000-000080020000}"/>
    <cellStyle name="Normal 42 3 2" xfId="883" xr:uid="{00000000-0005-0000-0000-000081020000}"/>
    <cellStyle name="Normal 42 4" xfId="881" xr:uid="{00000000-0005-0000-0000-000082020000}"/>
    <cellStyle name="Normal 43" xfId="558" xr:uid="{00000000-0005-0000-0000-000083020000}"/>
    <cellStyle name="Normal 43 2" xfId="559" xr:uid="{00000000-0005-0000-0000-000084020000}"/>
    <cellStyle name="Normal 43 2 2" xfId="885" xr:uid="{00000000-0005-0000-0000-000085020000}"/>
    <cellStyle name="Normal 43 3" xfId="560" xr:uid="{00000000-0005-0000-0000-000086020000}"/>
    <cellStyle name="Normal 43 3 2" xfId="886" xr:uid="{00000000-0005-0000-0000-000087020000}"/>
    <cellStyle name="Normal 43 4" xfId="884" xr:uid="{00000000-0005-0000-0000-000088020000}"/>
    <cellStyle name="Normal 44" xfId="561" xr:uid="{00000000-0005-0000-0000-000089020000}"/>
    <cellStyle name="Normal 44 2" xfId="562" xr:uid="{00000000-0005-0000-0000-00008A020000}"/>
    <cellStyle name="Normal 44 2 2" xfId="888" xr:uid="{00000000-0005-0000-0000-00008B020000}"/>
    <cellStyle name="Normal 44 3" xfId="563" xr:uid="{00000000-0005-0000-0000-00008C020000}"/>
    <cellStyle name="Normal 44 3 2" xfId="889" xr:uid="{00000000-0005-0000-0000-00008D020000}"/>
    <cellStyle name="Normal 44 4" xfId="887" xr:uid="{00000000-0005-0000-0000-00008E020000}"/>
    <cellStyle name="Normal 45" xfId="564" xr:uid="{00000000-0005-0000-0000-00008F020000}"/>
    <cellStyle name="Normal 45 2" xfId="565" xr:uid="{00000000-0005-0000-0000-000090020000}"/>
    <cellStyle name="Normal 45 2 2" xfId="891" xr:uid="{00000000-0005-0000-0000-000091020000}"/>
    <cellStyle name="Normal 45 3" xfId="566" xr:uid="{00000000-0005-0000-0000-000092020000}"/>
    <cellStyle name="Normal 45 3 2" xfId="892" xr:uid="{00000000-0005-0000-0000-000093020000}"/>
    <cellStyle name="Normal 45 4" xfId="890" xr:uid="{00000000-0005-0000-0000-000094020000}"/>
    <cellStyle name="Normal 46" xfId="567" xr:uid="{00000000-0005-0000-0000-000095020000}"/>
    <cellStyle name="Normal 46 2" xfId="568" xr:uid="{00000000-0005-0000-0000-000096020000}"/>
    <cellStyle name="Normal 46 2 2" xfId="894" xr:uid="{00000000-0005-0000-0000-000097020000}"/>
    <cellStyle name="Normal 46 3" xfId="569" xr:uid="{00000000-0005-0000-0000-000098020000}"/>
    <cellStyle name="Normal 46 3 2" xfId="895" xr:uid="{00000000-0005-0000-0000-000099020000}"/>
    <cellStyle name="Normal 46 4" xfId="893" xr:uid="{00000000-0005-0000-0000-00009A020000}"/>
    <cellStyle name="Normal 47" xfId="570" xr:uid="{00000000-0005-0000-0000-00009B020000}"/>
    <cellStyle name="Normal 47 2" xfId="571" xr:uid="{00000000-0005-0000-0000-00009C020000}"/>
    <cellStyle name="Normal 47 2 2" xfId="897" xr:uid="{00000000-0005-0000-0000-00009D020000}"/>
    <cellStyle name="Normal 47 3" xfId="572" xr:uid="{00000000-0005-0000-0000-00009E020000}"/>
    <cellStyle name="Normal 47 3 2" xfId="898" xr:uid="{00000000-0005-0000-0000-00009F020000}"/>
    <cellStyle name="Normal 47 4" xfId="896" xr:uid="{00000000-0005-0000-0000-0000A0020000}"/>
    <cellStyle name="Normal 48" xfId="573" xr:uid="{00000000-0005-0000-0000-0000A1020000}"/>
    <cellStyle name="Normal 48 2" xfId="574" xr:uid="{00000000-0005-0000-0000-0000A2020000}"/>
    <cellStyle name="Normal 48 2 2" xfId="900" xr:uid="{00000000-0005-0000-0000-0000A3020000}"/>
    <cellStyle name="Normal 48 3" xfId="575" xr:uid="{00000000-0005-0000-0000-0000A4020000}"/>
    <cellStyle name="Normal 48 3 2" xfId="901" xr:uid="{00000000-0005-0000-0000-0000A5020000}"/>
    <cellStyle name="Normal 48 4" xfId="899" xr:uid="{00000000-0005-0000-0000-0000A6020000}"/>
    <cellStyle name="Normal 49" xfId="576" xr:uid="{00000000-0005-0000-0000-0000A7020000}"/>
    <cellStyle name="Normal 49 2" xfId="577" xr:uid="{00000000-0005-0000-0000-0000A8020000}"/>
    <cellStyle name="Normal 49 2 2" xfId="903" xr:uid="{00000000-0005-0000-0000-0000A9020000}"/>
    <cellStyle name="Normal 49 3" xfId="578" xr:uid="{00000000-0005-0000-0000-0000AA020000}"/>
    <cellStyle name="Normal 49 3 2" xfId="904" xr:uid="{00000000-0005-0000-0000-0000AB020000}"/>
    <cellStyle name="Normal 49 4" xfId="902" xr:uid="{00000000-0005-0000-0000-0000AC020000}"/>
    <cellStyle name="Normal 5" xfId="28" xr:uid="{00000000-0005-0000-0000-0000AD020000}"/>
    <cellStyle name="Normal 5 2" xfId="32" xr:uid="{00000000-0005-0000-0000-0000AE020000}"/>
    <cellStyle name="Normal 5 2 2" xfId="580" xr:uid="{00000000-0005-0000-0000-0000AF020000}"/>
    <cellStyle name="Normal 5 3" xfId="31" xr:uid="{00000000-0005-0000-0000-0000B0020000}"/>
    <cellStyle name="Normal 5 3 2" xfId="581" xr:uid="{00000000-0005-0000-0000-0000B1020000}"/>
    <cellStyle name="Normal 5 4" xfId="33" xr:uid="{00000000-0005-0000-0000-0000B2020000}"/>
    <cellStyle name="Normal 5 4 2" xfId="34" xr:uid="{00000000-0005-0000-0000-0000B3020000}"/>
    <cellStyle name="Normal 5 5" xfId="579" xr:uid="{00000000-0005-0000-0000-0000B4020000}"/>
    <cellStyle name="Normal 50" xfId="582" xr:uid="{00000000-0005-0000-0000-0000B5020000}"/>
    <cellStyle name="Normal 50 2" xfId="583" xr:uid="{00000000-0005-0000-0000-0000B6020000}"/>
    <cellStyle name="Normal 50 2 2" xfId="906" xr:uid="{00000000-0005-0000-0000-0000B7020000}"/>
    <cellStyle name="Normal 50 3" xfId="584" xr:uid="{00000000-0005-0000-0000-0000B8020000}"/>
    <cellStyle name="Normal 50 3 2" xfId="907" xr:uid="{00000000-0005-0000-0000-0000B9020000}"/>
    <cellStyle name="Normal 50 4" xfId="905" xr:uid="{00000000-0005-0000-0000-0000BA020000}"/>
    <cellStyle name="Normal 51" xfId="585" xr:uid="{00000000-0005-0000-0000-0000BB020000}"/>
    <cellStyle name="Normal 51 2" xfId="586" xr:uid="{00000000-0005-0000-0000-0000BC020000}"/>
    <cellStyle name="Normal 51 2 2" xfId="909" xr:uid="{00000000-0005-0000-0000-0000BD020000}"/>
    <cellStyle name="Normal 51 3" xfId="587" xr:uid="{00000000-0005-0000-0000-0000BE020000}"/>
    <cellStyle name="Normal 51 3 2" xfId="910" xr:uid="{00000000-0005-0000-0000-0000BF020000}"/>
    <cellStyle name="Normal 51 4" xfId="908" xr:uid="{00000000-0005-0000-0000-0000C0020000}"/>
    <cellStyle name="Normal 52" xfId="588" xr:uid="{00000000-0005-0000-0000-0000C1020000}"/>
    <cellStyle name="Normal 52 2" xfId="589" xr:uid="{00000000-0005-0000-0000-0000C2020000}"/>
    <cellStyle name="Normal 52 2 2" xfId="912" xr:uid="{00000000-0005-0000-0000-0000C3020000}"/>
    <cellStyle name="Normal 52 3" xfId="590" xr:uid="{00000000-0005-0000-0000-0000C4020000}"/>
    <cellStyle name="Normal 52 3 2" xfId="913" xr:uid="{00000000-0005-0000-0000-0000C5020000}"/>
    <cellStyle name="Normal 52 4" xfId="911" xr:uid="{00000000-0005-0000-0000-0000C6020000}"/>
    <cellStyle name="Normal 53" xfId="591" xr:uid="{00000000-0005-0000-0000-0000C7020000}"/>
    <cellStyle name="Normal 53 2" xfId="592" xr:uid="{00000000-0005-0000-0000-0000C8020000}"/>
    <cellStyle name="Normal 53 2 2" xfId="915" xr:uid="{00000000-0005-0000-0000-0000C9020000}"/>
    <cellStyle name="Normal 53 3" xfId="593" xr:uid="{00000000-0005-0000-0000-0000CA020000}"/>
    <cellStyle name="Normal 53 3 2" xfId="916" xr:uid="{00000000-0005-0000-0000-0000CB020000}"/>
    <cellStyle name="Normal 53 4" xfId="914" xr:uid="{00000000-0005-0000-0000-0000CC020000}"/>
    <cellStyle name="Normal 54" xfId="594" xr:uid="{00000000-0005-0000-0000-0000CD020000}"/>
    <cellStyle name="Normal 54 2" xfId="595" xr:uid="{00000000-0005-0000-0000-0000CE020000}"/>
    <cellStyle name="Normal 54 2 2" xfId="918" xr:uid="{00000000-0005-0000-0000-0000CF020000}"/>
    <cellStyle name="Normal 54 3" xfId="596" xr:uid="{00000000-0005-0000-0000-0000D0020000}"/>
    <cellStyle name="Normal 54 3 2" xfId="919" xr:uid="{00000000-0005-0000-0000-0000D1020000}"/>
    <cellStyle name="Normal 54 4" xfId="917" xr:uid="{00000000-0005-0000-0000-0000D2020000}"/>
    <cellStyle name="Normal 55" xfId="597" xr:uid="{00000000-0005-0000-0000-0000D3020000}"/>
    <cellStyle name="Normal 55 2" xfId="598" xr:uid="{00000000-0005-0000-0000-0000D4020000}"/>
    <cellStyle name="Normal 55 2 2" xfId="921" xr:uid="{00000000-0005-0000-0000-0000D5020000}"/>
    <cellStyle name="Normal 55 3" xfId="599" xr:uid="{00000000-0005-0000-0000-0000D6020000}"/>
    <cellStyle name="Normal 55 3 2" xfId="922" xr:uid="{00000000-0005-0000-0000-0000D7020000}"/>
    <cellStyle name="Normal 55 4" xfId="920" xr:uid="{00000000-0005-0000-0000-0000D8020000}"/>
    <cellStyle name="Normal 56" xfId="600" xr:uid="{00000000-0005-0000-0000-0000D9020000}"/>
    <cellStyle name="Normal 56 2" xfId="601" xr:uid="{00000000-0005-0000-0000-0000DA020000}"/>
    <cellStyle name="Normal 56 2 2" xfId="924" xr:uid="{00000000-0005-0000-0000-0000DB020000}"/>
    <cellStyle name="Normal 56 3" xfId="602" xr:uid="{00000000-0005-0000-0000-0000DC020000}"/>
    <cellStyle name="Normal 56 3 2" xfId="925" xr:uid="{00000000-0005-0000-0000-0000DD020000}"/>
    <cellStyle name="Normal 56 4" xfId="923" xr:uid="{00000000-0005-0000-0000-0000DE020000}"/>
    <cellStyle name="Normal 57" xfId="603" xr:uid="{00000000-0005-0000-0000-0000DF020000}"/>
    <cellStyle name="Normal 57 2" xfId="604" xr:uid="{00000000-0005-0000-0000-0000E0020000}"/>
    <cellStyle name="Normal 57 2 2" xfId="927" xr:uid="{00000000-0005-0000-0000-0000E1020000}"/>
    <cellStyle name="Normal 57 3" xfId="605" xr:uid="{00000000-0005-0000-0000-0000E2020000}"/>
    <cellStyle name="Normal 57 3 2" xfId="928" xr:uid="{00000000-0005-0000-0000-0000E3020000}"/>
    <cellStyle name="Normal 57 4" xfId="926" xr:uid="{00000000-0005-0000-0000-0000E4020000}"/>
    <cellStyle name="Normal 58" xfId="606" xr:uid="{00000000-0005-0000-0000-0000E5020000}"/>
    <cellStyle name="Normal 58 2" xfId="607" xr:uid="{00000000-0005-0000-0000-0000E6020000}"/>
    <cellStyle name="Normal 58 2 2" xfId="930" xr:uid="{00000000-0005-0000-0000-0000E7020000}"/>
    <cellStyle name="Normal 58 3" xfId="608" xr:uid="{00000000-0005-0000-0000-0000E8020000}"/>
    <cellStyle name="Normal 58 3 2" xfId="931" xr:uid="{00000000-0005-0000-0000-0000E9020000}"/>
    <cellStyle name="Normal 58 4" xfId="929" xr:uid="{00000000-0005-0000-0000-0000EA020000}"/>
    <cellStyle name="Normal 59" xfId="609" xr:uid="{00000000-0005-0000-0000-0000EB020000}"/>
    <cellStyle name="Normal 59 2" xfId="610" xr:uid="{00000000-0005-0000-0000-0000EC020000}"/>
    <cellStyle name="Normal 59 2 2" xfId="933" xr:uid="{00000000-0005-0000-0000-0000ED020000}"/>
    <cellStyle name="Normal 59 3" xfId="611" xr:uid="{00000000-0005-0000-0000-0000EE020000}"/>
    <cellStyle name="Normal 59 3 2" xfId="934" xr:uid="{00000000-0005-0000-0000-0000EF020000}"/>
    <cellStyle name="Normal 59 4" xfId="932" xr:uid="{00000000-0005-0000-0000-0000F0020000}"/>
    <cellStyle name="Normal 6" xfId="36" xr:uid="{00000000-0005-0000-0000-0000F1020000}"/>
    <cellStyle name="Normal 60" xfId="612" xr:uid="{00000000-0005-0000-0000-0000F2020000}"/>
    <cellStyle name="Normal 60 2" xfId="613" xr:uid="{00000000-0005-0000-0000-0000F3020000}"/>
    <cellStyle name="Normal 60 2 2" xfId="936" xr:uid="{00000000-0005-0000-0000-0000F4020000}"/>
    <cellStyle name="Normal 60 3" xfId="614" xr:uid="{00000000-0005-0000-0000-0000F5020000}"/>
    <cellStyle name="Normal 60 3 2" xfId="937" xr:uid="{00000000-0005-0000-0000-0000F6020000}"/>
    <cellStyle name="Normal 60 4" xfId="935" xr:uid="{00000000-0005-0000-0000-0000F7020000}"/>
    <cellStyle name="Normal 61" xfId="615" xr:uid="{00000000-0005-0000-0000-0000F8020000}"/>
    <cellStyle name="Normal 61 2" xfId="616" xr:uid="{00000000-0005-0000-0000-0000F9020000}"/>
    <cellStyle name="Normal 61 2 2" xfId="939" xr:uid="{00000000-0005-0000-0000-0000FA020000}"/>
    <cellStyle name="Normal 61 3" xfId="617" xr:uid="{00000000-0005-0000-0000-0000FB020000}"/>
    <cellStyle name="Normal 61 3 2" xfId="940" xr:uid="{00000000-0005-0000-0000-0000FC020000}"/>
    <cellStyle name="Normal 61 4" xfId="938" xr:uid="{00000000-0005-0000-0000-0000FD020000}"/>
    <cellStyle name="Normal 62" xfId="618" xr:uid="{00000000-0005-0000-0000-0000FE020000}"/>
    <cellStyle name="Normal 62 2" xfId="619" xr:uid="{00000000-0005-0000-0000-0000FF020000}"/>
    <cellStyle name="Normal 62 2 2" xfId="942" xr:uid="{00000000-0005-0000-0000-000000030000}"/>
    <cellStyle name="Normal 62 3" xfId="620" xr:uid="{00000000-0005-0000-0000-000001030000}"/>
    <cellStyle name="Normal 62 3 2" xfId="943" xr:uid="{00000000-0005-0000-0000-000002030000}"/>
    <cellStyle name="Normal 62 4" xfId="941" xr:uid="{00000000-0005-0000-0000-000003030000}"/>
    <cellStyle name="Normal 63" xfId="621" xr:uid="{00000000-0005-0000-0000-000004030000}"/>
    <cellStyle name="Normal 63 2" xfId="622" xr:uid="{00000000-0005-0000-0000-000005030000}"/>
    <cellStyle name="Normal 63 2 2" xfId="945" xr:uid="{00000000-0005-0000-0000-000006030000}"/>
    <cellStyle name="Normal 63 3" xfId="623" xr:uid="{00000000-0005-0000-0000-000007030000}"/>
    <cellStyle name="Normal 63 3 2" xfId="946" xr:uid="{00000000-0005-0000-0000-000008030000}"/>
    <cellStyle name="Normal 63 4" xfId="944" xr:uid="{00000000-0005-0000-0000-000009030000}"/>
    <cellStyle name="Normal 64" xfId="624" xr:uid="{00000000-0005-0000-0000-00000A030000}"/>
    <cellStyle name="Normal 64 2" xfId="625" xr:uid="{00000000-0005-0000-0000-00000B030000}"/>
    <cellStyle name="Normal 64 2 2" xfId="948" xr:uid="{00000000-0005-0000-0000-00000C030000}"/>
    <cellStyle name="Normal 64 3" xfId="626" xr:uid="{00000000-0005-0000-0000-00000D030000}"/>
    <cellStyle name="Normal 64 3 2" xfId="949" xr:uid="{00000000-0005-0000-0000-00000E030000}"/>
    <cellStyle name="Normal 64 4" xfId="947" xr:uid="{00000000-0005-0000-0000-00000F030000}"/>
    <cellStyle name="Normal 65" xfId="627" xr:uid="{00000000-0005-0000-0000-000010030000}"/>
    <cellStyle name="Normal 65 2" xfId="628" xr:uid="{00000000-0005-0000-0000-000011030000}"/>
    <cellStyle name="Normal 65 2 2" xfId="951" xr:uid="{00000000-0005-0000-0000-000012030000}"/>
    <cellStyle name="Normal 65 3" xfId="629" xr:uid="{00000000-0005-0000-0000-000013030000}"/>
    <cellStyle name="Normal 65 3 2" xfId="952" xr:uid="{00000000-0005-0000-0000-000014030000}"/>
    <cellStyle name="Normal 65 4" xfId="950" xr:uid="{00000000-0005-0000-0000-000015030000}"/>
    <cellStyle name="Normal 66" xfId="630" xr:uid="{00000000-0005-0000-0000-000016030000}"/>
    <cellStyle name="Normal 66 2" xfId="631" xr:uid="{00000000-0005-0000-0000-000017030000}"/>
    <cellStyle name="Normal 66 2 2" xfId="954" xr:uid="{00000000-0005-0000-0000-000018030000}"/>
    <cellStyle name="Normal 66 3" xfId="632" xr:uid="{00000000-0005-0000-0000-000019030000}"/>
    <cellStyle name="Normal 66 3 2" xfId="955" xr:uid="{00000000-0005-0000-0000-00001A030000}"/>
    <cellStyle name="Normal 66 4" xfId="953" xr:uid="{00000000-0005-0000-0000-00001B030000}"/>
    <cellStyle name="Normal 67" xfId="633" xr:uid="{00000000-0005-0000-0000-00001C030000}"/>
    <cellStyle name="Normal 67 2" xfId="634" xr:uid="{00000000-0005-0000-0000-00001D030000}"/>
    <cellStyle name="Normal 67 2 2" xfId="957" xr:uid="{00000000-0005-0000-0000-00001E030000}"/>
    <cellStyle name="Normal 67 3" xfId="635" xr:uid="{00000000-0005-0000-0000-00001F030000}"/>
    <cellStyle name="Normal 67 3 2" xfId="958" xr:uid="{00000000-0005-0000-0000-000020030000}"/>
    <cellStyle name="Normal 67 4" xfId="956" xr:uid="{00000000-0005-0000-0000-000021030000}"/>
    <cellStyle name="Normal 68" xfId="636" xr:uid="{00000000-0005-0000-0000-000022030000}"/>
    <cellStyle name="Normal 68 2" xfId="637" xr:uid="{00000000-0005-0000-0000-000023030000}"/>
    <cellStyle name="Normal 68 2 2" xfId="960" xr:uid="{00000000-0005-0000-0000-000024030000}"/>
    <cellStyle name="Normal 68 3" xfId="638" xr:uid="{00000000-0005-0000-0000-000025030000}"/>
    <cellStyle name="Normal 68 3 2" xfId="961" xr:uid="{00000000-0005-0000-0000-000026030000}"/>
    <cellStyle name="Normal 68 4" xfId="959" xr:uid="{00000000-0005-0000-0000-000027030000}"/>
    <cellStyle name="Normal 69" xfId="639" xr:uid="{00000000-0005-0000-0000-000028030000}"/>
    <cellStyle name="Normal 69 2" xfId="640" xr:uid="{00000000-0005-0000-0000-000029030000}"/>
    <cellStyle name="Normal 69 2 2" xfId="963" xr:uid="{00000000-0005-0000-0000-00002A030000}"/>
    <cellStyle name="Normal 69 3" xfId="641" xr:uid="{00000000-0005-0000-0000-00002B030000}"/>
    <cellStyle name="Normal 69 3 2" xfId="964" xr:uid="{00000000-0005-0000-0000-00002C030000}"/>
    <cellStyle name="Normal 69 4" xfId="962" xr:uid="{00000000-0005-0000-0000-00002D030000}"/>
    <cellStyle name="Normal 7" xfId="6" xr:uid="{00000000-0005-0000-0000-00002E030000}"/>
    <cellStyle name="Normal 7 2" xfId="1018" xr:uid="{00000000-0005-0000-0000-00002F030000}"/>
    <cellStyle name="Normal 70" xfId="642" xr:uid="{00000000-0005-0000-0000-000030030000}"/>
    <cellStyle name="Normal 70 2" xfId="643" xr:uid="{00000000-0005-0000-0000-000031030000}"/>
    <cellStyle name="Normal 70 2 2" xfId="966" xr:uid="{00000000-0005-0000-0000-000032030000}"/>
    <cellStyle name="Normal 70 3" xfId="644" xr:uid="{00000000-0005-0000-0000-000033030000}"/>
    <cellStyle name="Normal 70 3 2" xfId="967" xr:uid="{00000000-0005-0000-0000-000034030000}"/>
    <cellStyle name="Normal 70 4" xfId="965" xr:uid="{00000000-0005-0000-0000-000035030000}"/>
    <cellStyle name="Normal 71" xfId="645" xr:uid="{00000000-0005-0000-0000-000036030000}"/>
    <cellStyle name="Normal 71 2" xfId="646" xr:uid="{00000000-0005-0000-0000-000037030000}"/>
    <cellStyle name="Normal 71 2 2" xfId="969" xr:uid="{00000000-0005-0000-0000-000038030000}"/>
    <cellStyle name="Normal 71 3" xfId="647" xr:uid="{00000000-0005-0000-0000-000039030000}"/>
    <cellStyle name="Normal 71 3 2" xfId="970" xr:uid="{00000000-0005-0000-0000-00003A030000}"/>
    <cellStyle name="Normal 71 4" xfId="968" xr:uid="{00000000-0005-0000-0000-00003B030000}"/>
    <cellStyle name="Normal 72" xfId="648" xr:uid="{00000000-0005-0000-0000-00003C030000}"/>
    <cellStyle name="Normal 72 2" xfId="649" xr:uid="{00000000-0005-0000-0000-00003D030000}"/>
    <cellStyle name="Normal 72 2 2" xfId="972" xr:uid="{00000000-0005-0000-0000-00003E030000}"/>
    <cellStyle name="Normal 72 3" xfId="650" xr:uid="{00000000-0005-0000-0000-00003F030000}"/>
    <cellStyle name="Normal 72 3 2" xfId="973" xr:uid="{00000000-0005-0000-0000-000040030000}"/>
    <cellStyle name="Normal 72 4" xfId="971" xr:uid="{00000000-0005-0000-0000-000041030000}"/>
    <cellStyle name="Normal 73" xfId="651" xr:uid="{00000000-0005-0000-0000-000042030000}"/>
    <cellStyle name="Normal 73 2" xfId="652" xr:uid="{00000000-0005-0000-0000-000043030000}"/>
    <cellStyle name="Normal 73 2 2" xfId="975" xr:uid="{00000000-0005-0000-0000-000044030000}"/>
    <cellStyle name="Normal 73 3" xfId="653" xr:uid="{00000000-0005-0000-0000-000045030000}"/>
    <cellStyle name="Normal 73 3 2" xfId="976" xr:uid="{00000000-0005-0000-0000-000046030000}"/>
    <cellStyle name="Normal 73 4" xfId="974" xr:uid="{00000000-0005-0000-0000-000047030000}"/>
    <cellStyle name="Normal 74" xfId="654" xr:uid="{00000000-0005-0000-0000-000048030000}"/>
    <cellStyle name="Normal 74 2" xfId="655" xr:uid="{00000000-0005-0000-0000-000049030000}"/>
    <cellStyle name="Normal 74 2 2" xfId="978" xr:uid="{00000000-0005-0000-0000-00004A030000}"/>
    <cellStyle name="Normal 74 3" xfId="656" xr:uid="{00000000-0005-0000-0000-00004B030000}"/>
    <cellStyle name="Normal 74 3 2" xfId="979" xr:uid="{00000000-0005-0000-0000-00004C030000}"/>
    <cellStyle name="Normal 74 4" xfId="977" xr:uid="{00000000-0005-0000-0000-00004D030000}"/>
    <cellStyle name="Normal 75" xfId="657" xr:uid="{00000000-0005-0000-0000-00004E030000}"/>
    <cellStyle name="Normal 75 2" xfId="658" xr:uid="{00000000-0005-0000-0000-00004F030000}"/>
    <cellStyle name="Normal 75 2 2" xfId="981" xr:uid="{00000000-0005-0000-0000-000050030000}"/>
    <cellStyle name="Normal 75 3" xfId="659" xr:uid="{00000000-0005-0000-0000-000051030000}"/>
    <cellStyle name="Normal 75 3 2" xfId="982" xr:uid="{00000000-0005-0000-0000-000052030000}"/>
    <cellStyle name="Normal 75 4" xfId="980" xr:uid="{00000000-0005-0000-0000-000053030000}"/>
    <cellStyle name="Normal 76" xfId="660" xr:uid="{00000000-0005-0000-0000-000054030000}"/>
    <cellStyle name="Normal 76 2" xfId="661" xr:uid="{00000000-0005-0000-0000-000055030000}"/>
    <cellStyle name="Normal 76 2 2" xfId="984" xr:uid="{00000000-0005-0000-0000-000056030000}"/>
    <cellStyle name="Normal 76 3" xfId="662" xr:uid="{00000000-0005-0000-0000-000057030000}"/>
    <cellStyle name="Normal 76 3 2" xfId="985" xr:uid="{00000000-0005-0000-0000-000058030000}"/>
    <cellStyle name="Normal 76 4" xfId="983" xr:uid="{00000000-0005-0000-0000-000059030000}"/>
    <cellStyle name="Normal 77" xfId="663" xr:uid="{00000000-0005-0000-0000-00005A030000}"/>
    <cellStyle name="Normal 77 2" xfId="664" xr:uid="{00000000-0005-0000-0000-00005B030000}"/>
    <cellStyle name="Normal 77 2 2" xfId="987" xr:uid="{00000000-0005-0000-0000-00005C030000}"/>
    <cellStyle name="Normal 77 3" xfId="665" xr:uid="{00000000-0005-0000-0000-00005D030000}"/>
    <cellStyle name="Normal 77 3 2" xfId="988" xr:uid="{00000000-0005-0000-0000-00005E030000}"/>
    <cellStyle name="Normal 77 4" xfId="986" xr:uid="{00000000-0005-0000-0000-00005F030000}"/>
    <cellStyle name="Normal 78" xfId="666" xr:uid="{00000000-0005-0000-0000-000060030000}"/>
    <cellStyle name="Normal 78 2" xfId="667" xr:uid="{00000000-0005-0000-0000-000061030000}"/>
    <cellStyle name="Normal 78 2 2" xfId="990" xr:uid="{00000000-0005-0000-0000-000062030000}"/>
    <cellStyle name="Normal 78 3" xfId="668" xr:uid="{00000000-0005-0000-0000-000063030000}"/>
    <cellStyle name="Normal 78 3 2" xfId="991" xr:uid="{00000000-0005-0000-0000-000064030000}"/>
    <cellStyle name="Normal 78 4" xfId="989" xr:uid="{00000000-0005-0000-0000-000065030000}"/>
    <cellStyle name="Normal 79" xfId="669" xr:uid="{00000000-0005-0000-0000-000066030000}"/>
    <cellStyle name="Normal 79 2" xfId="670" xr:uid="{00000000-0005-0000-0000-000067030000}"/>
    <cellStyle name="Normal 79 2 2" xfId="993" xr:uid="{00000000-0005-0000-0000-000068030000}"/>
    <cellStyle name="Normal 79 3" xfId="671" xr:uid="{00000000-0005-0000-0000-000069030000}"/>
    <cellStyle name="Normal 79 3 2" xfId="994" xr:uid="{00000000-0005-0000-0000-00006A030000}"/>
    <cellStyle name="Normal 79 4" xfId="992" xr:uid="{00000000-0005-0000-0000-00006B030000}"/>
    <cellStyle name="Normal 80" xfId="672" xr:uid="{00000000-0005-0000-0000-00006C030000}"/>
    <cellStyle name="Normal 80 2" xfId="673" xr:uid="{00000000-0005-0000-0000-00006D030000}"/>
    <cellStyle name="Normal 80 2 2" xfId="996" xr:uid="{00000000-0005-0000-0000-00006E030000}"/>
    <cellStyle name="Normal 80 3" xfId="674" xr:uid="{00000000-0005-0000-0000-00006F030000}"/>
    <cellStyle name="Normal 80 3 2" xfId="997" xr:uid="{00000000-0005-0000-0000-000070030000}"/>
    <cellStyle name="Normal 80 4" xfId="995" xr:uid="{00000000-0005-0000-0000-000071030000}"/>
    <cellStyle name="Normal 81" xfId="675" xr:uid="{00000000-0005-0000-0000-000072030000}"/>
    <cellStyle name="Normal 81 2" xfId="676" xr:uid="{00000000-0005-0000-0000-000073030000}"/>
    <cellStyle name="Normal 81 2 2" xfId="999" xr:uid="{00000000-0005-0000-0000-000074030000}"/>
    <cellStyle name="Normal 81 3" xfId="677" xr:uid="{00000000-0005-0000-0000-000075030000}"/>
    <cellStyle name="Normal 81 3 2" xfId="1000" xr:uid="{00000000-0005-0000-0000-000076030000}"/>
    <cellStyle name="Normal 81 4" xfId="998" xr:uid="{00000000-0005-0000-0000-000077030000}"/>
    <cellStyle name="Normal 82" xfId="678" xr:uid="{00000000-0005-0000-0000-000078030000}"/>
    <cellStyle name="Normal 82 2" xfId="679" xr:uid="{00000000-0005-0000-0000-000079030000}"/>
    <cellStyle name="Normal 82 2 2" xfId="1002" xr:uid="{00000000-0005-0000-0000-00007A030000}"/>
    <cellStyle name="Normal 82 3" xfId="680" xr:uid="{00000000-0005-0000-0000-00007B030000}"/>
    <cellStyle name="Normal 82 3 2" xfId="1003" xr:uid="{00000000-0005-0000-0000-00007C030000}"/>
    <cellStyle name="Normal 82 4" xfId="1001" xr:uid="{00000000-0005-0000-0000-00007D030000}"/>
    <cellStyle name="Normal 83" xfId="681" xr:uid="{00000000-0005-0000-0000-00007E030000}"/>
    <cellStyle name="Normal 83 2" xfId="682" xr:uid="{00000000-0005-0000-0000-00007F030000}"/>
    <cellStyle name="Normal 83 2 2" xfId="1005" xr:uid="{00000000-0005-0000-0000-000080030000}"/>
    <cellStyle name="Normal 83 3" xfId="683" xr:uid="{00000000-0005-0000-0000-000081030000}"/>
    <cellStyle name="Normal 83 3 2" xfId="1006" xr:uid="{00000000-0005-0000-0000-000082030000}"/>
    <cellStyle name="Normal 83 4" xfId="1004" xr:uid="{00000000-0005-0000-0000-000083030000}"/>
    <cellStyle name="Normal 84" xfId="684" xr:uid="{00000000-0005-0000-0000-000084030000}"/>
    <cellStyle name="Normal 84 2" xfId="685" xr:uid="{00000000-0005-0000-0000-000085030000}"/>
    <cellStyle name="Normal 84 2 2" xfId="1008" xr:uid="{00000000-0005-0000-0000-000086030000}"/>
    <cellStyle name="Normal 84 3" xfId="686" xr:uid="{00000000-0005-0000-0000-000087030000}"/>
    <cellStyle name="Normal 84 3 2" xfId="1009" xr:uid="{00000000-0005-0000-0000-000088030000}"/>
    <cellStyle name="Normal 84 4" xfId="1007" xr:uid="{00000000-0005-0000-0000-000089030000}"/>
    <cellStyle name="Normal 85" xfId="687" xr:uid="{00000000-0005-0000-0000-00008A030000}"/>
    <cellStyle name="Normal 85 2" xfId="688" xr:uid="{00000000-0005-0000-0000-00008B030000}"/>
    <cellStyle name="Normal 85 2 2" xfId="1011" xr:uid="{00000000-0005-0000-0000-00008C030000}"/>
    <cellStyle name="Normal 85 3" xfId="689" xr:uid="{00000000-0005-0000-0000-00008D030000}"/>
    <cellStyle name="Normal 85 3 2" xfId="1012" xr:uid="{00000000-0005-0000-0000-00008E030000}"/>
    <cellStyle name="Normal 85 4" xfId="1010" xr:uid="{00000000-0005-0000-0000-00008F030000}"/>
    <cellStyle name="Normal 86" xfId="690" xr:uid="{00000000-0005-0000-0000-000090030000}"/>
    <cellStyle name="Normal 86 2" xfId="691" xr:uid="{00000000-0005-0000-0000-000091030000}"/>
    <cellStyle name="Normal 86 2 2" xfId="1014" xr:uid="{00000000-0005-0000-0000-000092030000}"/>
    <cellStyle name="Normal 86 3" xfId="692" xr:uid="{00000000-0005-0000-0000-000093030000}"/>
    <cellStyle name="Normal 86 3 2" xfId="1015" xr:uid="{00000000-0005-0000-0000-000094030000}"/>
    <cellStyle name="Normal 86 4" xfId="1013" xr:uid="{00000000-0005-0000-0000-000095030000}"/>
    <cellStyle name="Normal_maximum vacancy" xfId="13" xr:uid="{00000000-0005-0000-0000-000096030000}"/>
    <cellStyle name="Note 10" xfId="694" xr:uid="{00000000-0005-0000-0000-000097030000}"/>
    <cellStyle name="Note 10 2" xfId="695" xr:uid="{00000000-0005-0000-0000-000098030000}"/>
    <cellStyle name="Note 10 3" xfId="696" xr:uid="{00000000-0005-0000-0000-000099030000}"/>
    <cellStyle name="Note 11" xfId="697" xr:uid="{00000000-0005-0000-0000-00009A030000}"/>
    <cellStyle name="Note 11 2" xfId="698" xr:uid="{00000000-0005-0000-0000-00009B030000}"/>
    <cellStyle name="Note 11 3" xfId="699" xr:uid="{00000000-0005-0000-0000-00009C030000}"/>
    <cellStyle name="Note 12" xfId="700" xr:uid="{00000000-0005-0000-0000-00009D030000}"/>
    <cellStyle name="Note 12 2" xfId="701" xr:uid="{00000000-0005-0000-0000-00009E030000}"/>
    <cellStyle name="Note 12 3" xfId="702" xr:uid="{00000000-0005-0000-0000-00009F030000}"/>
    <cellStyle name="Note 13" xfId="703" xr:uid="{00000000-0005-0000-0000-0000A0030000}"/>
    <cellStyle name="Note 13 2" xfId="704" xr:uid="{00000000-0005-0000-0000-0000A1030000}"/>
    <cellStyle name="Note 13 3" xfId="705" xr:uid="{00000000-0005-0000-0000-0000A2030000}"/>
    <cellStyle name="Note 14" xfId="706" xr:uid="{00000000-0005-0000-0000-0000A3030000}"/>
    <cellStyle name="Note 14 2" xfId="707" xr:uid="{00000000-0005-0000-0000-0000A4030000}"/>
    <cellStyle name="Note 14 3" xfId="708" xr:uid="{00000000-0005-0000-0000-0000A5030000}"/>
    <cellStyle name="Note 15" xfId="693" xr:uid="{00000000-0005-0000-0000-0000A6030000}"/>
    <cellStyle name="Note 2" xfId="709" xr:uid="{00000000-0005-0000-0000-0000A7030000}"/>
    <cellStyle name="Note 2 10" xfId="710" xr:uid="{00000000-0005-0000-0000-0000A8030000}"/>
    <cellStyle name="Note 2 10 2" xfId="711" xr:uid="{00000000-0005-0000-0000-0000A9030000}"/>
    <cellStyle name="Note 2 10 3" xfId="712" xr:uid="{00000000-0005-0000-0000-0000AA030000}"/>
    <cellStyle name="Note 2 11" xfId="713" xr:uid="{00000000-0005-0000-0000-0000AB030000}"/>
    <cellStyle name="Note 2 11 2" xfId="714" xr:uid="{00000000-0005-0000-0000-0000AC030000}"/>
    <cellStyle name="Note 2 11 3" xfId="715" xr:uid="{00000000-0005-0000-0000-0000AD030000}"/>
    <cellStyle name="Note 2 12" xfId="716" xr:uid="{00000000-0005-0000-0000-0000AE030000}"/>
    <cellStyle name="Note 2 12 2" xfId="717" xr:uid="{00000000-0005-0000-0000-0000AF030000}"/>
    <cellStyle name="Note 2 12 3" xfId="718" xr:uid="{00000000-0005-0000-0000-0000B0030000}"/>
    <cellStyle name="Note 2 13" xfId="719" xr:uid="{00000000-0005-0000-0000-0000B1030000}"/>
    <cellStyle name="Note 2 13 2" xfId="720" xr:uid="{00000000-0005-0000-0000-0000B2030000}"/>
    <cellStyle name="Note 2 13 3" xfId="721" xr:uid="{00000000-0005-0000-0000-0000B3030000}"/>
    <cellStyle name="Note 2 14" xfId="722" xr:uid="{00000000-0005-0000-0000-0000B4030000}"/>
    <cellStyle name="Note 2 14 2" xfId="723" xr:uid="{00000000-0005-0000-0000-0000B5030000}"/>
    <cellStyle name="Note 2 14 3" xfId="724" xr:uid="{00000000-0005-0000-0000-0000B6030000}"/>
    <cellStyle name="Note 2 15" xfId="725" xr:uid="{00000000-0005-0000-0000-0000B7030000}"/>
    <cellStyle name="Note 2 16" xfId="726" xr:uid="{00000000-0005-0000-0000-0000B8030000}"/>
    <cellStyle name="Note 2 2" xfId="727" xr:uid="{00000000-0005-0000-0000-0000B9030000}"/>
    <cellStyle name="Note 2 2 2" xfId="728" xr:uid="{00000000-0005-0000-0000-0000BA030000}"/>
    <cellStyle name="Note 2 2 3" xfId="729" xr:uid="{00000000-0005-0000-0000-0000BB030000}"/>
    <cellStyle name="Note 2 3" xfId="730" xr:uid="{00000000-0005-0000-0000-0000BC030000}"/>
    <cellStyle name="Note 2 3 2" xfId="731" xr:uid="{00000000-0005-0000-0000-0000BD030000}"/>
    <cellStyle name="Note 2 3 3" xfId="732" xr:uid="{00000000-0005-0000-0000-0000BE030000}"/>
    <cellStyle name="Note 2 4" xfId="733" xr:uid="{00000000-0005-0000-0000-0000BF030000}"/>
    <cellStyle name="Note 2 4 2" xfId="734" xr:uid="{00000000-0005-0000-0000-0000C0030000}"/>
    <cellStyle name="Note 2 4 3" xfId="735" xr:uid="{00000000-0005-0000-0000-0000C1030000}"/>
    <cellStyle name="Note 2 5" xfId="736" xr:uid="{00000000-0005-0000-0000-0000C2030000}"/>
    <cellStyle name="Note 2 5 2" xfId="737" xr:uid="{00000000-0005-0000-0000-0000C3030000}"/>
    <cellStyle name="Note 2 5 3" xfId="738" xr:uid="{00000000-0005-0000-0000-0000C4030000}"/>
    <cellStyle name="Note 2 6" xfId="739" xr:uid="{00000000-0005-0000-0000-0000C5030000}"/>
    <cellStyle name="Note 2 6 2" xfId="740" xr:uid="{00000000-0005-0000-0000-0000C6030000}"/>
    <cellStyle name="Note 2 6 3" xfId="741" xr:uid="{00000000-0005-0000-0000-0000C7030000}"/>
    <cellStyle name="Note 2 7" xfId="742" xr:uid="{00000000-0005-0000-0000-0000C8030000}"/>
    <cellStyle name="Note 2 7 2" xfId="743" xr:uid="{00000000-0005-0000-0000-0000C9030000}"/>
    <cellStyle name="Note 2 7 3" xfId="744" xr:uid="{00000000-0005-0000-0000-0000CA030000}"/>
    <cellStyle name="Note 2 8" xfId="745" xr:uid="{00000000-0005-0000-0000-0000CB030000}"/>
    <cellStyle name="Note 2 8 2" xfId="746" xr:uid="{00000000-0005-0000-0000-0000CC030000}"/>
    <cellStyle name="Note 2 8 3" xfId="747" xr:uid="{00000000-0005-0000-0000-0000CD030000}"/>
    <cellStyle name="Note 2 9" xfId="748" xr:uid="{00000000-0005-0000-0000-0000CE030000}"/>
    <cellStyle name="Note 2 9 2" xfId="749" xr:uid="{00000000-0005-0000-0000-0000CF030000}"/>
    <cellStyle name="Note 2 9 3" xfId="750" xr:uid="{00000000-0005-0000-0000-0000D0030000}"/>
    <cellStyle name="Note 3" xfId="751" xr:uid="{00000000-0005-0000-0000-0000D1030000}"/>
    <cellStyle name="Note 3 2" xfId="752" xr:uid="{00000000-0005-0000-0000-0000D2030000}"/>
    <cellStyle name="Note 3 2 2" xfId="753" xr:uid="{00000000-0005-0000-0000-0000D3030000}"/>
    <cellStyle name="Note 3 2 3" xfId="754" xr:uid="{00000000-0005-0000-0000-0000D4030000}"/>
    <cellStyle name="Note 3 3" xfId="755" xr:uid="{00000000-0005-0000-0000-0000D5030000}"/>
    <cellStyle name="Note 3 3 2" xfId="756" xr:uid="{00000000-0005-0000-0000-0000D6030000}"/>
    <cellStyle name="Note 3 3 3" xfId="757" xr:uid="{00000000-0005-0000-0000-0000D7030000}"/>
    <cellStyle name="Note 3 4" xfId="758" xr:uid="{00000000-0005-0000-0000-0000D8030000}"/>
    <cellStyle name="Note 3 4 2" xfId="759" xr:uid="{00000000-0005-0000-0000-0000D9030000}"/>
    <cellStyle name="Note 3 4 3" xfId="760" xr:uid="{00000000-0005-0000-0000-0000DA030000}"/>
    <cellStyle name="Note 3 5" xfId="761" xr:uid="{00000000-0005-0000-0000-0000DB030000}"/>
    <cellStyle name="Note 3 6" xfId="762" xr:uid="{00000000-0005-0000-0000-0000DC030000}"/>
    <cellStyle name="Note 4" xfId="763" xr:uid="{00000000-0005-0000-0000-0000DD030000}"/>
    <cellStyle name="Note 4 2" xfId="764" xr:uid="{00000000-0005-0000-0000-0000DE030000}"/>
    <cellStyle name="Note 4 3" xfId="765" xr:uid="{00000000-0005-0000-0000-0000DF030000}"/>
    <cellStyle name="Note 5" xfId="766" xr:uid="{00000000-0005-0000-0000-0000E0030000}"/>
    <cellStyle name="Note 5 2" xfId="767" xr:uid="{00000000-0005-0000-0000-0000E1030000}"/>
    <cellStyle name="Note 5 3" xfId="768" xr:uid="{00000000-0005-0000-0000-0000E2030000}"/>
    <cellStyle name="Note 6" xfId="769" xr:uid="{00000000-0005-0000-0000-0000E3030000}"/>
    <cellStyle name="Note 6 2" xfId="770" xr:uid="{00000000-0005-0000-0000-0000E4030000}"/>
    <cellStyle name="Note 6 3" xfId="771" xr:uid="{00000000-0005-0000-0000-0000E5030000}"/>
    <cellStyle name="Note 7" xfId="772" xr:uid="{00000000-0005-0000-0000-0000E6030000}"/>
    <cellStyle name="Note 7 2" xfId="773" xr:uid="{00000000-0005-0000-0000-0000E7030000}"/>
    <cellStyle name="Note 7 3" xfId="774" xr:uid="{00000000-0005-0000-0000-0000E8030000}"/>
    <cellStyle name="Note 8" xfId="775" xr:uid="{00000000-0005-0000-0000-0000E9030000}"/>
    <cellStyle name="Note 8 2" xfId="776" xr:uid="{00000000-0005-0000-0000-0000EA030000}"/>
    <cellStyle name="Note 8 3" xfId="777" xr:uid="{00000000-0005-0000-0000-0000EB030000}"/>
    <cellStyle name="Note 9" xfId="778" xr:uid="{00000000-0005-0000-0000-0000EC030000}"/>
    <cellStyle name="Note 9 2" xfId="779" xr:uid="{00000000-0005-0000-0000-0000ED030000}"/>
    <cellStyle name="Note 9 3" xfId="780" xr:uid="{00000000-0005-0000-0000-0000EE030000}"/>
    <cellStyle name="Output 2" xfId="781" xr:uid="{00000000-0005-0000-0000-0000EF030000}"/>
    <cellStyle name="Percent" xfId="1" builtinId="5"/>
    <cellStyle name="Percent 15" xfId="783" xr:uid="{00000000-0005-0000-0000-0000F1030000}"/>
    <cellStyle name="Percent 15 2" xfId="784" xr:uid="{00000000-0005-0000-0000-0000F2030000}"/>
    <cellStyle name="Percent 15 3" xfId="785" xr:uid="{00000000-0005-0000-0000-0000F3030000}"/>
    <cellStyle name="Percent 2" xfId="15" xr:uid="{00000000-0005-0000-0000-0000F4030000}"/>
    <cellStyle name="Percent 2 2" xfId="786" xr:uid="{00000000-0005-0000-0000-0000F5030000}"/>
    <cellStyle name="Percent 3" xfId="29" xr:uid="{00000000-0005-0000-0000-0000F6030000}"/>
    <cellStyle name="Percent 3 2" xfId="782" xr:uid="{00000000-0005-0000-0000-0000F7030000}"/>
    <cellStyle name="Percent 4" xfId="17" xr:uid="{00000000-0005-0000-0000-0000F8030000}"/>
    <cellStyle name="Percent 9" xfId="21" xr:uid="{00000000-0005-0000-0000-0000F9030000}"/>
    <cellStyle name="Title 2" xfId="787" xr:uid="{00000000-0005-0000-0000-0000FA030000}"/>
    <cellStyle name="Total 2" xfId="788" xr:uid="{00000000-0005-0000-0000-0000FB030000}"/>
    <cellStyle name="Warning Text 2" xfId="789" xr:uid="{00000000-0005-0000-0000-0000FC030000}"/>
  </cellStyles>
  <dxfs count="86">
    <dxf>
      <font>
        <b val="0"/>
        <i val="0"/>
        <strike val="0"/>
        <color rgb="FFFF0000"/>
      </font>
      <fill>
        <patternFill>
          <bgColor theme="0"/>
        </patternFill>
      </fill>
    </dxf>
    <dxf>
      <font>
        <color rgb="FFFF0000"/>
      </font>
    </dxf>
    <dxf>
      <font>
        <color rgb="FFFF0000"/>
      </font>
    </dxf>
    <dxf>
      <fill>
        <patternFill>
          <bgColor rgb="FFE3F2F1"/>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ill>
        <patternFill patternType="solid">
          <fgColor rgb="FFB7E1CD"/>
          <bgColor rgb="FFB7E1CD"/>
        </patternFill>
      </fill>
    </dxf>
    <dxf>
      <font>
        <b/>
        <color theme="5"/>
      </font>
      <fill>
        <patternFill patternType="solid">
          <fgColor rgb="FFF2DBDB"/>
          <bgColor rgb="FFF2DBDB"/>
        </patternFill>
      </fill>
    </dxf>
    <dxf>
      <font>
        <color theme="0"/>
      </font>
      <fill>
        <patternFill patternType="none"/>
      </fill>
    </dxf>
    <dxf>
      <font>
        <b/>
      </font>
      <fill>
        <patternFill patternType="solid">
          <fgColor rgb="FFE5B8B7"/>
          <bgColor rgb="FFE5B8B7"/>
        </patternFill>
      </fill>
    </dxf>
    <dxf>
      <font>
        <b/>
      </font>
      <fill>
        <patternFill patternType="solid">
          <fgColor rgb="FFC2D69B"/>
          <bgColor rgb="FFC2D69B"/>
        </patternFill>
      </fill>
    </dxf>
    <dxf>
      <font>
        <color theme="0"/>
      </font>
      <fill>
        <patternFill patternType="none"/>
      </fill>
    </dxf>
    <dxf>
      <font>
        <b/>
        <i val="0"/>
        <color rgb="FF92D050"/>
      </font>
    </dxf>
    <dxf>
      <font>
        <b/>
        <i val="0"/>
        <color rgb="FF92D050"/>
      </font>
    </dxf>
    <dxf>
      <font>
        <b/>
        <i val="0"/>
        <color rgb="FF92D050"/>
      </font>
    </dxf>
    <dxf>
      <font>
        <b/>
        <i val="0"/>
        <color rgb="FF92D050"/>
      </font>
    </dxf>
    <dxf>
      <font>
        <b/>
        <i val="0"/>
        <color rgb="FF92D050"/>
      </font>
    </dxf>
    <dxf>
      <font>
        <b/>
        <i val="0"/>
        <color rgb="FF92D050"/>
      </font>
    </dxf>
    <dxf>
      <font>
        <b/>
        <i val="0"/>
        <color rgb="FF92D050"/>
      </font>
    </dxf>
    <dxf>
      <font>
        <b/>
        <i val="0"/>
        <color rgb="FF92D050"/>
      </font>
    </dxf>
    <dxf>
      <font>
        <b/>
        <i val="0"/>
        <color rgb="FF92D050"/>
      </font>
    </dxf>
    <dxf>
      <font>
        <b/>
        <i val="0"/>
        <color rgb="FF92D050"/>
      </font>
    </dxf>
    <dxf>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alignment horizontal="general" vertical="center" textRotation="0" wrapText="0" indent="0" justifyLastLine="0" shrinkToFit="0" readingOrder="0"/>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9"/>
        <color rgb="FF00B050"/>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ill>
        <patternFill patternType="none">
          <fgColor indexed="64"/>
          <bgColor indexed="65"/>
        </patternFill>
      </fill>
      <protection locked="1" hidden="0"/>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numFmt numFmtId="2" formatCode="0.00"/>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protection locked="1" hidden="0"/>
    </dxf>
    <dxf>
      <font>
        <b/>
        <i val="0"/>
        <strike val="0"/>
        <condense val="0"/>
        <extend val="0"/>
        <outline val="0"/>
        <shadow val="0"/>
        <u val="none"/>
        <vertAlign val="baseline"/>
        <sz val="11"/>
        <color theme="1"/>
        <name val="Calibri"/>
        <scheme val="minor"/>
      </font>
      <protection locked="1" hidden="0"/>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protection locked="1" hidden="0"/>
    </dxf>
    <dxf>
      <font>
        <b/>
        <i val="0"/>
        <strike val="0"/>
        <condense val="0"/>
        <extend val="0"/>
        <outline val="0"/>
        <shadow val="0"/>
        <u val="none"/>
        <vertAlign val="baseline"/>
        <sz val="11"/>
        <color theme="1"/>
        <name val="Calibri"/>
        <scheme val="minor"/>
      </font>
    </dxf>
    <dxf>
      <protection locked="1" hidden="0"/>
    </dxf>
    <dxf>
      <fill>
        <patternFill patternType="none">
          <fgColor indexed="64"/>
          <bgColor indexed="65"/>
        </patternFill>
      </fill>
      <protection locked="1" hidden="0"/>
    </dxf>
    <dxf>
      <protection locked="1" hidden="0"/>
    </dxf>
    <dxf>
      <protection locked="1" hidden="0"/>
    </dxf>
    <dxf>
      <protection locked="1" hidden="0"/>
    </dxf>
    <dxf>
      <protection locked="1" hidden="0"/>
    </dxf>
    <dxf>
      <font>
        <b/>
        <i val="0"/>
        <strike val="0"/>
        <condense val="0"/>
        <extend val="0"/>
        <outline val="0"/>
        <shadow val="0"/>
        <u val="none"/>
        <vertAlign val="baseline"/>
        <sz val="11"/>
        <color theme="1"/>
        <name val="Calibri"/>
        <scheme val="minor"/>
      </font>
    </dxf>
    <dxf>
      <numFmt numFmtId="3" formatCode="#,##0"/>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protection locked="1" hidden="0"/>
    </dxf>
    <dxf>
      <fill>
        <patternFill patternType="none">
          <fgColor indexed="64"/>
          <bgColor indexed="65"/>
        </patternFill>
      </fill>
      <protection locked="1" hidden="0"/>
    </dxf>
    <dxf>
      <fill>
        <patternFill patternType="none">
          <fgColor indexed="64"/>
          <bgColor indexed="65"/>
        </patternFill>
      </fill>
      <protection locked="1" hidden="0"/>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numFmt numFmtId="2" formatCode="0.00"/>
    </dxf>
    <dxf>
      <numFmt numFmtId="2" formatCode="0.00"/>
    </dxf>
    <dxf>
      <protection locked="1" hidden="0"/>
    </dxf>
    <dxf>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solid">
          <fgColor indexed="64"/>
          <bgColor theme="0"/>
        </patternFill>
      </fill>
      <border diagonalUp="0" diagonalDown="0">
        <left style="medium">
          <color theme="4"/>
        </left>
        <right style="medium">
          <color theme="4"/>
        </right>
        <top style="medium">
          <color theme="4"/>
        </top>
        <bottom style="medium">
          <color theme="4"/>
        </bottom>
        <vertical/>
        <horizontal/>
      </border>
    </dxf>
    <dxf>
      <numFmt numFmtId="1" formatCode="0"/>
      <fill>
        <patternFill patternType="solid">
          <fgColor indexed="64"/>
          <bgColor theme="0"/>
        </patternFill>
      </fill>
      <border diagonalUp="0" diagonalDown="0">
        <left style="medium">
          <color theme="4"/>
        </left>
        <right style="medium">
          <color theme="4"/>
        </right>
        <top style="medium">
          <color theme="4"/>
        </top>
        <bottom style="medium">
          <color theme="4"/>
        </bottom>
        <vertical/>
        <horizontal/>
      </border>
    </dxf>
    <dxf>
      <numFmt numFmtId="1" formatCode="0"/>
      <fill>
        <patternFill patternType="solid">
          <fgColor indexed="64"/>
          <bgColor theme="0"/>
        </patternFill>
      </fill>
      <border diagonalUp="0" diagonalDown="0">
        <left style="medium">
          <color theme="4"/>
        </left>
        <right style="medium">
          <color theme="4"/>
        </right>
        <top style="medium">
          <color theme="4"/>
        </top>
        <bottom style="medium">
          <color theme="4"/>
        </bottom>
        <vertical/>
        <horizontal/>
      </border>
    </dxf>
    <dxf>
      <numFmt numFmtId="1" formatCode="0"/>
    </dxf>
  </dxfs>
  <tableStyles count="0" defaultTableStyle="TableStyleMedium2" defaultPivotStyle="PivotStyleLight16"/>
  <colors>
    <mruColors>
      <color rgb="FFF907C5"/>
      <color rgb="FF9966FF"/>
      <color rgb="FFFFFFCC"/>
      <color rgb="FFFCF7D1"/>
      <color rgb="FFB2D6D7"/>
      <color rgb="FF66FFFF"/>
      <color rgb="FF99C9D7"/>
      <color rgb="FF00789C"/>
      <color rgb="FF26808E"/>
      <color rgb="FF5585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styles" Target="styles.xml"/><Relationship Id="rId42"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microsoft.com/office/2017/10/relationships/person" Target="persons/person.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onnections" Target="connections.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8</xdr:col>
      <xdr:colOff>304800</xdr:colOff>
      <xdr:row>0</xdr:row>
      <xdr:rowOff>171450</xdr:rowOff>
    </xdr:from>
    <xdr:ext cx="3857625" cy="676275"/>
    <xdr:pic>
      <xdr:nvPicPr>
        <xdr:cNvPr id="2" name="image2.png" title="Image">
          <a:extLst>
            <a:ext uri="{FF2B5EF4-FFF2-40B4-BE49-F238E27FC236}">
              <a16:creationId xmlns:a16="http://schemas.microsoft.com/office/drawing/2014/main" id="{B5D0CBED-2718-4F80-A783-629831BF9500}"/>
            </a:ext>
          </a:extLst>
        </xdr:cNvPr>
        <xdr:cNvPicPr preferRelativeResize="0"/>
      </xdr:nvPicPr>
      <xdr:blipFill>
        <a:blip xmlns:r="http://schemas.openxmlformats.org/officeDocument/2006/relationships" r:embed="rId1" cstate="print"/>
        <a:stretch>
          <a:fillRect/>
        </a:stretch>
      </xdr:blipFill>
      <xdr:spPr>
        <a:xfrm>
          <a:off x="5242560" y="171450"/>
          <a:ext cx="3857625" cy="67627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8</xdr:col>
      <xdr:colOff>1990725</xdr:colOff>
      <xdr:row>0</xdr:row>
      <xdr:rowOff>171450</xdr:rowOff>
    </xdr:from>
    <xdr:ext cx="3876675" cy="704850"/>
    <xdr:pic>
      <xdr:nvPicPr>
        <xdr:cNvPr id="2" name="image1.png" title="Image">
          <a:extLst>
            <a:ext uri="{FF2B5EF4-FFF2-40B4-BE49-F238E27FC236}">
              <a16:creationId xmlns:a16="http://schemas.microsoft.com/office/drawing/2014/main" id="{1499B02E-EDC0-428C-9A20-C05DCABF2C94}"/>
            </a:ext>
          </a:extLst>
        </xdr:cNvPr>
        <xdr:cNvPicPr preferRelativeResize="0"/>
      </xdr:nvPicPr>
      <xdr:blipFill>
        <a:blip xmlns:r="http://schemas.openxmlformats.org/officeDocument/2006/relationships" r:embed="rId1" cstate="print"/>
        <a:stretch>
          <a:fillRect/>
        </a:stretch>
      </xdr:blipFill>
      <xdr:spPr>
        <a:xfrm>
          <a:off x="6174105" y="171450"/>
          <a:ext cx="3876675" cy="7048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7</xdr:col>
      <xdr:colOff>1057275</xdr:colOff>
      <xdr:row>0</xdr:row>
      <xdr:rowOff>85725</xdr:rowOff>
    </xdr:from>
    <xdr:ext cx="3876675" cy="704850"/>
    <xdr:pic>
      <xdr:nvPicPr>
        <xdr:cNvPr id="2" name="image1.png" title="Image">
          <a:extLst>
            <a:ext uri="{FF2B5EF4-FFF2-40B4-BE49-F238E27FC236}">
              <a16:creationId xmlns:a16="http://schemas.microsoft.com/office/drawing/2014/main" id="{611F501A-66E8-4112-A382-90F4F85CB0CB}"/>
            </a:ext>
          </a:extLst>
        </xdr:cNvPr>
        <xdr:cNvPicPr preferRelativeResize="0"/>
      </xdr:nvPicPr>
      <xdr:blipFill>
        <a:blip xmlns:r="http://schemas.openxmlformats.org/officeDocument/2006/relationships" r:embed="rId1" cstate="print"/>
        <a:stretch>
          <a:fillRect/>
        </a:stretch>
      </xdr:blipFill>
      <xdr:spPr>
        <a:xfrm>
          <a:off x="7130415" y="85725"/>
          <a:ext cx="3876675" cy="7048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19050</xdr:colOff>
      <xdr:row>5</xdr:row>
      <xdr:rowOff>228600</xdr:rowOff>
    </xdr:from>
    <xdr:ext cx="3876675" cy="704850"/>
    <xdr:pic>
      <xdr:nvPicPr>
        <xdr:cNvPr id="2" name="image1.png" title="Image">
          <a:extLst>
            <a:ext uri="{FF2B5EF4-FFF2-40B4-BE49-F238E27FC236}">
              <a16:creationId xmlns:a16="http://schemas.microsoft.com/office/drawing/2014/main" id="{4232287A-7030-4063-BD49-854E9BA8E779}"/>
            </a:ext>
          </a:extLst>
        </xdr:cNvPr>
        <xdr:cNvPicPr preferRelativeResize="0"/>
      </xdr:nvPicPr>
      <xdr:blipFill>
        <a:blip xmlns:r="http://schemas.openxmlformats.org/officeDocument/2006/relationships" r:embed="rId1" cstate="print"/>
        <a:stretch>
          <a:fillRect/>
        </a:stretch>
      </xdr:blipFill>
      <xdr:spPr>
        <a:xfrm>
          <a:off x="910590" y="1097280"/>
          <a:ext cx="3876675" cy="7048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9</xdr:col>
      <xdr:colOff>533400</xdr:colOff>
      <xdr:row>1</xdr:row>
      <xdr:rowOff>161925</xdr:rowOff>
    </xdr:from>
    <xdr:ext cx="3876675" cy="704850"/>
    <xdr:pic>
      <xdr:nvPicPr>
        <xdr:cNvPr id="2" name="image1.png" title="Image">
          <a:extLst>
            <a:ext uri="{FF2B5EF4-FFF2-40B4-BE49-F238E27FC236}">
              <a16:creationId xmlns:a16="http://schemas.microsoft.com/office/drawing/2014/main" id="{654FF855-5005-48C8-9F74-222CF910A629}"/>
            </a:ext>
          </a:extLst>
        </xdr:cNvPr>
        <xdr:cNvPicPr preferRelativeResize="0"/>
      </xdr:nvPicPr>
      <xdr:blipFill>
        <a:blip xmlns:r="http://schemas.openxmlformats.org/officeDocument/2006/relationships" r:embed="rId1" cstate="print"/>
        <a:stretch>
          <a:fillRect/>
        </a:stretch>
      </xdr:blipFill>
      <xdr:spPr>
        <a:xfrm>
          <a:off x="8557260" y="344805"/>
          <a:ext cx="3876675" cy="704850"/>
        </a:xfrm>
        <a:prstGeom prst="rect">
          <a:avLst/>
        </a:prstGeom>
        <a:noFill/>
      </xdr:spPr>
    </xdr:pic>
    <xdr:clientData fLocksWithSheet="0"/>
  </xdr:oneCellAnchor>
</xdr:wsDr>
</file>

<file path=xl/persons/person.xml><?xml version="1.0" encoding="utf-8"?>
<personList xmlns="http://schemas.microsoft.com/office/spreadsheetml/2018/threadedcomments" xmlns:x="http://schemas.openxmlformats.org/spreadsheetml/2006/main">
  <person displayName="Paula Harrison" id="{6EE1915F-6B87-428B-94CA-90AFDE4F1385}" userId="S::pharrison@chfainfo.com::12c0a963-15c7-44bf-8890-63ba79adea86"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6A2E1AA7-3036-4A12-9174-0C5CF432325B}" name="Table47" displayName="Table47" ref="F49:F55" totalsRowShown="0">
  <autoFilter ref="F49:F55" xr:uid="{6A2E1AA7-3036-4A12-9174-0C5CF432325B}"/>
  <tableColumns count="1">
    <tableColumn id="1" xr3:uid="{F0287D5D-8698-4148-B1DD-B36693A0FFC1}" name="Column1"/>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8000000}" name="Project_Type_Table" displayName="Project_Type_Table" ref="A10:E15" totalsRowShown="0" headerRowDxfId="66" dataDxfId="65">
  <autoFilter ref="A10:E15" xr:uid="{00000000-0009-0000-0100-000004000000}"/>
  <tableColumns count="5">
    <tableColumn id="1" xr3:uid="{00000000-0010-0000-0800-000001000000}" name="Project  Type" dataDxfId="64"/>
    <tableColumn id="2" xr3:uid="{00000000-0010-0000-0800-000002000000}" name="Has Acq/Rehab" dataDxfId="63"/>
    <tableColumn id="3" xr3:uid="{00000000-0010-0000-0800-000003000000}" name="Has New Construction" dataDxfId="62"/>
    <tableColumn id="4" xr3:uid="{00000000-0010-0000-0800-000004000000}" name="Has Rehab" dataDxfId="61"/>
    <tableColumn id="5" xr3:uid="{09C2C332-193A-40C2-BD94-F88FC6739CCF}" name="Radon Migitgation" dataDxfId="60"/>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9000000}" name="Site_Control_Table" displayName="Site_Control_Table" ref="A45:A48" totalsRowShown="0" headerRowDxfId="59">
  <autoFilter ref="A45:A48" xr:uid="{00000000-0009-0000-0100-000005000000}"/>
  <tableColumns count="1">
    <tableColumn id="1" xr3:uid="{00000000-0010-0000-0900-000001000000}" name="Site Control"/>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A000000}" name="Historic_Rehabilitation_Tax_Credits_Table" displayName="Historic_Rehabilitation_Tax_Credits_Table" ref="C45:C48" totalsRowShown="0" headerRowDxfId="58">
  <autoFilter ref="C45:C48" xr:uid="{00000000-0009-0000-0100-000006000000}"/>
  <tableColumns count="1">
    <tableColumn id="1" xr3:uid="{00000000-0010-0000-0A00-000001000000}" name="Historic Rehabilitation Tax Credits"/>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B000000}" name="Type_of_Units_Housing_Table" displayName="Type_of_Units_Housing_Table" ref="A36:A40" totalsRowShown="0" headerRowDxfId="57">
  <autoFilter ref="A36:A40" xr:uid="{00000000-0009-0000-0100-000007000000}"/>
  <tableColumns count="1">
    <tableColumn id="1" xr3:uid="{00000000-0010-0000-0B00-000001000000}" name="Type of Units/Housing"/>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C000000}" name="Building_Construction_Table" displayName="Building_Construction_Table" ref="F36:H39" totalsRowShown="0" headerRowDxfId="56">
  <autoFilter ref="F36:H39" xr:uid="{00000000-0009-0000-0100-000008000000}"/>
  <tableColumns count="3">
    <tableColumn id="1" xr3:uid="{00000000-0010-0000-0C00-000001000000}" name="Building Construction"/>
    <tableColumn id="2" xr3:uid="{00000000-0010-0000-0C00-000002000000}" name="Podium"/>
    <tableColumn id="3" xr3:uid="{00000000-0010-0000-0C00-000003000000}" name="Underground Parking"/>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D000000}" name="Building_Type_Table" displayName="Building_Type_Table" ref="C36:D38" totalsRowShown="0" headerRowDxfId="55">
  <autoFilter ref="C36:D38" xr:uid="{00000000-0009-0000-0100-000009000000}"/>
  <tableColumns count="2">
    <tableColumn id="1" xr3:uid="{00000000-0010-0000-0D00-000001000000}" name="Building Type"/>
    <tableColumn id="2" xr3:uid="{00000000-0010-0000-0D00-000002000000}" name="Basis Limit test Index"/>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E000000}" name="Income_Level_Table" displayName="Income_Level_Table" ref="A62:B71" totalsRowShown="0" headerRowDxfId="54" dataDxfId="53" dataCellStyle="Percent">
  <autoFilter ref="A62:B71" xr:uid="{00000000-0009-0000-0100-00000A000000}"/>
  <sortState xmlns:xlrd2="http://schemas.microsoft.com/office/spreadsheetml/2017/richdata2" ref="A63:B71">
    <sortCondition ref="A62:A71"/>
  </sortState>
  <tableColumns count="2">
    <tableColumn id="1" xr3:uid="{00000000-0010-0000-0E00-000001000000}" name="Income Level" dataDxfId="52" dataCellStyle="Percent"/>
    <tableColumn id="2" xr3:uid="{00000000-0010-0000-0E00-000002000000}" name="Scoring Weight" dataDxfId="51" dataCellStyle="Percent"/>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F000000}" name="Unit_Mix_Type_Table" displayName="Unit_Mix_Type_Table" ref="E62:G87" totalsRowShown="0" headerRowDxfId="50">
  <autoFilter ref="E62:G87" xr:uid="{00000000-0009-0000-0100-00000B000000}"/>
  <sortState xmlns:xlrd2="http://schemas.microsoft.com/office/spreadsheetml/2017/richdata2" ref="E63:G87">
    <sortCondition ref="E62:E87"/>
  </sortState>
  <tableColumns count="3">
    <tableColumn id="1" xr3:uid="{00000000-0010-0000-0F00-000001000000}" name="Unit Mix Type"/>
    <tableColumn id="2" xr3:uid="{00000000-0010-0000-0F00-000002000000}" name="Bedrooms" dataDxfId="49"/>
    <tableColumn id="3" xr3:uid="{00000000-0010-0000-0F00-000003000000}" name="Has Max Rent"/>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0000000}" name="Scoring_Threshold_Table" displayName="Scoring_Threshold_Table" ref="A90:B93" totalsRowShown="0" headerRowDxfId="48">
  <autoFilter ref="A90:B93" xr:uid="{00000000-0009-0000-0100-00000C000000}"/>
  <sortState xmlns:xlrd2="http://schemas.microsoft.com/office/spreadsheetml/2017/richdata2" ref="A91:B93">
    <sortCondition ref="A90:A93"/>
  </sortState>
  <tableColumns count="2">
    <tableColumn id="1" xr3:uid="{00000000-0010-0000-1000-000001000000}" name="Scoring Threshold"/>
    <tableColumn id="2" xr3:uid="{00000000-0010-0000-1000-000002000000}" name="Score 60%"/>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1000000}" name="Very_Very_Low_Income_Targeting_Table" displayName="Very_Very_Low_Income_Targeting_Table" ref="A96:B100" totalsRowShown="0" headerRowDxfId="47">
  <autoFilter ref="A96:B100" xr:uid="{00000000-0009-0000-0100-00000D000000}"/>
  <tableColumns count="2">
    <tableColumn id="1" xr3:uid="{00000000-0010-0000-1100-000001000000}" name="Very, Very Low-Income Targeting"/>
    <tableColumn id="2" xr3:uid="{00000000-0010-0000-1100-000002000000}" name="Scor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0000000}" name="SADDA_Zip_Table" displayName="SADDA_Zip_Table" ref="A188:A219" totalsRowShown="0">
  <autoFilter ref="A188:A219" xr:uid="{00000000-0009-0000-0100-00001C000000}"/>
  <sortState xmlns:xlrd2="http://schemas.microsoft.com/office/spreadsheetml/2017/richdata2" ref="A189:A219">
    <sortCondition ref="A190:A219"/>
  </sortState>
  <tableColumns count="1">
    <tableColumn id="1" xr3:uid="{00000000-0010-0000-0000-000001000000}" name="SADDA Zip" dataDxfId="85"/>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2000000}" name="Extended_Low_Income_Use_Table" displayName="Extended_Low_Income_Use_Table" ref="A104:C106" totalsRowShown="0" headerRowDxfId="46">
  <autoFilter ref="A104:C106" xr:uid="{00000000-0009-0000-0100-00000E000000}"/>
  <tableColumns count="3">
    <tableColumn id="1" xr3:uid="{00000000-0010-0000-1200-000001000000}" name="Extended Low-Income Use"/>
    <tableColumn id="2" xr3:uid="{00000000-0010-0000-1200-000002000000}" name="Years"/>
    <tableColumn id="3" xr3:uid="{00000000-0010-0000-1200-000003000000}" name="Score"/>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4000000}" name="Tenant_Population_with_Special_Housing_Needs_Table" displayName="Tenant_Population_with_Special_Housing_Needs_Table" ref="A110:C113" totalsRowShown="0" headerRowDxfId="45">
  <autoFilter ref="A110:C113" xr:uid="{00000000-0009-0000-0100-000010000000}"/>
  <tableColumns count="3">
    <tableColumn id="1" xr3:uid="{00000000-0010-0000-1400-000001000000}" name="Tenant Population with Special Housing Needs"/>
    <tableColumn id="2" xr3:uid="{00000000-0010-0000-1400-000002000000}" name="Score"/>
    <tableColumn id="3" xr3:uid="{00000000-0010-0000-1400-000003000000}" name="IsHomelessOption"/>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5000000}" name="Residential_Loan_Type_Table" displayName="Residential_Loan_Type_Table" ref="A118:A120" totalsRowShown="0" headerRowDxfId="44">
  <autoFilter ref="A118:A120" xr:uid="{00000000-0009-0000-0100-000011000000}"/>
  <tableColumns count="1">
    <tableColumn id="1" xr3:uid="{00000000-0010-0000-1500-000001000000}" name="Residential Loan Type"/>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6000000}" name="Developer_Additional_Question_Table" displayName="Developer_Additional_Question_Table" ref="A125:D127" totalsRowShown="0" headerRowDxfId="43">
  <autoFilter ref="A125:D127" xr:uid="{00000000-0009-0000-0100-000012000000}"/>
  <tableColumns count="4">
    <tableColumn id="1" xr3:uid="{00000000-0010-0000-1600-000001000000}" name="Developer Additional Question"/>
    <tableColumn id="2" xr3:uid="{00000000-0010-0000-1600-000002000000}" name="Dev Fee Max Allowed Percent 1" dataCellStyle="Percent"/>
    <tableColumn id="3" xr3:uid="{00000000-0010-0000-1600-000003000000}" name="Dev Fee Max Allowed Percent 2" dataCellStyle="Percent"/>
    <tableColumn id="4" xr3:uid="{00000000-0010-0000-1600-000004000000}" name="Dev Fee Max Allowed Percent 3" dataCellStyle="Percent"/>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7000000}" name="Legal_Status_Table" displayName="Legal_Status_Table" ref="A131:C145" totalsRowShown="0" headerRowDxfId="42">
  <autoFilter ref="A131:C145" xr:uid="{00000000-0009-0000-0100-000013000000}"/>
  <tableColumns count="3">
    <tableColumn id="1" xr3:uid="{00000000-0010-0000-1700-000001000000}" name="Legal Status"/>
    <tableColumn id="2" xr3:uid="{00000000-0010-0000-1700-000002000000}" name="Is Non Profit" dataDxfId="41" dataCellStyle="Percent"/>
    <tableColumn id="3" xr3:uid="{C0DF6699-5128-4F78-8453-C624BAB00621}" name="Entity Proxy Type "/>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8000000}" name="Bond_Placement_Table" displayName="Bond_Placement_Table" ref="F131:G133" totalsRowShown="0" headerRowDxfId="40">
  <autoFilter ref="F131:G133" xr:uid="{00000000-0009-0000-0100-000014000000}"/>
  <tableColumns count="2">
    <tableColumn id="1" xr3:uid="{00000000-0010-0000-1800-000001000000}" name="Bond Placement"/>
    <tableColumn id="2" xr3:uid="{00000000-0010-0000-1800-000002000000}" name="Is Public"/>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9000000}" name="Entity_Type_Table" displayName="Entity_Type_Table" ref="D131:E134" totalsRowShown="0" headerRowDxfId="39">
  <autoFilter ref="D131:E134" xr:uid="{00000000-0009-0000-0100-000015000000}"/>
  <tableColumns count="2">
    <tableColumn id="1" xr3:uid="{00000000-0010-0000-1900-000001000000}" name="Entity Type"/>
    <tableColumn id="2" xr3:uid="{E4CBEBF7-A69C-421D-B0C4-D88170A554BB}" name="Gender"/>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A000000}" name="Number_of_beds_per_room_Table" displayName="Number_of_beds_per_room_Table" ref="A154:A156" totalsRowShown="0" headerRowDxfId="38">
  <autoFilter ref="A154:A156" xr:uid="{00000000-0009-0000-0100-000016000000}"/>
  <tableColumns count="1">
    <tableColumn id="1" xr3:uid="{00000000-0010-0000-1A00-000001000000}" name="Number of beds per room"/>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B000000}" name="Utilitiy_Model_Table" displayName="Utilitiy_Model_Table" ref="C154:C158" totalsRowShown="0">
  <autoFilter ref="C154:C158" xr:uid="{00000000-0009-0000-0100-000017000000}"/>
  <tableColumns count="1">
    <tableColumn id="1" xr3:uid="{00000000-0010-0000-1B00-000001000000}" name="Utilitiy Model"/>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C000000}" name="Cable_Table" displayName="Cable_Table" ref="E154:E157" totalsRowShown="0">
  <autoFilter ref="E154:E157" xr:uid="{00000000-0009-0000-0100-000018000000}"/>
  <tableColumns count="1">
    <tableColumn id="1" xr3:uid="{00000000-0010-0000-1C00-000001000000}" name="Cable"/>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1000000}" name="Dev_Fee_Aggregate_Max_Allowed_Table" displayName="Dev_Fee_Aggregate_Max_Allowed_Table" ref="A76:D78" totalsRowShown="0">
  <autoFilter ref="A76:D78" xr:uid="{00000000-0009-0000-0100-00001D000000}"/>
  <tableColumns count="4">
    <tableColumn id="1" xr3:uid="{00000000-0010-0000-0100-000001000000}" name="Aggregate"/>
    <tableColumn id="2" xr3:uid="{00000000-0010-0000-0100-000002000000}" name="unit min" dataDxfId="84"/>
    <tableColumn id="3" xr3:uid="{00000000-0010-0000-0100-000003000000}" name="unit max" dataDxfId="83"/>
    <tableColumn id="4" xr3:uid="{00000000-0010-0000-0100-000004000000}" name="%" dataDxfId="82" dataCellStyle="Percent"/>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D000000}" name="Yes_No_NA_Table" displayName="Yes_No_NA_Table" ref="C3:C6" totalsRowShown="0" headerRowDxfId="37">
  <autoFilter ref="C3:C6" xr:uid="{00000000-0009-0000-0100-000019000000}"/>
  <tableColumns count="1">
    <tableColumn id="1" xr3:uid="{00000000-0010-0000-1D00-000001000000}" name="Yes/No/NA"/>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E000000}" name="Approval_Table" displayName="Approval_Table" ref="C118:C120" totalsRowShown="0">
  <autoFilter ref="C118:C120" xr:uid="{00000000-0009-0000-0100-00001A000000}"/>
  <tableColumns count="1">
    <tableColumn id="1" xr3:uid="{00000000-0010-0000-1E00-000001000000}" name="Approval"/>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F000000}" name="Comments_Min_Oper_Reserves_table" displayName="Comments_Min_Oper_Reserves_table" ref="A167:B169" totalsRowShown="0">
  <autoFilter ref="A167:B169" xr:uid="{00000000-0009-0000-0100-000021000000}"/>
  <tableColumns count="2">
    <tableColumn id="1" xr3:uid="{00000000-0010-0000-1F00-000001000000}" name="Minimum Operating Reserves"/>
    <tableColumn id="2" xr3:uid="{00000000-0010-0000-1F00-000002000000}" name="Comment"/>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0000000}" name="Comments_Min_PUPA_table" displayName="Comments_Min_PUPA_table" ref="A162:B164" totalsRowShown="0">
  <autoFilter ref="A162:B164" xr:uid="{00000000-0009-0000-0100-000022000000}"/>
  <tableColumns count="2">
    <tableColumn id="1" xr3:uid="{00000000-0010-0000-2000-000001000000}" name="Minimum PUPA"/>
    <tableColumn id="2" xr3:uid="{00000000-0010-0000-2000-000002000000}" name="Comment"/>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1000000}" name="Comments_Min_Replacement_Reserves_table" displayName="Comments_Min_Replacement_Reserves_table" ref="A172:B174" totalsRowShown="0">
  <autoFilter ref="A172:B174" xr:uid="{00000000-0009-0000-0100-000023000000}"/>
  <tableColumns count="2">
    <tableColumn id="1" xr3:uid="{00000000-0010-0000-2100-000001000000}" name="Minimum Replacement Reserves"/>
    <tableColumn id="2" xr3:uid="{00000000-0010-0000-2100-000002000000}" name="Comment"/>
  </tableColumns>
  <tableStyleInfo name="TableStyleMedium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2000000}" name="Comments_Construction_Interest_table" displayName="Comments_Construction_Interest_table" ref="D162:E164" totalsRowShown="0">
  <autoFilter ref="D162:E164" xr:uid="{00000000-0009-0000-0100-000024000000}"/>
  <tableColumns count="2">
    <tableColumn id="1" xr3:uid="{00000000-0010-0000-2200-000001000000}" name="Construction Interest"/>
    <tableColumn id="2" xr3:uid="{00000000-0010-0000-2200-000002000000}" name="Comment"/>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3000000}" name="Comments_Development_Funds_table" displayName="Comments_Development_Funds_table" ref="D167:E169" totalsRowShown="0">
  <autoFilter ref="D167:E169" xr:uid="{00000000-0009-0000-0100-000026000000}"/>
  <tableColumns count="2">
    <tableColumn id="1" xr3:uid="{00000000-0010-0000-2300-000001000000}" name="Development Funds"/>
    <tableColumn id="2" xr3:uid="{00000000-0010-0000-2300-000002000000}" name="Comment"/>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4000000}" name="Comments_Minimum_Score_table" displayName="Comments_Minimum_Score_table" ref="D172:E174" totalsRowShown="0">
  <autoFilter ref="D172:E174" xr:uid="{00000000-0009-0000-0100-000027000000}"/>
  <tableColumns count="2">
    <tableColumn id="1" xr3:uid="{00000000-0010-0000-2400-000001000000}" name="Minimum Score"/>
    <tableColumn id="2" xr3:uid="{00000000-0010-0000-2400-000002000000}" name="Comment"/>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5000000}" name="Comments_State_TC_Test_table" displayName="Comments_State_TC_Test_table" ref="A177:B179" totalsRowShown="0">
  <autoFilter ref="A177:B179" xr:uid="{00000000-0009-0000-0100-000028000000}"/>
  <tableColumns count="2">
    <tableColumn id="1" xr3:uid="{00000000-0010-0000-2500-000001000000}" name="State Tax Credit Test"/>
    <tableColumn id="2" xr3:uid="{00000000-0010-0000-2500-000002000000}" name="Comment"/>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6000000}" name="Comments_PAB_Requirements_table" displayName="Comments_PAB_Requirements_table" ref="D177:E179" totalsRowShown="0">
  <autoFilter ref="D177:E179" xr:uid="{00000000-0009-0000-0100-000029000000}"/>
  <tableColumns count="2">
    <tableColumn id="1" xr3:uid="{00000000-0010-0000-2600-000001000000}" name="PAB Requirements"/>
    <tableColumn id="2" xr3:uid="{00000000-0010-0000-2600-000002000000}" name="Comment"/>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2000000}" name="Zone_Factor_Table" displayName="Zone_Factor_Table" ref="A95:B98" totalsRowShown="0">
  <autoFilter ref="A95:B98" xr:uid="{00000000-0009-0000-0100-00001F000000}"/>
  <tableColumns count="2">
    <tableColumn id="1" xr3:uid="{00000000-0010-0000-0200-000001000000}" name="Zone" dataDxfId="81"/>
    <tableColumn id="2" xr3:uid="{00000000-0010-0000-0200-000002000000}" name="Factor"/>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7000000}" name="Comments_10_Year_Test_table" displayName="Comments_10_Year_Test_table" ref="A182:B184" totalsRowShown="0">
  <autoFilter ref="A182:B184" xr:uid="{00000000-0009-0000-0100-00002A000000}"/>
  <tableColumns count="2">
    <tableColumn id="1" xr3:uid="{00000000-0010-0000-2700-000001000000}" name="10 Year Cash Flow"/>
    <tableColumn id="2" xr3:uid="{00000000-0010-0000-2700-000002000000}" name="Comment" dataDxfId="36"/>
  </tableColumns>
  <tableStyleInfo name="TableStyleMedium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8000000}" name="Comments_15_Year_Test_Table" displayName="Comments_15_Year_Test_Table" ref="D182:E184" totalsRowShown="0">
  <autoFilter ref="D182:E184" xr:uid="{00000000-0009-0000-0100-00002B000000}"/>
  <tableColumns count="2">
    <tableColumn id="1" xr3:uid="{00000000-0010-0000-2800-000001000000}" name="15 Year Cash Flow"/>
    <tableColumn id="2" xr3:uid="{00000000-0010-0000-2800-000002000000}" name="Comment"/>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9000000}" name="Comments_Min_DCR_table" displayName="Comments_Min_DCR_table" ref="A187:B189" totalsRowShown="0">
  <autoFilter ref="A187:B189" xr:uid="{00000000-0009-0000-0100-00002C000000}"/>
  <tableColumns count="2">
    <tableColumn id="1" xr3:uid="{00000000-0010-0000-2900-000001000000}" name="Min DCR"/>
    <tableColumn id="2" xr3:uid="{00000000-0010-0000-2900-000002000000}" name="Comment"/>
  </tableColumns>
  <tableStyleInfo name="TableStyleMedium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A000000}" name="Jurisdiction_Title_Table" displayName="Jurisdiction_Title_Table" ref="A146:A148" totalsRowShown="0">
  <autoFilter ref="A146:A148" xr:uid="{00000000-0009-0000-0100-000025000000}"/>
  <tableColumns count="1">
    <tableColumn id="1" xr3:uid="{00000000-0010-0000-2A00-000001000000}" name="Jurisdiction Title"/>
  </tableColumns>
  <tableStyleInfo name="TableStyleMedium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B000000}" name="Type_of_Heating_Table" displayName="Type_of_Heating_Table" ref="A51:B58" totalsRowShown="0" headerRowDxfId="35" dataDxfId="34">
  <autoFilter ref="A51:B58" xr:uid="{00000000-0009-0000-0100-00002D000000}"/>
  <tableColumns count="2">
    <tableColumn id="1" xr3:uid="{00000000-0010-0000-2B00-000001000000}" name="Type of Heating In-Unit" dataDxfId="33"/>
    <tableColumn id="2" xr3:uid="{DFF82ECF-7EFB-478A-A661-0722414B953F}" name="Type of Heating Common Area" dataDxfId="32"/>
  </tableColumns>
  <tableStyleInfo name="TableStyleMedium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C000000}" name="Type_of_Cooling_Table" displayName="Type_of_Cooling_Table" ref="C51:D59" totalsRowShown="0">
  <autoFilter ref="C51:D59" xr:uid="{00000000-0009-0000-0100-00002E000000}"/>
  <sortState xmlns:xlrd2="http://schemas.microsoft.com/office/spreadsheetml/2017/richdata2" ref="C52:C56">
    <sortCondition ref="C52"/>
  </sortState>
  <tableColumns count="2">
    <tableColumn id="1" xr3:uid="{00000000-0010-0000-2C00-000001000000}" name="Type of Cooling In-Unit"/>
    <tableColumn id="2" xr3:uid="{0648D47E-8893-4799-AFD6-764478618EDB}" name="Type of Cooling Common Area" dataDxfId="31"/>
  </tableColumns>
  <tableStyleInfo name="TableStyleMedium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121144EF-F610-4B9C-BCDE-63838E9A3284}" name="Comments_Average_Income_table" displayName="Comments_Average_Income_table" ref="D187:E189" totalsRowShown="0" headerRowDxfId="30" headerRowBorderDxfId="29" tableBorderDxfId="28">
  <autoFilter ref="D187:E189" xr:uid="{8E988C72-7812-48E6-998B-B04FC0767E0D}"/>
  <tableColumns count="2">
    <tableColumn id="1" xr3:uid="{463421AC-8DDE-4681-BF3C-6AF8744FFB9C}" name="Average Income"/>
    <tableColumn id="2" xr3:uid="{728EB12F-86D9-4054-A616-962A4B9A1E5E}" name="Comment"/>
  </tableColumns>
  <tableStyleInfo name="TableStyleMedium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5FC7CF1E-BC41-4B6F-8A05-5CC3105116F5}" name="Table48" displayName="Table48" ref="F51:F57" totalsRowShown="0" headerRowDxfId="27" headerRowBorderDxfId="26" tableBorderDxfId="25" totalsRowBorderDxfId="24">
  <autoFilter ref="F51:F57" xr:uid="{5FC7CF1E-BC41-4B6F-8A05-5CC3105116F5}"/>
  <tableColumns count="1">
    <tableColumn id="1" xr3:uid="{56080F7A-121B-4ECC-BE00-B48F665A2165}" name="HVAC System In-Unit" dataDxfId="23"/>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3000000}" name="Basis_Limit_Test_Table" displayName="Basis_Limit_Test_Table" ref="A86:C92" totalsRowShown="0">
  <autoFilter ref="A86:C92" xr:uid="{00000000-0009-0000-0100-000020000000}"/>
  <tableColumns count="3">
    <tableColumn id="1" xr3:uid="{00000000-0010-0000-0300-000001000000}" name="Bedrooms" dataDxfId="80"/>
    <tableColumn id="2" xr3:uid="{00000000-0010-0000-0300-000002000000}" name="Elevator Base" dataDxfId="79"/>
    <tableColumn id="3" xr3:uid="{00000000-0010-0000-0300-000003000000}" name="Non-Elevator Base" dataDxfId="78"/>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4000000}" name="City_Table" displayName="City_Table" ref="A221:B549" totalsRowShown="0">
  <autoFilter ref="A221:B549" xr:uid="{00000000-0009-0000-0100-00001E000000}"/>
  <tableColumns count="2">
    <tableColumn id="1" xr3:uid="{00000000-0010-0000-0400-000001000000}" name="City"/>
    <tableColumn id="2" xr3:uid="{00000000-0010-0000-0400-000002000000}" name="Score"/>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5000000}" name="Yes_No_Table" displayName="Yes_No_Table" ref="A3:A5" totalsRowShown="0" headerRowDxfId="77">
  <autoFilter ref="A3:A5" xr:uid="{00000000-0009-0000-0100-000001000000}"/>
  <tableColumns count="1">
    <tableColumn id="1" xr3:uid="{00000000-0010-0000-0500-000001000000}" name="Yes/No"/>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6000000}" name="Application_Stage_Table" displayName="Application_Stage_Table" ref="A30:E34" totalsRowShown="0" headerRowDxfId="76">
  <autoFilter ref="A30:E34" xr:uid="{00000000-0009-0000-0100-000002000000}"/>
  <tableColumns count="5">
    <tableColumn id="1" xr3:uid="{00000000-0010-0000-0600-000001000000}" name="Application Stage"/>
    <tableColumn id="2" xr3:uid="{00000000-0010-0000-0600-000002000000}" name="Is Preliminary"/>
    <tableColumn id="3" xr3:uid="{00000000-0010-0000-0600-000003000000}" name="Is Carryover"/>
    <tableColumn id="4" xr3:uid="{00000000-0010-0000-0600-000004000000}" name="Is Final"/>
    <tableColumn id="5" xr3:uid="{81D053A3-E7B3-4BB0-BF5F-D6EAADB0EF93}" name="Is State Milestone"/>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7000000}" name="Tax_Credit_Type_Table" displayName="Tax_Credit_Type_Table" ref="A19:I26" totalsRowShown="0" headerRowDxfId="75">
  <autoFilter ref="A19:I26" xr:uid="{00000000-0009-0000-0100-000003000000}"/>
  <sortState xmlns:xlrd2="http://schemas.microsoft.com/office/spreadsheetml/2017/richdata2" ref="A20:G26">
    <sortCondition descending="1" ref="A19:A26"/>
  </sortState>
  <tableColumns count="9">
    <tableColumn id="1" xr3:uid="{00000000-0010-0000-0700-000001000000}" name="Type Of Tax Credit"/>
    <tableColumn id="2" xr3:uid="{00000000-0010-0000-0700-000002000000}" name="Has 4%" dataDxfId="74"/>
    <tableColumn id="3" xr3:uid="{00000000-0010-0000-0700-000003000000}" name="Has 9%" dataDxfId="73"/>
    <tableColumn id="6" xr3:uid="{00000000-0010-0000-0700-000006000000}" name="Has State" dataDxfId="72"/>
    <tableColumn id="4" xr3:uid="{00000000-0010-0000-0700-000004000000}" name="Fee" dataDxfId="71"/>
    <tableColumn id="5" xr3:uid="{B514F5C2-1E83-407E-8714-2586B03F6514}" name="Type of State Tax Credit" dataDxfId="70"/>
    <tableColumn id="7" xr3:uid="{18F2442C-8697-464E-AB37-A9D175BF77F3}" name="Use Alternate Credit Calculation" dataDxfId="69"/>
    <tableColumn id="8" xr3:uid="{42BF657D-656B-4FB6-BADF-D3F65329AC75}" name="9% Max" dataDxfId="68"/>
    <tableColumn id="9" xr3:uid="{A2EC9DB2-DCF2-4D23-B050-FDD0E2C08D7B}" name="State Max" dataDxfId="67"/>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119" dT="2022-03-22T21:35:20.39" personId="{6EE1915F-6B87-428B-94CA-90AFDE4F1385}" id="{D0BA92AF-16A0-450A-BE52-0AF6056702AD}">
    <text>counties with lowest area median income (AMI)</text>
  </threadedComment>
</ThreadedComments>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chfainfo.com/rental-housing/housing-credit/qualified-allocation-plan"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4.vml"/><Relationship Id="rId1" Type="http://schemas.openxmlformats.org/officeDocument/2006/relationships/printerSettings" Target="../printerSettings/printerSettings25.bin"/><Relationship Id="rId4" Type="http://schemas.openxmlformats.org/officeDocument/2006/relationships/comments" Target="../comments2.xml"/></Relationships>
</file>

<file path=xl/worksheets/_rels/sheet28.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vmlDrawing" Target="../drawings/vmlDrawing5.vml"/><Relationship Id="rId1" Type="http://schemas.openxmlformats.org/officeDocument/2006/relationships/printerSettings" Target="../printerSettings/printerSettings26.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 Id="rId9" Type="http://schemas.microsoft.com/office/2017/10/relationships/threadedComment" Target="../threadedComments/threadedComment1.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3" Type="http://schemas.openxmlformats.org/officeDocument/2006/relationships/table" Target="../tables/table18.xml"/><Relationship Id="rId18" Type="http://schemas.openxmlformats.org/officeDocument/2006/relationships/table" Target="../tables/table23.xml"/><Relationship Id="rId26" Type="http://schemas.openxmlformats.org/officeDocument/2006/relationships/table" Target="../tables/table31.xml"/><Relationship Id="rId39" Type="http://schemas.openxmlformats.org/officeDocument/2006/relationships/table" Target="../tables/table44.xml"/><Relationship Id="rId21" Type="http://schemas.openxmlformats.org/officeDocument/2006/relationships/table" Target="../tables/table26.xml"/><Relationship Id="rId34" Type="http://schemas.openxmlformats.org/officeDocument/2006/relationships/table" Target="../tables/table39.xml"/><Relationship Id="rId42" Type="http://schemas.openxmlformats.org/officeDocument/2006/relationships/table" Target="../tables/table47.xml"/><Relationship Id="rId7" Type="http://schemas.openxmlformats.org/officeDocument/2006/relationships/table" Target="../tables/table12.xml"/><Relationship Id="rId2" Type="http://schemas.openxmlformats.org/officeDocument/2006/relationships/table" Target="../tables/table7.xml"/><Relationship Id="rId16" Type="http://schemas.openxmlformats.org/officeDocument/2006/relationships/table" Target="../tables/table21.xml"/><Relationship Id="rId20" Type="http://schemas.openxmlformats.org/officeDocument/2006/relationships/table" Target="../tables/table25.xml"/><Relationship Id="rId29" Type="http://schemas.openxmlformats.org/officeDocument/2006/relationships/table" Target="../tables/table34.xml"/><Relationship Id="rId41" Type="http://schemas.openxmlformats.org/officeDocument/2006/relationships/table" Target="../tables/table46.xml"/><Relationship Id="rId1" Type="http://schemas.openxmlformats.org/officeDocument/2006/relationships/printerSettings" Target="../printerSettings/printerSettings28.bin"/><Relationship Id="rId6" Type="http://schemas.openxmlformats.org/officeDocument/2006/relationships/table" Target="../tables/table11.xml"/><Relationship Id="rId11" Type="http://schemas.openxmlformats.org/officeDocument/2006/relationships/table" Target="../tables/table16.xml"/><Relationship Id="rId24" Type="http://schemas.openxmlformats.org/officeDocument/2006/relationships/table" Target="../tables/table29.xml"/><Relationship Id="rId32" Type="http://schemas.openxmlformats.org/officeDocument/2006/relationships/table" Target="../tables/table37.xml"/><Relationship Id="rId37" Type="http://schemas.openxmlformats.org/officeDocument/2006/relationships/table" Target="../tables/table42.xml"/><Relationship Id="rId40" Type="http://schemas.openxmlformats.org/officeDocument/2006/relationships/table" Target="../tables/table45.xml"/><Relationship Id="rId5" Type="http://schemas.openxmlformats.org/officeDocument/2006/relationships/table" Target="../tables/table10.xml"/><Relationship Id="rId15" Type="http://schemas.openxmlformats.org/officeDocument/2006/relationships/table" Target="../tables/table20.xml"/><Relationship Id="rId23" Type="http://schemas.openxmlformats.org/officeDocument/2006/relationships/table" Target="../tables/table28.xml"/><Relationship Id="rId28" Type="http://schemas.openxmlformats.org/officeDocument/2006/relationships/table" Target="../tables/table33.xml"/><Relationship Id="rId36" Type="http://schemas.openxmlformats.org/officeDocument/2006/relationships/table" Target="../tables/table41.xml"/><Relationship Id="rId10" Type="http://schemas.openxmlformats.org/officeDocument/2006/relationships/table" Target="../tables/table15.xml"/><Relationship Id="rId19" Type="http://schemas.openxmlformats.org/officeDocument/2006/relationships/table" Target="../tables/table24.xml"/><Relationship Id="rId31" Type="http://schemas.openxmlformats.org/officeDocument/2006/relationships/table" Target="../tables/table36.xml"/><Relationship Id="rId4" Type="http://schemas.openxmlformats.org/officeDocument/2006/relationships/table" Target="../tables/table9.xml"/><Relationship Id="rId9" Type="http://schemas.openxmlformats.org/officeDocument/2006/relationships/table" Target="../tables/table14.xml"/><Relationship Id="rId14" Type="http://schemas.openxmlformats.org/officeDocument/2006/relationships/table" Target="../tables/table19.xml"/><Relationship Id="rId22" Type="http://schemas.openxmlformats.org/officeDocument/2006/relationships/table" Target="../tables/table27.xml"/><Relationship Id="rId27" Type="http://schemas.openxmlformats.org/officeDocument/2006/relationships/table" Target="../tables/table32.xml"/><Relationship Id="rId30" Type="http://schemas.openxmlformats.org/officeDocument/2006/relationships/table" Target="../tables/table35.xml"/><Relationship Id="rId35" Type="http://schemas.openxmlformats.org/officeDocument/2006/relationships/table" Target="../tables/table40.xml"/><Relationship Id="rId8" Type="http://schemas.openxmlformats.org/officeDocument/2006/relationships/table" Target="../tables/table13.xml"/><Relationship Id="rId3" Type="http://schemas.openxmlformats.org/officeDocument/2006/relationships/table" Target="../tables/table8.xml"/><Relationship Id="rId12" Type="http://schemas.openxmlformats.org/officeDocument/2006/relationships/table" Target="../tables/table17.xml"/><Relationship Id="rId17" Type="http://schemas.openxmlformats.org/officeDocument/2006/relationships/table" Target="../tables/table22.xml"/><Relationship Id="rId25" Type="http://schemas.openxmlformats.org/officeDocument/2006/relationships/table" Target="../tables/table30.xml"/><Relationship Id="rId33" Type="http://schemas.openxmlformats.org/officeDocument/2006/relationships/table" Target="../tables/table38.xml"/><Relationship Id="rId38" Type="http://schemas.openxmlformats.org/officeDocument/2006/relationships/table" Target="../tables/table4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K113"/>
  <sheetViews>
    <sheetView showGridLines="0" tabSelected="1" zoomScaleNormal="100" workbookViewId="0"/>
  </sheetViews>
  <sheetFormatPr defaultRowHeight="14.4"/>
  <cols>
    <col min="1" max="1" width="173.5546875" customWidth="1"/>
  </cols>
  <sheetData>
    <row r="1" spans="1:1" ht="21">
      <c r="A1" s="4" t="s">
        <v>4439</v>
      </c>
    </row>
    <row r="3" spans="1:1" s="9" customFormat="1" ht="30" customHeight="1">
      <c r="A3" s="9" t="s">
        <v>0</v>
      </c>
    </row>
    <row r="4" spans="1:1">
      <c r="A4" s="501" t="s">
        <v>1</v>
      </c>
    </row>
    <row r="5" spans="1:1">
      <c r="A5" s="9" t="s">
        <v>2</v>
      </c>
    </row>
    <row r="6" spans="1:1" ht="30" customHeight="1">
      <c r="A6" s="9" t="s">
        <v>3</v>
      </c>
    </row>
    <row r="7" spans="1:1">
      <c r="A7" t="s">
        <v>4</v>
      </c>
    </row>
    <row r="8" spans="1:1">
      <c r="A8" s="9" t="s">
        <v>5</v>
      </c>
    </row>
    <row r="9" spans="1:1">
      <c r="A9" s="9" t="s">
        <v>6</v>
      </c>
    </row>
    <row r="10" spans="1:1">
      <c r="A10" s="307" t="s">
        <v>7</v>
      </c>
    </row>
    <row r="12" spans="1:1">
      <c r="A12" s="154" t="s">
        <v>8</v>
      </c>
    </row>
    <row r="13" spans="1:1">
      <c r="A13" s="505" t="s">
        <v>9</v>
      </c>
    </row>
    <row r="14" spans="1:1">
      <c r="A14" s="505" t="s">
        <v>10</v>
      </c>
    </row>
    <row r="16" spans="1:1">
      <c r="A16" s="154" t="s">
        <v>11</v>
      </c>
    </row>
    <row r="17" spans="1:1">
      <c r="A17" t="s">
        <v>12</v>
      </c>
    </row>
    <row r="18" spans="1:1">
      <c r="A18" t="s">
        <v>13</v>
      </c>
    </row>
    <row r="20" spans="1:1">
      <c r="A20" t="s">
        <v>14</v>
      </c>
    </row>
    <row r="21" spans="1:1" ht="28.8">
      <c r="A21" s="9" t="s">
        <v>15</v>
      </c>
    </row>
    <row r="22" spans="1:1">
      <c r="A22" s="172" t="s">
        <v>16</v>
      </c>
    </row>
    <row r="23" spans="1:1">
      <c r="A23" s="505" t="s">
        <v>17</v>
      </c>
    </row>
    <row r="24" spans="1:1">
      <c r="A24" s="483"/>
    </row>
    <row r="25" spans="1:1">
      <c r="A25" s="154" t="s">
        <v>18</v>
      </c>
    </row>
    <row r="26" spans="1:1">
      <c r="A26" s="505" t="s">
        <v>19</v>
      </c>
    </row>
    <row r="27" spans="1:1">
      <c r="A27" s="505" t="s">
        <v>20</v>
      </c>
    </row>
    <row r="28" spans="1:1">
      <c r="A28" s="505" t="s">
        <v>21</v>
      </c>
    </row>
    <row r="29" spans="1:1">
      <c r="A29" s="505" t="s">
        <v>22</v>
      </c>
    </row>
    <row r="30" spans="1:1">
      <c r="A30" s="505" t="s">
        <v>23</v>
      </c>
    </row>
    <row r="31" spans="1:1">
      <c r="A31" s="505" t="s">
        <v>24</v>
      </c>
    </row>
    <row r="32" spans="1:1">
      <c r="A32" s="505" t="s">
        <v>25</v>
      </c>
    </row>
    <row r="33" spans="1:1">
      <c r="A33" s="505"/>
    </row>
    <row r="34" spans="1:1">
      <c r="A34" s="154" t="s">
        <v>26</v>
      </c>
    </row>
    <row r="35" spans="1:1">
      <c r="A35" s="505" t="s">
        <v>27</v>
      </c>
    </row>
    <row r="36" spans="1:1">
      <c r="A36" s="505" t="s">
        <v>28</v>
      </c>
    </row>
    <row r="37" spans="1:1">
      <c r="A37" t="s">
        <v>29</v>
      </c>
    </row>
    <row r="38" spans="1:1">
      <c r="A38" t="s">
        <v>30</v>
      </c>
    </row>
    <row r="39" spans="1:1">
      <c r="A39" t="s">
        <v>31</v>
      </c>
    </row>
    <row r="40" spans="1:1">
      <c r="A40" t="s">
        <v>32</v>
      </c>
    </row>
    <row r="41" spans="1:1">
      <c r="A41" t="s">
        <v>33</v>
      </c>
    </row>
    <row r="42" spans="1:1">
      <c r="A42" t="s">
        <v>34</v>
      </c>
    </row>
    <row r="43" spans="1:1">
      <c r="A43" t="s">
        <v>4438</v>
      </c>
    </row>
    <row r="44" spans="1:1">
      <c r="A44" s="1" t="s">
        <v>35</v>
      </c>
    </row>
    <row r="45" spans="1:1">
      <c r="A45" t="s">
        <v>36</v>
      </c>
    </row>
    <row r="46" spans="1:1">
      <c r="A46" t="s">
        <v>37</v>
      </c>
    </row>
    <row r="47" spans="1:1">
      <c r="A47" t="s">
        <v>38</v>
      </c>
    </row>
    <row r="48" spans="1:1">
      <c r="A48" t="s">
        <v>39</v>
      </c>
    </row>
    <row r="50" spans="1:11">
      <c r="A50" s="154" t="s">
        <v>40</v>
      </c>
      <c r="B50" s="88"/>
      <c r="C50" s="88"/>
      <c r="D50" s="88"/>
      <c r="E50" s="88"/>
      <c r="F50" s="88"/>
      <c r="G50" s="88"/>
      <c r="H50" s="88"/>
      <c r="I50" s="88"/>
      <c r="J50" s="88"/>
      <c r="K50" s="88"/>
    </row>
    <row r="51" spans="1:11">
      <c r="A51" s="505" t="s">
        <v>41</v>
      </c>
    </row>
    <row r="52" spans="1:11">
      <c r="A52" t="s">
        <v>42</v>
      </c>
    </row>
    <row r="53" spans="1:11">
      <c r="A53" s="70" t="s">
        <v>43</v>
      </c>
    </row>
    <row r="54" spans="1:11">
      <c r="A54" t="s">
        <v>44</v>
      </c>
    </row>
    <row r="55" spans="1:11">
      <c r="A55" s="324" t="s">
        <v>45</v>
      </c>
    </row>
    <row r="56" spans="1:11">
      <c r="A56" t="s">
        <v>46</v>
      </c>
    </row>
    <row r="57" spans="1:11">
      <c r="A57" t="s">
        <v>47</v>
      </c>
    </row>
    <row r="59" spans="1:11">
      <c r="A59" s="154" t="s">
        <v>48</v>
      </c>
    </row>
    <row r="60" spans="1:11">
      <c r="A60" s="505" t="s">
        <v>49</v>
      </c>
    </row>
    <row r="61" spans="1:11">
      <c r="A61" t="s">
        <v>50</v>
      </c>
    </row>
    <row r="63" spans="1:11">
      <c r="A63" s="154" t="s">
        <v>51</v>
      </c>
    </row>
    <row r="64" spans="1:11">
      <c r="A64" s="505" t="s">
        <v>52</v>
      </c>
    </row>
    <row r="65" spans="1:1">
      <c r="A65" s="505" t="s">
        <v>53</v>
      </c>
    </row>
    <row r="66" spans="1:1">
      <c r="A66" s="505" t="s">
        <v>54</v>
      </c>
    </row>
    <row r="67" spans="1:1">
      <c r="A67" s="505" t="s">
        <v>55</v>
      </c>
    </row>
    <row r="68" spans="1:1">
      <c r="A68" s="505" t="s">
        <v>56</v>
      </c>
    </row>
    <row r="69" spans="1:1">
      <c r="A69" s="505" t="s">
        <v>57</v>
      </c>
    </row>
    <row r="70" spans="1:1">
      <c r="A70" s="505" t="s">
        <v>58</v>
      </c>
    </row>
    <row r="71" spans="1:1">
      <c r="A71" s="505" t="s">
        <v>59</v>
      </c>
    </row>
    <row r="73" spans="1:1">
      <c r="A73" s="154" t="s">
        <v>60</v>
      </c>
    </row>
    <row r="74" spans="1:1">
      <c r="A74" t="s">
        <v>61</v>
      </c>
    </row>
    <row r="76" spans="1:1">
      <c r="A76" s="154" t="s">
        <v>4427</v>
      </c>
    </row>
    <row r="77" spans="1:1">
      <c r="A77" t="s">
        <v>61</v>
      </c>
    </row>
    <row r="79" spans="1:1">
      <c r="A79" s="154" t="s">
        <v>63</v>
      </c>
    </row>
    <row r="80" spans="1:1">
      <c r="A80" t="s">
        <v>61</v>
      </c>
    </row>
    <row r="82" spans="1:1">
      <c r="A82" s="172" t="s">
        <v>64</v>
      </c>
    </row>
    <row r="83" spans="1:1">
      <c r="A83" t="s">
        <v>61</v>
      </c>
    </row>
    <row r="85" spans="1:1">
      <c r="A85" s="154" t="s">
        <v>65</v>
      </c>
    </row>
    <row r="86" spans="1:1">
      <c r="A86" t="s">
        <v>66</v>
      </c>
    </row>
    <row r="87" spans="1:1">
      <c r="A87" t="s">
        <v>67</v>
      </c>
    </row>
    <row r="88" spans="1:1">
      <c r="A88" t="s">
        <v>68</v>
      </c>
    </row>
    <row r="90" spans="1:1">
      <c r="A90" s="154" t="s">
        <v>69</v>
      </c>
    </row>
    <row r="91" spans="1:1">
      <c r="A91" t="s">
        <v>70</v>
      </c>
    </row>
    <row r="92" spans="1:1">
      <c r="A92" t="s">
        <v>71</v>
      </c>
    </row>
    <row r="94" spans="1:1">
      <c r="A94" s="154" t="s">
        <v>72</v>
      </c>
    </row>
    <row r="95" spans="1:1">
      <c r="A95" t="s">
        <v>73</v>
      </c>
    </row>
    <row r="96" spans="1:1">
      <c r="A96" s="9" t="s">
        <v>74</v>
      </c>
    </row>
    <row r="97" spans="1:1" ht="57.6">
      <c r="A97" s="9" t="s">
        <v>75</v>
      </c>
    </row>
    <row r="99" spans="1:1">
      <c r="A99" s="154" t="s">
        <v>76</v>
      </c>
    </row>
    <row r="100" spans="1:1">
      <c r="A100" t="s">
        <v>77</v>
      </c>
    </row>
    <row r="101" spans="1:1">
      <c r="A101" t="s">
        <v>78</v>
      </c>
    </row>
    <row r="102" spans="1:1">
      <c r="A102" t="s">
        <v>79</v>
      </c>
    </row>
    <row r="104" spans="1:1">
      <c r="A104" s="154" t="s">
        <v>80</v>
      </c>
    </row>
    <row r="105" spans="1:1">
      <c r="A105" t="s">
        <v>81</v>
      </c>
    </row>
    <row r="107" spans="1:1">
      <c r="A107" s="154" t="s">
        <v>82</v>
      </c>
    </row>
    <row r="108" spans="1:1">
      <c r="A108" t="s">
        <v>83</v>
      </c>
    </row>
    <row r="110" spans="1:1">
      <c r="A110" s="172" t="s">
        <v>4432</v>
      </c>
    </row>
    <row r="111" spans="1:1">
      <c r="A111" s="1" t="s">
        <v>84</v>
      </c>
    </row>
    <row r="112" spans="1:1">
      <c r="A112" t="s">
        <v>85</v>
      </c>
    </row>
    <row r="113" spans="1:1">
      <c r="A113" s="309"/>
    </row>
  </sheetData>
  <sheetProtection algorithmName="SHA-512" hashValue="cQgMVGCO4mWiyZQVgaco3OEJ6/qRMobgFpctk1n0R/0nnmhr8FjoANEhZbYGqQyNckf7HTbTkn4oii2zh7JeYQ==" saltValue="fpU/NnBxsmGzBtrbLFFCiw==" spinCount="100000" sheet="1" objects="1" scenarios="1"/>
  <hyperlinks>
    <hyperlink ref="A12" location="'Data Issues'!A1" display="Data Issues" xr:uid="{00000000-0004-0000-0000-000000000000}"/>
    <hyperlink ref="A22" location="Application!A1" display="Application" xr:uid="{00000000-0004-0000-0000-000001000000}"/>
    <hyperlink ref="A25" location="'Unit Mix &amp; Rents'!A1" display="Unit Mix &amp; Rents" xr:uid="{00000000-0004-0000-0000-000002000000}"/>
    <hyperlink ref="A34" location="Financing!A1" display="Financing" xr:uid="{00000000-0004-0000-0000-000003000000}"/>
    <hyperlink ref="A50" location="'Development Budget'!A1" display="Development Budget" xr:uid="{00000000-0004-0000-0000-000004000000}"/>
    <hyperlink ref="A59" location="'Commercial Budget'!A1" display="Commercial Budget" xr:uid="{00000000-0004-0000-0000-000005000000}"/>
    <hyperlink ref="A63" location="'Proforma, Income &amp; Expense'!A1" display="Proforma, Income &amp; Expense" xr:uid="{00000000-0004-0000-0000-000006000000}"/>
    <hyperlink ref="A73" location="'Tax Credit Details'!A1" display="Tax Credit Details" xr:uid="{00000000-0004-0000-0000-000007000000}"/>
    <hyperlink ref="A76" location="'Tax Credit Summary'!A1" display="Tax Credit Summary" xr:uid="{00000000-0004-0000-0000-000008000000}"/>
    <hyperlink ref="A79" location="'Budget Output'!A1" display="Budget Output" xr:uid="{00000000-0004-0000-0000-000009000000}"/>
    <hyperlink ref="A85" location="Scoring!A1" display="Scoring" xr:uid="{00000000-0004-0000-0000-00000A000000}"/>
    <hyperlink ref="A90" location="Amenities!A1" display="Amenities" xr:uid="{00000000-0004-0000-0000-00000B000000}"/>
    <hyperlink ref="A16" location="'Contact Information'!A1" display="Contact Information" xr:uid="{00000000-0004-0000-0000-00000C000000}"/>
    <hyperlink ref="A94" location="'Cost Summary'!A1" display="Cost Summary" xr:uid="{00000000-0004-0000-0000-00000D000000}"/>
    <hyperlink ref="A99" location="'Final Building Profile'!A1" display="Final Building Profile" xr:uid="{00000000-0004-0000-0000-00000E000000}"/>
    <hyperlink ref="A104" location="'Rent &amp; Income Limits'!A1" display="Rent &amp; Income Limits" xr:uid="{00000000-0004-0000-0000-00000F000000}"/>
    <hyperlink ref="A10" r:id="rId1" xr:uid="{00000000-0004-0000-0000-000010000000}"/>
    <hyperlink ref="A107" location="Calculations!A1" display="Calculations" xr:uid="{00000000-0004-0000-0000-000011000000}"/>
    <hyperlink ref="A110" location="DevCosts!A1" display="CDOH Worksheets" xr:uid="{00000000-0004-0000-0000-000012000000}"/>
    <hyperlink ref="A82" location="'Budget Output'!A1" display="Budget Output" xr:uid="{4888BBF2-3C60-4510-9564-88EA2273F3AA}"/>
  </hyperlinks>
  <pageMargins left="0.7" right="0.7" top="0.75" bottom="0.75" header="0.3" footer="0.3"/>
  <pageSetup orientation="portrait" horizontalDpi="300" verticalDpi="120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rgb="FF92D050"/>
  </sheetPr>
  <dimension ref="A1:C118"/>
  <sheetViews>
    <sheetView showGridLines="0" workbookViewId="0"/>
  </sheetViews>
  <sheetFormatPr defaultRowHeight="14.4"/>
  <cols>
    <col min="1" max="1" width="45.109375" customWidth="1"/>
    <col min="2" max="2" width="28.5546875" customWidth="1"/>
    <col min="3" max="3" width="70" customWidth="1"/>
  </cols>
  <sheetData>
    <row r="1" spans="1:3" ht="21">
      <c r="A1" s="4" t="s">
        <v>600</v>
      </c>
      <c r="B1" s="4"/>
      <c r="C1" s="4"/>
    </row>
    <row r="3" spans="1:3">
      <c r="A3" s="3" t="s">
        <v>601</v>
      </c>
      <c r="B3" s="3"/>
      <c r="C3" s="3"/>
    </row>
    <row r="4" spans="1:3">
      <c r="A4" s="1" t="s">
        <v>602</v>
      </c>
      <c r="B4" s="286"/>
    </row>
    <row r="5" spans="1:3">
      <c r="A5" s="1" t="s">
        <v>603</v>
      </c>
      <c r="B5" s="286"/>
    </row>
    <row r="6" spans="1:3">
      <c r="A6" s="1" t="s">
        <v>604</v>
      </c>
      <c r="B6" s="286"/>
    </row>
    <row r="7" spans="1:3">
      <c r="A7" s="1" t="s">
        <v>605</v>
      </c>
      <c r="B7" s="286"/>
    </row>
    <row r="8" spans="1:3">
      <c r="A8" s="1" t="s">
        <v>606</v>
      </c>
      <c r="B8" s="286"/>
    </row>
    <row r="9" spans="1:3">
      <c r="A9" s="1" t="s">
        <v>607</v>
      </c>
      <c r="B9" s="286"/>
    </row>
    <row r="10" spans="1:3">
      <c r="A10" s="1" t="s">
        <v>608</v>
      </c>
      <c r="B10" s="286"/>
    </row>
    <row r="11" spans="1:3">
      <c r="A11" s="1" t="s">
        <v>609</v>
      </c>
      <c r="B11" s="286"/>
    </row>
    <row r="12" spans="1:3">
      <c r="A12" s="1" t="s">
        <v>610</v>
      </c>
      <c r="B12" s="286"/>
    </row>
    <row r="13" spans="1:3">
      <c r="A13" s="1" t="s">
        <v>611</v>
      </c>
      <c r="B13" s="286"/>
    </row>
    <row r="14" spans="1:3">
      <c r="A14" s="1" t="s">
        <v>612</v>
      </c>
      <c r="B14" s="286"/>
    </row>
    <row r="15" spans="1:3">
      <c r="A15" s="1" t="s">
        <v>613</v>
      </c>
      <c r="B15" s="286"/>
    </row>
    <row r="16" spans="1:3">
      <c r="A16" s="3" t="s">
        <v>614</v>
      </c>
      <c r="B16" s="3"/>
      <c r="C16" s="3"/>
    </row>
    <row r="17" spans="1:3">
      <c r="A17" s="1" t="s">
        <v>615</v>
      </c>
      <c r="B17" s="286"/>
    </row>
    <row r="18" spans="1:3">
      <c r="A18" s="1" t="s">
        <v>616</v>
      </c>
      <c r="B18" s="286"/>
    </row>
    <row r="19" spans="1:3">
      <c r="A19" s="1" t="s">
        <v>617</v>
      </c>
      <c r="B19" s="286"/>
    </row>
    <row r="20" spans="1:3">
      <c r="A20" s="1" t="s">
        <v>618</v>
      </c>
      <c r="B20" s="286"/>
    </row>
    <row r="21" spans="1:3">
      <c r="A21" s="1" t="s">
        <v>619</v>
      </c>
      <c r="B21" s="286"/>
    </row>
    <row r="22" spans="1:3">
      <c r="A22" s="1" t="s">
        <v>620</v>
      </c>
      <c r="B22" s="286"/>
    </row>
    <row r="23" spans="1:3">
      <c r="A23" s="1" t="s">
        <v>621</v>
      </c>
      <c r="B23" s="286"/>
    </row>
    <row r="24" spans="1:3">
      <c r="A24" s="1" t="s">
        <v>622</v>
      </c>
      <c r="B24" s="286"/>
    </row>
    <row r="25" spans="1:3">
      <c r="A25" s="1" t="s">
        <v>613</v>
      </c>
      <c r="B25" s="286"/>
    </row>
    <row r="26" spans="1:3">
      <c r="A26" s="3" t="s">
        <v>623</v>
      </c>
      <c r="B26" s="3"/>
      <c r="C26" s="3"/>
    </row>
    <row r="27" spans="1:3">
      <c r="A27" s="1" t="s">
        <v>624</v>
      </c>
      <c r="B27" s="286"/>
    </row>
    <row r="28" spans="1:3">
      <c r="A28" s="17" t="s">
        <v>625</v>
      </c>
      <c r="B28" s="286"/>
    </row>
    <row r="29" spans="1:3">
      <c r="A29" s="17" t="s">
        <v>626</v>
      </c>
      <c r="B29" s="286"/>
    </row>
    <row r="30" spans="1:3">
      <c r="A30" s="17" t="s">
        <v>627</v>
      </c>
      <c r="B30" s="286"/>
    </row>
    <row r="31" spans="1:3">
      <c r="A31" s="17" t="s">
        <v>628</v>
      </c>
      <c r="B31" s="286"/>
    </row>
    <row r="32" spans="1:3">
      <c r="A32" s="17" t="s">
        <v>629</v>
      </c>
      <c r="B32" s="286"/>
    </row>
    <row r="33" spans="1:3">
      <c r="A33" s="17" t="s">
        <v>630</v>
      </c>
      <c r="B33" s="286">
        <v>0</v>
      </c>
      <c r="C33" s="6" t="s">
        <v>286</v>
      </c>
    </row>
    <row r="34" spans="1:3" ht="28.8">
      <c r="A34" s="640" t="s">
        <v>631</v>
      </c>
      <c r="B34" s="286"/>
      <c r="C34" s="6"/>
    </row>
    <row r="35" spans="1:3">
      <c r="A35" s="640" t="s">
        <v>632</v>
      </c>
      <c r="B35" s="286"/>
      <c r="C35" s="6"/>
    </row>
    <row r="36" spans="1:3">
      <c r="A36" s="17" t="s">
        <v>633</v>
      </c>
      <c r="B36" s="286"/>
    </row>
    <row r="37" spans="1:3">
      <c r="A37" s="17" t="s">
        <v>634</v>
      </c>
      <c r="B37" s="286"/>
    </row>
    <row r="38" spans="1:3">
      <c r="A38" s="17" t="s">
        <v>635</v>
      </c>
      <c r="B38" s="286"/>
    </row>
    <row r="39" spans="1:3">
      <c r="A39" s="17" t="s">
        <v>636</v>
      </c>
      <c r="B39" s="286"/>
    </row>
    <row r="40" spans="1:3">
      <c r="A40" s="1" t="s">
        <v>637</v>
      </c>
      <c r="B40" s="286"/>
      <c r="C40" s="6" t="s">
        <v>286</v>
      </c>
    </row>
    <row r="41" spans="1:3">
      <c r="A41" s="1" t="s">
        <v>638</v>
      </c>
      <c r="B41" s="286"/>
      <c r="C41" s="6"/>
    </row>
    <row r="42" spans="1:3">
      <c r="A42" s="1" t="s">
        <v>639</v>
      </c>
      <c r="B42" s="286"/>
    </row>
    <row r="43" spans="1:3">
      <c r="A43" s="1" t="s">
        <v>640</v>
      </c>
      <c r="B43" s="286"/>
    </row>
    <row r="44" spans="1:3">
      <c r="A44" s="1" t="s">
        <v>641</v>
      </c>
      <c r="B44" s="286"/>
    </row>
    <row r="45" spans="1:3">
      <c r="A45" s="1" t="s">
        <v>642</v>
      </c>
      <c r="B45" s="286"/>
    </row>
    <row r="46" spans="1:3">
      <c r="A46" s="1" t="s">
        <v>643</v>
      </c>
      <c r="B46" s="286"/>
    </row>
    <row r="47" spans="1:3">
      <c r="A47" s="1" t="s">
        <v>644</v>
      </c>
      <c r="B47" s="286"/>
    </row>
    <row r="48" spans="1:3">
      <c r="A48" s="1" t="s">
        <v>645</v>
      </c>
      <c r="B48" s="286"/>
    </row>
    <row r="49" spans="1:3">
      <c r="A49" s="1" t="s">
        <v>646</v>
      </c>
      <c r="B49" s="286"/>
    </row>
    <row r="50" spans="1:3">
      <c r="A50" s="1" t="s">
        <v>647</v>
      </c>
      <c r="B50" s="286"/>
    </row>
    <row r="51" spans="1:3">
      <c r="A51" s="1" t="s">
        <v>648</v>
      </c>
      <c r="B51" s="286"/>
    </row>
    <row r="52" spans="1:3">
      <c r="A52" s="1" t="s">
        <v>649</v>
      </c>
      <c r="B52" s="286"/>
    </row>
    <row r="53" spans="1:3">
      <c r="A53" s="1" t="s">
        <v>613</v>
      </c>
      <c r="B53" s="286"/>
    </row>
    <row r="54" spans="1:3">
      <c r="A54" s="1" t="s">
        <v>613</v>
      </c>
      <c r="B54" s="286"/>
    </row>
    <row r="55" spans="1:3">
      <c r="A55" s="3" t="s">
        <v>579</v>
      </c>
      <c r="B55" s="3"/>
      <c r="C55" s="3"/>
    </row>
    <row r="56" spans="1:3">
      <c r="A56" s="1" t="s">
        <v>650</v>
      </c>
      <c r="B56" s="286"/>
    </row>
    <row r="57" spans="1:3">
      <c r="A57" s="1" t="s">
        <v>651</v>
      </c>
      <c r="B57" s="286"/>
    </row>
    <row r="58" spans="1:3">
      <c r="A58" s="1" t="s">
        <v>652</v>
      </c>
      <c r="B58" s="286"/>
    </row>
    <row r="59" spans="1:3">
      <c r="A59" s="1" t="s">
        <v>653</v>
      </c>
      <c r="B59" s="286"/>
    </row>
    <row r="60" spans="1:3">
      <c r="A60" s="1" t="s">
        <v>654</v>
      </c>
      <c r="B60" s="286"/>
    </row>
    <row r="61" spans="1:3">
      <c r="A61" s="3" t="s">
        <v>655</v>
      </c>
      <c r="B61" s="3"/>
      <c r="C61" s="3"/>
    </row>
    <row r="62" spans="1:3">
      <c r="A62" s="481" t="s">
        <v>656</v>
      </c>
      <c r="B62" s="286">
        <v>0</v>
      </c>
      <c r="C62" s="6" t="s">
        <v>286</v>
      </c>
    </row>
    <row r="63" spans="1:3">
      <c r="A63" s="1" t="s">
        <v>657</v>
      </c>
      <c r="B63" s="286">
        <v>0</v>
      </c>
      <c r="C63" s="6" t="s">
        <v>286</v>
      </c>
    </row>
    <row r="64" spans="1:3">
      <c r="A64" s="1" t="s">
        <v>658</v>
      </c>
      <c r="B64" s="286">
        <v>0</v>
      </c>
      <c r="C64" s="6" t="s">
        <v>286</v>
      </c>
    </row>
    <row r="65" spans="1:3">
      <c r="A65" s="1" t="s">
        <v>659</v>
      </c>
      <c r="B65" s="286">
        <v>0</v>
      </c>
      <c r="C65" s="6" t="s">
        <v>286</v>
      </c>
    </row>
    <row r="66" spans="1:3">
      <c r="A66" s="1" t="s">
        <v>660</v>
      </c>
      <c r="B66" s="286">
        <v>0</v>
      </c>
      <c r="C66" s="6" t="s">
        <v>286</v>
      </c>
    </row>
    <row r="67" spans="1:3">
      <c r="A67" s="1" t="s">
        <v>661</v>
      </c>
      <c r="B67" s="286">
        <v>0</v>
      </c>
      <c r="C67" s="6" t="s">
        <v>286</v>
      </c>
    </row>
    <row r="68" spans="1:3">
      <c r="A68" s="1" t="s">
        <v>662</v>
      </c>
      <c r="B68" s="319">
        <f>Calculations!F3</f>
        <v>0</v>
      </c>
      <c r="C68" s="6"/>
    </row>
    <row r="69" spans="1:3">
      <c r="A69" s="1" t="s">
        <v>663</v>
      </c>
      <c r="B69" s="286"/>
    </row>
    <row r="70" spans="1:3">
      <c r="A70" s="1" t="s">
        <v>664</v>
      </c>
      <c r="B70" s="286"/>
    </row>
    <row r="71" spans="1:3">
      <c r="A71" s="17" t="s">
        <v>665</v>
      </c>
      <c r="B71" s="337">
        <v>0</v>
      </c>
      <c r="C71" s="6" t="s">
        <v>286</v>
      </c>
    </row>
    <row r="72" spans="1:3">
      <c r="A72" s="17" t="s">
        <v>666</v>
      </c>
      <c r="B72" s="517"/>
      <c r="C72" s="6" t="s">
        <v>286</v>
      </c>
    </row>
    <row r="73" spans="1:3">
      <c r="A73" s="1" t="s">
        <v>667</v>
      </c>
      <c r="B73" s="286"/>
    </row>
    <row r="74" spans="1:3">
      <c r="A74" s="1" t="s">
        <v>4167</v>
      </c>
      <c r="B74" s="286"/>
    </row>
    <row r="75" spans="1:3">
      <c r="A75" s="17" t="s">
        <v>665</v>
      </c>
      <c r="B75" s="337">
        <v>0</v>
      </c>
      <c r="C75" s="6" t="s">
        <v>286</v>
      </c>
    </row>
    <row r="76" spans="1:3">
      <c r="A76" s="1" t="s">
        <v>669</v>
      </c>
      <c r="B76" s="286"/>
      <c r="C76" s="18"/>
    </row>
    <row r="77" spans="1:3">
      <c r="A77" s="17" t="s">
        <v>4096</v>
      </c>
      <c r="B77" s="286">
        <v>0</v>
      </c>
      <c r="C77" s="283" t="s">
        <v>286</v>
      </c>
    </row>
    <row r="78" spans="1:3">
      <c r="A78" s="501" t="s">
        <v>671</v>
      </c>
      <c r="B78" s="286">
        <v>0</v>
      </c>
      <c r="C78" s="6" t="s">
        <v>286</v>
      </c>
    </row>
    <row r="79" spans="1:3">
      <c r="A79" s="1" t="s">
        <v>672</v>
      </c>
      <c r="B79" s="286"/>
    </row>
    <row r="80" spans="1:3">
      <c r="A80" s="1" t="s">
        <v>673</v>
      </c>
      <c r="B80" s="286">
        <v>0</v>
      </c>
      <c r="C80" s="6" t="s">
        <v>286</v>
      </c>
    </row>
    <row r="81" spans="1:3" ht="28.8">
      <c r="A81" s="501" t="s">
        <v>674</v>
      </c>
      <c r="B81" s="286"/>
      <c r="C81" s="6"/>
    </row>
    <row r="82" spans="1:3">
      <c r="A82" s="1" t="s">
        <v>613</v>
      </c>
      <c r="B82" s="286"/>
    </row>
    <row r="83" spans="1:3">
      <c r="A83" s="1" t="s">
        <v>613</v>
      </c>
      <c r="B83" s="286"/>
    </row>
    <row r="84" spans="1:3">
      <c r="A84" s="1" t="s">
        <v>613</v>
      </c>
      <c r="B84" s="286"/>
    </row>
    <row r="85" spans="1:3">
      <c r="A85" s="3" t="s">
        <v>675</v>
      </c>
      <c r="B85" s="3"/>
      <c r="C85" s="3"/>
    </row>
    <row r="86" spans="1:3">
      <c r="A86" s="1" t="s">
        <v>676</v>
      </c>
      <c r="B86" s="286"/>
    </row>
    <row r="87" spans="1:3">
      <c r="A87" s="1" t="s">
        <v>677</v>
      </c>
      <c r="B87" s="286"/>
    </row>
    <row r="88" spans="1:3">
      <c r="A88" s="1" t="s">
        <v>678</v>
      </c>
      <c r="B88" s="286"/>
    </row>
    <row r="89" spans="1:3">
      <c r="A89" s="1" t="s">
        <v>679</v>
      </c>
      <c r="B89" s="286"/>
    </row>
    <row r="90" spans="1:3">
      <c r="A90" s="3" t="s">
        <v>680</v>
      </c>
      <c r="B90" s="3"/>
      <c r="C90" s="3"/>
    </row>
    <row r="91" spans="1:3">
      <c r="A91" s="1" t="s">
        <v>681</v>
      </c>
      <c r="B91" s="286"/>
      <c r="C91" s="6" t="s">
        <v>286</v>
      </c>
    </row>
    <row r="92" spans="1:3">
      <c r="A92" s="1" t="s">
        <v>682</v>
      </c>
      <c r="B92" s="286"/>
      <c r="C92" s="6" t="s">
        <v>286</v>
      </c>
    </row>
    <row r="93" spans="1:3">
      <c r="A93" s="3" t="s">
        <v>685</v>
      </c>
      <c r="B93" s="3"/>
      <c r="C93" s="3"/>
    </row>
    <row r="94" spans="1:3">
      <c r="A94" s="1" t="s">
        <v>686</v>
      </c>
      <c r="B94" s="455"/>
    </row>
    <row r="95" spans="1:3">
      <c r="A95" s="3" t="s">
        <v>687</v>
      </c>
      <c r="B95" s="3"/>
      <c r="C95" s="3"/>
    </row>
    <row r="96" spans="1:3">
      <c r="A96" s="1" t="s">
        <v>577</v>
      </c>
      <c r="B96" s="455"/>
    </row>
    <row r="97" spans="1:3">
      <c r="A97" s="1" t="s">
        <v>574</v>
      </c>
      <c r="B97" s="455"/>
    </row>
    <row r="98" spans="1:3">
      <c r="A98" s="1" t="s">
        <v>575</v>
      </c>
      <c r="B98" s="455"/>
    </row>
    <row r="99" spans="1:3">
      <c r="A99" s="1" t="s">
        <v>576</v>
      </c>
      <c r="B99" s="455"/>
    </row>
    <row r="100" spans="1:3">
      <c r="A100" s="1" t="s">
        <v>578</v>
      </c>
      <c r="B100" s="455"/>
    </row>
    <row r="101" spans="1:3">
      <c r="A101" s="1" t="s">
        <v>688</v>
      </c>
      <c r="B101" s="455"/>
    </row>
    <row r="102" spans="1:3">
      <c r="A102" s="1" t="s">
        <v>689</v>
      </c>
      <c r="B102" s="639"/>
    </row>
    <row r="103" spans="1:3">
      <c r="A103" s="3" t="s">
        <v>690</v>
      </c>
      <c r="B103" s="3"/>
      <c r="C103" s="3"/>
    </row>
    <row r="104" spans="1:3">
      <c r="A104" s="1" t="s">
        <v>577</v>
      </c>
      <c r="B104" s="455"/>
    </row>
    <row r="105" spans="1:3">
      <c r="A105" s="1" t="s">
        <v>574</v>
      </c>
      <c r="B105" s="455"/>
    </row>
    <row r="106" spans="1:3">
      <c r="A106" s="1" t="s">
        <v>575</v>
      </c>
      <c r="B106" s="455"/>
    </row>
    <row r="107" spans="1:3">
      <c r="A107" s="1" t="s">
        <v>576</v>
      </c>
      <c r="B107" s="455"/>
    </row>
    <row r="108" spans="1:3">
      <c r="A108" s="1" t="s">
        <v>578</v>
      </c>
      <c r="B108" s="455"/>
    </row>
    <row r="109" spans="1:3">
      <c r="A109" s="1" t="s">
        <v>580</v>
      </c>
      <c r="B109" s="455"/>
    </row>
    <row r="110" spans="1:3">
      <c r="A110" s="1" t="s">
        <v>689</v>
      </c>
      <c r="B110" s="639"/>
    </row>
    <row r="111" spans="1:3">
      <c r="A111" s="3" t="s">
        <v>691</v>
      </c>
      <c r="B111" s="3"/>
      <c r="C111" s="3"/>
    </row>
    <row r="112" spans="1:3">
      <c r="A112" s="1" t="s">
        <v>692</v>
      </c>
      <c r="B112" s="286"/>
      <c r="C112" s="6" t="s">
        <v>693</v>
      </c>
    </row>
    <row r="113" spans="1:3">
      <c r="A113" s="1" t="s">
        <v>694</v>
      </c>
      <c r="B113" s="286"/>
      <c r="C113" s="6" t="s">
        <v>693</v>
      </c>
    </row>
    <row r="114" spans="1:3">
      <c r="A114" s="1" t="s">
        <v>695</v>
      </c>
      <c r="B114" s="286"/>
      <c r="C114" s="6" t="s">
        <v>693</v>
      </c>
    </row>
    <row r="115" spans="1:3">
      <c r="A115" s="1" t="s">
        <v>613</v>
      </c>
      <c r="B115" s="286"/>
      <c r="C115" s="6" t="s">
        <v>693</v>
      </c>
    </row>
    <row r="118" spans="1:3" ht="15" customHeight="1">
      <c r="A118" s="5"/>
    </row>
  </sheetData>
  <sheetProtection algorithmName="SHA-512" hashValue="wLoUKRwB4Cg+q6q7X//0gnRQsA7aQYbRLWxiUo9YK+1qTyMatjm5VdwN9PFup1OzDYgArrL5Honoct7Sbm2log==" saltValue="Fq4jj6IeCEdOkOwoTt725A==" spinCount="100000" sheet="1" objects="1" scenarios="1"/>
  <dataValidations count="10">
    <dataValidation type="list" allowBlank="1" showInputMessage="1" showErrorMessage="1" errorTitle="Window Coverings/Blinds" error="Please select a valid value for Window Coverings/Blinds." sqref="B4:B14 B17:B24 B41:B52 B56:B60 B69:B70 B73:B74 B79 B76 B27:B32 B34:B39 B86:B89" xr:uid="{00000000-0002-0000-0D00-000000000000}">
      <formula1>Yes_No_List</formula1>
    </dataValidation>
    <dataValidation type="list" allowBlank="1" showInputMessage="1" showErrorMessage="1" errorTitle="Utilitiy Model" error="Please select a valid value for Utilitiy Model." sqref="B94" xr:uid="{00000000-0002-0000-0D00-000002000000}">
      <formula1>Utilitiy_Model_List</formula1>
    </dataValidation>
    <dataValidation type="list" allowBlank="1" showInputMessage="1" showErrorMessage="1" errorTitle="Owner Paid Utilities - Gas" error="Please select a valid value for Owner Paid Utilities - Gas." sqref="B96:B100 B104:B110" xr:uid="{00000000-0002-0000-0D00-000003000000}">
      <formula1>Yes_No_List</formula1>
    </dataValidation>
    <dataValidation type="list" allowBlank="1" showInputMessage="1" showErrorMessage="1" errorTitle="Owner Paid Utilities - Cable" error="Please select a valid value for Owner Paid Utilities - Cable." sqref="B101:B102" xr:uid="{00000000-0002-0000-0D00-000004000000}">
      <formula1>Yes_No_List</formula1>
    </dataValidation>
    <dataValidation type="list" allowBlank="1" showInputMessage="1" showErrorMessage="1" errorTitle="Is parking in eligible basis" error="Please select a valid value for Is parking in eligible basis." sqref="B112 B114" xr:uid="{00000000-0002-0000-0D00-000005000000}">
      <formula1>Yes_No_List</formula1>
    </dataValidation>
    <dataValidation type="whole" allowBlank="1" showInputMessage="1" showErrorMessage="1" sqref="B40 B33" xr:uid="{00000000-0002-0000-0D00-000006000000}">
      <formula1>0</formula1>
      <formula2>100</formula2>
    </dataValidation>
    <dataValidation type="whole" allowBlank="1" showInputMessage="1" showErrorMessage="1" sqref="B71:B72 B75 B63:B68 B78 B80" xr:uid="{00000000-0002-0000-0D00-000007000000}">
      <formula1>0</formula1>
      <formula2>1000</formula2>
    </dataValidation>
    <dataValidation type="decimal" allowBlank="1" showInputMessage="1" showErrorMessage="1" sqref="B62" xr:uid="{F891DDD3-978E-4BBA-96A1-C1267740816F}">
      <formula1>0</formula1>
      <formula2>1000</formula2>
    </dataValidation>
    <dataValidation type="whole" allowBlank="1" showInputMessage="1" showErrorMessage="1" errorTitle="Window Coverings/Blinds" error="Please select a valid value for Window Coverings/Blinds." sqref="B77" xr:uid="{3B5ABED7-B512-47EF-B479-09182F44F695}">
      <formula1>0</formula1>
      <formula2>900</formula2>
    </dataValidation>
    <dataValidation type="whole" allowBlank="1" showInputMessage="1" showErrorMessage="1" sqref="B91:B92" xr:uid="{F70BDE28-3459-42AC-8BD0-3B1FFAB82C5E}">
      <formula1>0</formula1>
      <formula2>2000</formula2>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rgb="FF92D050"/>
  </sheetPr>
  <dimension ref="A1:F58"/>
  <sheetViews>
    <sheetView showGridLines="0" zoomScaleNormal="100" workbookViewId="0"/>
  </sheetViews>
  <sheetFormatPr defaultColWidth="9" defaultRowHeight="14.4"/>
  <cols>
    <col min="1" max="1" width="14" style="15" customWidth="1"/>
    <col min="2" max="2" width="46.5546875" style="15" bestFit="1" customWidth="1"/>
    <col min="3" max="3" width="23.5546875" style="15" customWidth="1"/>
    <col min="4" max="4" width="41.109375" style="15" customWidth="1"/>
    <col min="5" max="5" width="93" style="15" bestFit="1" customWidth="1"/>
    <col min="6" max="16384" width="9" style="15"/>
  </cols>
  <sheetData>
    <row r="1" spans="1:6" ht="21">
      <c r="A1" s="4" t="s">
        <v>72</v>
      </c>
      <c r="B1" s="4"/>
      <c r="C1" s="4"/>
      <c r="D1" s="4"/>
      <c r="E1" s="4"/>
      <c r="F1" s="88"/>
    </row>
    <row r="2" spans="1:6">
      <c r="A2" s="1082"/>
      <c r="B2" s="1082"/>
      <c r="C2" s="1062" t="s">
        <v>696</v>
      </c>
      <c r="D2" s="1062"/>
      <c r="E2" s="88"/>
      <c r="F2" s="88"/>
    </row>
    <row r="3" spans="1:6">
      <c r="A3" s="1" t="s">
        <v>697</v>
      </c>
      <c r="B3" s="88"/>
      <c r="C3" s="1080"/>
      <c r="D3" s="1081"/>
      <c r="E3"/>
      <c r="F3" s="88"/>
    </row>
    <row r="4" spans="1:6">
      <c r="A4" s="1" t="s">
        <v>698</v>
      </c>
      <c r="B4" s="88"/>
      <c r="C4" s="456">
        <v>0</v>
      </c>
      <c r="D4"/>
      <c r="E4" s="88"/>
      <c r="F4" s="88"/>
    </row>
    <row r="5" spans="1:6">
      <c r="A5" s="1" t="s">
        <v>699</v>
      </c>
      <c r="B5" s="88"/>
      <c r="C5" s="286"/>
      <c r="D5" s="88"/>
      <c r="E5" s="88"/>
      <c r="F5" s="88"/>
    </row>
    <row r="6" spans="1:6">
      <c r="A6" s="88"/>
      <c r="B6" s="88"/>
      <c r="C6" s="1082" t="s">
        <v>700</v>
      </c>
      <c r="D6" s="1082"/>
      <c r="E6" s="88"/>
      <c r="F6" s="88"/>
    </row>
    <row r="7" spans="1:6">
      <c r="A7" s="3" t="s">
        <v>701</v>
      </c>
      <c r="B7" s="3" t="s">
        <v>702</v>
      </c>
      <c r="C7" s="3" t="s">
        <v>703</v>
      </c>
      <c r="D7" s="3" t="s">
        <v>704</v>
      </c>
      <c r="E7" s="3"/>
      <c r="F7" s="88"/>
    </row>
    <row r="8" spans="1:6">
      <c r="A8" s="1" t="s">
        <v>705</v>
      </c>
      <c r="B8" s="1" t="s">
        <v>410</v>
      </c>
      <c r="C8" s="457">
        <v>0</v>
      </c>
      <c r="D8" s="455"/>
      <c r="E8" s="10" t="s">
        <v>706</v>
      </c>
      <c r="F8" s="88"/>
    </row>
    <row r="9" spans="1:6">
      <c r="A9" s="1" t="s">
        <v>707</v>
      </c>
      <c r="B9" s="1" t="s">
        <v>708</v>
      </c>
      <c r="C9" s="457">
        <v>0</v>
      </c>
      <c r="D9" s="455"/>
      <c r="E9" s="88"/>
      <c r="F9" s="88"/>
    </row>
    <row r="10" spans="1:6">
      <c r="A10" s="1" t="s">
        <v>709</v>
      </c>
      <c r="B10" s="1" t="s">
        <v>710</v>
      </c>
      <c r="C10" s="457">
        <v>0</v>
      </c>
      <c r="D10" s="455"/>
      <c r="E10" s="88"/>
      <c r="F10" s="88"/>
    </row>
    <row r="11" spans="1:6">
      <c r="A11" s="1" t="s">
        <v>711</v>
      </c>
      <c r="B11" s="1" t="s">
        <v>712</v>
      </c>
      <c r="C11" s="457">
        <v>0</v>
      </c>
      <c r="D11" s="455"/>
      <c r="E11" s="88"/>
      <c r="F11"/>
    </row>
    <row r="12" spans="1:6">
      <c r="A12" s="1" t="s">
        <v>713</v>
      </c>
      <c r="B12" s="1" t="s">
        <v>714</v>
      </c>
      <c r="C12" s="457">
        <v>0</v>
      </c>
      <c r="D12" s="455"/>
      <c r="E12" s="88"/>
      <c r="F12" s="88"/>
    </row>
    <row r="13" spans="1:6">
      <c r="A13" s="1" t="s">
        <v>715</v>
      </c>
      <c r="B13" s="1" t="s">
        <v>716</v>
      </c>
      <c r="C13" s="457">
        <v>0</v>
      </c>
      <c r="D13" s="455"/>
      <c r="E13" s="88"/>
      <c r="F13" s="88"/>
    </row>
    <row r="14" spans="1:6">
      <c r="A14" s="1" t="s">
        <v>717</v>
      </c>
      <c r="B14" s="1" t="s">
        <v>718</v>
      </c>
      <c r="C14" s="457">
        <v>0</v>
      </c>
      <c r="D14" s="455"/>
      <c r="E14" s="88"/>
      <c r="F14" s="88"/>
    </row>
    <row r="15" spans="1:6">
      <c r="A15" s="1" t="s">
        <v>719</v>
      </c>
      <c r="B15" s="1" t="s">
        <v>720</v>
      </c>
      <c r="C15" s="457">
        <v>0</v>
      </c>
      <c r="D15" s="455"/>
      <c r="E15" s="88"/>
      <c r="F15" s="88"/>
    </row>
    <row r="16" spans="1:6">
      <c r="A16" s="1" t="s">
        <v>721</v>
      </c>
      <c r="B16" s="1" t="s">
        <v>722</v>
      </c>
      <c r="C16" s="457">
        <v>0</v>
      </c>
      <c r="D16" s="455"/>
      <c r="E16" s="88"/>
      <c r="F16" s="88"/>
    </row>
    <row r="17" spans="1:5">
      <c r="A17" s="1" t="s">
        <v>723</v>
      </c>
      <c r="B17" s="1" t="s">
        <v>724</v>
      </c>
      <c r="C17" s="457">
        <v>0</v>
      </c>
      <c r="D17" s="455"/>
      <c r="E17"/>
    </row>
    <row r="18" spans="1:5">
      <c r="A18" s="1" t="s">
        <v>725</v>
      </c>
      <c r="B18" s="1" t="s">
        <v>726</v>
      </c>
      <c r="C18" s="457">
        <v>0</v>
      </c>
      <c r="D18" s="455"/>
      <c r="E18" s="88"/>
    </row>
    <row r="19" spans="1:5">
      <c r="A19" s="1" t="s">
        <v>727</v>
      </c>
      <c r="B19" s="1" t="s">
        <v>728</v>
      </c>
      <c r="C19" s="457">
        <v>0</v>
      </c>
      <c r="D19" s="455"/>
      <c r="E19" s="88"/>
    </row>
    <row r="20" spans="1:5">
      <c r="A20" s="1" t="s">
        <v>729</v>
      </c>
      <c r="B20" s="1" t="s">
        <v>730</v>
      </c>
      <c r="C20" s="457">
        <v>0</v>
      </c>
      <c r="D20" s="455"/>
      <c r="E20" s="88"/>
    </row>
    <row r="21" spans="1:5">
      <c r="A21" s="1" t="s">
        <v>731</v>
      </c>
      <c r="B21" s="1" t="s">
        <v>732</v>
      </c>
      <c r="C21" s="457">
        <v>0</v>
      </c>
      <c r="D21" s="455"/>
      <c r="E21" s="88"/>
    </row>
    <row r="22" spans="1:5">
      <c r="A22" s="1" t="s">
        <v>733</v>
      </c>
      <c r="B22" s="1" t="s">
        <v>734</v>
      </c>
      <c r="C22" s="457">
        <v>0</v>
      </c>
      <c r="D22" s="455"/>
      <c r="E22" s="88"/>
    </row>
    <row r="23" spans="1:5">
      <c r="A23" s="1" t="s">
        <v>735</v>
      </c>
      <c r="B23" s="1" t="s">
        <v>736</v>
      </c>
      <c r="C23" s="457">
        <v>0</v>
      </c>
      <c r="D23" s="455"/>
      <c r="E23" s="88"/>
    </row>
    <row r="24" spans="1:5">
      <c r="A24" s="1" t="s">
        <v>737</v>
      </c>
      <c r="B24" s="1" t="s">
        <v>738</v>
      </c>
      <c r="C24" s="457">
        <v>0</v>
      </c>
      <c r="D24" s="455"/>
      <c r="E24" s="88"/>
    </row>
    <row r="25" spans="1:5">
      <c r="A25" s="1" t="s">
        <v>739</v>
      </c>
      <c r="B25" s="1" t="s">
        <v>740</v>
      </c>
      <c r="C25" s="457">
        <v>0</v>
      </c>
      <c r="D25" s="455"/>
      <c r="E25" s="88"/>
    </row>
    <row r="26" spans="1:5">
      <c r="A26" s="1" t="s">
        <v>741</v>
      </c>
      <c r="B26" s="1" t="s">
        <v>742</v>
      </c>
      <c r="C26" s="457">
        <v>0</v>
      </c>
      <c r="D26" s="455"/>
      <c r="E26" s="88"/>
    </row>
    <row r="27" spans="1:5">
      <c r="A27" s="1" t="s">
        <v>743</v>
      </c>
      <c r="B27" s="1" t="s">
        <v>744</v>
      </c>
      <c r="C27" s="457">
        <v>0</v>
      </c>
      <c r="D27" s="455"/>
      <c r="E27" s="88"/>
    </row>
    <row r="28" spans="1:5">
      <c r="A28" s="1" t="s">
        <v>745</v>
      </c>
      <c r="B28" s="1" t="s">
        <v>746</v>
      </c>
      <c r="C28" s="457">
        <v>0</v>
      </c>
      <c r="D28" s="455"/>
      <c r="E28" s="88"/>
    </row>
    <row r="29" spans="1:5">
      <c r="A29" s="1" t="s">
        <v>747</v>
      </c>
      <c r="B29" s="1" t="s">
        <v>748</v>
      </c>
      <c r="C29" s="457">
        <v>0</v>
      </c>
      <c r="D29" s="455"/>
      <c r="E29" s="88"/>
    </row>
    <row r="30" spans="1:5">
      <c r="A30" s="1" t="s">
        <v>749</v>
      </c>
      <c r="B30" s="1" t="s">
        <v>750</v>
      </c>
      <c r="C30" s="457">
        <v>0</v>
      </c>
      <c r="D30" s="455"/>
      <c r="E30" s="88"/>
    </row>
    <row r="31" spans="1:5">
      <c r="A31" s="1" t="s">
        <v>751</v>
      </c>
      <c r="B31" s="1" t="s">
        <v>685</v>
      </c>
      <c r="C31" s="457">
        <v>0</v>
      </c>
      <c r="D31" s="455"/>
      <c r="E31" s="88"/>
    </row>
    <row r="32" spans="1:5">
      <c r="A32" s="1" t="s">
        <v>752</v>
      </c>
      <c r="B32" s="1" t="s">
        <v>753</v>
      </c>
      <c r="C32" s="457">
        <v>0</v>
      </c>
      <c r="D32" s="455"/>
      <c r="E32" s="88"/>
    </row>
    <row r="33" spans="1:5">
      <c r="A33" s="1" t="s">
        <v>754</v>
      </c>
      <c r="B33" s="1" t="s">
        <v>755</v>
      </c>
      <c r="C33" s="457">
        <v>0</v>
      </c>
      <c r="D33" s="455"/>
      <c r="E33" s="88"/>
    </row>
    <row r="34" spans="1:5">
      <c r="A34" s="1"/>
      <c r="B34" s="290" t="str">
        <f>"[Other - describe]"</f>
        <v>[Other - describe]</v>
      </c>
      <c r="C34" s="457">
        <v>0</v>
      </c>
      <c r="D34" s="455"/>
      <c r="E34" s="88"/>
    </row>
    <row r="35" spans="1:5">
      <c r="A35" s="1"/>
      <c r="B35" s="290" t="str">
        <f>"[Other - describe]"</f>
        <v>[Other - describe]</v>
      </c>
      <c r="C35" s="457">
        <v>0</v>
      </c>
      <c r="D35" s="455"/>
      <c r="E35" s="88"/>
    </row>
    <row r="36" spans="1:5" customFormat="1">
      <c r="C36" s="65">
        <f>SUM(C8:C35)</f>
        <v>0</v>
      </c>
    </row>
    <row r="37" spans="1:5">
      <c r="A37" s="3" t="s">
        <v>756</v>
      </c>
      <c r="B37" s="3"/>
      <c r="C37" s="3"/>
      <c r="D37" s="3"/>
      <c r="E37" s="3"/>
    </row>
    <row r="38" spans="1:5">
      <c r="A38" s="88"/>
      <c r="B38" s="1" t="s">
        <v>757</v>
      </c>
      <c r="C38" s="457">
        <v>0</v>
      </c>
      <c r="D38" s="455"/>
      <c r="E38" s="88"/>
    </row>
    <row r="39" spans="1:5">
      <c r="A39" s="88"/>
      <c r="B39" s="290" t="str">
        <f>"[Other - describe]"</f>
        <v>[Other - describe]</v>
      </c>
      <c r="C39" s="457">
        <v>0</v>
      </c>
      <c r="D39" s="455"/>
      <c r="E39" s="88"/>
    </row>
    <row r="40" spans="1:5">
      <c r="A40" s="88"/>
      <c r="B40" s="290" t="str">
        <f>"[Other - describe]"</f>
        <v>[Other - describe]</v>
      </c>
      <c r="C40" s="457">
        <v>0</v>
      </c>
      <c r="D40" s="455"/>
      <c r="E40" s="88"/>
    </row>
    <row r="41" spans="1:5">
      <c r="A41" s="88"/>
      <c r="B41" s="290" t="str">
        <f>"[Other - describe]"</f>
        <v>[Other - describe]</v>
      </c>
      <c r="C41" s="457">
        <v>0</v>
      </c>
      <c r="D41" s="455"/>
      <c r="E41" s="88"/>
    </row>
    <row r="42" spans="1:5" customFormat="1">
      <c r="C42" s="65">
        <f>SUM(C38:C41)</f>
        <v>0</v>
      </c>
    </row>
    <row r="43" spans="1:5">
      <c r="A43" s="3" t="s">
        <v>758</v>
      </c>
      <c r="B43" s="3"/>
      <c r="C43" s="3"/>
      <c r="D43" s="3"/>
      <c r="E43" s="3"/>
    </row>
    <row r="44" spans="1:5">
      <c r="A44" s="88"/>
      <c r="B44" s="1" t="s">
        <v>759</v>
      </c>
      <c r="C44" s="457">
        <v>0</v>
      </c>
      <c r="D44" s="455"/>
      <c r="E44" s="88"/>
    </row>
    <row r="45" spans="1:5">
      <c r="A45" s="88"/>
      <c r="B45" s="1" t="s">
        <v>760</v>
      </c>
      <c r="C45" s="457">
        <v>0</v>
      </c>
      <c r="D45" s="455"/>
      <c r="E45" s="88"/>
    </row>
    <row r="46" spans="1:5">
      <c r="A46" s="88"/>
      <c r="B46" s="1" t="s">
        <v>761</v>
      </c>
      <c r="C46" s="457">
        <v>0</v>
      </c>
      <c r="D46" s="455"/>
      <c r="E46" s="88"/>
    </row>
    <row r="47" spans="1:5">
      <c r="A47" s="88"/>
      <c r="B47" s="1" t="s">
        <v>762</v>
      </c>
      <c r="C47" s="457">
        <v>0</v>
      </c>
      <c r="D47" s="455"/>
      <c r="E47" s="88"/>
    </row>
    <row r="48" spans="1:5">
      <c r="A48" s="88"/>
      <c r="B48" s="290" t="str">
        <f>"[Other - describe]"</f>
        <v>[Other - describe]</v>
      </c>
      <c r="C48" s="457">
        <v>0</v>
      </c>
      <c r="D48" s="455"/>
      <c r="E48" s="88"/>
    </row>
    <row r="49" spans="1:5" customFormat="1">
      <c r="C49" s="65">
        <f>SUM(C44:C48)</f>
        <v>0</v>
      </c>
    </row>
    <row r="50" spans="1:5">
      <c r="A50" s="3" t="s">
        <v>763</v>
      </c>
      <c r="B50" s="3"/>
      <c r="C50" s="3"/>
      <c r="D50" s="3"/>
      <c r="E50" s="3"/>
    </row>
    <row r="51" spans="1:5">
      <c r="A51" s="88"/>
      <c r="B51" s="1" t="s">
        <v>764</v>
      </c>
      <c r="C51" s="457">
        <v>0</v>
      </c>
      <c r="D51" s="455"/>
      <c r="E51" s="88"/>
    </row>
    <row r="52" spans="1:5">
      <c r="A52" s="88"/>
      <c r="B52" s="1" t="s">
        <v>411</v>
      </c>
      <c r="C52" s="457">
        <v>0</v>
      </c>
      <c r="D52" s="455"/>
      <c r="E52" s="88"/>
    </row>
    <row r="53" spans="1:5">
      <c r="A53" s="88"/>
      <c r="B53" s="1" t="s">
        <v>412</v>
      </c>
      <c r="C53" s="457">
        <v>0</v>
      </c>
      <c r="D53" s="455"/>
      <c r="E53" s="88"/>
    </row>
    <row r="54" spans="1:5">
      <c r="A54" s="88"/>
      <c r="B54" s="1" t="s">
        <v>765</v>
      </c>
      <c r="C54" s="457">
        <v>0</v>
      </c>
      <c r="D54" s="455"/>
      <c r="E54" s="88"/>
    </row>
    <row r="55" spans="1:5">
      <c r="A55" s="88"/>
      <c r="B55" s="1" t="s">
        <v>766</v>
      </c>
      <c r="C55" s="457">
        <v>0</v>
      </c>
      <c r="D55" s="455"/>
      <c r="E55" s="88"/>
    </row>
    <row r="56" spans="1:5">
      <c r="A56" s="88"/>
      <c r="B56" s="1" t="s">
        <v>767</v>
      </c>
      <c r="C56" s="457">
        <v>0</v>
      </c>
      <c r="D56" s="455"/>
      <c r="E56" s="88"/>
    </row>
    <row r="57" spans="1:5" ht="15" thickBot="1">
      <c r="A57" s="88"/>
      <c r="B57"/>
      <c r="C57" s="66">
        <f>SUM(C51:C56)</f>
        <v>0</v>
      </c>
      <c r="D57" s="88"/>
      <c r="E57" s="88"/>
    </row>
    <row r="58" spans="1:5" ht="15" thickTop="1">
      <c r="A58" s="88"/>
      <c r="B58" s="68" t="s">
        <v>373</v>
      </c>
      <c r="C58" s="440">
        <f>SUM(C8:C35,C38:C41,C44:C48,C51:C56)</f>
        <v>0</v>
      </c>
      <c r="D58" s="88"/>
      <c r="E58" s="88"/>
    </row>
  </sheetData>
  <sheetProtection algorithmName="SHA-512" hashValue="rmi0Qbq9+mAc0x1i1IQGBn6MFTBZsBfb3OodtBh7NmGJqL0lDtAYK5Q8rnrjwWJgHT3P4KdEX9D9Pxfaq7dVeg==" saltValue="ZFiuxpjJksXTMrh07zzCUQ==" spinCount="100000" sheet="1" objects="1" scenarios="1"/>
  <mergeCells count="4">
    <mergeCell ref="C3:D3"/>
    <mergeCell ref="C2:D2"/>
    <mergeCell ref="A2:B2"/>
    <mergeCell ref="C6:D6"/>
  </mergeCells>
  <dataValidations count="3">
    <dataValidation type="whole" allowBlank="1" showInputMessage="1" showErrorMessage="1" errorTitle="Whole Numbers Only" error="All numbers on Cost Summary must be entered as a whole number." sqref="C8:C35 C38:C41 C44:C48 C51:C56" xr:uid="{00000000-0002-0000-0E00-000000000000}">
      <formula1>0</formula1>
      <formula2>100000000</formula2>
    </dataValidation>
    <dataValidation type="list" allowBlank="1" showInputMessage="1" showErrorMessage="1" errorTitle="Window Coverings/Blinds" error="Please select a valid value for Window Coverings/Blinds." sqref="C5" xr:uid="{00000000-0002-0000-0E00-000001000000}">
      <formula1>Yes_No_List</formula1>
    </dataValidation>
    <dataValidation type="list" allowBlank="1" showInputMessage="1" showErrorMessage="1" errorTitle="Window Coverings/Blinds" error="Please select a valid value for Window Coverings/Blinds." sqref="C3" xr:uid="{00000000-0002-0000-0E00-000002000000}">
      <formula1>Drawings_Complete</formula1>
    </dataValidation>
  </dataValidations>
  <pageMargins left="0.7" right="0.7" top="0.75" bottom="0.75" header="0.3" footer="0.3"/>
  <pageSetup paperSize="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tabColor rgb="FF92D050"/>
  </sheetPr>
  <dimension ref="A1:G46"/>
  <sheetViews>
    <sheetView showGridLines="0" zoomScaleNormal="100" workbookViewId="0"/>
  </sheetViews>
  <sheetFormatPr defaultRowHeight="14.4"/>
  <cols>
    <col min="1" max="1" width="88.5546875" customWidth="1"/>
    <col min="2" max="2" width="72" customWidth="1"/>
  </cols>
  <sheetData>
    <row r="1" spans="1:3" ht="21">
      <c r="A1" s="4" t="s">
        <v>65</v>
      </c>
      <c r="B1" s="2"/>
    </row>
    <row r="2" spans="1:3" ht="21">
      <c r="A2" s="1083"/>
      <c r="B2" s="1083"/>
    </row>
    <row r="3" spans="1:3" ht="21">
      <c r="A3" s="7" t="s">
        <v>504</v>
      </c>
    </row>
    <row r="4" spans="1:3">
      <c r="A4" s="3" t="s">
        <v>505</v>
      </c>
      <c r="B4" s="3"/>
    </row>
    <row r="5" spans="1:3">
      <c r="A5" s="1" t="s">
        <v>506</v>
      </c>
      <c r="B5" s="286"/>
      <c r="C5" s="10" t="s">
        <v>507</v>
      </c>
    </row>
    <row r="6" spans="1:3">
      <c r="C6" s="10" t="s">
        <v>508</v>
      </c>
    </row>
    <row r="7" spans="1:3">
      <c r="A7" s="3" t="s">
        <v>509</v>
      </c>
      <c r="B7" s="3"/>
    </row>
    <row r="8" spans="1:3">
      <c r="A8" s="1" t="s">
        <v>510</v>
      </c>
      <c r="B8" s="286"/>
      <c r="C8" s="10" t="s">
        <v>511</v>
      </c>
    </row>
    <row r="10" spans="1:3">
      <c r="A10" s="3" t="s">
        <v>512</v>
      </c>
      <c r="B10" s="3"/>
      <c r="C10" t="s">
        <v>457</v>
      </c>
    </row>
    <row r="11" spans="1:3">
      <c r="A11" s="1" t="s">
        <v>512</v>
      </c>
      <c r="B11" s="286"/>
      <c r="C11" s="10" t="s">
        <v>4056</v>
      </c>
    </row>
    <row r="13" spans="1:3">
      <c r="A13" s="3" t="s">
        <v>513</v>
      </c>
      <c r="B13" s="3"/>
    </row>
    <row r="14" spans="1:3" ht="43.2">
      <c r="A14" s="501" t="s">
        <v>4435</v>
      </c>
      <c r="B14" s="291"/>
      <c r="C14" s="10" t="s">
        <v>514</v>
      </c>
    </row>
    <row r="16" spans="1:3">
      <c r="A16" s="10" t="s">
        <v>4169</v>
      </c>
    </row>
    <row r="18" spans="1:7" ht="21">
      <c r="A18" s="7" t="s">
        <v>515</v>
      </c>
    </row>
    <row r="19" spans="1:7">
      <c r="A19" s="3" t="s">
        <v>847</v>
      </c>
      <c r="B19" s="3"/>
    </row>
    <row r="20" spans="1:7" ht="57.6">
      <c r="A20" s="501" t="s">
        <v>4066</v>
      </c>
      <c r="B20" s="291"/>
      <c r="C20" s="10" t="s">
        <v>4065</v>
      </c>
    </row>
    <row r="21" spans="1:7" ht="43.2">
      <c r="A21" s="501" t="s">
        <v>4069</v>
      </c>
      <c r="B21" s="291"/>
      <c r="C21" s="10" t="s">
        <v>4065</v>
      </c>
    </row>
    <row r="22" spans="1:7" ht="15" customHeight="1">
      <c r="A22" s="9"/>
      <c r="B22" s="9"/>
    </row>
    <row r="23" spans="1:7">
      <c r="A23" s="3" t="s">
        <v>516</v>
      </c>
      <c r="B23" s="3"/>
    </row>
    <row r="24" spans="1:7" ht="28.8">
      <c r="A24" s="501" t="s">
        <v>4064</v>
      </c>
      <c r="B24" s="291"/>
      <c r="C24" s="10" t="s">
        <v>517</v>
      </c>
    </row>
    <row r="25" spans="1:7">
      <c r="A25" s="501" t="s">
        <v>518</v>
      </c>
      <c r="B25" s="291"/>
      <c r="C25" s="10" t="s">
        <v>517</v>
      </c>
    </row>
    <row r="26" spans="1:7" ht="28.8">
      <c r="A26" s="501" t="s">
        <v>519</v>
      </c>
      <c r="B26" s="291"/>
      <c r="C26" s="10" t="s">
        <v>517</v>
      </c>
      <c r="G26" t="s">
        <v>457</v>
      </c>
    </row>
    <row r="27" spans="1:7" ht="28.8">
      <c r="A27" s="501" t="s">
        <v>520</v>
      </c>
      <c r="B27" s="291"/>
      <c r="C27" s="10" t="s">
        <v>521</v>
      </c>
      <c r="G27" t="s">
        <v>457</v>
      </c>
    </row>
    <row r="28" spans="1:7" ht="43.2">
      <c r="A28" s="501" t="s">
        <v>4063</v>
      </c>
      <c r="B28" s="291"/>
      <c r="C28" s="10" t="s">
        <v>514</v>
      </c>
    </row>
    <row r="29" spans="1:7" ht="43.2">
      <c r="A29" s="501" t="s">
        <v>4067</v>
      </c>
      <c r="B29" s="291"/>
      <c r="C29" s="10" t="s">
        <v>517</v>
      </c>
    </row>
    <row r="30" spans="1:7" ht="28.8">
      <c r="A30" s="628" t="s">
        <v>4068</v>
      </c>
      <c r="B30" s="291"/>
      <c r="C30" s="10" t="s">
        <v>4057</v>
      </c>
    </row>
    <row r="31" spans="1:7" ht="100.8">
      <c r="A31" s="501" t="s">
        <v>4110</v>
      </c>
      <c r="B31" s="660"/>
      <c r="C31" s="10" t="s">
        <v>4111</v>
      </c>
    </row>
    <row r="32" spans="1:7">
      <c r="A32" s="9"/>
      <c r="B32" s="9"/>
    </row>
    <row r="33" spans="1:7">
      <c r="A33" s="3" t="s">
        <v>522</v>
      </c>
      <c r="B33" s="3"/>
      <c r="G33" t="s">
        <v>457</v>
      </c>
    </row>
    <row r="34" spans="1:7" ht="86.4">
      <c r="A34" s="501" t="s">
        <v>523</v>
      </c>
      <c r="B34" s="291"/>
      <c r="C34" s="10" t="s">
        <v>517</v>
      </c>
    </row>
    <row r="35" spans="1:7" ht="15" customHeight="1">
      <c r="A35" s="9"/>
      <c r="B35" s="9"/>
    </row>
    <row r="36" spans="1:7">
      <c r="A36" s="3" t="s">
        <v>524</v>
      </c>
      <c r="B36" s="3"/>
    </row>
    <row r="37" spans="1:7" ht="28.8">
      <c r="A37" s="501" t="s">
        <v>525</v>
      </c>
      <c r="B37" s="291"/>
      <c r="C37" s="10" t="s">
        <v>521</v>
      </c>
    </row>
    <row r="39" spans="1:7">
      <c r="A39" s="3" t="s">
        <v>526</v>
      </c>
      <c r="B39" s="3"/>
    </row>
    <row r="40" spans="1:7">
      <c r="A40" s="1" t="s">
        <v>526</v>
      </c>
      <c r="B40" s="291"/>
      <c r="C40" s="10" t="s">
        <v>527</v>
      </c>
    </row>
    <row r="43" spans="1:7">
      <c r="A43" s="304" t="s">
        <v>528</v>
      </c>
    </row>
    <row r="46" spans="1:7">
      <c r="F46" t="s">
        <v>457</v>
      </c>
    </row>
  </sheetData>
  <sheetProtection algorithmName="SHA-512" hashValue="IaaPDmGwekBRSt4fQJQgcf8QsOmg/0G2ufSNHmseb2MqvGmzUXCHGmL0+3oc6dsLK0+UHekOlfg6x0A67l8fHA==" saltValue="Hix8mBK2dA0c5Eq/DCu9uw==" spinCount="100000" sheet="1" objects="1" scenarios="1"/>
  <mergeCells count="1">
    <mergeCell ref="A2:B2"/>
  </mergeCells>
  <dataValidations count="8">
    <dataValidation type="list" allowBlank="1" showInputMessage="1" showErrorMessage="1" errorTitle="Threshold" error="Please select a valid value for Threshold." sqref="B5" xr:uid="{00000000-0002-0000-0C00-000000000000}">
      <formula1 xml:space="preserve"> Scoring_Threshold_List</formula1>
    </dataValidation>
    <dataValidation type="list" allowBlank="1" showInputMessage="1" showErrorMessage="1" errorTitle="Low-Income Targeting" error="Please select a valid value for Very, Very Low-Income Targeting." sqref="B8" xr:uid="{00000000-0002-0000-0C00-000001000000}">
      <formula1>Very_Very_Low_Income_Targeting_List</formula1>
    </dataValidation>
    <dataValidation type="list" allowBlank="1" showInputMessage="1" showErrorMessage="1" errorTitle="Extended Low-Income Use" error="Please select a valid value for Extended Low-Income Use." sqref="B11" xr:uid="{00000000-0002-0000-0C00-000002000000}">
      <formula1>Extended_Low_Income_Use_List</formula1>
    </dataValidation>
    <dataValidation type="list" allowBlank="1" showInputMessage="1" showErrorMessage="1" errorTitle="Tenant Population" error="Please select a valid value for Tenant Population with Special Housing Needs." sqref="B37" xr:uid="{00000000-0002-0000-0C00-000004000000}">
      <formula1>Tenant_Population_with_Special_Housing_Needs_List</formula1>
    </dataValidation>
    <dataValidation type="list" allowBlank="1" showInputMessage="1" showErrorMessage="1" errorTitle="Qualified Census Tract" error="Please select a valid value for Qualified Census Tract." sqref="B14" xr:uid="{00000000-0002-0000-0C00-000005000000}">
      <formula1>Yes_No_List</formula1>
    </dataValidation>
    <dataValidation type="list" allowBlank="1" showInputMessage="1" showErrorMessage="1" errorTitle="Subsidized Housing Waiting List" error="Please select a valid value for Subsidized Housing Waiting List." sqref="B40" xr:uid="{00000000-0002-0000-0C00-000006000000}">
      <formula1>Yes_No_List</formula1>
    </dataValidation>
    <dataValidation type="list" allowBlank="1" showInputMessage="1" showErrorMessage="1" errorTitle="Applicant Characteristics" error="Please select a valid value for Applicant Characteristics." sqref="B34" xr:uid="{00000000-0002-0000-0C00-000007000000}">
      <formula1>Yes_No_List</formula1>
    </dataValidation>
    <dataValidation type="list" allowBlank="1" showInputMessage="1" showErrorMessage="1" errorTitle="Development Characteristics" error="Please select a valid value for Development Characteristics - Income Mix." sqref="B24:B31 B20:B21" xr:uid="{00000000-0002-0000-0C00-000008000000}">
      <formula1>Yes_No_List</formula1>
    </dataValidation>
  </dataValidations>
  <hyperlinks>
    <hyperlink ref="A43" location="'Tax Credit Details'!B40" tooltip="Show me the Scoring Details" display="Show me the Scoring Details" xr:uid="{00000000-0004-0000-0C00-000000000000}"/>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rgb="FF92D050"/>
  </sheetPr>
  <dimension ref="A1:R108"/>
  <sheetViews>
    <sheetView showGridLines="0" workbookViewId="0"/>
  </sheetViews>
  <sheetFormatPr defaultRowHeight="14.4"/>
  <cols>
    <col min="1" max="1" width="3.5546875" customWidth="1"/>
    <col min="2" max="2" width="13" hidden="1" customWidth="1"/>
    <col min="3" max="3" width="35" customWidth="1"/>
    <col min="4" max="4" width="14" customWidth="1"/>
    <col min="5" max="5" width="12" customWidth="1"/>
    <col min="6" max="6" width="13" customWidth="1"/>
    <col min="7" max="9" width="17.109375" customWidth="1"/>
    <col min="10" max="10" width="16" customWidth="1"/>
    <col min="11" max="11" width="16.5546875" customWidth="1"/>
    <col min="12" max="14" width="17.109375" customWidth="1"/>
    <col min="15" max="15" width="25.109375" customWidth="1"/>
    <col min="16" max="17" width="20.5546875" customWidth="1"/>
  </cols>
  <sheetData>
    <row r="1" spans="1:18" ht="21">
      <c r="A1" s="4" t="s">
        <v>76</v>
      </c>
      <c r="B1" s="4"/>
      <c r="C1" s="4"/>
      <c r="D1" s="4"/>
      <c r="E1" s="4"/>
      <c r="F1" s="4"/>
      <c r="G1" s="4"/>
      <c r="H1" s="4"/>
      <c r="I1" s="4"/>
      <c r="J1" s="4"/>
      <c r="K1" s="4"/>
      <c r="L1" s="4"/>
      <c r="M1" s="4"/>
      <c r="N1" s="4"/>
      <c r="O1" s="4"/>
      <c r="P1" s="4"/>
      <c r="Q1" s="4"/>
    </row>
    <row r="2" spans="1:18" ht="25.5" customHeight="1">
      <c r="A2" s="559" t="s">
        <v>4433</v>
      </c>
      <c r="B2" s="98"/>
      <c r="C2" s="267"/>
    </row>
    <row r="3" spans="1:18" ht="48.75" customHeight="1">
      <c r="A3" s="3"/>
      <c r="B3" s="3" t="s">
        <v>768</v>
      </c>
      <c r="C3" s="502" t="s">
        <v>769</v>
      </c>
      <c r="D3" s="502" t="s">
        <v>770</v>
      </c>
      <c r="E3" s="502" t="s">
        <v>771</v>
      </c>
      <c r="F3" s="502" t="s">
        <v>772</v>
      </c>
      <c r="G3" s="502" t="s">
        <v>773</v>
      </c>
      <c r="H3" s="502" t="s">
        <v>774</v>
      </c>
      <c r="I3" s="502" t="s">
        <v>775</v>
      </c>
      <c r="J3" s="502" t="s">
        <v>776</v>
      </c>
      <c r="K3" s="502" t="s">
        <v>777</v>
      </c>
      <c r="L3" s="502" t="s">
        <v>778</v>
      </c>
      <c r="M3" s="502" t="s">
        <v>779</v>
      </c>
      <c r="N3" s="502" t="s">
        <v>780</v>
      </c>
      <c r="O3" s="502" t="s">
        <v>781</v>
      </c>
      <c r="P3" s="502" t="s">
        <v>782</v>
      </c>
      <c r="Q3" s="502" t="s">
        <v>783</v>
      </c>
      <c r="R3" s="6" t="s">
        <v>784</v>
      </c>
    </row>
    <row r="4" spans="1:18">
      <c r="A4" s="3">
        <v>1</v>
      </c>
      <c r="B4" s="11"/>
      <c r="C4" s="286"/>
      <c r="D4" s="286"/>
      <c r="E4" s="286"/>
      <c r="F4" s="286"/>
      <c r="G4" s="468"/>
      <c r="H4" s="468"/>
      <c r="I4" s="468"/>
      <c r="J4" s="318"/>
      <c r="K4" s="288"/>
      <c r="L4" s="468"/>
      <c r="M4" s="468"/>
      <c r="N4" s="468"/>
      <c r="O4" s="468"/>
      <c r="P4" s="295"/>
      <c r="Q4" s="288"/>
      <c r="R4" s="6"/>
    </row>
    <row r="5" spans="1:18">
      <c r="A5" s="3">
        <v>2</v>
      </c>
      <c r="B5" s="11"/>
      <c r="C5" s="286"/>
      <c r="D5" s="286"/>
      <c r="E5" s="286"/>
      <c r="F5" s="286"/>
      <c r="G5" s="468"/>
      <c r="H5" s="468"/>
      <c r="I5" s="468"/>
      <c r="J5" s="318"/>
      <c r="K5" s="288"/>
      <c r="L5" s="468"/>
      <c r="M5" s="468"/>
      <c r="N5" s="468"/>
      <c r="O5" s="468"/>
      <c r="P5" s="295"/>
      <c r="Q5" s="288"/>
      <c r="R5" s="6" t="s">
        <v>785</v>
      </c>
    </row>
    <row r="6" spans="1:18">
      <c r="A6" s="3">
        <v>3</v>
      </c>
      <c r="B6" s="11"/>
      <c r="C6" s="286"/>
      <c r="D6" s="286"/>
      <c r="E6" s="286"/>
      <c r="F6" s="286"/>
      <c r="G6" s="468"/>
      <c r="H6" s="468"/>
      <c r="I6" s="468"/>
      <c r="J6" s="318"/>
      <c r="K6" s="288"/>
      <c r="L6" s="468"/>
      <c r="M6" s="468"/>
      <c r="N6" s="468"/>
      <c r="O6" s="468"/>
      <c r="P6" s="295"/>
      <c r="Q6" s="288"/>
      <c r="R6" s="6" t="s">
        <v>786</v>
      </c>
    </row>
    <row r="7" spans="1:18">
      <c r="A7" s="3">
        <v>4</v>
      </c>
      <c r="B7" s="11"/>
      <c r="C7" s="286"/>
      <c r="D7" s="286"/>
      <c r="E7" s="286"/>
      <c r="F7" s="286"/>
      <c r="G7" s="468"/>
      <c r="H7" s="468"/>
      <c r="I7" s="468"/>
      <c r="J7" s="318"/>
      <c r="K7" s="288"/>
      <c r="L7" s="468"/>
      <c r="M7" s="468"/>
      <c r="N7" s="468"/>
      <c r="O7" s="468"/>
      <c r="P7" s="295"/>
      <c r="Q7" s="288"/>
    </row>
    <row r="8" spans="1:18">
      <c r="A8" s="3">
        <v>5</v>
      </c>
      <c r="B8" s="11"/>
      <c r="C8" s="286"/>
      <c r="D8" s="286"/>
      <c r="E8" s="286"/>
      <c r="F8" s="286"/>
      <c r="G8" s="468"/>
      <c r="H8" s="468"/>
      <c r="I8" s="468"/>
      <c r="J8" s="318"/>
      <c r="K8" s="288"/>
      <c r="L8" s="468"/>
      <c r="M8" s="468"/>
      <c r="N8" s="468"/>
      <c r="O8" s="468"/>
      <c r="P8" s="295"/>
      <c r="Q8" s="288"/>
    </row>
    <row r="9" spans="1:18">
      <c r="A9" s="3">
        <v>6</v>
      </c>
      <c r="B9" s="11"/>
      <c r="C9" s="286"/>
      <c r="D9" s="286"/>
      <c r="E9" s="286"/>
      <c r="F9" s="286"/>
      <c r="G9" s="468"/>
      <c r="H9" s="468"/>
      <c r="I9" s="468"/>
      <c r="J9" s="318"/>
      <c r="K9" s="288"/>
      <c r="L9" s="468"/>
      <c r="M9" s="468"/>
      <c r="N9" s="468"/>
      <c r="O9" s="468"/>
      <c r="P9" s="295"/>
      <c r="Q9" s="288"/>
    </row>
    <row r="10" spans="1:18">
      <c r="A10" s="3">
        <v>7</v>
      </c>
      <c r="B10" s="11"/>
      <c r="C10" s="286"/>
      <c r="D10" s="286"/>
      <c r="E10" s="286"/>
      <c r="F10" s="286"/>
      <c r="G10" s="468"/>
      <c r="H10" s="468"/>
      <c r="I10" s="468"/>
      <c r="J10" s="318"/>
      <c r="K10" s="288"/>
      <c r="L10" s="468"/>
      <c r="M10" s="468"/>
      <c r="N10" s="468"/>
      <c r="O10" s="468"/>
      <c r="P10" s="295"/>
      <c r="Q10" s="288"/>
    </row>
    <row r="11" spans="1:18">
      <c r="A11" s="3">
        <v>8</v>
      </c>
      <c r="B11" s="11"/>
      <c r="C11" s="286"/>
      <c r="D11" s="286"/>
      <c r="E11" s="286"/>
      <c r="F11" s="286"/>
      <c r="G11" s="468"/>
      <c r="H11" s="468"/>
      <c r="I11" s="468"/>
      <c r="J11" s="318"/>
      <c r="K11" s="288"/>
      <c r="L11" s="468"/>
      <c r="M11" s="468"/>
      <c r="N11" s="468"/>
      <c r="O11" s="468"/>
      <c r="P11" s="295"/>
      <c r="Q11" s="288"/>
    </row>
    <row r="12" spans="1:18">
      <c r="A12" s="3">
        <v>9</v>
      </c>
      <c r="B12" s="11"/>
      <c r="C12" s="286"/>
      <c r="D12" s="286"/>
      <c r="E12" s="286"/>
      <c r="F12" s="286"/>
      <c r="G12" s="468"/>
      <c r="H12" s="468"/>
      <c r="I12" s="468"/>
      <c r="J12" s="318"/>
      <c r="K12" s="288"/>
      <c r="L12" s="468"/>
      <c r="M12" s="468"/>
      <c r="N12" s="468"/>
      <c r="O12" s="468"/>
      <c r="P12" s="295"/>
      <c r="Q12" s="288"/>
    </row>
    <row r="13" spans="1:18">
      <c r="A13" s="3">
        <v>10</v>
      </c>
      <c r="B13" s="11"/>
      <c r="C13" s="286"/>
      <c r="D13" s="286"/>
      <c r="E13" s="286"/>
      <c r="F13" s="286"/>
      <c r="G13" s="468"/>
      <c r="H13" s="468"/>
      <c r="I13" s="468"/>
      <c r="J13" s="318"/>
      <c r="K13" s="288"/>
      <c r="L13" s="468"/>
      <c r="M13" s="468"/>
      <c r="N13" s="468"/>
      <c r="O13" s="468"/>
      <c r="P13" s="295"/>
      <c r="Q13" s="288"/>
    </row>
    <row r="14" spans="1:18">
      <c r="A14" s="3">
        <v>11</v>
      </c>
      <c r="B14" s="11"/>
      <c r="C14" s="286"/>
      <c r="D14" s="286"/>
      <c r="E14" s="286"/>
      <c r="F14" s="286"/>
      <c r="G14" s="468"/>
      <c r="H14" s="468"/>
      <c r="I14" s="468"/>
      <c r="J14" s="318"/>
      <c r="K14" s="288"/>
      <c r="L14" s="468"/>
      <c r="M14" s="468"/>
      <c r="N14" s="468"/>
      <c r="O14" s="468"/>
      <c r="P14" s="295"/>
      <c r="Q14" s="288"/>
    </row>
    <row r="15" spans="1:18">
      <c r="A15" s="3">
        <v>12</v>
      </c>
      <c r="B15" s="11"/>
      <c r="C15" s="286"/>
      <c r="D15" s="286"/>
      <c r="E15" s="286"/>
      <c r="F15" s="286"/>
      <c r="G15" s="468"/>
      <c r="H15" s="468"/>
      <c r="I15" s="468"/>
      <c r="J15" s="318"/>
      <c r="K15" s="288"/>
      <c r="L15" s="468"/>
      <c r="M15" s="468"/>
      <c r="N15" s="468"/>
      <c r="O15" s="468"/>
      <c r="P15" s="295"/>
      <c r="Q15" s="288"/>
    </row>
    <row r="16" spans="1:18">
      <c r="A16" s="3">
        <v>13</v>
      </c>
      <c r="B16" s="11"/>
      <c r="C16" s="286"/>
      <c r="D16" s="286"/>
      <c r="E16" s="286"/>
      <c r="F16" s="286"/>
      <c r="G16" s="468"/>
      <c r="H16" s="468"/>
      <c r="I16" s="468"/>
      <c r="J16" s="318"/>
      <c r="K16" s="288"/>
      <c r="L16" s="468"/>
      <c r="M16" s="468"/>
      <c r="N16" s="468"/>
      <c r="O16" s="468"/>
      <c r="P16" s="295"/>
      <c r="Q16" s="288"/>
    </row>
    <row r="17" spans="1:17">
      <c r="A17" s="3">
        <v>14</v>
      </c>
      <c r="B17" s="11"/>
      <c r="C17" s="286"/>
      <c r="D17" s="286"/>
      <c r="E17" s="286"/>
      <c r="F17" s="286"/>
      <c r="G17" s="468"/>
      <c r="H17" s="468"/>
      <c r="I17" s="468"/>
      <c r="J17" s="318"/>
      <c r="K17" s="288"/>
      <c r="L17" s="468"/>
      <c r="M17" s="468"/>
      <c r="N17" s="468"/>
      <c r="O17" s="468"/>
      <c r="P17" s="295"/>
      <c r="Q17" s="288"/>
    </row>
    <row r="18" spans="1:17">
      <c r="A18" s="3">
        <v>15</v>
      </c>
      <c r="B18" s="11"/>
      <c r="C18" s="286"/>
      <c r="D18" s="286"/>
      <c r="E18" s="286"/>
      <c r="F18" s="286"/>
      <c r="G18" s="468"/>
      <c r="H18" s="468"/>
      <c r="I18" s="468"/>
      <c r="J18" s="318"/>
      <c r="K18" s="288"/>
      <c r="L18" s="468"/>
      <c r="M18" s="468"/>
      <c r="N18" s="468"/>
      <c r="O18" s="468"/>
      <c r="P18" s="295"/>
      <c r="Q18" s="288"/>
    </row>
    <row r="19" spans="1:17">
      <c r="A19" s="3">
        <v>16</v>
      </c>
      <c r="B19" s="11"/>
      <c r="C19" s="286"/>
      <c r="D19" s="286"/>
      <c r="E19" s="286"/>
      <c r="F19" s="286"/>
      <c r="G19" s="468"/>
      <c r="H19" s="468"/>
      <c r="I19" s="468"/>
      <c r="J19" s="318"/>
      <c r="K19" s="288"/>
      <c r="L19" s="468"/>
      <c r="M19" s="468"/>
      <c r="N19" s="468"/>
      <c r="O19" s="468"/>
      <c r="P19" s="295"/>
      <c r="Q19" s="288"/>
    </row>
    <row r="20" spans="1:17">
      <c r="A20" s="3">
        <v>17</v>
      </c>
      <c r="B20" s="11"/>
      <c r="C20" s="286"/>
      <c r="D20" s="286"/>
      <c r="E20" s="286"/>
      <c r="F20" s="286"/>
      <c r="G20" s="468"/>
      <c r="H20" s="468"/>
      <c r="I20" s="468"/>
      <c r="J20" s="318"/>
      <c r="K20" s="288"/>
      <c r="L20" s="468"/>
      <c r="M20" s="468"/>
      <c r="N20" s="468"/>
      <c r="O20" s="468"/>
      <c r="P20" s="295"/>
      <c r="Q20" s="288"/>
    </row>
    <row r="21" spans="1:17">
      <c r="A21" s="3">
        <v>18</v>
      </c>
      <c r="B21" s="11"/>
      <c r="C21" s="286"/>
      <c r="D21" s="286"/>
      <c r="E21" s="286"/>
      <c r="F21" s="286"/>
      <c r="G21" s="468"/>
      <c r="H21" s="468"/>
      <c r="I21" s="468"/>
      <c r="J21" s="318"/>
      <c r="K21" s="288"/>
      <c r="L21" s="468"/>
      <c r="M21" s="468"/>
      <c r="N21" s="468"/>
      <c r="O21" s="468"/>
      <c r="P21" s="295"/>
      <c r="Q21" s="288"/>
    </row>
    <row r="22" spans="1:17">
      <c r="A22" s="3">
        <v>19</v>
      </c>
      <c r="B22" s="11"/>
      <c r="C22" s="286"/>
      <c r="D22" s="286"/>
      <c r="E22" s="286"/>
      <c r="F22" s="286"/>
      <c r="G22" s="468"/>
      <c r="H22" s="468"/>
      <c r="I22" s="468"/>
      <c r="J22" s="318"/>
      <c r="K22" s="288"/>
      <c r="L22" s="468"/>
      <c r="M22" s="468"/>
      <c r="N22" s="468"/>
      <c r="O22" s="468"/>
      <c r="P22" s="295"/>
      <c r="Q22" s="288"/>
    </row>
    <row r="23" spans="1:17">
      <c r="A23" s="3">
        <v>20</v>
      </c>
      <c r="B23" s="11"/>
      <c r="C23" s="286"/>
      <c r="D23" s="286"/>
      <c r="E23" s="286"/>
      <c r="F23" s="286"/>
      <c r="G23" s="468"/>
      <c r="H23" s="468"/>
      <c r="I23" s="468"/>
      <c r="J23" s="318"/>
      <c r="K23" s="288"/>
      <c r="L23" s="468"/>
      <c r="M23" s="468"/>
      <c r="N23" s="468"/>
      <c r="O23" s="468"/>
      <c r="P23" s="295"/>
      <c r="Q23" s="288"/>
    </row>
    <row r="24" spans="1:17">
      <c r="A24" s="3">
        <v>21</v>
      </c>
      <c r="B24" s="11"/>
      <c r="C24" s="286"/>
      <c r="D24" s="286"/>
      <c r="E24" s="286"/>
      <c r="F24" s="286"/>
      <c r="G24" s="468"/>
      <c r="H24" s="468"/>
      <c r="I24" s="468"/>
      <c r="J24" s="318"/>
      <c r="K24" s="288"/>
      <c r="L24" s="468"/>
      <c r="M24" s="468"/>
      <c r="N24" s="468"/>
      <c r="O24" s="468"/>
      <c r="P24" s="295"/>
      <c r="Q24" s="288"/>
    </row>
    <row r="25" spans="1:17">
      <c r="A25" s="3">
        <v>22</v>
      </c>
      <c r="B25" s="11"/>
      <c r="C25" s="286"/>
      <c r="D25" s="286"/>
      <c r="E25" s="286"/>
      <c r="F25" s="286"/>
      <c r="G25" s="468"/>
      <c r="H25" s="468"/>
      <c r="I25" s="468"/>
      <c r="J25" s="318"/>
      <c r="K25" s="288"/>
      <c r="L25" s="468"/>
      <c r="M25" s="468"/>
      <c r="N25" s="468"/>
      <c r="O25" s="468"/>
      <c r="P25" s="295"/>
      <c r="Q25" s="288"/>
    </row>
    <row r="26" spans="1:17">
      <c r="A26" s="3">
        <v>23</v>
      </c>
      <c r="B26" s="11"/>
      <c r="C26" s="286"/>
      <c r="D26" s="286"/>
      <c r="E26" s="286"/>
      <c r="F26" s="286"/>
      <c r="G26" s="468"/>
      <c r="H26" s="468"/>
      <c r="I26" s="468"/>
      <c r="J26" s="318"/>
      <c r="K26" s="288"/>
      <c r="L26" s="468"/>
      <c r="M26" s="468"/>
      <c r="N26" s="468"/>
      <c r="O26" s="468"/>
      <c r="P26" s="295"/>
      <c r="Q26" s="288"/>
    </row>
    <row r="27" spans="1:17">
      <c r="A27" s="3">
        <v>24</v>
      </c>
      <c r="B27" s="11"/>
      <c r="C27" s="286"/>
      <c r="D27" s="286"/>
      <c r="E27" s="286"/>
      <c r="F27" s="286"/>
      <c r="G27" s="468"/>
      <c r="H27" s="468"/>
      <c r="I27" s="468"/>
      <c r="J27" s="318"/>
      <c r="K27" s="288"/>
      <c r="L27" s="468"/>
      <c r="M27" s="468"/>
      <c r="N27" s="468"/>
      <c r="O27" s="468"/>
      <c r="P27" s="295"/>
      <c r="Q27" s="288"/>
    </row>
    <row r="28" spans="1:17">
      <c r="A28" s="3">
        <v>25</v>
      </c>
      <c r="B28" s="11"/>
      <c r="C28" s="286"/>
      <c r="D28" s="286"/>
      <c r="E28" s="286"/>
      <c r="F28" s="286"/>
      <c r="G28" s="468"/>
      <c r="H28" s="468"/>
      <c r="I28" s="468"/>
      <c r="J28" s="318"/>
      <c r="K28" s="288"/>
      <c r="L28" s="468"/>
      <c r="M28" s="468"/>
      <c r="N28" s="468"/>
      <c r="O28" s="468"/>
      <c r="P28" s="295"/>
      <c r="Q28" s="288"/>
    </row>
    <row r="29" spans="1:17">
      <c r="A29" s="3">
        <v>26</v>
      </c>
      <c r="B29" s="11"/>
      <c r="C29" s="286"/>
      <c r="D29" s="286"/>
      <c r="E29" s="286"/>
      <c r="F29" s="286"/>
      <c r="G29" s="468"/>
      <c r="H29" s="468"/>
      <c r="I29" s="468"/>
      <c r="J29" s="318"/>
      <c r="K29" s="288"/>
      <c r="L29" s="468"/>
      <c r="M29" s="468"/>
      <c r="N29" s="468"/>
      <c r="O29" s="468"/>
      <c r="P29" s="295"/>
      <c r="Q29" s="288"/>
    </row>
    <row r="30" spans="1:17">
      <c r="A30" s="3">
        <v>27</v>
      </c>
      <c r="B30" s="11"/>
      <c r="C30" s="286"/>
      <c r="D30" s="286"/>
      <c r="E30" s="286"/>
      <c r="F30" s="286"/>
      <c r="G30" s="468"/>
      <c r="H30" s="468"/>
      <c r="I30" s="468"/>
      <c r="J30" s="318"/>
      <c r="K30" s="288"/>
      <c r="L30" s="468"/>
      <c r="M30" s="468"/>
      <c r="N30" s="468"/>
      <c r="O30" s="468"/>
      <c r="P30" s="295"/>
      <c r="Q30" s="288"/>
    </row>
    <row r="31" spans="1:17">
      <c r="A31" s="3">
        <v>28</v>
      </c>
      <c r="B31" s="11"/>
      <c r="C31" s="286"/>
      <c r="D31" s="286"/>
      <c r="E31" s="286"/>
      <c r="F31" s="286"/>
      <c r="G31" s="468"/>
      <c r="H31" s="468"/>
      <c r="I31" s="468"/>
      <c r="J31" s="318"/>
      <c r="K31" s="288"/>
      <c r="L31" s="468"/>
      <c r="M31" s="468"/>
      <c r="N31" s="468"/>
      <c r="O31" s="468"/>
      <c r="P31" s="295"/>
      <c r="Q31" s="288"/>
    </row>
    <row r="32" spans="1:17">
      <c r="A32" s="3">
        <v>29</v>
      </c>
      <c r="B32" s="11"/>
      <c r="C32" s="286"/>
      <c r="D32" s="286"/>
      <c r="E32" s="286"/>
      <c r="F32" s="286"/>
      <c r="G32" s="468"/>
      <c r="H32" s="468"/>
      <c r="I32" s="468"/>
      <c r="J32" s="318"/>
      <c r="K32" s="288"/>
      <c r="L32" s="468"/>
      <c r="M32" s="468"/>
      <c r="N32" s="468"/>
      <c r="O32" s="468"/>
      <c r="P32" s="295"/>
      <c r="Q32" s="288"/>
    </row>
    <row r="33" spans="1:17">
      <c r="A33" s="3">
        <v>30</v>
      </c>
      <c r="B33" s="11"/>
      <c r="C33" s="286"/>
      <c r="D33" s="286"/>
      <c r="E33" s="286"/>
      <c r="F33" s="286"/>
      <c r="G33" s="468"/>
      <c r="H33" s="468"/>
      <c r="I33" s="468"/>
      <c r="J33" s="318"/>
      <c r="K33" s="288"/>
      <c r="L33" s="468"/>
      <c r="M33" s="468"/>
      <c r="N33" s="468"/>
      <c r="O33" s="468"/>
      <c r="P33" s="295"/>
      <c r="Q33" s="288"/>
    </row>
    <row r="34" spans="1:17">
      <c r="A34" s="3">
        <v>31</v>
      </c>
      <c r="B34" s="11"/>
      <c r="C34" s="286"/>
      <c r="D34" s="286"/>
      <c r="E34" s="286"/>
      <c r="F34" s="286"/>
      <c r="G34" s="468"/>
      <c r="H34" s="468"/>
      <c r="I34" s="468"/>
      <c r="J34" s="318"/>
      <c r="K34" s="288"/>
      <c r="L34" s="468"/>
      <c r="M34" s="468"/>
      <c r="N34" s="468"/>
      <c r="O34" s="468"/>
      <c r="P34" s="295"/>
      <c r="Q34" s="288"/>
    </row>
    <row r="35" spans="1:17">
      <c r="A35" s="3">
        <v>32</v>
      </c>
      <c r="B35" s="11"/>
      <c r="C35" s="286"/>
      <c r="D35" s="286"/>
      <c r="E35" s="286"/>
      <c r="F35" s="286"/>
      <c r="G35" s="468"/>
      <c r="H35" s="468"/>
      <c r="I35" s="468"/>
      <c r="J35" s="318"/>
      <c r="K35" s="288"/>
      <c r="L35" s="468"/>
      <c r="M35" s="468"/>
      <c r="N35" s="468"/>
      <c r="O35" s="468"/>
      <c r="P35" s="295"/>
      <c r="Q35" s="288"/>
    </row>
    <row r="36" spans="1:17">
      <c r="A36" s="3">
        <v>33</v>
      </c>
      <c r="B36" s="11"/>
      <c r="C36" s="286"/>
      <c r="D36" s="286"/>
      <c r="E36" s="286"/>
      <c r="F36" s="286"/>
      <c r="G36" s="468"/>
      <c r="H36" s="468"/>
      <c r="I36" s="468"/>
      <c r="J36" s="318"/>
      <c r="K36" s="288"/>
      <c r="L36" s="468"/>
      <c r="M36" s="468"/>
      <c r="N36" s="468"/>
      <c r="O36" s="468"/>
      <c r="P36" s="295"/>
      <c r="Q36" s="288"/>
    </row>
    <row r="37" spans="1:17">
      <c r="A37" s="3">
        <v>34</v>
      </c>
      <c r="B37" s="11"/>
      <c r="C37" s="286"/>
      <c r="D37" s="286"/>
      <c r="E37" s="286"/>
      <c r="F37" s="286"/>
      <c r="G37" s="468"/>
      <c r="H37" s="468"/>
      <c r="I37" s="468"/>
      <c r="J37" s="318"/>
      <c r="K37" s="288"/>
      <c r="L37" s="468"/>
      <c r="M37" s="468"/>
      <c r="N37" s="468"/>
      <c r="O37" s="468"/>
      <c r="P37" s="295"/>
      <c r="Q37" s="288"/>
    </row>
    <row r="38" spans="1:17">
      <c r="A38" s="3">
        <v>35</v>
      </c>
      <c r="B38" s="11"/>
      <c r="C38" s="286"/>
      <c r="D38" s="286"/>
      <c r="E38" s="286"/>
      <c r="F38" s="286"/>
      <c r="G38" s="468"/>
      <c r="H38" s="468"/>
      <c r="I38" s="468"/>
      <c r="J38" s="318"/>
      <c r="K38" s="288"/>
      <c r="L38" s="468"/>
      <c r="M38" s="468"/>
      <c r="N38" s="468"/>
      <c r="O38" s="468"/>
      <c r="P38" s="295"/>
      <c r="Q38" s="288"/>
    </row>
    <row r="39" spans="1:17">
      <c r="A39" s="3">
        <v>36</v>
      </c>
      <c r="B39" s="11"/>
      <c r="C39" s="286"/>
      <c r="D39" s="286"/>
      <c r="E39" s="286"/>
      <c r="F39" s="286"/>
      <c r="G39" s="468"/>
      <c r="H39" s="468"/>
      <c r="I39" s="468"/>
      <c r="J39" s="318"/>
      <c r="K39" s="288"/>
      <c r="L39" s="468"/>
      <c r="M39" s="468"/>
      <c r="N39" s="468"/>
      <c r="O39" s="468"/>
      <c r="P39" s="295"/>
      <c r="Q39" s="288"/>
    </row>
    <row r="40" spans="1:17">
      <c r="A40" s="3">
        <v>37</v>
      </c>
      <c r="B40" s="11"/>
      <c r="C40" s="286"/>
      <c r="D40" s="286"/>
      <c r="E40" s="286"/>
      <c r="F40" s="286"/>
      <c r="G40" s="468"/>
      <c r="H40" s="468"/>
      <c r="I40" s="468"/>
      <c r="J40" s="318"/>
      <c r="K40" s="288"/>
      <c r="L40" s="468"/>
      <c r="M40" s="468"/>
      <c r="N40" s="468"/>
      <c r="O40" s="468"/>
      <c r="P40" s="295"/>
      <c r="Q40" s="288"/>
    </row>
    <row r="41" spans="1:17">
      <c r="A41" s="3">
        <v>38</v>
      </c>
      <c r="B41" s="11"/>
      <c r="C41" s="286"/>
      <c r="D41" s="286"/>
      <c r="E41" s="286"/>
      <c r="F41" s="286"/>
      <c r="G41" s="468"/>
      <c r="H41" s="468"/>
      <c r="I41" s="468"/>
      <c r="J41" s="318"/>
      <c r="K41" s="288"/>
      <c r="L41" s="468"/>
      <c r="M41" s="468"/>
      <c r="N41" s="468"/>
      <c r="O41" s="468"/>
      <c r="P41" s="295"/>
      <c r="Q41" s="288"/>
    </row>
    <row r="42" spans="1:17">
      <c r="A42" s="3">
        <v>39</v>
      </c>
      <c r="B42" s="11"/>
      <c r="C42" s="286"/>
      <c r="D42" s="286"/>
      <c r="E42" s="286"/>
      <c r="F42" s="286"/>
      <c r="G42" s="468"/>
      <c r="H42" s="468"/>
      <c r="I42" s="468"/>
      <c r="J42" s="318"/>
      <c r="K42" s="288"/>
      <c r="L42" s="468"/>
      <c r="M42" s="468"/>
      <c r="N42" s="468"/>
      <c r="O42" s="468"/>
      <c r="P42" s="295"/>
      <c r="Q42" s="288"/>
    </row>
    <row r="43" spans="1:17">
      <c r="A43" s="3">
        <v>40</v>
      </c>
      <c r="B43" s="11"/>
      <c r="C43" s="286"/>
      <c r="D43" s="286"/>
      <c r="E43" s="286"/>
      <c r="F43" s="286"/>
      <c r="G43" s="468"/>
      <c r="H43" s="468"/>
      <c r="I43" s="468"/>
      <c r="J43" s="318"/>
      <c r="K43" s="288"/>
      <c r="L43" s="468"/>
      <c r="M43" s="468"/>
      <c r="N43" s="468"/>
      <c r="O43" s="468"/>
      <c r="P43" s="295"/>
      <c r="Q43" s="288"/>
    </row>
    <row r="44" spans="1:17">
      <c r="A44" s="3">
        <v>41</v>
      </c>
      <c r="B44" s="11"/>
      <c r="C44" s="286"/>
      <c r="D44" s="286"/>
      <c r="E44" s="286"/>
      <c r="F44" s="286"/>
      <c r="G44" s="468"/>
      <c r="H44" s="468"/>
      <c r="I44" s="468"/>
      <c r="J44" s="318"/>
      <c r="K44" s="288"/>
      <c r="L44" s="468"/>
      <c r="M44" s="468"/>
      <c r="N44" s="468"/>
      <c r="O44" s="468"/>
      <c r="P44" s="295"/>
      <c r="Q44" s="288"/>
    </row>
    <row r="45" spans="1:17">
      <c r="A45" s="3">
        <v>42</v>
      </c>
      <c r="B45" s="11"/>
      <c r="C45" s="286"/>
      <c r="D45" s="286"/>
      <c r="E45" s="286"/>
      <c r="F45" s="286"/>
      <c r="G45" s="468"/>
      <c r="H45" s="468"/>
      <c r="I45" s="468"/>
      <c r="J45" s="318"/>
      <c r="K45" s="288"/>
      <c r="L45" s="468"/>
      <c r="M45" s="468"/>
      <c r="N45" s="468"/>
      <c r="O45" s="468"/>
      <c r="P45" s="295"/>
      <c r="Q45" s="288"/>
    </row>
    <row r="46" spans="1:17">
      <c r="A46" s="3">
        <v>43</v>
      </c>
      <c r="B46" s="11"/>
      <c r="C46" s="286"/>
      <c r="D46" s="286"/>
      <c r="E46" s="286"/>
      <c r="F46" s="286"/>
      <c r="G46" s="468"/>
      <c r="H46" s="468"/>
      <c r="I46" s="468"/>
      <c r="J46" s="318"/>
      <c r="K46" s="288"/>
      <c r="L46" s="468"/>
      <c r="M46" s="468"/>
      <c r="N46" s="468"/>
      <c r="O46" s="468"/>
      <c r="P46" s="295"/>
      <c r="Q46" s="288"/>
    </row>
    <row r="47" spans="1:17">
      <c r="A47" s="3">
        <v>44</v>
      </c>
      <c r="B47" s="11"/>
      <c r="C47" s="286"/>
      <c r="D47" s="286"/>
      <c r="E47" s="286"/>
      <c r="F47" s="286"/>
      <c r="G47" s="468"/>
      <c r="H47" s="468"/>
      <c r="I47" s="468"/>
      <c r="J47" s="318"/>
      <c r="K47" s="288"/>
      <c r="L47" s="468"/>
      <c r="M47" s="468"/>
      <c r="N47" s="468"/>
      <c r="O47" s="468"/>
      <c r="P47" s="295"/>
      <c r="Q47" s="288"/>
    </row>
    <row r="48" spans="1:17">
      <c r="A48" s="3">
        <v>45</v>
      </c>
      <c r="B48" s="11"/>
      <c r="C48" s="286"/>
      <c r="D48" s="286"/>
      <c r="E48" s="286"/>
      <c r="F48" s="286"/>
      <c r="G48" s="468"/>
      <c r="H48" s="468"/>
      <c r="I48" s="468"/>
      <c r="J48" s="318"/>
      <c r="K48" s="288"/>
      <c r="L48" s="468"/>
      <c r="M48" s="468"/>
      <c r="N48" s="468"/>
      <c r="O48" s="468"/>
      <c r="P48" s="295"/>
      <c r="Q48" s="288"/>
    </row>
    <row r="49" spans="1:17">
      <c r="A49" s="3">
        <v>46</v>
      </c>
      <c r="B49" s="11"/>
      <c r="C49" s="286"/>
      <c r="D49" s="286"/>
      <c r="E49" s="286"/>
      <c r="F49" s="286"/>
      <c r="G49" s="468"/>
      <c r="H49" s="468"/>
      <c r="I49" s="468"/>
      <c r="J49" s="318"/>
      <c r="K49" s="288"/>
      <c r="L49" s="468"/>
      <c r="M49" s="468"/>
      <c r="N49" s="468"/>
      <c r="O49" s="468"/>
      <c r="P49" s="295"/>
      <c r="Q49" s="288"/>
    </row>
    <row r="50" spans="1:17">
      <c r="A50" s="3">
        <v>47</v>
      </c>
      <c r="B50" s="11"/>
      <c r="C50" s="286"/>
      <c r="D50" s="286"/>
      <c r="E50" s="286"/>
      <c r="F50" s="286"/>
      <c r="G50" s="468"/>
      <c r="H50" s="468"/>
      <c r="I50" s="468"/>
      <c r="J50" s="318"/>
      <c r="K50" s="288"/>
      <c r="L50" s="468"/>
      <c r="M50" s="468"/>
      <c r="N50" s="468"/>
      <c r="O50" s="468"/>
      <c r="P50" s="295"/>
      <c r="Q50" s="288"/>
    </row>
    <row r="51" spans="1:17">
      <c r="A51" s="3">
        <v>48</v>
      </c>
      <c r="B51" s="11"/>
      <c r="C51" s="286"/>
      <c r="D51" s="286"/>
      <c r="E51" s="286"/>
      <c r="F51" s="286"/>
      <c r="G51" s="468"/>
      <c r="H51" s="468"/>
      <c r="I51" s="468"/>
      <c r="J51" s="318"/>
      <c r="K51" s="288"/>
      <c r="L51" s="468"/>
      <c r="M51" s="468"/>
      <c r="N51" s="468"/>
      <c r="O51" s="468"/>
      <c r="P51" s="295"/>
      <c r="Q51" s="288"/>
    </row>
    <row r="52" spans="1:17">
      <c r="A52" s="3">
        <v>49</v>
      </c>
      <c r="B52" s="11"/>
      <c r="C52" s="286"/>
      <c r="D52" s="286"/>
      <c r="E52" s="286"/>
      <c r="F52" s="286"/>
      <c r="G52" s="468"/>
      <c r="H52" s="468"/>
      <c r="I52" s="468"/>
      <c r="J52" s="318"/>
      <c r="K52" s="288"/>
      <c r="L52" s="468"/>
      <c r="M52" s="468"/>
      <c r="N52" s="468"/>
      <c r="O52" s="468"/>
      <c r="P52" s="295"/>
      <c r="Q52" s="288"/>
    </row>
    <row r="53" spans="1:17">
      <c r="A53" s="3">
        <v>50</v>
      </c>
      <c r="B53" s="11"/>
      <c r="C53" s="286"/>
      <c r="D53" s="286"/>
      <c r="E53" s="286"/>
      <c r="F53" s="286"/>
      <c r="G53" s="468"/>
      <c r="H53" s="468"/>
      <c r="I53" s="468"/>
      <c r="J53" s="318"/>
      <c r="K53" s="288"/>
      <c r="L53" s="468"/>
      <c r="M53" s="468"/>
      <c r="N53" s="468"/>
      <c r="O53" s="468"/>
      <c r="P53" s="295"/>
      <c r="Q53" s="288"/>
    </row>
    <row r="54" spans="1:17">
      <c r="A54" s="3">
        <v>51</v>
      </c>
      <c r="B54" s="11"/>
      <c r="C54" s="286"/>
      <c r="D54" s="286"/>
      <c r="E54" s="286"/>
      <c r="F54" s="286"/>
      <c r="G54" s="468"/>
      <c r="H54" s="468"/>
      <c r="I54" s="468"/>
      <c r="J54" s="318"/>
      <c r="K54" s="288"/>
      <c r="L54" s="468"/>
      <c r="M54" s="468"/>
      <c r="N54" s="468"/>
      <c r="O54" s="468"/>
      <c r="P54" s="295"/>
      <c r="Q54" s="288"/>
    </row>
    <row r="55" spans="1:17">
      <c r="A55" s="3">
        <v>52</v>
      </c>
      <c r="B55" s="11"/>
      <c r="C55" s="286"/>
      <c r="D55" s="286"/>
      <c r="E55" s="286"/>
      <c r="F55" s="286"/>
      <c r="G55" s="468"/>
      <c r="H55" s="468"/>
      <c r="I55" s="468"/>
      <c r="J55" s="318"/>
      <c r="K55" s="288"/>
      <c r="L55" s="468"/>
      <c r="M55" s="468"/>
      <c r="N55" s="468"/>
      <c r="O55" s="468"/>
      <c r="P55" s="295"/>
      <c r="Q55" s="288"/>
    </row>
    <row r="56" spans="1:17">
      <c r="A56" s="3">
        <v>53</v>
      </c>
      <c r="B56" s="11"/>
      <c r="C56" s="286"/>
      <c r="D56" s="286"/>
      <c r="E56" s="286"/>
      <c r="F56" s="286"/>
      <c r="G56" s="468"/>
      <c r="H56" s="468"/>
      <c r="I56" s="468"/>
      <c r="J56" s="318"/>
      <c r="K56" s="288"/>
      <c r="L56" s="468"/>
      <c r="M56" s="468"/>
      <c r="N56" s="468"/>
      <c r="O56" s="468"/>
      <c r="P56" s="295"/>
      <c r="Q56" s="288"/>
    </row>
    <row r="57" spans="1:17">
      <c r="A57" s="3">
        <v>54</v>
      </c>
      <c r="B57" s="11"/>
      <c r="C57" s="286"/>
      <c r="D57" s="286"/>
      <c r="E57" s="286"/>
      <c r="F57" s="286"/>
      <c r="G57" s="468"/>
      <c r="H57" s="468"/>
      <c r="I57" s="468"/>
      <c r="J57" s="318"/>
      <c r="K57" s="288"/>
      <c r="L57" s="468"/>
      <c r="M57" s="468"/>
      <c r="N57" s="468"/>
      <c r="O57" s="468"/>
      <c r="P57" s="295"/>
      <c r="Q57" s="288"/>
    </row>
    <row r="58" spans="1:17">
      <c r="A58" s="3">
        <v>55</v>
      </c>
      <c r="B58" s="11"/>
      <c r="C58" s="286"/>
      <c r="D58" s="286"/>
      <c r="E58" s="286"/>
      <c r="F58" s="286"/>
      <c r="G58" s="468"/>
      <c r="H58" s="468"/>
      <c r="I58" s="468"/>
      <c r="J58" s="318"/>
      <c r="K58" s="288"/>
      <c r="L58" s="468"/>
      <c r="M58" s="468"/>
      <c r="N58" s="468"/>
      <c r="O58" s="468"/>
      <c r="P58" s="295"/>
      <c r="Q58" s="288"/>
    </row>
    <row r="59" spans="1:17">
      <c r="A59" s="3">
        <v>56</v>
      </c>
      <c r="B59" s="11"/>
      <c r="C59" s="286"/>
      <c r="D59" s="286"/>
      <c r="E59" s="286"/>
      <c r="F59" s="286"/>
      <c r="G59" s="468"/>
      <c r="H59" s="468"/>
      <c r="I59" s="468"/>
      <c r="J59" s="318"/>
      <c r="K59" s="288"/>
      <c r="L59" s="468"/>
      <c r="M59" s="468"/>
      <c r="N59" s="468"/>
      <c r="O59" s="468"/>
      <c r="P59" s="295"/>
      <c r="Q59" s="288"/>
    </row>
    <row r="60" spans="1:17">
      <c r="A60" s="3">
        <v>57</v>
      </c>
      <c r="B60" s="11"/>
      <c r="C60" s="286"/>
      <c r="D60" s="286"/>
      <c r="E60" s="286"/>
      <c r="F60" s="286"/>
      <c r="G60" s="468"/>
      <c r="H60" s="468"/>
      <c r="I60" s="468"/>
      <c r="J60" s="318"/>
      <c r="K60" s="288"/>
      <c r="L60" s="468"/>
      <c r="M60" s="468"/>
      <c r="N60" s="468"/>
      <c r="O60" s="468"/>
      <c r="P60" s="295"/>
      <c r="Q60" s="288"/>
    </row>
    <row r="61" spans="1:17">
      <c r="A61" s="3">
        <v>58</v>
      </c>
      <c r="B61" s="11"/>
      <c r="C61" s="286"/>
      <c r="D61" s="286"/>
      <c r="E61" s="286"/>
      <c r="F61" s="286"/>
      <c r="G61" s="468"/>
      <c r="H61" s="468"/>
      <c r="I61" s="468"/>
      <c r="J61" s="318"/>
      <c r="K61" s="288"/>
      <c r="L61" s="468"/>
      <c r="M61" s="468"/>
      <c r="N61" s="468"/>
      <c r="O61" s="468"/>
      <c r="P61" s="295"/>
      <c r="Q61" s="288"/>
    </row>
    <row r="62" spans="1:17">
      <c r="A62" s="3">
        <v>59</v>
      </c>
      <c r="B62" s="11"/>
      <c r="C62" s="286"/>
      <c r="D62" s="286"/>
      <c r="E62" s="286"/>
      <c r="F62" s="286"/>
      <c r="G62" s="468"/>
      <c r="H62" s="468"/>
      <c r="I62" s="468"/>
      <c r="J62" s="318"/>
      <c r="K62" s="288"/>
      <c r="L62" s="468"/>
      <c r="M62" s="468"/>
      <c r="N62" s="468"/>
      <c r="O62" s="468"/>
      <c r="P62" s="295"/>
      <c r="Q62" s="288"/>
    </row>
    <row r="63" spans="1:17">
      <c r="A63" s="3">
        <v>60</v>
      </c>
      <c r="B63" s="11"/>
      <c r="C63" s="286"/>
      <c r="D63" s="286"/>
      <c r="E63" s="286"/>
      <c r="F63" s="286"/>
      <c r="G63" s="468"/>
      <c r="H63" s="468"/>
      <c r="I63" s="468"/>
      <c r="J63" s="318"/>
      <c r="K63" s="288"/>
      <c r="L63" s="468"/>
      <c r="M63" s="468"/>
      <c r="N63" s="468"/>
      <c r="O63" s="468"/>
      <c r="P63" s="295"/>
      <c r="Q63" s="288"/>
    </row>
    <row r="64" spans="1:17">
      <c r="A64" s="3">
        <v>61</v>
      </c>
      <c r="B64" s="11"/>
      <c r="C64" s="286"/>
      <c r="D64" s="286"/>
      <c r="E64" s="286"/>
      <c r="F64" s="286"/>
      <c r="G64" s="468"/>
      <c r="H64" s="468"/>
      <c r="I64" s="468"/>
      <c r="J64" s="318"/>
      <c r="K64" s="288"/>
      <c r="L64" s="468"/>
      <c r="M64" s="468"/>
      <c r="N64" s="468"/>
      <c r="O64" s="468"/>
      <c r="P64" s="295"/>
      <c r="Q64" s="288"/>
    </row>
    <row r="65" spans="1:17">
      <c r="A65" s="3">
        <v>62</v>
      </c>
      <c r="B65" s="11"/>
      <c r="C65" s="286"/>
      <c r="D65" s="286"/>
      <c r="E65" s="286"/>
      <c r="F65" s="286"/>
      <c r="G65" s="468"/>
      <c r="H65" s="468"/>
      <c r="I65" s="468"/>
      <c r="J65" s="318"/>
      <c r="K65" s="288"/>
      <c r="L65" s="468"/>
      <c r="M65" s="468"/>
      <c r="N65" s="468"/>
      <c r="O65" s="468"/>
      <c r="P65" s="295"/>
      <c r="Q65" s="288"/>
    </row>
    <row r="66" spans="1:17">
      <c r="A66" s="3">
        <v>63</v>
      </c>
      <c r="B66" s="11"/>
      <c r="C66" s="286"/>
      <c r="D66" s="286"/>
      <c r="E66" s="286"/>
      <c r="F66" s="286"/>
      <c r="G66" s="468"/>
      <c r="H66" s="468"/>
      <c r="I66" s="468"/>
      <c r="J66" s="318"/>
      <c r="K66" s="288"/>
      <c r="L66" s="468"/>
      <c r="M66" s="468"/>
      <c r="N66" s="468"/>
      <c r="O66" s="468"/>
      <c r="P66" s="295"/>
      <c r="Q66" s="288"/>
    </row>
    <row r="67" spans="1:17">
      <c r="A67" s="3">
        <v>64</v>
      </c>
      <c r="B67" s="11"/>
      <c r="C67" s="286"/>
      <c r="D67" s="286"/>
      <c r="E67" s="286"/>
      <c r="F67" s="286"/>
      <c r="G67" s="468"/>
      <c r="H67" s="468"/>
      <c r="I67" s="468"/>
      <c r="J67" s="318"/>
      <c r="K67" s="288"/>
      <c r="L67" s="468"/>
      <c r="M67" s="468"/>
      <c r="N67" s="468"/>
      <c r="O67" s="468"/>
      <c r="P67" s="295"/>
      <c r="Q67" s="288"/>
    </row>
    <row r="68" spans="1:17">
      <c r="A68" s="3">
        <v>65</v>
      </c>
      <c r="B68" s="11"/>
      <c r="C68" s="286"/>
      <c r="D68" s="286"/>
      <c r="E68" s="286"/>
      <c r="F68" s="286"/>
      <c r="G68" s="468"/>
      <c r="H68" s="468"/>
      <c r="I68" s="468"/>
      <c r="J68" s="318"/>
      <c r="K68" s="288"/>
      <c r="L68" s="468"/>
      <c r="M68" s="468"/>
      <c r="N68" s="468"/>
      <c r="O68" s="468"/>
      <c r="P68" s="295"/>
      <c r="Q68" s="288"/>
    </row>
    <row r="69" spans="1:17">
      <c r="A69" s="3">
        <v>66</v>
      </c>
      <c r="B69" s="11"/>
      <c r="C69" s="286"/>
      <c r="D69" s="286"/>
      <c r="E69" s="286"/>
      <c r="F69" s="286"/>
      <c r="G69" s="468"/>
      <c r="H69" s="468"/>
      <c r="I69" s="468"/>
      <c r="J69" s="318"/>
      <c r="K69" s="288"/>
      <c r="L69" s="468"/>
      <c r="M69" s="468"/>
      <c r="N69" s="468"/>
      <c r="O69" s="468"/>
      <c r="P69" s="295"/>
      <c r="Q69" s="288"/>
    </row>
    <row r="70" spans="1:17">
      <c r="A70" s="3">
        <v>67</v>
      </c>
      <c r="B70" s="11"/>
      <c r="C70" s="286"/>
      <c r="D70" s="286"/>
      <c r="E70" s="286"/>
      <c r="F70" s="286"/>
      <c r="G70" s="468"/>
      <c r="H70" s="468"/>
      <c r="I70" s="468"/>
      <c r="J70" s="318"/>
      <c r="K70" s="288"/>
      <c r="L70" s="468"/>
      <c r="M70" s="468"/>
      <c r="N70" s="468"/>
      <c r="O70" s="468"/>
      <c r="P70" s="295"/>
      <c r="Q70" s="288"/>
    </row>
    <row r="71" spans="1:17">
      <c r="A71" s="3">
        <v>68</v>
      </c>
      <c r="B71" s="11"/>
      <c r="C71" s="286"/>
      <c r="D71" s="286"/>
      <c r="E71" s="286"/>
      <c r="F71" s="286"/>
      <c r="G71" s="468"/>
      <c r="H71" s="468"/>
      <c r="I71" s="468"/>
      <c r="J71" s="318"/>
      <c r="K71" s="288"/>
      <c r="L71" s="468"/>
      <c r="M71" s="468"/>
      <c r="N71" s="468"/>
      <c r="O71" s="468"/>
      <c r="P71" s="295"/>
      <c r="Q71" s="288"/>
    </row>
    <row r="72" spans="1:17">
      <c r="A72" s="3">
        <v>69</v>
      </c>
      <c r="B72" s="11"/>
      <c r="C72" s="286"/>
      <c r="D72" s="286"/>
      <c r="E72" s="286"/>
      <c r="F72" s="286"/>
      <c r="G72" s="468"/>
      <c r="H72" s="468"/>
      <c r="I72" s="468"/>
      <c r="J72" s="318"/>
      <c r="K72" s="288"/>
      <c r="L72" s="468"/>
      <c r="M72" s="468"/>
      <c r="N72" s="468"/>
      <c r="O72" s="468"/>
      <c r="P72" s="295"/>
      <c r="Q72" s="288"/>
    </row>
    <row r="73" spans="1:17">
      <c r="A73" s="3">
        <v>70</v>
      </c>
      <c r="B73" s="11"/>
      <c r="C73" s="286"/>
      <c r="D73" s="286"/>
      <c r="E73" s="286"/>
      <c r="F73" s="286"/>
      <c r="G73" s="468"/>
      <c r="H73" s="468"/>
      <c r="I73" s="468"/>
      <c r="J73" s="318"/>
      <c r="K73" s="288"/>
      <c r="L73" s="468"/>
      <c r="M73" s="468"/>
      <c r="N73" s="468"/>
      <c r="O73" s="468"/>
      <c r="P73" s="295"/>
      <c r="Q73" s="288"/>
    </row>
    <row r="74" spans="1:17">
      <c r="A74" s="3">
        <v>71</v>
      </c>
      <c r="B74" s="11"/>
      <c r="C74" s="286"/>
      <c r="D74" s="286"/>
      <c r="E74" s="286"/>
      <c r="F74" s="286"/>
      <c r="G74" s="468"/>
      <c r="H74" s="468"/>
      <c r="I74" s="468"/>
      <c r="J74" s="318"/>
      <c r="K74" s="288"/>
      <c r="L74" s="468"/>
      <c r="M74" s="468"/>
      <c r="N74" s="468"/>
      <c r="O74" s="468"/>
      <c r="P74" s="295"/>
      <c r="Q74" s="288"/>
    </row>
    <row r="75" spans="1:17">
      <c r="A75" s="3">
        <v>72</v>
      </c>
      <c r="B75" s="11"/>
      <c r="C75" s="286"/>
      <c r="D75" s="286"/>
      <c r="E75" s="286"/>
      <c r="F75" s="286"/>
      <c r="G75" s="468"/>
      <c r="H75" s="468"/>
      <c r="I75" s="468"/>
      <c r="J75" s="318"/>
      <c r="K75" s="288"/>
      <c r="L75" s="468"/>
      <c r="M75" s="468"/>
      <c r="N75" s="468"/>
      <c r="O75" s="468"/>
      <c r="P75" s="295"/>
      <c r="Q75" s="288"/>
    </row>
    <row r="76" spans="1:17">
      <c r="A76" s="3">
        <v>73</v>
      </c>
      <c r="B76" s="11"/>
      <c r="C76" s="286"/>
      <c r="D76" s="286"/>
      <c r="E76" s="286"/>
      <c r="F76" s="286"/>
      <c r="G76" s="468"/>
      <c r="H76" s="468"/>
      <c r="I76" s="468"/>
      <c r="J76" s="318"/>
      <c r="K76" s="288"/>
      <c r="L76" s="468"/>
      <c r="M76" s="468"/>
      <c r="N76" s="468"/>
      <c r="O76" s="468"/>
      <c r="P76" s="295"/>
      <c r="Q76" s="288"/>
    </row>
    <row r="77" spans="1:17">
      <c r="A77" s="3">
        <v>74</v>
      </c>
      <c r="B77" s="11"/>
      <c r="C77" s="286"/>
      <c r="D77" s="286"/>
      <c r="E77" s="286"/>
      <c r="F77" s="286"/>
      <c r="G77" s="468"/>
      <c r="H77" s="468"/>
      <c r="I77" s="468"/>
      <c r="J77" s="318"/>
      <c r="K77" s="288"/>
      <c r="L77" s="468"/>
      <c r="M77" s="468"/>
      <c r="N77" s="468"/>
      <c r="O77" s="468"/>
      <c r="P77" s="295"/>
      <c r="Q77" s="288"/>
    </row>
    <row r="78" spans="1:17">
      <c r="A78" s="3">
        <v>75</v>
      </c>
      <c r="B78" s="11"/>
      <c r="C78" s="286"/>
      <c r="D78" s="286"/>
      <c r="E78" s="286"/>
      <c r="F78" s="286"/>
      <c r="G78" s="468"/>
      <c r="H78" s="468"/>
      <c r="I78" s="468"/>
      <c r="J78" s="318"/>
      <c r="K78" s="288"/>
      <c r="L78" s="468"/>
      <c r="M78" s="468"/>
      <c r="N78" s="468"/>
      <c r="O78" s="468"/>
      <c r="P78" s="295"/>
      <c r="Q78" s="288"/>
    </row>
    <row r="79" spans="1:17">
      <c r="A79" s="3">
        <v>76</v>
      </c>
      <c r="B79" s="11"/>
      <c r="C79" s="286"/>
      <c r="D79" s="286"/>
      <c r="E79" s="286"/>
      <c r="F79" s="286"/>
      <c r="G79" s="468"/>
      <c r="H79" s="468"/>
      <c r="I79" s="468"/>
      <c r="J79" s="318"/>
      <c r="K79" s="288"/>
      <c r="L79" s="468"/>
      <c r="M79" s="468"/>
      <c r="N79" s="468"/>
      <c r="O79" s="468"/>
      <c r="P79" s="295"/>
      <c r="Q79" s="288"/>
    </row>
    <row r="80" spans="1:17">
      <c r="A80" s="3">
        <v>77</v>
      </c>
      <c r="B80" s="11"/>
      <c r="C80" s="286"/>
      <c r="D80" s="286"/>
      <c r="E80" s="286"/>
      <c r="F80" s="286"/>
      <c r="G80" s="468"/>
      <c r="H80" s="468"/>
      <c r="I80" s="468"/>
      <c r="J80" s="318"/>
      <c r="K80" s="288"/>
      <c r="L80" s="468"/>
      <c r="M80" s="468"/>
      <c r="N80" s="468"/>
      <c r="O80" s="468"/>
      <c r="P80" s="295"/>
      <c r="Q80" s="288"/>
    </row>
    <row r="81" spans="1:17">
      <c r="A81" s="3">
        <v>78</v>
      </c>
      <c r="B81" s="11"/>
      <c r="C81" s="286"/>
      <c r="D81" s="286"/>
      <c r="E81" s="286"/>
      <c r="F81" s="286"/>
      <c r="G81" s="468"/>
      <c r="H81" s="468"/>
      <c r="I81" s="468"/>
      <c r="J81" s="318"/>
      <c r="K81" s="288"/>
      <c r="L81" s="468"/>
      <c r="M81" s="468"/>
      <c r="N81" s="468"/>
      <c r="O81" s="468"/>
      <c r="P81" s="295"/>
      <c r="Q81" s="288"/>
    </row>
    <row r="82" spans="1:17">
      <c r="A82" s="3">
        <v>79</v>
      </c>
      <c r="B82" s="11"/>
      <c r="C82" s="286"/>
      <c r="D82" s="286"/>
      <c r="E82" s="286"/>
      <c r="F82" s="286"/>
      <c r="G82" s="468"/>
      <c r="H82" s="468"/>
      <c r="I82" s="468"/>
      <c r="J82" s="318"/>
      <c r="K82" s="288"/>
      <c r="L82" s="468"/>
      <c r="M82" s="468"/>
      <c r="N82" s="468"/>
      <c r="O82" s="468"/>
      <c r="P82" s="295"/>
      <c r="Q82" s="288"/>
    </row>
    <row r="83" spans="1:17">
      <c r="A83" s="3">
        <v>80</v>
      </c>
      <c r="B83" s="11"/>
      <c r="C83" s="286"/>
      <c r="D83" s="286"/>
      <c r="E83" s="286"/>
      <c r="F83" s="286"/>
      <c r="G83" s="468"/>
      <c r="H83" s="468"/>
      <c r="I83" s="468"/>
      <c r="J83" s="318"/>
      <c r="K83" s="288"/>
      <c r="L83" s="468"/>
      <c r="M83" s="468"/>
      <c r="N83" s="468"/>
      <c r="O83" s="468"/>
      <c r="P83" s="295"/>
      <c r="Q83" s="288"/>
    </row>
    <row r="84" spans="1:17">
      <c r="A84" s="3">
        <v>81</v>
      </c>
      <c r="B84" s="11"/>
      <c r="C84" s="286"/>
      <c r="D84" s="286"/>
      <c r="E84" s="286"/>
      <c r="F84" s="286"/>
      <c r="G84" s="468"/>
      <c r="H84" s="468"/>
      <c r="I84" s="468"/>
      <c r="J84" s="318"/>
      <c r="K84" s="288"/>
      <c r="L84" s="468"/>
      <c r="M84" s="468"/>
      <c r="N84" s="468"/>
      <c r="O84" s="468"/>
      <c r="P84" s="295"/>
      <c r="Q84" s="288"/>
    </row>
    <row r="85" spans="1:17">
      <c r="A85" s="3">
        <v>82</v>
      </c>
      <c r="B85" s="11"/>
      <c r="C85" s="286"/>
      <c r="D85" s="286"/>
      <c r="E85" s="286"/>
      <c r="F85" s="286"/>
      <c r="G85" s="468"/>
      <c r="H85" s="468"/>
      <c r="I85" s="468"/>
      <c r="J85" s="318"/>
      <c r="K85" s="288"/>
      <c r="L85" s="468"/>
      <c r="M85" s="468"/>
      <c r="N85" s="468"/>
      <c r="O85" s="468"/>
      <c r="P85" s="295"/>
      <c r="Q85" s="288"/>
    </row>
    <row r="86" spans="1:17">
      <c r="A86" s="3">
        <v>83</v>
      </c>
      <c r="B86" s="11"/>
      <c r="C86" s="286"/>
      <c r="D86" s="286"/>
      <c r="E86" s="286"/>
      <c r="F86" s="286"/>
      <c r="G86" s="468"/>
      <c r="H86" s="468"/>
      <c r="I86" s="468"/>
      <c r="J86" s="318"/>
      <c r="K86" s="288"/>
      <c r="L86" s="468"/>
      <c r="M86" s="468"/>
      <c r="N86" s="468"/>
      <c r="O86" s="468"/>
      <c r="P86" s="295"/>
      <c r="Q86" s="288"/>
    </row>
    <row r="87" spans="1:17">
      <c r="A87" s="3">
        <v>84</v>
      </c>
      <c r="B87" s="11"/>
      <c r="C87" s="286"/>
      <c r="D87" s="286"/>
      <c r="E87" s="286"/>
      <c r="F87" s="286"/>
      <c r="G87" s="468"/>
      <c r="H87" s="468"/>
      <c r="I87" s="468"/>
      <c r="J87" s="318"/>
      <c r="K87" s="288"/>
      <c r="L87" s="468"/>
      <c r="M87" s="468"/>
      <c r="N87" s="468"/>
      <c r="O87" s="468"/>
      <c r="P87" s="295"/>
      <c r="Q87" s="288"/>
    </row>
    <row r="88" spans="1:17">
      <c r="A88" s="3">
        <v>85</v>
      </c>
      <c r="B88" s="11"/>
      <c r="C88" s="286"/>
      <c r="D88" s="286"/>
      <c r="E88" s="286"/>
      <c r="F88" s="286"/>
      <c r="G88" s="468"/>
      <c r="H88" s="468"/>
      <c r="I88" s="468"/>
      <c r="J88" s="318"/>
      <c r="K88" s="288"/>
      <c r="L88" s="468"/>
      <c r="M88" s="468"/>
      <c r="N88" s="468"/>
      <c r="O88" s="468"/>
      <c r="P88" s="295"/>
      <c r="Q88" s="288"/>
    </row>
    <row r="89" spans="1:17">
      <c r="A89" s="3">
        <v>86</v>
      </c>
      <c r="B89" s="11"/>
      <c r="C89" s="286"/>
      <c r="D89" s="286"/>
      <c r="E89" s="286"/>
      <c r="F89" s="286"/>
      <c r="G89" s="468"/>
      <c r="H89" s="468"/>
      <c r="I89" s="468"/>
      <c r="J89" s="318"/>
      <c r="K89" s="288"/>
      <c r="L89" s="468"/>
      <c r="M89" s="468"/>
      <c r="N89" s="468"/>
      <c r="O89" s="468"/>
      <c r="P89" s="295"/>
      <c r="Q89" s="288"/>
    </row>
    <row r="90" spans="1:17">
      <c r="A90" s="3">
        <v>87</v>
      </c>
      <c r="B90" s="11"/>
      <c r="C90" s="286"/>
      <c r="D90" s="286"/>
      <c r="E90" s="286"/>
      <c r="F90" s="286"/>
      <c r="G90" s="468"/>
      <c r="H90" s="468"/>
      <c r="I90" s="468"/>
      <c r="J90" s="318"/>
      <c r="K90" s="288"/>
      <c r="L90" s="468"/>
      <c r="M90" s="468"/>
      <c r="N90" s="468"/>
      <c r="O90" s="468"/>
      <c r="P90" s="295"/>
      <c r="Q90" s="288"/>
    </row>
    <row r="91" spans="1:17">
      <c r="A91" s="3">
        <v>88</v>
      </c>
      <c r="B91" s="11"/>
      <c r="C91" s="286"/>
      <c r="D91" s="286"/>
      <c r="E91" s="286"/>
      <c r="F91" s="286"/>
      <c r="G91" s="468"/>
      <c r="H91" s="468"/>
      <c r="I91" s="468"/>
      <c r="J91" s="318"/>
      <c r="K91" s="288"/>
      <c r="L91" s="468"/>
      <c r="M91" s="468"/>
      <c r="N91" s="468"/>
      <c r="O91" s="468"/>
      <c r="P91" s="295"/>
      <c r="Q91" s="288"/>
    </row>
    <row r="92" spans="1:17">
      <c r="A92" s="3">
        <v>89</v>
      </c>
      <c r="B92" s="11"/>
      <c r="C92" s="286"/>
      <c r="D92" s="286"/>
      <c r="E92" s="286"/>
      <c r="F92" s="286"/>
      <c r="G92" s="468"/>
      <c r="H92" s="468"/>
      <c r="I92" s="468"/>
      <c r="J92" s="318"/>
      <c r="K92" s="288"/>
      <c r="L92" s="468"/>
      <c r="M92" s="468"/>
      <c r="N92" s="468"/>
      <c r="O92" s="468"/>
      <c r="P92" s="295"/>
      <c r="Q92" s="288"/>
    </row>
    <row r="93" spans="1:17">
      <c r="A93" s="3">
        <v>90</v>
      </c>
      <c r="B93" s="11"/>
      <c r="C93" s="286"/>
      <c r="D93" s="286"/>
      <c r="E93" s="286"/>
      <c r="F93" s="286"/>
      <c r="G93" s="468"/>
      <c r="H93" s="468"/>
      <c r="I93" s="468"/>
      <c r="J93" s="318"/>
      <c r="K93" s="288"/>
      <c r="L93" s="468"/>
      <c r="M93" s="468"/>
      <c r="N93" s="468"/>
      <c r="O93" s="468"/>
      <c r="P93" s="295"/>
      <c r="Q93" s="288"/>
    </row>
    <row r="94" spans="1:17">
      <c r="A94" s="3">
        <v>91</v>
      </c>
      <c r="B94" s="11"/>
      <c r="C94" s="286"/>
      <c r="D94" s="286"/>
      <c r="E94" s="286"/>
      <c r="F94" s="286"/>
      <c r="G94" s="468"/>
      <c r="H94" s="468"/>
      <c r="I94" s="468"/>
      <c r="J94" s="318"/>
      <c r="K94" s="288"/>
      <c r="L94" s="468"/>
      <c r="M94" s="468"/>
      <c r="N94" s="468"/>
      <c r="O94" s="468"/>
      <c r="P94" s="295"/>
      <c r="Q94" s="288"/>
    </row>
    <row r="95" spans="1:17">
      <c r="A95" s="3">
        <v>92</v>
      </c>
      <c r="B95" s="11"/>
      <c r="C95" s="286"/>
      <c r="D95" s="286"/>
      <c r="E95" s="286"/>
      <c r="F95" s="286"/>
      <c r="G95" s="468"/>
      <c r="H95" s="468"/>
      <c r="I95" s="468"/>
      <c r="J95" s="318"/>
      <c r="K95" s="288"/>
      <c r="L95" s="468"/>
      <c r="M95" s="468"/>
      <c r="N95" s="468"/>
      <c r="O95" s="468"/>
      <c r="P95" s="295"/>
      <c r="Q95" s="288"/>
    </row>
    <row r="96" spans="1:17">
      <c r="A96" s="3">
        <v>93</v>
      </c>
      <c r="B96" s="11"/>
      <c r="C96" s="286"/>
      <c r="D96" s="286"/>
      <c r="E96" s="286"/>
      <c r="F96" s="286"/>
      <c r="G96" s="468"/>
      <c r="H96" s="468"/>
      <c r="I96" s="468"/>
      <c r="J96" s="318"/>
      <c r="K96" s="288"/>
      <c r="L96" s="468"/>
      <c r="M96" s="468"/>
      <c r="N96" s="468"/>
      <c r="O96" s="468"/>
      <c r="P96" s="295"/>
      <c r="Q96" s="288"/>
    </row>
    <row r="97" spans="1:17">
      <c r="A97" s="3">
        <v>94</v>
      </c>
      <c r="B97" s="11"/>
      <c r="C97" s="286"/>
      <c r="D97" s="286"/>
      <c r="E97" s="286"/>
      <c r="F97" s="286"/>
      <c r="G97" s="468"/>
      <c r="H97" s="468"/>
      <c r="I97" s="468"/>
      <c r="J97" s="318"/>
      <c r="K97" s="288"/>
      <c r="L97" s="468"/>
      <c r="M97" s="468"/>
      <c r="N97" s="468"/>
      <c r="O97" s="468"/>
      <c r="P97" s="295"/>
      <c r="Q97" s="288"/>
    </row>
    <row r="98" spans="1:17">
      <c r="A98" s="3">
        <v>95</v>
      </c>
      <c r="B98" s="11"/>
      <c r="C98" s="286"/>
      <c r="D98" s="286"/>
      <c r="E98" s="286"/>
      <c r="F98" s="286"/>
      <c r="G98" s="468"/>
      <c r="H98" s="468"/>
      <c r="I98" s="468"/>
      <c r="J98" s="318"/>
      <c r="K98" s="288"/>
      <c r="L98" s="468"/>
      <c r="M98" s="468"/>
      <c r="N98" s="468"/>
      <c r="O98" s="468"/>
      <c r="P98" s="295"/>
      <c r="Q98" s="288"/>
    </row>
    <row r="99" spans="1:17">
      <c r="A99" s="3">
        <v>96</v>
      </c>
      <c r="B99" s="11"/>
      <c r="C99" s="286"/>
      <c r="D99" s="286"/>
      <c r="E99" s="286"/>
      <c r="F99" s="286"/>
      <c r="G99" s="468"/>
      <c r="H99" s="468"/>
      <c r="I99" s="468"/>
      <c r="J99" s="318"/>
      <c r="K99" s="288"/>
      <c r="L99" s="468"/>
      <c r="M99" s="468"/>
      <c r="N99" s="468"/>
      <c r="O99" s="468"/>
      <c r="P99" s="295"/>
      <c r="Q99" s="288"/>
    </row>
    <row r="100" spans="1:17">
      <c r="A100" s="3">
        <v>97</v>
      </c>
      <c r="B100" s="11"/>
      <c r="C100" s="286"/>
      <c r="D100" s="286"/>
      <c r="E100" s="286"/>
      <c r="F100" s="286"/>
      <c r="G100" s="468"/>
      <c r="H100" s="468"/>
      <c r="I100" s="468"/>
      <c r="J100" s="318"/>
      <c r="K100" s="288"/>
      <c r="L100" s="468"/>
      <c r="M100" s="468"/>
      <c r="N100" s="468"/>
      <c r="O100" s="468"/>
      <c r="P100" s="295"/>
      <c r="Q100" s="288"/>
    </row>
    <row r="101" spans="1:17">
      <c r="A101" s="3">
        <v>98</v>
      </c>
      <c r="B101" s="11"/>
      <c r="C101" s="286"/>
      <c r="D101" s="286"/>
      <c r="E101" s="286"/>
      <c r="F101" s="286"/>
      <c r="G101" s="468"/>
      <c r="H101" s="468"/>
      <c r="I101" s="468"/>
      <c r="J101" s="318"/>
      <c r="K101" s="288"/>
      <c r="L101" s="468"/>
      <c r="M101" s="468"/>
      <c r="N101" s="468"/>
      <c r="O101" s="468"/>
      <c r="P101" s="295"/>
      <c r="Q101" s="288"/>
    </row>
    <row r="102" spans="1:17">
      <c r="A102" s="3">
        <v>99</v>
      </c>
      <c r="B102" s="11"/>
      <c r="C102" s="286"/>
      <c r="D102" s="286"/>
      <c r="E102" s="286"/>
      <c r="F102" s="286"/>
      <c r="G102" s="468"/>
      <c r="H102" s="468"/>
      <c r="I102" s="468"/>
      <c r="J102" s="318"/>
      <c r="K102" s="288"/>
      <c r="L102" s="468"/>
      <c r="M102" s="468"/>
      <c r="N102" s="468"/>
      <c r="O102" s="468"/>
      <c r="P102" s="295"/>
      <c r="Q102" s="288"/>
    </row>
    <row r="103" spans="1:17" ht="49.5" customHeight="1" thickBot="1">
      <c r="D103" s="69" t="s">
        <v>787</v>
      </c>
      <c r="E103" s="69" t="s">
        <v>771</v>
      </c>
      <c r="F103" s="69" t="s">
        <v>772</v>
      </c>
      <c r="G103" s="69" t="s">
        <v>788</v>
      </c>
      <c r="H103" s="69" t="s">
        <v>774</v>
      </c>
      <c r="I103" s="69" t="s">
        <v>775</v>
      </c>
      <c r="J103" s="69"/>
      <c r="K103" s="69"/>
      <c r="L103" s="69" t="s">
        <v>789</v>
      </c>
      <c r="M103" s="69" t="s">
        <v>779</v>
      </c>
      <c r="N103" s="69" t="s">
        <v>790</v>
      </c>
      <c r="O103" s="69" t="s">
        <v>791</v>
      </c>
    </row>
    <row r="104" spans="1:17" ht="15" thickTop="1">
      <c r="C104" s="68" t="s">
        <v>373</v>
      </c>
      <c r="D104" s="91">
        <f t="shared" ref="D104:O104" si="0">SUM(D4:D102)</f>
        <v>0</v>
      </c>
      <c r="E104" s="91">
        <f t="shared" si="0"/>
        <v>0</v>
      </c>
      <c r="F104" s="91">
        <f t="shared" si="0"/>
        <v>0</v>
      </c>
      <c r="G104" s="256">
        <f t="shared" si="0"/>
        <v>0</v>
      </c>
      <c r="H104" s="256">
        <f t="shared" si="0"/>
        <v>0</v>
      </c>
      <c r="I104" s="256">
        <f t="shared" si="0"/>
        <v>0</v>
      </c>
      <c r="L104" s="256">
        <f t="shared" si="0"/>
        <v>0</v>
      </c>
      <c r="M104" s="256">
        <f t="shared" si="0"/>
        <v>0</v>
      </c>
      <c r="N104" s="256">
        <f t="shared" si="0"/>
        <v>0</v>
      </c>
      <c r="O104" s="256">
        <f t="shared" si="0"/>
        <v>0</v>
      </c>
    </row>
    <row r="105" spans="1:17">
      <c r="C105" s="6" t="s">
        <v>784</v>
      </c>
    </row>
    <row r="106" spans="1:17">
      <c r="C106" s="6" t="s">
        <v>792</v>
      </c>
    </row>
    <row r="107" spans="1:17">
      <c r="C107" s="6" t="s">
        <v>785</v>
      </c>
    </row>
    <row r="108" spans="1:17">
      <c r="C108" s="6" t="s">
        <v>786</v>
      </c>
    </row>
  </sheetData>
  <sheetProtection algorithmName="SHA-512" hashValue="Tp16u/hUE+OgReaTnqeuqkN2e1EWZeT+92CfsWkMAnlKrrBbzHjnUv6as7SaZJb4ou/S+sda12VSBob14/uV/Q==" saltValue="xRiGEL3OssyYFZrcjmAbUg==" spinCount="100000" sheet="1" objects="1" scenarios="1"/>
  <dataValidations count="13">
    <dataValidation type="whole" allowBlank="1" showInputMessage="1" showErrorMessage="1" errorTitle="Employee Units" error="All values in Employee Units must be whole numbers." sqref="E4:E102" xr:uid="{00000000-0002-0000-0F00-000000000000}">
      <formula1>0</formula1>
      <formula2>100000000</formula2>
    </dataValidation>
    <dataValidation type="whole" allowBlank="1" showInputMessage="1" showErrorMessage="1" errorTitle="Total Units in Building" error="All values in Total Units in Building must be whole numbers." sqref="D4:D102" xr:uid="{00000000-0002-0000-0F00-000001000000}">
      <formula1>0</formula1>
      <formula2>100000000</formula2>
    </dataValidation>
    <dataValidation type="whole" allowBlank="1" showInputMessage="1" showErrorMessage="1" errorTitle="Low-Income Units" error="All values in Low-Income Units must be whole numbers." sqref="F4:F102" xr:uid="{00000000-0002-0000-0F00-000002000000}">
      <formula1>0</formula1>
      <formula2>100000000</formula2>
    </dataValidation>
    <dataValidation type="whole" allowBlank="1" showInputMessage="1" showErrorMessage="1" errorTitle="Residential Square Footage" error="All values in Residential Square Footage must be whole numbers." sqref="G4:G102" xr:uid="{00000000-0002-0000-0F00-000003000000}">
      <formula1>0</formula1>
      <formula2>100000000</formula2>
    </dataValidation>
    <dataValidation type="whole" allowBlank="1" showInputMessage="1" showErrorMessage="1" errorTitle="Square Footage of Employee Units" error="All values in Square Footage of Employee Units must be whole numbers." sqref="H4:H102" xr:uid="{00000000-0002-0000-0F00-000004000000}">
      <formula1>0</formula1>
      <formula2>100000000</formula2>
    </dataValidation>
    <dataValidation type="whole" allowBlank="1" showInputMessage="1" showErrorMessage="1" errorTitle="Sq. Footage of Low-Income Units" error="All values in Square Footage of Low-Income Units must be whole numbers." sqref="I4:I102" xr:uid="{00000000-0002-0000-0F00-000005000000}">
      <formula1>0</formula1>
      <formula2>100000000</formula2>
    </dataValidation>
    <dataValidation type="date" allowBlank="1" showInputMessage="1" showErrorMessage="1" errorTitle="Placed-In-Service Date" error="Placed-In-Service Date must be a valid date." sqref="J5:J102" xr:uid="{00000000-0002-0000-0F00-000006000000}">
      <formula1>36526</formula1>
      <formula2>47484</formula2>
    </dataValidation>
    <dataValidation type="whole" allowBlank="1" showInputMessage="1" showErrorMessage="1" errorTitle="New Construction Eligible Basis" error="All values in New Construction Eligible Basis must be whole numbers." sqref="L4:L102" xr:uid="{00000000-0002-0000-0F00-000007000000}">
      <formula1>0</formula1>
      <formula2>100000000</formula2>
    </dataValidation>
    <dataValidation type="whole" allowBlank="1" showInputMessage="1" showErrorMessage="1" errorTitle="Eligible Basis for Rehab" error="All values in Eligible Basis for Rehab must be whole numbers." sqref="M4:M102" xr:uid="{00000000-0002-0000-0F00-000008000000}">
      <formula1>0</formula1>
      <formula2>100000000</formula2>
    </dataValidation>
    <dataValidation type="whole" allowBlank="1" showInputMessage="1" showErrorMessage="1" errorTitle="Cost of Acquiring the Building" error="All values in Cost of Acquiring the Building must be whole numbers." sqref="N4:N102" xr:uid="{00000000-0002-0000-0F00-000009000000}">
      <formula1>0</formula1>
      <formula2>100000000</formula2>
    </dataValidation>
    <dataValidation type="whole" allowBlank="1" showInputMessage="1" showErrorMessage="1" errorTitle="Land Value" error="All values in Land Purchase Price or Land Appraised Value must be whole numbers." sqref="O4:O102" xr:uid="{00000000-0002-0000-0F00-00000A000000}">
      <formula1>0</formula1>
      <formula2>100000000</formula2>
    </dataValidation>
    <dataValidation type="date" allowBlank="1" showInputMessage="1" showErrorMessage="1" errorTitle="Acq Placed-In-Service Date" error="Acquisition Placed-in-Service Date Date must be a valid date." sqref="P4:P102" xr:uid="{00000000-0002-0000-0F00-00000B000000}">
      <formula1>36526</formula1>
      <formula2>47484</formula2>
    </dataValidation>
    <dataValidation type="date" allowBlank="1" showInputMessage="1" showErrorMessage="1" sqref="J4" xr:uid="{00000000-0002-0000-0F00-00000C000000}">
      <formula1>1</formula1>
      <formula2>47484</formula2>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C000"/>
  </sheetPr>
  <dimension ref="A1:J108"/>
  <sheetViews>
    <sheetView showGridLines="0" showZeros="0" zoomScaleNormal="100" workbookViewId="0">
      <pane xSplit="1" ySplit="2" topLeftCell="B3" activePane="bottomRight" state="frozen"/>
      <selection pane="topRight" activeCell="C115" sqref="C115"/>
      <selection pane="bottomLeft" activeCell="C115" sqref="C115"/>
      <selection pane="bottomRight" activeCell="A2" sqref="A2"/>
    </sheetView>
  </sheetViews>
  <sheetFormatPr defaultRowHeight="14.4"/>
  <cols>
    <col min="1" max="1" width="51" customWidth="1"/>
    <col min="2" max="2" width="33.109375" customWidth="1"/>
    <col min="3" max="3" width="28.5546875" customWidth="1"/>
    <col min="4" max="4" width="13" customWidth="1"/>
    <col min="5" max="5" width="7.6640625" customWidth="1"/>
    <col min="6" max="6" width="18.5546875" customWidth="1"/>
    <col min="7" max="7" width="18.5546875" bestFit="1" customWidth="1"/>
    <col min="8" max="8" width="18.109375" bestFit="1" customWidth="1"/>
    <col min="9" max="9" width="15.5546875" customWidth="1"/>
    <col min="10" max="10" width="23.5546875" customWidth="1"/>
    <col min="11" max="13" width="4.88671875" customWidth="1"/>
    <col min="14" max="14" width="8.6640625" customWidth="1"/>
    <col min="15" max="15" width="23.88671875" customWidth="1"/>
    <col min="16" max="21" width="8.6640625" customWidth="1"/>
  </cols>
  <sheetData>
    <row r="1" spans="1:10" s="521" customFormat="1" ht="66.75" hidden="1" customHeight="1">
      <c r="A1" s="1086" t="s">
        <v>793</v>
      </c>
      <c r="B1" s="1086"/>
      <c r="C1" s="1086"/>
      <c r="D1" s="1086"/>
      <c r="E1" s="1086"/>
      <c r="F1" s="1086"/>
      <c r="G1" s="1086"/>
      <c r="H1" s="1086"/>
      <c r="I1" s="1086"/>
      <c r="J1" s="1086"/>
    </row>
    <row r="2" spans="1:10" ht="30.75" customHeight="1">
      <c r="A2" s="543" t="s">
        <v>794</v>
      </c>
      <c r="B2" s="543" t="s">
        <v>116</v>
      </c>
      <c r="C2" s="543" t="s">
        <v>122</v>
      </c>
      <c r="D2" s="543" t="s">
        <v>239</v>
      </c>
      <c r="E2" s="543" t="s">
        <v>795</v>
      </c>
      <c r="F2" s="543" t="s">
        <v>796</v>
      </c>
      <c r="G2" s="543" t="s">
        <v>117</v>
      </c>
      <c r="H2" s="543" t="s">
        <v>118</v>
      </c>
      <c r="I2" s="543" t="s">
        <v>797</v>
      </c>
      <c r="J2" s="543" t="s">
        <v>120</v>
      </c>
    </row>
    <row r="3" spans="1:10">
      <c r="A3" s="1" t="s">
        <v>798</v>
      </c>
      <c r="B3" s="544">
        <f>'Contact Information'!B6</f>
        <v>0</v>
      </c>
      <c r="C3" s="662"/>
      <c r="D3" s="662"/>
      <c r="E3" s="662"/>
      <c r="F3" s="663"/>
      <c r="G3" s="544">
        <f>'Contact Information'!B7</f>
        <v>0</v>
      </c>
      <c r="H3" s="544">
        <f>'Contact Information'!B8</f>
        <v>0</v>
      </c>
      <c r="I3" s="544">
        <f>'Contact Information'!B9</f>
        <v>0</v>
      </c>
      <c r="J3" s="544">
        <f>'Contact Information'!B10</f>
        <v>0</v>
      </c>
    </row>
    <row r="4" spans="1:10">
      <c r="A4" s="1" t="s">
        <v>799</v>
      </c>
      <c r="B4" s="544">
        <f>'Contact Information'!B13</f>
        <v>0</v>
      </c>
      <c r="C4" s="544">
        <f>'Contact Information'!B14</f>
        <v>0</v>
      </c>
      <c r="D4" s="544">
        <f>'Contact Information'!B15</f>
        <v>0</v>
      </c>
      <c r="E4" s="544">
        <f>'Contact Information'!B16</f>
        <v>0</v>
      </c>
      <c r="F4" s="545">
        <f>'Contact Information'!B17</f>
        <v>0</v>
      </c>
      <c r="G4" s="544">
        <f>'Contact Information'!B18</f>
        <v>0</v>
      </c>
      <c r="H4" s="544">
        <f>'Contact Information'!B19</f>
        <v>0</v>
      </c>
      <c r="I4" s="545">
        <f>'Contact Information'!B20</f>
        <v>0</v>
      </c>
      <c r="J4" s="544">
        <f>'Contact Information'!B21</f>
        <v>0</v>
      </c>
    </row>
    <row r="5" spans="1:10">
      <c r="A5" s="1" t="s">
        <v>4113</v>
      </c>
      <c r="B5" s="544">
        <f>'Contact Information'!B26</f>
        <v>0</v>
      </c>
      <c r="C5" s="544">
        <f>'Contact Information'!B27</f>
        <v>0</v>
      </c>
      <c r="D5" s="544">
        <f>'Contact Information'!B28</f>
        <v>0</v>
      </c>
      <c r="E5" s="544">
        <f>'Contact Information'!B29</f>
        <v>0</v>
      </c>
      <c r="F5" s="545">
        <f>'Contact Information'!B30</f>
        <v>0</v>
      </c>
      <c r="G5" s="544">
        <f>'Contact Information'!B31</f>
        <v>0</v>
      </c>
      <c r="H5" s="544">
        <f>'Contact Information'!B32</f>
        <v>0</v>
      </c>
      <c r="I5" s="545">
        <f>'Contact Information'!B33</f>
        <v>0</v>
      </c>
      <c r="J5" s="544">
        <f>'Contact Information'!B34</f>
        <v>0</v>
      </c>
    </row>
    <row r="6" spans="1:10" ht="13.5" customHeight="1">
      <c r="A6" s="1" t="s">
        <v>800</v>
      </c>
      <c r="B6" s="544">
        <f>'Contact Information'!B66</f>
        <v>0</v>
      </c>
      <c r="C6" s="544">
        <f>'Contact Information'!B67</f>
        <v>0</v>
      </c>
      <c r="D6" s="544">
        <f>'Contact Information'!B68</f>
        <v>0</v>
      </c>
      <c r="E6" s="544">
        <f>'Contact Information'!B69</f>
        <v>0</v>
      </c>
      <c r="F6" s="545">
        <f>'Contact Information'!B70</f>
        <v>0</v>
      </c>
      <c r="G6" s="544">
        <f>'Contact Information'!B71</f>
        <v>0</v>
      </c>
      <c r="H6" s="544">
        <f>'Contact Information'!B72</f>
        <v>0</v>
      </c>
      <c r="I6" s="545">
        <f>'Contact Information'!B73</f>
        <v>0</v>
      </c>
      <c r="J6" s="544">
        <f>'Contact Information'!B74</f>
        <v>0</v>
      </c>
    </row>
    <row r="7" spans="1:10">
      <c r="A7" s="1" t="s">
        <v>801</v>
      </c>
      <c r="B7" s="544">
        <f>'Contact Information'!B80</f>
        <v>0</v>
      </c>
      <c r="C7" s="544">
        <f>'Contact Information'!B81</f>
        <v>0</v>
      </c>
      <c r="D7" s="544">
        <f>'Contact Information'!B82</f>
        <v>0</v>
      </c>
      <c r="E7" s="544">
        <f>'Contact Information'!B83</f>
        <v>0</v>
      </c>
      <c r="F7" s="545">
        <f>'Contact Information'!B84</f>
        <v>0</v>
      </c>
      <c r="G7" s="544">
        <f>'Contact Information'!B85</f>
        <v>0</v>
      </c>
      <c r="H7" s="544">
        <f>'Contact Information'!B86</f>
        <v>0</v>
      </c>
      <c r="I7" s="545">
        <f>'Contact Information'!B87</f>
        <v>0</v>
      </c>
      <c r="J7" s="544">
        <f>'Contact Information'!B88</f>
        <v>0</v>
      </c>
    </row>
    <row r="8" spans="1:10">
      <c r="A8" s="1" t="s">
        <v>152</v>
      </c>
      <c r="B8" s="544">
        <f>'Contact Information'!B91</f>
        <v>0</v>
      </c>
      <c r="C8" s="544">
        <f>'Contact Information'!B92</f>
        <v>0</v>
      </c>
      <c r="D8" s="544">
        <f>'Contact Information'!B93</f>
        <v>0</v>
      </c>
      <c r="E8" s="544">
        <f>'Contact Information'!B94</f>
        <v>0</v>
      </c>
      <c r="F8" s="545">
        <f>'Contact Information'!B95</f>
        <v>0</v>
      </c>
      <c r="G8" s="544">
        <f>'Contact Information'!B96</f>
        <v>0</v>
      </c>
      <c r="H8" s="544">
        <f>'Contact Information'!B97</f>
        <v>0</v>
      </c>
      <c r="I8" s="545">
        <f>'Contact Information'!B98</f>
        <v>0</v>
      </c>
      <c r="J8" s="544">
        <f>'Contact Information'!B99</f>
        <v>0</v>
      </c>
    </row>
    <row r="9" spans="1:10" ht="28.8">
      <c r="A9" s="501" t="s">
        <v>802</v>
      </c>
      <c r="B9" s="544">
        <f>'Contact Information'!B102</f>
        <v>0</v>
      </c>
      <c r="C9" s="544">
        <f>'Contact Information'!B103</f>
        <v>0</v>
      </c>
      <c r="D9" s="544">
        <f>'Contact Information'!B104</f>
        <v>0</v>
      </c>
      <c r="E9" s="544">
        <f>'Contact Information'!B105</f>
        <v>0</v>
      </c>
      <c r="F9" s="545">
        <f>'Contact Information'!B106</f>
        <v>0</v>
      </c>
      <c r="G9" s="544">
        <f>'Contact Information'!B107</f>
        <v>0</v>
      </c>
      <c r="H9" s="544">
        <f>'Contact Information'!B108</f>
        <v>0</v>
      </c>
      <c r="I9" s="545">
        <f>'Contact Information'!B109</f>
        <v>0</v>
      </c>
      <c r="J9" s="544">
        <f>'Contact Information'!B110</f>
        <v>0</v>
      </c>
    </row>
    <row r="10" spans="1:10">
      <c r="A10" s="1" t="s">
        <v>803</v>
      </c>
      <c r="B10" s="544">
        <f>'Contact Information'!B117</f>
        <v>0</v>
      </c>
      <c r="C10" s="544">
        <f>'Contact Information'!B118</f>
        <v>0</v>
      </c>
      <c r="D10" s="544">
        <f>'Contact Information'!B119</f>
        <v>0</v>
      </c>
      <c r="E10" s="544">
        <f>'Contact Information'!B120</f>
        <v>0</v>
      </c>
      <c r="F10" s="545">
        <f>'Contact Information'!B121</f>
        <v>0</v>
      </c>
      <c r="G10" s="544">
        <f>'Contact Information'!B122</f>
        <v>0</v>
      </c>
      <c r="H10" s="544">
        <f>'Contact Information'!B123</f>
        <v>0</v>
      </c>
      <c r="I10" s="545">
        <f>'Contact Information'!B124</f>
        <v>0</v>
      </c>
      <c r="J10" s="544">
        <f>'Contact Information'!B125</f>
        <v>0</v>
      </c>
    </row>
    <row r="11" spans="1:10">
      <c r="A11" s="1" t="s">
        <v>175</v>
      </c>
      <c r="B11" s="544">
        <f>'Contact Information'!B147</f>
        <v>0</v>
      </c>
      <c r="C11" s="544">
        <f>'Contact Information'!B148</f>
        <v>0</v>
      </c>
      <c r="D11" s="544">
        <f>'Contact Information'!B149</f>
        <v>0</v>
      </c>
      <c r="E11" s="544">
        <f>'Contact Information'!B150</f>
        <v>0</v>
      </c>
      <c r="F11" s="545">
        <f>'Contact Information'!B151</f>
        <v>0</v>
      </c>
      <c r="G11" s="544">
        <f>'Contact Information'!B152</f>
        <v>0</v>
      </c>
      <c r="H11" s="544">
        <f>'Contact Information'!B153</f>
        <v>0</v>
      </c>
      <c r="I11" s="545">
        <f>'Contact Information'!B154</f>
        <v>0</v>
      </c>
      <c r="J11" s="544">
        <f>'Contact Information'!B155</f>
        <v>0</v>
      </c>
    </row>
    <row r="12" spans="1:10">
      <c r="A12" s="1" t="s">
        <v>176</v>
      </c>
      <c r="B12" s="544">
        <f>'Contact Information'!B158</f>
        <v>0</v>
      </c>
      <c r="C12" s="544">
        <f>'Contact Information'!B159</f>
        <v>0</v>
      </c>
      <c r="D12" s="544">
        <f>'Contact Information'!B160</f>
        <v>0</v>
      </c>
      <c r="E12" s="544">
        <f>'Contact Information'!B161</f>
        <v>0</v>
      </c>
      <c r="F12" s="545">
        <f>'Contact Information'!B162</f>
        <v>0</v>
      </c>
      <c r="G12" s="544">
        <f>'Contact Information'!B163</f>
        <v>0</v>
      </c>
      <c r="H12" s="544">
        <f>'Contact Information'!B164</f>
        <v>0</v>
      </c>
      <c r="I12" s="545">
        <f>'Contact Information'!B165</f>
        <v>0</v>
      </c>
      <c r="J12" s="544">
        <f>'Contact Information'!B166</f>
        <v>0</v>
      </c>
    </row>
    <row r="13" spans="1:10">
      <c r="A13" s="1" t="s">
        <v>178</v>
      </c>
      <c r="B13" s="544">
        <f>'Contact Information'!B172</f>
        <v>0</v>
      </c>
      <c r="C13" s="544">
        <f>'Contact Information'!B173</f>
        <v>0</v>
      </c>
      <c r="D13" s="544">
        <f>'Contact Information'!B174</f>
        <v>0</v>
      </c>
      <c r="E13" s="544">
        <f>'Contact Information'!B175</f>
        <v>0</v>
      </c>
      <c r="F13" s="545">
        <f>'Contact Information'!B176</f>
        <v>0</v>
      </c>
      <c r="G13" s="544">
        <f>'Contact Information'!B177</f>
        <v>0</v>
      </c>
      <c r="H13" s="544">
        <f>'Contact Information'!B178</f>
        <v>0</v>
      </c>
      <c r="I13" s="545">
        <f>'Contact Information'!B179</f>
        <v>0</v>
      </c>
      <c r="J13" s="544">
        <f>'Contact Information'!B180</f>
        <v>0</v>
      </c>
    </row>
    <row r="14" spans="1:10">
      <c r="A14" s="1" t="s">
        <v>179</v>
      </c>
      <c r="B14" s="544">
        <f>'Contact Information'!B186</f>
        <v>0</v>
      </c>
      <c r="C14" s="544">
        <f>'Contact Information'!B187</f>
        <v>0</v>
      </c>
      <c r="D14" s="544">
        <f>'Contact Information'!B188</f>
        <v>0</v>
      </c>
      <c r="E14" s="544">
        <f>'Contact Information'!B189</f>
        <v>0</v>
      </c>
      <c r="F14" s="545">
        <f>'Contact Information'!B190</f>
        <v>0</v>
      </c>
      <c r="G14" s="544">
        <f>'Contact Information'!B191</f>
        <v>0</v>
      </c>
      <c r="H14" s="544">
        <f>'Contact Information'!B192</f>
        <v>0</v>
      </c>
      <c r="I14" s="545">
        <f>'Contact Information'!B193</f>
        <v>0</v>
      </c>
      <c r="J14" s="544">
        <f>'Contact Information'!B194</f>
        <v>0</v>
      </c>
    </row>
    <row r="15" spans="1:10">
      <c r="A15" s="1" t="s">
        <v>804</v>
      </c>
      <c r="B15" s="544">
        <f>'Contact Information'!B200</f>
        <v>0</v>
      </c>
      <c r="C15" s="544">
        <f>'Contact Information'!B201</f>
        <v>0</v>
      </c>
      <c r="D15" s="544">
        <f>'Contact Information'!B202</f>
        <v>0</v>
      </c>
      <c r="E15" s="544">
        <f>'Contact Information'!B203</f>
        <v>0</v>
      </c>
      <c r="F15" s="545">
        <f>'Contact Information'!B204</f>
        <v>0</v>
      </c>
      <c r="G15" s="544">
        <f>'Contact Information'!B205</f>
        <v>0</v>
      </c>
      <c r="H15" s="544">
        <f>'Contact Information'!B206</f>
        <v>0</v>
      </c>
      <c r="I15" s="545">
        <f>'Contact Information'!B207</f>
        <v>0</v>
      </c>
      <c r="J15" s="544">
        <f>'Contact Information'!B208</f>
        <v>0</v>
      </c>
    </row>
    <row r="16" spans="1:10">
      <c r="A16" s="1" t="s">
        <v>181</v>
      </c>
      <c r="B16" s="544">
        <f>'Contact Information'!B214</f>
        <v>0</v>
      </c>
      <c r="C16" s="544">
        <f>'Contact Information'!B216</f>
        <v>0</v>
      </c>
      <c r="D16" s="544">
        <f>'Contact Information'!B217</f>
        <v>0</v>
      </c>
      <c r="E16" s="544">
        <f>'Contact Information'!B218</f>
        <v>0</v>
      </c>
      <c r="F16" s="545">
        <f>'Contact Information'!B219</f>
        <v>0</v>
      </c>
      <c r="G16" s="544">
        <f>'Contact Information'!B220</f>
        <v>0</v>
      </c>
      <c r="H16" s="544">
        <f>'Contact Information'!B221</f>
        <v>0</v>
      </c>
      <c r="I16" s="545">
        <f>'Contact Information'!B222</f>
        <v>0</v>
      </c>
      <c r="J16" s="544">
        <f>'Contact Information'!B223</f>
        <v>0</v>
      </c>
    </row>
    <row r="17" spans="1:10">
      <c r="A17" s="1" t="s">
        <v>181</v>
      </c>
      <c r="B17" s="544">
        <f>'Contact Information'!B226</f>
        <v>0</v>
      </c>
      <c r="C17" s="544">
        <f>'Contact Information'!B228</f>
        <v>0</v>
      </c>
      <c r="D17" s="544">
        <f>'Contact Information'!B229</f>
        <v>0</v>
      </c>
      <c r="E17" s="544">
        <f>'Contact Information'!B230</f>
        <v>0</v>
      </c>
      <c r="F17" s="545">
        <f>'Contact Information'!B231</f>
        <v>0</v>
      </c>
      <c r="G17" s="544">
        <f>'Contact Information'!B232</f>
        <v>0</v>
      </c>
      <c r="H17" s="544">
        <f>'Contact Information'!B233</f>
        <v>0</v>
      </c>
      <c r="I17" s="545">
        <f>'Contact Information'!B234</f>
        <v>0</v>
      </c>
      <c r="J17" s="544">
        <f>'Contact Information'!B235</f>
        <v>0</v>
      </c>
    </row>
    <row r="18" spans="1:10">
      <c r="A18" s="1" t="s">
        <v>181</v>
      </c>
      <c r="B18" s="544">
        <f>'Contact Information'!B238</f>
        <v>0</v>
      </c>
      <c r="C18" s="544">
        <f>'Contact Information'!B240</f>
        <v>0</v>
      </c>
      <c r="D18" s="544">
        <f>'Contact Information'!B241</f>
        <v>0</v>
      </c>
      <c r="E18" s="544">
        <f>'Contact Information'!B242</f>
        <v>0</v>
      </c>
      <c r="F18" s="545">
        <f>'Contact Information'!B243</f>
        <v>0</v>
      </c>
      <c r="G18" s="544">
        <f>'Contact Information'!B244</f>
        <v>0</v>
      </c>
      <c r="H18" s="544">
        <f>'Contact Information'!B245</f>
        <v>0</v>
      </c>
      <c r="I18" s="545">
        <f>'Contact Information'!B246</f>
        <v>0</v>
      </c>
      <c r="J18" s="544">
        <f>'Contact Information'!B247</f>
        <v>0</v>
      </c>
    </row>
    <row r="19" spans="1:10">
      <c r="A19" s="1" t="s">
        <v>183</v>
      </c>
      <c r="B19" s="544">
        <f>'Contact Information'!B250</f>
        <v>0</v>
      </c>
      <c r="C19" s="544">
        <f>'Contact Information'!B251</f>
        <v>0</v>
      </c>
      <c r="D19" s="544">
        <f>'Contact Information'!B252</f>
        <v>0</v>
      </c>
      <c r="E19" s="544">
        <f>'Contact Information'!B253</f>
        <v>0</v>
      </c>
      <c r="F19" s="545">
        <f>'Contact Information'!B254</f>
        <v>0</v>
      </c>
      <c r="G19" s="544">
        <f>'Contact Information'!B255</f>
        <v>0</v>
      </c>
      <c r="H19" s="544">
        <f>'Contact Information'!B256</f>
        <v>0</v>
      </c>
      <c r="I19" s="545">
        <f>'Contact Information'!B257</f>
        <v>0</v>
      </c>
      <c r="J19" s="544">
        <f>'Contact Information'!B258</f>
        <v>0</v>
      </c>
    </row>
    <row r="20" spans="1:10">
      <c r="A20" s="1" t="s">
        <v>184</v>
      </c>
      <c r="B20" s="544">
        <f>'Contact Information'!B261</f>
        <v>0</v>
      </c>
      <c r="C20" s="544">
        <f>'Contact Information'!B262</f>
        <v>0</v>
      </c>
      <c r="D20" s="544">
        <f>'Contact Information'!B263</f>
        <v>0</v>
      </c>
      <c r="E20" s="544">
        <f>'Contact Information'!B264</f>
        <v>0</v>
      </c>
      <c r="F20" s="545">
        <f>'Contact Information'!B265</f>
        <v>0</v>
      </c>
      <c r="G20" s="544">
        <f>'Contact Information'!B266</f>
        <v>0</v>
      </c>
      <c r="H20" s="544">
        <f>'Contact Information'!B267</f>
        <v>0</v>
      </c>
      <c r="I20" s="545">
        <f>'Contact Information'!B268</f>
        <v>0</v>
      </c>
      <c r="J20" s="544">
        <f>'Contact Information'!B269</f>
        <v>0</v>
      </c>
    </row>
    <row r="21" spans="1:10">
      <c r="A21" s="1" t="s">
        <v>185</v>
      </c>
      <c r="B21" s="544">
        <f>'Contact Information'!B272</f>
        <v>0</v>
      </c>
      <c r="C21" s="544">
        <f>'Contact Information'!B273</f>
        <v>0</v>
      </c>
      <c r="D21" s="544">
        <f>'Contact Information'!B274</f>
        <v>0</v>
      </c>
      <c r="E21" s="544">
        <f>'Contact Information'!B275</f>
        <v>0</v>
      </c>
      <c r="F21" s="545">
        <f>'Contact Information'!B276</f>
        <v>0</v>
      </c>
      <c r="G21" s="544">
        <f>'Contact Information'!B277</f>
        <v>0</v>
      </c>
      <c r="H21" s="544">
        <f>'Contact Information'!B278</f>
        <v>0</v>
      </c>
      <c r="I21" s="545">
        <f>'Contact Information'!B279</f>
        <v>0</v>
      </c>
      <c r="J21" s="544">
        <f>'Contact Information'!B280</f>
        <v>0</v>
      </c>
    </row>
    <row r="22" spans="1:10">
      <c r="A22" s="1" t="s">
        <v>186</v>
      </c>
      <c r="B22" s="544">
        <f>'Contact Information'!B283</f>
        <v>0</v>
      </c>
      <c r="C22" s="544">
        <f>'Contact Information'!B284</f>
        <v>0</v>
      </c>
      <c r="D22" s="544">
        <f>'Contact Information'!B285</f>
        <v>0</v>
      </c>
      <c r="E22" s="544">
        <f>'Contact Information'!B286</f>
        <v>0</v>
      </c>
      <c r="F22" s="545">
        <f>'Contact Information'!B287</f>
        <v>0</v>
      </c>
      <c r="G22" s="544">
        <f>'Contact Information'!B288</f>
        <v>0</v>
      </c>
      <c r="H22" s="544">
        <f>'Contact Information'!B289</f>
        <v>0</v>
      </c>
      <c r="I22" s="545">
        <f>'Contact Information'!B290</f>
        <v>0</v>
      </c>
      <c r="J22" s="544">
        <f>'Contact Information'!B291</f>
        <v>0</v>
      </c>
    </row>
    <row r="23" spans="1:10">
      <c r="A23" s="1" t="s">
        <v>805</v>
      </c>
      <c r="B23" s="544">
        <f>'Contact Information'!B294</f>
        <v>0</v>
      </c>
      <c r="C23" s="544">
        <f>'Contact Information'!B295</f>
        <v>0</v>
      </c>
      <c r="D23" s="544">
        <f>'Contact Information'!B296</f>
        <v>0</v>
      </c>
      <c r="E23" s="544">
        <f>'Contact Information'!B297</f>
        <v>0</v>
      </c>
      <c r="F23" s="545">
        <f>'Contact Information'!B298</f>
        <v>0</v>
      </c>
      <c r="G23" s="544">
        <f>'Contact Information'!B299</f>
        <v>0</v>
      </c>
      <c r="H23" s="544">
        <f>'Contact Information'!B300</f>
        <v>0</v>
      </c>
      <c r="I23" s="545">
        <f>'Contact Information'!B301</f>
        <v>0</v>
      </c>
      <c r="J23" s="544">
        <f>'Contact Information'!B302</f>
        <v>0</v>
      </c>
    </row>
    <row r="24" spans="1:10">
      <c r="A24" s="1" t="s">
        <v>188</v>
      </c>
      <c r="B24" s="544">
        <f>'Contact Information'!B305</f>
        <v>0</v>
      </c>
      <c r="C24" s="544">
        <f>'Contact Information'!B306</f>
        <v>0</v>
      </c>
      <c r="D24" s="544">
        <f>'Contact Information'!B307</f>
        <v>0</v>
      </c>
      <c r="E24" s="544">
        <f>'Contact Information'!B308</f>
        <v>0</v>
      </c>
      <c r="F24" s="545">
        <f>'Contact Information'!B309</f>
        <v>0</v>
      </c>
      <c r="G24" s="544">
        <f>'Contact Information'!B310</f>
        <v>0</v>
      </c>
      <c r="H24" s="544">
        <f>'Contact Information'!B311</f>
        <v>0</v>
      </c>
      <c r="I24" s="545">
        <f>'Contact Information'!B312</f>
        <v>0</v>
      </c>
      <c r="J24" s="544">
        <f>'Contact Information'!B313</f>
        <v>0</v>
      </c>
    </row>
    <row r="25" spans="1:10">
      <c r="A25" s="1" t="s">
        <v>189</v>
      </c>
      <c r="B25" s="544">
        <f>'Contact Information'!B316</f>
        <v>0</v>
      </c>
      <c r="C25" s="544">
        <f>'Contact Information'!B317</f>
        <v>0</v>
      </c>
      <c r="D25" s="544">
        <f>'Contact Information'!B318</f>
        <v>0</v>
      </c>
      <c r="E25" s="544">
        <f>'Contact Information'!B319</f>
        <v>0</v>
      </c>
      <c r="F25" s="545">
        <f>'Contact Information'!B320</f>
        <v>0</v>
      </c>
      <c r="G25" s="544">
        <f>'Contact Information'!B321</f>
        <v>0</v>
      </c>
      <c r="H25" s="544">
        <f>'Contact Information'!B322</f>
        <v>0</v>
      </c>
      <c r="I25" s="545">
        <f>'Contact Information'!B323</f>
        <v>0</v>
      </c>
      <c r="J25" s="544">
        <f>'Contact Information'!B324</f>
        <v>0</v>
      </c>
    </row>
    <row r="26" spans="1:10">
      <c r="A26" s="1" t="s">
        <v>190</v>
      </c>
      <c r="B26" s="544">
        <f>'Contact Information'!B327</f>
        <v>0</v>
      </c>
      <c r="C26" s="544">
        <f>'Contact Information'!B328</f>
        <v>0</v>
      </c>
      <c r="D26" s="544">
        <f>'Contact Information'!B329</f>
        <v>0</v>
      </c>
      <c r="E26" s="544">
        <f>'Contact Information'!B330</f>
        <v>0</v>
      </c>
      <c r="F26" s="545">
        <f>'Contact Information'!B331</f>
        <v>0</v>
      </c>
      <c r="G26" s="544">
        <f>'Contact Information'!B332</f>
        <v>0</v>
      </c>
      <c r="H26" s="544">
        <f>'Contact Information'!B333</f>
        <v>0</v>
      </c>
      <c r="I26" s="545">
        <f>'Contact Information'!B334</f>
        <v>0</v>
      </c>
      <c r="J26" s="544">
        <f>'Contact Information'!B335</f>
        <v>0</v>
      </c>
    </row>
    <row r="27" spans="1:10">
      <c r="A27" s="1" t="s">
        <v>191</v>
      </c>
      <c r="B27" s="544">
        <f>'Contact Information'!B338</f>
        <v>0</v>
      </c>
      <c r="C27" s="544">
        <f>'Contact Information'!B339</f>
        <v>0</v>
      </c>
      <c r="D27" s="544">
        <f>'Contact Information'!B340</f>
        <v>0</v>
      </c>
      <c r="E27" s="544">
        <f>'Contact Information'!B341</f>
        <v>0</v>
      </c>
      <c r="F27" s="545">
        <f>'Contact Information'!B342</f>
        <v>0</v>
      </c>
      <c r="G27" s="544">
        <f>'Contact Information'!B343</f>
        <v>0</v>
      </c>
      <c r="H27" s="544">
        <f>'Contact Information'!B344</f>
        <v>0</v>
      </c>
      <c r="I27" s="545">
        <f>'Contact Information'!B345</f>
        <v>0</v>
      </c>
      <c r="J27" s="544">
        <f>'Contact Information'!B346</f>
        <v>0</v>
      </c>
    </row>
    <row r="28" spans="1:10">
      <c r="A28" s="1" t="s">
        <v>192</v>
      </c>
      <c r="B28" s="544">
        <f>'Contact Information'!B349</f>
        <v>0</v>
      </c>
      <c r="C28" s="544">
        <f>'Contact Information'!B350</f>
        <v>0</v>
      </c>
      <c r="D28" s="544">
        <f>'Contact Information'!B351</f>
        <v>0</v>
      </c>
      <c r="E28" s="544">
        <f>'Contact Information'!B352</f>
        <v>0</v>
      </c>
      <c r="F28" s="545">
        <f>'Contact Information'!B353</f>
        <v>0</v>
      </c>
      <c r="G28" s="544">
        <f>'Contact Information'!B354</f>
        <v>0</v>
      </c>
      <c r="H28" s="544">
        <f>'Contact Information'!B355</f>
        <v>0</v>
      </c>
      <c r="I28" s="545">
        <f>'Contact Information'!B356</f>
        <v>0</v>
      </c>
      <c r="J28" s="544">
        <f>'Contact Information'!B357</f>
        <v>0</v>
      </c>
    </row>
    <row r="29" spans="1:10">
      <c r="A29" s="1" t="s">
        <v>194</v>
      </c>
      <c r="B29" s="544">
        <f>'Contact Information'!B361</f>
        <v>0</v>
      </c>
      <c r="C29" s="544">
        <f>'Contact Information'!B362</f>
        <v>0</v>
      </c>
      <c r="D29" s="544">
        <f>'Contact Information'!B363</f>
        <v>0</v>
      </c>
      <c r="E29" s="544">
        <f>'Contact Information'!B364</f>
        <v>0</v>
      </c>
      <c r="F29" s="545">
        <f>'Contact Information'!B365</f>
        <v>0</v>
      </c>
      <c r="G29" s="544">
        <f>'Contact Information'!B366</f>
        <v>0</v>
      </c>
      <c r="H29" s="544">
        <f>'Contact Information'!B367</f>
        <v>0</v>
      </c>
      <c r="I29" s="545">
        <f>'Contact Information'!B368</f>
        <v>0</v>
      </c>
      <c r="J29" s="544">
        <f>'Contact Information'!B369</f>
        <v>0</v>
      </c>
    </row>
    <row r="30" spans="1:10">
      <c r="A30" s="1" t="s">
        <v>195</v>
      </c>
      <c r="B30" s="544">
        <f>'Contact Information'!B372</f>
        <v>0</v>
      </c>
      <c r="C30" s="544">
        <f>'Contact Information'!B373</f>
        <v>0</v>
      </c>
      <c r="D30" s="544">
        <f>'Contact Information'!B374</f>
        <v>0</v>
      </c>
      <c r="E30" s="544">
        <f>'Contact Information'!B375</f>
        <v>0</v>
      </c>
      <c r="F30" s="545">
        <f>'Contact Information'!B376</f>
        <v>0</v>
      </c>
      <c r="G30" s="544">
        <f>'Contact Information'!B377</f>
        <v>0</v>
      </c>
      <c r="H30" s="544">
        <f>'Contact Information'!B378</f>
        <v>0</v>
      </c>
      <c r="I30" s="545">
        <f>'Contact Information'!B379</f>
        <v>0</v>
      </c>
      <c r="J30" s="544">
        <f>'Contact Information'!B380</f>
        <v>0</v>
      </c>
    </row>
    <row r="31" spans="1:10">
      <c r="A31" s="1" t="s">
        <v>196</v>
      </c>
      <c r="B31" s="544">
        <f>'Contact Information'!B384</f>
        <v>0</v>
      </c>
      <c r="C31" s="544">
        <f>'Contact Information'!B385</f>
        <v>0</v>
      </c>
      <c r="D31" s="544">
        <f>'Contact Information'!B386</f>
        <v>0</v>
      </c>
      <c r="E31" s="544">
        <f>'Contact Information'!B387</f>
        <v>0</v>
      </c>
      <c r="F31" s="545">
        <f>'Contact Information'!B388</f>
        <v>0</v>
      </c>
      <c r="G31" s="544">
        <f>'Contact Information'!B389</f>
        <v>0</v>
      </c>
      <c r="H31" s="544">
        <f>'Contact Information'!B390</f>
        <v>0</v>
      </c>
      <c r="I31" s="545">
        <f>'Contact Information'!B391</f>
        <v>0</v>
      </c>
      <c r="J31" s="544">
        <f>'Contact Information'!B392</f>
        <v>0</v>
      </c>
    </row>
    <row r="32" spans="1:10">
      <c r="A32" s="1" t="s">
        <v>199</v>
      </c>
      <c r="B32" s="544">
        <f>'Contact Information'!B396</f>
        <v>0</v>
      </c>
      <c r="C32" s="544">
        <f>'Contact Information'!B397</f>
        <v>0</v>
      </c>
      <c r="D32" s="544">
        <f>'Contact Information'!B398</f>
        <v>0</v>
      </c>
      <c r="E32" s="544">
        <f>'Contact Information'!B399</f>
        <v>0</v>
      </c>
      <c r="F32" s="545">
        <f>'Contact Information'!B400</f>
        <v>0</v>
      </c>
      <c r="G32" s="544">
        <f>'Contact Information'!B401</f>
        <v>0</v>
      </c>
      <c r="H32" s="544">
        <f>'Contact Information'!B402</f>
        <v>0</v>
      </c>
      <c r="I32" s="545">
        <f>'Contact Information'!B403</f>
        <v>0</v>
      </c>
      <c r="J32" s="544">
        <f>'Contact Information'!B404</f>
        <v>0</v>
      </c>
    </row>
    <row r="33" spans="1:10">
      <c r="A33" s="1" t="s">
        <v>806</v>
      </c>
      <c r="B33" s="544">
        <f>'Contact Information'!B407</f>
        <v>0</v>
      </c>
      <c r="C33" s="544">
        <f>'Contact Information'!B408</f>
        <v>0</v>
      </c>
      <c r="D33" s="544">
        <f>'Contact Information'!B409</f>
        <v>0</v>
      </c>
      <c r="E33" s="544">
        <f>'Contact Information'!B410</f>
        <v>0</v>
      </c>
      <c r="F33" s="545">
        <f>'Contact Information'!B411</f>
        <v>0</v>
      </c>
      <c r="G33" s="544">
        <f>'Contact Information'!B412</f>
        <v>0</v>
      </c>
      <c r="H33" s="544">
        <f>'Contact Information'!B413</f>
        <v>0</v>
      </c>
      <c r="I33" s="545">
        <f>'Contact Information'!B414</f>
        <v>0</v>
      </c>
      <c r="J33" s="544">
        <f>'Contact Information'!B415</f>
        <v>0</v>
      </c>
    </row>
    <row r="34" spans="1:10">
      <c r="A34" s="1" t="s">
        <v>202</v>
      </c>
      <c r="B34" s="544">
        <f>'Contact Information'!B418</f>
        <v>0</v>
      </c>
      <c r="C34" s="544">
        <f>'Contact Information'!B419</f>
        <v>0</v>
      </c>
      <c r="D34" s="544">
        <f>'Contact Information'!B420</f>
        <v>0</v>
      </c>
      <c r="E34" s="544">
        <f>'Contact Information'!B421</f>
        <v>0</v>
      </c>
      <c r="F34" s="545">
        <f>'Contact Information'!B422</f>
        <v>0</v>
      </c>
      <c r="G34" s="544">
        <f>'Contact Information'!B423</f>
        <v>0</v>
      </c>
      <c r="H34" s="544">
        <f>'Contact Information'!B424</f>
        <v>0</v>
      </c>
      <c r="I34" s="545">
        <f>'Contact Information'!B425</f>
        <v>0</v>
      </c>
      <c r="J34" s="544">
        <f>'Contact Information'!B426</f>
        <v>0</v>
      </c>
    </row>
    <row r="35" spans="1:10">
      <c r="A35" s="1" t="s">
        <v>807</v>
      </c>
      <c r="B35" s="544">
        <f>'Contact Information'!B429</f>
        <v>0</v>
      </c>
      <c r="C35" s="544">
        <f>'Contact Information'!B430</f>
        <v>0</v>
      </c>
      <c r="D35" s="544">
        <f>'Contact Information'!B431</f>
        <v>0</v>
      </c>
      <c r="E35" s="544">
        <f>'Contact Information'!B432</f>
        <v>0</v>
      </c>
      <c r="F35" s="545">
        <f>'Contact Information'!B433</f>
        <v>0</v>
      </c>
      <c r="G35" s="544">
        <f>'Contact Information'!B434</f>
        <v>0</v>
      </c>
      <c r="H35" s="544">
        <f>'Contact Information'!B435</f>
        <v>0</v>
      </c>
      <c r="I35" s="545">
        <f>'Contact Information'!B436</f>
        <v>0</v>
      </c>
      <c r="J35" s="544">
        <f>'Contact Information'!B437</f>
        <v>0</v>
      </c>
    </row>
    <row r="36" spans="1:10">
      <c r="A36" s="543" t="s">
        <v>206</v>
      </c>
      <c r="B36" s="664"/>
      <c r="C36" s="664"/>
      <c r="D36" s="664"/>
      <c r="E36" s="664"/>
      <c r="F36" s="664"/>
      <c r="G36" s="664"/>
      <c r="H36" s="664"/>
      <c r="I36" s="664"/>
      <c r="J36" s="664"/>
    </row>
    <row r="37" spans="1:10">
      <c r="A37" s="1" t="s">
        <v>207</v>
      </c>
      <c r="B37" s="544">
        <f>'Contact Information'!B441</f>
        <v>0</v>
      </c>
      <c r="C37" s="544">
        <f>'Contact Information'!B442</f>
        <v>0</v>
      </c>
      <c r="D37" s="544">
        <f>'Contact Information'!B443</f>
        <v>0</v>
      </c>
      <c r="E37" s="544">
        <f>'Contact Information'!B444</f>
        <v>0</v>
      </c>
      <c r="F37" s="545">
        <f>'Contact Information'!B445</f>
        <v>0</v>
      </c>
      <c r="G37" s="544">
        <f>'Contact Information'!B446</f>
        <v>0</v>
      </c>
      <c r="H37" s="544">
        <f>'Contact Information'!B447</f>
        <v>0</v>
      </c>
      <c r="I37" s="545">
        <f>'Contact Information'!B448</f>
        <v>0</v>
      </c>
      <c r="J37" s="544">
        <f>'Contact Information'!B449</f>
        <v>0</v>
      </c>
    </row>
    <row r="38" spans="1:10">
      <c r="A38" s="1" t="s">
        <v>208</v>
      </c>
      <c r="B38" s="544">
        <f>'Contact Information'!B452</f>
        <v>0</v>
      </c>
      <c r="C38" s="544">
        <f>'Contact Information'!B453</f>
        <v>0</v>
      </c>
      <c r="D38" s="544">
        <f>'Contact Information'!B454</f>
        <v>0</v>
      </c>
      <c r="E38" s="544">
        <f>'Contact Information'!B455</f>
        <v>0</v>
      </c>
      <c r="F38" s="545">
        <f>'Contact Information'!B456</f>
        <v>0</v>
      </c>
      <c r="G38" s="544">
        <f>'Contact Information'!B457</f>
        <v>0</v>
      </c>
      <c r="H38" s="544">
        <f>'Contact Information'!B458</f>
        <v>0</v>
      </c>
      <c r="I38" s="545">
        <f>'Contact Information'!B459</f>
        <v>0</v>
      </c>
      <c r="J38" s="544">
        <f>'Contact Information'!B460</f>
        <v>0</v>
      </c>
    </row>
    <row r="39" spans="1:10">
      <c r="A39" s="1" t="s">
        <v>808</v>
      </c>
      <c r="B39" s="544">
        <f>'Contact Information'!B463</f>
        <v>0</v>
      </c>
      <c r="C39" s="544">
        <f>'Contact Information'!B464</f>
        <v>0</v>
      </c>
      <c r="D39" s="544">
        <f>'Contact Information'!B465</f>
        <v>0</v>
      </c>
      <c r="E39" s="544">
        <f>'Contact Information'!B466</f>
        <v>0</v>
      </c>
      <c r="F39" s="545">
        <f>'Contact Information'!B467</f>
        <v>0</v>
      </c>
      <c r="G39" s="544">
        <f>'Contact Information'!B468</f>
        <v>0</v>
      </c>
      <c r="H39" s="544">
        <f>'Contact Information'!B469</f>
        <v>0</v>
      </c>
      <c r="I39" s="545">
        <f>'Contact Information'!B470</f>
        <v>0</v>
      </c>
      <c r="J39" s="544">
        <f>'Contact Information'!B471</f>
        <v>0</v>
      </c>
    </row>
    <row r="40" spans="1:10">
      <c r="A40" s="1" t="s">
        <v>809</v>
      </c>
      <c r="B40" s="544">
        <f>'Contact Information'!B474</f>
        <v>0</v>
      </c>
      <c r="C40" s="544">
        <f>'Contact Information'!B475</f>
        <v>0</v>
      </c>
      <c r="D40" s="544">
        <f>'Contact Information'!B476</f>
        <v>0</v>
      </c>
      <c r="E40" s="544">
        <f>'Contact Information'!B477</f>
        <v>0</v>
      </c>
      <c r="F40" s="545">
        <f>'Contact Information'!B478</f>
        <v>0</v>
      </c>
      <c r="G40" s="544">
        <f>'Contact Information'!B479</f>
        <v>0</v>
      </c>
      <c r="H40" s="544">
        <f>'Contact Information'!B480</f>
        <v>0</v>
      </c>
      <c r="I40" s="545">
        <f>'Contact Information'!B481</f>
        <v>0</v>
      </c>
      <c r="J40" s="544">
        <f>'Contact Information'!B482</f>
        <v>0</v>
      </c>
    </row>
    <row r="41" spans="1:10" ht="20.25" customHeight="1"/>
    <row r="42" spans="1:10" hidden="1">
      <c r="A42" s="3" t="s">
        <v>810</v>
      </c>
      <c r="B42" s="3"/>
      <c r="C42" s="3"/>
      <c r="D42" s="3"/>
      <c r="E42" s="3"/>
      <c r="F42" s="3"/>
      <c r="G42" s="3"/>
      <c r="H42" s="3"/>
      <c r="I42" s="3"/>
      <c r="J42" s="3"/>
    </row>
    <row r="43" spans="1:10" hidden="1">
      <c r="A43" s="1" t="s">
        <v>130</v>
      </c>
      <c r="B43" s="524"/>
    </row>
    <row r="44" spans="1:10" hidden="1">
      <c r="A44" s="1"/>
    </row>
    <row r="45" spans="1:10" ht="30" hidden="1" customHeight="1">
      <c r="A45" s="1087" t="s">
        <v>131</v>
      </c>
      <c r="B45" s="1087"/>
      <c r="C45" s="1087"/>
    </row>
    <row r="46" spans="1:10" hidden="1">
      <c r="A46" s="286"/>
    </row>
    <row r="47" spans="1:10" hidden="1">
      <c r="A47" s="1" t="s">
        <v>132</v>
      </c>
    </row>
    <row r="48" spans="1:10" ht="30" hidden="1" customHeight="1">
      <c r="A48" s="1084"/>
      <c r="B48" s="1085"/>
      <c r="C48" s="1085"/>
      <c r="E48" t="s">
        <v>457</v>
      </c>
    </row>
    <row r="49" spans="1:5" hidden="1"/>
    <row r="50" spans="1:5" ht="30" hidden="1" customHeight="1">
      <c r="A50" s="1087" t="s">
        <v>133</v>
      </c>
      <c r="B50" s="1087"/>
      <c r="C50" s="1087"/>
      <c r="E50" t="s">
        <v>457</v>
      </c>
    </row>
    <row r="51" spans="1:5" hidden="1">
      <c r="A51" s="286"/>
      <c r="E51" t="s">
        <v>457</v>
      </c>
    </row>
    <row r="52" spans="1:5" hidden="1">
      <c r="A52" s="501" t="s">
        <v>134</v>
      </c>
    </row>
    <row r="53" spans="1:5" ht="30" hidden="1" customHeight="1">
      <c r="A53" s="1084"/>
      <c r="B53" s="1085"/>
      <c r="C53" s="1085"/>
    </row>
    <row r="54" spans="1:5" hidden="1"/>
    <row r="55" spans="1:5" hidden="1">
      <c r="A55" s="1" t="s">
        <v>135</v>
      </c>
    </row>
    <row r="56" spans="1:5" hidden="1">
      <c r="A56" s="286"/>
    </row>
    <row r="57" spans="1:5" hidden="1">
      <c r="A57" s="1" t="s">
        <v>136</v>
      </c>
    </row>
    <row r="58" spans="1:5" hidden="1">
      <c r="A58" s="3" t="s">
        <v>137</v>
      </c>
      <c r="B58" s="3" t="s">
        <v>122</v>
      </c>
      <c r="C58" s="3" t="s">
        <v>239</v>
      </c>
      <c r="D58" s="3" t="s">
        <v>124</v>
      </c>
      <c r="E58" s="3" t="s">
        <v>796</v>
      </c>
    </row>
    <row r="59" spans="1:5" hidden="1">
      <c r="A59" s="293"/>
      <c r="B59" s="293"/>
      <c r="C59" s="293"/>
      <c r="D59" s="293"/>
      <c r="E59" s="293"/>
    </row>
    <row r="60" spans="1:5" hidden="1">
      <c r="A60" s="293"/>
      <c r="B60" s="293"/>
      <c r="C60" s="293"/>
      <c r="D60" s="293"/>
      <c r="E60" s="293"/>
    </row>
    <row r="61" spans="1:5" hidden="1">
      <c r="A61" s="293"/>
      <c r="B61" s="293"/>
      <c r="C61" s="293"/>
      <c r="D61" s="293"/>
      <c r="E61" s="293"/>
    </row>
    <row r="62" spans="1:5" hidden="1">
      <c r="A62" s="293"/>
      <c r="B62" s="293"/>
      <c r="C62" s="293"/>
      <c r="D62" s="293"/>
      <c r="E62" s="293"/>
    </row>
    <row r="63" spans="1:5" hidden="1">
      <c r="A63" s="293"/>
      <c r="B63" s="293"/>
      <c r="C63" s="293"/>
      <c r="D63" s="293"/>
      <c r="E63" s="293"/>
    </row>
    <row r="64" spans="1:5" hidden="1"/>
    <row r="65" spans="1:10" ht="28.5" hidden="1" customHeight="1">
      <c r="A65" s="1087" t="s">
        <v>139</v>
      </c>
      <c r="B65" s="1087"/>
      <c r="C65" s="1087"/>
    </row>
    <row r="66" spans="1:10" ht="30" hidden="1" customHeight="1">
      <c r="A66" s="1084"/>
      <c r="B66" s="1085"/>
      <c r="C66" s="1085"/>
    </row>
    <row r="67" spans="1:10" hidden="1"/>
    <row r="68" spans="1:10" hidden="1">
      <c r="A68" s="1" t="s">
        <v>811</v>
      </c>
    </row>
    <row r="69" spans="1:10" hidden="1">
      <c r="A69" s="3" t="s">
        <v>137</v>
      </c>
      <c r="B69" s="3" t="s">
        <v>812</v>
      </c>
    </row>
    <row r="70" spans="1:10" hidden="1">
      <c r="A70" s="286"/>
      <c r="B70" s="294"/>
    </row>
    <row r="71" spans="1:10" hidden="1">
      <c r="A71" s="286"/>
      <c r="B71" s="294"/>
    </row>
    <row r="72" spans="1:10" hidden="1">
      <c r="A72" s="286"/>
      <c r="B72" s="294"/>
    </row>
    <row r="73" spans="1:10" hidden="1">
      <c r="A73" s="286"/>
      <c r="B73" s="294"/>
    </row>
    <row r="74" spans="1:10" hidden="1">
      <c r="A74" s="286"/>
      <c r="B74" s="294"/>
    </row>
    <row r="75" spans="1:10" hidden="1">
      <c r="A75" s="3" t="s">
        <v>813</v>
      </c>
      <c r="B75" s="3"/>
      <c r="C75" s="3"/>
      <c r="D75" s="3"/>
      <c r="E75" s="3"/>
      <c r="F75" s="3"/>
      <c r="G75" s="3"/>
      <c r="H75" s="3"/>
      <c r="I75" s="3"/>
      <c r="J75" s="3"/>
    </row>
    <row r="76" spans="1:10" hidden="1">
      <c r="A76" s="1" t="s">
        <v>814</v>
      </c>
    </row>
    <row r="77" spans="1:10" hidden="1">
      <c r="A77" s="286" t="s">
        <v>815</v>
      </c>
    </row>
    <row r="78" spans="1:10" hidden="1">
      <c r="A78" s="1" t="s">
        <v>816</v>
      </c>
    </row>
    <row r="79" spans="1:10" ht="30" hidden="1" customHeight="1">
      <c r="A79" s="1084"/>
      <c r="B79" s="1085"/>
      <c r="C79" s="1085"/>
    </row>
    <row r="80" spans="1:10" hidden="1">
      <c r="A80" s="1" t="s">
        <v>817</v>
      </c>
    </row>
    <row r="81" spans="1:3" ht="30" hidden="1" customHeight="1">
      <c r="A81" s="1084"/>
      <c r="B81" s="1085"/>
      <c r="C81" s="1085"/>
    </row>
    <row r="82" spans="1:3" ht="30" hidden="1" customHeight="1">
      <c r="A82" s="1087" t="s">
        <v>818</v>
      </c>
      <c r="B82" s="1087"/>
      <c r="C82" s="1087"/>
    </row>
    <row r="83" spans="1:3" ht="30" hidden="1" customHeight="1">
      <c r="A83" s="1084"/>
      <c r="B83" s="1085"/>
      <c r="C83" s="1085"/>
    </row>
    <row r="84" spans="1:3" ht="30" hidden="1" customHeight="1">
      <c r="A84" s="1087" t="s">
        <v>819</v>
      </c>
      <c r="B84" s="1087"/>
      <c r="C84" s="1087"/>
    </row>
    <row r="85" spans="1:3" hidden="1">
      <c r="A85" s="286"/>
    </row>
    <row r="86" spans="1:3" hidden="1">
      <c r="A86" s="1" t="s">
        <v>820</v>
      </c>
    </row>
    <row r="87" spans="1:3" ht="30" hidden="1" customHeight="1">
      <c r="A87" s="1084"/>
      <c r="B87" s="1085"/>
      <c r="C87" s="1085"/>
    </row>
    <row r="88" spans="1:3" hidden="1">
      <c r="A88" s="1" t="s">
        <v>821</v>
      </c>
    </row>
    <row r="89" spans="1:3" hidden="1">
      <c r="A89" s="285"/>
    </row>
    <row r="90" spans="1:3" hidden="1">
      <c r="A90" s="1" t="s">
        <v>168</v>
      </c>
    </row>
    <row r="91" spans="1:3" ht="30" hidden="1" customHeight="1">
      <c r="A91" s="1084"/>
      <c r="B91" s="1085"/>
      <c r="C91" s="1085"/>
    </row>
    <row r="92" spans="1:3" ht="33.75" hidden="1" customHeight="1">
      <c r="A92" s="1087" t="s">
        <v>822</v>
      </c>
      <c r="B92" s="1087"/>
      <c r="C92" s="1087"/>
    </row>
    <row r="93" spans="1:3" ht="33.75" hidden="1" customHeight="1">
      <c r="A93" s="286"/>
    </row>
    <row r="94" spans="1:3" hidden="1">
      <c r="A94" s="1" t="s">
        <v>170</v>
      </c>
    </row>
    <row r="95" spans="1:3" ht="30" hidden="1" customHeight="1">
      <c r="A95" s="1084"/>
      <c r="B95" s="1085"/>
      <c r="C95" s="1085"/>
    </row>
    <row r="96" spans="1:3" ht="30" hidden="1" customHeight="1">
      <c r="A96" s="1087" t="s">
        <v>823</v>
      </c>
      <c r="B96" s="1087"/>
      <c r="C96" s="1087"/>
    </row>
    <row r="97" spans="1:3" hidden="1">
      <c r="A97" s="286"/>
    </row>
    <row r="98" spans="1:3" hidden="1">
      <c r="A98" s="1" t="s">
        <v>170</v>
      </c>
    </row>
    <row r="99" spans="1:3" ht="30" hidden="1" customHeight="1">
      <c r="A99" s="1084"/>
      <c r="B99" s="1085"/>
      <c r="C99" s="1085"/>
    </row>
    <row r="100" spans="1:3" hidden="1">
      <c r="A100" s="1" t="s">
        <v>824</v>
      </c>
    </row>
    <row r="101" spans="1:3" hidden="1">
      <c r="A101" s="295"/>
    </row>
    <row r="102" spans="1:3" hidden="1">
      <c r="A102" s="1" t="s">
        <v>825</v>
      </c>
    </row>
    <row r="103" spans="1:3" ht="30" hidden="1" customHeight="1">
      <c r="A103" s="1084"/>
      <c r="B103" s="1085"/>
      <c r="C103" s="1085"/>
    </row>
    <row r="104" spans="1:3" ht="77.25" hidden="1" customHeight="1">
      <c r="A104" s="1087" t="s">
        <v>826</v>
      </c>
      <c r="B104" s="1087"/>
      <c r="C104" s="1087"/>
    </row>
    <row r="105" spans="1:3" ht="30" hidden="1" customHeight="1">
      <c r="A105" s="1084"/>
      <c r="B105" s="1085"/>
      <c r="C105" s="1085"/>
    </row>
    <row r="106" spans="1:3" ht="47.25" hidden="1" customHeight="1">
      <c r="A106" s="1076" t="s">
        <v>827</v>
      </c>
      <c r="B106" s="1076"/>
      <c r="C106" s="1076"/>
    </row>
    <row r="107" spans="1:3" ht="16.5" hidden="1" customHeight="1">
      <c r="A107" s="286"/>
      <c r="B107" s="10" t="s">
        <v>828</v>
      </c>
    </row>
    <row r="108" spans="1:3" hidden="1"/>
  </sheetData>
  <sheetProtection algorithmName="SHA-512" hashValue="bqy3y+tylGKCkpkne2TNgKBB3x3xbZ4qT41KvVhXAnuGZ8rXfWKzCnODCkLri5QfnKYObLDFRUBz4bVCvibPIg==" saltValue="SApiEnc4RztNUoIVC3T3Og==" spinCount="100000" sheet="1" objects="1" scenarios="1"/>
  <dataConsolidate/>
  <mergeCells count="22">
    <mergeCell ref="A1:J1"/>
    <mergeCell ref="A106:C106"/>
    <mergeCell ref="A92:C92"/>
    <mergeCell ref="A96:C96"/>
    <mergeCell ref="A87:C87"/>
    <mergeCell ref="A91:C91"/>
    <mergeCell ref="A95:C95"/>
    <mergeCell ref="A104:C104"/>
    <mergeCell ref="A105:C105"/>
    <mergeCell ref="A103:C103"/>
    <mergeCell ref="A99:C99"/>
    <mergeCell ref="A65:C65"/>
    <mergeCell ref="A82:C82"/>
    <mergeCell ref="A50:C50"/>
    <mergeCell ref="A45:C45"/>
    <mergeCell ref="A84:C84"/>
    <mergeCell ref="A79:C79"/>
    <mergeCell ref="A81:C81"/>
    <mergeCell ref="A83:C83"/>
    <mergeCell ref="A48:C48"/>
    <mergeCell ref="A66:C66"/>
    <mergeCell ref="A53:C53"/>
  </mergeCells>
  <dataValidations disablePrompts="1" count="8">
    <dataValidation type="list" allowBlank="1" showInputMessage="1" showErrorMessage="1" errorTitle="Previous Tax Credits in Colorado" error="Please select a valid value for previous tax credits in Colorado." sqref="A46" xr:uid="{00000000-0002-0000-0200-000000000000}">
      <formula1>Yes_No_List</formula1>
    </dataValidation>
    <dataValidation type="list" allowBlank="1" showInputMessage="1" showErrorMessage="1" errorTitle="Tax Credits in Other States" error="Please select a valid value for previous tax credits in other states." sqref="A51" xr:uid="{00000000-0002-0000-0200-000001000000}">
      <formula1>Yes_No_List</formula1>
    </dataValidation>
    <dataValidation type="list" allowBlank="1" showInputMessage="1" showErrorMessage="1" errorTitle="Developments in Service" error="Please select a valid value for developments in service." sqref="A56" xr:uid="{00000000-0002-0000-0200-000002000000}">
      <formula1>Yes_No_List</formula1>
    </dataValidation>
    <dataValidation type="list" allowBlank="1" showInputMessage="1" showErrorMessage="1" errorTitle="Owning an Interest " error="Please select a valid value for NP/PHA owning an interest." sqref="A77" xr:uid="{00000000-0002-0000-0200-000004000000}">
      <formula1>Yes_No_List</formula1>
    </dataValidation>
    <dataValidation type="list" allowBlank="1" showInputMessage="1" showErrorMessage="1" errorTitle="Fees Paid" error="Please select a valid value for fees paid." sqref="A85" xr:uid="{00000000-0002-0000-0200-000005000000}">
      <formula1>Yes_No_List</formula1>
    </dataValidation>
    <dataValidation type="list" allowBlank="1" showInputMessage="1" showErrorMessage="1" errorTitle="Appontment of Directors" error="Please select a valid value for appointed any directors to the governing board of the non-profit." sqref="A93" xr:uid="{00000000-0002-0000-0200-000006000000}">
      <formula1>Yes_No_List</formula1>
    </dataValidation>
    <dataValidation type="list" allowBlank="1" showInputMessage="1" showErrorMessage="1" errorTitle="Entity Type" error="Please supply a valid value for Entity Type." sqref="B43" xr:uid="{00000000-0002-0000-0200-000009000000}">
      <formula1>Entity_Type_List</formula1>
    </dataValidation>
    <dataValidation type="list" allowBlank="1" showInputMessage="1" showErrorMessage="1" errorTitle="Financial Arrangements" error="Please select a valid value for financial arrangements." sqref="A97" xr:uid="{00000000-0002-0000-0200-000041000000}">
      <formula1>Yes_No_List</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errorTitle="Allocation of Tax Credits" error="Please select a valid value for request an allocation of tax credits from the non-profit set-aside." xr:uid="{00000000-0002-0000-0200-000003000000}">
          <x14:formula1>
            <xm:f>Lookup!$A$4:$A$5</xm:f>
          </x14:formula1>
          <xm:sqref>A107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theme="7"/>
  </sheetPr>
  <dimension ref="A1:N122"/>
  <sheetViews>
    <sheetView showGridLines="0" zoomScaleNormal="100" workbookViewId="0">
      <selection sqref="A1:K1"/>
    </sheetView>
  </sheetViews>
  <sheetFormatPr defaultColWidth="9" defaultRowHeight="14.4"/>
  <cols>
    <col min="1" max="1" width="15.44140625" style="88" customWidth="1"/>
    <col min="2" max="2" width="21" style="88" customWidth="1"/>
    <col min="3" max="5" width="12.5546875" style="88" customWidth="1"/>
    <col min="6" max="6" width="13.109375" style="88" customWidth="1"/>
    <col min="7" max="7" width="15.5546875" style="88" customWidth="1"/>
    <col min="8" max="10" width="12.5546875" style="88" customWidth="1"/>
    <col min="11" max="11" width="8.5546875" style="88" customWidth="1"/>
    <col min="12" max="12" width="0.5546875" style="88" customWidth="1"/>
    <col min="13" max="16384" width="9" style="88"/>
  </cols>
  <sheetData>
    <row r="1" spans="1:14">
      <c r="A1" s="1088" t="s">
        <v>60</v>
      </c>
      <c r="B1" s="1088"/>
      <c r="C1" s="1088"/>
      <c r="D1" s="1088"/>
      <c r="E1" s="1088"/>
      <c r="F1" s="1088"/>
      <c r="G1" s="1088"/>
      <c r="H1" s="1088"/>
      <c r="I1" s="1088"/>
      <c r="J1" s="1088"/>
      <c r="K1" s="1088"/>
    </row>
    <row r="2" spans="1:14">
      <c r="A2"/>
      <c r="B2"/>
      <c r="C2"/>
      <c r="D2"/>
      <c r="E2"/>
      <c r="F2"/>
      <c r="G2"/>
      <c r="H2"/>
      <c r="I2"/>
      <c r="J2"/>
      <c r="K2"/>
    </row>
    <row r="3" spans="1:14">
      <c r="A3"/>
      <c r="B3" s="1" t="s">
        <v>829</v>
      </c>
      <c r="C3"/>
      <c r="D3" s="73">
        <f>Application!B29</f>
        <v>0</v>
      </c>
      <c r="E3"/>
      <c r="F3"/>
      <c r="G3"/>
      <c r="H3"/>
      <c r="I3"/>
      <c r="J3"/>
      <c r="K3" s="1"/>
    </row>
    <row r="4" spans="1:14">
      <c r="A4"/>
      <c r="B4" s="1" t="s">
        <v>215</v>
      </c>
      <c r="C4"/>
      <c r="D4" s="73">
        <f>Application!B6</f>
        <v>0</v>
      </c>
      <c r="E4"/>
      <c r="F4"/>
      <c r="G4"/>
      <c r="H4"/>
      <c r="I4"/>
      <c r="J4"/>
      <c r="K4" s="1"/>
    </row>
    <row r="5" spans="1:14">
      <c r="A5"/>
      <c r="B5" s="1" t="s">
        <v>221</v>
      </c>
      <c r="C5"/>
      <c r="D5" s="73">
        <f>Application!B10</f>
        <v>0</v>
      </c>
      <c r="E5"/>
      <c r="F5"/>
      <c r="G5"/>
      <c r="H5"/>
      <c r="I5"/>
      <c r="J5"/>
      <c r="K5" s="1"/>
    </row>
    <row r="6" spans="1:14">
      <c r="A6"/>
      <c r="B6" s="1" t="s">
        <v>224</v>
      </c>
      <c r="C6"/>
      <c r="D6" s="73">
        <f>Application!B13</f>
        <v>0</v>
      </c>
      <c r="E6"/>
      <c r="F6"/>
      <c r="G6"/>
      <c r="H6"/>
      <c r="I6" s="1"/>
      <c r="J6" s="152"/>
      <c r="K6" s="1"/>
    </row>
    <row r="7" spans="1:14" ht="15" thickBot="1">
      <c r="A7" s="297"/>
      <c r="B7" s="297"/>
      <c r="C7" s="297"/>
      <c r="D7" s="297"/>
      <c r="E7" s="297"/>
      <c r="F7" s="297"/>
      <c r="G7" s="297"/>
      <c r="H7" s="297"/>
      <c r="I7" s="297"/>
      <c r="J7" s="297"/>
      <c r="K7" s="298"/>
    </row>
    <row r="8" spans="1:14">
      <c r="A8" s="1088" t="s">
        <v>4434</v>
      </c>
      <c r="B8" s="1088"/>
      <c r="C8" s="1088"/>
      <c r="D8" s="1088"/>
      <c r="E8" s="1088"/>
      <c r="F8" s="1088"/>
      <c r="G8" s="1088"/>
      <c r="H8" s="1088"/>
      <c r="I8" s="1088"/>
      <c r="J8" s="1088"/>
      <c r="K8" s="1088"/>
    </row>
    <row r="10" spans="1:14" ht="15" customHeight="1">
      <c r="A10" s="1"/>
      <c r="B10" s="1" t="s">
        <v>830</v>
      </c>
      <c r="D10" s="152">
        <f>Calculations!F3</f>
        <v>0</v>
      </c>
      <c r="J10" s="1"/>
    </row>
    <row r="11" spans="1:14" ht="15" customHeight="1">
      <c r="B11" s="1" t="s">
        <v>831</v>
      </c>
      <c r="D11" s="308" t="str">
        <f>Calculations!F4</f>
        <v/>
      </c>
      <c r="J11" s="1"/>
    </row>
    <row r="12" spans="1:14" ht="15" customHeight="1">
      <c r="B12" s="84"/>
      <c r="D12" s="153"/>
      <c r="J12" s="1"/>
    </row>
    <row r="13" spans="1:14">
      <c r="A13" s="1088" t="s">
        <v>832</v>
      </c>
      <c r="B13" s="1088"/>
      <c r="C13" s="1088"/>
      <c r="D13" s="1088"/>
      <c r="E13" s="1088"/>
      <c r="F13" s="1088"/>
      <c r="G13" s="1088"/>
      <c r="H13" s="1088"/>
      <c r="I13" s="1088"/>
      <c r="J13" s="1088"/>
      <c r="K13" s="1088"/>
    </row>
    <row r="14" spans="1:14" ht="15" customHeight="1">
      <c r="A14" s="154" t="s">
        <v>833</v>
      </c>
      <c r="B14" s="154"/>
      <c r="C14" s="154"/>
      <c r="D14" s="154"/>
      <c r="E14" s="154"/>
      <c r="F14" s="154"/>
      <c r="G14" s="154"/>
      <c r="H14" s="154"/>
      <c r="I14" s="154"/>
      <c r="J14" s="154"/>
      <c r="K14" s="154"/>
    </row>
    <row r="15" spans="1:14" ht="45" customHeight="1">
      <c r="B15" s="84" t="str">
        <f>Calculations!C300</f>
        <v/>
      </c>
      <c r="C15" s="155"/>
      <c r="D15" s="155"/>
      <c r="F15" s="156" t="s">
        <v>834</v>
      </c>
      <c r="G15" s="156" t="s">
        <v>835</v>
      </c>
      <c r="H15" s="156" t="s">
        <v>836</v>
      </c>
      <c r="I15" s="156" t="s">
        <v>837</v>
      </c>
      <c r="J15" s="156" t="s">
        <v>838</v>
      </c>
      <c r="L15" s="18"/>
      <c r="M15"/>
    </row>
    <row r="16" spans="1:14" ht="15" customHeight="1">
      <c r="B16" s="1095" t="str">
        <f>Calculations!L44</f>
        <v xml:space="preserve">  </v>
      </c>
      <c r="C16" s="1095"/>
      <c r="D16" s="1095"/>
      <c r="F16" s="157">
        <f>Calculations!D300</f>
        <v>0.6</v>
      </c>
      <c r="G16" s="244">
        <f>Calculations!E300</f>
        <v>0</v>
      </c>
      <c r="H16" s="245">
        <f>Calculations!G300</f>
        <v>0</v>
      </c>
      <c r="I16" s="244">
        <f>Calculations!F300</f>
        <v>50</v>
      </c>
      <c r="J16" s="244">
        <f>Calculations!B300</f>
        <v>0</v>
      </c>
      <c r="L16" s="18"/>
      <c r="N16"/>
    </row>
    <row r="17" spans="1:13">
      <c r="B17" s="1095"/>
      <c r="C17" s="1095"/>
      <c r="D17" s="1095"/>
      <c r="F17" s="157">
        <f>Calculations!D301</f>
        <v>0.5</v>
      </c>
      <c r="G17" s="244">
        <f>Calculations!E301</f>
        <v>0</v>
      </c>
      <c r="H17" s="245">
        <f>Calculations!G301</f>
        <v>0</v>
      </c>
      <c r="I17" s="244">
        <f>Calculations!F301</f>
        <v>72.5</v>
      </c>
      <c r="J17" s="244">
        <f>Calculations!B301</f>
        <v>0</v>
      </c>
    </row>
    <row r="18" spans="1:13">
      <c r="B18" s="1095"/>
      <c r="C18" s="1095"/>
      <c r="D18" s="1095"/>
      <c r="F18" s="157">
        <f>Calculations!D302</f>
        <v>0.4</v>
      </c>
      <c r="G18" s="244">
        <f>Calculations!E302</f>
        <v>0</v>
      </c>
      <c r="H18" s="245">
        <f>Calculations!G302</f>
        <v>0</v>
      </c>
      <c r="I18" s="244">
        <f>Calculations!F302</f>
        <v>92.5</v>
      </c>
      <c r="J18" s="244">
        <f>Calculations!B302</f>
        <v>0</v>
      </c>
    </row>
    <row r="19" spans="1:13" ht="75" customHeight="1">
      <c r="B19" s="1096" t="s">
        <v>839</v>
      </c>
      <c r="C19" s="1096"/>
      <c r="D19" s="1096"/>
      <c r="F19" s="157"/>
      <c r="G19" s="158"/>
      <c r="H19" s="159"/>
      <c r="I19" s="158"/>
      <c r="J19" s="158"/>
    </row>
    <row r="20" spans="1:13" ht="15" customHeight="1">
      <c r="B20" s="160" t="s">
        <v>840</v>
      </c>
      <c r="C20" s="161"/>
      <c r="D20" s="84"/>
      <c r="F20" s="157">
        <f>Calculations!A35</f>
        <v>0.3</v>
      </c>
      <c r="G20" s="158">
        <f>Calculations!H35</f>
        <v>0</v>
      </c>
      <c r="H20" s="590">
        <f>Calculations!G304</f>
        <v>0</v>
      </c>
      <c r="I20" s="158"/>
      <c r="J20" s="158">
        <f>Calculations!B304</f>
        <v>0</v>
      </c>
      <c r="L20" s="18"/>
    </row>
    <row r="21" spans="1:13" ht="15" customHeight="1">
      <c r="B21" s="160" t="s">
        <v>841</v>
      </c>
      <c r="C21" s="161"/>
      <c r="D21" s="162"/>
      <c r="J21" s="246">
        <f>Calculations!B303</f>
        <v>0</v>
      </c>
      <c r="L21" s="18"/>
    </row>
    <row r="22" spans="1:13">
      <c r="J22" s="1"/>
    </row>
    <row r="23" spans="1:13">
      <c r="B23" s="1" t="s">
        <v>512</v>
      </c>
      <c r="J23" s="163" t="s">
        <v>838</v>
      </c>
    </row>
    <row r="24" spans="1:13">
      <c r="B24" s="164" t="str">
        <f>Calculations!C305</f>
        <v/>
      </c>
      <c r="C24" s="84"/>
      <c r="D24" s="84"/>
      <c r="E24" s="84"/>
      <c r="F24" s="84"/>
      <c r="G24" s="84"/>
      <c r="H24" s="84"/>
      <c r="I24" s="84"/>
      <c r="J24" s="158">
        <f>Calculations!B305</f>
        <v>0</v>
      </c>
      <c r="M24"/>
    </row>
    <row r="25" spans="1:13">
      <c r="B25" s="1"/>
      <c r="J25" s="1"/>
    </row>
    <row r="26" spans="1:13">
      <c r="B26" s="1" t="s">
        <v>842</v>
      </c>
      <c r="J26" s="163" t="s">
        <v>838</v>
      </c>
    </row>
    <row r="27" spans="1:13" ht="42.9" customHeight="1">
      <c r="B27" s="1089" t="str">
        <f>Scoring!A14</f>
        <v>Development is located in a qualified census tract, the development of which contributes to a concerted Community Revitalization Plan. (A community revitalization plan is defined in Section 5.A.3 of the Allocation Plan for CHFA requirements under this Criteria)</v>
      </c>
      <c r="C27" s="1089"/>
      <c r="D27" s="1089"/>
      <c r="E27" s="1089"/>
      <c r="F27" s="1089"/>
      <c r="G27" s="1089"/>
      <c r="H27" s="1089"/>
      <c r="I27" s="1089"/>
      <c r="J27" s="158">
        <f>Calculations!B306</f>
        <v>0</v>
      </c>
    </row>
    <row r="28" spans="1:13" ht="15" customHeight="1">
      <c r="B28" s="165"/>
      <c r="C28" s="165"/>
      <c r="D28" s="165"/>
      <c r="E28" s="165"/>
      <c r="J28" s="158"/>
    </row>
    <row r="29" spans="1:13">
      <c r="A29" s="154" t="s">
        <v>843</v>
      </c>
      <c r="B29" s="154"/>
      <c r="C29" s="154"/>
      <c r="D29" s="154"/>
      <c r="E29" s="154"/>
      <c r="F29" s="154"/>
      <c r="G29" s="154"/>
      <c r="H29" s="154"/>
      <c r="I29" s="154"/>
      <c r="J29" s="154"/>
      <c r="K29" s="154"/>
    </row>
    <row r="30" spans="1:13" ht="15" customHeight="1"/>
    <row r="31" spans="1:13" ht="15" customHeight="1">
      <c r="B31" s="1" t="s">
        <v>844</v>
      </c>
      <c r="J31" s="163" t="s">
        <v>838</v>
      </c>
    </row>
    <row r="32" spans="1:13" ht="15" customHeight="1">
      <c r="B32" s="166" t="s">
        <v>845</v>
      </c>
      <c r="C32" s="166"/>
      <c r="D32" s="166"/>
      <c r="E32" s="166"/>
      <c r="F32" s="166"/>
      <c r="J32" s="158">
        <f>Calculations!B307</f>
        <v>0</v>
      </c>
    </row>
    <row r="33" spans="2:13" ht="15" customHeight="1">
      <c r="B33" s="160" t="s">
        <v>846</v>
      </c>
      <c r="C33" s="161"/>
      <c r="D33" s="161"/>
      <c r="E33" s="161"/>
      <c r="F33" s="161"/>
      <c r="G33" s="169"/>
      <c r="H33" s="169"/>
      <c r="I33" s="169"/>
      <c r="J33" s="167">
        <f>Calculations!B310</f>
        <v>0</v>
      </c>
    </row>
    <row r="34" spans="2:13" ht="15" customHeight="1">
      <c r="J34" s="167"/>
    </row>
    <row r="35" spans="2:13" ht="15" customHeight="1">
      <c r="B35" s="1" t="s">
        <v>847</v>
      </c>
      <c r="J35" s="163" t="s">
        <v>838</v>
      </c>
    </row>
    <row r="36" spans="2:13" ht="47.25" customHeight="1">
      <c r="B36" s="1090" t="str">
        <f>Scoring!A20</f>
        <v xml:space="preserve">Development is located in a community that has an identified community affordable housing priority. Applicant must provide evidence, clearly demonstrating the project fits into the community's needs.
</v>
      </c>
      <c r="C36" s="1090"/>
      <c r="D36" s="1090"/>
      <c r="E36" s="1090"/>
      <c r="F36" s="1090"/>
      <c r="G36" s="1090"/>
      <c r="H36" s="1090"/>
      <c r="I36" s="1090"/>
      <c r="J36" s="158">
        <f>Calculations!B311</f>
        <v>0</v>
      </c>
      <c r="M36"/>
    </row>
    <row r="37" spans="2:13" ht="50.25" customHeight="1">
      <c r="B37" s="1090" t="str">
        <f>Scoring!A21</f>
        <v>Development be located at an existing or planned Transit Oriented Design (TOD) site, which is defined as that which is within a half-mile walk distance of transit corridors with easy access to job center. Housing proposal should maximize allowable density at TOD site.</v>
      </c>
      <c r="C37" s="1090"/>
      <c r="D37" s="1090"/>
      <c r="E37" s="1090"/>
      <c r="F37" s="1090"/>
      <c r="G37" s="1090"/>
      <c r="H37" s="1090"/>
      <c r="I37" s="1090"/>
      <c r="J37" s="158">
        <f>Calculations!B312</f>
        <v>0</v>
      </c>
      <c r="M37"/>
    </row>
    <row r="38" spans="2:13" ht="15" customHeight="1"/>
    <row r="39" spans="2:13" ht="15" customHeight="1">
      <c r="B39" s="1" t="s">
        <v>516</v>
      </c>
      <c r="J39" s="163" t="s">
        <v>838</v>
      </c>
    </row>
    <row r="40" spans="2:13" ht="15" customHeight="1">
      <c r="B40" s="1090" t="str">
        <f>Scoring!A24</f>
        <v>Development that provides housing for a mix of incomes by having no more than 80% tax credit-eligible total units.</v>
      </c>
      <c r="C40" s="1090"/>
      <c r="D40" s="1090"/>
      <c r="E40" s="1090"/>
      <c r="F40" s="1090"/>
      <c r="G40" s="1090"/>
      <c r="H40" s="1090"/>
      <c r="I40" s="1090"/>
      <c r="J40" s="158">
        <f>Calculations!B313</f>
        <v>0</v>
      </c>
    </row>
    <row r="41" spans="2:13" ht="15" customHeight="1">
      <c r="B41" s="168" t="str">
        <f>Scoring!A25</f>
        <v>Developments located in non Metro counties that have a population of 180,000 or less.</v>
      </c>
      <c r="C41" s="169"/>
      <c r="D41" s="169"/>
      <c r="E41" s="169"/>
      <c r="F41" s="169"/>
      <c r="G41" s="169"/>
      <c r="H41" s="169"/>
      <c r="I41" s="169"/>
      <c r="J41" s="158">
        <f>Calculations!B314</f>
        <v>0</v>
      </c>
    </row>
    <row r="42" spans="2:13" ht="30" customHeight="1">
      <c r="B42" s="1091" t="str">
        <f>Scoring!A26</f>
        <v>Rehabilitation of blighted buildings or locally or federally designated historic structures. See Section 5.B.3.c. of the Allocation Plan for the definition of "blighted buildings".</v>
      </c>
      <c r="C42" s="1092"/>
      <c r="D42" s="1092"/>
      <c r="E42" s="1092"/>
      <c r="F42" s="1092"/>
      <c r="G42" s="1092"/>
      <c r="H42" s="1092"/>
      <c r="I42" s="1092"/>
      <c r="J42" s="158">
        <f>Calculations!B315</f>
        <v>0</v>
      </c>
    </row>
    <row r="43" spans="2:13" ht="30" customHeight="1">
      <c r="B43" s="1092" t="str">
        <f>Scoring!A27</f>
        <v>Acquisition/ Rehabilitation of a Preservation Development. See Section 5.B.3.d. of the Allocation Plan for the definition of a "Preservation Development".</v>
      </c>
      <c r="C43" s="1092"/>
      <c r="D43" s="1092"/>
      <c r="E43" s="1092"/>
      <c r="F43" s="1092"/>
      <c r="G43" s="1092"/>
      <c r="H43" s="1092"/>
      <c r="I43" s="1092"/>
      <c r="J43" s="158">
        <f>Calculations!B316</f>
        <v>0</v>
      </c>
    </row>
    <row r="44" spans="2:13" ht="32.25" customHeight="1">
      <c r="B44" s="1092" t="str">
        <f>Scoring!A28</f>
        <v>No Smoking Policy. Projects that will institute a no smoking policy for 100% of the project, which includes anywhere inside the building or on the grounds of the property. The policy needs to be provided at the time of application.</v>
      </c>
      <c r="C44" s="1092"/>
      <c r="D44" s="1092"/>
      <c r="E44" s="1092"/>
      <c r="F44" s="1092"/>
      <c r="G44" s="1092"/>
      <c r="H44" s="1092"/>
      <c r="I44" s="1092"/>
      <c r="J44" s="158">
        <f>Calculations!B317</f>
        <v>0</v>
      </c>
    </row>
    <row r="45" spans="2:13" ht="48.75" customHeight="1">
      <c r="B45" s="1092" t="str">
        <f>Scoring!A29</f>
        <v>Developments maximizing construction efficiency by utilizing modular or factory-built construction, prefabricated components. Applicants must provide supporting documentation detailing modular boxes or type of components, delivery, installation and any cost savings.</v>
      </c>
      <c r="C45" s="1092"/>
      <c r="D45" s="1092"/>
      <c r="E45" s="1092"/>
      <c r="F45" s="1092"/>
      <c r="G45" s="1092"/>
      <c r="H45" s="1092"/>
      <c r="I45" s="1092"/>
      <c r="J45" s="158">
        <f>Calculations!B318</f>
        <v>0</v>
      </c>
    </row>
    <row r="46" spans="2:13" ht="37.5" customHeight="1">
      <c r="B46" s="1092" t="str">
        <f>Scoring!A30</f>
        <v>Developments utilizing Universal Design or providing accessible units which total at least five percent of the project’s total units. Applicants must provide details in supporting documentation.</v>
      </c>
      <c r="C46" s="1092"/>
      <c r="D46" s="1092"/>
      <c r="E46" s="1092"/>
      <c r="F46" s="1092"/>
      <c r="G46" s="1092"/>
      <c r="H46" s="1092"/>
      <c r="I46" s="1092"/>
      <c r="J46" s="158">
        <f>Calculations!B319</f>
        <v>0</v>
      </c>
    </row>
    <row r="47" spans="2:13" ht="91.5" customHeight="1">
      <c r="B47" s="1092" t="str">
        <f>Scoring!A31</f>
        <v>Projects that are pet-inclusive allowing one or more pet animals, defined as a dog or cat that is commonly kept in the home as a companionship rather than for commercial purposes, and within allowable reasonable conditions as defined in CRS 24-32-735 (c)(I) and (II), applicable state and local laws governing public health, animal control, and anti-cruelty, and applicable conditions adopted by the authority.  Pet inclusive practices do not limit or affect other laws that require reasonable accommodations to be made for an individual with a disability who maintains an animal to provide assistance, service, or support.  </v>
      </c>
      <c r="C47" s="1092"/>
      <c r="D47" s="1092"/>
      <c r="E47" s="1092"/>
      <c r="F47" s="1092"/>
      <c r="G47" s="1092"/>
      <c r="H47" s="1092"/>
      <c r="I47" s="1092"/>
      <c r="J47" s="158">
        <f>Calculations!B320</f>
        <v>0</v>
      </c>
    </row>
    <row r="48" spans="2:13" ht="15" customHeight="1">
      <c r="J48" s="158"/>
    </row>
    <row r="49" spans="1:12" ht="15" customHeight="1">
      <c r="B49" s="1" t="s">
        <v>522</v>
      </c>
      <c r="J49" s="163" t="s">
        <v>838</v>
      </c>
    </row>
    <row r="50" spans="1:12" ht="75.599999999999994" customHeight="1">
      <c r="B50" s="1090" t="str">
        <f>Scoring!A34</f>
        <v>Applicant is a 501(c)(3) or 501(c)(4) tax-exempt organization having an express purpose of fostering low-income housing or a Colorado public housing authority. The applicant is the one and only owner of the development and will remain as the one and only general partner (either itself or through its or a related subsidiary). The applicant will, from the time of application through the compliance period, materially participate in the development and operation of the development. The applicant is required to complete the nonprofit questions beginning on row 100 of the Contact Information tab.</v>
      </c>
      <c r="C50" s="1090"/>
      <c r="D50" s="1090"/>
      <c r="E50" s="1090"/>
      <c r="F50" s="1090"/>
      <c r="G50" s="1090"/>
      <c r="H50" s="1090"/>
      <c r="I50" s="1090"/>
      <c r="J50" s="158">
        <f>Calculations!B321</f>
        <v>0</v>
      </c>
    </row>
    <row r="51" spans="1:12" ht="15" customHeight="1">
      <c r="J51" s="158"/>
    </row>
    <row r="52" spans="1:12" ht="15" customHeight="1">
      <c r="B52" s="1" t="s">
        <v>524</v>
      </c>
      <c r="J52" s="163" t="s">
        <v>838</v>
      </c>
    </row>
    <row r="53" spans="1:12" s="155" customFormat="1" ht="27" customHeight="1">
      <c r="A53" s="88"/>
      <c r="B53" s="1090" t="str">
        <f>Scoring!A37</f>
        <v>Projects serving Persons experiencing Homelessness or Special Populations. See Section 5.B.5 of the Allocation Plan for the definition and required documentation.</v>
      </c>
      <c r="C53" s="1090"/>
      <c r="D53" s="1090"/>
      <c r="E53" s="1090"/>
      <c r="F53" s="1090"/>
      <c r="G53" s="1090"/>
      <c r="H53" s="1090"/>
      <c r="I53" s="1090"/>
      <c r="J53" s="158">
        <f>Calculations!B322</f>
        <v>15</v>
      </c>
    </row>
    <row r="54" spans="1:12" ht="15" customHeight="1">
      <c r="B54" s="170"/>
      <c r="C54" s="170"/>
      <c r="D54" s="170"/>
      <c r="E54" s="170"/>
      <c r="F54" s="170"/>
      <c r="G54" s="170"/>
      <c r="H54" s="170"/>
      <c r="J54" s="158"/>
    </row>
    <row r="55" spans="1:12" ht="15" customHeight="1">
      <c r="B55" s="1" t="s">
        <v>848</v>
      </c>
      <c r="C55" s="170"/>
      <c r="D55" s="170"/>
      <c r="E55" s="170"/>
      <c r="F55" s="170"/>
      <c r="G55" s="170"/>
      <c r="H55" s="170"/>
      <c r="J55" s="163" t="s">
        <v>838</v>
      </c>
    </row>
    <row r="56" spans="1:12" ht="15" customHeight="1">
      <c r="B56" s="1090" t="str">
        <f>Scoring!A40</f>
        <v>Housing Authority Waitlist</v>
      </c>
      <c r="C56" s="1090"/>
      <c r="D56" s="1090"/>
      <c r="E56" s="1090"/>
      <c r="F56" s="1090"/>
      <c r="G56" s="1090"/>
      <c r="H56" s="1090"/>
      <c r="J56" s="158">
        <f>Calculations!B323</f>
        <v>0</v>
      </c>
    </row>
    <row r="57" spans="1:12" ht="15" customHeight="1">
      <c r="B57" s="170"/>
      <c r="C57" s="170"/>
      <c r="D57" s="170"/>
      <c r="E57" s="170"/>
      <c r="F57" s="170"/>
      <c r="G57" s="170"/>
      <c r="H57" s="170"/>
      <c r="J57" s="163" t="s">
        <v>849</v>
      </c>
    </row>
    <row r="58" spans="1:12" ht="15" customHeight="1">
      <c r="B58" s="171" t="s">
        <v>849</v>
      </c>
      <c r="C58" s="170"/>
      <c r="D58" s="170"/>
      <c r="E58" s="170"/>
      <c r="F58" s="170"/>
      <c r="G58" s="170"/>
      <c r="H58" s="170"/>
      <c r="J58" s="247">
        <f>Calculations!B324</f>
        <v>15</v>
      </c>
    </row>
    <row r="59" spans="1:12" ht="15" customHeight="1">
      <c r="B59" s="171"/>
      <c r="C59" s="170"/>
      <c r="D59" s="170"/>
      <c r="E59" s="170"/>
      <c r="F59" s="170"/>
      <c r="G59" s="170"/>
      <c r="H59" s="170"/>
      <c r="J59" s="163"/>
    </row>
    <row r="60" spans="1:12" customFormat="1">
      <c r="A60" s="1088" t="s">
        <v>850</v>
      </c>
      <c r="B60" s="1088"/>
      <c r="C60" s="1088"/>
      <c r="D60" s="1088"/>
      <c r="E60" s="1088"/>
      <c r="F60" s="1088"/>
      <c r="G60" s="1088"/>
      <c r="H60" s="1088"/>
      <c r="I60" s="1088"/>
      <c r="J60" s="1088"/>
      <c r="K60" s="1088"/>
    </row>
    <row r="61" spans="1:12" s="9" customFormat="1">
      <c r="A61" s="172"/>
      <c r="B61" s="173" t="s">
        <v>851</v>
      </c>
      <c r="C61" s="172"/>
      <c r="D61" s="172"/>
      <c r="E61" s="172"/>
      <c r="F61" s="174" t="s">
        <v>852</v>
      </c>
      <c r="G61" s="174" t="s">
        <v>124</v>
      </c>
      <c r="H61" s="174" t="str">
        <f>IF(Calculations!$B$12, "TOC Credit", "")</f>
        <v/>
      </c>
      <c r="I61" s="172"/>
      <c r="J61" s="172"/>
      <c r="K61" s="172"/>
    </row>
    <row r="62" spans="1:12" customFormat="1">
      <c r="B62" s="164" t="s">
        <v>853</v>
      </c>
      <c r="F62" s="149">
        <f>Calculations!B445</f>
        <v>0</v>
      </c>
      <c r="G62" s="149" t="str">
        <f>Calculations!D445</f>
        <v/>
      </c>
      <c r="H62" s="149" t="str">
        <f>IF(Calculations!$B$12, Calculations!D445, "")</f>
        <v/>
      </c>
      <c r="L62" s="18"/>
    </row>
    <row r="63" spans="1:12" customFormat="1">
      <c r="B63" s="164" t="s">
        <v>854</v>
      </c>
      <c r="F63" s="149" t="e">
        <f>Calculations!B446</f>
        <v>#N/A</v>
      </c>
      <c r="G63" s="149" t="str">
        <f>Calculations!D446</f>
        <v/>
      </c>
      <c r="H63" s="149" t="str">
        <f>IF(Calculations!$B$12, Calculations!D446, "")</f>
        <v/>
      </c>
    </row>
    <row r="64" spans="1:12" customFormat="1">
      <c r="B64" s="164" t="s">
        <v>855</v>
      </c>
      <c r="F64" s="149">
        <f>Calculations!B447</f>
        <v>0</v>
      </c>
      <c r="G64" s="149" t="str">
        <f>Calculations!D447</f>
        <v/>
      </c>
      <c r="H64" s="149" t="str">
        <f>IF(Calculations!$B$12, Calculations!D447, "")</f>
        <v/>
      </c>
      <c r="I64" s="10" t="s">
        <v>856</v>
      </c>
    </row>
    <row r="65" spans="1:11" customFormat="1">
      <c r="D65" s="147"/>
      <c r="E65" s="127" t="s">
        <v>857</v>
      </c>
      <c r="F65" s="146" t="e">
        <f>Calculations!B448</f>
        <v>#N/A</v>
      </c>
      <c r="G65" s="146" t="str">
        <f>Calculations!D448</f>
        <v/>
      </c>
      <c r="H65" s="146" t="str">
        <f>IF(Calculations!$B$12, Calculations!D448, "")</f>
        <v/>
      </c>
    </row>
    <row r="66" spans="1:11" customFormat="1">
      <c r="B66" s="504" t="s">
        <v>858</v>
      </c>
      <c r="E66" s="121"/>
      <c r="F66" s="149"/>
    </row>
    <row r="67" spans="1:11" customFormat="1">
      <c r="B67" s="164" t="s">
        <v>859</v>
      </c>
      <c r="E67" s="121"/>
      <c r="F67" s="175">
        <f>Calculations!B460</f>
        <v>1</v>
      </c>
      <c r="G67" s="271" t="str">
        <f>Calculations!C520</f>
        <v/>
      </c>
      <c r="H67" s="271" t="str">
        <f>IF(Calculations!$B$12, Calculations!C520, "")</f>
        <v/>
      </c>
    </row>
    <row r="68" spans="1:11" customFormat="1">
      <c r="B68" s="164" t="s">
        <v>860</v>
      </c>
      <c r="E68" s="121"/>
      <c r="F68" s="176">
        <f>Calculations!B462</f>
        <v>0</v>
      </c>
      <c r="G68" s="176" t="str">
        <f>Calculations!C522</f>
        <v/>
      </c>
      <c r="H68" s="176" t="str">
        <f>IF(Calculations!$B$12, Calculations!C522, "")</f>
        <v/>
      </c>
    </row>
    <row r="69" spans="1:11" customFormat="1">
      <c r="B69" s="164" t="s">
        <v>861</v>
      </c>
      <c r="E69" s="121"/>
      <c r="F69" s="177">
        <f>Calculations!B464</f>
        <v>0.04</v>
      </c>
      <c r="G69" s="177" t="str">
        <f>Calculations!C524</f>
        <v/>
      </c>
      <c r="H69" s="177" t="str">
        <f>IF(Calculations!$B$12, Calculations!C574, "")</f>
        <v/>
      </c>
    </row>
    <row r="70" spans="1:11" customFormat="1">
      <c r="D70" s="147"/>
      <c r="E70" s="127" t="s">
        <v>862</v>
      </c>
      <c r="F70" s="146" t="e">
        <f>Calculations!B474</f>
        <v>#N/A</v>
      </c>
      <c r="G70" s="268" t="str">
        <f>Calculations!C527</f>
        <v/>
      </c>
      <c r="H70" s="268" t="str">
        <f>IF(Calculations!$B$12, Calculations!C577, "")</f>
        <v/>
      </c>
    </row>
    <row r="71" spans="1:11" customFormat="1">
      <c r="E71" s="121"/>
      <c r="F71" s="149"/>
    </row>
    <row r="72" spans="1:11" customFormat="1">
      <c r="A72" s="172"/>
      <c r="B72" s="173" t="s">
        <v>863</v>
      </c>
      <c r="C72" s="172"/>
      <c r="D72" s="172"/>
      <c r="E72" s="172"/>
      <c r="F72" s="174" t="s">
        <v>852</v>
      </c>
      <c r="G72" s="174" t="s">
        <v>124</v>
      </c>
      <c r="H72" s="174" t="str">
        <f>IF(Calculations!$B$12, "TOC Credit", "")</f>
        <v/>
      </c>
      <c r="I72" s="172"/>
      <c r="J72" s="172"/>
      <c r="K72" s="172"/>
    </row>
    <row r="73" spans="1:11" customFormat="1">
      <c r="B73" s="164" t="s">
        <v>864</v>
      </c>
      <c r="F73" s="148">
        <f>Calculations!B477</f>
        <v>0</v>
      </c>
      <c r="G73" s="148" t="str">
        <f>Calculations!C530</f>
        <v/>
      </c>
      <c r="H73" s="148" t="str">
        <f>Calculations!C580</f>
        <v/>
      </c>
    </row>
    <row r="74" spans="1:11" customFormat="1">
      <c r="B74" s="164" t="s">
        <v>4104</v>
      </c>
      <c r="F74" s="148"/>
      <c r="G74" s="148" t="str">
        <f>IFERROR(-1*Calculations!C532,"")</f>
        <v/>
      </c>
      <c r="H74" s="148"/>
    </row>
    <row r="75" spans="1:11" customFormat="1">
      <c r="B75" s="164" t="s">
        <v>865</v>
      </c>
      <c r="F75" s="148">
        <f>-1*Calculations!B478</f>
        <v>0</v>
      </c>
      <c r="G75" s="148" t="str">
        <f>IFERROR(-1*Calculations!C531,"")</f>
        <v/>
      </c>
      <c r="H75" s="148" t="str">
        <f>Calculations!C581</f>
        <v/>
      </c>
    </row>
    <row r="76" spans="1:11" customFormat="1">
      <c r="B76" s="1"/>
      <c r="D76" s="147"/>
      <c r="E76" s="127" t="s">
        <v>866</v>
      </c>
      <c r="F76" s="146">
        <f>Calculations!B479</f>
        <v>0</v>
      </c>
      <c r="G76" s="146" t="str">
        <f>Calculations!C533</f>
        <v/>
      </c>
      <c r="H76" s="146" t="str">
        <f>Calculations!C583</f>
        <v/>
      </c>
    </row>
    <row r="77" spans="1:11" customFormat="1">
      <c r="B77" s="504" t="s">
        <v>867</v>
      </c>
      <c r="E77" s="121"/>
      <c r="F77" s="149"/>
      <c r="G77" s="149"/>
      <c r="H77" s="149"/>
    </row>
    <row r="78" spans="1:11" customFormat="1">
      <c r="B78" s="164" t="s">
        <v>868</v>
      </c>
      <c r="E78" s="121"/>
      <c r="F78" s="269">
        <f>Calculations!B480</f>
        <v>0</v>
      </c>
      <c r="G78" s="269" t="str">
        <f>Calculations!C534</f>
        <v/>
      </c>
      <c r="H78" s="269" t="str">
        <f>Calculations!C584</f>
        <v/>
      </c>
    </row>
    <row r="79" spans="1:11" customFormat="1">
      <c r="D79" s="147"/>
      <c r="E79" s="127" t="s">
        <v>869</v>
      </c>
      <c r="F79" s="146">
        <f>Calculations!B481</f>
        <v>0</v>
      </c>
      <c r="G79" s="146" t="str">
        <f>Calculations!C535</f>
        <v/>
      </c>
      <c r="H79" s="146" t="str">
        <f>Calculations!C585</f>
        <v/>
      </c>
    </row>
    <row r="80" spans="1:11" customFormat="1"/>
    <row r="81" spans="1:11" customFormat="1">
      <c r="A81" s="172"/>
      <c r="B81" s="173" t="s">
        <v>870</v>
      </c>
      <c r="C81" s="172"/>
      <c r="D81" s="172"/>
      <c r="E81" s="172"/>
      <c r="F81" s="174" t="s">
        <v>852</v>
      </c>
      <c r="G81" s="174" t="s">
        <v>124</v>
      </c>
      <c r="H81" s="174" t="str">
        <f>IF(Calculations!$B$12, "TOC Credit", "")</f>
        <v/>
      </c>
      <c r="I81" s="172"/>
      <c r="J81" s="172"/>
      <c r="K81" s="172"/>
    </row>
    <row r="82" spans="1:11" customFormat="1">
      <c r="A82" s="150"/>
      <c r="B82" s="178" t="s">
        <v>871</v>
      </c>
      <c r="C82" s="178" t="s">
        <v>872</v>
      </c>
      <c r="D82" s="101" t="s">
        <v>873</v>
      </c>
      <c r="E82" s="178"/>
      <c r="F82" s="179" t="s">
        <v>874</v>
      </c>
      <c r="G82" s="179" t="s">
        <v>874</v>
      </c>
      <c r="H82" s="179" t="str">
        <f>IF(Calculations!$B$12, "Cost Basis", "")</f>
        <v/>
      </c>
    </row>
    <row r="83" spans="1:11" customFormat="1">
      <c r="B83" s="150" t="str">
        <f>Calculations!A489</f>
        <v>0 bedroom</v>
      </c>
      <c r="C83" s="150">
        <f>Calculations!B489</f>
        <v>0</v>
      </c>
      <c r="D83" s="149">
        <f>Calculations!D489</f>
        <v>0</v>
      </c>
      <c r="F83" s="149">
        <f>Calculations!E489</f>
        <v>0</v>
      </c>
      <c r="G83" s="149" t="str">
        <f>Calculations!F543</f>
        <v/>
      </c>
      <c r="H83" s="149" t="str">
        <f>Calculations!F593</f>
        <v/>
      </c>
    </row>
    <row r="84" spans="1:11" customFormat="1">
      <c r="B84" s="150" t="str">
        <f>Calculations!A490</f>
        <v>1 bedroom</v>
      </c>
      <c r="C84" s="150">
        <f>Calculations!B490</f>
        <v>0</v>
      </c>
      <c r="D84" s="149">
        <f>Calculations!D490</f>
        <v>0</v>
      </c>
      <c r="F84" s="149">
        <f>Calculations!E490</f>
        <v>0</v>
      </c>
      <c r="G84" s="149" t="str">
        <f>Calculations!F544</f>
        <v/>
      </c>
      <c r="H84" s="149" t="str">
        <f>Calculations!F594</f>
        <v/>
      </c>
    </row>
    <row r="85" spans="1:11" customFormat="1">
      <c r="B85" s="150" t="str">
        <f>Calculations!A491</f>
        <v>2 bedroom</v>
      </c>
      <c r="C85" s="150">
        <f>Calculations!B491</f>
        <v>0</v>
      </c>
      <c r="D85" s="149">
        <f>Calculations!D491</f>
        <v>0</v>
      </c>
      <c r="F85" s="149">
        <f>Calculations!E491</f>
        <v>0</v>
      </c>
      <c r="G85" s="149" t="str">
        <f>Calculations!F545</f>
        <v/>
      </c>
      <c r="H85" s="149" t="str">
        <f>Calculations!F595</f>
        <v/>
      </c>
    </row>
    <row r="86" spans="1:11" customFormat="1">
      <c r="B86" s="150" t="str">
        <f>Calculations!A492</f>
        <v>3 bedroom</v>
      </c>
      <c r="C86" s="150">
        <f>Calculations!B492</f>
        <v>0</v>
      </c>
      <c r="D86" s="149">
        <f>Calculations!D492</f>
        <v>0</v>
      </c>
      <c r="F86" s="149">
        <f>Calculations!E492</f>
        <v>0</v>
      </c>
      <c r="G86" s="149" t="str">
        <f>Calculations!F546</f>
        <v/>
      </c>
      <c r="H86" s="149" t="str">
        <f>Calculations!F596</f>
        <v/>
      </c>
    </row>
    <row r="87" spans="1:11" customFormat="1">
      <c r="B87" s="150" t="str">
        <f>Calculations!A493</f>
        <v>4 bedroom</v>
      </c>
      <c r="C87" s="150">
        <f>Calculations!B493</f>
        <v>0</v>
      </c>
      <c r="D87" s="149">
        <f>Calculations!D493</f>
        <v>0</v>
      </c>
      <c r="F87" s="149">
        <f>Calculations!E493</f>
        <v>0</v>
      </c>
      <c r="G87" s="149" t="str">
        <f>Calculations!F547</f>
        <v/>
      </c>
      <c r="H87" s="149" t="str">
        <f>Calculations!F597</f>
        <v/>
      </c>
    </row>
    <row r="88" spans="1:11" customFormat="1">
      <c r="B88" s="150" t="str">
        <f>Calculations!A494</f>
        <v>5 bedroom</v>
      </c>
      <c r="C88" s="150">
        <f>Calculations!B494</f>
        <v>0</v>
      </c>
      <c r="D88" s="149">
        <f>Calculations!D494</f>
        <v>0</v>
      </c>
      <c r="F88" s="149">
        <f>Calculations!E494</f>
        <v>0</v>
      </c>
      <c r="G88" s="149" t="str">
        <f>Calculations!F548</f>
        <v/>
      </c>
      <c r="H88" s="149" t="str">
        <f>Calculations!F598</f>
        <v/>
      </c>
    </row>
    <row r="89" spans="1:11" customFormat="1">
      <c r="B89" s="150"/>
      <c r="C89" s="150"/>
      <c r="D89" s="147"/>
      <c r="E89" s="127" t="s">
        <v>875</v>
      </c>
      <c r="F89" s="146">
        <f>Calculations!E495</f>
        <v>0</v>
      </c>
      <c r="G89" s="146" t="str">
        <f>Calculations!F549</f>
        <v/>
      </c>
      <c r="H89" s="146" t="str">
        <f>Calculations!F599</f>
        <v/>
      </c>
    </row>
    <row r="90" spans="1:11" customFormat="1">
      <c r="B90" s="504" t="s">
        <v>858</v>
      </c>
      <c r="E90" s="121"/>
      <c r="F90" s="149"/>
    </row>
    <row r="91" spans="1:11" customFormat="1">
      <c r="B91" s="164" t="s">
        <v>859</v>
      </c>
      <c r="E91" s="121"/>
      <c r="F91" s="175">
        <f>Calculations!B498</f>
        <v>1</v>
      </c>
      <c r="G91" s="175" t="str">
        <f>Calculations!C552</f>
        <v/>
      </c>
      <c r="H91" s="175" t="str">
        <f>IF(Calculations!$B$565,Calculations!B552, "")</f>
        <v/>
      </c>
    </row>
    <row r="92" spans="1:11" customFormat="1">
      <c r="B92" s="164" t="s">
        <v>860</v>
      </c>
      <c r="E92" s="121"/>
      <c r="F92" s="176">
        <f>Calculations!B499</f>
        <v>0</v>
      </c>
      <c r="G92" s="176" t="str">
        <f>Calculations!C553</f>
        <v/>
      </c>
      <c r="H92" s="176" t="str">
        <f>IF(Calculations!$B$565,Calculations!B553,"")</f>
        <v/>
      </c>
    </row>
    <row r="93" spans="1:11" customFormat="1">
      <c r="B93" s="164" t="s">
        <v>861</v>
      </c>
      <c r="E93" s="121"/>
      <c r="F93" s="177">
        <f>Calculations!B501</f>
        <v>0.04</v>
      </c>
      <c r="G93" s="177" t="str">
        <f>Calculations!C555</f>
        <v/>
      </c>
      <c r="H93" s="177" t="str">
        <f>IF(Calculations!$B$565, Calculations!B555, "")</f>
        <v/>
      </c>
    </row>
    <row r="94" spans="1:11" customFormat="1">
      <c r="D94" s="147"/>
      <c r="E94" s="127" t="s">
        <v>876</v>
      </c>
      <c r="F94" s="146">
        <f>Calculations!B502</f>
        <v>0</v>
      </c>
      <c r="G94" s="146" t="str">
        <f>Calculations!C556</f>
        <v/>
      </c>
      <c r="H94" s="146" t="str">
        <f>IF(Calculations!$B$565, Calculations!B606, "")</f>
        <v/>
      </c>
      <c r="I94" t="str">
        <f>Calculations!D502</f>
        <v/>
      </c>
    </row>
    <row r="95" spans="1:11" customFormat="1">
      <c r="E95" s="121"/>
      <c r="F95" s="149"/>
      <c r="G95" s="149"/>
    </row>
    <row r="96" spans="1:11" customFormat="1">
      <c r="A96" s="172"/>
      <c r="B96" s="173" t="s">
        <v>877</v>
      </c>
      <c r="C96" s="172"/>
      <c r="D96" s="172"/>
      <c r="E96" s="172"/>
      <c r="F96" s="174" t="s">
        <v>852</v>
      </c>
      <c r="G96" s="174" t="s">
        <v>124</v>
      </c>
      <c r="H96" s="174" t="str">
        <f>IF(Calculations!$B$12, "TOC Credit", "")</f>
        <v/>
      </c>
      <c r="I96" s="172"/>
      <c r="J96" s="172"/>
      <c r="K96" s="172"/>
    </row>
    <row r="97" spans="1:13" customFormat="1">
      <c r="E97" s="121" t="s">
        <v>878</v>
      </c>
      <c r="F97" s="149" t="e">
        <f>Calculations!B507</f>
        <v>#N/A</v>
      </c>
      <c r="G97" s="149">
        <f>Calculations!B628</f>
        <v>0</v>
      </c>
      <c r="H97" s="149" t="str">
        <f>IF(Calculations!B12, Calculations!C628, "")</f>
        <v/>
      </c>
    </row>
    <row r="98" spans="1:13" customFormat="1">
      <c r="E98" s="121" t="s">
        <v>879</v>
      </c>
      <c r="F98" s="149">
        <f>Calculations!B508</f>
        <v>0</v>
      </c>
      <c r="G98" s="150" t="s">
        <v>880</v>
      </c>
      <c r="H98" s="150" t="str">
        <f>IF(Calculations!B12, "N/A", "")</f>
        <v/>
      </c>
    </row>
    <row r="99" spans="1:13" customFormat="1">
      <c r="D99" s="147"/>
      <c r="E99" s="127" t="s">
        <v>877</v>
      </c>
      <c r="F99" s="146" t="e">
        <f>Calculations!B511</f>
        <v>#N/A</v>
      </c>
      <c r="G99" s="146">
        <f>Calculations!B628</f>
        <v>0</v>
      </c>
      <c r="H99" s="146" t="str">
        <f>IF(Calculations!B12,Calculations!C628,"")</f>
        <v/>
      </c>
    </row>
    <row r="100" spans="1:13">
      <c r="J100" s="1"/>
    </row>
    <row r="101" spans="1:13">
      <c r="A101" s="1088" t="s">
        <v>881</v>
      </c>
      <c r="B101" s="1088"/>
      <c r="C101" s="1088"/>
      <c r="D101" s="1088"/>
      <c r="E101" s="1088"/>
      <c r="F101" s="1088"/>
      <c r="G101" s="1088"/>
      <c r="H101" s="1088"/>
      <c r="I101" s="1088"/>
      <c r="J101" s="1088"/>
      <c r="K101" s="1088"/>
      <c r="M101"/>
    </row>
    <row r="102" spans="1:13">
      <c r="J102" s="1"/>
    </row>
    <row r="103" spans="1:13" ht="28.8">
      <c r="A103" s="155"/>
      <c r="B103" s="74" t="s">
        <v>881</v>
      </c>
      <c r="C103" s="74"/>
      <c r="D103" s="74" t="s">
        <v>882</v>
      </c>
      <c r="E103" s="74" t="s">
        <v>883</v>
      </c>
      <c r="F103" s="155"/>
      <c r="G103" s="155"/>
      <c r="H103" s="155"/>
      <c r="I103" s="155"/>
      <c r="J103" s="155"/>
    </row>
    <row r="104" spans="1:13" ht="15" customHeight="1">
      <c r="B104" s="84" t="s">
        <v>884</v>
      </c>
      <c r="C104" s="1"/>
      <c r="D104" s="167">
        <f>Calculations!L64</f>
        <v>0</v>
      </c>
      <c r="E104" s="180">
        <f>Calculations!M64</f>
        <v>0</v>
      </c>
    </row>
    <row r="105" spans="1:13" ht="15" customHeight="1">
      <c r="B105" s="84" t="s">
        <v>323</v>
      </c>
      <c r="C105" s="1"/>
      <c r="D105" s="167">
        <f>Calculations!L65</f>
        <v>0</v>
      </c>
      <c r="E105" s="180">
        <f>Calculations!M65</f>
        <v>0</v>
      </c>
    </row>
    <row r="106" spans="1:13" ht="15" customHeight="1">
      <c r="B106" s="84" t="s">
        <v>885</v>
      </c>
      <c r="C106" s="1"/>
      <c r="D106" s="167">
        <f>Calculations!L66</f>
        <v>0</v>
      </c>
      <c r="E106" s="180">
        <f>Calculations!M66</f>
        <v>0</v>
      </c>
    </row>
    <row r="107" spans="1:13" ht="15" customHeight="1">
      <c r="B107" s="84" t="s">
        <v>325</v>
      </c>
      <c r="C107" s="1"/>
      <c r="D107" s="167">
        <f>Calculations!L67</f>
        <v>0</v>
      </c>
      <c r="E107" s="180">
        <f>Calculations!M67</f>
        <v>0</v>
      </c>
    </row>
    <row r="108" spans="1:13" ht="15" customHeight="1">
      <c r="B108" s="164" t="s">
        <v>326</v>
      </c>
      <c r="C108" s="1"/>
      <c r="D108" s="167">
        <f>Calculations!L68</f>
        <v>0</v>
      </c>
      <c r="E108" s="180">
        <f>Calculations!M68</f>
        <v>0</v>
      </c>
    </row>
    <row r="109" spans="1:13" ht="15" customHeight="1">
      <c r="B109" s="164" t="s">
        <v>886</v>
      </c>
      <c r="C109" s="164"/>
      <c r="D109" s="167">
        <f>Calculations!L69</f>
        <v>0</v>
      </c>
      <c r="E109" s="181">
        <f>Calculations!M69</f>
        <v>0</v>
      </c>
    </row>
    <row r="110" spans="1:13" ht="15" customHeight="1">
      <c r="B110" s="1" t="s">
        <v>887</v>
      </c>
      <c r="C110" s="1"/>
      <c r="D110" s="167">
        <f>Calculations!L70</f>
        <v>0</v>
      </c>
      <c r="E110" s="180">
        <f>Calculations!M70</f>
        <v>0</v>
      </c>
    </row>
    <row r="111" spans="1:13" ht="15" customHeight="1">
      <c r="B111" s="1"/>
      <c r="C111" s="1"/>
      <c r="D111" s="167"/>
      <c r="E111" s="180"/>
    </row>
    <row r="112" spans="1:13">
      <c r="A112" s="1088" t="s">
        <v>888</v>
      </c>
      <c r="B112" s="1088"/>
      <c r="C112" s="1088"/>
      <c r="D112" s="1088"/>
      <c r="E112" s="1088"/>
      <c r="F112" s="1088"/>
      <c r="G112" s="1088"/>
      <c r="H112" s="1088"/>
      <c r="I112" s="1088"/>
      <c r="J112" s="1088"/>
      <c r="K112" s="1088"/>
    </row>
    <row r="113" spans="2:11">
      <c r="K113" s="67" t="s">
        <v>4114</v>
      </c>
    </row>
    <row r="114" spans="2:11" ht="30" customHeight="1">
      <c r="B114" s="103"/>
      <c r="C114" s="104" t="s">
        <v>888</v>
      </c>
      <c r="D114" s="135" t="s">
        <v>393</v>
      </c>
      <c r="E114" s="136" t="s">
        <v>889</v>
      </c>
      <c r="F114" s="103"/>
      <c r="G114" s="103"/>
      <c r="H114" s="103"/>
      <c r="I114" s="103"/>
      <c r="J114" s="103"/>
      <c r="K114" s="665" t="s">
        <v>4115</v>
      </c>
    </row>
    <row r="115" spans="2:11">
      <c r="C115" s="67" t="str">
        <f>Calculations!F841</f>
        <v>4%  Non Competitive Application Fee</v>
      </c>
      <c r="D115" s="657">
        <f>Calculations!G841</f>
        <v>15000</v>
      </c>
      <c r="E115" s="73"/>
    </row>
    <row r="116" spans="2:11">
      <c r="B116"/>
      <c r="C116" s="67" t="str">
        <f>Calculations!F842</f>
        <v>4%  Non Competitive Initial Determination Fee</v>
      </c>
      <c r="D116" s="657" t="e">
        <f>Calculations!G842</f>
        <v>#N/A</v>
      </c>
      <c r="E116" s="73" t="str">
        <f>Calculations!H842</f>
        <v>For Federal and State (if applicable)</v>
      </c>
      <c r="G116" s="190"/>
      <c r="H116" s="190"/>
      <c r="I116" s="190"/>
      <c r="J116" s="190"/>
      <c r="K116" s="190"/>
    </row>
    <row r="117" spans="2:11" ht="30" customHeight="1">
      <c r="B117"/>
      <c r="C117" s="191" t="str">
        <f>Calculations!F843</f>
        <v>4%  Non Competitive Final Application Fee</v>
      </c>
      <c r="D117" s="657" t="e">
        <f>Calculations!G843</f>
        <v>#N/A</v>
      </c>
      <c r="E117" s="1093" t="str">
        <f>Calculations!H843</f>
        <v>(Not applicable to developments that received a Carryover Allocation and paid a Carryover Application Fee)</v>
      </c>
      <c r="F117" s="1093"/>
      <c r="G117" s="1093"/>
      <c r="H117" s="1093"/>
      <c r="I117" s="1093"/>
      <c r="J117" s="1093"/>
      <c r="K117" s="9"/>
    </row>
    <row r="118" spans="2:11">
      <c r="B118"/>
      <c r="C118" s="67" t="str">
        <f>Calculations!A849</f>
        <v>State Application Fee</v>
      </c>
      <c r="D118" s="657">
        <f>Calculations!B849</f>
        <v>0</v>
      </c>
      <c r="E118" s="73"/>
      <c r="G118" s="190"/>
      <c r="H118" s="190"/>
      <c r="I118" s="190"/>
      <c r="J118" s="190"/>
      <c r="K118" s="190"/>
    </row>
    <row r="119" spans="2:11" ht="21" customHeight="1">
      <c r="B119"/>
      <c r="C119" s="191" t="str">
        <f>Calculations!F844</f>
        <v>State Milestone Fee</v>
      </c>
      <c r="D119" s="658" t="str">
        <f>Calculations!G844</f>
        <v>#N/A</v>
      </c>
      <c r="E119" s="505"/>
      <c r="F119" s="505"/>
      <c r="G119" s="505"/>
      <c r="H119" s="505"/>
      <c r="I119" s="505"/>
      <c r="J119" s="505"/>
      <c r="K119" s="9"/>
    </row>
    <row r="120" spans="2:11" ht="21" customHeight="1">
      <c r="B120"/>
      <c r="C120" s="191" t="s">
        <v>4072</v>
      </c>
      <c r="D120" s="658">
        <f>Calculations!B864</f>
        <v>0</v>
      </c>
      <c r="E120" s="505"/>
      <c r="F120" s="505"/>
      <c r="G120" s="505"/>
      <c r="H120" s="505"/>
      <c r="I120" s="505"/>
      <c r="J120" s="505"/>
      <c r="K120" s="9"/>
    </row>
    <row r="121" spans="2:11" ht="75.75" customHeight="1">
      <c r="B121" s="186"/>
      <c r="C121" s="270" t="str">
        <f>Calculations!A860</f>
        <v>Compliance Monitoring Fee</v>
      </c>
      <c r="D121" s="657">
        <f>Calculations!G846</f>
        <v>0</v>
      </c>
      <c r="E121" s="1094" t="str">
        <f>Calculations!A861</f>
        <v>Compliance Monitoring Fee is automatically calculated.  The Fee for projects receiving a reservation from 2016 on is $500 per low income &amp; employee unit. This Fee is due with the Placed-In-Service (PIS) or with the Final Application whichever occurs first.</v>
      </c>
      <c r="F121" s="1094"/>
      <c r="G121" s="1094"/>
      <c r="H121" s="1094"/>
      <c r="I121" s="1094"/>
      <c r="J121" s="1094"/>
      <c r="K121" s="296"/>
    </row>
    <row r="122" spans="2:11">
      <c r="B122" s="102"/>
      <c r="C122" s="121" t="s">
        <v>890</v>
      </c>
      <c r="D122" s="659" t="e">
        <f>Calculations!G847</f>
        <v>#N/A</v>
      </c>
      <c r="E122" s="189"/>
      <c r="F122" s="190"/>
      <c r="G122" s="190"/>
      <c r="H122" s="190"/>
      <c r="I122" s="190"/>
      <c r="J122" s="190"/>
      <c r="K122" s="190"/>
    </row>
  </sheetData>
  <sheetProtection algorithmName="SHA-512" hashValue="cy55N8j4pCeXyPxz87KrwCbnQjm4+EItnIznBejXzfgilwQmjajc+9S1bY8/BoMV4kTOz7e2C47H4yQbgS9OJA==" saltValue="1gORU9V+qGRwJR1c4U1PsQ==" spinCount="100000" sheet="1" objects="1" scenarios="1"/>
  <mergeCells count="23">
    <mergeCell ref="E117:J117"/>
    <mergeCell ref="E121:J121"/>
    <mergeCell ref="B45:I45"/>
    <mergeCell ref="B53:I53"/>
    <mergeCell ref="B16:D18"/>
    <mergeCell ref="B19:D19"/>
    <mergeCell ref="B47:I47"/>
    <mergeCell ref="A1:K1"/>
    <mergeCell ref="A8:K8"/>
    <mergeCell ref="A112:K112"/>
    <mergeCell ref="A13:K13"/>
    <mergeCell ref="B27:I27"/>
    <mergeCell ref="B36:I36"/>
    <mergeCell ref="B40:I40"/>
    <mergeCell ref="B42:I42"/>
    <mergeCell ref="B50:I50"/>
    <mergeCell ref="B56:H56"/>
    <mergeCell ref="A60:K60"/>
    <mergeCell ref="B43:I43"/>
    <mergeCell ref="B44:I44"/>
    <mergeCell ref="A101:K101"/>
    <mergeCell ref="B37:I37"/>
    <mergeCell ref="B46:I46"/>
  </mergeCells>
  <dataValidations disablePrompts="1" count="1">
    <dataValidation type="list" allowBlank="1" showInputMessage="1" showErrorMessage="1" errorTitle="Application Stage" error="Please select a valid value for Application Stage." sqref="G5" xr:uid="{00000000-0002-0000-0900-000000000000}">
      <formula1>#REF!</formula1>
    </dataValidation>
  </dataValidations>
  <hyperlinks>
    <hyperlink ref="A13:J13" location="Scoring!A1" display="Scoring Details" xr:uid="{00000000-0004-0000-0900-000000000000}"/>
    <hyperlink ref="A60:J60" location="'Development Budget'!A1" display="Determination of Annual Tax Credit Amount" xr:uid="{00000000-0004-0000-0900-000001000000}"/>
    <hyperlink ref="A101:J101" location="Application!A1" display="Population Served" xr:uid="{00000000-0004-0000-0900-000002000000}"/>
    <hyperlink ref="A8:J8" location="Scoring!A1" display="Scoring Details" xr:uid="{00000000-0004-0000-0900-000004000000}"/>
    <hyperlink ref="A8:K8" location="Application!A1" display="Property Information" xr:uid="{00000000-0004-0000-0900-000005000000}"/>
  </hyperlinks>
  <pageMargins left="0.25" right="0.25" top="0.5" bottom="0.25" header="0.55000000000000004" footer="0"/>
  <pageSetup scale="65" orientation="portrait" horizontalDpi="300" r:id="rId1"/>
  <headerFooter>
    <oddHeader>&amp;R&amp;G</oddHeader>
  </headerFooter>
  <rowBreaks count="2" manualBreakCount="2">
    <brk id="59" max="11" man="1"/>
    <brk id="111" max="11"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rgb="FFFFC000"/>
  </sheetPr>
  <dimension ref="A1:M335"/>
  <sheetViews>
    <sheetView showGridLines="0" zoomScaleNormal="100" zoomScaleSheetLayoutView="112" workbookViewId="0">
      <selection sqref="A1:K1"/>
    </sheetView>
  </sheetViews>
  <sheetFormatPr defaultColWidth="9" defaultRowHeight="14.4"/>
  <cols>
    <col min="1" max="1" width="0.5546875" customWidth="1"/>
    <col min="2" max="2" width="21" customWidth="1"/>
    <col min="3" max="3" width="12.5546875" customWidth="1"/>
    <col min="4" max="4" width="13" customWidth="1"/>
    <col min="5" max="5" width="12.5546875" customWidth="1"/>
    <col min="6" max="6" width="14.33203125" customWidth="1"/>
    <col min="7" max="7" width="27" customWidth="1"/>
    <col min="8" max="10" width="12.5546875" customWidth="1"/>
    <col min="11" max="11" width="8" customWidth="1"/>
    <col min="12" max="12" width="16" customWidth="1"/>
  </cols>
  <sheetData>
    <row r="1" spans="1:11">
      <c r="A1" s="1088" t="s">
        <v>4427</v>
      </c>
      <c r="B1" s="1088"/>
      <c r="C1" s="1088"/>
      <c r="D1" s="1088"/>
      <c r="E1" s="1088"/>
      <c r="F1" s="1088"/>
      <c r="G1" s="1088"/>
      <c r="H1" s="1088"/>
      <c r="I1" s="1088"/>
      <c r="J1" s="1088"/>
      <c r="K1" s="1088"/>
    </row>
    <row r="2" spans="1:11">
      <c r="A2" s="332"/>
      <c r="B2" s="332"/>
      <c r="C2" s="332"/>
      <c r="D2" s="332"/>
      <c r="E2" s="332"/>
      <c r="F2" s="332"/>
      <c r="G2" s="332"/>
      <c r="H2" s="332"/>
      <c r="I2" s="332"/>
      <c r="J2" s="332"/>
      <c r="K2" s="332"/>
    </row>
    <row r="3" spans="1:11">
      <c r="B3" s="1" t="s">
        <v>891</v>
      </c>
      <c r="C3" s="73">
        <f>'Contact Summary'!B4</f>
        <v>0</v>
      </c>
    </row>
    <row r="4" spans="1:11">
      <c r="B4" s="1" t="s">
        <v>829</v>
      </c>
      <c r="C4" s="73">
        <f>Application!B29</f>
        <v>0</v>
      </c>
      <c r="K4" s="1"/>
    </row>
    <row r="5" spans="1:11">
      <c r="B5" s="1" t="s">
        <v>892</v>
      </c>
      <c r="C5" s="73">
        <f>Application!B30</f>
        <v>0</v>
      </c>
      <c r="K5" s="1"/>
    </row>
    <row r="6" spans="1:11">
      <c r="B6" s="1" t="s">
        <v>239</v>
      </c>
      <c r="C6" s="73">
        <f>Application!B31</f>
        <v>0</v>
      </c>
      <c r="K6" s="1"/>
    </row>
    <row r="7" spans="1:11">
      <c r="B7" s="1" t="s">
        <v>796</v>
      </c>
      <c r="C7" s="73">
        <f>Application!B32</f>
        <v>0</v>
      </c>
      <c r="K7" s="1"/>
    </row>
    <row r="8" spans="1:11">
      <c r="B8" s="1" t="s">
        <v>240</v>
      </c>
      <c r="C8" s="73">
        <f>Application!B33</f>
        <v>0</v>
      </c>
      <c r="K8" s="1"/>
    </row>
    <row r="9" spans="1:11">
      <c r="B9" s="1" t="s">
        <v>224</v>
      </c>
      <c r="C9" s="73">
        <f>Application!B13</f>
        <v>0</v>
      </c>
      <c r="D9" s="73"/>
      <c r="I9" s="1"/>
      <c r="J9" s="152"/>
      <c r="K9" s="1"/>
    </row>
    <row r="10" spans="1:11">
      <c r="B10" s="1" t="s">
        <v>221</v>
      </c>
      <c r="C10" s="73">
        <f>Application!B10</f>
        <v>0</v>
      </c>
      <c r="D10" s="73"/>
      <c r="I10" s="1"/>
      <c r="J10" s="152"/>
      <c r="K10" s="1"/>
    </row>
    <row r="11" spans="1:11">
      <c r="B11" s="1" t="s">
        <v>215</v>
      </c>
      <c r="C11" s="73">
        <f>Application!B6</f>
        <v>0</v>
      </c>
      <c r="D11" s="73"/>
      <c r="I11" s="1"/>
      <c r="J11" s="152"/>
      <c r="K11" s="1"/>
    </row>
    <row r="12" spans="1:11">
      <c r="B12" s="1"/>
      <c r="C12" s="73"/>
      <c r="D12" s="73"/>
      <c r="I12" s="1"/>
      <c r="J12" s="152"/>
      <c r="K12" s="1"/>
    </row>
    <row r="13" spans="1:11">
      <c r="A13" s="1088" t="s">
        <v>893</v>
      </c>
      <c r="B13" s="1088"/>
      <c r="C13" s="1088"/>
      <c r="D13" s="1088"/>
      <c r="E13" s="1088"/>
      <c r="F13" s="1088"/>
      <c r="G13" s="1088"/>
      <c r="H13" s="1088"/>
      <c r="I13" s="1088"/>
      <c r="J13" s="1088"/>
      <c r="K13" s="1088"/>
    </row>
    <row r="14" spans="1:11">
      <c r="A14" s="332"/>
      <c r="B14" s="332"/>
      <c r="C14" s="332"/>
      <c r="D14" s="332"/>
      <c r="E14" s="332"/>
      <c r="F14" s="332"/>
      <c r="G14" s="332"/>
      <c r="H14" s="332"/>
      <c r="I14" s="332"/>
      <c r="J14" s="332"/>
      <c r="K14" s="332"/>
    </row>
    <row r="15" spans="1:11">
      <c r="E15" s="366" t="s">
        <v>894</v>
      </c>
    </row>
    <row r="16" spans="1:11">
      <c r="C16" s="124" t="s">
        <v>895</v>
      </c>
      <c r="D16" s="334">
        <f>Calculations!H60</f>
        <v>0</v>
      </c>
      <c r="E16" s="70" t="e">
        <f>Calculations!O49</f>
        <v>#DIV/0!</v>
      </c>
      <c r="G16" s="114"/>
      <c r="H16" s="114" t="s">
        <v>896</v>
      </c>
      <c r="I16">
        <f>Calculations!F3</f>
        <v>0</v>
      </c>
    </row>
    <row r="17" spans="2:11">
      <c r="C17" s="114" t="s">
        <v>897</v>
      </c>
      <c r="D17" s="334">
        <f>Calculations!M53</f>
        <v>0</v>
      </c>
      <c r="E17" s="70" t="e">
        <f>Calculations!O53</f>
        <v>#DIV/0!</v>
      </c>
      <c r="H17" s="114" t="s">
        <v>898</v>
      </c>
      <c r="I17" s="200" t="str">
        <f>Calculations!F4</f>
        <v/>
      </c>
    </row>
    <row r="18" spans="2:11">
      <c r="C18" s="114" t="s">
        <v>899</v>
      </c>
      <c r="D18" s="334">
        <f>Calculations!M54</f>
        <v>0</v>
      </c>
      <c r="E18" s="70" t="e">
        <f>Calculations!O54</f>
        <v>#DIV/0!</v>
      </c>
    </row>
    <row r="19" spans="2:11">
      <c r="C19" s="124" t="s">
        <v>900</v>
      </c>
      <c r="D19" s="334">
        <f>Calculations!M56</f>
        <v>0</v>
      </c>
      <c r="E19" s="339"/>
      <c r="H19" s="114" t="s">
        <v>901</v>
      </c>
      <c r="I19" s="373">
        <f>Calculations!B292</f>
        <v>0</v>
      </c>
    </row>
    <row r="20" spans="2:11">
      <c r="B20" s="339"/>
      <c r="E20" s="122"/>
    </row>
    <row r="21" spans="2:11" ht="28.8">
      <c r="D21" s="74" t="s">
        <v>902</v>
      </c>
      <c r="E21" s="74" t="s">
        <v>903</v>
      </c>
      <c r="F21" s="74" t="s">
        <v>904</v>
      </c>
      <c r="H21" s="508"/>
      <c r="I21" s="508"/>
      <c r="J21" s="508"/>
      <c r="K21" s="508"/>
    </row>
    <row r="22" spans="2:11" ht="15" customHeight="1">
      <c r="C22" s="278" t="str">
        <f>Calculations!D880</f>
        <v>Total Development Costs</v>
      </c>
      <c r="D22" s="106">
        <f>Calculations!G880</f>
        <v>0</v>
      </c>
      <c r="E22" s="106">
        <f>Calculations!E880</f>
        <v>0</v>
      </c>
      <c r="F22" s="106">
        <f>Calculations!F880</f>
        <v>0</v>
      </c>
    </row>
    <row r="23" spans="2:11" ht="15" customHeight="1">
      <c r="C23" s="278" t="s">
        <v>905</v>
      </c>
      <c r="D23" s="106" t="e">
        <f>Calculations!G885</f>
        <v>#DIV/0!</v>
      </c>
      <c r="E23" s="106" t="e">
        <f>Calculations!E885</f>
        <v>#DIV/0!</v>
      </c>
      <c r="F23" s="106" t="e">
        <f>Calculations!F885</f>
        <v>#DIV/0!</v>
      </c>
    </row>
    <row r="24" spans="2:11" ht="15" customHeight="1">
      <c r="C24" s="278" t="str">
        <f>Calculations!D881</f>
        <v>Total Hard Costs</v>
      </c>
      <c r="D24" s="106">
        <f>Calculations!G881</f>
        <v>0</v>
      </c>
      <c r="E24" s="106">
        <f>Calculations!E881</f>
        <v>0</v>
      </c>
      <c r="F24" s="106">
        <f>Calculations!F881</f>
        <v>0</v>
      </c>
    </row>
    <row r="25" spans="2:11" ht="15" customHeight="1">
      <c r="C25" s="278" t="s">
        <v>906</v>
      </c>
      <c r="D25" s="106">
        <f>Calculations!G882</f>
        <v>0</v>
      </c>
      <c r="E25" s="106">
        <f>Calculations!E882</f>
        <v>0</v>
      </c>
      <c r="F25" s="106">
        <f>Calculations!F882</f>
        <v>0</v>
      </c>
    </row>
    <row r="26" spans="2:11" ht="15" customHeight="1">
      <c r="C26" s="278" t="str">
        <f>Calculations!D883</f>
        <v>Developer Fee</v>
      </c>
      <c r="D26" s="106">
        <f>Calculations!G883</f>
        <v>0</v>
      </c>
      <c r="E26" s="106">
        <f>Calculations!E883</f>
        <v>0</v>
      </c>
      <c r="F26" s="106">
        <f>Calculations!F883</f>
        <v>0</v>
      </c>
    </row>
    <row r="27" spans="2:11" ht="15" customHeight="1">
      <c r="C27" s="278" t="str">
        <f>Calculations!D884</f>
        <v>Total Reserves</v>
      </c>
      <c r="D27" s="106">
        <f>Calculations!G884</f>
        <v>0</v>
      </c>
      <c r="E27" s="106">
        <f>Calculations!E884</f>
        <v>0</v>
      </c>
      <c r="F27" s="106">
        <f>Calculations!F884</f>
        <v>0</v>
      </c>
    </row>
    <row r="28" spans="2:11" ht="15" customHeight="1">
      <c r="C28" s="278"/>
      <c r="D28" s="106"/>
      <c r="E28" s="106"/>
      <c r="F28" s="106"/>
    </row>
    <row r="29" spans="2:11">
      <c r="C29" s="114"/>
      <c r="D29" s="312">
        <v>0.04</v>
      </c>
      <c r="E29" s="312">
        <v>0.09</v>
      </c>
    </row>
    <row r="30" spans="2:11">
      <c r="C30" s="114" t="s">
        <v>789</v>
      </c>
      <c r="D30" s="106">
        <f>Calculations!C292</f>
        <v>0</v>
      </c>
      <c r="E30" s="106">
        <f>Calculations!D292</f>
        <v>0</v>
      </c>
    </row>
    <row r="31" spans="2:11">
      <c r="C31" s="114"/>
      <c r="D31" s="106"/>
    </row>
    <row r="32" spans="2:11">
      <c r="B32" s="123"/>
      <c r="C32" s="114" t="s">
        <v>907</v>
      </c>
      <c r="D32" s="276">
        <f>Calculations!B876</f>
        <v>0</v>
      </c>
      <c r="E32" s="18"/>
      <c r="F32" s="18"/>
      <c r="H32" s="121" t="s">
        <v>908</v>
      </c>
      <c r="I32" s="137">
        <f>Calculations!L41</f>
        <v>0</v>
      </c>
    </row>
    <row r="33" spans="1:12">
      <c r="B33" s="114"/>
      <c r="C33" s="114" t="s">
        <v>4428</v>
      </c>
      <c r="D33" s="277">
        <f>Calculations!B878</f>
        <v>0</v>
      </c>
      <c r="E33" s="283" t="str">
        <f>Calculations!I880</f>
        <v>The PAB requirement is 45% or lower.</v>
      </c>
      <c r="J33" s="361" t="str">
        <f>Calculations!M42</f>
        <v>Average Income midpoint is less than 60%</v>
      </c>
    </row>
    <row r="34" spans="1:12">
      <c r="B34" s="1"/>
      <c r="C34" s="114" t="s">
        <v>909</v>
      </c>
      <c r="D34" s="276">
        <f>Calculations!C877</f>
        <v>0</v>
      </c>
    </row>
    <row r="35" spans="1:12">
      <c r="B35" s="1"/>
      <c r="C35" s="114"/>
    </row>
    <row r="36" spans="1:12">
      <c r="C36" s="121" t="s">
        <v>910</v>
      </c>
      <c r="D36" s="484">
        <f>Calculations!E399</f>
        <v>1.1499999999999999</v>
      </c>
    </row>
    <row r="37" spans="1:12">
      <c r="C37" s="121" t="s">
        <v>911</v>
      </c>
      <c r="D37" s="486" t="str">
        <f>Calculations!B386</f>
        <v>Loans Missing</v>
      </c>
      <c r="F37" s="467" t="e">
        <f>Calculations!G399</f>
        <v>#VALUE!</v>
      </c>
      <c r="G37" s="467"/>
      <c r="H37" s="467"/>
      <c r="I37" s="319"/>
      <c r="J37" s="319"/>
      <c r="K37" s="319"/>
    </row>
    <row r="38" spans="1:12">
      <c r="C38" s="121"/>
      <c r="D38" s="120"/>
      <c r="F38" s="118"/>
    </row>
    <row r="39" spans="1:12">
      <c r="A39" s="1088" t="s">
        <v>912</v>
      </c>
      <c r="B39" s="1088"/>
      <c r="C39" s="1088"/>
      <c r="D39" s="1088"/>
      <c r="E39" s="1088"/>
      <c r="F39" s="1088"/>
      <c r="G39" s="1088"/>
      <c r="H39" s="1088"/>
      <c r="I39" s="1088"/>
      <c r="J39" s="1088"/>
      <c r="K39" s="1088"/>
    </row>
    <row r="40" spans="1:12">
      <c r="K40" s="1"/>
    </row>
    <row r="41" spans="1:12">
      <c r="B41" s="1" t="s">
        <v>913</v>
      </c>
      <c r="C41" s="150">
        <f>Calculations!B298</f>
        <v>95</v>
      </c>
      <c r="F41" s="10" t="str">
        <f>Calculations!E324</f>
        <v>The minimum score requirement has NOT been met</v>
      </c>
      <c r="K41" s="1"/>
    </row>
    <row r="42" spans="1:12">
      <c r="B42" s="1" t="s">
        <v>914</v>
      </c>
      <c r="C42" s="243">
        <f>Calculations!B324</f>
        <v>15</v>
      </c>
      <c r="K42" s="1"/>
    </row>
    <row r="43" spans="1:12">
      <c r="B43" s="1"/>
      <c r="K43" s="1"/>
      <c r="L43" s="9"/>
    </row>
    <row r="44" spans="1:12">
      <c r="A44" s="1088" t="s">
        <v>850</v>
      </c>
      <c r="B44" s="1088"/>
      <c r="C44" s="1088"/>
      <c r="D44" s="1088"/>
      <c r="E44" s="1088"/>
      <c r="F44" s="1088"/>
      <c r="G44" s="1088"/>
      <c r="H44" s="1088"/>
      <c r="I44" s="1088"/>
      <c r="J44" s="1088"/>
      <c r="K44" s="1088"/>
    </row>
    <row r="46" spans="1:12">
      <c r="E46" s="174" t="s">
        <v>852</v>
      </c>
      <c r="F46" s="174" t="s">
        <v>124</v>
      </c>
      <c r="I46" s="1062"/>
      <c r="J46" s="1062"/>
    </row>
    <row r="47" spans="1:12">
      <c r="B47" s="136" t="s">
        <v>915</v>
      </c>
      <c r="C47" s="328"/>
      <c r="E47" s="174" t="s">
        <v>874</v>
      </c>
      <c r="F47" s="174" t="s">
        <v>874</v>
      </c>
      <c r="I47" s="360"/>
      <c r="J47" s="360"/>
    </row>
    <row r="48" spans="1:12">
      <c r="B48" s="209" t="s">
        <v>916</v>
      </c>
      <c r="D48" s="147"/>
      <c r="E48" s="146" t="e">
        <f>Calculations!B474</f>
        <v>#N/A</v>
      </c>
      <c r="F48" s="146" t="str">
        <f>Calculations!C527</f>
        <v/>
      </c>
      <c r="I48" s="149"/>
      <c r="J48" s="149"/>
    </row>
    <row r="49" spans="1:11">
      <c r="B49" s="209" t="s">
        <v>917</v>
      </c>
      <c r="E49" s="149">
        <f>Calculations!B481</f>
        <v>0</v>
      </c>
      <c r="F49" s="149" t="str">
        <f>Calculations!C535</f>
        <v/>
      </c>
    </row>
    <row r="50" spans="1:11">
      <c r="B50" s="209" t="s">
        <v>918</v>
      </c>
      <c r="E50" s="149">
        <f>Calculations!B502</f>
        <v>0</v>
      </c>
      <c r="F50" s="149" t="str">
        <f>Calculations!C556</f>
        <v/>
      </c>
      <c r="G50" s="283" t="str">
        <f>Calculations!$D$502</f>
        <v/>
      </c>
      <c r="I50" s="114" t="s">
        <v>860</v>
      </c>
      <c r="J50" s="520">
        <f>Calculations!K74</f>
        <v>0</v>
      </c>
    </row>
    <row r="51" spans="1:11">
      <c r="B51" s="209"/>
      <c r="E51" s="149"/>
      <c r="F51" s="149"/>
    </row>
    <row r="52" spans="1:11">
      <c r="B52" s="1" t="s">
        <v>877</v>
      </c>
      <c r="E52" s="174" t="s">
        <v>852</v>
      </c>
      <c r="F52" s="174" t="s">
        <v>124</v>
      </c>
      <c r="G52" s="174" t="str">
        <f>IF(Calculations!H518, "TOC Credit", "")</f>
        <v/>
      </c>
    </row>
    <row r="53" spans="1:11">
      <c r="D53" s="121" t="s">
        <v>878</v>
      </c>
      <c r="E53" s="149" t="e">
        <f>Calculations!B507</f>
        <v>#N/A</v>
      </c>
      <c r="F53" s="149">
        <f>Calculations!B628</f>
        <v>0</v>
      </c>
      <c r="G53" s="149" t="str">
        <f>IF(Calculations!H518, Calculations!C628, "")</f>
        <v/>
      </c>
      <c r="I53" s="121" t="s">
        <v>4052</v>
      </c>
    </row>
    <row r="54" spans="1:11">
      <c r="D54" s="121" t="s">
        <v>879</v>
      </c>
      <c r="E54" s="149">
        <f>Calculations!B508</f>
        <v>0</v>
      </c>
      <c r="F54" s="150" t="s">
        <v>880</v>
      </c>
      <c r="G54" s="150" t="str">
        <f>IF(Calculations!H518, "N/A", "")</f>
        <v/>
      </c>
      <c r="I54" s="121" t="s">
        <v>4051</v>
      </c>
      <c r="J54" s="137">
        <f>Calculations!B660</f>
        <v>0</v>
      </c>
    </row>
    <row r="55" spans="1:11">
      <c r="C55" s="147"/>
      <c r="D55" s="127" t="s">
        <v>877</v>
      </c>
      <c r="E55" s="146" t="e">
        <f>Calculations!B511</f>
        <v>#N/A</v>
      </c>
      <c r="F55" s="146">
        <f>Calculations!B628</f>
        <v>0</v>
      </c>
      <c r="G55" s="146" t="str">
        <f>IF(Calculations!H518,Calculations!C628,"")</f>
        <v/>
      </c>
    </row>
    <row r="57" spans="1:11">
      <c r="B57" s="1" t="s">
        <v>919</v>
      </c>
      <c r="D57" s="151" t="str">
        <f>CONCATENATE(Calculations!C18," ",Calculations!C19," ",Calculations!C20)</f>
        <v xml:space="preserve">  </v>
      </c>
      <c r="E57" s="423"/>
      <c r="F57" s="423"/>
    </row>
    <row r="58" spans="1:11">
      <c r="B58" s="1"/>
      <c r="D58" s="151"/>
      <c r="E58" s="149"/>
      <c r="F58" s="149"/>
    </row>
    <row r="59" spans="1:11" ht="15" customHeight="1">
      <c r="A59" s="1088" t="s">
        <v>920</v>
      </c>
      <c r="B59" s="1088"/>
      <c r="C59" s="1088"/>
      <c r="D59" s="1088"/>
      <c r="E59" s="1088"/>
      <c r="F59" s="1088"/>
      <c r="G59" s="1088"/>
      <c r="H59" s="1088"/>
      <c r="I59" s="1088"/>
      <c r="J59" s="1088"/>
      <c r="K59" s="1088"/>
    </row>
    <row r="60" spans="1:11" ht="15" customHeight="1">
      <c r="A60" s="332"/>
      <c r="B60" s="332"/>
      <c r="C60" s="332"/>
      <c r="D60" s="332"/>
      <c r="E60" s="332"/>
      <c r="F60" s="332"/>
      <c r="G60" s="332"/>
      <c r="H60" s="332"/>
      <c r="I60" s="332"/>
      <c r="J60" s="332"/>
      <c r="K60" s="332"/>
    </row>
    <row r="61" spans="1:11" ht="30" customHeight="1">
      <c r="B61" s="136"/>
      <c r="C61" s="104" t="s">
        <v>921</v>
      </c>
      <c r="D61" s="135" t="s">
        <v>922</v>
      </c>
      <c r="E61" s="135" t="s">
        <v>923</v>
      </c>
      <c r="F61" s="134"/>
      <c r="G61" s="134"/>
      <c r="H61" s="104" t="s">
        <v>924</v>
      </c>
      <c r="I61" s="135" t="s">
        <v>393</v>
      </c>
    </row>
    <row r="62" spans="1:11" ht="15" customHeight="1">
      <c r="B62" s="1"/>
      <c r="C62" s="67" t="s">
        <v>925</v>
      </c>
      <c r="D62" s="373">
        <f>Calculations!B138</f>
        <v>0</v>
      </c>
      <c r="E62" s="373">
        <f>Calculations!C138</f>
        <v>0</v>
      </c>
      <c r="F62" s="134"/>
      <c r="H62" s="67" t="str">
        <f>Calculations!A171</f>
        <v>Land &amp; Buildings</v>
      </c>
      <c r="I62" s="376">
        <f>Calculations!B175</f>
        <v>0</v>
      </c>
    </row>
    <row r="63" spans="1:11" ht="15" customHeight="1">
      <c r="C63" s="67" t="s">
        <v>926</v>
      </c>
      <c r="D63" s="373">
        <f>Calculations!B139</f>
        <v>0</v>
      </c>
      <c r="H63" s="67" t="str">
        <f>Calculations!A176</f>
        <v>Site Work</v>
      </c>
      <c r="I63" s="376">
        <f>Calculations!B179</f>
        <v>0</v>
      </c>
    </row>
    <row r="64" spans="1:11" ht="15" customHeight="1">
      <c r="C64" s="67" t="s">
        <v>378</v>
      </c>
      <c r="D64" s="373">
        <f>Calculations!B140</f>
        <v>0</v>
      </c>
      <c r="H64" s="67" t="str">
        <f>Calculations!A180</f>
        <v>Rehab. &amp; New Construction</v>
      </c>
      <c r="I64" s="376">
        <f>Calculations!B195</f>
        <v>0</v>
      </c>
    </row>
    <row r="65" spans="2:9" ht="15" customHeight="1">
      <c r="C65" s="67" t="s">
        <v>379</v>
      </c>
      <c r="D65" s="373">
        <f>Calculations!B141</f>
        <v>0</v>
      </c>
      <c r="F65" s="274"/>
      <c r="G65" s="129"/>
      <c r="H65" s="67" t="str">
        <f>Calculations!A196</f>
        <v>Professional Fees</v>
      </c>
      <c r="I65" s="376">
        <f>Calculations!B211</f>
        <v>0</v>
      </c>
    </row>
    <row r="66" spans="2:9">
      <c r="B66" s="1097" t="s">
        <v>927</v>
      </c>
      <c r="C66" s="1097"/>
      <c r="D66" s="419">
        <f>Calculations!B145</f>
        <v>0</v>
      </c>
      <c r="E66" s="10" t="s">
        <v>928</v>
      </c>
      <c r="H66" s="191" t="str">
        <f>Calculations!A212</f>
        <v>Construction Interim Costs</v>
      </c>
      <c r="I66" s="376">
        <f>Calculations!B231</f>
        <v>0</v>
      </c>
    </row>
    <row r="67" spans="2:9" ht="15" customHeight="1">
      <c r="B67" s="164"/>
      <c r="C67" s="67"/>
      <c r="D67" s="420"/>
      <c r="E67" s="119"/>
      <c r="F67" s="275"/>
      <c r="G67" s="129"/>
      <c r="H67" s="67" t="str">
        <f>Calculations!A232</f>
        <v>Permanent Financing</v>
      </c>
      <c r="I67" s="376">
        <f>Calculations!B247</f>
        <v>0</v>
      </c>
    </row>
    <row r="68" spans="2:9" ht="15" customHeight="1">
      <c r="C68" s="67" t="s">
        <v>929</v>
      </c>
      <c r="D68" s="373">
        <f>Calculations!E618</f>
        <v>0</v>
      </c>
      <c r="E68" s="422">
        <f>Calculations!B629</f>
        <v>0</v>
      </c>
      <c r="F68" s="129" t="s">
        <v>4100</v>
      </c>
      <c r="H68" s="67" t="str">
        <f>Calculations!A248</f>
        <v>Soft Costs</v>
      </c>
      <c r="I68" s="376">
        <f>Calculations!B266</f>
        <v>0</v>
      </c>
    </row>
    <row r="69" spans="2:9" ht="15" customHeight="1">
      <c r="C69" s="67" t="s">
        <v>4082</v>
      </c>
      <c r="D69" s="373">
        <f>Calculations!C631</f>
        <v>0</v>
      </c>
      <c r="E69" s="422">
        <f>Calculations!C629</f>
        <v>0</v>
      </c>
      <c r="F69" s="129" t="s">
        <v>4099</v>
      </c>
      <c r="H69" s="67" t="str">
        <f>Calculations!A267</f>
        <v>Syndication Costs</v>
      </c>
      <c r="I69" s="376">
        <f>Calculations!B274</f>
        <v>0</v>
      </c>
    </row>
    <row r="70" spans="2:9" ht="15" customHeight="1">
      <c r="C70" s="67" t="s">
        <v>930</v>
      </c>
      <c r="D70" s="373" t="e">
        <f>Calculations!E619</f>
        <v>#N/A</v>
      </c>
      <c r="E70" s="422">
        <f>Calculations!B618</f>
        <v>0</v>
      </c>
      <c r="F70" s="129" t="s">
        <v>4101</v>
      </c>
      <c r="H70" s="67" t="str">
        <f>Calculations!A275</f>
        <v>Developer Fees</v>
      </c>
      <c r="I70" s="376">
        <f>Calculations!B283</f>
        <v>0</v>
      </c>
    </row>
    <row r="71" spans="2:9" ht="15" customHeight="1">
      <c r="C71" s="67" t="s">
        <v>931</v>
      </c>
      <c r="D71" s="373">
        <f>Calculations!E620</f>
        <v>0</v>
      </c>
      <c r="E71" s="119"/>
      <c r="F71" s="130"/>
      <c r="G71" s="129"/>
      <c r="H71" s="67" t="str">
        <f>Calculations!A284</f>
        <v>Project Reserves</v>
      </c>
      <c r="I71" s="373">
        <f>Calculations!B291</f>
        <v>0</v>
      </c>
    </row>
    <row r="72" spans="2:9" ht="15" customHeight="1">
      <c r="C72" s="67" t="s">
        <v>932</v>
      </c>
      <c r="D72" s="489">
        <f>Calculations!B166</f>
        <v>0</v>
      </c>
      <c r="E72" s="119"/>
      <c r="F72" s="490"/>
      <c r="G72" s="129"/>
      <c r="H72" s="67" t="s">
        <v>373</v>
      </c>
      <c r="I72" s="377">
        <f>Calculations!B292</f>
        <v>0</v>
      </c>
    </row>
    <row r="73" spans="2:9" ht="15" customHeight="1">
      <c r="B73" s="128"/>
      <c r="C73" s="127" t="s">
        <v>933</v>
      </c>
      <c r="D73" s="374" t="e">
        <f>Calculations!E621</f>
        <v>#N/A</v>
      </c>
      <c r="E73" s="119"/>
      <c r="H73" s="123"/>
    </row>
    <row r="74" spans="2:9" ht="15" customHeight="1">
      <c r="C74" s="121" t="s">
        <v>934</v>
      </c>
      <c r="D74" s="373">
        <f>Calculations!E622</f>
        <v>0</v>
      </c>
      <c r="E74" s="283" t="str">
        <f>Calculations!G621</f>
        <v>Development Total Funds do not equal Budget</v>
      </c>
      <c r="F74" s="123"/>
      <c r="G74" s="123"/>
      <c r="H74" s="67" t="s">
        <v>561</v>
      </c>
      <c r="I74" s="491">
        <f>Calculations!B688</f>
        <v>0</v>
      </c>
    </row>
    <row r="75" spans="2:9" ht="15" customHeight="1">
      <c r="B75" s="128"/>
      <c r="C75" s="127" t="s">
        <v>935</v>
      </c>
      <c r="D75" s="374" t="e">
        <f>Calculations!E623</f>
        <v>#N/A</v>
      </c>
      <c r="E75" s="119"/>
      <c r="H75" s="121" t="s">
        <v>936</v>
      </c>
      <c r="I75" s="492">
        <f>Calculations!E622</f>
        <v>0</v>
      </c>
    </row>
    <row r="76" spans="2:9" ht="15" customHeight="1">
      <c r="B76" s="102"/>
      <c r="C76" s="121"/>
      <c r="D76" s="373"/>
      <c r="E76" s="119"/>
      <c r="F76" s="125"/>
    </row>
    <row r="77" spans="2:9">
      <c r="B77" s="114"/>
      <c r="C77" s="124" t="s">
        <v>937</v>
      </c>
      <c r="D77" s="373">
        <f>Calculations!H129</f>
        <v>0</v>
      </c>
      <c r="F77" s="118"/>
    </row>
    <row r="78" spans="2:9">
      <c r="C78" s="124" t="s">
        <v>938</v>
      </c>
      <c r="D78" s="489">
        <f>Calculations!H130</f>
        <v>0</v>
      </c>
      <c r="E78" s="283" t="str">
        <f>Calculations!K130</f>
        <v>Construction interest actual exceeds construction interest test</v>
      </c>
      <c r="F78" s="123"/>
      <c r="G78" s="123"/>
    </row>
    <row r="79" spans="2:9">
      <c r="C79" s="124"/>
      <c r="D79" s="489"/>
      <c r="E79" s="122"/>
      <c r="F79" s="118"/>
    </row>
    <row r="80" spans="2:9">
      <c r="C80" s="121" t="s">
        <v>939</v>
      </c>
      <c r="D80" s="469" t="e">
        <f>Calculations!B427</f>
        <v>#N/A</v>
      </c>
    </row>
    <row r="81" spans="1:11">
      <c r="C81" s="121" t="s">
        <v>940</v>
      </c>
      <c r="D81" s="373">
        <f>Calculations!E430</f>
        <v>0</v>
      </c>
    </row>
    <row r="82" spans="1:11">
      <c r="B82" s="1"/>
      <c r="C82" s="375" t="s">
        <v>941</v>
      </c>
      <c r="D82" s="421">
        <f>Calculations!B886</f>
        <v>0</v>
      </c>
    </row>
    <row r="83" spans="1:11">
      <c r="B83" s="1"/>
      <c r="C83" s="121"/>
      <c r="F83" s="274"/>
    </row>
    <row r="84" spans="1:11" s="88" customFormat="1">
      <c r="A84" s="1088" t="s">
        <v>942</v>
      </c>
      <c r="B84" s="1088"/>
      <c r="C84" s="1088"/>
      <c r="D84" s="1088"/>
      <c r="E84" s="1088"/>
      <c r="F84" s="1088"/>
      <c r="G84" s="1088"/>
      <c r="H84" s="1088"/>
      <c r="I84" s="1088"/>
      <c r="J84" s="1088"/>
      <c r="K84" s="1088"/>
    </row>
    <row r="85" spans="1:11" s="88" customFormat="1">
      <c r="B85" s="84"/>
      <c r="C85" s="83"/>
      <c r="D85" s="83"/>
      <c r="E85" s="83"/>
      <c r="F85" s="83"/>
      <c r="G85" s="83"/>
      <c r="H85" s="83"/>
    </row>
    <row r="86" spans="1:11" s="88" customFormat="1">
      <c r="B86" s="84"/>
      <c r="C86" s="83"/>
      <c r="D86" s="75" t="s">
        <v>943</v>
      </c>
      <c r="E86" s="83"/>
      <c r="F86" s="83"/>
      <c r="G86" s="83"/>
      <c r="H86" s="83"/>
    </row>
    <row r="87" spans="1:11" s="88" customFormat="1">
      <c r="B87" s="84"/>
      <c r="C87" s="184" t="s">
        <v>944</v>
      </c>
      <c r="D87" s="83">
        <f>Calculations!B363</f>
        <v>0</v>
      </c>
      <c r="E87" s="83"/>
    </row>
    <row r="88" spans="1:11" s="88" customFormat="1">
      <c r="B88" s="186"/>
      <c r="C88" s="185" t="s">
        <v>945</v>
      </c>
      <c r="D88" s="329">
        <f>Calculations!B362</f>
        <v>0</v>
      </c>
      <c r="E88" s="139"/>
      <c r="F88" s="83"/>
      <c r="G88" s="83"/>
      <c r="H88" s="83"/>
    </row>
    <row r="89" spans="1:11" s="88" customFormat="1">
      <c r="B89" s="102"/>
      <c r="C89" s="121" t="s">
        <v>946</v>
      </c>
      <c r="D89" s="83">
        <f>Calculations!B364</f>
        <v>0</v>
      </c>
      <c r="E89" s="83"/>
      <c r="F89" s="83"/>
      <c r="G89" s="83"/>
      <c r="H89" s="83"/>
    </row>
    <row r="90" spans="1:11" s="88" customFormat="1">
      <c r="B90" s="1098" t="s">
        <v>947</v>
      </c>
      <c r="C90" s="1099"/>
      <c r="D90" s="329">
        <f>Calculations!B365</f>
        <v>0</v>
      </c>
      <c r="E90" s="83"/>
      <c r="F90" s="301" t="str">
        <f>Calculations!C360</f>
        <v>* Calculating at a Standard Vacancy Allowance of 7.0%</v>
      </c>
      <c r="G90" s="83"/>
      <c r="H90" s="83"/>
    </row>
    <row r="91" spans="1:11" s="88" customFormat="1">
      <c r="B91" s="84"/>
      <c r="C91" s="121" t="s">
        <v>948</v>
      </c>
      <c r="D91" s="83">
        <f>Calculations!B366</f>
        <v>0</v>
      </c>
      <c r="E91" s="83"/>
      <c r="F91" s="83"/>
      <c r="G91" s="83"/>
      <c r="H91" s="83"/>
    </row>
    <row r="92" spans="1:11" s="88" customFormat="1">
      <c r="B92" s="84"/>
      <c r="C92" s="83"/>
      <c r="D92" s="83"/>
      <c r="E92" s="83"/>
      <c r="F92" s="83"/>
      <c r="G92" s="83"/>
      <c r="H92" s="83"/>
    </row>
    <row r="93" spans="1:11" s="88" customFormat="1">
      <c r="B93" s="84"/>
      <c r="C93" s="83"/>
      <c r="D93" s="75" t="s">
        <v>949</v>
      </c>
      <c r="E93" s="83"/>
      <c r="F93" s="83"/>
      <c r="G93" s="83"/>
      <c r="H93" s="83"/>
    </row>
    <row r="94" spans="1:11" s="88" customFormat="1">
      <c r="B94" s="84"/>
      <c r="C94" s="184" t="s">
        <v>950</v>
      </c>
      <c r="D94" s="83">
        <f>Calculations!F362</f>
        <v>0</v>
      </c>
      <c r="E94" s="83"/>
      <c r="F94" s="83"/>
      <c r="G94" s="139"/>
      <c r="H94" s="83"/>
    </row>
    <row r="95" spans="1:11" s="88" customFormat="1">
      <c r="B95" s="84"/>
      <c r="C95" s="184" t="s">
        <v>951</v>
      </c>
      <c r="D95" s="83">
        <f>Calculations!F363</f>
        <v>0</v>
      </c>
      <c r="E95" s="83"/>
      <c r="F95" s="139"/>
      <c r="G95" s="83"/>
      <c r="H95" s="83"/>
    </row>
    <row r="96" spans="1:11" s="88" customFormat="1">
      <c r="B96" s="186"/>
      <c r="C96" s="185" t="s">
        <v>952</v>
      </c>
      <c r="D96" s="83">
        <f>Calculations!F364</f>
        <v>0</v>
      </c>
      <c r="E96" s="83"/>
      <c r="F96" s="83"/>
      <c r="G96" s="83"/>
      <c r="H96" s="83"/>
    </row>
    <row r="97" spans="1:12" s="88" customFormat="1">
      <c r="B97" s="102"/>
      <c r="C97" s="121" t="s">
        <v>953</v>
      </c>
      <c r="D97" s="83">
        <f>Calculations!F365</f>
        <v>0</v>
      </c>
      <c r="E97" s="83"/>
      <c r="F97" s="139"/>
      <c r="G97" s="83"/>
      <c r="H97" s="83"/>
    </row>
    <row r="98" spans="1:12" s="88" customFormat="1">
      <c r="B98" s="84"/>
      <c r="C98" s="587"/>
      <c r="D98" s="588"/>
      <c r="E98" s="83"/>
      <c r="F98" s="83"/>
      <c r="G98" s="83"/>
      <c r="H98" s="83"/>
    </row>
    <row r="99" spans="1:12" s="88" customFormat="1">
      <c r="B99" s="102"/>
      <c r="C99" s="121"/>
      <c r="D99" s="589"/>
      <c r="E99" s="83"/>
      <c r="F99" s="83"/>
      <c r="G99" s="83"/>
      <c r="H99" s="83"/>
    </row>
    <row r="100" spans="1:12" s="88" customFormat="1">
      <c r="B100" s="102"/>
      <c r="C100" s="121"/>
      <c r="D100" s="83"/>
      <c r="E100" s="83"/>
      <c r="F100" s="83"/>
      <c r="G100" s="83"/>
      <c r="H100" s="83"/>
    </row>
    <row r="101" spans="1:12" ht="15" customHeight="1">
      <c r="A101" s="1088" t="s">
        <v>954</v>
      </c>
      <c r="B101" s="1088"/>
      <c r="C101" s="1088"/>
      <c r="D101" s="1088"/>
      <c r="E101" s="1088"/>
      <c r="F101" s="1088"/>
      <c r="G101" s="1088"/>
      <c r="H101" s="1088"/>
      <c r="I101" s="1088"/>
      <c r="J101" s="1088"/>
      <c r="K101" s="1088"/>
    </row>
    <row r="103" spans="1:12" ht="28.8">
      <c r="D103" s="74" t="s">
        <v>955</v>
      </c>
      <c r="E103" s="74" t="s">
        <v>956</v>
      </c>
      <c r="F103" s="115" t="s">
        <v>957</v>
      </c>
      <c r="G103" s="10" t="s">
        <v>958</v>
      </c>
    </row>
    <row r="104" spans="1:12" ht="15" customHeight="1">
      <c r="C104" s="114" t="s">
        <v>959</v>
      </c>
      <c r="D104" s="106">
        <f>Calculations!B352</f>
        <v>0</v>
      </c>
      <c r="E104" s="106">
        <f>Calculations!C352</f>
        <v>0</v>
      </c>
      <c r="F104" s="106">
        <f>Calculations!D352</f>
        <v>4500</v>
      </c>
      <c r="G104" s="283" t="str">
        <f>Calculations!G352</f>
        <v/>
      </c>
    </row>
    <row r="105" spans="1:12">
      <c r="C105" s="114" t="s">
        <v>486</v>
      </c>
      <c r="D105" s="106">
        <f>Calculations!B353</f>
        <v>0</v>
      </c>
      <c r="E105" s="106">
        <f>Calculations!C353</f>
        <v>0</v>
      </c>
      <c r="F105" s="106">
        <f>Calculations!D353</f>
        <v>350</v>
      </c>
      <c r="G105" s="283" t="str">
        <f>Calculations!G353</f>
        <v/>
      </c>
    </row>
    <row r="106" spans="1:12">
      <c r="C106" s="114" t="s">
        <v>960</v>
      </c>
      <c r="D106" s="106">
        <f>Calculations!B355</f>
        <v>0</v>
      </c>
      <c r="F106" s="106">
        <f>Calculations!D355</f>
        <v>0</v>
      </c>
      <c r="G106" s="283" t="str">
        <f>Calculations!G355</f>
        <v>The minimum development operating reserves requirement has been met</v>
      </c>
    </row>
    <row r="108" spans="1:12" s="88" customFormat="1">
      <c r="A108" s="1088" t="s">
        <v>961</v>
      </c>
      <c r="B108" s="1088"/>
      <c r="C108" s="1088"/>
      <c r="D108" s="1088"/>
      <c r="E108" s="1088"/>
      <c r="F108" s="1088"/>
      <c r="G108" s="1088"/>
      <c r="H108" s="1088"/>
      <c r="I108" s="1088"/>
      <c r="J108" s="1088"/>
      <c r="K108" s="1088"/>
    </row>
    <row r="109" spans="1:12" s="88" customFormat="1">
      <c r="A109" s="1100" t="s">
        <v>962</v>
      </c>
      <c r="B109" s="1100"/>
      <c r="C109" s="1100"/>
      <c r="D109" s="1100"/>
      <c r="E109" s="1100"/>
      <c r="F109" s="1100"/>
      <c r="G109" s="1100"/>
      <c r="H109" s="1100"/>
      <c r="I109" s="1100"/>
      <c r="J109" s="1100"/>
      <c r="K109" s="1100"/>
    </row>
    <row r="110" spans="1:12" s="88" customFormat="1">
      <c r="L110" s="18"/>
    </row>
    <row r="111" spans="1:12" s="88" customFormat="1">
      <c r="C111" s="74" t="s">
        <v>531</v>
      </c>
      <c r="D111" s="74" t="s">
        <v>963</v>
      </c>
      <c r="E111" s="74" t="s">
        <v>533</v>
      </c>
      <c r="F111" s="74" t="s">
        <v>534</v>
      </c>
      <c r="G111" s="74" t="s">
        <v>535</v>
      </c>
      <c r="H111" s="74" t="s">
        <v>536</v>
      </c>
      <c r="I111" s="74" t="s">
        <v>537</v>
      </c>
      <c r="J111" s="74" t="s">
        <v>538</v>
      </c>
    </row>
    <row r="112" spans="1:12" s="88" customFormat="1">
      <c r="B112" s="187" t="str">
        <f>Calculations!A379</f>
        <v>Effective Gross Income</v>
      </c>
      <c r="C112" s="106">
        <f>Calculations!B379</f>
        <v>0</v>
      </c>
      <c r="D112" s="106">
        <f>Calculations!C379</f>
        <v>0</v>
      </c>
      <c r="E112" s="106">
        <f>Calculations!D379</f>
        <v>0</v>
      </c>
      <c r="F112" s="106">
        <f>Calculations!E379</f>
        <v>0</v>
      </c>
      <c r="G112" s="106">
        <f>Calculations!F379</f>
        <v>0</v>
      </c>
      <c r="H112" s="106">
        <f>Calculations!G379</f>
        <v>0</v>
      </c>
      <c r="I112" s="106">
        <f>Calculations!H379</f>
        <v>0</v>
      </c>
      <c r="J112" s="106">
        <f>Calculations!I379</f>
        <v>0</v>
      </c>
    </row>
    <row r="113" spans="2:10" s="88" customFormat="1">
      <c r="B113" s="187" t="str">
        <f>Calculations!A380</f>
        <v>Total Project Expenses</v>
      </c>
      <c r="C113" s="106">
        <f>Calculations!B380</f>
        <v>0</v>
      </c>
      <c r="D113" s="106">
        <f>Calculations!C380</f>
        <v>0</v>
      </c>
      <c r="E113" s="106">
        <f>Calculations!D380</f>
        <v>0</v>
      </c>
      <c r="F113" s="106">
        <f>Calculations!E380</f>
        <v>0</v>
      </c>
      <c r="G113" s="106">
        <f>Calculations!F380</f>
        <v>0</v>
      </c>
      <c r="H113" s="106">
        <f>Calculations!G380</f>
        <v>0</v>
      </c>
      <c r="I113" s="106">
        <f>Calculations!H380</f>
        <v>0</v>
      </c>
      <c r="J113" s="106">
        <f>Calculations!I380</f>
        <v>0</v>
      </c>
    </row>
    <row r="114" spans="2:10" s="88" customFormat="1">
      <c r="B114" s="187" t="str">
        <f>Calculations!A381</f>
        <v>Net Operating Income</v>
      </c>
      <c r="C114" s="106">
        <f>Calculations!B381</f>
        <v>0</v>
      </c>
      <c r="D114" s="106">
        <f>Calculations!C381</f>
        <v>0</v>
      </c>
      <c r="E114" s="106">
        <f>Calculations!D381</f>
        <v>0</v>
      </c>
      <c r="F114" s="106">
        <f>Calculations!E381</f>
        <v>0</v>
      </c>
      <c r="G114" s="106">
        <f>Calculations!F381</f>
        <v>0</v>
      </c>
      <c r="H114" s="106">
        <f>Calculations!G381</f>
        <v>0</v>
      </c>
      <c r="I114" s="106">
        <f>Calculations!H381</f>
        <v>0</v>
      </c>
      <c r="J114" s="106">
        <f>Calculations!I381</f>
        <v>0</v>
      </c>
    </row>
    <row r="115" spans="2:10" s="88" customFormat="1">
      <c r="B115" s="187" t="str">
        <f>Calculations!A382</f>
        <v>First Mortgage</v>
      </c>
      <c r="C115" s="106">
        <f>Calculations!B382</f>
        <v>0</v>
      </c>
      <c r="D115" s="106">
        <f>Calculations!C382</f>
        <v>0</v>
      </c>
      <c r="E115" s="106">
        <f>Calculations!D382</f>
        <v>0</v>
      </c>
      <c r="F115" s="106">
        <f>Calculations!E382</f>
        <v>0</v>
      </c>
      <c r="G115" s="106">
        <f>Calculations!F382</f>
        <v>0</v>
      </c>
      <c r="H115" s="106">
        <f>Calculations!G382</f>
        <v>0</v>
      </c>
      <c r="I115" s="106">
        <f>Calculations!H382</f>
        <v>0</v>
      </c>
      <c r="J115" s="106">
        <f>Calculations!I382</f>
        <v>0</v>
      </c>
    </row>
    <row r="116" spans="2:10" s="88" customFormat="1">
      <c r="B116" s="187" t="str">
        <f>Calculations!A383</f>
        <v>Second Mortgage</v>
      </c>
      <c r="C116" s="106">
        <f>Calculations!B383</f>
        <v>0</v>
      </c>
      <c r="D116" s="106">
        <f>Calculations!C383</f>
        <v>0</v>
      </c>
      <c r="E116" s="106">
        <f>Calculations!D383</f>
        <v>0</v>
      </c>
      <c r="F116" s="106">
        <f>Calculations!E383</f>
        <v>0</v>
      </c>
      <c r="G116" s="106">
        <f>Calculations!F383</f>
        <v>0</v>
      </c>
      <c r="H116" s="106">
        <f>Calculations!G383</f>
        <v>0</v>
      </c>
      <c r="I116" s="106">
        <f>Calculations!H383</f>
        <v>0</v>
      </c>
      <c r="J116" s="106">
        <f>Calculations!I383</f>
        <v>0</v>
      </c>
    </row>
    <row r="117" spans="2:10" s="88" customFormat="1">
      <c r="B117" s="187" t="str">
        <f>Calculations!A384</f>
        <v>Third Mortgage</v>
      </c>
      <c r="C117" s="106">
        <f>Calculations!B384</f>
        <v>0</v>
      </c>
      <c r="D117" s="106">
        <f>Calculations!C384</f>
        <v>0</v>
      </c>
      <c r="E117" s="106">
        <f>Calculations!D384</f>
        <v>0</v>
      </c>
      <c r="F117" s="106">
        <f>Calculations!E384</f>
        <v>0</v>
      </c>
      <c r="G117" s="106">
        <f>Calculations!F384</f>
        <v>0</v>
      </c>
      <c r="H117" s="106">
        <f>Calculations!G384</f>
        <v>0</v>
      </c>
      <c r="I117" s="106">
        <f>Calculations!H384</f>
        <v>0</v>
      </c>
      <c r="J117" s="106">
        <f>Calculations!I384</f>
        <v>0</v>
      </c>
    </row>
    <row r="118" spans="2:10" s="88" customFormat="1">
      <c r="B118" s="187" t="str">
        <f>Calculations!A385</f>
        <v>Net Project Cash Flow</v>
      </c>
      <c r="C118" s="106">
        <f>Calculations!B385</f>
        <v>0</v>
      </c>
      <c r="D118" s="106">
        <f>Calculations!C385</f>
        <v>0</v>
      </c>
      <c r="E118" s="106">
        <f>Calculations!D385</f>
        <v>0</v>
      </c>
      <c r="F118" s="106">
        <f>Calculations!E385</f>
        <v>0</v>
      </c>
      <c r="G118" s="106">
        <f>Calculations!F385</f>
        <v>0</v>
      </c>
      <c r="H118" s="106">
        <f>Calculations!G385</f>
        <v>0</v>
      </c>
      <c r="I118" s="106">
        <f>Calculations!H385</f>
        <v>0</v>
      </c>
      <c r="J118" s="106">
        <f>Calculations!I385</f>
        <v>0</v>
      </c>
    </row>
    <row r="119" spans="2:10" s="88" customFormat="1">
      <c r="B119" s="187" t="str">
        <f>Calculations!A386</f>
        <v>Debt Coverage Ratio</v>
      </c>
      <c r="C119" s="330" t="str">
        <f>Calculations!B386</f>
        <v>Loans Missing</v>
      </c>
      <c r="D119" s="330" t="str">
        <f>Calculations!C386</f>
        <v>Loans Missing</v>
      </c>
      <c r="E119" s="330" t="str">
        <f>Calculations!D386</f>
        <v>Loans Missing</v>
      </c>
      <c r="F119" s="330" t="str">
        <f>Calculations!E386</f>
        <v>Loans Missing</v>
      </c>
      <c r="G119" s="330" t="str">
        <f>Calculations!F386</f>
        <v>Loans Missing</v>
      </c>
      <c r="H119" s="330" t="str">
        <f>Calculations!G386</f>
        <v>Loans Missing</v>
      </c>
      <c r="I119" s="330" t="str">
        <f>Calculations!H386</f>
        <v>Loans Missing</v>
      </c>
      <c r="J119" s="330" t="str">
        <f>Calculations!I386</f>
        <v>Loans Missing</v>
      </c>
    </row>
    <row r="120" spans="2:10" s="88" customFormat="1">
      <c r="B120" s="187"/>
      <c r="C120" s="106"/>
      <c r="D120" s="106"/>
      <c r="E120" s="106"/>
      <c r="F120" s="106"/>
      <c r="G120" s="106"/>
      <c r="H120" s="106"/>
      <c r="I120" s="106"/>
      <c r="J120" s="106"/>
    </row>
    <row r="121" spans="2:10" s="88" customFormat="1" ht="28.8">
      <c r="B121" s="188" t="str">
        <f>Calculations!A388</f>
        <v>Cash Flow Available for Distribution</v>
      </c>
      <c r="C121" s="113">
        <f>Calculations!B388</f>
        <v>0</v>
      </c>
      <c r="D121" s="113">
        <f>Calculations!C388</f>
        <v>0</v>
      </c>
      <c r="E121" s="113">
        <f>Calculations!D388</f>
        <v>0</v>
      </c>
      <c r="F121" s="113">
        <f>Calculations!E388</f>
        <v>0</v>
      </c>
      <c r="G121" s="113">
        <f>Calculations!F388</f>
        <v>0</v>
      </c>
      <c r="H121" s="113">
        <f>Calculations!G388</f>
        <v>0</v>
      </c>
      <c r="I121" s="113">
        <f>Calculations!H388</f>
        <v>0</v>
      </c>
      <c r="J121" s="113">
        <f>Calculations!I388</f>
        <v>0</v>
      </c>
    </row>
    <row r="122" spans="2:10" s="88" customFormat="1" ht="28.8">
      <c r="B122" s="188" t="str">
        <f>Calculations!A389</f>
        <v>Partnership/Asset Mgt. Fees</v>
      </c>
      <c r="C122" s="113">
        <f>Calculations!B389</f>
        <v>0</v>
      </c>
      <c r="D122" s="113">
        <f>Calculations!C389</f>
        <v>0</v>
      </c>
      <c r="E122" s="113">
        <f>Calculations!D389</f>
        <v>0</v>
      </c>
      <c r="F122" s="113">
        <f>Calculations!E389</f>
        <v>0</v>
      </c>
      <c r="G122" s="113">
        <f>Calculations!F389</f>
        <v>0</v>
      </c>
      <c r="H122" s="113">
        <f>Calculations!G389</f>
        <v>0</v>
      </c>
      <c r="I122" s="113">
        <f>Calculations!H389</f>
        <v>0</v>
      </c>
      <c r="J122" s="113">
        <f>Calculations!I389</f>
        <v>0</v>
      </c>
    </row>
    <row r="123" spans="2:10" s="88" customFormat="1">
      <c r="B123" s="188" t="str">
        <f>Calculations!A390</f>
        <v>Bond Fees (if applicable)</v>
      </c>
      <c r="C123" s="113">
        <f>Calculations!B390</f>
        <v>0</v>
      </c>
      <c r="D123" s="113">
        <f>Calculations!C390</f>
        <v>0</v>
      </c>
      <c r="E123" s="113">
        <f>Calculations!D390</f>
        <v>0</v>
      </c>
      <c r="F123" s="113">
        <f>Calculations!E390</f>
        <v>0</v>
      </c>
      <c r="G123" s="113">
        <f>Calculations!F390</f>
        <v>0</v>
      </c>
      <c r="H123" s="113">
        <f>Calculations!G390</f>
        <v>0</v>
      </c>
      <c r="I123" s="113">
        <f>Calculations!H390</f>
        <v>0</v>
      </c>
      <c r="J123" s="113">
        <f>Calculations!I390</f>
        <v>0</v>
      </c>
    </row>
    <row r="124" spans="2:10" s="88" customFormat="1" ht="28.8">
      <c r="B124" s="188" t="str">
        <f>Calculations!A391</f>
        <v>Deferred Developer Fee Repayment*</v>
      </c>
      <c r="C124" s="113">
        <f>Calculations!B391</f>
        <v>0</v>
      </c>
      <c r="D124" s="113">
        <f>Calculations!C391</f>
        <v>0</v>
      </c>
      <c r="E124" s="113">
        <f>Calculations!D391</f>
        <v>0</v>
      </c>
      <c r="F124" s="113">
        <f>Calculations!E391</f>
        <v>0</v>
      </c>
      <c r="G124" s="113">
        <f>Calculations!F391</f>
        <v>0</v>
      </c>
      <c r="H124" s="113">
        <f>Calculations!G391</f>
        <v>0</v>
      </c>
      <c r="I124" s="113">
        <f>Calculations!H391</f>
        <v>0</v>
      </c>
      <c r="J124" s="113">
        <f>Calculations!I391</f>
        <v>0</v>
      </c>
    </row>
    <row r="125" spans="2:10" s="88" customFormat="1">
      <c r="B125" s="188" t="str">
        <f>Calculations!A392</f>
        <v>Other (Specify)</v>
      </c>
      <c r="C125" s="113">
        <f>Calculations!B392</f>
        <v>0</v>
      </c>
      <c r="D125" s="113">
        <f>Calculations!C392</f>
        <v>0</v>
      </c>
      <c r="E125" s="113">
        <f>Calculations!D392</f>
        <v>0</v>
      </c>
      <c r="F125" s="113">
        <f>Calculations!E392</f>
        <v>0</v>
      </c>
      <c r="G125" s="113">
        <f>Calculations!F392</f>
        <v>0</v>
      </c>
      <c r="H125" s="113">
        <f>Calculations!G392</f>
        <v>0</v>
      </c>
      <c r="I125" s="113">
        <f>Calculations!H392</f>
        <v>0</v>
      </c>
      <c r="J125" s="113">
        <f>Calculations!I392</f>
        <v>0</v>
      </c>
    </row>
    <row r="126" spans="2:10" s="88" customFormat="1" ht="32.25" customHeight="1">
      <c r="B126" s="188" t="str">
        <f>Calculations!A393</f>
        <v>Cash Flow Paid for Services</v>
      </c>
      <c r="C126" s="113">
        <f>Calculations!B393</f>
        <v>0</v>
      </c>
      <c r="D126" s="113">
        <f>Calculations!C393</f>
        <v>0</v>
      </c>
      <c r="E126" s="113">
        <f>Calculations!D393</f>
        <v>0</v>
      </c>
      <c r="F126" s="113">
        <f>Calculations!E393</f>
        <v>0</v>
      </c>
      <c r="G126" s="113">
        <f>Calculations!F393</f>
        <v>0</v>
      </c>
      <c r="H126" s="113">
        <f>Calculations!G393</f>
        <v>0</v>
      </c>
      <c r="I126" s="113">
        <f>Calculations!H393</f>
        <v>0</v>
      </c>
      <c r="J126" s="113">
        <f>Calculations!I393</f>
        <v>0</v>
      </c>
    </row>
    <row r="127" spans="2:10" s="88" customFormat="1" ht="28.8">
      <c r="B127" s="188" t="str">
        <f>Calculations!A394</f>
        <v>Cash Flow Available after above obligations</v>
      </c>
      <c r="C127" s="113">
        <f>Calculations!B394</f>
        <v>0</v>
      </c>
      <c r="D127" s="113">
        <f>Calculations!C394</f>
        <v>0</v>
      </c>
      <c r="E127" s="113">
        <f>Calculations!D394</f>
        <v>0</v>
      </c>
      <c r="F127" s="113">
        <f>Calculations!E394</f>
        <v>0</v>
      </c>
      <c r="G127" s="113">
        <f>Calculations!F394</f>
        <v>0</v>
      </c>
      <c r="H127" s="113">
        <f>Calculations!G394</f>
        <v>0</v>
      </c>
      <c r="I127" s="113">
        <f>Calculations!H394</f>
        <v>0</v>
      </c>
      <c r="J127" s="113">
        <f>Calculations!I394</f>
        <v>0</v>
      </c>
    </row>
    <row r="128" spans="2:10" s="88" customFormat="1"/>
    <row r="129" spans="2:10" s="88" customFormat="1">
      <c r="C129" s="74" t="s">
        <v>539</v>
      </c>
      <c r="D129" s="74" t="s">
        <v>540</v>
      </c>
      <c r="E129" s="74" t="s">
        <v>541</v>
      </c>
      <c r="F129" s="74" t="s">
        <v>542</v>
      </c>
      <c r="G129" s="74" t="s">
        <v>543</v>
      </c>
      <c r="H129" s="74" t="s">
        <v>544</v>
      </c>
      <c r="I129" s="74" t="s">
        <v>545</v>
      </c>
      <c r="J129" s="182"/>
    </row>
    <row r="130" spans="2:10" s="88" customFormat="1">
      <c r="B130" s="187" t="str">
        <f>Calculations!A379</f>
        <v>Effective Gross Income</v>
      </c>
      <c r="C130" s="113">
        <f>Calculations!J379</f>
        <v>0</v>
      </c>
      <c r="D130" s="113">
        <f>Calculations!K379</f>
        <v>0</v>
      </c>
      <c r="E130" s="113">
        <f>Calculations!L379</f>
        <v>0</v>
      </c>
      <c r="F130" s="113">
        <f>Calculations!M379</f>
        <v>0</v>
      </c>
      <c r="G130" s="113">
        <f>Calculations!N379</f>
        <v>0</v>
      </c>
      <c r="H130" s="113">
        <f>Calculations!O379</f>
        <v>0</v>
      </c>
      <c r="I130" s="113">
        <f>Calculations!P379</f>
        <v>0</v>
      </c>
    </row>
    <row r="131" spans="2:10" s="88" customFormat="1">
      <c r="B131" s="187" t="str">
        <f>Calculations!A380</f>
        <v>Total Project Expenses</v>
      </c>
      <c r="C131" s="113">
        <f>Calculations!J380</f>
        <v>0</v>
      </c>
      <c r="D131" s="113">
        <f>Calculations!K380</f>
        <v>0</v>
      </c>
      <c r="E131" s="113">
        <f>Calculations!L380</f>
        <v>0</v>
      </c>
      <c r="F131" s="113">
        <f>Calculations!M380</f>
        <v>0</v>
      </c>
      <c r="G131" s="113">
        <f>Calculations!N380</f>
        <v>0</v>
      </c>
      <c r="H131" s="113">
        <f>Calculations!O380</f>
        <v>0</v>
      </c>
      <c r="I131" s="113">
        <f>Calculations!P380</f>
        <v>0</v>
      </c>
    </row>
    <row r="132" spans="2:10" s="88" customFormat="1">
      <c r="B132" s="187" t="str">
        <f>Calculations!A381</f>
        <v>Net Operating Income</v>
      </c>
      <c r="C132" s="113">
        <f>Calculations!J381</f>
        <v>0</v>
      </c>
      <c r="D132" s="113">
        <f>Calculations!K381</f>
        <v>0</v>
      </c>
      <c r="E132" s="113">
        <f>Calculations!L381</f>
        <v>0</v>
      </c>
      <c r="F132" s="113">
        <f>Calculations!M381</f>
        <v>0</v>
      </c>
      <c r="G132" s="113">
        <f>Calculations!N381</f>
        <v>0</v>
      </c>
      <c r="H132" s="113">
        <f>Calculations!O381</f>
        <v>0</v>
      </c>
      <c r="I132" s="113">
        <f>Calculations!P381</f>
        <v>0</v>
      </c>
    </row>
    <row r="133" spans="2:10" s="88" customFormat="1">
      <c r="B133" s="187" t="str">
        <f>Calculations!A382</f>
        <v>First Mortgage</v>
      </c>
      <c r="C133" s="113">
        <f>Calculations!J382</f>
        <v>0</v>
      </c>
      <c r="D133" s="113">
        <f>Calculations!K382</f>
        <v>0</v>
      </c>
      <c r="E133" s="113">
        <f>Calculations!L382</f>
        <v>0</v>
      </c>
      <c r="F133" s="113">
        <f>Calculations!M382</f>
        <v>0</v>
      </c>
      <c r="G133" s="113">
        <f>Calculations!N382</f>
        <v>0</v>
      </c>
      <c r="H133" s="113">
        <f>Calculations!O382</f>
        <v>0</v>
      </c>
      <c r="I133" s="113">
        <f>Calculations!P382</f>
        <v>0</v>
      </c>
    </row>
    <row r="134" spans="2:10" s="88" customFormat="1">
      <c r="B134" s="187" t="str">
        <f>Calculations!A383</f>
        <v>Second Mortgage</v>
      </c>
      <c r="C134" s="113">
        <f>Calculations!J383</f>
        <v>0</v>
      </c>
      <c r="D134" s="113">
        <f>Calculations!K383</f>
        <v>0</v>
      </c>
      <c r="E134" s="113">
        <f>Calculations!L383</f>
        <v>0</v>
      </c>
      <c r="F134" s="113">
        <f>Calculations!M383</f>
        <v>0</v>
      </c>
      <c r="G134" s="113">
        <f>Calculations!N383</f>
        <v>0</v>
      </c>
      <c r="H134" s="113">
        <f>Calculations!O383</f>
        <v>0</v>
      </c>
      <c r="I134" s="113">
        <f>Calculations!P383</f>
        <v>0</v>
      </c>
    </row>
    <row r="135" spans="2:10" s="88" customFormat="1">
      <c r="B135" s="187" t="str">
        <f>Calculations!A384</f>
        <v>Third Mortgage</v>
      </c>
      <c r="C135" s="113">
        <f>Calculations!J384</f>
        <v>0</v>
      </c>
      <c r="D135" s="113">
        <f>Calculations!K384</f>
        <v>0</v>
      </c>
      <c r="E135" s="113">
        <f>Calculations!L384</f>
        <v>0</v>
      </c>
      <c r="F135" s="113">
        <f>Calculations!M384</f>
        <v>0</v>
      </c>
      <c r="G135" s="113">
        <f>Calculations!N384</f>
        <v>0</v>
      </c>
      <c r="H135" s="113">
        <f>Calculations!O384</f>
        <v>0</v>
      </c>
      <c r="I135" s="113">
        <f>Calculations!P384</f>
        <v>0</v>
      </c>
    </row>
    <row r="136" spans="2:10" s="88" customFormat="1">
      <c r="B136" s="187" t="str">
        <f>Calculations!A385</f>
        <v>Net Project Cash Flow</v>
      </c>
      <c r="C136" s="113">
        <f>Calculations!J385</f>
        <v>0</v>
      </c>
      <c r="D136" s="113">
        <f>Calculations!K385</f>
        <v>0</v>
      </c>
      <c r="E136" s="113">
        <f>Calculations!L385</f>
        <v>0</v>
      </c>
      <c r="F136" s="113">
        <f>Calculations!M385</f>
        <v>0</v>
      </c>
      <c r="G136" s="113">
        <f>Calculations!N385</f>
        <v>0</v>
      </c>
      <c r="H136" s="113">
        <f>Calculations!O385</f>
        <v>0</v>
      </c>
      <c r="I136" s="113">
        <f>Calculations!P385</f>
        <v>0</v>
      </c>
    </row>
    <row r="137" spans="2:10" s="88" customFormat="1">
      <c r="B137" s="187" t="str">
        <f>Calculations!A386</f>
        <v>Debt Coverage Ratio</v>
      </c>
      <c r="C137" s="330" t="str">
        <f>Calculations!J386</f>
        <v>Loans Missing</v>
      </c>
      <c r="D137" s="330" t="str">
        <f>Calculations!K386</f>
        <v>Loans Missing</v>
      </c>
      <c r="E137" s="330" t="str">
        <f>Calculations!L386</f>
        <v>Loans Missing</v>
      </c>
      <c r="F137" s="330" t="str">
        <f>Calculations!M386</f>
        <v>Loans Missing</v>
      </c>
      <c r="G137" s="330" t="str">
        <f>Calculations!N386</f>
        <v>Loans Missing</v>
      </c>
      <c r="H137" s="330" t="str">
        <f>Calculations!O386</f>
        <v>Loans Missing</v>
      </c>
      <c r="I137" s="330" t="str">
        <f>Calculations!P386</f>
        <v>Loans Missing</v>
      </c>
    </row>
    <row r="138" spans="2:10" s="88" customFormat="1">
      <c r="B138" s="187"/>
      <c r="C138" s="106"/>
      <c r="D138" s="106"/>
      <c r="E138" s="106"/>
      <c r="F138" s="106"/>
      <c r="G138" s="106"/>
      <c r="H138" s="106"/>
      <c r="I138" s="106"/>
    </row>
    <row r="139" spans="2:10" s="88" customFormat="1" ht="28.8">
      <c r="B139" s="188" t="str">
        <f>Calculations!A388</f>
        <v>Cash Flow Available for Distribution</v>
      </c>
      <c r="C139" s="113">
        <f>Calculations!J388</f>
        <v>0</v>
      </c>
      <c r="D139" s="113">
        <f>Calculations!K388</f>
        <v>0</v>
      </c>
      <c r="E139" s="113">
        <f>Calculations!L388</f>
        <v>0</v>
      </c>
      <c r="F139" s="113">
        <f>Calculations!M388</f>
        <v>0</v>
      </c>
      <c r="G139" s="113">
        <f>Calculations!N388</f>
        <v>0</v>
      </c>
      <c r="H139" s="113">
        <f>Calculations!O388</f>
        <v>0</v>
      </c>
      <c r="I139" s="113">
        <f>Calculations!P388</f>
        <v>0</v>
      </c>
    </row>
    <row r="140" spans="2:10" s="88" customFormat="1" ht="28.8">
      <c r="B140" s="188" t="str">
        <f>Calculations!A389</f>
        <v>Partnership/Asset Mgt. Fees</v>
      </c>
      <c r="C140" s="113">
        <f>Calculations!J389</f>
        <v>0</v>
      </c>
      <c r="D140" s="113">
        <f>Calculations!K389</f>
        <v>0</v>
      </c>
      <c r="E140" s="113">
        <f>Calculations!L389</f>
        <v>0</v>
      </c>
      <c r="F140" s="113">
        <f>Calculations!M389</f>
        <v>0</v>
      </c>
      <c r="G140" s="113">
        <f>Calculations!N389</f>
        <v>0</v>
      </c>
      <c r="H140" s="113">
        <f>Calculations!O389</f>
        <v>0</v>
      </c>
      <c r="I140" s="113">
        <f>Calculations!P389</f>
        <v>0</v>
      </c>
    </row>
    <row r="141" spans="2:10" s="88" customFormat="1">
      <c r="B141" s="188" t="str">
        <f>Calculations!A390</f>
        <v>Bond Fees (if applicable)</v>
      </c>
      <c r="C141" s="113">
        <f>Calculations!J390</f>
        <v>0</v>
      </c>
      <c r="D141" s="113">
        <f>Calculations!K390</f>
        <v>0</v>
      </c>
      <c r="E141" s="113">
        <f>Calculations!L390</f>
        <v>0</v>
      </c>
      <c r="F141" s="113">
        <f>Calculations!M390</f>
        <v>0</v>
      </c>
      <c r="G141" s="113">
        <f>Calculations!N390</f>
        <v>0</v>
      </c>
      <c r="H141" s="113">
        <f>Calculations!O390</f>
        <v>0</v>
      </c>
      <c r="I141" s="113">
        <f>Calculations!P390</f>
        <v>0</v>
      </c>
    </row>
    <row r="142" spans="2:10" s="88" customFormat="1" ht="28.8">
      <c r="B142" s="188" t="str">
        <f>Calculations!A391</f>
        <v>Deferred Developer Fee Repayment*</v>
      </c>
      <c r="C142" s="113">
        <f>Calculations!J391</f>
        <v>0</v>
      </c>
      <c r="D142" s="113">
        <f>Calculations!K391</f>
        <v>0</v>
      </c>
      <c r="E142" s="113">
        <f>Calculations!L391</f>
        <v>0</v>
      </c>
      <c r="F142" s="113">
        <f>Calculations!M391</f>
        <v>0</v>
      </c>
      <c r="G142" s="113">
        <f>Calculations!N391</f>
        <v>0</v>
      </c>
      <c r="H142" s="113">
        <f>Calculations!O391</f>
        <v>0</v>
      </c>
      <c r="I142" s="113">
        <f>Calculations!P391</f>
        <v>0</v>
      </c>
    </row>
    <row r="143" spans="2:10" s="88" customFormat="1">
      <c r="B143" s="188" t="str">
        <f>Calculations!A392</f>
        <v>Other (Specify)</v>
      </c>
      <c r="C143" s="113">
        <f>Calculations!J392</f>
        <v>0</v>
      </c>
      <c r="D143" s="113">
        <f>Calculations!K392</f>
        <v>0</v>
      </c>
      <c r="E143" s="113">
        <f>Calculations!L392</f>
        <v>0</v>
      </c>
      <c r="F143" s="113">
        <f>Calculations!M392</f>
        <v>0</v>
      </c>
      <c r="G143" s="113">
        <f>Calculations!N392</f>
        <v>0</v>
      </c>
      <c r="H143" s="113">
        <f>Calculations!O392</f>
        <v>0</v>
      </c>
      <c r="I143" s="113">
        <f>Calculations!P392</f>
        <v>0</v>
      </c>
    </row>
    <row r="144" spans="2:10" s="88" customFormat="1" ht="28.8">
      <c r="B144" s="188" t="str">
        <f>Calculations!A393</f>
        <v>Cash Flow Paid for Services</v>
      </c>
      <c r="C144" s="113">
        <f>Calculations!J393</f>
        <v>0</v>
      </c>
      <c r="D144" s="113">
        <f>Calculations!K393</f>
        <v>0</v>
      </c>
      <c r="E144" s="113">
        <f>Calculations!L393</f>
        <v>0</v>
      </c>
      <c r="F144" s="113">
        <f>Calculations!M393</f>
        <v>0</v>
      </c>
      <c r="G144" s="113">
        <f>Calculations!N393</f>
        <v>0</v>
      </c>
      <c r="H144" s="113">
        <f>Calculations!O393</f>
        <v>0</v>
      </c>
      <c r="I144" s="113">
        <f>Calculations!P393</f>
        <v>0</v>
      </c>
    </row>
    <row r="145" spans="1:13" s="88" customFormat="1" ht="29.25" customHeight="1">
      <c r="B145" s="188" t="str">
        <f>Calculations!A394</f>
        <v>Cash Flow Available after above obligations</v>
      </c>
      <c r="C145" s="113">
        <f>Calculations!J394</f>
        <v>0</v>
      </c>
      <c r="D145" s="113">
        <f>Calculations!K394</f>
        <v>0</v>
      </c>
      <c r="E145" s="113">
        <f>Calculations!L394</f>
        <v>0</v>
      </c>
      <c r="F145" s="113">
        <f>Calculations!M394</f>
        <v>0</v>
      </c>
      <c r="G145" s="113">
        <f>Calculations!N394</f>
        <v>0</v>
      </c>
      <c r="H145" s="113">
        <f>Calculations!O394</f>
        <v>0</v>
      </c>
      <c r="I145" s="113">
        <f>Calculations!P394</f>
        <v>0</v>
      </c>
    </row>
    <row r="146" spans="1:13" s="88" customFormat="1" ht="14.25" customHeight="1">
      <c r="B146" s="188"/>
      <c r="C146" s="113"/>
      <c r="D146" s="113"/>
      <c r="E146" s="113"/>
      <c r="F146" s="113"/>
      <c r="G146" s="113"/>
      <c r="H146" s="113"/>
      <c r="I146" s="113"/>
    </row>
    <row r="147" spans="1:13" s="88" customFormat="1" ht="14.25" customHeight="1">
      <c r="B147" s="188"/>
      <c r="C147" s="113"/>
      <c r="D147" s="113"/>
      <c r="E147" s="113"/>
      <c r="F147" s="620" t="str">
        <f>Calculations!G396</f>
        <v>Cash Flow After Above Obligations Must Be Positive</v>
      </c>
      <c r="G147" s="113"/>
      <c r="H147" s="113"/>
      <c r="I147" s="113"/>
    </row>
    <row r="148" spans="1:13" s="88" customFormat="1" ht="21.6">
      <c r="C148" s="114" t="s">
        <v>378</v>
      </c>
      <c r="D148" s="106">
        <f>Calculations!B140</f>
        <v>0</v>
      </c>
      <c r="F148" s="1058" t="str">
        <f>Calculations!C396</f>
        <v>DDF could be repaid as early as</v>
      </c>
      <c r="G148" s="619" t="str">
        <f>Calculations!D396</f>
        <v>IN YEAR 1</v>
      </c>
      <c r="M148"/>
    </row>
    <row r="149" spans="1:13">
      <c r="C149" s="114" t="s">
        <v>964</v>
      </c>
      <c r="D149" s="106">
        <f>Calculations!B397</f>
        <v>0</v>
      </c>
      <c r="E149" s="119"/>
      <c r="F149" s="283" t="str">
        <f>Calculations!G397</f>
        <v>The 10 Year cash flow available after obligations payable test has been met</v>
      </c>
    </row>
    <row r="150" spans="1:13">
      <c r="B150" s="1"/>
      <c r="C150" s="114" t="s">
        <v>965</v>
      </c>
      <c r="D150" s="106">
        <f>Calculations!B398</f>
        <v>0</v>
      </c>
      <c r="E150" s="119"/>
      <c r="F150" s="283" t="str">
        <f>Calculations!G398</f>
        <v>The 15 Year cash flow available after obligations payable test has been met</v>
      </c>
    </row>
    <row r="151" spans="1:13" s="88" customFormat="1">
      <c r="M151"/>
    </row>
    <row r="152" spans="1:13">
      <c r="A152" s="1088" t="s">
        <v>966</v>
      </c>
      <c r="B152" s="1088"/>
      <c r="C152" s="1088"/>
      <c r="D152" s="1088"/>
      <c r="E152" s="1088"/>
      <c r="F152" s="1088"/>
      <c r="G152" s="1088"/>
      <c r="H152" s="1088"/>
      <c r="I152" s="1088"/>
      <c r="J152" s="1088"/>
      <c r="K152" s="1088"/>
    </row>
    <row r="153" spans="1:13">
      <c r="A153" s="1101" t="s">
        <v>967</v>
      </c>
      <c r="B153" s="1101"/>
      <c r="C153" s="1101"/>
      <c r="D153" s="1101"/>
      <c r="E153" s="1101"/>
      <c r="F153" s="1101"/>
      <c r="G153" s="1101"/>
      <c r="H153" s="1101"/>
      <c r="I153" s="1101"/>
      <c r="J153" s="1101"/>
      <c r="K153" s="1101"/>
    </row>
    <row r="155" spans="1:13">
      <c r="B155" s="115"/>
      <c r="C155" s="115"/>
      <c r="D155" s="117" t="s">
        <v>968</v>
      </c>
    </row>
    <row r="156" spans="1:13">
      <c r="C156" s="110" t="s">
        <v>411</v>
      </c>
      <c r="D156" s="106">
        <f>Calculations!B405</f>
        <v>0</v>
      </c>
    </row>
    <row r="157" spans="1:13">
      <c r="C157" s="110" t="s">
        <v>412</v>
      </c>
      <c r="D157" s="106">
        <f>Calculations!B406</f>
        <v>0</v>
      </c>
    </row>
    <row r="158" spans="1:13">
      <c r="B158" s="109"/>
      <c r="C158" s="108" t="s">
        <v>969</v>
      </c>
      <c r="D158" s="107">
        <f>Calculations!B407</f>
        <v>0</v>
      </c>
    </row>
    <row r="159" spans="1:13">
      <c r="D159" s="112"/>
    </row>
    <row r="160" spans="1:13">
      <c r="B160" s="115"/>
      <c r="C160" s="115"/>
      <c r="D160" s="116" t="s">
        <v>970</v>
      </c>
      <c r="E160" s="303" t="s">
        <v>971</v>
      </c>
      <c r="F160" s="117"/>
    </row>
    <row r="161" spans="1:11">
      <c r="C161" s="110" t="s">
        <v>972</v>
      </c>
      <c r="D161" s="106">
        <f>Calculations!B409</f>
        <v>0</v>
      </c>
    </row>
    <row r="162" spans="1:11">
      <c r="C162" s="110" t="s">
        <v>973</v>
      </c>
      <c r="D162" s="106">
        <f>Calculations!B410</f>
        <v>0</v>
      </c>
    </row>
    <row r="163" spans="1:11">
      <c r="C163" s="110" t="s">
        <v>974</v>
      </c>
      <c r="D163" s="106">
        <f>Calculations!B411</f>
        <v>0</v>
      </c>
    </row>
    <row r="164" spans="1:11">
      <c r="C164" s="110" t="s">
        <v>491</v>
      </c>
      <c r="D164" s="106">
        <f>Calculations!B412</f>
        <v>0</v>
      </c>
    </row>
    <row r="165" spans="1:11">
      <c r="B165" s="109"/>
      <c r="C165" s="108" t="s">
        <v>975</v>
      </c>
      <c r="D165" s="107">
        <f>Calculations!B413</f>
        <v>0</v>
      </c>
    </row>
    <row r="166" spans="1:11">
      <c r="C166" s="110" t="s">
        <v>969</v>
      </c>
      <c r="D166" s="106">
        <f>Calculations!B407</f>
        <v>0</v>
      </c>
      <c r="E166" s="106" t="e">
        <f>Calculations!B414</f>
        <v>#N/A</v>
      </c>
    </row>
    <row r="167" spans="1:11">
      <c r="B167" s="109"/>
      <c r="C167" s="108" t="s">
        <v>976</v>
      </c>
      <c r="D167" s="310">
        <f>Calculations!E414</f>
        <v>0</v>
      </c>
      <c r="E167" s="310" t="e">
        <f>Calculations!B404</f>
        <v>#N/A</v>
      </c>
    </row>
    <row r="168" spans="1:11">
      <c r="C168" s="114"/>
      <c r="D168" s="106"/>
    </row>
    <row r="169" spans="1:11">
      <c r="C169" s="67" t="s">
        <v>977</v>
      </c>
      <c r="D169" s="106" t="e">
        <f>Calculations!B415</f>
        <v>#N/A</v>
      </c>
    </row>
    <row r="170" spans="1:11">
      <c r="C170" s="114"/>
      <c r="D170" s="112"/>
    </row>
    <row r="171" spans="1:11">
      <c r="A171" s="1101" t="s">
        <v>978</v>
      </c>
      <c r="B171" s="1101"/>
      <c r="C171" s="1101"/>
      <c r="D171" s="1101"/>
      <c r="E171" s="1101"/>
      <c r="F171" s="1101"/>
      <c r="G171" s="1101"/>
      <c r="H171" s="1101"/>
      <c r="I171" s="1101"/>
      <c r="J171" s="1101"/>
      <c r="K171" s="1101"/>
    </row>
    <row r="173" spans="1:11">
      <c r="B173" s="115"/>
      <c r="C173" s="115"/>
      <c r="D173" s="116" t="s">
        <v>979</v>
      </c>
      <c r="E173" s="303" t="s">
        <v>971</v>
      </c>
      <c r="F173" s="117"/>
    </row>
    <row r="174" spans="1:11">
      <c r="C174" s="110" t="s">
        <v>980</v>
      </c>
      <c r="D174" s="106">
        <f>Calculations!B420</f>
        <v>0</v>
      </c>
    </row>
    <row r="175" spans="1:11">
      <c r="C175" s="558" t="s">
        <v>981</v>
      </c>
      <c r="D175" s="487">
        <f>Calculations!B422</f>
        <v>0</v>
      </c>
    </row>
    <row r="176" spans="1:11">
      <c r="B176" s="1102" t="s">
        <v>982</v>
      </c>
      <c r="C176" s="1102"/>
      <c r="D176" s="487" t="e">
        <f>Calculations!B421</f>
        <v>#N/A</v>
      </c>
      <c r="F176" s="487"/>
      <c r="G176" s="73"/>
    </row>
    <row r="177" spans="1:11">
      <c r="C177" s="110" t="s">
        <v>983</v>
      </c>
      <c r="D177" s="106">
        <f>Calculations!B423</f>
        <v>0</v>
      </c>
      <c r="F177" s="112"/>
      <c r="G177" s="111"/>
    </row>
    <row r="178" spans="1:11">
      <c r="C178" s="110" t="s">
        <v>984</v>
      </c>
      <c r="D178" s="106">
        <f>Calculations!B424</f>
        <v>0</v>
      </c>
      <c r="F178" s="112"/>
      <c r="G178" s="111"/>
    </row>
    <row r="179" spans="1:11">
      <c r="C179" s="110" t="s">
        <v>985</v>
      </c>
      <c r="D179" s="106">
        <f>Calculations!B425</f>
        <v>0</v>
      </c>
    </row>
    <row r="180" spans="1:11">
      <c r="B180" s="109"/>
      <c r="C180" s="108" t="s">
        <v>986</v>
      </c>
      <c r="D180" s="107" t="e">
        <f>Calculations!B426</f>
        <v>#N/A</v>
      </c>
    </row>
    <row r="181" spans="1:11">
      <c r="C181" s="114"/>
      <c r="D181" s="112"/>
      <c r="E181" t="s">
        <v>987</v>
      </c>
    </row>
    <row r="182" spans="1:11" ht="15" customHeight="1">
      <c r="C182" s="67" t="s">
        <v>988</v>
      </c>
      <c r="D182" s="106">
        <f>Calculations!B279</f>
        <v>0</v>
      </c>
      <c r="E182" s="372">
        <f>Calculations!E429</f>
        <v>0</v>
      </c>
      <c r="F182" s="10" t="str">
        <f>Calculations!G429</f>
        <v/>
      </c>
    </row>
    <row r="183" spans="1:11">
      <c r="C183" s="67" t="s">
        <v>475</v>
      </c>
      <c r="D183" s="106">
        <f>Calculations!B428</f>
        <v>0</v>
      </c>
      <c r="E183" s="371">
        <f>Calculations!E428</f>
        <v>0</v>
      </c>
      <c r="F183" t="str">
        <f>Calculations!G428</f>
        <v/>
      </c>
    </row>
    <row r="184" spans="1:11">
      <c r="B184" s="109"/>
      <c r="C184" s="108" t="s">
        <v>989</v>
      </c>
      <c r="D184" s="107">
        <f>Calculations!B283</f>
        <v>0</v>
      </c>
      <c r="E184" s="370" t="e">
        <f>Calculations!B431</f>
        <v>#N/A</v>
      </c>
    </row>
    <row r="185" spans="1:11">
      <c r="C185" s="67" t="s">
        <v>977</v>
      </c>
      <c r="D185" s="106" t="e">
        <f>Calculations!B430</f>
        <v>#N/A</v>
      </c>
    </row>
    <row r="187" spans="1:11" ht="15" customHeight="1">
      <c r="A187" s="1088" t="s">
        <v>990</v>
      </c>
      <c r="B187" s="1088"/>
      <c r="C187" s="1088"/>
      <c r="D187" s="1088"/>
      <c r="E187" s="1088"/>
      <c r="F187" s="1088"/>
      <c r="G187" s="1088"/>
      <c r="H187" s="1088"/>
      <c r="I187" s="1088"/>
      <c r="J187" s="1088"/>
      <c r="K187" s="1088"/>
    </row>
    <row r="189" spans="1:11" ht="28.8">
      <c r="B189" s="145" t="s">
        <v>881</v>
      </c>
      <c r="C189" s="74" t="s">
        <v>882</v>
      </c>
      <c r="D189" s="74"/>
      <c r="E189" s="488" t="str">
        <f>Calculations!B33</f>
        <v>0 Bed*</v>
      </c>
      <c r="F189" s="488" t="str">
        <f>Calculations!C33</f>
        <v>1 Bed*</v>
      </c>
      <c r="G189" s="488" t="str">
        <f>Calculations!D33</f>
        <v>2 Bed*</v>
      </c>
      <c r="H189" s="488" t="str">
        <f>Calculations!E33</f>
        <v>3 Bed*</v>
      </c>
      <c r="I189" s="488" t="str">
        <f>Calculations!F33</f>
        <v>4 Bed*</v>
      </c>
      <c r="J189" s="488" t="str">
        <f>Calculations!G33</f>
        <v>5 Bed*</v>
      </c>
      <c r="K189" s="74"/>
    </row>
    <row r="190" spans="1:11">
      <c r="B190" s="143" t="s">
        <v>991</v>
      </c>
      <c r="C190" s="407">
        <f>Calculations!H34</f>
        <v>0</v>
      </c>
      <c r="D190" s="182"/>
      <c r="E190" s="407">
        <f>Calculations!B34</f>
        <v>0</v>
      </c>
      <c r="F190" s="407">
        <f>Calculations!C34</f>
        <v>0</v>
      </c>
      <c r="G190" s="407">
        <f>Calculations!D34</f>
        <v>0</v>
      </c>
      <c r="H190" s="407">
        <f>Calculations!E34</f>
        <v>0</v>
      </c>
      <c r="I190" s="407">
        <f>Calculations!F34</f>
        <v>0</v>
      </c>
      <c r="J190" s="407">
        <f>Calculations!G34</f>
        <v>0</v>
      </c>
      <c r="K190" s="182"/>
    </row>
    <row r="191" spans="1:11">
      <c r="B191" s="143" t="s">
        <v>992</v>
      </c>
      <c r="C191" s="407">
        <f>Calculations!H35</f>
        <v>0</v>
      </c>
      <c r="D191" s="80"/>
      <c r="E191" s="407">
        <f>Calculations!B35</f>
        <v>0</v>
      </c>
      <c r="F191" s="407">
        <f>Calculations!C35</f>
        <v>0</v>
      </c>
      <c r="G191" s="407">
        <f>Calculations!D35</f>
        <v>0</v>
      </c>
      <c r="H191" s="407">
        <f>Calculations!E35</f>
        <v>0</v>
      </c>
      <c r="I191" s="407">
        <f>Calculations!F35</f>
        <v>0</v>
      </c>
      <c r="J191" s="407">
        <f>Calculations!G35</f>
        <v>0</v>
      </c>
      <c r="K191" s="182"/>
    </row>
    <row r="192" spans="1:11">
      <c r="B192" s="143" t="s">
        <v>993</v>
      </c>
      <c r="C192" s="407">
        <f>Calculations!H36</f>
        <v>0</v>
      </c>
      <c r="D192" s="80"/>
      <c r="E192" s="407">
        <f>Calculations!B36</f>
        <v>0</v>
      </c>
      <c r="F192" s="407">
        <f>Calculations!C36</f>
        <v>0</v>
      </c>
      <c r="G192" s="407">
        <f>Calculations!D36</f>
        <v>0</v>
      </c>
      <c r="H192" s="407">
        <f>Calculations!E36</f>
        <v>0</v>
      </c>
      <c r="I192" s="407">
        <f>Calculations!F36</f>
        <v>0</v>
      </c>
      <c r="J192" s="407">
        <f>Calculations!G36</f>
        <v>0</v>
      </c>
      <c r="K192" s="182"/>
    </row>
    <row r="193" spans="2:11">
      <c r="B193" s="143" t="s">
        <v>994</v>
      </c>
      <c r="C193" s="407">
        <f>Calculations!H37</f>
        <v>0</v>
      </c>
      <c r="D193" s="80"/>
      <c r="E193" s="407">
        <f>Calculations!B37</f>
        <v>0</v>
      </c>
      <c r="F193" s="407">
        <f>Calculations!C37</f>
        <v>0</v>
      </c>
      <c r="G193" s="407">
        <f>Calculations!D37</f>
        <v>0</v>
      </c>
      <c r="H193" s="407">
        <f>Calculations!E37</f>
        <v>0</v>
      </c>
      <c r="I193" s="407">
        <f>Calculations!F37</f>
        <v>0</v>
      </c>
      <c r="J193" s="407">
        <f>Calculations!G37</f>
        <v>0</v>
      </c>
      <c r="K193" s="182"/>
    </row>
    <row r="194" spans="2:11">
      <c r="B194" s="143" t="s">
        <v>995</v>
      </c>
      <c r="C194" s="407">
        <f>Calculations!H38</f>
        <v>0</v>
      </c>
      <c r="D194" s="80"/>
      <c r="E194" s="407">
        <f>Calculations!B38</f>
        <v>0</v>
      </c>
      <c r="F194" s="407">
        <f>Calculations!C38</f>
        <v>0</v>
      </c>
      <c r="G194" s="407">
        <f>Calculations!D38</f>
        <v>0</v>
      </c>
      <c r="H194" s="407">
        <f>Calculations!E38</f>
        <v>0</v>
      </c>
      <c r="I194" s="407">
        <f>Calculations!F38</f>
        <v>0</v>
      </c>
      <c r="J194" s="407">
        <f>Calculations!G38</f>
        <v>0</v>
      </c>
      <c r="K194" s="182"/>
    </row>
    <row r="195" spans="2:11">
      <c r="B195" s="143" t="s">
        <v>996</v>
      </c>
      <c r="C195" s="407">
        <f>Calculations!H39</f>
        <v>0</v>
      </c>
      <c r="D195" s="80"/>
      <c r="E195" s="407">
        <f>Calculations!B39</f>
        <v>0</v>
      </c>
      <c r="F195" s="407">
        <f>Calculations!C39</f>
        <v>0</v>
      </c>
      <c r="G195" s="407">
        <f>Calculations!D39</f>
        <v>0</v>
      </c>
      <c r="H195" s="407">
        <f>Calculations!E39</f>
        <v>0</v>
      </c>
      <c r="I195" s="407">
        <f>Calculations!F39</f>
        <v>0</v>
      </c>
      <c r="J195" s="407">
        <f>Calculations!G39</f>
        <v>0</v>
      </c>
      <c r="K195" s="182"/>
    </row>
    <row r="196" spans="2:11">
      <c r="B196" s="143" t="s">
        <v>997</v>
      </c>
      <c r="C196" s="408">
        <f>Calculations!H40</f>
        <v>0</v>
      </c>
      <c r="D196" s="79"/>
      <c r="E196" s="407">
        <f>Calculations!B40</f>
        <v>0</v>
      </c>
      <c r="F196" s="407">
        <f>Calculations!C40</f>
        <v>0</v>
      </c>
      <c r="G196" s="407">
        <f>Calculations!D40</f>
        <v>0</v>
      </c>
      <c r="H196" s="407">
        <f>Calculations!E40</f>
        <v>0</v>
      </c>
      <c r="I196" s="407">
        <f>Calculations!F40</f>
        <v>0</v>
      </c>
      <c r="J196" s="407">
        <f>Calculations!G40</f>
        <v>0</v>
      </c>
      <c r="K196" s="182"/>
    </row>
    <row r="197" spans="2:11">
      <c r="B197" s="144" t="s">
        <v>998</v>
      </c>
      <c r="C197" s="406">
        <f>Calculations!H41</f>
        <v>0</v>
      </c>
      <c r="D197" s="80"/>
      <c r="E197" s="406">
        <f>Calculations!B41</f>
        <v>0</v>
      </c>
      <c r="F197" s="406">
        <f>Calculations!C41</f>
        <v>0</v>
      </c>
      <c r="G197" s="482">
        <f>Calculations!D41</f>
        <v>0</v>
      </c>
      <c r="H197" s="406">
        <f>Calculations!E41</f>
        <v>0</v>
      </c>
      <c r="I197" s="406">
        <f>Calculations!F41</f>
        <v>0</v>
      </c>
      <c r="J197" s="406">
        <f>Calculations!G41</f>
        <v>0</v>
      </c>
      <c r="K197" s="182"/>
    </row>
    <row r="198" spans="2:11">
      <c r="B198" s="143" t="s">
        <v>999</v>
      </c>
      <c r="C198" s="378">
        <f>Calculations!H43</f>
        <v>0</v>
      </c>
      <c r="D198" s="80"/>
      <c r="E198" s="605">
        <f>Calculations!B43</f>
        <v>0</v>
      </c>
      <c r="F198" s="605">
        <f>Calculations!C43</f>
        <v>0</v>
      </c>
      <c r="G198" s="605">
        <f>Calculations!D43</f>
        <v>0</v>
      </c>
      <c r="H198" s="605">
        <f>Calculations!E43</f>
        <v>0</v>
      </c>
      <c r="I198" s="605">
        <f>Calculations!F43</f>
        <v>0</v>
      </c>
      <c r="J198" s="605">
        <f>Calculations!G43</f>
        <v>0</v>
      </c>
    </row>
    <row r="199" spans="2:11" ht="15" customHeight="1">
      <c r="B199" s="411" t="s">
        <v>1000</v>
      </c>
      <c r="C199" s="379">
        <f>Calculations!H44</f>
        <v>0</v>
      </c>
      <c r="D199" s="79"/>
      <c r="E199" s="605">
        <f>Calculations!B44</f>
        <v>0</v>
      </c>
      <c r="F199" s="605">
        <f>Calculations!C44</f>
        <v>0</v>
      </c>
      <c r="G199" s="605">
        <f>Calculations!D44</f>
        <v>0</v>
      </c>
      <c r="H199" s="605">
        <f>Calculations!E44</f>
        <v>0</v>
      </c>
      <c r="I199" s="605">
        <f>Calculations!F44</f>
        <v>0</v>
      </c>
      <c r="J199" s="605">
        <f>Calculations!G44</f>
        <v>0</v>
      </c>
    </row>
    <row r="200" spans="2:11">
      <c r="B200" s="1" t="s">
        <v>1001</v>
      </c>
      <c r="C200" s="406">
        <f>Calculations!H45</f>
        <v>0</v>
      </c>
      <c r="D200" s="80"/>
      <c r="E200" s="140"/>
    </row>
    <row r="201" spans="2:11" ht="30" customHeight="1">
      <c r="B201" s="1" t="s">
        <v>1002</v>
      </c>
      <c r="C201" s="74"/>
      <c r="D201" s="74" t="s">
        <v>1003</v>
      </c>
      <c r="E201" s="115" t="s">
        <v>1004</v>
      </c>
    </row>
    <row r="202" spans="2:11" ht="15" customHeight="1">
      <c r="B202" s="76" t="s">
        <v>1005</v>
      </c>
      <c r="D202" s="80">
        <f>Calculations!M53</f>
        <v>0</v>
      </c>
      <c r="E202" s="367" t="e">
        <f>Calculations!O53</f>
        <v>#DIV/0!</v>
      </c>
    </row>
    <row r="203" spans="2:11" ht="15" customHeight="1">
      <c r="B203" s="78" t="s">
        <v>1006</v>
      </c>
      <c r="C203" s="78"/>
      <c r="D203" s="79">
        <f>Calculations!M54</f>
        <v>0</v>
      </c>
      <c r="E203" s="368" t="e">
        <f>Calculations!O54</f>
        <v>#DIV/0!</v>
      </c>
    </row>
    <row r="204" spans="2:11" ht="15" customHeight="1">
      <c r="B204" s="1" t="s">
        <v>1007</v>
      </c>
      <c r="C204" s="1"/>
      <c r="D204" s="80">
        <f>Calculations!M55</f>
        <v>0</v>
      </c>
      <c r="E204" s="369" t="e">
        <f>Calculations!O55</f>
        <v>#DIV/0!</v>
      </c>
    </row>
    <row r="205" spans="2:11" ht="15" customHeight="1">
      <c r="B205" s="78" t="s">
        <v>1001</v>
      </c>
      <c r="C205" s="78"/>
      <c r="D205" s="79">
        <f>Calculations!H60</f>
        <v>0</v>
      </c>
      <c r="E205" s="368" t="e">
        <f>Calculations!O49</f>
        <v>#DIV/0!</v>
      </c>
    </row>
    <row r="206" spans="2:11" ht="15" customHeight="1">
      <c r="B206" s="1" t="s">
        <v>1008</v>
      </c>
      <c r="C206" s="1"/>
      <c r="D206" s="80">
        <f>Calculations!M56</f>
        <v>0</v>
      </c>
      <c r="E206" s="80"/>
    </row>
    <row r="207" spans="2:11" ht="15" customHeight="1">
      <c r="D207" s="77"/>
    </row>
    <row r="208" spans="2:11" ht="28.5" customHeight="1">
      <c r="C208" s="74" t="s">
        <v>882</v>
      </c>
      <c r="D208" s="74" t="s">
        <v>1003</v>
      </c>
    </row>
    <row r="209" spans="1:12">
      <c r="B209" s="506" t="s">
        <v>860</v>
      </c>
      <c r="C209" s="137">
        <f>Calculations!K73</f>
        <v>0</v>
      </c>
      <c r="D209" s="137">
        <f>Calculations!L73</f>
        <v>0</v>
      </c>
      <c r="E209" s="123" t="s">
        <v>1009</v>
      </c>
    </row>
    <row r="210" spans="1:12" ht="28.5" customHeight="1">
      <c r="B210" s="1103" t="s">
        <v>1010</v>
      </c>
      <c r="C210" s="1103"/>
      <c r="D210" s="383">
        <f>Calculations!K74</f>
        <v>0</v>
      </c>
    </row>
    <row r="211" spans="1:12" ht="15" customHeight="1">
      <c r="B211" s="138"/>
      <c r="D211" s="137"/>
    </row>
    <row r="212" spans="1:12" ht="13.5" customHeight="1">
      <c r="A212" s="1088" t="s">
        <v>1011</v>
      </c>
      <c r="B212" s="1088"/>
      <c r="C212" s="1088"/>
      <c r="D212" s="1088"/>
      <c r="E212" s="1088"/>
      <c r="F212" s="1088"/>
      <c r="G212" s="1088"/>
      <c r="H212" s="1088"/>
      <c r="I212" s="1088"/>
      <c r="J212" s="1088"/>
      <c r="K212" s="1088"/>
    </row>
    <row r="213" spans="1:12" ht="27.75" customHeight="1">
      <c r="A213" s="332"/>
      <c r="B213" s="3" t="s">
        <v>108</v>
      </c>
      <c r="C213" s="3" t="s">
        <v>109</v>
      </c>
      <c r="D213" s="3" t="s">
        <v>110</v>
      </c>
      <c r="E213" s="3" t="s">
        <v>111</v>
      </c>
      <c r="F213" s="502" t="s">
        <v>1012</v>
      </c>
      <c r="G213" s="502" t="s">
        <v>1013</v>
      </c>
      <c r="H213" s="365" t="s">
        <v>1014</v>
      </c>
      <c r="I213" s="123"/>
      <c r="J213" s="498"/>
      <c r="K213" s="498"/>
      <c r="L213" s="123"/>
    </row>
    <row r="214" spans="1:12">
      <c r="B214" s="70">
        <f>Calculations!A890</f>
        <v>0</v>
      </c>
      <c r="C214">
        <f>Calculations!B890</f>
        <v>0</v>
      </c>
      <c r="D214" s="77">
        <f>Calculations!C890</f>
        <v>0</v>
      </c>
      <c r="E214" s="92">
        <f>Calculations!D890</f>
        <v>0</v>
      </c>
      <c r="F214" s="149">
        <f>Calculations!E890</f>
        <v>0</v>
      </c>
      <c r="G214" s="149">
        <f>Calculations!F890</f>
        <v>0</v>
      </c>
      <c r="H214" s="149">
        <f>Calculations!G890</f>
        <v>0</v>
      </c>
      <c r="I214" s="499" t="str">
        <f>Calculations!H890</f>
        <v/>
      </c>
      <c r="J214" s="123"/>
      <c r="K214" s="123"/>
      <c r="L214" s="123"/>
    </row>
    <row r="215" spans="1:12">
      <c r="B215" s="70">
        <f>Calculations!A891</f>
        <v>0</v>
      </c>
      <c r="C215">
        <f>Calculations!B891</f>
        <v>0</v>
      </c>
      <c r="D215" s="77">
        <f>Calculations!C891</f>
        <v>0</v>
      </c>
      <c r="E215" s="92">
        <f>Calculations!D891</f>
        <v>0</v>
      </c>
      <c r="F215" s="149">
        <f>Calculations!E891</f>
        <v>0</v>
      </c>
      <c r="G215" s="149">
        <f>Calculations!F891</f>
        <v>0</v>
      </c>
      <c r="H215" s="149">
        <f>Calculations!G891</f>
        <v>0</v>
      </c>
      <c r="I215" s="499" t="str">
        <f>Calculations!H891</f>
        <v/>
      </c>
      <c r="J215" s="123"/>
      <c r="K215" s="123"/>
      <c r="L215" s="123"/>
    </row>
    <row r="216" spans="1:12">
      <c r="B216" s="70">
        <f>Calculations!A892</f>
        <v>0</v>
      </c>
      <c r="C216">
        <f>Calculations!B892</f>
        <v>0</v>
      </c>
      <c r="D216" s="77">
        <f>Calculations!C892</f>
        <v>0</v>
      </c>
      <c r="E216" s="92">
        <f>Calculations!D892</f>
        <v>0</v>
      </c>
      <c r="F216" s="149">
        <f>Calculations!E892</f>
        <v>0</v>
      </c>
      <c r="G216" s="149">
        <f>Calculations!F892</f>
        <v>0</v>
      </c>
      <c r="H216" s="149">
        <f>Calculations!G892</f>
        <v>0</v>
      </c>
      <c r="I216" s="499" t="str">
        <f>Calculations!H892</f>
        <v/>
      </c>
      <c r="J216" s="123"/>
      <c r="K216" s="123"/>
      <c r="L216" s="123"/>
    </row>
    <row r="217" spans="1:12">
      <c r="B217" s="70">
        <f>Calculations!A893</f>
        <v>0</v>
      </c>
      <c r="C217">
        <f>Calculations!B893</f>
        <v>0</v>
      </c>
      <c r="D217" s="77">
        <f>Calculations!C893</f>
        <v>0</v>
      </c>
      <c r="E217" s="92">
        <f>Calculations!D893</f>
        <v>0</v>
      </c>
      <c r="F217" s="149">
        <f>Calculations!E893</f>
        <v>0</v>
      </c>
      <c r="G217" s="149">
        <f>Calculations!F893</f>
        <v>0</v>
      </c>
      <c r="H217" s="149">
        <f>Calculations!G893</f>
        <v>0</v>
      </c>
      <c r="I217" s="499" t="str">
        <f>Calculations!H893</f>
        <v/>
      </c>
      <c r="J217" s="123"/>
      <c r="K217" s="123"/>
      <c r="L217" s="123"/>
    </row>
    <row r="218" spans="1:12">
      <c r="B218" s="70">
        <f>Calculations!A894</f>
        <v>0</v>
      </c>
      <c r="C218">
        <f>Calculations!B894</f>
        <v>0</v>
      </c>
      <c r="D218" s="77">
        <f>Calculations!C894</f>
        <v>0</v>
      </c>
      <c r="E218" s="92">
        <f>Calculations!D894</f>
        <v>0</v>
      </c>
      <c r="F218" s="149">
        <f>Calculations!E894</f>
        <v>0</v>
      </c>
      <c r="G218" s="149">
        <f>Calculations!F894</f>
        <v>0</v>
      </c>
      <c r="H218" s="149">
        <f>Calculations!G894</f>
        <v>0</v>
      </c>
      <c r="I218" s="499" t="str">
        <f>Calculations!H894</f>
        <v/>
      </c>
      <c r="J218" s="123"/>
      <c r="K218" s="123"/>
      <c r="L218" s="123"/>
    </row>
    <row r="219" spans="1:12">
      <c r="B219" s="70">
        <f>Calculations!A895</f>
        <v>0</v>
      </c>
      <c r="C219">
        <f>Calculations!B895</f>
        <v>0</v>
      </c>
      <c r="D219" s="77">
        <f>Calculations!C895</f>
        <v>0</v>
      </c>
      <c r="E219" s="92">
        <f>Calculations!D895</f>
        <v>0</v>
      </c>
      <c r="F219" s="149">
        <f>Calculations!E895</f>
        <v>0</v>
      </c>
      <c r="G219" s="149">
        <f>Calculations!F895</f>
        <v>0</v>
      </c>
      <c r="H219" s="149">
        <f>Calculations!G895</f>
        <v>0</v>
      </c>
      <c r="I219" s="499" t="str">
        <f>Calculations!H895</f>
        <v/>
      </c>
      <c r="J219" s="123"/>
      <c r="K219" s="123"/>
      <c r="L219" s="123"/>
    </row>
    <row r="220" spans="1:12">
      <c r="B220" s="70">
        <f>Calculations!A896</f>
        <v>0</v>
      </c>
      <c r="C220">
        <f>Calculations!B896</f>
        <v>0</v>
      </c>
      <c r="D220" s="77">
        <f>Calculations!C896</f>
        <v>0</v>
      </c>
      <c r="E220" s="92">
        <f>Calculations!D896</f>
        <v>0</v>
      </c>
      <c r="F220" s="149">
        <f>Calculations!E896</f>
        <v>0</v>
      </c>
      <c r="G220" s="149">
        <f>Calculations!F896</f>
        <v>0</v>
      </c>
      <c r="H220" s="149">
        <f>Calculations!G896</f>
        <v>0</v>
      </c>
      <c r="I220" s="499" t="str">
        <f>Calculations!H896</f>
        <v/>
      </c>
      <c r="J220" s="123"/>
      <c r="K220" s="123"/>
      <c r="L220" s="123"/>
    </row>
    <row r="221" spans="1:12">
      <c r="B221" s="70">
        <f>Calculations!A897</f>
        <v>0</v>
      </c>
      <c r="C221">
        <f>Calculations!B897</f>
        <v>0</v>
      </c>
      <c r="D221" s="77">
        <f>Calculations!C897</f>
        <v>0</v>
      </c>
      <c r="E221" s="92">
        <f>Calculations!D897</f>
        <v>0</v>
      </c>
      <c r="F221" s="149">
        <f>Calculations!E897</f>
        <v>0</v>
      </c>
      <c r="G221" s="149">
        <f>Calculations!F897</f>
        <v>0</v>
      </c>
      <c r="H221" s="149">
        <f>Calculations!G897</f>
        <v>0</v>
      </c>
      <c r="I221" s="499" t="str">
        <f>Calculations!H897</f>
        <v/>
      </c>
      <c r="J221" s="123"/>
      <c r="K221" s="123"/>
      <c r="L221" s="123"/>
    </row>
    <row r="222" spans="1:12">
      <c r="B222" s="70">
        <f>Calculations!A898</f>
        <v>0</v>
      </c>
      <c r="C222">
        <f>Calculations!B898</f>
        <v>0</v>
      </c>
      <c r="D222" s="77">
        <f>Calculations!C898</f>
        <v>0</v>
      </c>
      <c r="E222" s="92">
        <f>Calculations!D898</f>
        <v>0</v>
      </c>
      <c r="F222" s="149">
        <f>Calculations!E898</f>
        <v>0</v>
      </c>
      <c r="G222" s="149">
        <f>Calculations!F898</f>
        <v>0</v>
      </c>
      <c r="H222" s="149">
        <f>Calculations!G898</f>
        <v>0</v>
      </c>
      <c r="I222" s="499" t="str">
        <f>Calculations!H898</f>
        <v/>
      </c>
      <c r="J222" s="123"/>
      <c r="K222" s="123"/>
      <c r="L222" s="123"/>
    </row>
    <row r="223" spans="1:12">
      <c r="B223" s="70">
        <f>Calculations!A899</f>
        <v>0</v>
      </c>
      <c r="C223">
        <f>Calculations!B899</f>
        <v>0</v>
      </c>
      <c r="D223" s="77">
        <f>Calculations!C899</f>
        <v>0</v>
      </c>
      <c r="E223" s="92">
        <f>Calculations!D899</f>
        <v>0</v>
      </c>
      <c r="F223" s="149">
        <f>Calculations!E899</f>
        <v>0</v>
      </c>
      <c r="G223" s="149">
        <f>Calculations!F899</f>
        <v>0</v>
      </c>
      <c r="H223" s="149">
        <f>Calculations!G899</f>
        <v>0</v>
      </c>
      <c r="I223" s="499" t="str">
        <f>Calculations!H899</f>
        <v/>
      </c>
      <c r="J223" s="123"/>
      <c r="K223" s="123"/>
      <c r="L223" s="123"/>
    </row>
    <row r="224" spans="1:12">
      <c r="B224" s="70">
        <f>Calculations!A900</f>
        <v>0</v>
      </c>
      <c r="C224">
        <f>Calculations!B900</f>
        <v>0</v>
      </c>
      <c r="D224" s="77">
        <f>Calculations!C900</f>
        <v>0</v>
      </c>
      <c r="E224" s="92">
        <f>Calculations!D900</f>
        <v>0</v>
      </c>
      <c r="F224" s="149">
        <f>Calculations!E900</f>
        <v>0</v>
      </c>
      <c r="G224" s="149">
        <f>Calculations!F900</f>
        <v>0</v>
      </c>
      <c r="H224" s="149">
        <f>Calculations!G900</f>
        <v>0</v>
      </c>
      <c r="I224" s="499" t="str">
        <f>Calculations!H900</f>
        <v/>
      </c>
      <c r="J224" s="123"/>
      <c r="K224" s="123"/>
      <c r="L224" s="123"/>
    </row>
    <row r="225" spans="2:12">
      <c r="B225" s="70">
        <f>Calculations!A901</f>
        <v>0</v>
      </c>
      <c r="C225">
        <f>Calculations!B901</f>
        <v>0</v>
      </c>
      <c r="D225" s="77">
        <f>Calculations!C901</f>
        <v>0</v>
      </c>
      <c r="E225" s="92">
        <f>Calculations!D901</f>
        <v>0</v>
      </c>
      <c r="F225" s="149">
        <f>Calculations!E901</f>
        <v>0</v>
      </c>
      <c r="G225" s="149">
        <f>Calculations!F901</f>
        <v>0</v>
      </c>
      <c r="H225" s="149">
        <f>Calculations!G901</f>
        <v>0</v>
      </c>
      <c r="I225" s="499" t="str">
        <f>Calculations!H901</f>
        <v/>
      </c>
      <c r="J225" s="123"/>
      <c r="K225" s="123"/>
      <c r="L225" s="123"/>
    </row>
    <row r="226" spans="2:12">
      <c r="B226" s="70">
        <f>Calculations!A902</f>
        <v>0</v>
      </c>
      <c r="C226">
        <f>Calculations!B902</f>
        <v>0</v>
      </c>
      <c r="D226" s="77">
        <f>Calculations!C902</f>
        <v>0</v>
      </c>
      <c r="E226" s="92">
        <f>Calculations!D902</f>
        <v>0</v>
      </c>
      <c r="F226" s="149">
        <f>Calculations!E902</f>
        <v>0</v>
      </c>
      <c r="G226" s="149">
        <f>Calculations!F902</f>
        <v>0</v>
      </c>
      <c r="H226" s="149">
        <f>Calculations!G902</f>
        <v>0</v>
      </c>
      <c r="I226" s="499" t="str">
        <f>Calculations!H902</f>
        <v/>
      </c>
      <c r="J226" s="123"/>
      <c r="K226" s="123"/>
      <c r="L226" s="123"/>
    </row>
    <row r="227" spans="2:12">
      <c r="B227" s="70">
        <f>Calculations!A903</f>
        <v>0</v>
      </c>
      <c r="C227">
        <f>Calculations!B903</f>
        <v>0</v>
      </c>
      <c r="D227" s="77">
        <f>Calculations!C903</f>
        <v>0</v>
      </c>
      <c r="E227" s="92">
        <f>Calculations!D903</f>
        <v>0</v>
      </c>
      <c r="F227" s="149">
        <f>Calculations!E903</f>
        <v>0</v>
      </c>
      <c r="G227" s="149">
        <f>Calculations!F903</f>
        <v>0</v>
      </c>
      <c r="H227" s="149">
        <f>Calculations!G903</f>
        <v>0</v>
      </c>
      <c r="I227" s="499" t="str">
        <f>Calculations!H903</f>
        <v/>
      </c>
      <c r="J227" s="123"/>
      <c r="K227" s="123"/>
      <c r="L227" s="123"/>
    </row>
    <row r="228" spans="2:12">
      <c r="B228" s="70">
        <f>Calculations!A904</f>
        <v>0</v>
      </c>
      <c r="C228">
        <f>Calculations!B904</f>
        <v>0</v>
      </c>
      <c r="D228" s="77">
        <f>Calculations!C904</f>
        <v>0</v>
      </c>
      <c r="E228" s="92">
        <f>Calculations!D904</f>
        <v>0</v>
      </c>
      <c r="F228" s="149">
        <f>Calculations!E904</f>
        <v>0</v>
      </c>
      <c r="G228" s="149">
        <f>Calculations!F904</f>
        <v>0</v>
      </c>
      <c r="H228" s="149">
        <f>Calculations!G904</f>
        <v>0</v>
      </c>
      <c r="I228" s="499" t="str">
        <f>Calculations!H904</f>
        <v/>
      </c>
      <c r="J228" s="123"/>
      <c r="K228" s="123"/>
      <c r="L228" s="123"/>
    </row>
    <row r="229" spans="2:12">
      <c r="B229" s="70">
        <f>Calculations!A905</f>
        <v>0</v>
      </c>
      <c r="C229">
        <f>Calculations!B905</f>
        <v>0</v>
      </c>
      <c r="D229" s="77">
        <f>Calculations!C905</f>
        <v>0</v>
      </c>
      <c r="E229" s="92">
        <f>Calculations!D905</f>
        <v>0</v>
      </c>
      <c r="F229" s="149">
        <f>Calculations!E905</f>
        <v>0</v>
      </c>
      <c r="G229" s="149">
        <f>Calculations!F905</f>
        <v>0</v>
      </c>
      <c r="H229" s="149">
        <f>Calculations!G905</f>
        <v>0</v>
      </c>
      <c r="I229" s="499" t="str">
        <f>Calculations!H905</f>
        <v/>
      </c>
      <c r="J229" s="123"/>
      <c r="K229" s="123"/>
      <c r="L229" s="123"/>
    </row>
    <row r="230" spans="2:12">
      <c r="B230" s="70">
        <f>Calculations!A906</f>
        <v>0</v>
      </c>
      <c r="C230">
        <f>Calculations!B906</f>
        <v>0</v>
      </c>
      <c r="D230" s="77">
        <f>Calculations!C906</f>
        <v>0</v>
      </c>
      <c r="E230" s="92">
        <f>Calculations!D906</f>
        <v>0</v>
      </c>
      <c r="F230" s="149">
        <f>Calculations!E906</f>
        <v>0</v>
      </c>
      <c r="G230" s="149">
        <f>Calculations!F906</f>
        <v>0</v>
      </c>
      <c r="H230" s="149">
        <f>Calculations!G906</f>
        <v>0</v>
      </c>
      <c r="I230" s="499" t="str">
        <f>Calculations!H906</f>
        <v/>
      </c>
      <c r="J230" s="123"/>
      <c r="K230" s="123"/>
      <c r="L230" s="123"/>
    </row>
    <row r="231" spans="2:12">
      <c r="B231" s="70">
        <f>Calculations!A907</f>
        <v>0</v>
      </c>
      <c r="C231">
        <f>Calculations!B907</f>
        <v>0</v>
      </c>
      <c r="D231" s="77">
        <f>Calculations!C907</f>
        <v>0</v>
      </c>
      <c r="E231" s="92">
        <f>Calculations!D907</f>
        <v>0</v>
      </c>
      <c r="F231" s="149">
        <f>Calculations!E907</f>
        <v>0</v>
      </c>
      <c r="G231" s="149">
        <f>Calculations!F907</f>
        <v>0</v>
      </c>
      <c r="H231" s="149">
        <f>Calculations!G907</f>
        <v>0</v>
      </c>
      <c r="I231" s="499" t="str">
        <f>Calculations!H907</f>
        <v/>
      </c>
      <c r="J231" s="123"/>
      <c r="K231" s="123"/>
      <c r="L231" s="123"/>
    </row>
    <row r="232" spans="2:12">
      <c r="B232" s="70">
        <f>Calculations!A908</f>
        <v>0</v>
      </c>
      <c r="C232">
        <f>Calculations!B908</f>
        <v>0</v>
      </c>
      <c r="D232" s="77">
        <f>Calculations!C908</f>
        <v>0</v>
      </c>
      <c r="E232" s="92">
        <f>Calculations!D908</f>
        <v>0</v>
      </c>
      <c r="F232" s="149">
        <f>Calculations!E908</f>
        <v>0</v>
      </c>
      <c r="G232" s="149">
        <f>Calculations!F908</f>
        <v>0</v>
      </c>
      <c r="H232" s="149">
        <f>Calculations!G908</f>
        <v>0</v>
      </c>
      <c r="I232" s="499" t="str">
        <f>Calculations!H908</f>
        <v/>
      </c>
      <c r="J232" s="123"/>
      <c r="K232" s="123"/>
      <c r="L232" s="123"/>
    </row>
    <row r="233" spans="2:12">
      <c r="B233" s="70">
        <f>Calculations!A909</f>
        <v>0</v>
      </c>
      <c r="C233">
        <f>Calculations!B909</f>
        <v>0</v>
      </c>
      <c r="D233" s="77">
        <f>Calculations!C909</f>
        <v>0</v>
      </c>
      <c r="E233" s="92">
        <f>Calculations!D909</f>
        <v>0</v>
      </c>
      <c r="F233" s="149">
        <f>Calculations!E909</f>
        <v>0</v>
      </c>
      <c r="G233" s="149">
        <f>Calculations!F909</f>
        <v>0</v>
      </c>
      <c r="H233" s="149">
        <f>Calculations!G909</f>
        <v>0</v>
      </c>
      <c r="I233" s="499" t="str">
        <f>Calculations!H909</f>
        <v/>
      </c>
      <c r="J233" s="123"/>
      <c r="K233" s="123"/>
      <c r="L233" s="123"/>
    </row>
    <row r="234" spans="2:12">
      <c r="B234" s="70">
        <f>Calculations!A910</f>
        <v>0</v>
      </c>
      <c r="C234">
        <f>Calculations!B910</f>
        <v>0</v>
      </c>
      <c r="D234" s="77">
        <f>Calculations!C910</f>
        <v>0</v>
      </c>
      <c r="E234" s="92">
        <f>Calculations!D910</f>
        <v>0</v>
      </c>
      <c r="F234" s="149">
        <f>Calculations!E910</f>
        <v>0</v>
      </c>
      <c r="G234" s="149">
        <f>Calculations!F910</f>
        <v>0</v>
      </c>
      <c r="H234" s="149">
        <f>Calculations!G910</f>
        <v>0</v>
      </c>
      <c r="I234" s="499" t="str">
        <f>Calculations!H910</f>
        <v/>
      </c>
      <c r="J234" s="123"/>
      <c r="K234" s="123"/>
      <c r="L234" s="123"/>
    </row>
    <row r="235" spans="2:12">
      <c r="B235" s="70">
        <f>Calculations!A911</f>
        <v>0</v>
      </c>
      <c r="C235">
        <f>Calculations!B911</f>
        <v>0</v>
      </c>
      <c r="D235" s="77">
        <f>Calculations!C911</f>
        <v>0</v>
      </c>
      <c r="E235" s="92">
        <f>Calculations!D911</f>
        <v>0</v>
      </c>
      <c r="F235" s="149">
        <f>Calculations!E911</f>
        <v>0</v>
      </c>
      <c r="G235" s="149">
        <f>Calculations!F911</f>
        <v>0</v>
      </c>
      <c r="H235" s="149">
        <f>Calculations!G911</f>
        <v>0</v>
      </c>
      <c r="I235" s="499" t="str">
        <f>Calculations!H911</f>
        <v/>
      </c>
      <c r="J235" s="123"/>
      <c r="K235" s="123"/>
      <c r="L235" s="123"/>
    </row>
    <row r="236" spans="2:12">
      <c r="B236" s="70">
        <f>Calculations!A912</f>
        <v>0</v>
      </c>
      <c r="C236">
        <f>Calculations!B912</f>
        <v>0</v>
      </c>
      <c r="D236" s="77">
        <f>Calculations!C912</f>
        <v>0</v>
      </c>
      <c r="E236" s="92">
        <f>Calculations!D912</f>
        <v>0</v>
      </c>
      <c r="F236" s="149">
        <f>Calculations!E912</f>
        <v>0</v>
      </c>
      <c r="G236" s="149">
        <f>Calculations!F912</f>
        <v>0</v>
      </c>
      <c r="H236" s="149">
        <f>Calculations!G912</f>
        <v>0</v>
      </c>
      <c r="I236" s="499" t="str">
        <f>Calculations!H912</f>
        <v/>
      </c>
      <c r="J236" s="123"/>
      <c r="K236" s="123"/>
      <c r="L236" s="123"/>
    </row>
    <row r="237" spans="2:12">
      <c r="B237" s="70">
        <f>Calculations!A913</f>
        <v>0</v>
      </c>
      <c r="C237">
        <f>Calculations!B913</f>
        <v>0</v>
      </c>
      <c r="D237" s="77">
        <f>Calculations!C913</f>
        <v>0</v>
      </c>
      <c r="E237" s="92">
        <f>Calculations!D913</f>
        <v>0</v>
      </c>
      <c r="F237" s="149">
        <f>Calculations!E913</f>
        <v>0</v>
      </c>
      <c r="G237" s="149">
        <f>Calculations!F913</f>
        <v>0</v>
      </c>
      <c r="H237" s="149">
        <f>Calculations!G913</f>
        <v>0</v>
      </c>
      <c r="I237" s="499" t="str">
        <f>Calculations!H913</f>
        <v/>
      </c>
      <c r="J237" s="123"/>
      <c r="K237" s="123"/>
      <c r="L237" s="123"/>
    </row>
    <row r="238" spans="2:12">
      <c r="B238" s="70">
        <f>Calculations!A914</f>
        <v>0</v>
      </c>
      <c r="C238">
        <f>Calculations!B914</f>
        <v>0</v>
      </c>
      <c r="D238" s="77">
        <f>Calculations!C914</f>
        <v>0</v>
      </c>
      <c r="E238" s="92">
        <f>Calculations!D914</f>
        <v>0</v>
      </c>
      <c r="F238" s="149">
        <f>Calculations!E914</f>
        <v>0</v>
      </c>
      <c r="G238" s="149">
        <f>Calculations!F914</f>
        <v>0</v>
      </c>
      <c r="H238" s="149">
        <f>Calculations!G914</f>
        <v>0</v>
      </c>
      <c r="I238" s="499" t="str">
        <f>Calculations!H914</f>
        <v/>
      </c>
      <c r="J238" s="123"/>
      <c r="K238" s="123"/>
      <c r="L238" s="123"/>
    </row>
    <row r="239" spans="2:12">
      <c r="B239" s="70">
        <f>Calculations!A915</f>
        <v>0</v>
      </c>
      <c r="C239">
        <f>Calculations!B915</f>
        <v>0</v>
      </c>
      <c r="D239" s="77">
        <f>Calculations!C915</f>
        <v>0</v>
      </c>
      <c r="E239" s="92">
        <f>Calculations!D915</f>
        <v>0</v>
      </c>
      <c r="F239" s="149">
        <f>Calculations!E915</f>
        <v>0</v>
      </c>
      <c r="G239" s="149">
        <f>Calculations!F915</f>
        <v>0</v>
      </c>
      <c r="H239" s="149">
        <f>Calculations!G915</f>
        <v>0</v>
      </c>
      <c r="I239" s="499" t="str">
        <f>Calculations!H915</f>
        <v/>
      </c>
      <c r="J239" s="123"/>
      <c r="K239" s="123"/>
      <c r="L239" s="123"/>
    </row>
    <row r="240" spans="2:12">
      <c r="B240" s="70">
        <f>Calculations!A916</f>
        <v>0</v>
      </c>
      <c r="C240">
        <f>Calculations!B916</f>
        <v>0</v>
      </c>
      <c r="D240" s="77">
        <f>Calculations!C916</f>
        <v>0</v>
      </c>
      <c r="E240" s="92">
        <f>Calculations!D916</f>
        <v>0</v>
      </c>
      <c r="F240" s="149">
        <f>Calculations!E916</f>
        <v>0</v>
      </c>
      <c r="G240" s="149">
        <f>Calculations!F916</f>
        <v>0</v>
      </c>
      <c r="H240" s="149">
        <f>Calculations!G916</f>
        <v>0</v>
      </c>
      <c r="I240" s="499" t="str">
        <f>Calculations!H916</f>
        <v/>
      </c>
      <c r="J240" s="123"/>
      <c r="K240" s="123"/>
      <c r="L240" s="123"/>
    </row>
    <row r="241" spans="2:12">
      <c r="B241" s="70">
        <f>Calculations!A917</f>
        <v>0</v>
      </c>
      <c r="C241">
        <f>Calculations!B917</f>
        <v>0</v>
      </c>
      <c r="D241" s="77">
        <f>Calculations!C917</f>
        <v>0</v>
      </c>
      <c r="E241" s="92">
        <f>Calculations!D917</f>
        <v>0</v>
      </c>
      <c r="F241" s="149">
        <f>Calculations!E917</f>
        <v>0</v>
      </c>
      <c r="G241" s="149">
        <f>Calculations!F917</f>
        <v>0</v>
      </c>
      <c r="H241" s="149">
        <f>Calculations!G917</f>
        <v>0</v>
      </c>
      <c r="I241" s="499" t="str">
        <f>Calculations!H917</f>
        <v/>
      </c>
      <c r="J241" s="123"/>
      <c r="K241" s="123"/>
      <c r="L241" s="123"/>
    </row>
    <row r="242" spans="2:12">
      <c r="B242" s="70">
        <f>Calculations!A918</f>
        <v>0</v>
      </c>
      <c r="C242">
        <f>Calculations!B918</f>
        <v>0</v>
      </c>
      <c r="D242" s="77">
        <f>Calculations!C918</f>
        <v>0</v>
      </c>
      <c r="E242" s="92">
        <f>Calculations!D918</f>
        <v>0</v>
      </c>
      <c r="F242" s="149">
        <f>Calculations!E918</f>
        <v>0</v>
      </c>
      <c r="G242" s="149">
        <f>Calculations!F918</f>
        <v>0</v>
      </c>
      <c r="H242" s="149">
        <f>Calculations!G918</f>
        <v>0</v>
      </c>
      <c r="I242" s="499" t="str">
        <f>Calculations!H918</f>
        <v/>
      </c>
      <c r="J242" s="123"/>
      <c r="K242" s="123"/>
      <c r="L242" s="123"/>
    </row>
    <row r="243" spans="2:12">
      <c r="B243" s="70">
        <f>Calculations!A919</f>
        <v>0</v>
      </c>
      <c r="C243">
        <f>Calculations!B919</f>
        <v>0</v>
      </c>
      <c r="D243" s="77">
        <f>Calculations!C919</f>
        <v>0</v>
      </c>
      <c r="E243" s="92">
        <f>Calculations!D919</f>
        <v>0</v>
      </c>
      <c r="F243" s="149">
        <f>Calculations!E919</f>
        <v>0</v>
      </c>
      <c r="G243" s="149">
        <f>Calculations!F919</f>
        <v>0</v>
      </c>
      <c r="H243" s="149">
        <f>Calculations!G919</f>
        <v>0</v>
      </c>
      <c r="I243" s="499" t="str">
        <f>Calculations!H919</f>
        <v/>
      </c>
      <c r="J243" s="123"/>
      <c r="K243" s="123"/>
      <c r="L243" s="123"/>
    </row>
    <row r="244" spans="2:12">
      <c r="B244" s="70">
        <f>Calculations!A920</f>
        <v>0</v>
      </c>
      <c r="C244">
        <f>Calculations!B920</f>
        <v>0</v>
      </c>
      <c r="D244" s="77">
        <f>Calculations!C920</f>
        <v>0</v>
      </c>
      <c r="E244" s="92">
        <f>Calculations!D920</f>
        <v>0</v>
      </c>
      <c r="F244" s="149">
        <f>Calculations!E920</f>
        <v>0</v>
      </c>
      <c r="G244" s="149">
        <f>Calculations!F920</f>
        <v>0</v>
      </c>
      <c r="H244" s="149">
        <f>Calculations!G920</f>
        <v>0</v>
      </c>
      <c r="I244" s="499" t="str">
        <f>Calculations!H920</f>
        <v/>
      </c>
      <c r="J244" s="123"/>
      <c r="K244" s="123"/>
      <c r="L244" s="123"/>
    </row>
    <row r="245" spans="2:12">
      <c r="B245" s="70">
        <f>Calculations!A921</f>
        <v>0</v>
      </c>
      <c r="C245">
        <f>Calculations!B921</f>
        <v>0</v>
      </c>
      <c r="D245" s="77">
        <f>Calculations!C921</f>
        <v>0</v>
      </c>
      <c r="E245" s="92">
        <f>Calculations!D921</f>
        <v>0</v>
      </c>
      <c r="F245" s="149">
        <f>Calculations!E921</f>
        <v>0</v>
      </c>
      <c r="G245" s="149">
        <f>Calculations!F921</f>
        <v>0</v>
      </c>
      <c r="H245" s="149">
        <f>Calculations!G921</f>
        <v>0</v>
      </c>
      <c r="I245" s="499" t="str">
        <f>Calculations!H921</f>
        <v/>
      </c>
      <c r="J245" s="123"/>
      <c r="K245" s="123"/>
      <c r="L245" s="123"/>
    </row>
    <row r="246" spans="2:12">
      <c r="B246" s="70">
        <f>Calculations!A922</f>
        <v>0</v>
      </c>
      <c r="C246">
        <f>Calculations!B922</f>
        <v>0</v>
      </c>
      <c r="D246" s="77">
        <f>Calculations!C922</f>
        <v>0</v>
      </c>
      <c r="E246" s="92">
        <f>Calculations!D922</f>
        <v>0</v>
      </c>
      <c r="F246" s="149">
        <f>Calculations!E922</f>
        <v>0</v>
      </c>
      <c r="G246" s="149">
        <f>Calculations!F922</f>
        <v>0</v>
      </c>
      <c r="H246" s="149">
        <f>Calculations!G922</f>
        <v>0</v>
      </c>
      <c r="I246" s="499" t="str">
        <f>Calculations!H922</f>
        <v/>
      </c>
      <c r="J246" s="123"/>
      <c r="K246" s="123"/>
      <c r="L246" s="123"/>
    </row>
    <row r="247" spans="2:12">
      <c r="B247" s="70">
        <f>Calculations!A923</f>
        <v>0</v>
      </c>
      <c r="C247">
        <f>Calculations!B923</f>
        <v>0</v>
      </c>
      <c r="D247" s="77">
        <f>Calculations!C923</f>
        <v>0</v>
      </c>
      <c r="E247" s="92">
        <f>Calculations!D923</f>
        <v>0</v>
      </c>
      <c r="F247" s="149">
        <f>Calculations!E923</f>
        <v>0</v>
      </c>
      <c r="G247" s="149">
        <f>Calculations!F923</f>
        <v>0</v>
      </c>
      <c r="H247" s="149">
        <f>Calculations!G923</f>
        <v>0</v>
      </c>
      <c r="I247" s="499" t="str">
        <f>Calculations!H923</f>
        <v/>
      </c>
      <c r="J247" s="123"/>
      <c r="K247" s="123"/>
      <c r="L247" s="123"/>
    </row>
    <row r="248" spans="2:12">
      <c r="B248" s="70">
        <f>Calculations!A924</f>
        <v>0</v>
      </c>
      <c r="C248">
        <f>Calculations!B924</f>
        <v>0</v>
      </c>
      <c r="D248" s="77">
        <f>Calculations!C924</f>
        <v>0</v>
      </c>
      <c r="E248" s="92">
        <f>Calculations!D924</f>
        <v>0</v>
      </c>
      <c r="F248" s="149">
        <f>Calculations!E924</f>
        <v>0</v>
      </c>
      <c r="G248" s="149">
        <f>Calculations!F924</f>
        <v>0</v>
      </c>
      <c r="H248" s="149">
        <f>Calculations!G924</f>
        <v>0</v>
      </c>
      <c r="I248" s="499" t="str">
        <f>Calculations!H924</f>
        <v/>
      </c>
      <c r="J248" s="123"/>
      <c r="K248" s="123"/>
      <c r="L248" s="123"/>
    </row>
    <row r="249" spans="2:12">
      <c r="B249" s="70">
        <f>Calculations!A925</f>
        <v>0</v>
      </c>
      <c r="C249">
        <f>Calculations!B925</f>
        <v>0</v>
      </c>
      <c r="D249" s="77">
        <f>Calculations!C925</f>
        <v>0</v>
      </c>
      <c r="E249" s="92">
        <f>Calculations!D925</f>
        <v>0</v>
      </c>
      <c r="F249" s="149">
        <f>Calculations!E925</f>
        <v>0</v>
      </c>
      <c r="G249" s="149">
        <f>Calculations!F925</f>
        <v>0</v>
      </c>
      <c r="H249" s="149">
        <f>Calculations!G925</f>
        <v>0</v>
      </c>
      <c r="I249" s="499" t="str">
        <f>Calculations!H925</f>
        <v/>
      </c>
      <c r="J249" s="123"/>
      <c r="K249" s="123"/>
      <c r="L249" s="123"/>
    </row>
    <row r="250" spans="2:12">
      <c r="B250" s="70">
        <f>Calculations!A926</f>
        <v>0</v>
      </c>
      <c r="C250">
        <f>Calculations!B926</f>
        <v>0</v>
      </c>
      <c r="D250" s="77">
        <f>Calculations!C926</f>
        <v>0</v>
      </c>
      <c r="E250" s="92">
        <f>Calculations!D926</f>
        <v>0</v>
      </c>
      <c r="F250" s="149">
        <f>Calculations!E926</f>
        <v>0</v>
      </c>
      <c r="G250" s="149">
        <f>Calculations!F926</f>
        <v>0</v>
      </c>
      <c r="H250" s="149">
        <f>Calculations!G926</f>
        <v>0</v>
      </c>
      <c r="I250" s="499" t="str">
        <f>Calculations!H926</f>
        <v/>
      </c>
      <c r="J250" s="123"/>
      <c r="K250" s="123"/>
      <c r="L250" s="123"/>
    </row>
    <row r="251" spans="2:12">
      <c r="B251" s="70">
        <f>Calculations!A927</f>
        <v>0</v>
      </c>
      <c r="C251">
        <f>Calculations!B927</f>
        <v>0</v>
      </c>
      <c r="D251" s="77">
        <f>Calculations!C927</f>
        <v>0</v>
      </c>
      <c r="E251" s="92">
        <f>Calculations!D927</f>
        <v>0</v>
      </c>
      <c r="F251" s="149">
        <f>Calculations!E927</f>
        <v>0</v>
      </c>
      <c r="G251" s="149">
        <f>Calculations!F927</f>
        <v>0</v>
      </c>
      <c r="H251" s="149">
        <f>Calculations!G927</f>
        <v>0</v>
      </c>
      <c r="I251" s="499" t="str">
        <f>Calculations!H927</f>
        <v/>
      </c>
      <c r="J251" s="123"/>
      <c r="K251" s="123"/>
      <c r="L251" s="123"/>
    </row>
    <row r="252" spans="2:12">
      <c r="B252" s="70">
        <f>Calculations!A928</f>
        <v>0</v>
      </c>
      <c r="C252">
        <f>Calculations!B928</f>
        <v>0</v>
      </c>
      <c r="D252" s="77">
        <f>Calculations!C928</f>
        <v>0</v>
      </c>
      <c r="E252" s="92">
        <f>Calculations!D928</f>
        <v>0</v>
      </c>
      <c r="F252" s="149">
        <f>Calculations!E928</f>
        <v>0</v>
      </c>
      <c r="G252" s="149">
        <f>Calculations!F928</f>
        <v>0</v>
      </c>
      <c r="H252" s="149">
        <f>Calculations!G928</f>
        <v>0</v>
      </c>
      <c r="I252" s="499" t="str">
        <f>Calculations!H928</f>
        <v/>
      </c>
      <c r="J252" s="123"/>
      <c r="K252" s="123"/>
      <c r="L252" s="123"/>
    </row>
    <row r="253" spans="2:12">
      <c r="B253" s="70">
        <f>Calculations!A929</f>
        <v>0</v>
      </c>
      <c r="C253">
        <f>Calculations!B929</f>
        <v>0</v>
      </c>
      <c r="D253" s="77">
        <f>Calculations!C929</f>
        <v>0</v>
      </c>
      <c r="E253" s="92">
        <f>Calculations!D929</f>
        <v>0</v>
      </c>
      <c r="F253" s="149">
        <f>Calculations!E929</f>
        <v>0</v>
      </c>
      <c r="G253" s="149">
        <f>Calculations!F929</f>
        <v>0</v>
      </c>
      <c r="H253" s="149">
        <f>Calculations!G929</f>
        <v>0</v>
      </c>
      <c r="I253" s="499" t="str">
        <f>Calculations!H929</f>
        <v/>
      </c>
      <c r="J253" s="123"/>
      <c r="K253" s="123"/>
      <c r="L253" s="123"/>
    </row>
    <row r="254" spans="2:12">
      <c r="B254" s="70">
        <f>Calculations!A930</f>
        <v>0</v>
      </c>
      <c r="C254">
        <f>Calculations!B930</f>
        <v>0</v>
      </c>
      <c r="D254" s="77">
        <f>Calculations!C930</f>
        <v>0</v>
      </c>
      <c r="E254" s="92">
        <f>Calculations!D930</f>
        <v>0</v>
      </c>
      <c r="F254" s="149">
        <f>Calculations!E930</f>
        <v>0</v>
      </c>
      <c r="G254" s="149">
        <f>Calculations!F930</f>
        <v>0</v>
      </c>
      <c r="H254" s="149">
        <f>Calculations!G930</f>
        <v>0</v>
      </c>
      <c r="I254" s="499" t="str">
        <f>Calculations!H930</f>
        <v/>
      </c>
      <c r="J254" s="123"/>
      <c r="K254" s="123"/>
      <c r="L254" s="123"/>
    </row>
    <row r="255" spans="2:12">
      <c r="B255" s="70">
        <f>Calculations!A931</f>
        <v>0</v>
      </c>
      <c r="C255">
        <f>Calculations!B931</f>
        <v>0</v>
      </c>
      <c r="D255" s="77">
        <f>Calculations!C931</f>
        <v>0</v>
      </c>
      <c r="E255" s="92">
        <f>Calculations!D931</f>
        <v>0</v>
      </c>
      <c r="F255" s="149">
        <f>Calculations!E931</f>
        <v>0</v>
      </c>
      <c r="G255" s="149">
        <f>Calculations!F931</f>
        <v>0</v>
      </c>
      <c r="H255" s="149">
        <f>Calculations!G931</f>
        <v>0</v>
      </c>
      <c r="I255" s="499" t="str">
        <f>Calculations!H931</f>
        <v/>
      </c>
      <c r="J255" s="123"/>
      <c r="K255" s="123"/>
      <c r="L255" s="123"/>
    </row>
    <row r="256" spans="2:12">
      <c r="B256" s="70">
        <f>Calculations!A932</f>
        <v>0</v>
      </c>
      <c r="C256">
        <f>Calculations!B932</f>
        <v>0</v>
      </c>
      <c r="D256" s="77">
        <f>Calculations!C932</f>
        <v>0</v>
      </c>
      <c r="E256" s="92">
        <f>Calculations!D932</f>
        <v>0</v>
      </c>
      <c r="F256" s="149">
        <f>Calculations!E932</f>
        <v>0</v>
      </c>
      <c r="G256" s="149">
        <f>Calculations!F932</f>
        <v>0</v>
      </c>
      <c r="H256" s="149">
        <f>Calculations!G932</f>
        <v>0</v>
      </c>
      <c r="I256" s="499" t="str">
        <f>Calculations!H932</f>
        <v/>
      </c>
      <c r="J256" s="123"/>
      <c r="K256" s="123"/>
      <c r="L256" s="123"/>
    </row>
    <row r="257" spans="2:12">
      <c r="B257" s="70">
        <f>Calculations!A933</f>
        <v>0</v>
      </c>
      <c r="C257">
        <f>Calculations!B933</f>
        <v>0</v>
      </c>
      <c r="D257" s="77">
        <f>Calculations!C933</f>
        <v>0</v>
      </c>
      <c r="E257" s="92">
        <f>Calculations!D933</f>
        <v>0</v>
      </c>
      <c r="F257" s="149">
        <f>Calculations!E933</f>
        <v>0</v>
      </c>
      <c r="G257" s="149">
        <f>Calculations!F933</f>
        <v>0</v>
      </c>
      <c r="H257" s="149">
        <f>Calculations!G933</f>
        <v>0</v>
      </c>
      <c r="I257" s="499" t="str">
        <f>Calculations!H933</f>
        <v/>
      </c>
      <c r="J257" s="123"/>
      <c r="K257" s="123"/>
      <c r="L257" s="123"/>
    </row>
    <row r="258" spans="2:12">
      <c r="B258" s="70">
        <f>Calculations!A934</f>
        <v>0</v>
      </c>
      <c r="C258">
        <f>Calculations!B934</f>
        <v>0</v>
      </c>
      <c r="D258" s="77">
        <f>Calculations!C934</f>
        <v>0</v>
      </c>
      <c r="E258" s="92">
        <f>Calculations!D934</f>
        <v>0</v>
      </c>
      <c r="F258" s="149">
        <f>Calculations!E934</f>
        <v>0</v>
      </c>
      <c r="G258" s="149">
        <f>Calculations!F934</f>
        <v>0</v>
      </c>
      <c r="H258" s="149">
        <f>Calculations!G934</f>
        <v>0</v>
      </c>
      <c r="I258" s="499" t="str">
        <f>Calculations!H934</f>
        <v/>
      </c>
      <c r="J258" s="123"/>
      <c r="K258" s="123"/>
      <c r="L258" s="123"/>
    </row>
    <row r="259" spans="2:12">
      <c r="B259" s="70">
        <f>Calculations!A935</f>
        <v>0</v>
      </c>
      <c r="C259">
        <f>Calculations!B935</f>
        <v>0</v>
      </c>
      <c r="D259" s="77">
        <f>Calculations!C935</f>
        <v>0</v>
      </c>
      <c r="E259" s="92">
        <f>Calculations!D935</f>
        <v>0</v>
      </c>
      <c r="F259" s="149">
        <f>Calculations!E935</f>
        <v>0</v>
      </c>
      <c r="G259" s="149">
        <f>Calculations!F935</f>
        <v>0</v>
      </c>
      <c r="H259" s="149">
        <f>Calculations!G935</f>
        <v>0</v>
      </c>
      <c r="I259" s="499" t="str">
        <f>Calculations!H935</f>
        <v/>
      </c>
      <c r="J259" s="123"/>
      <c r="K259" s="123"/>
      <c r="L259" s="123"/>
    </row>
    <row r="260" spans="2:12">
      <c r="B260" s="70">
        <f>Calculations!A936</f>
        <v>0</v>
      </c>
      <c r="C260">
        <f>Calculations!B936</f>
        <v>0</v>
      </c>
      <c r="D260" s="77">
        <f>Calculations!C936</f>
        <v>0</v>
      </c>
      <c r="E260" s="92">
        <f>Calculations!D936</f>
        <v>0</v>
      </c>
      <c r="F260" s="149">
        <f>Calculations!E936</f>
        <v>0</v>
      </c>
      <c r="G260" s="149">
        <f>Calculations!F936</f>
        <v>0</v>
      </c>
      <c r="H260" s="149">
        <f>Calculations!G936</f>
        <v>0</v>
      </c>
      <c r="I260" s="499" t="str">
        <f>Calculations!H936</f>
        <v/>
      </c>
      <c r="J260" s="123"/>
      <c r="K260" s="123"/>
      <c r="L260" s="123"/>
    </row>
    <row r="261" spans="2:12">
      <c r="B261" s="70">
        <f>Calculations!A937</f>
        <v>0</v>
      </c>
      <c r="C261">
        <f>Calculations!B937</f>
        <v>0</v>
      </c>
      <c r="D261" s="77">
        <f>Calculations!C937</f>
        <v>0</v>
      </c>
      <c r="E261" s="92">
        <f>Calculations!D937</f>
        <v>0</v>
      </c>
      <c r="F261" s="149">
        <f>Calculations!E937</f>
        <v>0</v>
      </c>
      <c r="G261" s="149">
        <f>Calculations!F937</f>
        <v>0</v>
      </c>
      <c r="H261" s="149">
        <f>Calculations!G937</f>
        <v>0</v>
      </c>
      <c r="I261" s="499" t="str">
        <f>Calculations!H937</f>
        <v/>
      </c>
      <c r="J261" s="123"/>
      <c r="K261" s="123"/>
      <c r="L261" s="123"/>
    </row>
    <row r="262" spans="2:12">
      <c r="B262" s="70">
        <f>Calculations!A938</f>
        <v>0</v>
      </c>
      <c r="C262">
        <f>Calculations!B938</f>
        <v>0</v>
      </c>
      <c r="D262" s="77">
        <f>Calculations!C938</f>
        <v>0</v>
      </c>
      <c r="E262" s="92">
        <f>Calculations!D938</f>
        <v>0</v>
      </c>
      <c r="F262" s="149">
        <f>Calculations!E938</f>
        <v>0</v>
      </c>
      <c r="G262" s="149">
        <f>Calculations!F938</f>
        <v>0</v>
      </c>
      <c r="H262" s="149">
        <f>Calculations!G938</f>
        <v>0</v>
      </c>
      <c r="I262" s="499" t="str">
        <f>Calculations!H938</f>
        <v/>
      </c>
      <c r="J262" s="123"/>
      <c r="K262" s="123"/>
      <c r="L262" s="123"/>
    </row>
    <row r="263" spans="2:12">
      <c r="B263" s="70">
        <f>Calculations!A939</f>
        <v>0</v>
      </c>
      <c r="C263">
        <f>Calculations!B939</f>
        <v>0</v>
      </c>
      <c r="D263" s="77">
        <f>Calculations!C939</f>
        <v>0</v>
      </c>
      <c r="E263" s="92">
        <f>Calculations!D939</f>
        <v>0</v>
      </c>
      <c r="F263" s="149">
        <f>Calculations!E939</f>
        <v>0</v>
      </c>
      <c r="G263" s="149">
        <f>Calculations!F939</f>
        <v>0</v>
      </c>
      <c r="H263" s="149">
        <f>Calculations!G939</f>
        <v>0</v>
      </c>
      <c r="I263" s="499" t="str">
        <f>Calculations!H939</f>
        <v/>
      </c>
      <c r="J263" s="123"/>
      <c r="K263" s="123"/>
      <c r="L263" s="123"/>
    </row>
    <row r="264" spans="2:12">
      <c r="B264" s="70">
        <f>Calculations!A940</f>
        <v>0</v>
      </c>
      <c r="C264">
        <f>Calculations!B940</f>
        <v>0</v>
      </c>
      <c r="D264" s="77">
        <f>Calculations!C940</f>
        <v>0</v>
      </c>
      <c r="E264" s="92">
        <f>Calculations!D940</f>
        <v>0</v>
      </c>
      <c r="F264" s="149">
        <f>Calculations!E940</f>
        <v>0</v>
      </c>
      <c r="G264" s="149">
        <f>Calculations!F940</f>
        <v>0</v>
      </c>
      <c r="H264" s="149">
        <f>Calculations!G940</f>
        <v>0</v>
      </c>
      <c r="I264" s="499" t="str">
        <f>Calculations!H940</f>
        <v/>
      </c>
      <c r="J264" s="123"/>
      <c r="K264" s="123"/>
      <c r="L264" s="123"/>
    </row>
    <row r="265" spans="2:12">
      <c r="B265" s="70">
        <f>Calculations!A941</f>
        <v>0</v>
      </c>
      <c r="C265">
        <f>Calculations!B941</f>
        <v>0</v>
      </c>
      <c r="D265" s="77">
        <f>Calculations!C941</f>
        <v>0</v>
      </c>
      <c r="E265" s="92">
        <f>Calculations!D941</f>
        <v>0</v>
      </c>
      <c r="F265" s="149">
        <f>Calculations!E941</f>
        <v>0</v>
      </c>
      <c r="G265" s="149">
        <f>Calculations!F941</f>
        <v>0</v>
      </c>
      <c r="H265" s="149">
        <f>Calculations!G941</f>
        <v>0</v>
      </c>
      <c r="I265" s="499" t="str">
        <f>Calculations!H941</f>
        <v/>
      </c>
      <c r="J265" s="123"/>
      <c r="K265" s="123"/>
      <c r="L265" s="123"/>
    </row>
    <row r="266" spans="2:12">
      <c r="B266" s="70">
        <f>Calculations!A942</f>
        <v>0</v>
      </c>
      <c r="C266">
        <f>Calculations!B942</f>
        <v>0</v>
      </c>
      <c r="D266" s="77">
        <f>Calculations!C942</f>
        <v>0</v>
      </c>
      <c r="E266" s="92">
        <f>Calculations!D942</f>
        <v>0</v>
      </c>
      <c r="F266" s="149">
        <f>Calculations!E942</f>
        <v>0</v>
      </c>
      <c r="G266" s="149">
        <f>Calculations!F942</f>
        <v>0</v>
      </c>
      <c r="H266" s="149">
        <f>Calculations!G942</f>
        <v>0</v>
      </c>
      <c r="I266" s="499" t="str">
        <f>Calculations!H942</f>
        <v/>
      </c>
      <c r="J266" s="123"/>
      <c r="K266" s="123"/>
      <c r="L266" s="123"/>
    </row>
    <row r="267" spans="2:12">
      <c r="B267" s="70">
        <f>Calculations!A943</f>
        <v>0</v>
      </c>
      <c r="C267">
        <f>Calculations!B943</f>
        <v>0</v>
      </c>
      <c r="D267" s="77">
        <f>Calculations!C943</f>
        <v>0</v>
      </c>
      <c r="E267" s="92">
        <f>Calculations!D943</f>
        <v>0</v>
      </c>
      <c r="F267" s="149">
        <f>Calculations!E943</f>
        <v>0</v>
      </c>
      <c r="G267" s="149">
        <f>Calculations!F943</f>
        <v>0</v>
      </c>
      <c r="H267" s="149">
        <f>Calculations!G943</f>
        <v>0</v>
      </c>
      <c r="I267" s="499" t="str">
        <f>Calculations!H943</f>
        <v/>
      </c>
      <c r="J267" s="123"/>
      <c r="K267" s="123"/>
      <c r="L267" s="123"/>
    </row>
    <row r="268" spans="2:12">
      <c r="B268" s="70">
        <f>Calculations!A944</f>
        <v>0</v>
      </c>
      <c r="C268">
        <f>Calculations!B944</f>
        <v>0</v>
      </c>
      <c r="D268" s="77">
        <f>Calculations!C944</f>
        <v>0</v>
      </c>
      <c r="E268" s="92">
        <f>Calculations!D944</f>
        <v>0</v>
      </c>
      <c r="F268" s="149">
        <f>Calculations!E944</f>
        <v>0</v>
      </c>
      <c r="G268" s="149">
        <f>Calculations!F944</f>
        <v>0</v>
      </c>
      <c r="H268" s="149">
        <f>Calculations!G944</f>
        <v>0</v>
      </c>
      <c r="I268" s="499" t="str">
        <f>Calculations!H944</f>
        <v/>
      </c>
      <c r="J268" s="123"/>
      <c r="K268" s="123"/>
      <c r="L268" s="123"/>
    </row>
    <row r="269" spans="2:12">
      <c r="B269" s="70">
        <f>Calculations!A945</f>
        <v>0</v>
      </c>
      <c r="C269">
        <f>Calculations!B945</f>
        <v>0</v>
      </c>
      <c r="D269" s="77">
        <f>Calculations!C945</f>
        <v>0</v>
      </c>
      <c r="E269" s="92">
        <f>Calculations!D945</f>
        <v>0</v>
      </c>
      <c r="F269" s="149">
        <f>Calculations!E945</f>
        <v>0</v>
      </c>
      <c r="G269" s="149">
        <f>Calculations!F945</f>
        <v>0</v>
      </c>
      <c r="H269" s="149">
        <f>Calculations!G945</f>
        <v>0</v>
      </c>
      <c r="I269" s="499" t="str">
        <f>Calculations!H945</f>
        <v/>
      </c>
      <c r="J269" s="123"/>
      <c r="K269" s="123"/>
      <c r="L269" s="123"/>
    </row>
    <row r="270" spans="2:12">
      <c r="B270" s="70">
        <f>Calculations!A946</f>
        <v>0</v>
      </c>
      <c r="C270">
        <f>Calculations!B946</f>
        <v>0</v>
      </c>
      <c r="D270" s="77">
        <f>Calculations!C946</f>
        <v>0</v>
      </c>
      <c r="E270" s="92">
        <f>Calculations!D946</f>
        <v>0</v>
      </c>
      <c r="F270" s="149">
        <f>Calculations!E946</f>
        <v>0</v>
      </c>
      <c r="G270" s="149">
        <f>Calculations!F946</f>
        <v>0</v>
      </c>
      <c r="H270" s="149">
        <f>Calculations!G946</f>
        <v>0</v>
      </c>
      <c r="I270" s="499" t="str">
        <f>Calculations!H946</f>
        <v/>
      </c>
      <c r="J270" s="123"/>
      <c r="K270" s="123"/>
      <c r="L270" s="123"/>
    </row>
    <row r="271" spans="2:12">
      <c r="B271" s="70">
        <f>Calculations!A947</f>
        <v>0</v>
      </c>
      <c r="C271">
        <f>Calculations!B947</f>
        <v>0</v>
      </c>
      <c r="D271" s="77">
        <f>Calculations!C947</f>
        <v>0</v>
      </c>
      <c r="E271" s="92">
        <f>Calculations!D947</f>
        <v>0</v>
      </c>
      <c r="F271" s="149">
        <f>Calculations!E947</f>
        <v>0</v>
      </c>
      <c r="G271" s="149">
        <f>Calculations!F947</f>
        <v>0</v>
      </c>
      <c r="H271" s="149">
        <f>Calculations!G947</f>
        <v>0</v>
      </c>
      <c r="I271" s="499" t="str">
        <f>Calculations!H947</f>
        <v/>
      </c>
      <c r="J271" s="123"/>
      <c r="K271" s="123"/>
      <c r="L271" s="123"/>
    </row>
    <row r="272" spans="2:12">
      <c r="B272" s="70">
        <f>Calculations!A948</f>
        <v>0</v>
      </c>
      <c r="C272">
        <f>Calculations!B948</f>
        <v>0</v>
      </c>
      <c r="D272" s="77">
        <f>Calculations!C948</f>
        <v>0</v>
      </c>
      <c r="E272" s="92">
        <f>Calculations!D948</f>
        <v>0</v>
      </c>
      <c r="F272" s="149">
        <f>Calculations!E948</f>
        <v>0</v>
      </c>
      <c r="G272" s="149">
        <f>Calculations!F948</f>
        <v>0</v>
      </c>
      <c r="H272" s="149">
        <f>Calculations!G948</f>
        <v>0</v>
      </c>
      <c r="I272" s="499" t="str">
        <f>Calculations!H948</f>
        <v/>
      </c>
      <c r="J272" s="123"/>
      <c r="K272" s="123"/>
      <c r="L272" s="123"/>
    </row>
    <row r="273" spans="2:12">
      <c r="B273" s="70">
        <f>Calculations!A949</f>
        <v>0</v>
      </c>
      <c r="C273">
        <f>Calculations!B949</f>
        <v>0</v>
      </c>
      <c r="D273" s="77">
        <f>Calculations!C949</f>
        <v>0</v>
      </c>
      <c r="E273" s="92">
        <f>Calculations!D949</f>
        <v>0</v>
      </c>
      <c r="F273" s="149">
        <f>Calculations!E949</f>
        <v>0</v>
      </c>
      <c r="G273" s="149">
        <f>Calculations!F949</f>
        <v>0</v>
      </c>
      <c r="H273" s="149">
        <f>Calculations!G949</f>
        <v>0</v>
      </c>
      <c r="I273" s="499" t="str">
        <f>Calculations!H949</f>
        <v/>
      </c>
      <c r="J273" s="123"/>
      <c r="K273" s="123"/>
      <c r="L273" s="123"/>
    </row>
    <row r="274" spans="2:12">
      <c r="B274" s="70">
        <f>Calculations!A950</f>
        <v>0</v>
      </c>
      <c r="C274">
        <f>Calculations!B950</f>
        <v>0</v>
      </c>
      <c r="D274" s="77">
        <f>Calculations!C950</f>
        <v>0</v>
      </c>
      <c r="E274" s="92">
        <f>Calculations!D950</f>
        <v>0</v>
      </c>
      <c r="F274" s="149">
        <f>Calculations!E950</f>
        <v>0</v>
      </c>
      <c r="G274" s="149">
        <f>Calculations!F950</f>
        <v>0</v>
      </c>
      <c r="H274" s="149">
        <f>Calculations!G950</f>
        <v>0</v>
      </c>
      <c r="I274" s="364">
        <f>Calculations!H950</f>
        <v>0</v>
      </c>
    </row>
    <row r="275" spans="2:12">
      <c r="B275" s="70">
        <f>Calculations!A951</f>
        <v>0</v>
      </c>
      <c r="C275">
        <f>Calculations!B951</f>
        <v>0</v>
      </c>
      <c r="D275" s="77">
        <f>Calculations!C951</f>
        <v>0</v>
      </c>
      <c r="E275" s="92">
        <f>Calculations!D951</f>
        <v>0</v>
      </c>
      <c r="F275" s="149">
        <f>Calculations!E951</f>
        <v>0</v>
      </c>
      <c r="G275" s="149">
        <f>Calculations!F951</f>
        <v>0</v>
      </c>
      <c r="H275" s="149">
        <f>Calculations!G951</f>
        <v>0</v>
      </c>
      <c r="I275" s="364">
        <f>Calculations!H951</f>
        <v>0</v>
      </c>
    </row>
    <row r="276" spans="2:12">
      <c r="B276" s="70">
        <f>Calculations!A952</f>
        <v>0</v>
      </c>
      <c r="C276">
        <f>Calculations!B952</f>
        <v>0</v>
      </c>
      <c r="D276" s="77">
        <f>Calculations!C952</f>
        <v>0</v>
      </c>
      <c r="E276" s="92">
        <f>Calculations!D952</f>
        <v>0</v>
      </c>
      <c r="F276" s="149">
        <f>Calculations!E952</f>
        <v>0</v>
      </c>
      <c r="G276" s="149">
        <f>Calculations!F952</f>
        <v>0</v>
      </c>
      <c r="H276" s="149">
        <f>Calculations!G952</f>
        <v>0</v>
      </c>
      <c r="I276" s="364">
        <f>Calculations!H952</f>
        <v>0</v>
      </c>
    </row>
    <row r="277" spans="2:12">
      <c r="B277" s="70">
        <f>Calculations!A953</f>
        <v>0</v>
      </c>
      <c r="C277">
        <f>Calculations!B953</f>
        <v>0</v>
      </c>
      <c r="D277" s="77">
        <f>Calculations!C953</f>
        <v>0</v>
      </c>
      <c r="E277" s="92">
        <f>Calculations!D953</f>
        <v>0</v>
      </c>
      <c r="F277" s="149">
        <f>Calculations!E953</f>
        <v>0</v>
      </c>
      <c r="G277" s="149">
        <f>Calculations!F953</f>
        <v>0</v>
      </c>
      <c r="H277" s="149">
        <f>Calculations!G953</f>
        <v>0</v>
      </c>
      <c r="I277" s="364">
        <f>Calculations!H953</f>
        <v>0</v>
      </c>
    </row>
    <row r="278" spans="2:12">
      <c r="B278" s="70">
        <f>Calculations!A954</f>
        <v>0</v>
      </c>
      <c r="C278">
        <f>Calculations!B954</f>
        <v>0</v>
      </c>
      <c r="D278" s="77">
        <f>Calculations!C954</f>
        <v>0</v>
      </c>
      <c r="E278" s="92">
        <f>Calculations!D954</f>
        <v>0</v>
      </c>
      <c r="F278" s="149">
        <f>Calculations!E954</f>
        <v>0</v>
      </c>
      <c r="G278" s="149">
        <f>Calculations!F954</f>
        <v>0</v>
      </c>
      <c r="H278" s="149">
        <f>Calculations!G954</f>
        <v>0</v>
      </c>
      <c r="I278" s="364">
        <f>Calculations!H954</f>
        <v>0</v>
      </c>
    </row>
    <row r="279" spans="2:12">
      <c r="B279" s="70">
        <f>Calculations!A955</f>
        <v>0</v>
      </c>
      <c r="C279">
        <f>Calculations!B955</f>
        <v>0</v>
      </c>
      <c r="D279" s="77">
        <f>Calculations!C955</f>
        <v>0</v>
      </c>
      <c r="E279" s="92">
        <f>Calculations!D955</f>
        <v>0</v>
      </c>
      <c r="F279" s="149">
        <f>Calculations!E955</f>
        <v>0</v>
      </c>
      <c r="G279" s="149">
        <f>Calculations!F955</f>
        <v>0</v>
      </c>
      <c r="H279" s="149">
        <f>Calculations!G955</f>
        <v>0</v>
      </c>
      <c r="I279" s="364">
        <f>Calculations!H955</f>
        <v>0</v>
      </c>
    </row>
    <row r="280" spans="2:12">
      <c r="B280" s="70">
        <f>Calculations!A956</f>
        <v>0</v>
      </c>
      <c r="C280">
        <f>Calculations!B956</f>
        <v>0</v>
      </c>
      <c r="D280" s="77">
        <f>Calculations!C956</f>
        <v>0</v>
      </c>
      <c r="E280" s="92">
        <f>Calculations!D956</f>
        <v>0</v>
      </c>
      <c r="F280" s="149">
        <f>Calculations!E956</f>
        <v>0</v>
      </c>
      <c r="G280" s="149">
        <f>Calculations!F956</f>
        <v>0</v>
      </c>
      <c r="H280" s="149">
        <f>Calculations!G956</f>
        <v>0</v>
      </c>
      <c r="I280" s="364">
        <f>Calculations!H956</f>
        <v>0</v>
      </c>
    </row>
    <row r="281" spans="2:12">
      <c r="B281" s="70">
        <f>Calculations!A957</f>
        <v>0</v>
      </c>
      <c r="C281">
        <f>Calculations!B957</f>
        <v>0</v>
      </c>
      <c r="D281" s="77">
        <f>Calculations!C957</f>
        <v>0</v>
      </c>
      <c r="E281" s="92">
        <f>Calculations!D957</f>
        <v>0</v>
      </c>
      <c r="F281" s="149">
        <f>Calculations!E957</f>
        <v>0</v>
      </c>
      <c r="G281" s="149">
        <f>Calculations!F957</f>
        <v>0</v>
      </c>
      <c r="H281" s="149">
        <f>Calculations!G957</f>
        <v>0</v>
      </c>
      <c r="I281" s="364">
        <f>Calculations!H957</f>
        <v>0</v>
      </c>
    </row>
    <row r="282" spans="2:12">
      <c r="B282" s="70">
        <f>Calculations!A958</f>
        <v>0</v>
      </c>
      <c r="C282">
        <f>Calculations!B958</f>
        <v>0</v>
      </c>
      <c r="D282" s="77">
        <f>Calculations!C958</f>
        <v>0</v>
      </c>
      <c r="E282" s="92">
        <f>Calculations!D958</f>
        <v>0</v>
      </c>
      <c r="F282" s="149">
        <f>Calculations!E958</f>
        <v>0</v>
      </c>
      <c r="G282" s="149">
        <f>Calculations!F958</f>
        <v>0</v>
      </c>
      <c r="H282" s="149">
        <f>Calculations!G958</f>
        <v>0</v>
      </c>
      <c r="I282" s="364">
        <f>Calculations!H958</f>
        <v>0</v>
      </c>
    </row>
    <row r="283" spans="2:12">
      <c r="B283" s="70">
        <f>Calculations!A959</f>
        <v>0</v>
      </c>
      <c r="C283">
        <f>Calculations!B959</f>
        <v>0</v>
      </c>
      <c r="D283" s="77">
        <f>Calculations!C959</f>
        <v>0</v>
      </c>
      <c r="E283" s="92">
        <f>Calculations!D959</f>
        <v>0</v>
      </c>
      <c r="F283" s="149">
        <f>Calculations!E959</f>
        <v>0</v>
      </c>
      <c r="G283" s="149">
        <f>Calculations!F959</f>
        <v>0</v>
      </c>
      <c r="H283" s="149">
        <f>Calculations!G959</f>
        <v>0</v>
      </c>
      <c r="I283" s="364">
        <f>Calculations!H959</f>
        <v>0</v>
      </c>
    </row>
    <row r="284" spans="2:12">
      <c r="B284" s="70">
        <f>Calculations!A960</f>
        <v>0</v>
      </c>
      <c r="C284">
        <f>Calculations!B960</f>
        <v>0</v>
      </c>
      <c r="D284" s="77">
        <f>Calculations!C960</f>
        <v>0</v>
      </c>
      <c r="E284" s="92">
        <f>Calculations!D960</f>
        <v>0</v>
      </c>
      <c r="F284" s="149">
        <f>Calculations!E960</f>
        <v>0</v>
      </c>
      <c r="G284" s="149">
        <f>Calculations!F960</f>
        <v>0</v>
      </c>
      <c r="H284" s="149">
        <f>Calculations!G960</f>
        <v>0</v>
      </c>
      <c r="I284" s="364">
        <f>Calculations!H960</f>
        <v>0</v>
      </c>
    </row>
    <row r="285" spans="2:12">
      <c r="B285" s="70">
        <f>Calculations!A961</f>
        <v>0</v>
      </c>
      <c r="C285">
        <f>Calculations!B961</f>
        <v>0</v>
      </c>
      <c r="D285" s="77">
        <f>Calculations!C961</f>
        <v>0</v>
      </c>
      <c r="E285" s="92">
        <f>Calculations!D961</f>
        <v>0</v>
      </c>
      <c r="F285" s="149">
        <f>Calculations!E961</f>
        <v>0</v>
      </c>
      <c r="G285" s="149">
        <f>Calculations!F961</f>
        <v>0</v>
      </c>
      <c r="H285" s="149">
        <f>Calculations!G961</f>
        <v>0</v>
      </c>
      <c r="I285" s="364">
        <f>Calculations!H961</f>
        <v>0</v>
      </c>
    </row>
    <row r="286" spans="2:12">
      <c r="B286" s="70">
        <f>Calculations!A962</f>
        <v>0</v>
      </c>
      <c r="C286">
        <f>Calculations!B962</f>
        <v>0</v>
      </c>
      <c r="D286" s="77">
        <f>Calculations!C962</f>
        <v>0</v>
      </c>
      <c r="E286" s="92">
        <f>Calculations!D962</f>
        <v>0</v>
      </c>
      <c r="F286" s="149">
        <f>Calculations!E962</f>
        <v>0</v>
      </c>
      <c r="G286" s="149">
        <f>Calculations!F962</f>
        <v>0</v>
      </c>
      <c r="H286" s="149">
        <f>Calculations!G962</f>
        <v>0</v>
      </c>
      <c r="I286" s="364">
        <f>Calculations!H962</f>
        <v>0</v>
      </c>
    </row>
    <row r="287" spans="2:12">
      <c r="B287" s="70">
        <f>Calculations!A963</f>
        <v>0</v>
      </c>
      <c r="C287">
        <f>Calculations!B963</f>
        <v>0</v>
      </c>
      <c r="D287" s="77">
        <f>Calculations!C963</f>
        <v>0</v>
      </c>
      <c r="E287" s="92">
        <f>Calculations!D963</f>
        <v>0</v>
      </c>
      <c r="F287" s="149">
        <f>Calculations!E963</f>
        <v>0</v>
      </c>
      <c r="G287" s="149">
        <f>Calculations!F963</f>
        <v>0</v>
      </c>
      <c r="H287" s="149">
        <f>Calculations!G963</f>
        <v>0</v>
      </c>
      <c r="I287" s="364">
        <f>Calculations!H963</f>
        <v>0</v>
      </c>
    </row>
    <row r="288" spans="2:12">
      <c r="B288" s="70">
        <f>Calculations!A964</f>
        <v>0</v>
      </c>
      <c r="C288">
        <f>Calculations!B964</f>
        <v>0</v>
      </c>
      <c r="D288" s="77">
        <f>Calculations!C964</f>
        <v>0</v>
      </c>
      <c r="E288" s="92">
        <f>Calculations!D964</f>
        <v>0</v>
      </c>
      <c r="F288" s="149">
        <f>Calculations!E964</f>
        <v>0</v>
      </c>
      <c r="G288" s="149">
        <f>Calculations!F964</f>
        <v>0</v>
      </c>
      <c r="H288" s="149">
        <f>Calculations!G964</f>
        <v>0</v>
      </c>
      <c r="I288" s="364">
        <f>Calculations!H964</f>
        <v>0</v>
      </c>
    </row>
    <row r="289" spans="2:9">
      <c r="B289" s="70">
        <f>Calculations!A965</f>
        <v>0</v>
      </c>
      <c r="C289">
        <f>Calculations!B965</f>
        <v>0</v>
      </c>
      <c r="D289" s="77">
        <f>Calculations!C965</f>
        <v>0</v>
      </c>
      <c r="E289" s="92">
        <f>Calculations!D965</f>
        <v>0</v>
      </c>
      <c r="F289" s="149">
        <f>Calculations!E965</f>
        <v>0</v>
      </c>
      <c r="G289" s="149">
        <f>Calculations!F965</f>
        <v>0</v>
      </c>
      <c r="H289" s="149">
        <f>Calculations!G965</f>
        <v>0</v>
      </c>
      <c r="I289" s="364">
        <f>Calculations!H965</f>
        <v>0</v>
      </c>
    </row>
    <row r="290" spans="2:9">
      <c r="B290" s="70">
        <f>Calculations!A966</f>
        <v>0</v>
      </c>
      <c r="C290">
        <f>Calculations!B966</f>
        <v>0</v>
      </c>
      <c r="D290" s="77">
        <f>Calculations!C966</f>
        <v>0</v>
      </c>
      <c r="E290" s="92">
        <f>Calculations!D966</f>
        <v>0</v>
      </c>
      <c r="F290" s="149">
        <f>Calculations!E966</f>
        <v>0</v>
      </c>
      <c r="G290" s="149">
        <f>Calculations!F966</f>
        <v>0</v>
      </c>
      <c r="H290" s="149">
        <f>Calculations!G966</f>
        <v>0</v>
      </c>
      <c r="I290" s="364">
        <f>Calculations!H966</f>
        <v>0</v>
      </c>
    </row>
    <row r="291" spans="2:9">
      <c r="B291" s="70">
        <f>Calculations!A967</f>
        <v>0</v>
      </c>
      <c r="C291">
        <f>Calculations!B967</f>
        <v>0</v>
      </c>
      <c r="D291" s="77">
        <f>Calculations!C967</f>
        <v>0</v>
      </c>
      <c r="E291" s="92">
        <f>Calculations!D967</f>
        <v>0</v>
      </c>
      <c r="F291" s="149">
        <f>Calculations!E967</f>
        <v>0</v>
      </c>
      <c r="G291" s="149">
        <f>Calculations!F967</f>
        <v>0</v>
      </c>
      <c r="H291" s="149">
        <f>Calculations!G967</f>
        <v>0</v>
      </c>
      <c r="I291" s="364">
        <f>Calculations!H967</f>
        <v>0</v>
      </c>
    </row>
    <row r="292" spans="2:9">
      <c r="B292" s="70">
        <f>Calculations!A968</f>
        <v>0</v>
      </c>
      <c r="C292">
        <f>Calculations!B968</f>
        <v>0</v>
      </c>
      <c r="D292" s="77">
        <f>Calculations!C968</f>
        <v>0</v>
      </c>
      <c r="E292" s="92">
        <f>Calculations!D968</f>
        <v>0</v>
      </c>
      <c r="F292" s="149">
        <f>Calculations!E968</f>
        <v>0</v>
      </c>
      <c r="G292" s="149">
        <f>Calculations!F968</f>
        <v>0</v>
      </c>
      <c r="H292" s="149">
        <f>Calculations!G968</f>
        <v>0</v>
      </c>
      <c r="I292" s="364">
        <f>Calculations!H968</f>
        <v>0</v>
      </c>
    </row>
    <row r="293" spans="2:9">
      <c r="B293" s="70">
        <f>Calculations!A969</f>
        <v>0</v>
      </c>
      <c r="C293">
        <f>Calculations!B969</f>
        <v>0</v>
      </c>
      <c r="D293" s="77">
        <f>Calculations!C969</f>
        <v>0</v>
      </c>
      <c r="E293" s="92">
        <f>Calculations!D969</f>
        <v>0</v>
      </c>
      <c r="F293" s="149">
        <f>Calculations!E969</f>
        <v>0</v>
      </c>
      <c r="G293" s="149">
        <f>Calculations!F969</f>
        <v>0</v>
      </c>
      <c r="H293" s="149">
        <f>Calculations!G969</f>
        <v>0</v>
      </c>
      <c r="I293" s="364">
        <f>Calculations!H969</f>
        <v>0</v>
      </c>
    </row>
    <row r="294" spans="2:9">
      <c r="B294" s="70">
        <f>Calculations!A970</f>
        <v>0</v>
      </c>
      <c r="C294">
        <f>Calculations!B970</f>
        <v>0</v>
      </c>
      <c r="D294" s="77">
        <f>Calculations!C970</f>
        <v>0</v>
      </c>
      <c r="E294" s="92">
        <f>Calculations!D970</f>
        <v>0</v>
      </c>
      <c r="F294" s="149">
        <f>Calculations!E970</f>
        <v>0</v>
      </c>
      <c r="G294" s="149">
        <f>Calculations!F970</f>
        <v>0</v>
      </c>
      <c r="H294" s="149">
        <f>Calculations!G970</f>
        <v>0</v>
      </c>
      <c r="I294" s="364">
        <f>Calculations!H970</f>
        <v>0</v>
      </c>
    </row>
    <row r="295" spans="2:9">
      <c r="B295" s="70">
        <f>Calculations!A971</f>
        <v>0</v>
      </c>
      <c r="C295">
        <f>Calculations!B971</f>
        <v>0</v>
      </c>
      <c r="D295" s="77">
        <f>Calculations!C971</f>
        <v>0</v>
      </c>
      <c r="E295" s="92">
        <f>Calculations!D971</f>
        <v>0</v>
      </c>
      <c r="F295" s="149">
        <f>Calculations!E971</f>
        <v>0</v>
      </c>
      <c r="G295" s="149">
        <f>Calculations!F971</f>
        <v>0</v>
      </c>
      <c r="H295" s="149">
        <f>Calculations!G971</f>
        <v>0</v>
      </c>
      <c r="I295" s="364">
        <f>Calculations!H971</f>
        <v>0</v>
      </c>
    </row>
    <row r="296" spans="2:9">
      <c r="B296" s="70">
        <f>Calculations!A972</f>
        <v>0</v>
      </c>
      <c r="C296">
        <f>Calculations!B972</f>
        <v>0</v>
      </c>
      <c r="D296" s="77">
        <f>Calculations!C972</f>
        <v>0</v>
      </c>
      <c r="E296" s="92">
        <f>Calculations!D972</f>
        <v>0</v>
      </c>
      <c r="F296" s="149">
        <f>Calculations!E972</f>
        <v>0</v>
      </c>
      <c r="G296" s="149">
        <f>Calculations!F972</f>
        <v>0</v>
      </c>
      <c r="H296" s="149">
        <f>Calculations!G972</f>
        <v>0</v>
      </c>
      <c r="I296" s="364">
        <f>Calculations!H972</f>
        <v>0</v>
      </c>
    </row>
    <row r="297" spans="2:9">
      <c r="B297" s="70">
        <f>Calculations!A973</f>
        <v>0</v>
      </c>
      <c r="C297">
        <f>Calculations!B973</f>
        <v>0</v>
      </c>
      <c r="D297" s="77">
        <f>Calculations!C973</f>
        <v>0</v>
      </c>
      <c r="E297" s="92">
        <f>Calculations!D973</f>
        <v>0</v>
      </c>
      <c r="F297" s="149">
        <f>Calculations!E973</f>
        <v>0</v>
      </c>
      <c r="G297" s="149">
        <f>Calculations!F973</f>
        <v>0</v>
      </c>
      <c r="H297" s="149">
        <f>Calculations!G973</f>
        <v>0</v>
      </c>
      <c r="I297" s="364">
        <f>Calculations!H973</f>
        <v>0</v>
      </c>
    </row>
    <row r="298" spans="2:9">
      <c r="B298" s="70">
        <f>Calculations!A974</f>
        <v>0</v>
      </c>
      <c r="C298">
        <f>Calculations!B974</f>
        <v>0</v>
      </c>
      <c r="D298" s="77">
        <f>Calculations!C974</f>
        <v>0</v>
      </c>
      <c r="E298" s="92">
        <f>Calculations!D974</f>
        <v>0</v>
      </c>
      <c r="F298" s="149">
        <f>Calculations!E974</f>
        <v>0</v>
      </c>
      <c r="G298" s="149">
        <f>Calculations!F974</f>
        <v>0</v>
      </c>
      <c r="H298" s="149">
        <f>Calculations!G974</f>
        <v>0</v>
      </c>
      <c r="I298" s="364">
        <f>Calculations!H974</f>
        <v>0</v>
      </c>
    </row>
    <row r="299" spans="2:9">
      <c r="B299" s="70">
        <f>Calculations!A975</f>
        <v>0</v>
      </c>
      <c r="C299">
        <f>Calculations!B975</f>
        <v>0</v>
      </c>
      <c r="D299" s="77">
        <f>Calculations!C975</f>
        <v>0</v>
      </c>
      <c r="E299" s="92">
        <f>Calculations!D975</f>
        <v>0</v>
      </c>
      <c r="F299" s="149">
        <f>Calculations!E975</f>
        <v>0</v>
      </c>
      <c r="G299" s="149">
        <f>Calculations!F975</f>
        <v>0</v>
      </c>
      <c r="H299" s="149">
        <f>Calculations!G975</f>
        <v>0</v>
      </c>
      <c r="I299" s="364">
        <f>Calculations!H975</f>
        <v>0</v>
      </c>
    </row>
    <row r="300" spans="2:9">
      <c r="B300" s="70">
        <f>Calculations!A976</f>
        <v>0</v>
      </c>
      <c r="C300">
        <f>Calculations!B976</f>
        <v>0</v>
      </c>
      <c r="D300" s="77">
        <f>Calculations!C976</f>
        <v>0</v>
      </c>
      <c r="E300" s="92">
        <f>Calculations!D976</f>
        <v>0</v>
      </c>
      <c r="F300" s="149">
        <f>Calculations!E976</f>
        <v>0</v>
      </c>
      <c r="G300" s="149">
        <f>Calculations!F976</f>
        <v>0</v>
      </c>
      <c r="H300" s="149">
        <f>Calculations!G976</f>
        <v>0</v>
      </c>
      <c r="I300" s="364">
        <f>Calculations!H976</f>
        <v>0</v>
      </c>
    </row>
    <row r="301" spans="2:9">
      <c r="B301" s="70">
        <f>Calculations!A977</f>
        <v>0</v>
      </c>
      <c r="C301">
        <f>Calculations!B977</f>
        <v>0</v>
      </c>
      <c r="D301" s="77">
        <f>Calculations!C977</f>
        <v>0</v>
      </c>
      <c r="E301" s="92">
        <f>Calculations!D977</f>
        <v>0</v>
      </c>
      <c r="F301" s="149">
        <f>Calculations!E977</f>
        <v>0</v>
      </c>
      <c r="G301" s="149">
        <f>Calculations!F977</f>
        <v>0</v>
      </c>
      <c r="H301" s="149">
        <f>Calculations!G977</f>
        <v>0</v>
      </c>
      <c r="I301" s="364">
        <f>Calculations!H977</f>
        <v>0</v>
      </c>
    </row>
    <row r="302" spans="2:9">
      <c r="B302" s="70">
        <f>Calculations!A978</f>
        <v>0</v>
      </c>
      <c r="C302">
        <f>Calculations!B978</f>
        <v>0</v>
      </c>
      <c r="D302" s="77">
        <f>Calculations!C978</f>
        <v>0</v>
      </c>
      <c r="E302" s="92">
        <f>Calculations!D978</f>
        <v>0</v>
      </c>
      <c r="F302" s="149">
        <f>Calculations!E978</f>
        <v>0</v>
      </c>
      <c r="G302" s="149">
        <f>Calculations!F978</f>
        <v>0</v>
      </c>
      <c r="H302" s="149">
        <f>Calculations!G978</f>
        <v>0</v>
      </c>
      <c r="I302" s="364">
        <f>Calculations!H978</f>
        <v>0</v>
      </c>
    </row>
    <row r="303" spans="2:9">
      <c r="B303" s="70">
        <f>Calculations!A979</f>
        <v>0</v>
      </c>
      <c r="C303">
        <f>Calculations!B979</f>
        <v>0</v>
      </c>
      <c r="D303" s="77">
        <f>Calculations!C979</f>
        <v>0</v>
      </c>
      <c r="E303" s="92">
        <f>Calculations!D979</f>
        <v>0</v>
      </c>
      <c r="F303" s="149">
        <f>Calculations!E979</f>
        <v>0</v>
      </c>
      <c r="G303" s="149">
        <f>Calculations!F979</f>
        <v>0</v>
      </c>
      <c r="H303" s="149">
        <f>Calculations!G979</f>
        <v>0</v>
      </c>
      <c r="I303" s="364">
        <f>Calculations!H979</f>
        <v>0</v>
      </c>
    </row>
    <row r="304" spans="2:9">
      <c r="B304" s="70">
        <f>Calculations!A980</f>
        <v>0</v>
      </c>
      <c r="C304">
        <f>Calculations!B980</f>
        <v>0</v>
      </c>
      <c r="D304" s="77">
        <f>Calculations!C980</f>
        <v>0</v>
      </c>
      <c r="E304" s="92">
        <f>Calculations!D980</f>
        <v>0</v>
      </c>
      <c r="F304" s="149">
        <f>Calculations!E980</f>
        <v>0</v>
      </c>
      <c r="G304" s="149">
        <f>Calculations!F980</f>
        <v>0</v>
      </c>
      <c r="H304" s="149">
        <f>Calculations!G980</f>
        <v>0</v>
      </c>
      <c r="I304" s="364">
        <f>Calculations!H980</f>
        <v>0</v>
      </c>
    </row>
    <row r="305" spans="2:9">
      <c r="B305" s="70">
        <f>Calculations!A981</f>
        <v>0</v>
      </c>
      <c r="C305">
        <f>Calculations!B981</f>
        <v>0</v>
      </c>
      <c r="D305" s="77">
        <f>Calculations!C981</f>
        <v>0</v>
      </c>
      <c r="E305" s="92">
        <f>Calculations!D981</f>
        <v>0</v>
      </c>
      <c r="F305" s="149">
        <f>Calculations!E981</f>
        <v>0</v>
      </c>
      <c r="G305" s="149">
        <f>Calculations!F981</f>
        <v>0</v>
      </c>
      <c r="H305" s="149">
        <f>Calculations!G981</f>
        <v>0</v>
      </c>
      <c r="I305" s="364">
        <f>Calculations!H981</f>
        <v>0</v>
      </c>
    </row>
    <row r="306" spans="2:9">
      <c r="B306" s="70">
        <f>Calculations!A982</f>
        <v>0</v>
      </c>
      <c r="C306">
        <f>Calculations!B982</f>
        <v>0</v>
      </c>
      <c r="D306" s="77">
        <f>Calculations!C982</f>
        <v>0</v>
      </c>
      <c r="E306" s="92">
        <f>Calculations!D982</f>
        <v>0</v>
      </c>
      <c r="F306" s="149">
        <f>Calculations!E982</f>
        <v>0</v>
      </c>
      <c r="G306" s="149">
        <f>Calculations!F982</f>
        <v>0</v>
      </c>
      <c r="H306" s="149">
        <f>Calculations!G982</f>
        <v>0</v>
      </c>
      <c r="I306" s="364">
        <f>Calculations!H982</f>
        <v>0</v>
      </c>
    </row>
    <row r="307" spans="2:9">
      <c r="B307" s="70">
        <f>Calculations!A983</f>
        <v>0</v>
      </c>
      <c r="C307">
        <f>Calculations!B983</f>
        <v>0</v>
      </c>
      <c r="D307" s="77">
        <f>Calculations!C983</f>
        <v>0</v>
      </c>
      <c r="E307" s="92">
        <f>Calculations!D983</f>
        <v>0</v>
      </c>
      <c r="F307" s="149">
        <f>Calculations!E983</f>
        <v>0</v>
      </c>
      <c r="G307" s="149">
        <f>Calculations!F983</f>
        <v>0</v>
      </c>
      <c r="H307" s="149">
        <f>Calculations!G983</f>
        <v>0</v>
      </c>
      <c r="I307" s="364">
        <f>Calculations!H983</f>
        <v>0</v>
      </c>
    </row>
    <row r="308" spans="2:9">
      <c r="B308" s="70">
        <f>Calculations!A984</f>
        <v>0</v>
      </c>
      <c r="C308">
        <f>Calculations!B984</f>
        <v>0</v>
      </c>
      <c r="D308" s="77">
        <f>Calculations!C984</f>
        <v>0</v>
      </c>
      <c r="E308" s="92">
        <f>Calculations!D984</f>
        <v>0</v>
      </c>
      <c r="F308" s="149">
        <f>Calculations!E984</f>
        <v>0</v>
      </c>
      <c r="G308" s="149">
        <f>Calculations!F984</f>
        <v>0</v>
      </c>
      <c r="H308" s="149">
        <f>Calculations!G984</f>
        <v>0</v>
      </c>
      <c r="I308" s="364">
        <f>Calculations!H984</f>
        <v>0</v>
      </c>
    </row>
    <row r="309" spans="2:9">
      <c r="B309" s="70">
        <f>Calculations!A985</f>
        <v>0</v>
      </c>
      <c r="C309">
        <f>Calculations!B985</f>
        <v>0</v>
      </c>
      <c r="D309" s="77">
        <f>Calculations!C985</f>
        <v>0</v>
      </c>
      <c r="E309" s="92">
        <f>Calculations!D985</f>
        <v>0</v>
      </c>
      <c r="F309" s="149">
        <f>Calculations!E985</f>
        <v>0</v>
      </c>
      <c r="G309" s="149">
        <f>Calculations!F985</f>
        <v>0</v>
      </c>
      <c r="H309" s="149">
        <f>Calculations!G985</f>
        <v>0</v>
      </c>
      <c r="I309" s="364">
        <f>Calculations!H985</f>
        <v>0</v>
      </c>
    </row>
    <row r="310" spans="2:9">
      <c r="B310" s="70">
        <f>Calculations!A986</f>
        <v>0</v>
      </c>
      <c r="C310">
        <f>Calculations!B986</f>
        <v>0</v>
      </c>
      <c r="D310" s="77">
        <f>Calculations!C986</f>
        <v>0</v>
      </c>
      <c r="E310" s="92">
        <f>Calculations!D986</f>
        <v>0</v>
      </c>
      <c r="F310" s="149">
        <f>Calculations!E986</f>
        <v>0</v>
      </c>
      <c r="G310" s="149">
        <f>Calculations!F986</f>
        <v>0</v>
      </c>
      <c r="H310" s="149">
        <f>Calculations!G986</f>
        <v>0</v>
      </c>
      <c r="I310" s="364">
        <f>Calculations!H986</f>
        <v>0</v>
      </c>
    </row>
    <row r="311" spans="2:9">
      <c r="B311" s="70">
        <f>Calculations!A987</f>
        <v>0</v>
      </c>
      <c r="C311">
        <f>Calculations!B987</f>
        <v>0</v>
      </c>
      <c r="D311" s="77">
        <f>Calculations!C987</f>
        <v>0</v>
      </c>
      <c r="E311" s="92">
        <f>Calculations!D987</f>
        <v>0</v>
      </c>
      <c r="F311" s="149">
        <f>Calculations!E987</f>
        <v>0</v>
      </c>
      <c r="G311" s="149">
        <f>Calculations!F987</f>
        <v>0</v>
      </c>
      <c r="H311" s="149">
        <f>Calculations!G987</f>
        <v>0</v>
      </c>
      <c r="I311" s="364">
        <f>Calculations!H987</f>
        <v>0</v>
      </c>
    </row>
    <row r="312" spans="2:9">
      <c r="B312" s="70">
        <f>Calculations!A988</f>
        <v>0</v>
      </c>
      <c r="C312">
        <f>Calculations!B988</f>
        <v>0</v>
      </c>
      <c r="D312" s="77">
        <f>Calculations!C988</f>
        <v>0</v>
      </c>
      <c r="E312" s="92">
        <f>Calculations!D988</f>
        <v>0</v>
      </c>
      <c r="F312" s="149">
        <f>Calculations!E988</f>
        <v>0</v>
      </c>
      <c r="G312" s="149">
        <f>Calculations!F988</f>
        <v>0</v>
      </c>
      <c r="H312" s="149">
        <f>Calculations!G988</f>
        <v>0</v>
      </c>
      <c r="I312" s="364">
        <f>Calculations!H988</f>
        <v>0</v>
      </c>
    </row>
    <row r="313" spans="2:9">
      <c r="B313" s="70">
        <f>Calculations!A989</f>
        <v>0</v>
      </c>
      <c r="C313">
        <f>Calculations!B989</f>
        <v>0</v>
      </c>
      <c r="D313" s="77">
        <f>Calculations!C989</f>
        <v>0</v>
      </c>
      <c r="E313" s="92">
        <f>Calculations!D989</f>
        <v>0</v>
      </c>
      <c r="F313" s="149">
        <f>Calculations!E989</f>
        <v>0</v>
      </c>
      <c r="G313" s="149">
        <f>Calculations!F989</f>
        <v>0</v>
      </c>
      <c r="H313" s="149">
        <f>Calculations!G989</f>
        <v>0</v>
      </c>
      <c r="I313" s="364">
        <f>Calculations!H989</f>
        <v>0</v>
      </c>
    </row>
    <row r="314" spans="2:9">
      <c r="B314" s="70">
        <f>Calculations!A990</f>
        <v>0</v>
      </c>
      <c r="C314">
        <f>Calculations!B990</f>
        <v>0</v>
      </c>
      <c r="D314" s="77">
        <f>Calculations!C990</f>
        <v>0</v>
      </c>
      <c r="E314" s="92">
        <f>Calculations!D990</f>
        <v>0</v>
      </c>
      <c r="F314" s="149">
        <f>Calculations!E990</f>
        <v>0</v>
      </c>
      <c r="G314" s="149">
        <f>Calculations!F990</f>
        <v>0</v>
      </c>
      <c r="H314" s="149">
        <f>Calculations!G990</f>
        <v>0</v>
      </c>
      <c r="I314" s="364">
        <f>Calculations!H990</f>
        <v>0</v>
      </c>
    </row>
    <row r="315" spans="2:9">
      <c r="B315" s="70">
        <f>Calculations!A991</f>
        <v>0</v>
      </c>
      <c r="C315">
        <f>Calculations!B991</f>
        <v>0</v>
      </c>
      <c r="D315" s="77">
        <f>Calculations!C991</f>
        <v>0</v>
      </c>
      <c r="E315" s="92">
        <f>Calculations!D991</f>
        <v>0</v>
      </c>
      <c r="F315" s="149">
        <f>Calculations!E991</f>
        <v>0</v>
      </c>
      <c r="G315" s="149">
        <f>Calculations!F991</f>
        <v>0</v>
      </c>
      <c r="H315" s="149">
        <f>Calculations!G991</f>
        <v>0</v>
      </c>
      <c r="I315" s="364">
        <f>Calculations!H991</f>
        <v>0</v>
      </c>
    </row>
    <row r="316" spans="2:9">
      <c r="B316" s="70">
        <f>Calculations!A992</f>
        <v>0</v>
      </c>
      <c r="C316">
        <f>Calculations!B992</f>
        <v>0</v>
      </c>
      <c r="D316" s="77">
        <f>Calculations!C992</f>
        <v>0</v>
      </c>
      <c r="E316" s="92">
        <f>Calculations!D992</f>
        <v>0</v>
      </c>
      <c r="F316" s="149">
        <f>Calculations!E992</f>
        <v>0</v>
      </c>
      <c r="G316" s="149">
        <f>Calculations!F992</f>
        <v>0</v>
      </c>
      <c r="H316" s="149">
        <f>Calculations!G992</f>
        <v>0</v>
      </c>
      <c r="I316" s="364">
        <f>Calculations!H992</f>
        <v>0</v>
      </c>
    </row>
    <row r="317" spans="2:9">
      <c r="B317" s="70">
        <f>Calculations!A993</f>
        <v>0</v>
      </c>
      <c r="C317">
        <f>Calculations!B993</f>
        <v>0</v>
      </c>
      <c r="D317" s="77">
        <f>Calculations!C993</f>
        <v>0</v>
      </c>
      <c r="E317" s="92">
        <f>Calculations!D993</f>
        <v>0</v>
      </c>
      <c r="F317" s="149">
        <f>Calculations!E993</f>
        <v>0</v>
      </c>
      <c r="G317" s="149">
        <f>Calculations!F993</f>
        <v>0</v>
      </c>
      <c r="H317" s="149">
        <f>Calculations!G993</f>
        <v>0</v>
      </c>
      <c r="I317" s="364">
        <f>Calculations!H993</f>
        <v>0</v>
      </c>
    </row>
    <row r="318" spans="2:9">
      <c r="B318" s="70">
        <f>Calculations!A994</f>
        <v>0</v>
      </c>
      <c r="C318">
        <f>Calculations!B994</f>
        <v>0</v>
      </c>
      <c r="D318" s="77">
        <f>Calculations!C994</f>
        <v>0</v>
      </c>
      <c r="E318" s="92">
        <f>Calculations!D994</f>
        <v>0</v>
      </c>
      <c r="F318" s="149">
        <f>Calculations!E994</f>
        <v>0</v>
      </c>
      <c r="G318" s="149">
        <f>Calculations!F994</f>
        <v>0</v>
      </c>
      <c r="H318" s="149">
        <f>Calculations!G994</f>
        <v>0</v>
      </c>
      <c r="I318" s="364">
        <f>Calculations!H994</f>
        <v>0</v>
      </c>
    </row>
    <row r="319" spans="2:9">
      <c r="B319" s="70">
        <f>Calculations!A995</f>
        <v>0</v>
      </c>
      <c r="C319">
        <f>Calculations!B995</f>
        <v>0</v>
      </c>
      <c r="D319" s="77">
        <f>Calculations!C995</f>
        <v>0</v>
      </c>
      <c r="E319" s="92">
        <f>Calculations!D995</f>
        <v>0</v>
      </c>
      <c r="F319" s="149">
        <f>Calculations!E995</f>
        <v>0</v>
      </c>
      <c r="G319" s="149">
        <f>Calculations!F995</f>
        <v>0</v>
      </c>
      <c r="H319" s="149">
        <f>Calculations!G995</f>
        <v>0</v>
      </c>
      <c r="I319" s="364">
        <f>Calculations!H995</f>
        <v>0</v>
      </c>
    </row>
    <row r="320" spans="2:9">
      <c r="B320" s="70">
        <f>Calculations!A996</f>
        <v>0</v>
      </c>
      <c r="C320">
        <f>Calculations!B996</f>
        <v>0</v>
      </c>
      <c r="D320" s="77">
        <f>Calculations!C996</f>
        <v>0</v>
      </c>
      <c r="E320" s="92">
        <f>Calculations!D996</f>
        <v>0</v>
      </c>
      <c r="F320" s="149">
        <f>Calculations!E996</f>
        <v>0</v>
      </c>
      <c r="G320" s="149">
        <f>Calculations!F996</f>
        <v>0</v>
      </c>
      <c r="H320" s="149">
        <f>Calculations!G996</f>
        <v>0</v>
      </c>
      <c r="I320" s="364">
        <f>Calculations!H996</f>
        <v>0</v>
      </c>
    </row>
    <row r="321" spans="2:9">
      <c r="B321" s="70">
        <f>Calculations!A997</f>
        <v>0</v>
      </c>
      <c r="C321">
        <f>Calculations!B997</f>
        <v>0</v>
      </c>
      <c r="D321" s="77">
        <f>Calculations!C997</f>
        <v>0</v>
      </c>
      <c r="E321" s="92">
        <f>Calculations!D997</f>
        <v>0</v>
      </c>
      <c r="F321" s="149">
        <f>Calculations!E997</f>
        <v>0</v>
      </c>
      <c r="G321" s="149">
        <f>Calculations!F997</f>
        <v>0</v>
      </c>
      <c r="H321" s="149">
        <f>Calculations!G997</f>
        <v>0</v>
      </c>
      <c r="I321" s="364">
        <f>Calculations!H997</f>
        <v>0</v>
      </c>
    </row>
    <row r="322" spans="2:9">
      <c r="B322" s="70">
        <f>Calculations!A998</f>
        <v>0</v>
      </c>
      <c r="C322">
        <f>Calculations!B998</f>
        <v>0</v>
      </c>
      <c r="D322" s="77">
        <f>Calculations!C998</f>
        <v>0</v>
      </c>
      <c r="E322" s="92">
        <f>Calculations!D998</f>
        <v>0</v>
      </c>
      <c r="F322" s="149">
        <f>Calculations!E998</f>
        <v>0</v>
      </c>
      <c r="G322" s="149">
        <f>Calculations!F998</f>
        <v>0</v>
      </c>
      <c r="H322" s="149">
        <f>Calculations!G998</f>
        <v>0</v>
      </c>
      <c r="I322" s="364">
        <f>Calculations!H998</f>
        <v>0</v>
      </c>
    </row>
    <row r="323" spans="2:9">
      <c r="B323" s="70">
        <f>Calculations!A999</f>
        <v>0</v>
      </c>
      <c r="C323">
        <f>Calculations!B999</f>
        <v>0</v>
      </c>
      <c r="D323" s="77">
        <f>Calculations!C999</f>
        <v>0</v>
      </c>
      <c r="E323" s="92">
        <f>Calculations!D999</f>
        <v>0</v>
      </c>
      <c r="F323" s="149">
        <f>Calculations!E999</f>
        <v>0</v>
      </c>
      <c r="G323" s="149">
        <f>Calculations!F999</f>
        <v>0</v>
      </c>
      <c r="H323" s="149">
        <f>Calculations!G999</f>
        <v>0</v>
      </c>
      <c r="I323" s="364">
        <f>Calculations!H999</f>
        <v>0</v>
      </c>
    </row>
    <row r="324" spans="2:9">
      <c r="B324" s="70">
        <f>Calculations!A1000</f>
        <v>0</v>
      </c>
      <c r="C324">
        <f>Calculations!B1000</f>
        <v>0</v>
      </c>
      <c r="D324" s="77">
        <f>Calculations!C1000</f>
        <v>0</v>
      </c>
      <c r="E324" s="92">
        <f>Calculations!D1000</f>
        <v>0</v>
      </c>
      <c r="F324" s="149">
        <f>Calculations!E1000</f>
        <v>0</v>
      </c>
      <c r="G324" s="149">
        <f>Calculations!F1000</f>
        <v>0</v>
      </c>
      <c r="H324" s="149">
        <f>Calculations!G1000</f>
        <v>0</v>
      </c>
      <c r="I324" s="364">
        <f>Calculations!H1000</f>
        <v>0</v>
      </c>
    </row>
    <row r="325" spans="2:9">
      <c r="B325" s="70">
        <f>Calculations!A1001</f>
        <v>0</v>
      </c>
      <c r="C325">
        <f>Calculations!B1001</f>
        <v>0</v>
      </c>
      <c r="D325" s="77">
        <f>Calculations!C1001</f>
        <v>0</v>
      </c>
      <c r="E325" s="92">
        <f>Calculations!D1001</f>
        <v>0</v>
      </c>
      <c r="F325" s="149">
        <f>Calculations!E1001</f>
        <v>0</v>
      </c>
      <c r="G325" s="149">
        <f>Calculations!F1001</f>
        <v>0</v>
      </c>
      <c r="H325" s="149">
        <f>Calculations!G1001</f>
        <v>0</v>
      </c>
      <c r="I325" s="364">
        <f>Calculations!H1001</f>
        <v>0</v>
      </c>
    </row>
    <row r="326" spans="2:9">
      <c r="B326" s="70">
        <f>Calculations!A1002</f>
        <v>0</v>
      </c>
      <c r="C326">
        <f>Calculations!B1002</f>
        <v>0</v>
      </c>
      <c r="D326" s="77">
        <f>Calculations!C1002</f>
        <v>0</v>
      </c>
      <c r="E326" s="92">
        <f>Calculations!D1002</f>
        <v>0</v>
      </c>
      <c r="F326" s="149">
        <f>Calculations!E1002</f>
        <v>0</v>
      </c>
      <c r="G326" s="149">
        <f>Calculations!F1002</f>
        <v>0</v>
      </c>
      <c r="H326" s="149">
        <f>Calculations!G1002</f>
        <v>0</v>
      </c>
      <c r="I326" s="364">
        <f>Calculations!H1002</f>
        <v>0</v>
      </c>
    </row>
    <row r="327" spans="2:9">
      <c r="B327" s="70">
        <f>Calculations!A1003</f>
        <v>0</v>
      </c>
      <c r="C327">
        <f>Calculations!B1003</f>
        <v>0</v>
      </c>
      <c r="D327" s="77">
        <f>Calculations!C1003</f>
        <v>0</v>
      </c>
      <c r="E327" s="92">
        <f>Calculations!D1003</f>
        <v>0</v>
      </c>
      <c r="F327" s="149">
        <f>Calculations!E1003</f>
        <v>0</v>
      </c>
      <c r="G327" s="149">
        <f>Calculations!F1003</f>
        <v>0</v>
      </c>
      <c r="H327" s="149">
        <f>Calculations!G1003</f>
        <v>0</v>
      </c>
      <c r="I327" s="364">
        <f>Calculations!H1003</f>
        <v>0</v>
      </c>
    </row>
    <row r="328" spans="2:9">
      <c r="B328" s="70">
        <f>Calculations!A1004</f>
        <v>0</v>
      </c>
      <c r="C328">
        <f>Calculations!B1004</f>
        <v>0</v>
      </c>
      <c r="D328" s="77">
        <f>Calculations!C1004</f>
        <v>0</v>
      </c>
      <c r="E328" s="92">
        <f>Calculations!D1004</f>
        <v>0</v>
      </c>
      <c r="F328" s="149">
        <f>Calculations!E1004</f>
        <v>0</v>
      </c>
      <c r="G328" s="149">
        <f>Calculations!F1004</f>
        <v>0</v>
      </c>
      <c r="H328" s="149">
        <f>Calculations!G1004</f>
        <v>0</v>
      </c>
      <c r="I328" s="364">
        <f>Calculations!H1004</f>
        <v>0</v>
      </c>
    </row>
    <row r="329" spans="2:9">
      <c r="B329" s="70">
        <f>Calculations!A1005</f>
        <v>0</v>
      </c>
      <c r="C329">
        <f>Calculations!B1005</f>
        <v>0</v>
      </c>
      <c r="D329" s="77">
        <f>Calculations!C1005</f>
        <v>0</v>
      </c>
      <c r="E329" s="92">
        <f>Calculations!D1005</f>
        <v>0</v>
      </c>
      <c r="F329" s="149">
        <f>Calculations!E1005</f>
        <v>0</v>
      </c>
      <c r="G329" s="149">
        <f>Calculations!F1005</f>
        <v>0</v>
      </c>
      <c r="H329" s="149">
        <f>Calculations!G1005</f>
        <v>0</v>
      </c>
      <c r="I329" s="364">
        <f>Calculations!H1005</f>
        <v>0</v>
      </c>
    </row>
    <row r="330" spans="2:9">
      <c r="B330" s="70">
        <f>Calculations!A1006</f>
        <v>0</v>
      </c>
      <c r="C330">
        <f>Calculations!B1006</f>
        <v>0</v>
      </c>
      <c r="D330" s="77">
        <f>Calculations!C1006</f>
        <v>0</v>
      </c>
      <c r="E330" s="92">
        <f>Calculations!D1006</f>
        <v>0</v>
      </c>
      <c r="F330" s="149">
        <f>Calculations!E1006</f>
        <v>0</v>
      </c>
      <c r="G330" s="149">
        <f>Calculations!F1006</f>
        <v>0</v>
      </c>
      <c r="H330" s="149">
        <f>Calculations!G1006</f>
        <v>0</v>
      </c>
      <c r="I330" s="364">
        <f>Calculations!H1006</f>
        <v>0</v>
      </c>
    </row>
    <row r="331" spans="2:9">
      <c r="B331" s="70">
        <f>Calculations!A1007</f>
        <v>0</v>
      </c>
      <c r="C331">
        <f>Calculations!B1007</f>
        <v>0</v>
      </c>
      <c r="D331" s="77">
        <f>Calculations!C1007</f>
        <v>0</v>
      </c>
      <c r="E331" s="92">
        <f>Calculations!D1007</f>
        <v>0</v>
      </c>
      <c r="F331" s="149">
        <f>Calculations!E1007</f>
        <v>0</v>
      </c>
      <c r="G331" s="149">
        <f>Calculations!F1007</f>
        <v>0</v>
      </c>
      <c r="H331" s="149">
        <f>Calculations!G1007</f>
        <v>0</v>
      </c>
      <c r="I331" s="364">
        <f>Calculations!H1007</f>
        <v>0</v>
      </c>
    </row>
    <row r="332" spans="2:9">
      <c r="B332" s="70">
        <f>Calculations!A1008</f>
        <v>0</v>
      </c>
      <c r="C332">
        <f>Calculations!B1008</f>
        <v>0</v>
      </c>
      <c r="D332" s="77">
        <f>Calculations!C1008</f>
        <v>0</v>
      </c>
      <c r="E332" s="92">
        <f>Calculations!D1008</f>
        <v>0</v>
      </c>
      <c r="F332" s="149">
        <f>Calculations!E1008</f>
        <v>0</v>
      </c>
      <c r="G332" s="149">
        <f>Calculations!F1008</f>
        <v>0</v>
      </c>
      <c r="H332" s="149">
        <f>Calculations!G1008</f>
        <v>0</v>
      </c>
      <c r="I332" s="364">
        <f>Calculations!H1008</f>
        <v>0</v>
      </c>
    </row>
    <row r="333" spans="2:9">
      <c r="B333" s="70">
        <f>Calculations!A1009</f>
        <v>0</v>
      </c>
      <c r="C333">
        <f>Calculations!B1009</f>
        <v>0</v>
      </c>
      <c r="D333" s="77">
        <f>Calculations!C1009</f>
        <v>0</v>
      </c>
      <c r="E333" s="92">
        <f>Calculations!D1009</f>
        <v>0</v>
      </c>
      <c r="F333" s="149">
        <f>Calculations!E1009</f>
        <v>0</v>
      </c>
      <c r="G333" s="149">
        <f>Calculations!F1009</f>
        <v>0</v>
      </c>
      <c r="H333" s="149">
        <f>Calculations!G1009</f>
        <v>0</v>
      </c>
      <c r="I333" s="364">
        <f>Calculations!H1009</f>
        <v>0</v>
      </c>
    </row>
    <row r="334" spans="2:9">
      <c r="B334" s="70">
        <f>Calculations!A1010</f>
        <v>0</v>
      </c>
      <c r="C334">
        <f>Calculations!B1010</f>
        <v>0</v>
      </c>
      <c r="D334" s="77">
        <f>Calculations!C1010</f>
        <v>0</v>
      </c>
      <c r="E334" s="92">
        <f>Calculations!D1010</f>
        <v>0</v>
      </c>
      <c r="F334" s="149">
        <f>Calculations!E1010</f>
        <v>0</v>
      </c>
      <c r="G334" s="149">
        <f>Calculations!F1010</f>
        <v>0</v>
      </c>
      <c r="H334" s="149">
        <f>Calculations!G1010</f>
        <v>0</v>
      </c>
      <c r="I334" s="364">
        <f>Calculations!H1010</f>
        <v>0</v>
      </c>
    </row>
    <row r="335" spans="2:9">
      <c r="B335" s="70">
        <f>Calculations!A1011</f>
        <v>0</v>
      </c>
      <c r="C335">
        <f>Calculations!B1011</f>
        <v>0</v>
      </c>
      <c r="D335" s="77">
        <f>Calculations!C1011</f>
        <v>0</v>
      </c>
      <c r="E335" s="92">
        <f>Calculations!D1011</f>
        <v>0</v>
      </c>
      <c r="F335" s="149">
        <f>Calculations!E1011</f>
        <v>0</v>
      </c>
      <c r="G335" s="149">
        <f>Calculations!F1011</f>
        <v>0</v>
      </c>
      <c r="H335" s="149">
        <f>Calculations!G1011</f>
        <v>0</v>
      </c>
      <c r="I335" s="364">
        <f>Calculations!H1011</f>
        <v>0</v>
      </c>
    </row>
  </sheetData>
  <sheetProtection algorithmName="SHA-512" hashValue="w3wtEMiyNT4Oc4geLm937SagqYQr1C2h90KLlGKU7pLawBcJJw5n8LklHFWDcpDmSCUUXpG8JT+zcYzuj8gUgw==" saltValue="EyGJSQiAO1s48jPYlxyebQ==" spinCount="100000" sheet="1" objects="1" scenarios="1"/>
  <mergeCells count="19">
    <mergeCell ref="A153:K153"/>
    <mergeCell ref="A171:K171"/>
    <mergeCell ref="B176:C176"/>
    <mergeCell ref="A212:K212"/>
    <mergeCell ref="A187:K187"/>
    <mergeCell ref="B210:C210"/>
    <mergeCell ref="A84:K84"/>
    <mergeCell ref="B90:C90"/>
    <mergeCell ref="A108:K108"/>
    <mergeCell ref="A109:K109"/>
    <mergeCell ref="A152:K152"/>
    <mergeCell ref="A101:K101"/>
    <mergeCell ref="A1:K1"/>
    <mergeCell ref="B66:C66"/>
    <mergeCell ref="A13:K13"/>
    <mergeCell ref="A39:K39"/>
    <mergeCell ref="A44:K44"/>
    <mergeCell ref="A59:K59"/>
    <mergeCell ref="I46:J46"/>
  </mergeCells>
  <hyperlinks>
    <hyperlink ref="A39:K39" location="Scoring_Details_Range" display="Scoring Summary (see Tax Credit Details for more information)" xr:uid="{00000000-0004-0000-0A00-000000000000}"/>
    <hyperlink ref="A13:K13" location="'Budget Output'!A1" display="Development Budget" xr:uid="{00000000-0004-0000-0A00-000001000000}"/>
    <hyperlink ref="A101:K101" location="'Proforma, Income &amp; Expense'!A1" display="Annual Operating Expenses" xr:uid="{00000000-0004-0000-0A00-000002000000}"/>
    <hyperlink ref="A152:K152" location="'Development Budget'!A1" display="Contractor - Developer Fee Limits" xr:uid="{00000000-0004-0000-0A00-000003000000}"/>
    <hyperlink ref="A187:K187" location="'Unit Mix &amp; Rents'!A1" display="Units Mix &amp; Rents" xr:uid="{00000000-0004-0000-0A00-000004000000}"/>
    <hyperlink ref="A84:J84" location="'Proforma, Income &amp; Expense'!A1" display="Development Income" xr:uid="{00000000-0004-0000-0A00-000005000000}"/>
    <hyperlink ref="A108:J108" location="'Proforma, Income &amp; Expense'!A1" display="15 Year Pro Forma" xr:uid="{00000000-0004-0000-0A00-000006000000}"/>
    <hyperlink ref="A44:K44" location="Determination_TC_Range" display="Determination of Annual Tax Credit Amount" xr:uid="{00000000-0004-0000-0A00-000007000000}"/>
  </hyperlinks>
  <pageMargins left="0.5" right="0.5" top="0.5" bottom="0.25" header="0.65" footer="0"/>
  <pageSetup scale="70" orientation="portrait" horizontalDpi="300" r:id="rId1"/>
  <headerFooter>
    <oddHeader>&amp;R&amp;G</oddHeader>
  </headerFooter>
  <rowBreaks count="6" manualBreakCount="6">
    <brk id="58" max="10" man="1"/>
    <brk id="107" max="10" man="1"/>
    <brk id="151" max="16383" man="1"/>
    <brk id="186" max="10" man="1"/>
    <brk id="240" max="10" man="1"/>
    <brk id="300"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tabColor theme="7"/>
  </sheetPr>
  <dimension ref="A1:P226"/>
  <sheetViews>
    <sheetView showGridLines="0" zoomScaleNormal="100" zoomScaleSheetLayoutView="99" workbookViewId="0">
      <selection sqref="A1:I1"/>
    </sheetView>
  </sheetViews>
  <sheetFormatPr defaultRowHeight="14.4"/>
  <cols>
    <col min="1" max="1" width="42.5546875" customWidth="1"/>
    <col min="2" max="5" width="13.5546875" customWidth="1"/>
    <col min="6" max="6" width="9" customWidth="1"/>
    <col min="7" max="7" width="14.44140625" customWidth="1"/>
    <col min="8" max="8" width="13.5546875" customWidth="1"/>
    <col min="9" max="9" width="9" customWidth="1"/>
  </cols>
  <sheetData>
    <row r="1" spans="1:16">
      <c r="A1" s="1088" t="s">
        <v>1015</v>
      </c>
      <c r="B1" s="1088"/>
      <c r="C1" s="1088"/>
      <c r="D1" s="1088"/>
      <c r="E1" s="1088"/>
      <c r="F1" s="1088"/>
      <c r="G1" s="1088"/>
      <c r="H1" s="1088"/>
      <c r="I1" s="1088"/>
      <c r="J1" s="9"/>
      <c r="K1" s="9"/>
    </row>
    <row r="2" spans="1:16">
      <c r="A2" s="9"/>
      <c r="B2" s="9"/>
      <c r="C2" s="9"/>
      <c r="D2" s="9"/>
      <c r="E2" s="9"/>
      <c r="F2" s="9"/>
      <c r="G2" s="9"/>
      <c r="H2" s="9"/>
      <c r="I2" s="9"/>
      <c r="J2" s="9"/>
      <c r="K2" s="9"/>
    </row>
    <row r="3" spans="1:16">
      <c r="A3" s="1" t="s">
        <v>829</v>
      </c>
      <c r="B3" s="73">
        <f>Application!B29</f>
        <v>0</v>
      </c>
      <c r="C3" s="9"/>
      <c r="D3" s="9"/>
      <c r="E3" s="9"/>
      <c r="F3" s="9"/>
      <c r="G3" s="9"/>
      <c r="H3" s="9"/>
      <c r="I3" s="9"/>
      <c r="J3" s="9"/>
      <c r="K3" s="9"/>
    </row>
    <row r="4" spans="1:16">
      <c r="A4" s="1" t="s">
        <v>215</v>
      </c>
      <c r="B4" s="73">
        <f>Application!B6</f>
        <v>0</v>
      </c>
      <c r="F4" s="123"/>
    </row>
    <row r="5" spans="1:16" s="9" customFormat="1" ht="60" customHeight="1">
      <c r="A5" s="192" t="str">
        <f>Calculations!A171</f>
        <v>Land &amp; Buildings</v>
      </c>
      <c r="B5" s="135" t="str">
        <f>Calculations!B171</f>
        <v>Amount</v>
      </c>
      <c r="C5" s="135" t="str">
        <f>Calculations!C171</f>
        <v>4% LIHTC Basis Calculation</v>
      </c>
      <c r="D5" s="135" t="str">
        <f>Calculations!D171</f>
        <v>9% LIHTC Basis Calculation</v>
      </c>
      <c r="E5" s="135" t="str">
        <f>Calculations!E171</f>
        <v>Amount Last Provided to CHFA*</v>
      </c>
      <c r="F5" s="562" t="s">
        <v>1016</v>
      </c>
      <c r="G5" s="135" t="str">
        <f>Calculations!G171</f>
        <v>Difference
if Applicable</v>
      </c>
      <c r="H5" s="135" t="str">
        <f>Calculations!H171</f>
        <v>10% Carryover Actual Incurred Costs</v>
      </c>
      <c r="I5" s="135" t="str">
        <f>Calculations!I171</f>
        <v>% of Total Expected Project Basis</v>
      </c>
      <c r="P5"/>
    </row>
    <row r="6" spans="1:16">
      <c r="A6" s="164" t="str">
        <f>Calculations!A172</f>
        <v>Land</v>
      </c>
      <c r="B6" s="66">
        <f>Calculations!B172</f>
        <v>0</v>
      </c>
      <c r="C6" s="66">
        <f>Calculations!C172</f>
        <v>0</v>
      </c>
      <c r="D6" s="66">
        <f>Calculations!D172</f>
        <v>0</v>
      </c>
      <c r="E6" s="66">
        <f>Calculations!E172</f>
        <v>0</v>
      </c>
      <c r="F6" s="8">
        <f>Calculations!F172</f>
        <v>0</v>
      </c>
      <c r="G6" s="66">
        <f>Calculations!G172</f>
        <v>0</v>
      </c>
      <c r="H6" s="66" t="str">
        <f>Calculations!H172</f>
        <v/>
      </c>
      <c r="I6" s="197" t="str">
        <f>Calculations!I172</f>
        <v/>
      </c>
    </row>
    <row r="7" spans="1:16">
      <c r="A7" s="164" t="str">
        <f>Calculations!A173</f>
        <v>Existing Structures</v>
      </c>
      <c r="B7" s="66">
        <f>Calculations!B173</f>
        <v>0</v>
      </c>
      <c r="C7" s="66">
        <f>Calculations!C173</f>
        <v>0</v>
      </c>
      <c r="D7" s="66">
        <f>Calculations!D173</f>
        <v>0</v>
      </c>
      <c r="E7" s="66">
        <f>Calculations!E173</f>
        <v>0</v>
      </c>
      <c r="F7" s="8">
        <f>Calculations!F173</f>
        <v>0</v>
      </c>
      <c r="G7" s="66">
        <f>Calculations!G173</f>
        <v>0</v>
      </c>
      <c r="H7" s="66" t="str">
        <f>Calculations!H173</f>
        <v/>
      </c>
      <c r="I7" s="197" t="str">
        <f>Calculations!I173</f>
        <v/>
      </c>
    </row>
    <row r="8" spans="1:16">
      <c r="A8" s="164" t="str">
        <f>Calculations!A174</f>
        <v>Demolition</v>
      </c>
      <c r="B8" s="66">
        <f>Calculations!B174</f>
        <v>0</v>
      </c>
      <c r="C8" s="66">
        <f>Calculations!C174</f>
        <v>0</v>
      </c>
      <c r="D8" s="66">
        <f>Calculations!D174</f>
        <v>0</v>
      </c>
      <c r="E8" s="66">
        <f>Calculations!E174</f>
        <v>0</v>
      </c>
      <c r="F8" s="8">
        <f>Calculations!F174</f>
        <v>0</v>
      </c>
      <c r="G8" s="66">
        <f>Calculations!G174</f>
        <v>0</v>
      </c>
      <c r="H8" s="66" t="str">
        <f>Calculations!H174</f>
        <v/>
      </c>
      <c r="I8" s="197" t="str">
        <f>Calculations!I174</f>
        <v/>
      </c>
    </row>
    <row r="9" spans="1:16">
      <c r="A9" s="164"/>
      <c r="B9" s="199">
        <f>Calculations!B175</f>
        <v>0</v>
      </c>
      <c r="C9" s="199">
        <f>Calculations!C175</f>
        <v>0</v>
      </c>
      <c r="D9" s="199">
        <f>Calculations!D175</f>
        <v>0</v>
      </c>
      <c r="E9" s="199">
        <f>Calculations!E175</f>
        <v>0</v>
      </c>
      <c r="F9" s="199"/>
      <c r="G9" s="199">
        <f>Calculations!G175</f>
        <v>0</v>
      </c>
      <c r="H9" s="199" t="str">
        <f>Calculations!H175</f>
        <v/>
      </c>
      <c r="I9" s="251" t="str">
        <f>Calculations!I175</f>
        <v/>
      </c>
    </row>
    <row r="10" spans="1:16">
      <c r="A10" s="192" t="str">
        <f>Calculations!A176</f>
        <v>Site Work</v>
      </c>
      <c r="B10" s="101"/>
      <c r="C10" s="101"/>
      <c r="D10" s="101"/>
      <c r="E10" s="101"/>
      <c r="F10" s="101"/>
      <c r="G10" s="101"/>
      <c r="H10" s="101"/>
      <c r="I10" s="101"/>
    </row>
    <row r="11" spans="1:16">
      <c r="A11" s="164" t="str">
        <f>Calculations!A177</f>
        <v>Onsite Work</v>
      </c>
      <c r="B11" s="66">
        <f>Calculations!B177</f>
        <v>0</v>
      </c>
      <c r="C11" s="66">
        <f>Calculations!C177</f>
        <v>0</v>
      </c>
      <c r="D11" s="66">
        <f>Calculations!D177</f>
        <v>0</v>
      </c>
      <c r="E11" s="66">
        <f>Calculations!E177</f>
        <v>0</v>
      </c>
      <c r="F11" s="8">
        <f>Calculations!F177</f>
        <v>0</v>
      </c>
      <c r="G11" s="66">
        <f>Calculations!G177</f>
        <v>0</v>
      </c>
      <c r="H11" s="66" t="str">
        <f>Calculations!H177</f>
        <v/>
      </c>
      <c r="I11" s="197" t="str">
        <f>Calculations!I177</f>
        <v/>
      </c>
    </row>
    <row r="12" spans="1:16">
      <c r="A12" s="164" t="str">
        <f>Calculations!A178</f>
        <v>Off Site Work</v>
      </c>
      <c r="B12" s="66">
        <f>Calculations!B178</f>
        <v>0</v>
      </c>
      <c r="C12" s="66">
        <f>Calculations!C178</f>
        <v>0</v>
      </c>
      <c r="D12" s="66">
        <f>Calculations!D178</f>
        <v>0</v>
      </c>
      <c r="E12" s="66">
        <f>Calculations!E178</f>
        <v>0</v>
      </c>
      <c r="F12" s="8">
        <f>Calculations!F178</f>
        <v>0</v>
      </c>
      <c r="G12" s="66">
        <f>Calculations!G178</f>
        <v>0</v>
      </c>
      <c r="H12" s="66" t="str">
        <f>Calculations!H178</f>
        <v/>
      </c>
      <c r="I12" s="197" t="str">
        <f>Calculations!I178</f>
        <v/>
      </c>
    </row>
    <row r="13" spans="1:16">
      <c r="A13" s="164"/>
      <c r="B13" s="199">
        <f>Calculations!B179</f>
        <v>0</v>
      </c>
      <c r="C13" s="199">
        <f>Calculations!C179</f>
        <v>0</v>
      </c>
      <c r="D13" s="199">
        <f>Calculations!D179</f>
        <v>0</v>
      </c>
      <c r="E13" s="199">
        <f>Calculations!E179</f>
        <v>0</v>
      </c>
      <c r="F13" s="199"/>
      <c r="G13" s="199">
        <f>Calculations!G179</f>
        <v>0</v>
      </c>
      <c r="H13" s="199" t="str">
        <f>Calculations!H179</f>
        <v/>
      </c>
      <c r="I13" s="251" t="str">
        <f>Calculations!I179</f>
        <v/>
      </c>
    </row>
    <row r="14" spans="1:16">
      <c r="A14" s="101" t="str">
        <f>Calculations!A180</f>
        <v>Rehab. &amp; New Construction</v>
      </c>
      <c r="B14" s="101"/>
      <c r="C14" s="101"/>
      <c r="D14" s="101"/>
      <c r="E14" s="101"/>
      <c r="F14" s="101"/>
      <c r="G14" s="101"/>
      <c r="H14" s="101"/>
      <c r="I14" s="101"/>
    </row>
    <row r="15" spans="1:16">
      <c r="A15" s="164" t="str">
        <f>Calculations!A181</f>
        <v>New Structures</v>
      </c>
      <c r="B15" s="66">
        <f>Calculations!B181</f>
        <v>0</v>
      </c>
      <c r="C15" s="66">
        <f>Calculations!C181</f>
        <v>0</v>
      </c>
      <c r="D15" s="66">
        <f>Calculations!D181</f>
        <v>0</v>
      </c>
      <c r="E15" s="66">
        <f>Calculations!E181</f>
        <v>0</v>
      </c>
      <c r="F15" s="8">
        <f>Calculations!F181</f>
        <v>0</v>
      </c>
      <c r="G15" s="66">
        <f>Calculations!G181</f>
        <v>0</v>
      </c>
      <c r="H15" s="66" t="str">
        <f>Calculations!H181</f>
        <v/>
      </c>
      <c r="I15" s="197" t="str">
        <f>Calculations!I181</f>
        <v/>
      </c>
    </row>
    <row r="16" spans="1:16">
      <c r="A16" s="164" t="str">
        <f>Calculations!A182</f>
        <v>Rehabilitation</v>
      </c>
      <c r="B16" s="66">
        <f>Calculations!B182</f>
        <v>0</v>
      </c>
      <c r="C16" s="66">
        <f>Calculations!C182</f>
        <v>0</v>
      </c>
      <c r="D16" s="66">
        <f>Calculations!D182</f>
        <v>0</v>
      </c>
      <c r="E16" s="66">
        <f>Calculations!E182</f>
        <v>0</v>
      </c>
      <c r="F16" s="8">
        <f>Calculations!F182</f>
        <v>0</v>
      </c>
      <c r="G16" s="66">
        <f>Calculations!G182</f>
        <v>0</v>
      </c>
      <c r="H16" s="66" t="str">
        <f>Calculations!H182</f>
        <v/>
      </c>
      <c r="I16" s="197" t="str">
        <f>Calculations!I182</f>
        <v/>
      </c>
    </row>
    <row r="17" spans="1:9">
      <c r="A17" s="164" t="str">
        <f>Calculations!A183</f>
        <v>Accessory Structures (CSF, storage, garage(s))</v>
      </c>
      <c r="B17" s="66">
        <f>Calculations!B183</f>
        <v>0</v>
      </c>
      <c r="C17" s="66">
        <f>Calculations!C183</f>
        <v>0</v>
      </c>
      <c r="D17" s="66">
        <f>Calculations!D183</f>
        <v>0</v>
      </c>
      <c r="E17" s="66">
        <f>Calculations!E183</f>
        <v>0</v>
      </c>
      <c r="F17" s="8">
        <f>Calculations!F183</f>
        <v>0</v>
      </c>
      <c r="G17" s="66">
        <f>Calculations!G183</f>
        <v>0</v>
      </c>
      <c r="H17" s="66" t="str">
        <f>Calculations!H183</f>
        <v/>
      </c>
      <c r="I17" s="197" t="str">
        <f>Calculations!I183</f>
        <v/>
      </c>
    </row>
    <row r="18" spans="1:9">
      <c r="A18" s="164" t="str">
        <f>Calculations!A184</f>
        <v>Green Systems (Solar, Geothermal, Other, etc.)</v>
      </c>
      <c r="B18" s="66">
        <f>Calculations!B184</f>
        <v>0</v>
      </c>
      <c r="C18" s="66">
        <f>Calculations!C184</f>
        <v>0</v>
      </c>
      <c r="D18" s="66">
        <f>Calculations!D184</f>
        <v>0</v>
      </c>
      <c r="E18" s="66">
        <f>Calculations!E184</f>
        <v>0</v>
      </c>
      <c r="F18" s="8">
        <f>Calculations!F184</f>
        <v>0</v>
      </c>
      <c r="G18" s="66">
        <f>Calculations!G184</f>
        <v>0</v>
      </c>
      <c r="H18" s="66" t="str">
        <f>Calculations!H184</f>
        <v/>
      </c>
      <c r="I18" s="197" t="str">
        <f>Calculations!I184</f>
        <v/>
      </c>
    </row>
    <row r="19" spans="1:9">
      <c r="A19" s="164" t="str">
        <f>Calculations!A185</f>
        <v>General Requirements</v>
      </c>
      <c r="B19" s="66">
        <f>Calculations!B185</f>
        <v>0</v>
      </c>
      <c r="C19" s="66">
        <f>Calculations!C185</f>
        <v>0</v>
      </c>
      <c r="D19" s="66">
        <f>Calculations!D185</f>
        <v>0</v>
      </c>
      <c r="E19" s="66">
        <f>Calculations!E185</f>
        <v>0</v>
      </c>
      <c r="F19" s="8">
        <f>Calculations!F185</f>
        <v>0</v>
      </c>
      <c r="G19" s="66">
        <f>Calculations!G185</f>
        <v>0</v>
      </c>
      <c r="H19" s="66" t="str">
        <f>Calculations!H185</f>
        <v/>
      </c>
      <c r="I19" s="197" t="str">
        <f>Calculations!I185</f>
        <v/>
      </c>
    </row>
    <row r="20" spans="1:9">
      <c r="A20" s="164" t="str">
        <f>Calculations!A186</f>
        <v>Contractor Overhead</v>
      </c>
      <c r="B20" s="66">
        <f>Calculations!B186</f>
        <v>0</v>
      </c>
      <c r="C20" s="66">
        <f>Calculations!C186</f>
        <v>0</v>
      </c>
      <c r="D20" s="66">
        <f>Calculations!D186</f>
        <v>0</v>
      </c>
      <c r="E20" s="66">
        <f>Calculations!E186</f>
        <v>0</v>
      </c>
      <c r="F20" s="8">
        <f>Calculations!F186</f>
        <v>0</v>
      </c>
      <c r="G20" s="66">
        <f>Calculations!G186</f>
        <v>0</v>
      </c>
      <c r="H20" s="66" t="str">
        <f>Calculations!H186</f>
        <v/>
      </c>
      <c r="I20" s="197" t="str">
        <f>Calculations!I186</f>
        <v/>
      </c>
    </row>
    <row r="21" spans="1:9">
      <c r="A21" s="164" t="str">
        <f>Calculations!A187</f>
        <v>Contractor Profit</v>
      </c>
      <c r="B21" s="66">
        <f>Calculations!B187</f>
        <v>0</v>
      </c>
      <c r="C21" s="66">
        <f>Calculations!C187</f>
        <v>0</v>
      </c>
      <c r="D21" s="66">
        <f>Calculations!D187</f>
        <v>0</v>
      </c>
      <c r="E21" s="66">
        <f>Calculations!E187</f>
        <v>0</v>
      </c>
      <c r="F21" s="8">
        <f>Calculations!F187</f>
        <v>0</v>
      </c>
      <c r="G21" s="66">
        <f>Calculations!G187</f>
        <v>0</v>
      </c>
      <c r="H21" s="66" t="str">
        <f>Calculations!H187</f>
        <v/>
      </c>
      <c r="I21" s="197" t="str">
        <f>Calculations!I187</f>
        <v/>
      </c>
    </row>
    <row r="22" spans="1:9">
      <c r="A22" s="164" t="str">
        <f>Calculations!A188</f>
        <v>Contractor Construction Contingency</v>
      </c>
      <c r="B22" s="66">
        <f>Calculations!B188</f>
        <v>0</v>
      </c>
      <c r="C22" s="66">
        <f>Calculations!C188</f>
        <v>0</v>
      </c>
      <c r="D22" s="66">
        <f>Calculations!D188</f>
        <v>0</v>
      </c>
      <c r="E22" s="66">
        <f>Calculations!E188</f>
        <v>0</v>
      </c>
      <c r="F22" s="8">
        <f>Calculations!F188</f>
        <v>0</v>
      </c>
      <c r="G22" s="66">
        <f>Calculations!G188</f>
        <v>0</v>
      </c>
      <c r="H22" s="66" t="str">
        <f>Calculations!H188</f>
        <v/>
      </c>
      <c r="I22" s="197" t="str">
        <f>Calculations!I188</f>
        <v/>
      </c>
    </row>
    <row r="23" spans="1:9">
      <c r="A23" s="164" t="str">
        <f>Calculations!A189</f>
        <v>Owner Hard Cost Contingency</v>
      </c>
      <c r="B23" s="66">
        <f>Calculations!B189</f>
        <v>0</v>
      </c>
      <c r="C23" s="66">
        <f>Calculations!C189</f>
        <v>0</v>
      </c>
      <c r="D23" s="66">
        <f>Calculations!D189</f>
        <v>0</v>
      </c>
      <c r="E23" s="66">
        <f>Calculations!E189</f>
        <v>0</v>
      </c>
      <c r="F23" s="8">
        <f>Calculations!F189</f>
        <v>0</v>
      </c>
      <c r="G23" s="66">
        <f>Calculations!G189</f>
        <v>0</v>
      </c>
      <c r="H23" s="66" t="str">
        <f>Calculations!H189</f>
        <v/>
      </c>
      <c r="I23" s="197" t="str">
        <f>Calculations!I189</f>
        <v/>
      </c>
    </row>
    <row r="24" spans="1:9">
      <c r="A24" s="164" t="str">
        <f>Calculations!A190</f>
        <v>Furniture, Fixtures, &amp; Equipment</v>
      </c>
      <c r="B24" s="66">
        <f>Calculations!B190</f>
        <v>0</v>
      </c>
      <c r="C24" s="66">
        <f>Calculations!C190</f>
        <v>0</v>
      </c>
      <c r="D24" s="66">
        <f>Calculations!D190</f>
        <v>0</v>
      </c>
      <c r="E24" s="66">
        <f>Calculations!E190</f>
        <v>0</v>
      </c>
      <c r="F24" s="8">
        <f>Calculations!F190</f>
        <v>0</v>
      </c>
      <c r="G24" s="66">
        <f>Calculations!G190</f>
        <v>0</v>
      </c>
      <c r="H24" s="66" t="str">
        <f>Calculations!H190</f>
        <v/>
      </c>
      <c r="I24" s="197" t="str">
        <f>Calculations!I190</f>
        <v/>
      </c>
    </row>
    <row r="25" spans="1:9">
      <c r="A25" s="164" t="str">
        <f>Calculations!A191</f>
        <v>Building Permits</v>
      </c>
      <c r="B25" s="66">
        <f>Calculations!B191</f>
        <v>0</v>
      </c>
      <c r="C25" s="66">
        <f>Calculations!C191</f>
        <v>0</v>
      </c>
      <c r="D25" s="66">
        <f>Calculations!D191</f>
        <v>0</v>
      </c>
      <c r="E25" s="66">
        <f>Calculations!E191</f>
        <v>0</v>
      </c>
      <c r="F25" s="8">
        <f>Calculations!F191</f>
        <v>0</v>
      </c>
      <c r="G25" s="66">
        <f>Calculations!G191</f>
        <v>0</v>
      </c>
      <c r="H25" s="66" t="str">
        <f>Calculations!H191</f>
        <v/>
      </c>
      <c r="I25" s="197" t="str">
        <f>Calculations!I191</f>
        <v/>
      </c>
    </row>
    <row r="26" spans="1:9">
      <c r="A26" s="164" t="str">
        <f>Calculations!A192</f>
        <v>Other (Specify)</v>
      </c>
      <c r="B26" s="66">
        <f>Calculations!B192</f>
        <v>0</v>
      </c>
      <c r="C26" s="66">
        <f>Calculations!C192</f>
        <v>0</v>
      </c>
      <c r="D26" s="66">
        <f>Calculations!D192</f>
        <v>0</v>
      </c>
      <c r="E26" s="66">
        <f>Calculations!E192</f>
        <v>0</v>
      </c>
      <c r="F26" s="8">
        <f>Calculations!F192</f>
        <v>0</v>
      </c>
      <c r="G26" s="66">
        <f>Calculations!G192</f>
        <v>0</v>
      </c>
      <c r="H26" s="66" t="str">
        <f>Calculations!H192</f>
        <v/>
      </c>
      <c r="I26" s="197" t="str">
        <f>Calculations!I192</f>
        <v/>
      </c>
    </row>
    <row r="27" spans="1:9">
      <c r="A27" s="164" t="str">
        <f>Calculations!A193</f>
        <v>Other (Specify)</v>
      </c>
      <c r="B27" s="66">
        <f>Calculations!B193</f>
        <v>0</v>
      </c>
      <c r="C27" s="66">
        <f>Calculations!C193</f>
        <v>0</v>
      </c>
      <c r="D27" s="66">
        <f>Calculations!D193</f>
        <v>0</v>
      </c>
      <c r="E27" s="66">
        <f>Calculations!E193</f>
        <v>0</v>
      </c>
      <c r="F27" s="8">
        <f>Calculations!F193</f>
        <v>0</v>
      </c>
      <c r="G27" s="66">
        <f>Calculations!G193</f>
        <v>0</v>
      </c>
      <c r="H27" s="66" t="str">
        <f>Calculations!H193</f>
        <v/>
      </c>
      <c r="I27" s="197" t="str">
        <f>Calculations!I193</f>
        <v/>
      </c>
    </row>
    <row r="28" spans="1:9">
      <c r="A28" s="164" t="str">
        <f>Calculations!A194</f>
        <v>Other (Specify)</v>
      </c>
      <c r="B28" s="66">
        <f>Calculations!B194</f>
        <v>0</v>
      </c>
      <c r="C28" s="66">
        <f>Calculations!C194</f>
        <v>0</v>
      </c>
      <c r="D28" s="66">
        <f>Calculations!D194</f>
        <v>0</v>
      </c>
      <c r="E28" s="66">
        <f>Calculations!E194</f>
        <v>0</v>
      </c>
      <c r="F28" s="8">
        <f>Calculations!F194</f>
        <v>0</v>
      </c>
      <c r="G28" s="66">
        <f>Calculations!G194</f>
        <v>0</v>
      </c>
      <c r="H28" s="66" t="str">
        <f>Calculations!H194</f>
        <v/>
      </c>
      <c r="I28" s="197" t="str">
        <f>Calculations!I194</f>
        <v/>
      </c>
    </row>
    <row r="29" spans="1:9">
      <c r="A29" s="164"/>
      <c r="B29" s="199">
        <f>Calculations!B195</f>
        <v>0</v>
      </c>
      <c r="C29" s="199">
        <f>Calculations!C195</f>
        <v>0</v>
      </c>
      <c r="D29" s="199">
        <f>Calculations!D195</f>
        <v>0</v>
      </c>
      <c r="E29" s="199">
        <f>Calculations!E195</f>
        <v>0</v>
      </c>
      <c r="F29" s="199"/>
      <c r="G29" s="199">
        <f>Calculations!G195</f>
        <v>0</v>
      </c>
      <c r="H29" s="199" t="str">
        <f>Calculations!H195</f>
        <v/>
      </c>
      <c r="I29" s="251" t="str">
        <f>Calculations!I195</f>
        <v/>
      </c>
    </row>
    <row r="30" spans="1:9">
      <c r="A30" s="101" t="str">
        <f>Calculations!A196</f>
        <v>Professional Fees</v>
      </c>
      <c r="B30" s="101"/>
      <c r="C30" s="101"/>
      <c r="D30" s="101"/>
      <c r="E30" s="101"/>
      <c r="F30" s="101"/>
      <c r="G30" s="101"/>
      <c r="H30" s="101"/>
      <c r="I30" s="101"/>
    </row>
    <row r="31" spans="1:9">
      <c r="A31" s="164" t="str">
        <f>Calculations!A197</f>
        <v>Architect, Design</v>
      </c>
      <c r="B31" s="66">
        <f>Calculations!B197</f>
        <v>0</v>
      </c>
      <c r="C31" s="66">
        <f>Calculations!C197</f>
        <v>0</v>
      </c>
      <c r="D31" s="66">
        <f>Calculations!D197</f>
        <v>0</v>
      </c>
      <c r="E31" s="66">
        <f>Calculations!E197</f>
        <v>0</v>
      </c>
      <c r="F31" s="8">
        <f>Calculations!F197</f>
        <v>0</v>
      </c>
      <c r="G31" s="66">
        <f>Calculations!G197</f>
        <v>0</v>
      </c>
      <c r="H31" s="66" t="str">
        <f>Calculations!H197</f>
        <v/>
      </c>
      <c r="I31" s="197" t="str">
        <f>Calculations!I197</f>
        <v/>
      </c>
    </row>
    <row r="32" spans="1:9">
      <c r="A32" s="164" t="str">
        <f>Calculations!A198</f>
        <v>Architect Construction Management/Admin</v>
      </c>
      <c r="B32" s="66">
        <f>Calculations!B198</f>
        <v>0</v>
      </c>
      <c r="C32" s="66">
        <f>Calculations!C198</f>
        <v>0</v>
      </c>
      <c r="D32" s="66">
        <f>Calculations!D198</f>
        <v>0</v>
      </c>
      <c r="E32" s="66">
        <f>Calculations!E198</f>
        <v>0</v>
      </c>
      <c r="F32" s="8">
        <f>Calculations!F198</f>
        <v>0</v>
      </c>
      <c r="G32" s="66">
        <f>Calculations!G198</f>
        <v>0</v>
      </c>
      <c r="H32" s="66" t="str">
        <f>Calculations!H198</f>
        <v/>
      </c>
      <c r="I32" s="197" t="str">
        <f>Calculations!I198</f>
        <v/>
      </c>
    </row>
    <row r="33" spans="1:9">
      <c r="A33" s="164" t="str">
        <f>Calculations!A199</f>
        <v>Landscape Design</v>
      </c>
      <c r="B33" s="66">
        <f>Calculations!B199</f>
        <v>0</v>
      </c>
      <c r="C33" s="66">
        <f>Calculations!C199</f>
        <v>0</v>
      </c>
      <c r="D33" s="66">
        <f>Calculations!D199</f>
        <v>0</v>
      </c>
      <c r="E33" s="66">
        <f>Calculations!E199</f>
        <v>0</v>
      </c>
      <c r="F33" s="8">
        <f>Calculations!F199</f>
        <v>0</v>
      </c>
      <c r="G33" s="66">
        <f>Calculations!G199</f>
        <v>0</v>
      </c>
      <c r="H33" s="66" t="str">
        <f>Calculations!H199</f>
        <v/>
      </c>
      <c r="I33" s="197" t="str">
        <f>Calculations!I199</f>
        <v/>
      </c>
    </row>
    <row r="34" spans="1:9">
      <c r="A34" s="164" t="str">
        <f>Calculations!A200</f>
        <v>Structural Engineering</v>
      </c>
      <c r="B34" s="66">
        <f>Calculations!B200</f>
        <v>0</v>
      </c>
      <c r="C34" s="66">
        <f>Calculations!C200</f>
        <v>0</v>
      </c>
      <c r="D34" s="66">
        <f>Calculations!D200</f>
        <v>0</v>
      </c>
      <c r="E34" s="66">
        <f>Calculations!E200</f>
        <v>0</v>
      </c>
      <c r="F34" s="8">
        <f>Calculations!F200</f>
        <v>0</v>
      </c>
      <c r="G34" s="66">
        <f>Calculations!G200</f>
        <v>0</v>
      </c>
      <c r="H34" s="66" t="str">
        <f>Calculations!H200</f>
        <v/>
      </c>
      <c r="I34" s="197" t="str">
        <f>Calculations!I200</f>
        <v/>
      </c>
    </row>
    <row r="35" spans="1:9">
      <c r="A35" s="164" t="str">
        <f>Calculations!A201</f>
        <v>Civil Engineering</v>
      </c>
      <c r="B35" s="66">
        <f>Calculations!B201</f>
        <v>0</v>
      </c>
      <c r="C35" s="66">
        <f>Calculations!C201</f>
        <v>0</v>
      </c>
      <c r="D35" s="66">
        <f>Calculations!D201</f>
        <v>0</v>
      </c>
      <c r="E35" s="66">
        <f>Calculations!E201</f>
        <v>0</v>
      </c>
      <c r="F35" s="8">
        <f>Calculations!F201</f>
        <v>0</v>
      </c>
      <c r="G35" s="66">
        <f>Calculations!G201</f>
        <v>0</v>
      </c>
      <c r="H35" s="66" t="str">
        <f>Calculations!H201</f>
        <v/>
      </c>
      <c r="I35" s="197" t="str">
        <f>Calculations!I201</f>
        <v/>
      </c>
    </row>
    <row r="36" spans="1:9">
      <c r="A36" s="164" t="str">
        <f>Calculations!A202</f>
        <v>Other Engineering</v>
      </c>
      <c r="B36" s="66">
        <f>Calculations!B202</f>
        <v>0</v>
      </c>
      <c r="C36" s="66">
        <f>Calculations!C202</f>
        <v>0</v>
      </c>
      <c r="D36" s="66">
        <f>Calculations!D202</f>
        <v>0</v>
      </c>
      <c r="E36" s="66">
        <f>Calculations!E202</f>
        <v>0</v>
      </c>
      <c r="F36" s="8">
        <f>Calculations!F202</f>
        <v>0</v>
      </c>
      <c r="G36" s="66">
        <f>Calculations!G202</f>
        <v>0</v>
      </c>
      <c r="H36" s="66" t="str">
        <f>Calculations!H202</f>
        <v/>
      </c>
      <c r="I36" s="197" t="str">
        <f>Calculations!I202</f>
        <v/>
      </c>
    </row>
    <row r="37" spans="1:9">
      <c r="A37" s="164" t="str">
        <f>Calculations!A203</f>
        <v>Surveyor</v>
      </c>
      <c r="B37" s="66">
        <f>Calculations!B203</f>
        <v>0</v>
      </c>
      <c r="C37" s="66">
        <f>Calculations!C203</f>
        <v>0</v>
      </c>
      <c r="D37" s="66">
        <f>Calculations!D203</f>
        <v>0</v>
      </c>
      <c r="E37" s="66">
        <f>Calculations!E203</f>
        <v>0</v>
      </c>
      <c r="F37" s="8">
        <f>Calculations!F203</f>
        <v>0</v>
      </c>
      <c r="G37" s="66">
        <f>Calculations!G203</f>
        <v>0</v>
      </c>
      <c r="H37" s="66" t="str">
        <f>Calculations!H203</f>
        <v/>
      </c>
      <c r="I37" s="197" t="str">
        <f>Calculations!I203</f>
        <v/>
      </c>
    </row>
    <row r="38" spans="1:9">
      <c r="A38" s="164" t="str">
        <f>Calculations!A204</f>
        <v>Attorney, Real Estate</v>
      </c>
      <c r="B38" s="66">
        <f>Calculations!B204</f>
        <v>0</v>
      </c>
      <c r="C38" s="66">
        <f>Calculations!C204</f>
        <v>0</v>
      </c>
      <c r="D38" s="66">
        <f>Calculations!D204</f>
        <v>0</v>
      </c>
      <c r="E38" s="66">
        <f>Calculations!E204</f>
        <v>0</v>
      </c>
      <c r="F38" s="8">
        <f>Calculations!F204</f>
        <v>0</v>
      </c>
      <c r="G38" s="66">
        <f>Calculations!G204</f>
        <v>0</v>
      </c>
      <c r="H38" s="66" t="str">
        <f>Calculations!H204</f>
        <v/>
      </c>
      <c r="I38" s="197" t="str">
        <f>Calculations!I204</f>
        <v/>
      </c>
    </row>
    <row r="39" spans="1:9">
      <c r="A39" s="164" t="str">
        <f>Calculations!A205</f>
        <v>Green Consultant</v>
      </c>
      <c r="B39" s="66">
        <f>Calculations!B205</f>
        <v>0</v>
      </c>
      <c r="C39" s="66">
        <f>Calculations!C205</f>
        <v>0</v>
      </c>
      <c r="D39" s="66">
        <f>Calculations!D205</f>
        <v>0</v>
      </c>
      <c r="E39" s="66">
        <f>Calculations!E205</f>
        <v>0</v>
      </c>
      <c r="F39" s="8">
        <f>Calculations!F205</f>
        <v>0</v>
      </c>
      <c r="G39" s="66">
        <f>Calculations!G205</f>
        <v>0</v>
      </c>
      <c r="H39" s="66" t="str">
        <f>Calculations!H205</f>
        <v/>
      </c>
      <c r="I39" s="197" t="str">
        <f>Calculations!I205</f>
        <v/>
      </c>
    </row>
    <row r="40" spans="1:9">
      <c r="A40" s="164" t="str">
        <f>Calculations!A206</f>
        <v>Green Charrette</v>
      </c>
      <c r="B40" s="66">
        <f>Calculations!B206</f>
        <v>0</v>
      </c>
      <c r="C40" s="66">
        <f>Calculations!C206</f>
        <v>0</v>
      </c>
      <c r="D40" s="66">
        <f>Calculations!D206</f>
        <v>0</v>
      </c>
      <c r="E40" s="66">
        <f>Calculations!E206</f>
        <v>0</v>
      </c>
      <c r="F40" s="8">
        <f>Calculations!F206</f>
        <v>0</v>
      </c>
      <c r="G40" s="66">
        <f>Calculations!G206</f>
        <v>0</v>
      </c>
      <c r="H40" s="66" t="str">
        <f>Calculations!H206</f>
        <v/>
      </c>
      <c r="I40" s="197" t="str">
        <f>Calculations!I206</f>
        <v/>
      </c>
    </row>
    <row r="41" spans="1:9">
      <c r="A41" s="164" t="str">
        <f>Calculations!A207</f>
        <v>Construction Accounting</v>
      </c>
      <c r="B41" s="66">
        <f>Calculations!B207</f>
        <v>0</v>
      </c>
      <c r="C41" s="66">
        <f>Calculations!C207</f>
        <v>0</v>
      </c>
      <c r="D41" s="66">
        <f>Calculations!D207</f>
        <v>0</v>
      </c>
      <c r="E41" s="66">
        <f>Calculations!E207</f>
        <v>0</v>
      </c>
      <c r="F41" s="8">
        <f>Calculations!F207</f>
        <v>0</v>
      </c>
      <c r="G41" s="66">
        <f>Calculations!G207</f>
        <v>0</v>
      </c>
      <c r="H41" s="66" t="str">
        <f>Calculations!H207</f>
        <v/>
      </c>
      <c r="I41" s="197" t="str">
        <f>Calculations!I207</f>
        <v/>
      </c>
    </row>
    <row r="42" spans="1:9">
      <c r="A42" s="164" t="str">
        <f>Calculations!A208</f>
        <v>Other (Specify)</v>
      </c>
      <c r="B42" s="66">
        <f>Calculations!B208</f>
        <v>0</v>
      </c>
      <c r="C42" s="66">
        <f>Calculations!C208</f>
        <v>0</v>
      </c>
      <c r="D42" s="66">
        <f>Calculations!D208</f>
        <v>0</v>
      </c>
      <c r="E42" s="66">
        <f>Calculations!E208</f>
        <v>0</v>
      </c>
      <c r="F42" s="8">
        <f>Calculations!F208</f>
        <v>0</v>
      </c>
      <c r="G42" s="66">
        <f>Calculations!G208</f>
        <v>0</v>
      </c>
      <c r="H42" s="66" t="str">
        <f>Calculations!H208</f>
        <v/>
      </c>
      <c r="I42" s="197" t="str">
        <f>Calculations!I208</f>
        <v/>
      </c>
    </row>
    <row r="43" spans="1:9">
      <c r="A43" s="164" t="str">
        <f>Calculations!A209</f>
        <v>Other (Specify)</v>
      </c>
      <c r="B43" s="66">
        <f>Calculations!B209</f>
        <v>0</v>
      </c>
      <c r="C43" s="66">
        <f>Calculations!C209</f>
        <v>0</v>
      </c>
      <c r="D43" s="66">
        <f>Calculations!D209</f>
        <v>0</v>
      </c>
      <c r="E43" s="66">
        <f>Calculations!E209</f>
        <v>0</v>
      </c>
      <c r="F43" s="8">
        <f>Calculations!F209</f>
        <v>0</v>
      </c>
      <c r="G43" s="66">
        <f>Calculations!G209</f>
        <v>0</v>
      </c>
      <c r="H43" s="66" t="str">
        <f>Calculations!H209</f>
        <v/>
      </c>
      <c r="I43" s="197" t="str">
        <f>Calculations!I209</f>
        <v/>
      </c>
    </row>
    <row r="44" spans="1:9">
      <c r="A44" s="164" t="str">
        <f>Calculations!A210</f>
        <v>Other (Specify)</v>
      </c>
      <c r="B44" s="66">
        <f>Calculations!B210</f>
        <v>0</v>
      </c>
      <c r="C44" s="66">
        <f>Calculations!C210</f>
        <v>0</v>
      </c>
      <c r="D44" s="66">
        <f>Calculations!D210</f>
        <v>0</v>
      </c>
      <c r="E44" s="66">
        <f>Calculations!E210</f>
        <v>0</v>
      </c>
      <c r="F44" s="8">
        <f>Calculations!F210</f>
        <v>0</v>
      </c>
      <c r="G44" s="66">
        <f>Calculations!G210</f>
        <v>0</v>
      </c>
      <c r="H44" s="66" t="str">
        <f>Calculations!H210</f>
        <v/>
      </c>
      <c r="I44" s="197" t="str">
        <f>Calculations!I210</f>
        <v/>
      </c>
    </row>
    <row r="45" spans="1:9">
      <c r="A45" s="164"/>
      <c r="B45" s="199">
        <f>Calculations!B211</f>
        <v>0</v>
      </c>
      <c r="C45" s="199">
        <f>Calculations!C211</f>
        <v>0</v>
      </c>
      <c r="D45" s="199">
        <f>Calculations!D211</f>
        <v>0</v>
      </c>
      <c r="E45" s="199">
        <f>Calculations!E211</f>
        <v>0</v>
      </c>
      <c r="F45" s="199"/>
      <c r="G45" s="199">
        <f>Calculations!G211</f>
        <v>0</v>
      </c>
      <c r="H45" s="199" t="str">
        <f>Calculations!H211</f>
        <v/>
      </c>
      <c r="I45" s="251" t="str">
        <f>Calculations!I211</f>
        <v/>
      </c>
    </row>
    <row r="46" spans="1:9">
      <c r="A46" s="101" t="str">
        <f>Calculations!A212</f>
        <v>Construction Interim Costs</v>
      </c>
      <c r="B46" s="101"/>
      <c r="C46" s="101"/>
      <c r="D46" s="101"/>
      <c r="E46" s="101"/>
      <c r="F46" s="101"/>
      <c r="G46" s="101"/>
      <c r="H46" s="101"/>
      <c r="I46" s="101"/>
    </row>
    <row r="47" spans="1:9">
      <c r="A47" s="164" t="str">
        <f>Calculations!A213</f>
        <v>Hazard &amp; Liability Insurance</v>
      </c>
      <c r="B47" s="66">
        <f>Calculations!B213</f>
        <v>0</v>
      </c>
      <c r="C47" s="66">
        <f>Calculations!C213</f>
        <v>0</v>
      </c>
      <c r="D47" s="66">
        <f>Calculations!D213</f>
        <v>0</v>
      </c>
      <c r="E47" s="66">
        <f>Calculations!E213</f>
        <v>0</v>
      </c>
      <c r="F47" s="8">
        <f>Calculations!F213</f>
        <v>0</v>
      </c>
      <c r="G47" s="66">
        <f>Calculations!G213</f>
        <v>0</v>
      </c>
      <c r="H47" s="66" t="str">
        <f>Calculations!H213</f>
        <v/>
      </c>
      <c r="I47" s="197" t="str">
        <f>Calculations!I213</f>
        <v/>
      </c>
    </row>
    <row r="48" spans="1:9">
      <c r="A48" s="164" t="str">
        <f>Calculations!A214</f>
        <v>Builder's Risk Insurance</v>
      </c>
      <c r="B48" s="66">
        <f>Calculations!B214</f>
        <v>0</v>
      </c>
      <c r="C48" s="66">
        <f>Calculations!C214</f>
        <v>0</v>
      </c>
      <c r="D48" s="66">
        <f>Calculations!D214</f>
        <v>0</v>
      </c>
      <c r="E48" s="66">
        <f>Calculations!E214</f>
        <v>0</v>
      </c>
      <c r="F48" s="8">
        <f>Calculations!F214</f>
        <v>0</v>
      </c>
      <c r="G48" s="66">
        <f>Calculations!G214</f>
        <v>0</v>
      </c>
      <c r="H48" s="66" t="str">
        <f>Calculations!H214</f>
        <v/>
      </c>
      <c r="I48" s="197" t="str">
        <f>Calculations!I214</f>
        <v/>
      </c>
    </row>
    <row r="49" spans="1:9">
      <c r="A49" s="164" t="str">
        <f>Calculations!A215</f>
        <v>Perform. &amp; Pymt Bonds</v>
      </c>
      <c r="B49" s="66">
        <f>Calculations!B215</f>
        <v>0</v>
      </c>
      <c r="C49" s="66">
        <f>Calculations!C215</f>
        <v>0</v>
      </c>
      <c r="D49" s="66">
        <f>Calculations!D215</f>
        <v>0</v>
      </c>
      <c r="E49" s="66">
        <f>Calculations!E215</f>
        <v>0</v>
      </c>
      <c r="F49" s="8">
        <f>Calculations!F215</f>
        <v>0</v>
      </c>
      <c r="G49" s="66">
        <f>Calculations!G215</f>
        <v>0</v>
      </c>
      <c r="H49" s="66" t="str">
        <f>Calculations!H215</f>
        <v/>
      </c>
      <c r="I49" s="197" t="str">
        <f>Calculations!I215</f>
        <v/>
      </c>
    </row>
    <row r="50" spans="1:9">
      <c r="A50" s="164" t="str">
        <f>Calculations!A216</f>
        <v>Construction Interest</v>
      </c>
      <c r="B50" s="66">
        <f>Calculations!B216</f>
        <v>0</v>
      </c>
      <c r="C50" s="66">
        <f>Calculations!C216</f>
        <v>0</v>
      </c>
      <c r="D50" s="66">
        <f>Calculations!D216</f>
        <v>0</v>
      </c>
      <c r="E50" s="66">
        <f>Calculations!E216</f>
        <v>0</v>
      </c>
      <c r="F50" s="8">
        <f>Calculations!F216</f>
        <v>0</v>
      </c>
      <c r="G50" s="66">
        <f>Calculations!G216</f>
        <v>0</v>
      </c>
      <c r="H50" s="66" t="str">
        <f>Calculations!H216</f>
        <v/>
      </c>
      <c r="I50" s="197" t="str">
        <f>Calculations!I216</f>
        <v/>
      </c>
    </row>
    <row r="51" spans="1:9">
      <c r="A51" s="164" t="str">
        <f>Calculations!A217</f>
        <v>Constr. Origination Fees</v>
      </c>
      <c r="B51" s="66">
        <f>Calculations!B217</f>
        <v>0</v>
      </c>
      <c r="C51" s="66">
        <f>Calculations!C217</f>
        <v>0</v>
      </c>
      <c r="D51" s="66">
        <f>Calculations!D217</f>
        <v>0</v>
      </c>
      <c r="E51" s="66">
        <f>Calculations!E217</f>
        <v>0</v>
      </c>
      <c r="F51" s="8">
        <f>Calculations!F217</f>
        <v>0</v>
      </c>
      <c r="G51" s="66">
        <f>Calculations!G217</f>
        <v>0</v>
      </c>
      <c r="H51" s="66" t="str">
        <f>Calculations!H217</f>
        <v/>
      </c>
      <c r="I51" s="197" t="str">
        <f>Calculations!I217</f>
        <v/>
      </c>
    </row>
    <row r="52" spans="1:9">
      <c r="A52" s="164" t="str">
        <f>Calculations!A218</f>
        <v>Tap Fees (Water/Sewer)</v>
      </c>
      <c r="B52" s="66">
        <f>Calculations!B218</f>
        <v>0</v>
      </c>
      <c r="C52" s="66">
        <f>Calculations!C218</f>
        <v>0</v>
      </c>
      <c r="D52" s="66">
        <f>Calculations!D218</f>
        <v>0</v>
      </c>
      <c r="E52" s="66">
        <f>Calculations!E218</f>
        <v>0</v>
      </c>
      <c r="F52" s="8">
        <f>Calculations!F218</f>
        <v>0</v>
      </c>
      <c r="G52" s="66">
        <f>Calculations!G218</f>
        <v>0</v>
      </c>
      <c r="H52" s="66" t="str">
        <f>Calculations!H218</f>
        <v/>
      </c>
      <c r="I52" s="197" t="str">
        <f>Calculations!I218</f>
        <v/>
      </c>
    </row>
    <row r="53" spans="1:9">
      <c r="A53" s="164" t="str">
        <f>Calculations!A219</f>
        <v>Impact fees</v>
      </c>
      <c r="B53" s="66">
        <f>Calculations!B219</f>
        <v>0</v>
      </c>
      <c r="C53" s="66">
        <f>Calculations!C219</f>
        <v>0</v>
      </c>
      <c r="D53" s="66">
        <f>Calculations!D219</f>
        <v>0</v>
      </c>
      <c r="E53" s="66">
        <f>Calculations!E219</f>
        <v>0</v>
      </c>
      <c r="F53" s="8">
        <f>Calculations!F219</f>
        <v>0</v>
      </c>
      <c r="G53" s="66">
        <f>Calculations!G219</f>
        <v>0</v>
      </c>
      <c r="H53" s="66" t="str">
        <f>Calculations!H219</f>
        <v/>
      </c>
      <c r="I53" s="197" t="str">
        <f>Calculations!I219</f>
        <v/>
      </c>
    </row>
    <row r="54" spans="1:9">
      <c r="A54" s="164" t="str">
        <f>Calculations!A220</f>
        <v>Materials Testing</v>
      </c>
      <c r="B54" s="66">
        <f>Calculations!B220</f>
        <v>0</v>
      </c>
      <c r="C54" s="66">
        <f>Calculations!C220</f>
        <v>0</v>
      </c>
      <c r="D54" s="66">
        <f>Calculations!D220</f>
        <v>0</v>
      </c>
      <c r="E54" s="66">
        <f>Calculations!E220</f>
        <v>0</v>
      </c>
      <c r="F54" s="8">
        <f>Calculations!F220</f>
        <v>0</v>
      </c>
      <c r="G54" s="66">
        <f>Calculations!G220</f>
        <v>0</v>
      </c>
      <c r="H54" s="66" t="str">
        <f>Calculations!H220</f>
        <v/>
      </c>
      <c r="I54" s="197" t="str">
        <f>Calculations!I220</f>
        <v/>
      </c>
    </row>
    <row r="55" spans="1:9">
      <c r="A55" s="164" t="str">
        <f>Calculations!A221</f>
        <v>Power and Telecom Provider fees</v>
      </c>
      <c r="B55" s="66">
        <f>Calculations!B221</f>
        <v>0</v>
      </c>
      <c r="C55" s="66">
        <f>Calculations!C221</f>
        <v>0</v>
      </c>
      <c r="D55" s="66">
        <f>Calculations!D221</f>
        <v>0</v>
      </c>
      <c r="E55" s="66">
        <f>Calculations!E221</f>
        <v>0</v>
      </c>
      <c r="F55" s="8">
        <f>Calculations!F221</f>
        <v>0</v>
      </c>
      <c r="G55" s="66">
        <f>Calculations!G221</f>
        <v>0</v>
      </c>
      <c r="H55" s="66" t="str">
        <f>Calculations!H221</f>
        <v/>
      </c>
      <c r="I55" s="197" t="str">
        <f>Calculations!I221</f>
        <v/>
      </c>
    </row>
    <row r="56" spans="1:9">
      <c r="A56" s="164" t="str">
        <f>Calculations!A222</f>
        <v>3rd Party/Bank Inspections/Admin</v>
      </c>
      <c r="B56" s="66">
        <f>Calculations!B222</f>
        <v>0</v>
      </c>
      <c r="C56" s="66">
        <f>Calculations!C222</f>
        <v>0</v>
      </c>
      <c r="D56" s="66">
        <f>Calculations!D222</f>
        <v>0</v>
      </c>
      <c r="E56" s="66">
        <f>Calculations!E222</f>
        <v>0</v>
      </c>
      <c r="F56" s="8">
        <f>Calculations!F222</f>
        <v>0</v>
      </c>
      <c r="G56" s="66">
        <f>Calculations!G222</f>
        <v>0</v>
      </c>
      <c r="H56" s="66" t="str">
        <f>Calculations!H222</f>
        <v/>
      </c>
      <c r="I56" s="197" t="str">
        <f>Calculations!I222</f>
        <v/>
      </c>
    </row>
    <row r="57" spans="1:9">
      <c r="A57" s="164" t="str">
        <f>Calculations!A223</f>
        <v>Title &amp; Recording</v>
      </c>
      <c r="B57" s="66">
        <f>Calculations!B223</f>
        <v>0</v>
      </c>
      <c r="C57" s="66">
        <f>Calculations!C223</f>
        <v>0</v>
      </c>
      <c r="D57" s="66">
        <f>Calculations!D223</f>
        <v>0</v>
      </c>
      <c r="E57" s="66">
        <f>Calculations!E223</f>
        <v>0</v>
      </c>
      <c r="F57" s="8">
        <f>Calculations!F223</f>
        <v>0</v>
      </c>
      <c r="G57" s="66">
        <f>Calculations!G223</f>
        <v>0</v>
      </c>
      <c r="H57" s="66" t="str">
        <f>Calculations!H223</f>
        <v/>
      </c>
      <c r="I57" s="197" t="str">
        <f>Calculations!I223</f>
        <v/>
      </c>
    </row>
    <row r="58" spans="1:9">
      <c r="A58" s="164" t="str">
        <f>Calculations!A224</f>
        <v>Construction Lender Legal Fees</v>
      </c>
      <c r="B58" s="66">
        <f>Calculations!B224</f>
        <v>0</v>
      </c>
      <c r="C58" s="66">
        <f>Calculations!C224</f>
        <v>0</v>
      </c>
      <c r="D58" s="66">
        <f>Calculations!D224</f>
        <v>0</v>
      </c>
      <c r="E58" s="66">
        <f>Calculations!E224</f>
        <v>0</v>
      </c>
      <c r="F58" s="8">
        <f>Calculations!F224</f>
        <v>0</v>
      </c>
      <c r="G58" s="66">
        <f>Calculations!G224</f>
        <v>0</v>
      </c>
      <c r="H58" s="66" t="str">
        <f>Calculations!H224</f>
        <v/>
      </c>
      <c r="I58" s="197" t="str">
        <f>Calculations!I224</f>
        <v/>
      </c>
    </row>
    <row r="59" spans="1:9">
      <c r="A59" s="164" t="str">
        <f>Calculations!A225</f>
        <v>Prop. Taxes During Construction</v>
      </c>
      <c r="B59" s="66">
        <f>Calculations!B225</f>
        <v>0</v>
      </c>
      <c r="C59" s="66">
        <f>Calculations!C225</f>
        <v>0</v>
      </c>
      <c r="D59" s="66">
        <f>Calculations!D225</f>
        <v>0</v>
      </c>
      <c r="E59" s="66">
        <f>Calculations!E225</f>
        <v>0</v>
      </c>
      <c r="F59" s="8">
        <f>Calculations!F225</f>
        <v>0</v>
      </c>
      <c r="G59" s="66">
        <f>Calculations!G225</f>
        <v>0</v>
      </c>
      <c r="H59" s="66" t="str">
        <f>Calculations!H225</f>
        <v/>
      </c>
      <c r="I59" s="197" t="str">
        <f>Calculations!I225</f>
        <v/>
      </c>
    </row>
    <row r="60" spans="1:9">
      <c r="A60" s="164" t="str">
        <f>Calculations!A226</f>
        <v>Bridge Loan</v>
      </c>
      <c r="B60" s="66">
        <f>Calculations!B226</f>
        <v>0</v>
      </c>
      <c r="C60" s="66">
        <f>Calculations!C226</f>
        <v>0</v>
      </c>
      <c r="D60" s="66">
        <f>Calculations!D226</f>
        <v>0</v>
      </c>
      <c r="E60" s="66">
        <f>Calculations!E226</f>
        <v>0</v>
      </c>
      <c r="F60" s="8">
        <f>Calculations!F226</f>
        <v>0</v>
      </c>
      <c r="G60" s="66">
        <f>Calculations!G226</f>
        <v>0</v>
      </c>
      <c r="H60" s="66" t="str">
        <f>Calculations!H226</f>
        <v/>
      </c>
      <c r="I60" s="197" t="str">
        <f>Calculations!I226</f>
        <v/>
      </c>
    </row>
    <row r="61" spans="1:9">
      <c r="A61" s="164" t="str">
        <f>Calculations!A228</f>
        <v>Other (Specify)</v>
      </c>
      <c r="B61" s="66">
        <f>Calculations!B228</f>
        <v>0</v>
      </c>
      <c r="C61" s="66">
        <f>Calculations!C228</f>
        <v>0</v>
      </c>
      <c r="D61" s="66">
        <f>Calculations!D228</f>
        <v>0</v>
      </c>
      <c r="E61" s="66">
        <f>Calculations!E228</f>
        <v>0</v>
      </c>
      <c r="F61" s="8">
        <f>Calculations!F228</f>
        <v>0</v>
      </c>
      <c r="G61" s="66">
        <f>Calculations!G228</f>
        <v>0</v>
      </c>
      <c r="H61" s="66" t="str">
        <f>Calculations!H228</f>
        <v/>
      </c>
      <c r="I61" s="197" t="str">
        <f>Calculations!I228</f>
        <v/>
      </c>
    </row>
    <row r="62" spans="1:9">
      <c r="A62" s="164" t="str">
        <f>Calculations!A229</f>
        <v>Other (Specify)</v>
      </c>
      <c r="B62" s="66">
        <f>Calculations!B229</f>
        <v>0</v>
      </c>
      <c r="C62" s="66">
        <f>Calculations!C229</f>
        <v>0</v>
      </c>
      <c r="D62" s="66">
        <f>Calculations!D229</f>
        <v>0</v>
      </c>
      <c r="E62" s="66">
        <f>Calculations!E229</f>
        <v>0</v>
      </c>
      <c r="F62" s="8">
        <f>Calculations!F229</f>
        <v>0</v>
      </c>
      <c r="G62" s="66">
        <f>Calculations!G229</f>
        <v>0</v>
      </c>
      <c r="H62" s="66" t="str">
        <f>Calculations!H229</f>
        <v/>
      </c>
      <c r="I62" s="197" t="str">
        <f>Calculations!I229</f>
        <v/>
      </c>
    </row>
    <row r="63" spans="1:9">
      <c r="A63" s="164" t="str">
        <f>Calculations!A230</f>
        <v>Other (Specify)</v>
      </c>
      <c r="B63" s="66">
        <f>Calculations!B230</f>
        <v>0</v>
      </c>
      <c r="C63" s="66">
        <f>Calculations!C230</f>
        <v>0</v>
      </c>
      <c r="D63" s="66">
        <f>Calculations!D230</f>
        <v>0</v>
      </c>
      <c r="E63" s="66">
        <f>Calculations!E230</f>
        <v>0</v>
      </c>
      <c r="F63" s="8">
        <f>Calculations!F230</f>
        <v>0</v>
      </c>
      <c r="G63" s="66">
        <f>Calculations!G230</f>
        <v>0</v>
      </c>
      <c r="H63" s="66" t="str">
        <f>Calculations!H230</f>
        <v/>
      </c>
      <c r="I63" s="197" t="str">
        <f>Calculations!I230</f>
        <v/>
      </c>
    </row>
    <row r="64" spans="1:9">
      <c r="A64" s="164"/>
      <c r="B64" s="199">
        <f>Calculations!B231</f>
        <v>0</v>
      </c>
      <c r="C64" s="199">
        <f>Calculations!C231</f>
        <v>0</v>
      </c>
      <c r="D64" s="199">
        <f>Calculations!D231</f>
        <v>0</v>
      </c>
      <c r="E64" s="199">
        <f>Calculations!E231</f>
        <v>0</v>
      </c>
      <c r="F64" s="199"/>
      <c r="G64" s="199">
        <f>Calculations!G231</f>
        <v>0</v>
      </c>
      <c r="H64" s="199" t="str">
        <f>Calculations!H231</f>
        <v/>
      </c>
      <c r="I64" s="251" t="str">
        <f>Calculations!I231</f>
        <v/>
      </c>
    </row>
    <row r="65" spans="1:9">
      <c r="A65" s="101" t="str">
        <f>Calculations!A232</f>
        <v>Permanent Financing</v>
      </c>
      <c r="B65" s="101"/>
      <c r="C65" s="101"/>
      <c r="D65" s="101"/>
      <c r="E65" s="101"/>
      <c r="F65" s="101"/>
      <c r="G65" s="101"/>
      <c r="H65" s="101"/>
      <c r="I65" s="272" t="str">
        <f>Calculations!I232</f>
        <v/>
      </c>
    </row>
    <row r="66" spans="1:9">
      <c r="A66" s="164" t="str">
        <f>Calculations!A233</f>
        <v>Bond Premium</v>
      </c>
      <c r="B66" s="66">
        <f>Calculations!B233</f>
        <v>0</v>
      </c>
      <c r="C66">
        <f>Calculations!C233</f>
        <v>0</v>
      </c>
      <c r="D66">
        <f>Calculations!D233</f>
        <v>0</v>
      </c>
      <c r="E66" s="66">
        <f>Calculations!E233</f>
        <v>0</v>
      </c>
      <c r="F66" s="8">
        <f>Calculations!F233</f>
        <v>0</v>
      </c>
      <c r="G66" s="66">
        <f>Calculations!G233</f>
        <v>0</v>
      </c>
      <c r="H66" s="66" t="str">
        <f>Calculations!H233</f>
        <v/>
      </c>
      <c r="I66" s="197" t="str">
        <f>Calculations!I233</f>
        <v/>
      </c>
    </row>
    <row r="67" spans="1:9">
      <c r="A67" s="164" t="str">
        <f>Calculations!A234</f>
        <v>Bond Issue 30-day lag reserve</v>
      </c>
      <c r="B67" s="66">
        <f>Calculations!B234</f>
        <v>0</v>
      </c>
      <c r="C67">
        <f>Calculations!C234</f>
        <v>0</v>
      </c>
      <c r="D67">
        <f>Calculations!D234</f>
        <v>0</v>
      </c>
      <c r="E67" s="66">
        <f>Calculations!E234</f>
        <v>0</v>
      </c>
      <c r="F67" s="8">
        <f>Calculations!F234</f>
        <v>0</v>
      </c>
      <c r="G67" s="66">
        <f>Calculations!G234</f>
        <v>0</v>
      </c>
      <c r="H67" s="66" t="str">
        <f>Calculations!H234</f>
        <v/>
      </c>
      <c r="I67" s="197" t="str">
        <f>Calculations!I234</f>
        <v/>
      </c>
    </row>
    <row r="68" spans="1:9">
      <c r="A68" s="164" t="str">
        <f>Calculations!A235</f>
        <v>Bond Cost of Issuance</v>
      </c>
      <c r="B68" s="66">
        <f>Calculations!B235</f>
        <v>0</v>
      </c>
      <c r="C68">
        <f>Calculations!C235</f>
        <v>0</v>
      </c>
      <c r="D68">
        <f>Calculations!D235</f>
        <v>0</v>
      </c>
      <c r="E68" s="66">
        <f>Calculations!E235</f>
        <v>0</v>
      </c>
      <c r="F68" s="8">
        <f>Calculations!F235</f>
        <v>0</v>
      </c>
      <c r="G68" s="66">
        <f>Calculations!G235</f>
        <v>0</v>
      </c>
      <c r="H68" s="66" t="str">
        <f>Calculations!H235</f>
        <v/>
      </c>
      <c r="I68" s="197" t="str">
        <f>Calculations!I235</f>
        <v/>
      </c>
    </row>
    <row r="69" spans="1:9">
      <c r="A69" s="164" t="str">
        <f>Calculations!A236</f>
        <v>Discount Points</v>
      </c>
      <c r="B69" s="66">
        <f>Calculations!B236</f>
        <v>0</v>
      </c>
      <c r="C69">
        <f>Calculations!C236</f>
        <v>0</v>
      </c>
      <c r="D69">
        <f>Calculations!D236</f>
        <v>0</v>
      </c>
      <c r="E69" s="66">
        <f>Calculations!E236</f>
        <v>0</v>
      </c>
      <c r="F69" s="8">
        <f>Calculations!F236</f>
        <v>0</v>
      </c>
      <c r="G69" s="66">
        <f>Calculations!G236</f>
        <v>0</v>
      </c>
      <c r="H69" s="66" t="str">
        <f>Calculations!H236</f>
        <v/>
      </c>
      <c r="I69" s="197" t="str">
        <f>Calculations!I236</f>
        <v/>
      </c>
    </row>
    <row r="70" spans="1:9">
      <c r="A70" s="164" t="str">
        <f>Calculations!A237</f>
        <v>Perm Loan Origination</v>
      </c>
      <c r="B70" s="66">
        <f>Calculations!B237</f>
        <v>0</v>
      </c>
      <c r="C70">
        <f>Calculations!C237</f>
        <v>0</v>
      </c>
      <c r="D70">
        <f>Calculations!D237</f>
        <v>0</v>
      </c>
      <c r="E70" s="66">
        <f>Calculations!E237</f>
        <v>0</v>
      </c>
      <c r="F70" s="8">
        <f>Calculations!F237</f>
        <v>0</v>
      </c>
      <c r="G70" s="66">
        <f>Calculations!G237</f>
        <v>0</v>
      </c>
      <c r="H70" s="66" t="str">
        <f>Calculations!H237</f>
        <v/>
      </c>
      <c r="I70" s="197" t="str">
        <f>Calculations!I237</f>
        <v/>
      </c>
    </row>
    <row r="71" spans="1:9">
      <c r="A71" s="164" t="str">
        <f>Calculations!A238</f>
        <v>Credit Enhancement</v>
      </c>
      <c r="B71" s="66">
        <f>Calculations!B238</f>
        <v>0</v>
      </c>
      <c r="C71">
        <f>Calculations!C238</f>
        <v>0</v>
      </c>
      <c r="D71">
        <f>Calculations!D238</f>
        <v>0</v>
      </c>
      <c r="E71" s="66">
        <f>Calculations!E238</f>
        <v>0</v>
      </c>
      <c r="F71" s="8">
        <f>Calculations!F238</f>
        <v>0</v>
      </c>
      <c r="G71" s="66">
        <f>Calculations!G238</f>
        <v>0</v>
      </c>
      <c r="H71" s="66" t="str">
        <f>Calculations!H238</f>
        <v/>
      </c>
      <c r="I71" s="197" t="str">
        <f>Calculations!I238</f>
        <v/>
      </c>
    </row>
    <row r="72" spans="1:9">
      <c r="A72" s="164" t="str">
        <f>Calculations!A239</f>
        <v>Title &amp; Recording</v>
      </c>
      <c r="B72" s="66">
        <f>Calculations!B239</f>
        <v>0</v>
      </c>
      <c r="C72">
        <f>Calculations!C239</f>
        <v>0</v>
      </c>
      <c r="D72">
        <f>Calculations!D239</f>
        <v>0</v>
      </c>
      <c r="E72" s="66">
        <f>Calculations!E239</f>
        <v>0</v>
      </c>
      <c r="F72" s="8">
        <f>Calculations!F239</f>
        <v>0</v>
      </c>
      <c r="G72" s="66">
        <f>Calculations!G239</f>
        <v>0</v>
      </c>
      <c r="H72" s="66" t="str">
        <f>Calculations!H239</f>
        <v/>
      </c>
      <c r="I72" s="197" t="str">
        <f>Calculations!I239</f>
        <v/>
      </c>
    </row>
    <row r="73" spans="1:9">
      <c r="A73" s="164" t="str">
        <f>Calculations!A240</f>
        <v>Legal Fees</v>
      </c>
      <c r="B73" s="66">
        <f>Calculations!B240</f>
        <v>0</v>
      </c>
      <c r="C73">
        <f>Calculations!C240</f>
        <v>0</v>
      </c>
      <c r="D73">
        <f>Calculations!D240</f>
        <v>0</v>
      </c>
      <c r="E73" s="66">
        <f>Calculations!E240</f>
        <v>0</v>
      </c>
      <c r="F73" s="8">
        <f>Calculations!F240</f>
        <v>0</v>
      </c>
      <c r="G73" s="66">
        <f>Calculations!G240</f>
        <v>0</v>
      </c>
      <c r="H73" s="66" t="str">
        <f>Calculations!H240</f>
        <v/>
      </c>
      <c r="I73" s="197" t="str">
        <f>Calculations!I240</f>
        <v/>
      </c>
    </row>
    <row r="74" spans="1:9">
      <c r="A74" s="164" t="str">
        <f>Calculations!A241</f>
        <v>Prepaid MIP</v>
      </c>
      <c r="B74" s="66">
        <f>Calculations!B241</f>
        <v>0</v>
      </c>
      <c r="C74">
        <f>Calculations!C241</f>
        <v>0</v>
      </c>
      <c r="D74">
        <f>Calculations!D241</f>
        <v>0</v>
      </c>
      <c r="E74" s="66">
        <f>Calculations!E241</f>
        <v>0</v>
      </c>
      <c r="F74" s="8">
        <f>Calculations!F241</f>
        <v>0</v>
      </c>
      <c r="G74" s="66">
        <f>Calculations!G241</f>
        <v>0</v>
      </c>
      <c r="H74" s="66" t="str">
        <f>Calculations!H241</f>
        <v/>
      </c>
      <c r="I74" s="197" t="str">
        <f>Calculations!I241</f>
        <v/>
      </c>
    </row>
    <row r="75" spans="1:9">
      <c r="A75" s="164" t="str">
        <f>Calculations!A242</f>
        <v>Forward Rate Lock</v>
      </c>
      <c r="B75" s="66">
        <f>Calculations!B242</f>
        <v>0</v>
      </c>
      <c r="C75">
        <f>Calculations!C242</f>
        <v>0</v>
      </c>
      <c r="D75">
        <f>Calculations!D242</f>
        <v>0</v>
      </c>
      <c r="E75" s="66">
        <f>Calculations!E242</f>
        <v>0</v>
      </c>
      <c r="F75" s="8">
        <f>Calculations!F242</f>
        <v>0</v>
      </c>
      <c r="G75" s="66">
        <f>Calculations!G242</f>
        <v>0</v>
      </c>
      <c r="H75" s="66" t="str">
        <f>Calculations!H242</f>
        <v/>
      </c>
      <c r="I75" s="197" t="str">
        <f>Calculations!I242</f>
        <v/>
      </c>
    </row>
    <row r="76" spans="1:9">
      <c r="A76" s="164" t="str">
        <f>Calculations!A243</f>
        <v>Conversion Fee</v>
      </c>
      <c r="B76" s="66">
        <f>Calculations!B243</f>
        <v>0</v>
      </c>
      <c r="C76">
        <f>Calculations!C243</f>
        <v>0</v>
      </c>
      <c r="D76">
        <f>Calculations!D243</f>
        <v>0</v>
      </c>
      <c r="E76" s="66">
        <f>Calculations!E243</f>
        <v>0</v>
      </c>
      <c r="F76" s="8">
        <f>Calculations!F243</f>
        <v>0</v>
      </c>
      <c r="G76" s="66">
        <f>Calculations!G243</f>
        <v>0</v>
      </c>
      <c r="H76" s="66" t="str">
        <f>Calculations!H243</f>
        <v/>
      </c>
      <c r="I76" s="197" t="str">
        <f>Calculations!I243</f>
        <v/>
      </c>
    </row>
    <row r="77" spans="1:9">
      <c r="A77" s="164" t="str">
        <f>Calculations!A244</f>
        <v>Other (Specify)</v>
      </c>
      <c r="B77" s="66">
        <f>Calculations!B244</f>
        <v>0</v>
      </c>
      <c r="C77">
        <f>Calculations!C244</f>
        <v>0</v>
      </c>
      <c r="D77">
        <f>Calculations!D244</f>
        <v>0</v>
      </c>
      <c r="E77" s="66">
        <f>Calculations!E244</f>
        <v>0</v>
      </c>
      <c r="F77" s="8">
        <f>Calculations!F244</f>
        <v>0</v>
      </c>
      <c r="G77" s="66">
        <f>Calculations!G244</f>
        <v>0</v>
      </c>
      <c r="H77" s="66" t="str">
        <f>Calculations!H244</f>
        <v/>
      </c>
      <c r="I77" s="197" t="str">
        <f>Calculations!I244</f>
        <v/>
      </c>
    </row>
    <row r="78" spans="1:9">
      <c r="A78" s="164" t="str">
        <f>Calculations!A245</f>
        <v>Other (Specify)</v>
      </c>
      <c r="B78" s="66">
        <f>Calculations!B245</f>
        <v>0</v>
      </c>
      <c r="C78">
        <f>Calculations!C245</f>
        <v>0</v>
      </c>
      <c r="D78">
        <f>Calculations!D245</f>
        <v>0</v>
      </c>
      <c r="E78" s="66">
        <f>Calculations!E245</f>
        <v>0</v>
      </c>
      <c r="F78" s="8">
        <f>Calculations!F245</f>
        <v>0</v>
      </c>
      <c r="G78" s="66">
        <f>Calculations!G245</f>
        <v>0</v>
      </c>
      <c r="H78" s="66" t="str">
        <f>Calculations!H245</f>
        <v/>
      </c>
      <c r="I78" s="197" t="str">
        <f>Calculations!I245</f>
        <v/>
      </c>
    </row>
    <row r="79" spans="1:9">
      <c r="A79" s="164" t="str">
        <f>Calculations!A246</f>
        <v>Other (Specify)</v>
      </c>
      <c r="B79" s="66">
        <f>Calculations!B246</f>
        <v>0</v>
      </c>
      <c r="C79">
        <f>Calculations!C246</f>
        <v>0</v>
      </c>
      <c r="D79">
        <f>Calculations!D246</f>
        <v>0</v>
      </c>
      <c r="E79" s="66">
        <f>Calculations!E246</f>
        <v>0</v>
      </c>
      <c r="F79" s="8">
        <f>Calculations!F246</f>
        <v>0</v>
      </c>
      <c r="G79" s="66">
        <f>Calculations!G246</f>
        <v>0</v>
      </c>
      <c r="H79" s="66" t="str">
        <f>Calculations!H246</f>
        <v/>
      </c>
      <c r="I79" s="197" t="str">
        <f>Calculations!I246</f>
        <v/>
      </c>
    </row>
    <row r="80" spans="1:9">
      <c r="A80" s="164"/>
      <c r="B80" s="199">
        <f>Calculations!B247</f>
        <v>0</v>
      </c>
      <c r="C80" s="199">
        <f>Calculations!C247</f>
        <v>0</v>
      </c>
      <c r="D80" s="199">
        <f>Calculations!D247</f>
        <v>0</v>
      </c>
      <c r="E80" s="199">
        <f>Calculations!E247</f>
        <v>0</v>
      </c>
      <c r="F80" s="199"/>
      <c r="G80" s="199">
        <f>Calculations!G247</f>
        <v>0</v>
      </c>
      <c r="H80" s="199" t="str">
        <f>Calculations!H247</f>
        <v/>
      </c>
      <c r="I80" s="251" t="str">
        <f>Calculations!I247</f>
        <v/>
      </c>
    </row>
    <row r="81" spans="1:9">
      <c r="A81" s="101" t="str">
        <f>Calculations!A248</f>
        <v>Soft Costs</v>
      </c>
      <c r="B81" s="101"/>
      <c r="C81" s="101"/>
      <c r="D81" s="101"/>
      <c r="E81" s="101"/>
      <c r="F81" s="101"/>
      <c r="G81" s="101"/>
      <c r="H81" s="101"/>
      <c r="I81" s="101"/>
    </row>
    <row r="82" spans="1:9">
      <c r="A82" s="164" t="str">
        <f>Calculations!A249</f>
        <v>Marketing/Leasing Costs</v>
      </c>
      <c r="B82" s="66">
        <f>Calculations!B249</f>
        <v>0</v>
      </c>
      <c r="C82" s="66">
        <f>Calculations!C249</f>
        <v>0</v>
      </c>
      <c r="D82" s="66">
        <f>Calculations!D249</f>
        <v>0</v>
      </c>
      <c r="E82" s="66">
        <f>Calculations!E249</f>
        <v>0</v>
      </c>
      <c r="F82" s="8">
        <f>Calculations!F249</f>
        <v>0</v>
      </c>
      <c r="G82" s="66">
        <f>Calculations!G249</f>
        <v>0</v>
      </c>
      <c r="H82" s="66" t="str">
        <f>Calculations!H249</f>
        <v/>
      </c>
      <c r="I82" s="197" t="str">
        <f>Calculations!I249</f>
        <v/>
      </c>
    </row>
    <row r="83" spans="1:9">
      <c r="A83" s="164" t="str">
        <f>Calculations!A250</f>
        <v>Cost Estimating/Capital Needs Assessment</v>
      </c>
      <c r="B83" s="66">
        <f>Calculations!B250</f>
        <v>0</v>
      </c>
      <c r="C83" s="66">
        <f>Calculations!C250</f>
        <v>0</v>
      </c>
      <c r="D83" s="66">
        <f>Calculations!D250</f>
        <v>0</v>
      </c>
      <c r="E83" s="66">
        <f>Calculations!E250</f>
        <v>0</v>
      </c>
      <c r="F83" s="8">
        <f>Calculations!F250</f>
        <v>0</v>
      </c>
      <c r="G83" s="66">
        <f>Calculations!G250</f>
        <v>0</v>
      </c>
      <c r="H83" s="66" t="str">
        <f>Calculations!H250</f>
        <v/>
      </c>
      <c r="I83" s="197" t="str">
        <f>Calculations!I250</f>
        <v/>
      </c>
    </row>
    <row r="84" spans="1:9">
      <c r="A84" s="164" t="str">
        <f>Calculations!A251</f>
        <v>Geotechnical/Soils Study</v>
      </c>
      <c r="B84" s="66">
        <f>Calculations!B251</f>
        <v>0</v>
      </c>
      <c r="C84" s="66">
        <f>Calculations!C251</f>
        <v>0</v>
      </c>
      <c r="D84" s="66">
        <f>Calculations!D251</f>
        <v>0</v>
      </c>
      <c r="E84" s="66">
        <f>Calculations!E251</f>
        <v>0</v>
      </c>
      <c r="F84" s="8">
        <f>Calculations!F251</f>
        <v>0</v>
      </c>
      <c r="G84" s="66">
        <f>Calculations!G251</f>
        <v>0</v>
      </c>
      <c r="H84" s="66" t="str">
        <f>Calculations!H251</f>
        <v/>
      </c>
      <c r="I84" s="197" t="str">
        <f>Calculations!I251</f>
        <v/>
      </c>
    </row>
    <row r="85" spans="1:9">
      <c r="A85" s="164" t="str">
        <f>Calculations!A252</f>
        <v>Appraisal</v>
      </c>
      <c r="B85" s="66">
        <f>Calculations!B252</f>
        <v>0</v>
      </c>
      <c r="C85" s="66">
        <f>Calculations!C252</f>
        <v>0</v>
      </c>
      <c r="D85" s="66">
        <f>Calculations!D252</f>
        <v>0</v>
      </c>
      <c r="E85" s="66">
        <f>Calculations!E252</f>
        <v>0</v>
      </c>
      <c r="F85" s="8">
        <f>Calculations!F252</f>
        <v>0</v>
      </c>
      <c r="G85" s="66">
        <f>Calculations!G252</f>
        <v>0</v>
      </c>
      <c r="H85" s="66" t="str">
        <f>Calculations!H252</f>
        <v/>
      </c>
      <c r="I85" s="197" t="str">
        <f>Calculations!I252</f>
        <v/>
      </c>
    </row>
    <row r="86" spans="1:9">
      <c r="A86" s="164" t="str">
        <f>Calculations!A253</f>
        <v>Market Study</v>
      </c>
      <c r="B86" s="66">
        <f>Calculations!B253</f>
        <v>0</v>
      </c>
      <c r="C86" s="66">
        <f>Calculations!C253</f>
        <v>0</v>
      </c>
      <c r="D86" s="66">
        <f>Calculations!D253</f>
        <v>0</v>
      </c>
      <c r="E86" s="66">
        <f>Calculations!E253</f>
        <v>0</v>
      </c>
      <c r="F86" s="8">
        <f>Calculations!F253</f>
        <v>0</v>
      </c>
      <c r="G86" s="66">
        <f>Calculations!G253</f>
        <v>0</v>
      </c>
      <c r="H86" s="66" t="str">
        <f>Calculations!H253</f>
        <v/>
      </c>
      <c r="I86" s="197" t="str">
        <f>Calculations!I253</f>
        <v/>
      </c>
    </row>
    <row r="87" spans="1:9">
      <c r="A87" s="164" t="str">
        <f>Calculations!A254</f>
        <v>Environmental Study (Phase 1, Phase 2, Lead, Asbestos, etc.)</v>
      </c>
      <c r="B87" s="66">
        <f>Calculations!B254</f>
        <v>0</v>
      </c>
      <c r="C87" s="66">
        <f>Calculations!C254</f>
        <v>0</v>
      </c>
      <c r="D87" s="66">
        <f>Calculations!D254</f>
        <v>0</v>
      </c>
      <c r="E87" s="66">
        <f>Calculations!E254</f>
        <v>0</v>
      </c>
      <c r="F87" s="8">
        <f>Calculations!F254</f>
        <v>0</v>
      </c>
      <c r="G87" s="66">
        <f>Calculations!G254</f>
        <v>0</v>
      </c>
      <c r="H87" s="66" t="str">
        <f>Calculations!H254</f>
        <v/>
      </c>
      <c r="I87" s="197" t="str">
        <f>Calculations!I254</f>
        <v/>
      </c>
    </row>
    <row r="88" spans="1:9">
      <c r="A88" s="164" t="str">
        <f>Calculations!A255</f>
        <v>Other Studies (traffic, wetlands, etc.)</v>
      </c>
      <c r="B88" s="66">
        <f>Calculations!B255</f>
        <v>0</v>
      </c>
      <c r="C88" s="66">
        <f>Calculations!C255</f>
        <v>0</v>
      </c>
      <c r="D88" s="66">
        <f>Calculations!D255</f>
        <v>0</v>
      </c>
      <c r="E88" s="66">
        <f>Calculations!E255</f>
        <v>0</v>
      </c>
      <c r="F88" s="8">
        <f>Calculations!F255</f>
        <v>0</v>
      </c>
      <c r="G88" s="66">
        <f>Calculations!G255</f>
        <v>0</v>
      </c>
      <c r="H88" s="66" t="str">
        <f>Calculations!H255</f>
        <v/>
      </c>
      <c r="I88" s="197" t="str">
        <f>Calculations!I255</f>
        <v/>
      </c>
    </row>
    <row r="89" spans="1:9">
      <c r="A89" s="164" t="str">
        <f>Calculations!A256</f>
        <v>Tax Credit Fees</v>
      </c>
      <c r="B89" s="66">
        <f>Calculations!B256</f>
        <v>0</v>
      </c>
      <c r="C89" s="66">
        <f>Calculations!C256</f>
        <v>0</v>
      </c>
      <c r="D89" s="66">
        <f>Calculations!D256</f>
        <v>0</v>
      </c>
      <c r="E89" s="66">
        <f>Calculations!E256</f>
        <v>0</v>
      </c>
      <c r="F89" s="8">
        <f>Calculations!F256</f>
        <v>0</v>
      </c>
      <c r="G89" s="66">
        <f>Calculations!G256</f>
        <v>0</v>
      </c>
      <c r="H89" s="66" t="str">
        <f>Calculations!H256</f>
        <v/>
      </c>
      <c r="I89" s="197" t="str">
        <f>Calculations!I256</f>
        <v/>
      </c>
    </row>
    <row r="90" spans="1:9">
      <c r="A90" s="164" t="str">
        <f>Calculations!A257</f>
        <v>Compliance Fees</v>
      </c>
      <c r="B90" s="66">
        <f>Calculations!B257</f>
        <v>0</v>
      </c>
      <c r="C90" s="66">
        <f>Calculations!C257</f>
        <v>0</v>
      </c>
      <c r="D90" s="66">
        <f>Calculations!D257</f>
        <v>0</v>
      </c>
      <c r="E90" s="66">
        <f>Calculations!E257</f>
        <v>0</v>
      </c>
      <c r="F90" s="8">
        <f>Calculations!F257</f>
        <v>0</v>
      </c>
      <c r="G90" s="66">
        <f>Calculations!G257</f>
        <v>0</v>
      </c>
      <c r="H90" s="66" t="str">
        <f>Calculations!H257</f>
        <v/>
      </c>
      <c r="I90" s="197" t="str">
        <f>Calculations!I257</f>
        <v/>
      </c>
    </row>
    <row r="91" spans="1:9">
      <c r="A91" s="164" t="str">
        <f>Calculations!A258</f>
        <v>Cost Certification</v>
      </c>
      <c r="B91" s="66">
        <f>Calculations!B258</f>
        <v>0</v>
      </c>
      <c r="C91" s="66">
        <f>Calculations!C258</f>
        <v>0</v>
      </c>
      <c r="D91" s="66">
        <f>Calculations!D258</f>
        <v>0</v>
      </c>
      <c r="E91" s="66">
        <f>Calculations!E258</f>
        <v>0</v>
      </c>
      <c r="F91" s="8">
        <f>Calculations!F258</f>
        <v>0</v>
      </c>
      <c r="G91" s="66">
        <f>Calculations!G258</f>
        <v>0</v>
      </c>
      <c r="H91" s="66" t="str">
        <f>Calculations!H258</f>
        <v/>
      </c>
      <c r="I91" s="197" t="str">
        <f>Calculations!I258</f>
        <v/>
      </c>
    </row>
    <row r="92" spans="1:9">
      <c r="A92" s="164" t="str">
        <f>Calculations!A259</f>
        <v>Green Certification Fees (LEED Certification, etc.)</v>
      </c>
      <c r="B92" s="66">
        <f>Calculations!B259</f>
        <v>0</v>
      </c>
      <c r="C92" s="66">
        <f>Calculations!C259</f>
        <v>0</v>
      </c>
      <c r="D92" s="66">
        <f>Calculations!D259</f>
        <v>0</v>
      </c>
      <c r="E92" s="66">
        <f>Calculations!E259</f>
        <v>0</v>
      </c>
      <c r="F92" s="8">
        <f>Calculations!F259</f>
        <v>0</v>
      </c>
      <c r="G92" s="66">
        <f>Calculations!G259</f>
        <v>0</v>
      </c>
      <c r="H92" s="66" t="str">
        <f>Calculations!H259</f>
        <v/>
      </c>
      <c r="I92" s="197" t="str">
        <f>Calculations!I259</f>
        <v/>
      </c>
    </row>
    <row r="93" spans="1:9">
      <c r="A93" s="164" t="str">
        <f>Calculations!A260</f>
        <v>Relocation - Temporary</v>
      </c>
      <c r="B93" s="66">
        <f>Calculations!B260</f>
        <v>0</v>
      </c>
      <c r="C93" s="66">
        <f>Calculations!C260</f>
        <v>0</v>
      </c>
      <c r="D93" s="66">
        <f>Calculations!D260</f>
        <v>0</v>
      </c>
      <c r="E93" s="66">
        <f>Calculations!E260</f>
        <v>0</v>
      </c>
      <c r="F93" s="8">
        <f>Calculations!F260</f>
        <v>0</v>
      </c>
      <c r="G93" s="66">
        <f>Calculations!G260</f>
        <v>0</v>
      </c>
      <c r="H93" s="66" t="str">
        <f>Calculations!H260</f>
        <v/>
      </c>
      <c r="I93" s="197" t="str">
        <f>Calculations!I260</f>
        <v/>
      </c>
    </row>
    <row r="94" spans="1:9">
      <c r="A94" s="164" t="str">
        <f>Calculations!A261</f>
        <v>Relocation - Permanent</v>
      </c>
      <c r="B94" s="66">
        <f>Calculations!B261</f>
        <v>0</v>
      </c>
      <c r="C94" s="66">
        <f>Calculations!C261</f>
        <v>0</v>
      </c>
      <c r="D94" s="66">
        <f>Calculations!D261</f>
        <v>0</v>
      </c>
      <c r="E94" s="66">
        <f>Calculations!E261</f>
        <v>0</v>
      </c>
      <c r="F94" s="8">
        <f>Calculations!F261</f>
        <v>0</v>
      </c>
      <c r="G94" s="66">
        <f>Calculations!G261</f>
        <v>0</v>
      </c>
      <c r="H94" s="66" t="str">
        <f>Calculations!H261</f>
        <v/>
      </c>
      <c r="I94" s="197" t="str">
        <f>Calculations!I261</f>
        <v/>
      </c>
    </row>
    <row r="95" spans="1:9">
      <c r="A95" s="164" t="str">
        <f>Calculations!A262</f>
        <v>Soft Cost Contingency</v>
      </c>
      <c r="B95" s="66">
        <f>Calculations!B262</f>
        <v>0</v>
      </c>
      <c r="C95" s="66">
        <f>Calculations!C262</f>
        <v>0</v>
      </c>
      <c r="D95" s="66">
        <f>Calculations!D262</f>
        <v>0</v>
      </c>
      <c r="E95" s="66">
        <f>Calculations!E262</f>
        <v>0</v>
      </c>
      <c r="F95" s="8">
        <f>Calculations!F262</f>
        <v>0</v>
      </c>
      <c r="G95" s="66">
        <f>Calculations!G262</f>
        <v>0</v>
      </c>
      <c r="H95" s="66" t="str">
        <f>Calculations!H262</f>
        <v/>
      </c>
      <c r="I95" s="197" t="str">
        <f>Calculations!I262</f>
        <v/>
      </c>
    </row>
    <row r="96" spans="1:9">
      <c r="A96" s="164" t="str">
        <f>Calculations!A263</f>
        <v>Other (Specify)</v>
      </c>
      <c r="B96" s="66">
        <f>Calculations!B263</f>
        <v>0</v>
      </c>
      <c r="C96" s="66">
        <f>Calculations!C263</f>
        <v>0</v>
      </c>
      <c r="D96" s="66">
        <f>Calculations!D263</f>
        <v>0</v>
      </c>
      <c r="E96" s="66">
        <f>Calculations!E263</f>
        <v>0</v>
      </c>
      <c r="F96" s="8">
        <f>Calculations!F263</f>
        <v>0</v>
      </c>
      <c r="G96" s="66">
        <f>Calculations!G263</f>
        <v>0</v>
      </c>
      <c r="H96" s="66" t="str">
        <f>Calculations!H263</f>
        <v/>
      </c>
      <c r="I96" s="197" t="str">
        <f>Calculations!I263</f>
        <v/>
      </c>
    </row>
    <row r="97" spans="1:9">
      <c r="A97" s="164" t="str">
        <f>Calculations!A264</f>
        <v>Other (Specify)</v>
      </c>
      <c r="B97" s="66">
        <f>Calculations!B264</f>
        <v>0</v>
      </c>
      <c r="C97" s="66">
        <f>Calculations!C264</f>
        <v>0</v>
      </c>
      <c r="D97" s="66">
        <f>Calculations!D264</f>
        <v>0</v>
      </c>
      <c r="E97" s="66">
        <f>Calculations!E264</f>
        <v>0</v>
      </c>
      <c r="F97" s="8">
        <f>Calculations!F264</f>
        <v>0</v>
      </c>
      <c r="G97" s="66">
        <f>Calculations!G264</f>
        <v>0</v>
      </c>
      <c r="H97" s="66" t="str">
        <f>Calculations!H264</f>
        <v/>
      </c>
      <c r="I97" s="197" t="str">
        <f>Calculations!I264</f>
        <v/>
      </c>
    </row>
    <row r="98" spans="1:9">
      <c r="A98" s="164" t="str">
        <f>Calculations!A265</f>
        <v>Other (Specify)</v>
      </c>
      <c r="B98" s="66">
        <f>Calculations!B265</f>
        <v>0</v>
      </c>
      <c r="C98" s="66">
        <f>Calculations!C265</f>
        <v>0</v>
      </c>
      <c r="D98" s="66">
        <f>Calculations!D265</f>
        <v>0</v>
      </c>
      <c r="E98" s="66">
        <f>Calculations!E265</f>
        <v>0</v>
      </c>
      <c r="F98" s="8">
        <f>Calculations!F265</f>
        <v>0</v>
      </c>
      <c r="G98" s="66">
        <f>Calculations!G265</f>
        <v>0</v>
      </c>
      <c r="H98" s="66" t="str">
        <f>Calculations!H265</f>
        <v/>
      </c>
      <c r="I98" s="197" t="str">
        <f>Calculations!I265</f>
        <v/>
      </c>
    </row>
    <row r="99" spans="1:9">
      <c r="A99" s="164"/>
      <c r="B99" s="199">
        <f>Calculations!B266</f>
        <v>0</v>
      </c>
      <c r="C99" s="199">
        <f>Calculations!C266</f>
        <v>0</v>
      </c>
      <c r="D99" s="199">
        <f>Calculations!D266</f>
        <v>0</v>
      </c>
      <c r="E99" s="199">
        <f>Calculations!E266</f>
        <v>0</v>
      </c>
      <c r="F99" s="199"/>
      <c r="G99" s="199">
        <f>Calculations!G266</f>
        <v>0</v>
      </c>
      <c r="H99" s="199" t="str">
        <f>Calculations!H266</f>
        <v/>
      </c>
      <c r="I99" s="251" t="str">
        <f>Calculations!I266</f>
        <v/>
      </c>
    </row>
    <row r="100" spans="1:9">
      <c r="A100" s="101" t="str">
        <f>Calculations!A267</f>
        <v>Syndication Costs</v>
      </c>
      <c r="B100" s="101"/>
      <c r="C100" s="101"/>
      <c r="D100" s="101"/>
      <c r="E100" s="101"/>
      <c r="F100" s="101"/>
      <c r="G100" s="101"/>
      <c r="H100" s="101"/>
      <c r="I100" s="101"/>
    </row>
    <row r="101" spans="1:9">
      <c r="A101" s="164" t="str">
        <f>Calculations!A268</f>
        <v>Organization Costs</v>
      </c>
      <c r="B101" s="66">
        <f>Calculations!B268</f>
        <v>0</v>
      </c>
      <c r="C101" s="66">
        <f>Calculations!C268</f>
        <v>0</v>
      </c>
      <c r="D101" s="66">
        <f>Calculations!D268</f>
        <v>0</v>
      </c>
      <c r="E101" s="66">
        <f>Calculations!E268</f>
        <v>0</v>
      </c>
      <c r="F101" s="8">
        <f>Calculations!F268</f>
        <v>0</v>
      </c>
      <c r="G101" s="66">
        <f>Calculations!G268</f>
        <v>0</v>
      </c>
      <c r="H101" s="66" t="str">
        <f>Calculations!H268</f>
        <v/>
      </c>
      <c r="I101" s="197" t="str">
        <f>Calculations!I268</f>
        <v/>
      </c>
    </row>
    <row r="102" spans="1:9">
      <c r="A102" s="164" t="str">
        <f>Calculations!A269</f>
        <v>Tax Opinion</v>
      </c>
      <c r="B102" s="66">
        <f>Calculations!B269</f>
        <v>0</v>
      </c>
      <c r="C102" s="66">
        <f>Calculations!C269</f>
        <v>0</v>
      </c>
      <c r="D102" s="66">
        <f>Calculations!D269</f>
        <v>0</v>
      </c>
      <c r="E102" s="66">
        <f>Calculations!E269</f>
        <v>0</v>
      </c>
      <c r="F102" s="8">
        <f>Calculations!F269</f>
        <v>0</v>
      </c>
      <c r="G102" s="66">
        <f>Calculations!G269</f>
        <v>0</v>
      </c>
      <c r="H102" s="66" t="str">
        <f>Calculations!H269</f>
        <v/>
      </c>
      <c r="I102" s="197" t="str">
        <f>Calculations!I269</f>
        <v/>
      </c>
    </row>
    <row r="103" spans="1:9">
      <c r="A103" s="164" t="str">
        <f>Calculations!A270</f>
        <v>Syndication Legal Fees</v>
      </c>
      <c r="B103" s="66">
        <f>Calculations!B270</f>
        <v>0</v>
      </c>
      <c r="C103" s="66">
        <f>Calculations!C270</f>
        <v>0</v>
      </c>
      <c r="D103" s="66">
        <f>Calculations!D270</f>
        <v>0</v>
      </c>
      <c r="E103" s="66">
        <f>Calculations!E270</f>
        <v>0</v>
      </c>
      <c r="F103" s="8">
        <f>Calculations!F270</f>
        <v>0</v>
      </c>
      <c r="G103" s="66">
        <f>Calculations!G270</f>
        <v>0</v>
      </c>
      <c r="H103" s="66" t="str">
        <f>Calculations!H270</f>
        <v/>
      </c>
      <c r="I103" s="197" t="str">
        <f>Calculations!I270</f>
        <v/>
      </c>
    </row>
    <row r="104" spans="1:9">
      <c r="A104" s="164" t="str">
        <f>Calculations!A271</f>
        <v>Other (Specify)</v>
      </c>
      <c r="B104" s="66">
        <f>Calculations!B271</f>
        <v>0</v>
      </c>
      <c r="C104" s="66">
        <f>Calculations!C271</f>
        <v>0</v>
      </c>
      <c r="D104" s="66">
        <f>Calculations!D271</f>
        <v>0</v>
      </c>
      <c r="E104" s="66">
        <f>Calculations!E271</f>
        <v>0</v>
      </c>
      <c r="F104" s="8">
        <f>Calculations!F271</f>
        <v>0</v>
      </c>
      <c r="G104" s="66">
        <f>Calculations!G271</f>
        <v>0</v>
      </c>
      <c r="H104" s="66" t="str">
        <f>Calculations!H271</f>
        <v/>
      </c>
      <c r="I104" s="197" t="str">
        <f>Calculations!I271</f>
        <v/>
      </c>
    </row>
    <row r="105" spans="1:9">
      <c r="A105" s="164" t="str">
        <f>Calculations!A272</f>
        <v>Other (Specify)</v>
      </c>
      <c r="B105" s="66">
        <f>Calculations!B272</f>
        <v>0</v>
      </c>
      <c r="C105" s="66">
        <f>Calculations!C272</f>
        <v>0</v>
      </c>
      <c r="D105" s="66">
        <f>Calculations!D272</f>
        <v>0</v>
      </c>
      <c r="E105" s="66">
        <f>Calculations!E272</f>
        <v>0</v>
      </c>
      <c r="F105" s="8">
        <f>Calculations!F272</f>
        <v>0</v>
      </c>
      <c r="G105" s="66">
        <f>Calculations!G272</f>
        <v>0</v>
      </c>
      <c r="H105" s="66" t="str">
        <f>Calculations!H272</f>
        <v/>
      </c>
      <c r="I105" s="197" t="str">
        <f>Calculations!I272</f>
        <v/>
      </c>
    </row>
    <row r="106" spans="1:9">
      <c r="A106" s="164" t="str">
        <f>Calculations!A273</f>
        <v>Other (Specify)</v>
      </c>
      <c r="B106" s="66">
        <f>Calculations!B273</f>
        <v>0</v>
      </c>
      <c r="C106" s="66">
        <f>Calculations!C273</f>
        <v>0</v>
      </c>
      <c r="D106" s="66">
        <f>Calculations!D273</f>
        <v>0</v>
      </c>
      <c r="E106" s="66">
        <f>Calculations!E273</f>
        <v>0</v>
      </c>
      <c r="F106" s="8">
        <f>Calculations!F273</f>
        <v>0</v>
      </c>
      <c r="G106" s="66">
        <f>Calculations!G273</f>
        <v>0</v>
      </c>
      <c r="H106" s="66" t="str">
        <f>Calculations!H273</f>
        <v/>
      </c>
      <c r="I106" s="197" t="str">
        <f>Calculations!I273</f>
        <v/>
      </c>
    </row>
    <row r="107" spans="1:9">
      <c r="A107" s="164"/>
      <c r="B107" s="199">
        <f>Calculations!B274</f>
        <v>0</v>
      </c>
      <c r="C107" s="199">
        <f>Calculations!C274</f>
        <v>0</v>
      </c>
      <c r="D107" s="199">
        <f>Calculations!D274</f>
        <v>0</v>
      </c>
      <c r="E107" s="199">
        <f>Calculations!E274</f>
        <v>0</v>
      </c>
      <c r="F107" s="199"/>
      <c r="G107" s="199">
        <f>Calculations!G274</f>
        <v>0</v>
      </c>
      <c r="H107" s="199" t="str">
        <f>Calculations!H274</f>
        <v/>
      </c>
      <c r="I107" s="251" t="str">
        <f>Calculations!I274</f>
        <v/>
      </c>
    </row>
    <row r="108" spans="1:9">
      <c r="A108" s="101" t="str">
        <f>Calculations!A275</f>
        <v>Developer Fees</v>
      </c>
      <c r="B108" s="101"/>
      <c r="C108" s="101"/>
      <c r="D108" s="101"/>
      <c r="E108" s="101"/>
      <c r="F108" s="101"/>
      <c r="G108" s="101"/>
      <c r="H108" s="101"/>
      <c r="I108" s="101"/>
    </row>
    <row r="109" spans="1:9">
      <c r="A109" s="164" t="str">
        <f>Calculations!A276</f>
        <v>Developer Fee</v>
      </c>
      <c r="B109" s="66">
        <f>Calculations!B276</f>
        <v>0</v>
      </c>
      <c r="C109" s="66">
        <f>Calculations!C276</f>
        <v>0</v>
      </c>
      <c r="D109" s="66">
        <f>Calculations!D276</f>
        <v>0</v>
      </c>
      <c r="E109" s="66">
        <f>Calculations!E276</f>
        <v>0</v>
      </c>
      <c r="F109" s="8">
        <f>Calculations!F276</f>
        <v>0</v>
      </c>
      <c r="G109" s="66">
        <f>Calculations!G276</f>
        <v>0</v>
      </c>
      <c r="H109" s="66" t="str">
        <f>Calculations!H276</f>
        <v/>
      </c>
      <c r="I109" s="197" t="str">
        <f>Calculations!I276</f>
        <v/>
      </c>
    </row>
    <row r="110" spans="1:9">
      <c r="A110" s="164" t="str">
        <f>Calculations!A277</f>
        <v>Developer Overhead</v>
      </c>
      <c r="B110" s="66">
        <f>Calculations!B277</f>
        <v>0</v>
      </c>
      <c r="C110" s="66">
        <f>Calculations!C277</f>
        <v>0</v>
      </c>
      <c r="D110" s="66">
        <f>Calculations!D277</f>
        <v>0</v>
      </c>
      <c r="E110" s="66">
        <f>Calculations!E277</f>
        <v>0</v>
      </c>
      <c r="F110" s="8">
        <f>Calculations!F277</f>
        <v>0</v>
      </c>
      <c r="G110" s="66">
        <f>Calculations!G277</f>
        <v>0</v>
      </c>
      <c r="H110" s="66" t="str">
        <f>Calculations!H277</f>
        <v/>
      </c>
      <c r="I110" s="197" t="str">
        <f>Calculations!I277</f>
        <v/>
      </c>
    </row>
    <row r="111" spans="1:9">
      <c r="A111" s="164" t="str">
        <f>Calculations!A278</f>
        <v>Developer Profit</v>
      </c>
      <c r="B111" s="66">
        <f>Calculations!B278</f>
        <v>0</v>
      </c>
      <c r="C111" s="66">
        <f>Calculations!C278</f>
        <v>0</v>
      </c>
      <c r="D111" s="66">
        <f>Calculations!D278</f>
        <v>0</v>
      </c>
      <c r="E111" s="66">
        <f>Calculations!E278</f>
        <v>0</v>
      </c>
      <c r="F111" s="8">
        <f>Calculations!F278</f>
        <v>0</v>
      </c>
      <c r="G111" s="66">
        <f>Calculations!G278</f>
        <v>0</v>
      </c>
      <c r="H111" s="66" t="str">
        <f>Calculations!H278</f>
        <v/>
      </c>
      <c r="I111" s="197" t="str">
        <f>Calculations!I278</f>
        <v/>
      </c>
    </row>
    <row r="112" spans="1:9">
      <c r="A112" s="164" t="s">
        <v>479</v>
      </c>
      <c r="B112" s="66">
        <f>Calculations!B279</f>
        <v>0</v>
      </c>
      <c r="C112" s="66">
        <f>Calculations!C279</f>
        <v>0</v>
      </c>
      <c r="D112" s="66">
        <f>Calculations!D279</f>
        <v>0</v>
      </c>
      <c r="E112" s="66">
        <f>Calculations!E279</f>
        <v>0</v>
      </c>
      <c r="F112" s="8">
        <f>Calculations!F279</f>
        <v>0</v>
      </c>
      <c r="G112" s="66">
        <f>Calculations!G279</f>
        <v>0</v>
      </c>
      <c r="H112" s="66" t="str">
        <f>Calculations!H279</f>
        <v/>
      </c>
      <c r="I112" s="197">
        <f>Calculations!I279</f>
        <v>0</v>
      </c>
    </row>
    <row r="113" spans="1:13">
      <c r="A113" s="164" t="str">
        <f>Calculations!A280</f>
        <v>Third Party Development Management/Owner's Rep</v>
      </c>
      <c r="B113" s="66">
        <f>Calculations!B280</f>
        <v>0</v>
      </c>
      <c r="C113" s="66">
        <f>Calculations!C280</f>
        <v>0</v>
      </c>
      <c r="D113" s="66">
        <f>Calculations!D280</f>
        <v>0</v>
      </c>
      <c r="E113" s="66">
        <f>Calculations!E280</f>
        <v>0</v>
      </c>
      <c r="F113" s="8">
        <f>Calculations!F280</f>
        <v>0</v>
      </c>
      <c r="G113" s="66">
        <f>Calculations!G280</f>
        <v>0</v>
      </c>
      <c r="H113" s="66" t="str">
        <f>Calculations!H280</f>
        <v/>
      </c>
      <c r="I113" s="197" t="str">
        <f>Calculations!I280</f>
        <v/>
      </c>
    </row>
    <row r="114" spans="1:13">
      <c r="A114" s="164" t="str">
        <f>Calculations!A281</f>
        <v>Financial/Tax Credit Consultant, Application Preparation, etc.</v>
      </c>
      <c r="B114" s="66">
        <f>Calculations!B281</f>
        <v>0</v>
      </c>
      <c r="C114" s="66">
        <f>Calculations!C281</f>
        <v>0</v>
      </c>
      <c r="D114" s="66">
        <f>Calculations!D281</f>
        <v>0</v>
      </c>
      <c r="E114" s="66">
        <f>Calculations!E281</f>
        <v>0</v>
      </c>
      <c r="F114" s="8">
        <f>Calculations!F281</f>
        <v>0</v>
      </c>
      <c r="G114" s="66">
        <f>Calculations!G281</f>
        <v>0</v>
      </c>
      <c r="H114" s="66" t="str">
        <f>Calculations!H281</f>
        <v/>
      </c>
      <c r="I114" s="197" t="str">
        <f>Calculations!I281</f>
        <v/>
      </c>
    </row>
    <row r="115" spans="1:13">
      <c r="A115" s="164" t="str">
        <f>Calculations!A282</f>
        <v>Other Consultant Fees</v>
      </c>
      <c r="B115" s="66">
        <f>Calculations!B282</f>
        <v>0</v>
      </c>
      <c r="C115" s="66">
        <f>Calculations!C282</f>
        <v>0</v>
      </c>
      <c r="D115" s="66">
        <f>Calculations!D282</f>
        <v>0</v>
      </c>
      <c r="E115" s="66">
        <f>Calculations!E282</f>
        <v>0</v>
      </c>
      <c r="F115" s="8">
        <f>Calculations!F282</f>
        <v>0</v>
      </c>
      <c r="G115" s="66">
        <f>Calculations!G282</f>
        <v>0</v>
      </c>
      <c r="H115" s="66" t="str">
        <f>Calculations!H282</f>
        <v/>
      </c>
      <c r="I115" s="197" t="str">
        <f>Calculations!I282</f>
        <v/>
      </c>
    </row>
    <row r="116" spans="1:13">
      <c r="A116" s="164"/>
      <c r="B116" s="199">
        <f>Calculations!B283</f>
        <v>0</v>
      </c>
      <c r="C116" s="199">
        <f>Calculations!C283</f>
        <v>0</v>
      </c>
      <c r="D116" s="199">
        <f>Calculations!D283</f>
        <v>0</v>
      </c>
      <c r="E116" s="199">
        <f>Calculations!E283</f>
        <v>0</v>
      </c>
      <c r="F116" s="199"/>
      <c r="G116" s="199">
        <f>Calculations!G283</f>
        <v>0</v>
      </c>
      <c r="H116" s="199" t="str">
        <f>Calculations!H283</f>
        <v/>
      </c>
      <c r="I116" s="251" t="str">
        <f>Calculations!I283</f>
        <v/>
      </c>
    </row>
    <row r="117" spans="1:13">
      <c r="A117" s="101" t="str">
        <f>Calculations!A284</f>
        <v>Project Reserves</v>
      </c>
      <c r="B117" s="101"/>
      <c r="C117" s="101"/>
      <c r="D117" s="101"/>
      <c r="E117" s="101"/>
      <c r="F117" s="101"/>
      <c r="G117" s="101"/>
      <c r="H117" s="101"/>
      <c r="I117" s="101"/>
    </row>
    <row r="118" spans="1:13">
      <c r="A118" s="164" t="str">
        <f>Calculations!A285</f>
        <v>Rent-up Reserves</v>
      </c>
      <c r="B118" s="66">
        <f>Calculations!B285</f>
        <v>0</v>
      </c>
      <c r="C118" s="66">
        <f>Calculations!C285</f>
        <v>0</v>
      </c>
      <c r="D118" s="66">
        <f>Calculations!D285</f>
        <v>0</v>
      </c>
      <c r="E118" s="66">
        <f>Calculations!E285</f>
        <v>0</v>
      </c>
      <c r="F118" s="8">
        <f>Calculations!F285</f>
        <v>0</v>
      </c>
      <c r="G118" s="66">
        <f>Calculations!G285</f>
        <v>0</v>
      </c>
      <c r="H118" s="66" t="str">
        <f>Calculations!H285</f>
        <v/>
      </c>
      <c r="I118" s="197" t="str">
        <f>Calculations!I285</f>
        <v/>
      </c>
    </row>
    <row r="119" spans="1:13">
      <c r="A119" s="164" t="str">
        <f>Calculations!A286</f>
        <v>Operating Reserves</v>
      </c>
      <c r="B119" s="66">
        <f>Calculations!B286</f>
        <v>0</v>
      </c>
      <c r="C119" s="66">
        <f>Calculations!C286</f>
        <v>0</v>
      </c>
      <c r="D119" s="66">
        <f>Calculations!D286</f>
        <v>0</v>
      </c>
      <c r="E119" s="66">
        <f>Calculations!E286</f>
        <v>0</v>
      </c>
      <c r="F119" s="8">
        <f>Calculations!F286</f>
        <v>0</v>
      </c>
      <c r="G119" s="66">
        <f>Calculations!G286</f>
        <v>0</v>
      </c>
      <c r="H119" s="66" t="str">
        <f>Calculations!H286</f>
        <v/>
      </c>
      <c r="I119" s="197" t="str">
        <f>Calculations!I286</f>
        <v/>
      </c>
    </row>
    <row r="120" spans="1:13">
      <c r="A120" s="164" t="str">
        <f>Calculations!A287</f>
        <v>Replacement Reserves</v>
      </c>
      <c r="B120" s="66">
        <f>Calculations!B287</f>
        <v>0</v>
      </c>
      <c r="C120" s="66">
        <f>Calculations!C287</f>
        <v>0</v>
      </c>
      <c r="D120" s="66">
        <f>Calculations!D287</f>
        <v>0</v>
      </c>
      <c r="E120" s="66">
        <f>Calculations!E287</f>
        <v>0</v>
      </c>
      <c r="F120" s="8">
        <f>Calculations!F287</f>
        <v>0</v>
      </c>
      <c r="G120" s="66">
        <f>Calculations!G287</f>
        <v>0</v>
      </c>
      <c r="H120" s="66" t="str">
        <f>Calculations!H287</f>
        <v/>
      </c>
      <c r="I120" s="197" t="str">
        <f>Calculations!I287</f>
        <v/>
      </c>
    </row>
    <row r="121" spans="1:13">
      <c r="A121" s="164" t="str">
        <f>Calculations!A288</f>
        <v>Debt Service Reserves</v>
      </c>
      <c r="B121" s="66">
        <f>Calculations!B288</f>
        <v>0</v>
      </c>
      <c r="C121" s="66">
        <f>Calculations!C288</f>
        <v>0</v>
      </c>
      <c r="D121" s="66">
        <f>Calculations!D288</f>
        <v>0</v>
      </c>
      <c r="E121" s="66">
        <f>Calculations!E288</f>
        <v>0</v>
      </c>
      <c r="F121" s="8">
        <f>Calculations!F288</f>
        <v>0</v>
      </c>
      <c r="G121" s="66">
        <f>Calculations!G288</f>
        <v>0</v>
      </c>
      <c r="H121" s="66"/>
      <c r="I121" s="197"/>
    </row>
    <row r="122" spans="1:13" ht="15" customHeight="1">
      <c r="A122" s="164" t="str">
        <f>Calculations!A289</f>
        <v>Other (Specify)</v>
      </c>
      <c r="B122" s="66">
        <f>Calculations!B289</f>
        <v>0</v>
      </c>
      <c r="C122" s="66">
        <f>Calculations!C289</f>
        <v>0</v>
      </c>
      <c r="D122" s="66">
        <f>Calculations!D289</f>
        <v>0</v>
      </c>
      <c r="E122" s="66">
        <f>Calculations!E289</f>
        <v>0</v>
      </c>
      <c r="F122" s="8">
        <f>Calculations!F289</f>
        <v>0</v>
      </c>
      <c r="G122" s="66">
        <f>Calculations!G289</f>
        <v>0</v>
      </c>
      <c r="H122" s="66" t="str">
        <f>Calculations!H289</f>
        <v/>
      </c>
      <c r="I122" s="197" t="str">
        <f>Calculations!I289</f>
        <v/>
      </c>
      <c r="J122" s="1105"/>
      <c r="K122" s="1105"/>
    </row>
    <row r="123" spans="1:13" ht="15" customHeight="1">
      <c r="A123" s="164" t="str">
        <f>Calculations!A290</f>
        <v>Other (Specify)</v>
      </c>
      <c r="B123" s="66">
        <f>Calculations!B290</f>
        <v>0</v>
      </c>
      <c r="C123" s="66">
        <f>Calculations!C290</f>
        <v>0</v>
      </c>
      <c r="D123" s="66">
        <f>Calculations!D290</f>
        <v>0</v>
      </c>
      <c r="E123" s="66">
        <f>Calculations!E290</f>
        <v>0</v>
      </c>
      <c r="F123" s="8">
        <f>Calculations!F290</f>
        <v>0</v>
      </c>
      <c r="G123" s="66">
        <f>Calculations!G290</f>
        <v>0</v>
      </c>
      <c r="H123" s="66" t="str">
        <f>Calculations!H290</f>
        <v/>
      </c>
      <c r="I123" s="197" t="str">
        <f>Calculations!I290</f>
        <v/>
      </c>
      <c r="J123" s="1105"/>
      <c r="K123" s="1105"/>
    </row>
    <row r="124" spans="1:13" ht="15" thickBot="1">
      <c r="A124" s="192"/>
      <c r="B124" s="199">
        <f>Calculations!B291</f>
        <v>0</v>
      </c>
      <c r="C124" s="199">
        <f>Calculations!C291</f>
        <v>0</v>
      </c>
      <c r="D124" s="199">
        <f>Calculations!D291</f>
        <v>0</v>
      </c>
      <c r="E124" s="199">
        <f>Calculations!E291</f>
        <v>0</v>
      </c>
      <c r="F124" s="199"/>
      <c r="G124" s="199">
        <f>Calculations!G291</f>
        <v>0</v>
      </c>
      <c r="H124" s="199" t="str">
        <f>Calculations!H291</f>
        <v/>
      </c>
      <c r="I124" s="395" t="str">
        <f>Calculations!I291</f>
        <v/>
      </c>
      <c r="J124" s="1105"/>
      <c r="K124" s="1105"/>
      <c r="L124" s="251"/>
      <c r="M124" s="251"/>
    </row>
    <row r="125" spans="1:13" ht="15" thickTop="1">
      <c r="A125" s="68" t="str">
        <f>Calculations!A292</f>
        <v>Total</v>
      </c>
      <c r="B125" s="198">
        <f>Calculations!B292</f>
        <v>0</v>
      </c>
      <c r="C125" s="198">
        <f>Calculations!C292</f>
        <v>0</v>
      </c>
      <c r="D125" s="198">
        <f>Calculations!D292</f>
        <v>0</v>
      </c>
      <c r="E125" s="198">
        <f>Calculations!E292</f>
        <v>0</v>
      </c>
      <c r="F125" s="198"/>
      <c r="G125" s="198">
        <f>Calculations!G292</f>
        <v>0</v>
      </c>
      <c r="H125" s="198">
        <f>Calculations!H292</f>
        <v>0</v>
      </c>
      <c r="I125" s="251" t="str">
        <f>Calculations!I292</f>
        <v/>
      </c>
      <c r="J125" s="1104"/>
      <c r="K125" s="1104"/>
    </row>
    <row r="126" spans="1:13">
      <c r="A126" s="68"/>
      <c r="B126" s="199"/>
      <c r="C126" s="199"/>
      <c r="D126" s="199"/>
      <c r="E126" s="199"/>
      <c r="F126" s="199"/>
      <c r="G126" s="199"/>
      <c r="H126" s="199"/>
      <c r="I126" s="251"/>
      <c r="J126" s="507"/>
      <c r="K126" s="507"/>
    </row>
    <row r="127" spans="1:13">
      <c r="A127" s="396"/>
      <c r="B127" s="199"/>
      <c r="C127" s="199"/>
      <c r="D127" s="199"/>
      <c r="E127" s="199"/>
      <c r="F127" s="199"/>
      <c r="G127" s="397" t="s">
        <v>1017</v>
      </c>
      <c r="H127" s="1106">
        <f>Calculations!K289</f>
        <v>0</v>
      </c>
      <c r="I127" s="1106"/>
      <c r="J127" s="507"/>
      <c r="K127" s="507"/>
    </row>
    <row r="129" spans="1:12">
      <c r="A129" s="1088" t="s">
        <v>489</v>
      </c>
      <c r="B129" s="1088"/>
      <c r="C129" s="1088"/>
      <c r="D129" s="1088"/>
      <c r="E129" s="1088"/>
      <c r="F129" s="1088"/>
      <c r="G129" s="1088"/>
      <c r="H129" s="1088"/>
      <c r="I129" s="1088"/>
      <c r="J129" s="88"/>
      <c r="K129" s="88"/>
      <c r="L129" s="88"/>
    </row>
    <row r="130" spans="1:12">
      <c r="D130" s="88"/>
      <c r="E130" s="88"/>
      <c r="F130" s="88"/>
      <c r="G130" s="88"/>
      <c r="H130" s="88"/>
      <c r="I130" s="88"/>
      <c r="J130" s="88"/>
      <c r="K130" s="88"/>
      <c r="L130" s="88"/>
    </row>
    <row r="131" spans="1:12" ht="45" customHeight="1">
      <c r="A131" s="192" t="str">
        <f>Calculations!K171</f>
        <v>Land &amp; Buildings</v>
      </c>
      <c r="B131" s="135" t="str">
        <f>Calculations!L171</f>
        <v>Amount</v>
      </c>
      <c r="E131" s="135" t="str">
        <f>Calculations!M171</f>
        <v>Amount Last Provided to CHFA*</v>
      </c>
      <c r="F131" s="135"/>
      <c r="G131" s="135" t="str">
        <f>Calculations!N171</f>
        <v>Difference</v>
      </c>
      <c r="I131" s="88"/>
      <c r="J131" s="88"/>
      <c r="K131" s="88"/>
    </row>
    <row r="132" spans="1:12">
      <c r="A132" s="164" t="str">
        <f>Calculations!K172</f>
        <v>Land</v>
      </c>
      <c r="B132" s="106">
        <f>Calculations!L172</f>
        <v>0</v>
      </c>
      <c r="E132" s="106">
        <f>Calculations!M172</f>
        <v>0</v>
      </c>
      <c r="F132" s="106"/>
      <c r="G132" s="106">
        <f>Calculations!N172</f>
        <v>0</v>
      </c>
      <c r="I132" s="88"/>
      <c r="J132" s="88"/>
      <c r="K132" s="88"/>
    </row>
    <row r="133" spans="1:12">
      <c r="A133" s="164" t="str">
        <f>Calculations!K173</f>
        <v>Existing Structures</v>
      </c>
      <c r="B133" s="106">
        <f>Calculations!L173</f>
        <v>0</v>
      </c>
      <c r="E133" s="106">
        <f>Calculations!M173</f>
        <v>0</v>
      </c>
      <c r="F133" s="106"/>
      <c r="G133" s="106">
        <f>Calculations!N173</f>
        <v>0</v>
      </c>
      <c r="I133" s="88"/>
      <c r="J133" s="88"/>
      <c r="K133" s="88"/>
    </row>
    <row r="134" spans="1:12">
      <c r="A134" s="164" t="str">
        <f>Calculations!K174</f>
        <v>Demolition</v>
      </c>
      <c r="B134" s="193">
        <f>Calculations!L174</f>
        <v>0</v>
      </c>
      <c r="E134" s="193">
        <f>Calculations!M174</f>
        <v>0</v>
      </c>
      <c r="F134" s="193"/>
      <c r="G134" s="193">
        <f>Calculations!N174</f>
        <v>0</v>
      </c>
      <c r="I134" s="88"/>
      <c r="J134" s="88"/>
      <c r="K134" s="88"/>
    </row>
    <row r="135" spans="1:12">
      <c r="A135" s="88"/>
      <c r="B135" s="105">
        <f>Calculations!L175</f>
        <v>0</v>
      </c>
      <c r="E135" s="132">
        <f>Calculations!M175</f>
        <v>0</v>
      </c>
      <c r="F135" s="132"/>
      <c r="G135" s="132">
        <f>Calculations!N175</f>
        <v>0</v>
      </c>
      <c r="I135" s="88"/>
      <c r="J135" s="88"/>
      <c r="K135" s="88"/>
    </row>
    <row r="136" spans="1:12">
      <c r="A136" s="192" t="str">
        <f>Calculations!K176</f>
        <v>Site Work</v>
      </c>
      <c r="B136" s="135"/>
      <c r="E136" s="135"/>
      <c r="F136" s="135"/>
      <c r="G136" s="135"/>
      <c r="I136" s="88"/>
      <c r="J136" s="88"/>
      <c r="K136" s="88"/>
    </row>
    <row r="137" spans="1:12">
      <c r="A137" s="164" t="str">
        <f>Calculations!K177</f>
        <v>On Site Work</v>
      </c>
      <c r="B137" s="106">
        <f>Calculations!L177</f>
        <v>0</v>
      </c>
      <c r="E137" s="106">
        <f>Calculations!M177</f>
        <v>0</v>
      </c>
      <c r="F137" s="106"/>
      <c r="G137" s="106">
        <f>Calculations!N177</f>
        <v>0</v>
      </c>
      <c r="I137" s="88"/>
      <c r="J137" s="88"/>
      <c r="K137" s="88"/>
    </row>
    <row r="138" spans="1:12">
      <c r="A138" s="164" t="str">
        <f>Calculations!K178</f>
        <v>Off Site Work</v>
      </c>
      <c r="B138" s="193">
        <f>Calculations!L178</f>
        <v>0</v>
      </c>
      <c r="E138" s="193">
        <f>Calculations!M178</f>
        <v>0</v>
      </c>
      <c r="F138" s="193"/>
      <c r="G138" s="193">
        <f>Calculations!N178</f>
        <v>0</v>
      </c>
      <c r="I138" s="88"/>
      <c r="J138" s="88"/>
      <c r="K138" s="88"/>
    </row>
    <row r="139" spans="1:12">
      <c r="A139" s="88"/>
      <c r="B139" s="105">
        <f>Calculations!L179</f>
        <v>0</v>
      </c>
      <c r="E139" s="132">
        <f>Calculations!M179</f>
        <v>0</v>
      </c>
      <c r="F139" s="132"/>
      <c r="G139" s="132">
        <f>Calculations!N179</f>
        <v>0</v>
      </c>
      <c r="I139" s="88"/>
      <c r="J139" s="88"/>
      <c r="K139" s="88"/>
    </row>
    <row r="140" spans="1:12">
      <c r="A140" s="192" t="str">
        <f>Calculations!K180</f>
        <v>Rehab. &amp; New Construction</v>
      </c>
      <c r="B140" s="135"/>
      <c r="E140" s="135"/>
      <c r="F140" s="135"/>
      <c r="G140" s="135"/>
      <c r="I140" s="88"/>
      <c r="J140" s="88"/>
      <c r="K140" s="88"/>
    </row>
    <row r="141" spans="1:12">
      <c r="A141" s="164" t="str">
        <f>Calculations!K181</f>
        <v>New Structures</v>
      </c>
      <c r="B141" s="106">
        <f>Calculations!L181</f>
        <v>0</v>
      </c>
      <c r="E141" s="106">
        <f>Calculations!M181</f>
        <v>0</v>
      </c>
      <c r="F141" s="106"/>
      <c r="G141" s="106">
        <f>Calculations!N181</f>
        <v>0</v>
      </c>
      <c r="I141" s="88"/>
      <c r="J141" s="88"/>
      <c r="K141" s="88"/>
    </row>
    <row r="142" spans="1:12">
      <c r="A142" s="164" t="str">
        <f>Calculations!K182</f>
        <v>Rehabilitation</v>
      </c>
      <c r="B142" s="106">
        <f>Calculations!L182</f>
        <v>0</v>
      </c>
      <c r="E142" s="106">
        <f>Calculations!M182</f>
        <v>0</v>
      </c>
      <c r="F142" s="106"/>
      <c r="G142" s="106">
        <f>Calculations!N182</f>
        <v>0</v>
      </c>
      <c r="I142" s="88"/>
      <c r="J142" s="88"/>
      <c r="K142" s="88"/>
    </row>
    <row r="143" spans="1:12">
      <c r="A143" s="164" t="str">
        <f>Calculations!K183</f>
        <v>Accessory Structures</v>
      </c>
      <c r="B143" s="106">
        <f>Calculations!L183</f>
        <v>0</v>
      </c>
      <c r="E143" s="106">
        <f>Calculations!M183</f>
        <v>0</v>
      </c>
      <c r="F143" s="106"/>
      <c r="G143" s="106">
        <f>Calculations!N183</f>
        <v>0</v>
      </c>
      <c r="I143" s="88"/>
      <c r="J143" s="88"/>
      <c r="K143" s="88"/>
    </row>
    <row r="144" spans="1:12">
      <c r="A144" s="164" t="str">
        <f>Calculations!K184</f>
        <v>General Requirements</v>
      </c>
      <c r="B144" s="106">
        <f>Calculations!L184</f>
        <v>0</v>
      </c>
      <c r="E144" s="106">
        <f>Calculations!M184</f>
        <v>0</v>
      </c>
      <c r="F144" s="106"/>
      <c r="G144" s="106">
        <f>Calculations!N184</f>
        <v>0</v>
      </c>
      <c r="I144" s="88"/>
      <c r="J144" s="88"/>
      <c r="K144" s="88"/>
    </row>
    <row r="145" spans="1:11">
      <c r="A145" s="164" t="str">
        <f>Calculations!K185</f>
        <v>Contractor Overhead</v>
      </c>
      <c r="B145" s="106">
        <f>Calculations!L185</f>
        <v>0</v>
      </c>
      <c r="E145" s="106">
        <f>Calculations!M185</f>
        <v>0</v>
      </c>
      <c r="F145" s="106"/>
      <c r="G145" s="106">
        <f>Calculations!N185</f>
        <v>0</v>
      </c>
      <c r="I145" s="88"/>
      <c r="J145" s="88"/>
      <c r="K145" s="88"/>
    </row>
    <row r="146" spans="1:11">
      <c r="A146" s="164" t="str">
        <f>Calculations!K186</f>
        <v>Contractor Profit</v>
      </c>
      <c r="B146" s="106">
        <f>Calculations!L186</f>
        <v>0</v>
      </c>
      <c r="E146" s="106">
        <f>Calculations!M186</f>
        <v>0</v>
      </c>
      <c r="F146" s="106"/>
      <c r="G146" s="106">
        <f>Calculations!N186</f>
        <v>0</v>
      </c>
      <c r="I146" s="88"/>
      <c r="J146" s="88"/>
      <c r="K146" s="88"/>
    </row>
    <row r="147" spans="1:11">
      <c r="A147" s="164" t="str">
        <f>Calculations!K187</f>
        <v>Construction Contingency</v>
      </c>
      <c r="B147" s="106">
        <f>Calculations!L187</f>
        <v>0</v>
      </c>
      <c r="E147" s="106">
        <f>Calculations!M187</f>
        <v>0</v>
      </c>
      <c r="F147" s="106"/>
      <c r="G147" s="106">
        <f>Calculations!N187</f>
        <v>0</v>
      </c>
      <c r="I147" s="88"/>
      <c r="J147" s="88"/>
      <c r="K147" s="88"/>
    </row>
    <row r="148" spans="1:11">
      <c r="A148" s="164" t="str">
        <f>Calculations!K188</f>
        <v>Building Permits</v>
      </c>
      <c r="B148" s="106">
        <f>Calculations!L188</f>
        <v>0</v>
      </c>
      <c r="E148" s="106">
        <f>Calculations!M188</f>
        <v>0</v>
      </c>
      <c r="F148" s="106"/>
      <c r="G148" s="106">
        <f>Calculations!N188</f>
        <v>0</v>
      </c>
      <c r="I148" s="88"/>
      <c r="J148" s="88"/>
      <c r="K148" s="88"/>
    </row>
    <row r="149" spans="1:11">
      <c r="A149" s="164" t="str">
        <f>Calculations!K189</f>
        <v>Other (Specify)</v>
      </c>
      <c r="B149" s="106">
        <f>Calculations!L189</f>
        <v>0</v>
      </c>
      <c r="E149" s="106">
        <f>Calculations!M189</f>
        <v>0</v>
      </c>
      <c r="F149" s="106"/>
      <c r="G149" s="106">
        <f>Calculations!N189</f>
        <v>0</v>
      </c>
      <c r="I149" s="88"/>
      <c r="J149" s="88"/>
      <c r="K149" s="88"/>
    </row>
    <row r="150" spans="1:11">
      <c r="A150" s="164" t="str">
        <f>Calculations!K190</f>
        <v>Other (Specify)</v>
      </c>
      <c r="B150" s="106">
        <f>Calculations!L190</f>
        <v>0</v>
      </c>
      <c r="E150" s="106">
        <f>Calculations!M190</f>
        <v>0</v>
      </c>
      <c r="F150" s="106"/>
      <c r="G150" s="106">
        <f>Calculations!N190</f>
        <v>0</v>
      </c>
      <c r="I150" s="88"/>
      <c r="J150" s="88"/>
      <c r="K150" s="88"/>
    </row>
    <row r="151" spans="1:11">
      <c r="A151" s="164" t="str">
        <f>Calculations!K191</f>
        <v>Other (Specify)</v>
      </c>
      <c r="B151" s="193">
        <f>Calculations!L191</f>
        <v>0</v>
      </c>
      <c r="E151" s="193">
        <f>Calculations!M191</f>
        <v>0</v>
      </c>
      <c r="F151" s="193"/>
      <c r="G151" s="193">
        <f>Calculations!N191</f>
        <v>0</v>
      </c>
      <c r="I151" s="88"/>
      <c r="J151" s="88"/>
      <c r="K151" s="88"/>
    </row>
    <row r="152" spans="1:11">
      <c r="A152" s="88"/>
      <c r="B152" s="105">
        <f>Calculations!L192</f>
        <v>0</v>
      </c>
      <c r="E152" s="132">
        <f>Calculations!M192</f>
        <v>0</v>
      </c>
      <c r="F152" s="132"/>
      <c r="G152" s="132">
        <f>Calculations!N192</f>
        <v>0</v>
      </c>
      <c r="I152" s="88"/>
      <c r="J152" s="88"/>
      <c r="K152" s="88"/>
    </row>
    <row r="153" spans="1:11">
      <c r="A153" s="192" t="str">
        <f>Calculations!K193</f>
        <v>Professional Fees</v>
      </c>
      <c r="B153" s="135"/>
      <c r="E153" s="135"/>
      <c r="F153" s="135"/>
      <c r="G153" s="135"/>
      <c r="I153" s="88"/>
      <c r="J153" s="88"/>
      <c r="K153" s="88"/>
    </row>
    <row r="154" spans="1:11">
      <c r="A154" s="164" t="str">
        <f>Calculations!K194</f>
        <v>Architect, Design</v>
      </c>
      <c r="B154" s="106">
        <f>Calculations!L194</f>
        <v>0</v>
      </c>
      <c r="E154" s="106">
        <f>Calculations!M194</f>
        <v>0</v>
      </c>
      <c r="F154" s="106"/>
      <c r="G154" s="106">
        <f>Calculations!N194</f>
        <v>0</v>
      </c>
      <c r="I154" s="88"/>
      <c r="J154" s="88"/>
      <c r="K154" s="88"/>
    </row>
    <row r="155" spans="1:11">
      <c r="A155" s="164" t="str">
        <f>Calculations!K195</f>
        <v>Architect, Supervision</v>
      </c>
      <c r="B155" s="106">
        <f>Calculations!L195</f>
        <v>0</v>
      </c>
      <c r="E155" s="106">
        <f>Calculations!M195</f>
        <v>0</v>
      </c>
      <c r="F155" s="106"/>
      <c r="G155" s="106">
        <f>Calculations!N195</f>
        <v>0</v>
      </c>
      <c r="I155" s="88"/>
      <c r="J155" s="88"/>
      <c r="K155" s="88"/>
    </row>
    <row r="156" spans="1:11">
      <c r="A156" s="164" t="str">
        <f>Calculations!K196</f>
        <v>Attorney, Real Estate</v>
      </c>
      <c r="B156" s="106">
        <f>Calculations!L196</f>
        <v>0</v>
      </c>
      <c r="E156" s="106">
        <f>Calculations!M196</f>
        <v>0</v>
      </c>
      <c r="F156" s="106"/>
      <c r="G156" s="106">
        <f>Calculations!N196</f>
        <v>0</v>
      </c>
      <c r="I156" s="88"/>
      <c r="J156" s="88"/>
      <c r="K156" s="88"/>
    </row>
    <row r="157" spans="1:11">
      <c r="A157" s="164" t="str">
        <f>Calculations!K197</f>
        <v>Consultant/agent</v>
      </c>
      <c r="B157" s="106">
        <f>Calculations!L197</f>
        <v>0</v>
      </c>
      <c r="E157" s="106">
        <f>Calculations!M197</f>
        <v>0</v>
      </c>
      <c r="F157" s="106"/>
      <c r="G157" s="106">
        <f>Calculations!N197</f>
        <v>0</v>
      </c>
      <c r="I157" s="88"/>
      <c r="J157" s="88"/>
      <c r="K157" s="88"/>
    </row>
    <row r="158" spans="1:11">
      <c r="A158" s="164" t="str">
        <f>Calculations!K198</f>
        <v>Engineer/Surveyor</v>
      </c>
      <c r="B158" s="106">
        <f>Calculations!L198</f>
        <v>0</v>
      </c>
      <c r="E158" s="106">
        <f>Calculations!M198</f>
        <v>0</v>
      </c>
      <c r="F158" s="106"/>
      <c r="G158" s="106">
        <f>Calculations!N198</f>
        <v>0</v>
      </c>
      <c r="I158" s="88"/>
      <c r="J158" s="88"/>
      <c r="K158" s="88"/>
    </row>
    <row r="159" spans="1:11">
      <c r="A159" s="164" t="str">
        <f>Calculations!K199</f>
        <v>Other (Specify)</v>
      </c>
      <c r="B159" s="106">
        <f>Calculations!L199</f>
        <v>0</v>
      </c>
      <c r="E159" s="106">
        <f>Calculations!M199</f>
        <v>0</v>
      </c>
      <c r="F159" s="106"/>
      <c r="G159" s="106">
        <f>Calculations!N199</f>
        <v>0</v>
      </c>
      <c r="I159" s="88"/>
      <c r="J159" s="88"/>
      <c r="K159" s="88"/>
    </row>
    <row r="160" spans="1:11">
      <c r="A160" s="164" t="str">
        <f>Calculations!K200</f>
        <v>Other (Specify)</v>
      </c>
      <c r="B160" s="106">
        <f>Calculations!L200</f>
        <v>0</v>
      </c>
      <c r="E160" s="106">
        <f>Calculations!M200</f>
        <v>0</v>
      </c>
      <c r="F160" s="106"/>
      <c r="G160" s="106">
        <f>Calculations!N200</f>
        <v>0</v>
      </c>
      <c r="I160" s="88"/>
      <c r="J160" s="88"/>
      <c r="K160" s="88"/>
    </row>
    <row r="161" spans="1:11">
      <c r="A161" s="164" t="str">
        <f>Calculations!K201</f>
        <v>Other-Accounting</v>
      </c>
      <c r="B161" s="193">
        <f>Calculations!L201</f>
        <v>0</v>
      </c>
      <c r="E161" s="193">
        <f>Calculations!M201</f>
        <v>0</v>
      </c>
      <c r="F161" s="193"/>
      <c r="G161" s="193">
        <f>Calculations!N201</f>
        <v>0</v>
      </c>
      <c r="I161" s="88"/>
      <c r="J161" s="88"/>
      <c r="K161" s="88"/>
    </row>
    <row r="162" spans="1:11">
      <c r="A162" s="164"/>
      <c r="B162" s="105">
        <f>Calculations!L202</f>
        <v>0</v>
      </c>
      <c r="E162" s="132">
        <f>Calculations!M202</f>
        <v>0</v>
      </c>
      <c r="F162" s="132"/>
      <c r="G162" s="132">
        <f>Calculations!N202</f>
        <v>0</v>
      </c>
      <c r="I162" s="88"/>
      <c r="J162" s="88"/>
      <c r="K162" s="88"/>
    </row>
    <row r="163" spans="1:11">
      <c r="A163" s="192" t="str">
        <f>Calculations!K203</f>
        <v>Construction Interim Costs</v>
      </c>
      <c r="B163" s="135"/>
      <c r="E163" s="135"/>
      <c r="F163" s="135"/>
      <c r="G163" s="135"/>
      <c r="I163" s="88"/>
      <c r="J163" s="88"/>
      <c r="K163" s="88"/>
    </row>
    <row r="164" spans="1:11">
      <c r="A164" s="164" t="str">
        <f>Calculations!K204</f>
        <v>Hazard &amp; Liability Insurance</v>
      </c>
      <c r="B164" s="106">
        <f>Calculations!L204</f>
        <v>0</v>
      </c>
      <c r="E164" s="106">
        <f>Calculations!M204</f>
        <v>0</v>
      </c>
      <c r="F164" s="106"/>
      <c r="G164" s="106">
        <f>Calculations!N204</f>
        <v>0</v>
      </c>
      <c r="I164" s="88"/>
      <c r="J164" s="88"/>
      <c r="K164" s="88"/>
    </row>
    <row r="165" spans="1:11">
      <c r="A165" s="164" t="str">
        <f>Calculations!K205</f>
        <v>Builder's Risk Insurance</v>
      </c>
      <c r="B165" s="106">
        <f>Calculations!L205</f>
        <v>0</v>
      </c>
      <c r="E165" s="106">
        <f>Calculations!M205</f>
        <v>0</v>
      </c>
      <c r="F165" s="106"/>
      <c r="G165" s="106">
        <f>Calculations!N205</f>
        <v>0</v>
      </c>
      <c r="I165" s="88"/>
      <c r="J165" s="88"/>
      <c r="K165" s="88"/>
    </row>
    <row r="166" spans="1:11">
      <c r="A166" s="164" t="str">
        <f>Calculations!K206</f>
        <v>Perform. &amp; Pymt Bonds</v>
      </c>
      <c r="B166" s="106">
        <f>Calculations!L206</f>
        <v>0</v>
      </c>
      <c r="E166" s="106">
        <f>Calculations!M206</f>
        <v>0</v>
      </c>
      <c r="F166" s="106"/>
      <c r="G166" s="106">
        <f>Calculations!N206</f>
        <v>0</v>
      </c>
      <c r="I166" s="88"/>
      <c r="J166" s="88"/>
      <c r="K166" s="88"/>
    </row>
    <row r="167" spans="1:11">
      <c r="A167" s="164" t="str">
        <f>Calculations!K207</f>
        <v>Credit Report</v>
      </c>
      <c r="B167" s="106">
        <f>Calculations!L207</f>
        <v>0</v>
      </c>
      <c r="E167" s="106">
        <f>Calculations!M207</f>
        <v>0</v>
      </c>
      <c r="F167" s="106"/>
      <c r="G167" s="106">
        <f>Calculations!N207</f>
        <v>0</v>
      </c>
      <c r="I167" s="88"/>
      <c r="J167" s="88"/>
      <c r="K167" s="88"/>
    </row>
    <row r="168" spans="1:11">
      <c r="A168" s="164" t="str">
        <f>Calculations!K208</f>
        <v>Construction Interest</v>
      </c>
      <c r="B168" s="106">
        <f>Calculations!L208</f>
        <v>0</v>
      </c>
      <c r="E168" s="106">
        <f>Calculations!M208</f>
        <v>0</v>
      </c>
      <c r="F168" s="106"/>
      <c r="G168" s="106">
        <f>Calculations!N208</f>
        <v>0</v>
      </c>
      <c r="I168" s="88"/>
      <c r="J168" s="88"/>
      <c r="K168" s="88"/>
    </row>
    <row r="169" spans="1:11">
      <c r="A169" s="164" t="str">
        <f>Calculations!K209</f>
        <v>Constr. Origination Fees</v>
      </c>
      <c r="B169" s="106">
        <f>Calculations!L209</f>
        <v>0</v>
      </c>
      <c r="E169" s="106">
        <f>Calculations!M209</f>
        <v>0</v>
      </c>
      <c r="F169" s="106"/>
      <c r="G169" s="106">
        <f>Calculations!N209</f>
        <v>0</v>
      </c>
      <c r="I169" s="88"/>
      <c r="J169" s="88"/>
      <c r="K169" s="88"/>
    </row>
    <row r="170" spans="1:11">
      <c r="A170" s="164" t="str">
        <f>Calculations!K210</f>
        <v>Tap Fees (Water/Sewer)</v>
      </c>
      <c r="B170" s="106">
        <f>Calculations!L210</f>
        <v>0</v>
      </c>
      <c r="E170" s="106">
        <f>Calculations!M210</f>
        <v>0</v>
      </c>
      <c r="F170" s="106"/>
      <c r="G170" s="106">
        <f>Calculations!N210</f>
        <v>0</v>
      </c>
      <c r="I170" s="88"/>
      <c r="J170" s="88"/>
      <c r="K170" s="88"/>
    </row>
    <row r="171" spans="1:11">
      <c r="A171" s="164" t="str">
        <f>Calculations!K211</f>
        <v>Bond Cost of Issuance</v>
      </c>
      <c r="B171" s="106">
        <f>Calculations!L211</f>
        <v>0</v>
      </c>
      <c r="E171" s="106">
        <f>Calculations!M211</f>
        <v>0</v>
      </c>
      <c r="F171" s="106"/>
      <c r="G171" s="106">
        <f>Calculations!N211</f>
        <v>0</v>
      </c>
      <c r="I171" s="88"/>
      <c r="J171" s="88"/>
      <c r="K171" s="88"/>
    </row>
    <row r="172" spans="1:11">
      <c r="A172" s="164" t="str">
        <f>Calculations!K212</f>
        <v>Impact Fees</v>
      </c>
      <c r="B172" s="106">
        <f>Calculations!L212</f>
        <v>0</v>
      </c>
      <c r="E172" s="106">
        <f>Calculations!M212</f>
        <v>0</v>
      </c>
      <c r="F172" s="106"/>
      <c r="G172" s="106">
        <f>Calculations!N212</f>
        <v>0</v>
      </c>
      <c r="I172" s="88"/>
      <c r="J172" s="88"/>
      <c r="K172" s="88"/>
    </row>
    <row r="173" spans="1:11">
      <c r="A173" s="164" t="str">
        <f>Calculations!K213</f>
        <v>Title &amp; Recording</v>
      </c>
      <c r="B173" s="106">
        <f>Calculations!L213</f>
        <v>0</v>
      </c>
      <c r="E173" s="106">
        <f>Calculations!M213</f>
        <v>0</v>
      </c>
      <c r="F173" s="106"/>
      <c r="G173" s="106">
        <f>Calculations!N213</f>
        <v>0</v>
      </c>
      <c r="I173" s="88"/>
      <c r="J173" s="88"/>
      <c r="K173" s="88"/>
    </row>
    <row r="174" spans="1:11">
      <c r="A174" s="164" t="str">
        <f>Calculations!K214</f>
        <v>Legal Fees</v>
      </c>
      <c r="B174" s="106">
        <f>Calculations!L214</f>
        <v>0</v>
      </c>
      <c r="E174" s="106">
        <f>Calculations!M214</f>
        <v>0</v>
      </c>
      <c r="F174" s="106"/>
      <c r="G174" s="106">
        <f>Calculations!N214</f>
        <v>0</v>
      </c>
      <c r="I174" s="88"/>
      <c r="J174" s="88"/>
      <c r="K174" s="88"/>
    </row>
    <row r="175" spans="1:11">
      <c r="A175" s="164" t="str">
        <f>Calculations!K215</f>
        <v>Prop. Taxes during const</v>
      </c>
      <c r="B175" s="106">
        <f>Calculations!L215</f>
        <v>0</v>
      </c>
      <c r="E175" s="106">
        <f>Calculations!M215</f>
        <v>0</v>
      </c>
      <c r="F175" s="106"/>
      <c r="G175" s="106">
        <f>Calculations!N215</f>
        <v>0</v>
      </c>
      <c r="I175" s="88"/>
      <c r="J175" s="88"/>
      <c r="K175" s="88"/>
    </row>
    <row r="176" spans="1:11">
      <c r="A176" s="164" t="str">
        <f>Calculations!K216</f>
        <v>Other (Specify)</v>
      </c>
      <c r="B176" s="106">
        <f>Calculations!L216</f>
        <v>0</v>
      </c>
      <c r="E176" s="106">
        <f>Calculations!M216</f>
        <v>0</v>
      </c>
      <c r="F176" s="106"/>
      <c r="G176" s="106">
        <f>Calculations!N216</f>
        <v>0</v>
      </c>
      <c r="I176" s="88"/>
      <c r="J176" s="88"/>
      <c r="K176" s="88"/>
    </row>
    <row r="177" spans="1:11">
      <c r="A177" s="164" t="str">
        <f>Calculations!K217</f>
        <v>Other (Specify)</v>
      </c>
      <c r="B177" s="106">
        <f>Calculations!L217</f>
        <v>0</v>
      </c>
      <c r="E177" s="106">
        <f>Calculations!M217</f>
        <v>0</v>
      </c>
      <c r="F177" s="106"/>
      <c r="G177" s="106">
        <f>Calculations!N217</f>
        <v>0</v>
      </c>
      <c r="I177" s="88"/>
      <c r="J177" s="88"/>
      <c r="K177" s="88"/>
    </row>
    <row r="178" spans="1:11">
      <c r="A178" s="164" t="str">
        <f>Calculations!K218</f>
        <v>Other (Specify)</v>
      </c>
      <c r="B178" s="193">
        <f>Calculations!L218</f>
        <v>0</v>
      </c>
      <c r="E178" s="193">
        <f>Calculations!M218</f>
        <v>0</v>
      </c>
      <c r="F178" s="193"/>
      <c r="G178" s="193">
        <f>Calculations!N218</f>
        <v>0</v>
      </c>
      <c r="I178" s="88"/>
      <c r="J178" s="88"/>
      <c r="K178" s="88"/>
    </row>
    <row r="179" spans="1:11">
      <c r="A179" s="164"/>
      <c r="B179" s="105">
        <f>Calculations!L219</f>
        <v>0</v>
      </c>
      <c r="E179" s="132">
        <f>Calculations!M219</f>
        <v>0</v>
      </c>
      <c r="F179" s="132"/>
      <c r="G179" s="132">
        <f>Calculations!N219</f>
        <v>0</v>
      </c>
      <c r="I179" s="88"/>
      <c r="J179" s="88"/>
      <c r="K179" s="88"/>
    </row>
    <row r="180" spans="1:11">
      <c r="A180" s="192" t="str">
        <f>Calculations!K220</f>
        <v>Permanent Financing</v>
      </c>
      <c r="B180" s="135"/>
      <c r="E180" s="135"/>
      <c r="F180" s="135"/>
      <c r="G180" s="135"/>
      <c r="I180" s="88"/>
      <c r="J180" s="88"/>
      <c r="K180" s="88"/>
    </row>
    <row r="181" spans="1:11">
      <c r="A181" s="164" t="str">
        <f>Calculations!K221</f>
        <v>Bond Premium</v>
      </c>
      <c r="B181" s="106">
        <f>Calculations!L221</f>
        <v>0</v>
      </c>
      <c r="E181" s="106">
        <f>Calculations!M221</f>
        <v>0</v>
      </c>
      <c r="F181" s="106"/>
      <c r="G181" s="106">
        <f>Calculations!N221</f>
        <v>0</v>
      </c>
      <c r="I181" s="88"/>
      <c r="J181" s="88"/>
      <c r="K181" s="88"/>
    </row>
    <row r="182" spans="1:11">
      <c r="A182" s="164" t="str">
        <f>Calculations!K222</f>
        <v>Bond Issue 30-day lag reserve</v>
      </c>
      <c r="B182" s="106">
        <f>Calculations!L222</f>
        <v>0</v>
      </c>
      <c r="E182" s="106">
        <f>Calculations!M222</f>
        <v>0</v>
      </c>
      <c r="F182" s="106"/>
      <c r="G182" s="106">
        <f>Calculations!N222</f>
        <v>0</v>
      </c>
      <c r="I182" s="88"/>
      <c r="J182" s="88"/>
      <c r="K182" s="88"/>
    </row>
    <row r="183" spans="1:11">
      <c r="A183" s="164" t="str">
        <f>Calculations!K223</f>
        <v>Discount Points</v>
      </c>
      <c r="B183" s="106">
        <f>Calculations!L223</f>
        <v>0</v>
      </c>
      <c r="E183" s="106">
        <f>Calculations!M223</f>
        <v>0</v>
      </c>
      <c r="F183" s="106"/>
      <c r="G183" s="106">
        <f>Calculations!N223</f>
        <v>0</v>
      </c>
      <c r="I183" s="88"/>
      <c r="J183" s="88"/>
      <c r="K183" s="88"/>
    </row>
    <row r="184" spans="1:11">
      <c r="A184" s="164" t="str">
        <f>Calculations!K224</f>
        <v>Perm Loan Origination</v>
      </c>
      <c r="B184" s="106">
        <f>Calculations!L224</f>
        <v>0</v>
      </c>
      <c r="E184" s="106">
        <f>Calculations!M224</f>
        <v>0</v>
      </c>
      <c r="F184" s="106"/>
      <c r="G184" s="106">
        <f>Calculations!N224</f>
        <v>0</v>
      </c>
      <c r="I184" s="88"/>
      <c r="J184" s="88"/>
      <c r="K184" s="88"/>
    </row>
    <row r="185" spans="1:11">
      <c r="A185" s="164" t="str">
        <f>Calculations!K225</f>
        <v>Credit Enhancement</v>
      </c>
      <c r="B185" s="106">
        <f>Calculations!L225</f>
        <v>0</v>
      </c>
      <c r="E185" s="106">
        <f>Calculations!M225</f>
        <v>0</v>
      </c>
      <c r="F185" s="106"/>
      <c r="G185" s="106">
        <f>Calculations!N225</f>
        <v>0</v>
      </c>
      <c r="I185" s="88"/>
      <c r="J185" s="88"/>
      <c r="K185" s="88"/>
    </row>
    <row r="186" spans="1:11">
      <c r="A186" s="164" t="str">
        <f>Calculations!K226</f>
        <v>Title &amp; Recording</v>
      </c>
      <c r="B186" s="106">
        <f>Calculations!L226</f>
        <v>0</v>
      </c>
      <c r="E186" s="106">
        <f>Calculations!M226</f>
        <v>0</v>
      </c>
      <c r="F186" s="106"/>
      <c r="G186" s="106">
        <f>Calculations!N226</f>
        <v>0</v>
      </c>
      <c r="I186" s="88"/>
      <c r="J186" s="88"/>
      <c r="K186" s="88"/>
    </row>
    <row r="187" spans="1:11">
      <c r="A187" s="164" t="str">
        <f>Calculations!K228</f>
        <v>Legal Fees</v>
      </c>
      <c r="B187" s="106">
        <f>Calculations!L228</f>
        <v>0</v>
      </c>
      <c r="E187" s="106">
        <f>Calculations!M228</f>
        <v>0</v>
      </c>
      <c r="F187" s="106"/>
      <c r="G187" s="106">
        <f>Calculations!N228</f>
        <v>0</v>
      </c>
      <c r="I187" s="88"/>
      <c r="J187" s="88"/>
      <c r="K187" s="88"/>
    </row>
    <row r="188" spans="1:11">
      <c r="A188" s="164" t="str">
        <f>Calculations!K229</f>
        <v>Prepaid MIP</v>
      </c>
      <c r="B188" s="106">
        <f>Calculations!L229</f>
        <v>0</v>
      </c>
      <c r="E188" s="106">
        <f>Calculations!M229</f>
        <v>0</v>
      </c>
      <c r="F188" s="106"/>
      <c r="G188" s="106">
        <f>Calculations!N229</f>
        <v>0</v>
      </c>
      <c r="I188" s="88"/>
      <c r="J188" s="88"/>
      <c r="K188" s="88"/>
    </row>
    <row r="189" spans="1:11">
      <c r="A189" s="164" t="str">
        <f>Calculations!K230</f>
        <v>Other (Specify)</v>
      </c>
      <c r="B189" s="106">
        <f>Calculations!L230</f>
        <v>0</v>
      </c>
      <c r="E189" s="106">
        <f>Calculations!M230</f>
        <v>0</v>
      </c>
      <c r="F189" s="106"/>
      <c r="G189" s="106">
        <f>Calculations!N230</f>
        <v>0</v>
      </c>
      <c r="I189" s="88"/>
      <c r="J189" s="88"/>
      <c r="K189" s="88"/>
    </row>
    <row r="190" spans="1:11">
      <c r="A190" s="164" t="str">
        <f>Calculations!K231</f>
        <v>Other (Specify)</v>
      </c>
      <c r="B190" s="106">
        <f>Calculations!L231</f>
        <v>0</v>
      </c>
      <c r="E190" s="106">
        <f>Calculations!M231</f>
        <v>0</v>
      </c>
      <c r="F190" s="106"/>
      <c r="G190" s="106">
        <f>Calculations!N231</f>
        <v>0</v>
      </c>
      <c r="I190" s="88"/>
      <c r="J190" s="88"/>
      <c r="K190" s="88"/>
    </row>
    <row r="191" spans="1:11">
      <c r="A191" s="164" t="str">
        <f>Calculations!K232</f>
        <v>Other (Specify)</v>
      </c>
      <c r="B191" s="193">
        <f>Calculations!L232</f>
        <v>0</v>
      </c>
      <c r="E191" s="193">
        <f>Calculations!M232</f>
        <v>0</v>
      </c>
      <c r="F191" s="193"/>
      <c r="G191" s="193">
        <f>Calculations!N232</f>
        <v>0</v>
      </c>
      <c r="I191" s="88"/>
      <c r="J191" s="88"/>
      <c r="K191" s="88"/>
    </row>
    <row r="192" spans="1:11">
      <c r="A192" s="164"/>
      <c r="B192" s="105">
        <f>Calculations!L233</f>
        <v>0</v>
      </c>
      <c r="E192" s="132">
        <f>Calculations!M233</f>
        <v>0</v>
      </c>
      <c r="F192" s="132"/>
      <c r="G192" s="132">
        <f>Calculations!N233</f>
        <v>0</v>
      </c>
      <c r="I192" s="88"/>
      <c r="J192" s="88"/>
      <c r="K192" s="88"/>
    </row>
    <row r="193" spans="1:11">
      <c r="A193" s="192" t="str">
        <f>Calculations!K234</f>
        <v>Soft Costs</v>
      </c>
      <c r="B193" s="135"/>
      <c r="E193" s="135"/>
      <c r="F193" s="135"/>
      <c r="G193" s="135"/>
      <c r="I193" s="88"/>
      <c r="J193" s="88"/>
      <c r="K193" s="88"/>
    </row>
    <row r="194" spans="1:11">
      <c r="A194" s="164" t="str">
        <f>Calculations!K235</f>
        <v>Feasibility Study</v>
      </c>
      <c r="B194" s="106">
        <f>Calculations!L235</f>
        <v>0</v>
      </c>
      <c r="E194" s="106">
        <f>Calculations!M235</f>
        <v>0</v>
      </c>
      <c r="F194" s="106"/>
      <c r="G194" s="106">
        <f>Calculations!N235</f>
        <v>0</v>
      </c>
      <c r="I194" s="88"/>
      <c r="J194" s="88"/>
      <c r="K194" s="88"/>
    </row>
    <row r="195" spans="1:11">
      <c r="A195" s="164" t="str">
        <f>Calculations!K236</f>
        <v>Market Study</v>
      </c>
      <c r="B195" s="106">
        <f>Calculations!L236</f>
        <v>0</v>
      </c>
      <c r="E195" s="106">
        <f>Calculations!M236</f>
        <v>0</v>
      </c>
      <c r="F195" s="106"/>
      <c r="G195" s="106">
        <f>Calculations!N236</f>
        <v>0</v>
      </c>
      <c r="I195" s="88"/>
      <c r="J195" s="88"/>
      <c r="K195" s="88"/>
    </row>
    <row r="196" spans="1:11">
      <c r="A196" s="164" t="str">
        <f>Calculations!K237</f>
        <v>Environmental Study</v>
      </c>
      <c r="B196" s="106">
        <f>Calculations!L237</f>
        <v>0</v>
      </c>
      <c r="E196" s="106">
        <f>Calculations!M237</f>
        <v>0</v>
      </c>
      <c r="F196" s="106"/>
      <c r="G196" s="106">
        <f>Calculations!N237</f>
        <v>0</v>
      </c>
      <c r="I196" s="88"/>
      <c r="J196" s="88"/>
      <c r="K196" s="88"/>
    </row>
    <row r="197" spans="1:11">
      <c r="A197" s="164" t="str">
        <f>Calculations!K238</f>
        <v>Tax Credit Fees</v>
      </c>
      <c r="B197" s="106">
        <f>Calculations!L238</f>
        <v>0</v>
      </c>
      <c r="E197" s="106">
        <f>Calculations!M238</f>
        <v>0</v>
      </c>
      <c r="F197" s="106"/>
      <c r="G197" s="106">
        <f>Calculations!N238</f>
        <v>0</v>
      </c>
      <c r="I197" s="88"/>
      <c r="J197" s="88"/>
      <c r="K197" s="88"/>
    </row>
    <row r="198" spans="1:11">
      <c r="A198" s="164" t="str">
        <f>Calculations!K239</f>
        <v>Compliance Fees</v>
      </c>
      <c r="B198" s="106">
        <f>Calculations!L239</f>
        <v>0</v>
      </c>
      <c r="E198" s="106">
        <f>Calculations!M239</f>
        <v>0</v>
      </c>
      <c r="F198" s="106"/>
      <c r="G198" s="106">
        <f>Calculations!N239</f>
        <v>0</v>
      </c>
      <c r="I198" s="88"/>
      <c r="J198" s="88"/>
      <c r="K198" s="88"/>
    </row>
    <row r="199" spans="1:11">
      <c r="A199" s="164" t="str">
        <f>Calculations!K240</f>
        <v>Appraisal</v>
      </c>
      <c r="B199" s="106">
        <f>Calculations!L240</f>
        <v>0</v>
      </c>
      <c r="E199" s="106">
        <f>Calculations!M240</f>
        <v>0</v>
      </c>
      <c r="F199" s="106"/>
      <c r="G199" s="106">
        <f>Calculations!N240</f>
        <v>0</v>
      </c>
      <c r="I199" s="88"/>
      <c r="J199" s="88"/>
      <c r="K199" s="88"/>
    </row>
    <row r="200" spans="1:11">
      <c r="A200" s="164" t="str">
        <f>Calculations!K241</f>
        <v>Cost Certification</v>
      </c>
      <c r="B200" s="106">
        <f>Calculations!L241</f>
        <v>0</v>
      </c>
      <c r="E200" s="106">
        <f>Calculations!M241</f>
        <v>0</v>
      </c>
      <c r="F200" s="106"/>
      <c r="G200" s="106">
        <f>Calculations!N241</f>
        <v>0</v>
      </c>
      <c r="I200" s="88"/>
      <c r="J200" s="88"/>
      <c r="K200" s="88"/>
    </row>
    <row r="201" spans="1:11">
      <c r="A201" s="164" t="str">
        <f>Calculations!K242</f>
        <v>Other (Specify)</v>
      </c>
      <c r="B201" s="106">
        <f>Calculations!L242</f>
        <v>0</v>
      </c>
      <c r="E201" s="106">
        <f>Calculations!M242</f>
        <v>0</v>
      </c>
      <c r="F201" s="106"/>
      <c r="G201" s="106">
        <f>Calculations!N242</f>
        <v>0</v>
      </c>
      <c r="I201" s="88"/>
      <c r="J201" s="88"/>
      <c r="K201" s="88"/>
    </row>
    <row r="202" spans="1:11">
      <c r="A202" s="164" t="str">
        <f>Calculations!K243</f>
        <v>Other (Specify)</v>
      </c>
      <c r="B202" s="106">
        <f>Calculations!L243</f>
        <v>0</v>
      </c>
      <c r="E202" s="106">
        <f>Calculations!M243</f>
        <v>0</v>
      </c>
      <c r="F202" s="106"/>
      <c r="G202" s="106">
        <f>Calculations!N243</f>
        <v>0</v>
      </c>
      <c r="I202" s="88"/>
      <c r="J202" s="88"/>
      <c r="K202" s="88"/>
    </row>
    <row r="203" spans="1:11">
      <c r="A203" s="164" t="str">
        <f>Calculations!K244</f>
        <v>Other (Specify)</v>
      </c>
      <c r="B203" s="193">
        <f>Calculations!L244</f>
        <v>0</v>
      </c>
      <c r="E203" s="193">
        <f>Calculations!M244</f>
        <v>0</v>
      </c>
      <c r="F203" s="193"/>
      <c r="G203" s="193">
        <f>Calculations!N244</f>
        <v>0</v>
      </c>
      <c r="I203" s="88"/>
      <c r="J203" s="88"/>
      <c r="K203" s="88"/>
    </row>
    <row r="204" spans="1:11">
      <c r="A204" s="164"/>
      <c r="B204" s="105">
        <f>Calculations!L245</f>
        <v>0</v>
      </c>
      <c r="E204" s="132">
        <f>Calculations!M245</f>
        <v>0</v>
      </c>
      <c r="F204" s="132"/>
      <c r="G204" s="132">
        <f>Calculations!N245</f>
        <v>0</v>
      </c>
      <c r="I204" s="88"/>
      <c r="J204" s="88"/>
      <c r="K204" s="88"/>
    </row>
    <row r="205" spans="1:11">
      <c r="A205" s="192" t="str">
        <f>Calculations!K246</f>
        <v>Syndication Costs</v>
      </c>
      <c r="B205" s="135"/>
      <c r="E205" s="135"/>
      <c r="F205" s="135"/>
      <c r="G205" s="135"/>
      <c r="I205" s="88"/>
      <c r="J205" s="88"/>
      <c r="K205" s="88"/>
    </row>
    <row r="206" spans="1:11">
      <c r="A206" s="164" t="str">
        <f>Calculations!K247</f>
        <v>Organization Costs</v>
      </c>
      <c r="B206" s="106">
        <f>Calculations!L247</f>
        <v>0</v>
      </c>
      <c r="E206" s="106">
        <f>Calculations!M247</f>
        <v>0</v>
      </c>
      <c r="F206" s="106"/>
      <c r="G206" s="106">
        <f>Calculations!N247</f>
        <v>0</v>
      </c>
      <c r="I206" s="88"/>
      <c r="J206" s="88"/>
      <c r="K206" s="88"/>
    </row>
    <row r="207" spans="1:11">
      <c r="A207" s="164" t="str">
        <f>Calculations!K248</f>
        <v>Bridge Loan</v>
      </c>
      <c r="B207" s="106">
        <f>Calculations!L248</f>
        <v>0</v>
      </c>
      <c r="E207" s="106">
        <f>Calculations!M248</f>
        <v>0</v>
      </c>
      <c r="F207" s="106"/>
      <c r="G207" s="106">
        <f>Calculations!N248</f>
        <v>0</v>
      </c>
      <c r="I207" s="88"/>
      <c r="J207" s="88"/>
      <c r="K207" s="88"/>
    </row>
    <row r="208" spans="1:11">
      <c r="A208" s="164" t="str">
        <f>Calculations!K249</f>
        <v>Tax Opinion</v>
      </c>
      <c r="B208" s="106">
        <f>Calculations!L249</f>
        <v>0</v>
      </c>
      <c r="E208" s="106">
        <f>Calculations!M249</f>
        <v>0</v>
      </c>
      <c r="F208" s="106"/>
      <c r="G208" s="106">
        <f>Calculations!N249</f>
        <v>0</v>
      </c>
      <c r="I208" s="88"/>
      <c r="J208" s="88"/>
      <c r="K208" s="88"/>
    </row>
    <row r="209" spans="1:11">
      <c r="A209" s="164" t="str">
        <f>Calculations!K250</f>
        <v>Other (Specify)</v>
      </c>
      <c r="B209" s="106">
        <f>Calculations!L250</f>
        <v>0</v>
      </c>
      <c r="E209" s="106">
        <f>Calculations!M250</f>
        <v>0</v>
      </c>
      <c r="F209" s="106"/>
      <c r="G209" s="106">
        <f>Calculations!N250</f>
        <v>0</v>
      </c>
      <c r="I209" s="88"/>
      <c r="J209" s="88"/>
      <c r="K209" s="88"/>
    </row>
    <row r="210" spans="1:11">
      <c r="A210" s="164" t="str">
        <f>Calculations!K251</f>
        <v>Other (Specify)</v>
      </c>
      <c r="B210" s="106">
        <f>Calculations!L251</f>
        <v>0</v>
      </c>
      <c r="E210" s="106">
        <f>Calculations!M251</f>
        <v>0</v>
      </c>
      <c r="F210" s="106"/>
      <c r="G210" s="106">
        <f>Calculations!N251</f>
        <v>0</v>
      </c>
      <c r="I210" s="88"/>
      <c r="J210" s="88"/>
      <c r="K210" s="88"/>
    </row>
    <row r="211" spans="1:11">
      <c r="A211" s="164" t="str">
        <f>Calculations!K252</f>
        <v>Other - Accounting</v>
      </c>
      <c r="B211" s="193">
        <f>Calculations!L252</f>
        <v>0</v>
      </c>
      <c r="E211" s="193">
        <f>Calculations!M252</f>
        <v>0</v>
      </c>
      <c r="F211" s="193"/>
      <c r="G211" s="193">
        <f>Calculations!N252</f>
        <v>0</v>
      </c>
      <c r="I211" s="88"/>
      <c r="J211" s="88"/>
      <c r="K211" s="88"/>
    </row>
    <row r="212" spans="1:11">
      <c r="A212" s="164"/>
      <c r="B212" s="105">
        <f>Calculations!L253</f>
        <v>0</v>
      </c>
      <c r="E212" s="132">
        <f>Calculations!M253</f>
        <v>0</v>
      </c>
      <c r="F212" s="132"/>
      <c r="G212" s="132">
        <f>Calculations!N253</f>
        <v>0</v>
      </c>
      <c r="I212" s="88"/>
      <c r="J212" s="88"/>
      <c r="K212" s="88"/>
    </row>
    <row r="213" spans="1:11">
      <c r="A213" s="192" t="str">
        <f>Calculations!K254</f>
        <v>Developer Fees</v>
      </c>
      <c r="B213" s="135"/>
      <c r="E213" s="135"/>
      <c r="F213" s="135"/>
      <c r="G213" s="135"/>
      <c r="I213" s="88"/>
      <c r="J213" s="88"/>
      <c r="K213" s="88"/>
    </row>
    <row r="214" spans="1:11">
      <c r="A214" s="164" t="str">
        <f>Calculations!K255</f>
        <v>Developer Fee</v>
      </c>
      <c r="B214" s="106">
        <f>Calculations!L255</f>
        <v>0</v>
      </c>
      <c r="E214" s="106">
        <f>Calculations!M255</f>
        <v>0</v>
      </c>
      <c r="F214" s="106"/>
      <c r="G214" s="106">
        <f>Calculations!N255</f>
        <v>0</v>
      </c>
      <c r="I214" s="88"/>
      <c r="J214" s="88"/>
      <c r="K214" s="88"/>
    </row>
    <row r="215" spans="1:11">
      <c r="A215" s="164" t="str">
        <f>Calculations!K256</f>
        <v>Developer Overhead</v>
      </c>
      <c r="B215" s="106">
        <f>Calculations!L256</f>
        <v>0</v>
      </c>
      <c r="E215" s="106">
        <f>Calculations!M256</f>
        <v>0</v>
      </c>
      <c r="F215" s="106"/>
      <c r="G215" s="106">
        <f>Calculations!N256</f>
        <v>0</v>
      </c>
      <c r="I215" s="88"/>
      <c r="J215" s="88"/>
      <c r="K215" s="88"/>
    </row>
    <row r="216" spans="1:11">
      <c r="A216" s="164" t="str">
        <f>Calculations!K257</f>
        <v>Developer Profit</v>
      </c>
      <c r="B216" s="106">
        <f>Calculations!L257</f>
        <v>0</v>
      </c>
      <c r="E216" s="106">
        <f>Calculations!M257</f>
        <v>0</v>
      </c>
      <c r="F216" s="106"/>
      <c r="G216" s="106">
        <f>Calculations!N257</f>
        <v>0</v>
      </c>
      <c r="I216" s="88"/>
      <c r="J216" s="88"/>
      <c r="K216" s="88"/>
    </row>
    <row r="217" spans="1:11">
      <c r="A217" s="164" t="str">
        <f>Calculations!K258</f>
        <v>Other (Specify)</v>
      </c>
      <c r="B217" s="193">
        <f>Calculations!L258</f>
        <v>0</v>
      </c>
      <c r="E217" s="193">
        <f>Calculations!M258</f>
        <v>0</v>
      </c>
      <c r="F217" s="193"/>
      <c r="G217" s="193">
        <f>Calculations!N258</f>
        <v>0</v>
      </c>
      <c r="I217" s="88"/>
      <c r="J217" s="88"/>
      <c r="K217" s="88"/>
    </row>
    <row r="218" spans="1:11">
      <c r="A218" s="164"/>
      <c r="B218" s="105">
        <f>Calculations!L259</f>
        <v>0</v>
      </c>
      <c r="E218" s="132">
        <f>Calculations!M259</f>
        <v>0</v>
      </c>
      <c r="F218" s="132"/>
      <c r="G218" s="132">
        <f>Calculations!N259</f>
        <v>0</v>
      </c>
      <c r="I218" s="88"/>
      <c r="J218" s="88"/>
      <c r="K218" s="88"/>
    </row>
    <row r="219" spans="1:11">
      <c r="A219" s="192" t="str">
        <f>Calculations!K260</f>
        <v>Project Reserves</v>
      </c>
      <c r="B219" s="135"/>
      <c r="E219" s="135"/>
      <c r="F219" s="135"/>
      <c r="G219" s="135"/>
      <c r="I219" s="88"/>
      <c r="J219" s="88"/>
      <c r="K219" s="88"/>
    </row>
    <row r="220" spans="1:11">
      <c r="A220" s="164" t="str">
        <f>Calculations!K261</f>
        <v>Rent-up Reserves</v>
      </c>
      <c r="B220" s="106">
        <f>Calculations!L261</f>
        <v>0</v>
      </c>
      <c r="E220" s="106">
        <f>Calculations!M261</f>
        <v>0</v>
      </c>
      <c r="F220" s="106"/>
      <c r="G220" s="106">
        <f>Calculations!N261</f>
        <v>0</v>
      </c>
      <c r="I220" s="88"/>
      <c r="J220" s="88"/>
      <c r="K220" s="88"/>
    </row>
    <row r="221" spans="1:11">
      <c r="A221" s="164" t="str">
        <f>Calculations!K262</f>
        <v>Operating Reserves</v>
      </c>
      <c r="B221" s="106">
        <f>Calculations!L262</f>
        <v>0</v>
      </c>
      <c r="E221" s="106">
        <f>Calculations!M262</f>
        <v>0</v>
      </c>
      <c r="F221" s="106"/>
      <c r="G221" s="106">
        <f>Calculations!N262</f>
        <v>0</v>
      </c>
      <c r="I221" s="88"/>
      <c r="J221" s="88"/>
      <c r="K221" s="88"/>
    </row>
    <row r="222" spans="1:11">
      <c r="A222" s="164" t="str">
        <f>Calculations!K263</f>
        <v>Replacement Reserves</v>
      </c>
      <c r="B222" s="106">
        <f>Calculations!L263</f>
        <v>0</v>
      </c>
      <c r="E222" s="106">
        <f>Calculations!M263</f>
        <v>0</v>
      </c>
      <c r="F222" s="106"/>
      <c r="G222" s="106">
        <f>Calculations!N263</f>
        <v>0</v>
      </c>
      <c r="I222" s="88"/>
      <c r="J222" s="88"/>
      <c r="K222" s="88"/>
    </row>
    <row r="223" spans="1:11">
      <c r="A223" s="164" t="str">
        <f>Calculations!K264</f>
        <v>Escrows</v>
      </c>
      <c r="B223" s="106">
        <f>Calculations!L264</f>
        <v>0</v>
      </c>
      <c r="E223" s="106">
        <f>Calculations!M264</f>
        <v>0</v>
      </c>
      <c r="F223" s="106"/>
      <c r="G223" s="106">
        <f>Calculations!N264</f>
        <v>0</v>
      </c>
      <c r="I223" s="88"/>
      <c r="J223" s="88"/>
      <c r="K223" s="88"/>
    </row>
    <row r="224" spans="1:11">
      <c r="A224" s="164" t="str">
        <f>Calculations!K265</f>
        <v>Other (Specify)</v>
      </c>
      <c r="B224" s="193">
        <f>Calculations!L265</f>
        <v>0</v>
      </c>
      <c r="E224" s="193">
        <f>Calculations!M265</f>
        <v>0</v>
      </c>
      <c r="F224" s="193"/>
      <c r="G224" s="193">
        <f>Calculations!N265</f>
        <v>0</v>
      </c>
      <c r="I224" s="88"/>
      <c r="J224" s="88"/>
      <c r="K224" s="88"/>
    </row>
    <row r="225" spans="1:11" ht="15" thickBot="1">
      <c r="A225" s="192"/>
      <c r="B225" s="105">
        <f>Calculations!L266</f>
        <v>0</v>
      </c>
      <c r="E225" s="132">
        <f>Calculations!M266</f>
        <v>0</v>
      </c>
      <c r="F225" s="132"/>
      <c r="G225" s="132">
        <f>Calculations!N266</f>
        <v>0</v>
      </c>
      <c r="I225" s="88"/>
      <c r="J225" s="88"/>
      <c r="K225" s="88"/>
    </row>
    <row r="226" spans="1:11" ht="15" thickTop="1">
      <c r="A226" s="68" t="s">
        <v>1018</v>
      </c>
      <c r="B226" s="198">
        <f>Calculations!L267</f>
        <v>0</v>
      </c>
      <c r="E226" s="198">
        <f>Calculations!M267</f>
        <v>0</v>
      </c>
      <c r="F226" s="198"/>
      <c r="G226" s="198">
        <f>Calculations!N267</f>
        <v>0</v>
      </c>
      <c r="I226" s="88"/>
      <c r="J226" s="88"/>
      <c r="K226" s="88"/>
    </row>
  </sheetData>
  <sheetProtection algorithmName="SHA-512" hashValue="uBqRoTeGRj2pD76x7jYHo184Ph3/cXZ7GEp7XhmQY3OO+Q/n9NqAfNP3aoejT/03a9cjPJrm8GPU9i0PDqQdZg==" saltValue="9xt+HfnCBi/+Y8/5Lw0rPQ==" spinCount="100000" sheet="1" objects="1" scenarios="1"/>
  <mergeCells count="5">
    <mergeCell ref="A129:I129"/>
    <mergeCell ref="J125:K125"/>
    <mergeCell ref="J122:K124"/>
    <mergeCell ref="H127:I127"/>
    <mergeCell ref="A1:I1"/>
  </mergeCells>
  <printOptions horizontalCentered="1"/>
  <pageMargins left="0.25" right="0.25" top="0.75" bottom="0.75" header="0.3" footer="0.3"/>
  <pageSetup scale="81" orientation="landscape" r:id="rId1"/>
  <rowBreaks count="6" manualBreakCount="6">
    <brk id="29" max="8" man="1"/>
    <brk id="64" max="8" man="1"/>
    <brk id="99" max="8" man="1"/>
    <brk id="128" max="8" man="1"/>
    <brk id="162" max="8" man="1"/>
    <brk id="192" max="8"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BF1E6-B7AB-4FAC-9487-66177460F6EA}">
  <sheetPr>
    <tabColor rgb="FF66FFFF"/>
    <pageSetUpPr fitToPage="1"/>
  </sheetPr>
  <dimension ref="A1:P296"/>
  <sheetViews>
    <sheetView showGridLines="0" zoomScaleNormal="100" workbookViewId="0">
      <selection activeCell="B1" sqref="B1"/>
    </sheetView>
  </sheetViews>
  <sheetFormatPr defaultColWidth="9" defaultRowHeight="15.6" outlineLevelCol="1"/>
  <cols>
    <col min="1" max="1" width="1.109375" style="668" customWidth="1" outlineLevel="1"/>
    <col min="2" max="2" width="64.6640625" customWidth="1" outlineLevel="1"/>
    <col min="3" max="3" width="41.6640625" customWidth="1" outlineLevel="1"/>
    <col min="4" max="4" width="13.33203125" customWidth="1" outlineLevel="1"/>
    <col min="5" max="5" width="14.5546875" customWidth="1" outlineLevel="1"/>
    <col min="6" max="6" width="1.109375" customWidth="1" outlineLevel="1"/>
    <col min="7" max="7" width="1.6640625" style="670" customWidth="1" outlineLevel="1"/>
    <col min="8" max="8" width="1.109375" style="668" customWidth="1"/>
    <col min="9" max="9" width="37.44140625" customWidth="1" outlineLevel="1"/>
    <col min="10" max="10" width="17.6640625" customWidth="1" outlineLevel="1"/>
    <col min="11" max="11" width="18.6640625" bestFit="1" customWidth="1" outlineLevel="1"/>
    <col min="12" max="12" width="3.109375" customWidth="1" outlineLevel="1"/>
    <col min="13" max="13" width="27.33203125" customWidth="1" outlineLevel="1"/>
    <col min="14" max="14" width="24.6640625" customWidth="1" outlineLevel="1"/>
    <col min="15" max="15" width="1.109375" style="668" customWidth="1" outlineLevel="1"/>
    <col min="16" max="16" width="1.6640625" style="669" customWidth="1" outlineLevel="1"/>
    <col min="17" max="17" width="1.109375" style="668" customWidth="1"/>
    <col min="18" max="20" width="14.5546875" style="668" customWidth="1"/>
    <col min="21" max="16384" width="9" style="668"/>
  </cols>
  <sheetData>
    <row r="1" spans="1:14" ht="22.2">
      <c r="A1" s="548"/>
      <c r="B1" s="787" t="s">
        <v>4194</v>
      </c>
      <c r="C1" s="719"/>
      <c r="D1" s="719"/>
      <c r="F1" s="786"/>
      <c r="G1" s="671"/>
      <c r="H1" s="777"/>
      <c r="L1" s="672"/>
      <c r="M1" s="675"/>
      <c r="N1" s="675"/>
    </row>
    <row r="2" spans="1:14" ht="18">
      <c r="A2" s="548"/>
      <c r="B2" s="701" t="s">
        <v>1019</v>
      </c>
      <c r="C2" s="1108">
        <f>Application!B29</f>
        <v>0</v>
      </c>
      <c r="D2" s="1109"/>
      <c r="E2" s="785"/>
      <c r="F2" s="674"/>
      <c r="G2" s="671"/>
      <c r="H2" s="783"/>
      <c r="L2" s="675"/>
      <c r="M2" s="675"/>
      <c r="N2" s="784"/>
    </row>
    <row r="3" spans="1:14" ht="18">
      <c r="A3" s="548"/>
      <c r="B3" s="701" t="s">
        <v>1020</v>
      </c>
      <c r="C3" s="1108">
        <f>'Contact Information'!B6</f>
        <v>0</v>
      </c>
      <c r="D3" s="1109"/>
      <c r="F3" s="674"/>
      <c r="G3" s="671"/>
      <c r="H3" s="783"/>
      <c r="L3" s="675"/>
      <c r="M3" s="784"/>
      <c r="N3" s="784"/>
    </row>
    <row r="4" spans="1:14" ht="18">
      <c r="A4" s="548"/>
      <c r="B4" s="701" t="s">
        <v>4193</v>
      </c>
      <c r="C4" s="1108">
        <f>Calculations!B14</f>
        <v>0</v>
      </c>
      <c r="D4" s="1109"/>
      <c r="F4" s="674"/>
      <c r="G4" s="671"/>
      <c r="H4" s="783"/>
      <c r="L4" s="675"/>
      <c r="M4" s="675"/>
      <c r="N4" s="675"/>
    </row>
    <row r="5" spans="1:14" ht="18">
      <c r="A5" s="550"/>
      <c r="B5" s="701" t="s">
        <v>4192</v>
      </c>
      <c r="C5" s="779">
        <f>Application!B4</f>
        <v>0</v>
      </c>
      <c r="D5" s="778"/>
      <c r="F5" s="780"/>
      <c r="G5" s="782"/>
      <c r="H5" s="777"/>
      <c r="L5" s="778"/>
      <c r="M5" s="778"/>
      <c r="N5" s="675"/>
    </row>
    <row r="6" spans="1:14" ht="18">
      <c r="A6" s="550"/>
      <c r="B6" s="701"/>
      <c r="C6" s="1116" t="s">
        <v>40</v>
      </c>
      <c r="D6" s="1116"/>
      <c r="E6" s="781"/>
      <c r="F6" s="780"/>
      <c r="G6" s="671"/>
      <c r="H6" s="777"/>
      <c r="I6" s="701"/>
      <c r="J6" s="779"/>
      <c r="K6" s="1117" t="s">
        <v>4191</v>
      </c>
      <c r="L6" s="1109"/>
      <c r="M6" s="1109"/>
      <c r="N6" s="675"/>
    </row>
    <row r="7" spans="1:14" ht="7.5" customHeight="1" thickBot="1">
      <c r="A7"/>
      <c r="D7" s="673"/>
      <c r="E7" s="672"/>
      <c r="F7" s="674"/>
      <c r="H7" s="777"/>
      <c r="I7" s="719"/>
      <c r="J7" s="675"/>
      <c r="K7" s="675"/>
      <c r="L7" s="675"/>
      <c r="M7" s="719"/>
      <c r="N7" s="675"/>
    </row>
    <row r="8" spans="1:14" ht="18.600000000000001" thickTop="1">
      <c r="A8" s="551"/>
      <c r="B8" s="776" t="s">
        <v>40</v>
      </c>
      <c r="C8" s="775" t="s">
        <v>1022</v>
      </c>
      <c r="D8" s="774" t="s">
        <v>1023</v>
      </c>
      <c r="E8" s="773" t="s">
        <v>1024</v>
      </c>
      <c r="F8" s="674"/>
      <c r="H8"/>
      <c r="I8" s="772" t="s">
        <v>377</v>
      </c>
      <c r="J8" s="771" t="s">
        <v>393</v>
      </c>
      <c r="K8" s="770" t="s">
        <v>4190</v>
      </c>
      <c r="L8" s="769"/>
      <c r="M8" s="768" t="s">
        <v>924</v>
      </c>
      <c r="N8" s="767" t="s">
        <v>393</v>
      </c>
    </row>
    <row r="9" spans="1:14" ht="18">
      <c r="A9" s="569"/>
      <c r="B9" s="717" t="s">
        <v>1026</v>
      </c>
      <c r="C9" s="716"/>
      <c r="D9" s="715"/>
      <c r="E9" s="714"/>
      <c r="H9"/>
      <c r="I9" s="757" t="str">
        <f>IF(Financing!B9&gt;0, Financing!A9, "")</f>
        <v/>
      </c>
      <c r="J9" s="759" t="str">
        <f>IF(Financing!B9&gt;0, Financing!B9, "")</f>
        <v/>
      </c>
      <c r="K9" s="763" t="str">
        <f>IF(Financing!B9&gt;0,Financing!F9,"")</f>
        <v/>
      </c>
      <c r="L9" s="675"/>
      <c r="M9" s="757" t="s">
        <v>4189</v>
      </c>
      <c r="N9" s="756">
        <f>Calculations!B172+Calculations!B173</f>
        <v>0</v>
      </c>
    </row>
    <row r="10" spans="1:14" ht="16.2">
      <c r="A10" s="551"/>
      <c r="B10" s="713" t="s">
        <v>1028</v>
      </c>
      <c r="C10" s="712">
        <f>Calculations!B172</f>
        <v>0</v>
      </c>
      <c r="D10" s="766" t="e">
        <f>(C10/$D$106)</f>
        <v>#DIV/0!</v>
      </c>
      <c r="E10" s="710" t="e">
        <f>(C10/$D$105)</f>
        <v>#DIV/0!</v>
      </c>
      <c r="H10"/>
      <c r="I10" s="757" t="str">
        <f>IF(Financing!B10&gt;0, Financing!A10, "")</f>
        <v/>
      </c>
      <c r="J10" s="759" t="str">
        <f>IF(Financing!B10&gt;0, Financing!B10, "")</f>
        <v/>
      </c>
      <c r="K10" s="763" t="str">
        <f>IF(Financing!B10&gt;0,Financing!F10,"")</f>
        <v/>
      </c>
      <c r="L10" s="675"/>
      <c r="M10" s="757" t="s">
        <v>4188</v>
      </c>
      <c r="N10" s="756">
        <f>Calculations!B174+Calculations!B177+Calculations!B178</f>
        <v>0</v>
      </c>
    </row>
    <row r="11" spans="1:14" ht="16.2">
      <c r="A11" s="552"/>
      <c r="B11" s="713" t="s">
        <v>400</v>
      </c>
      <c r="C11" s="712">
        <f>Calculations!B173</f>
        <v>0</v>
      </c>
      <c r="D11" s="711" t="e">
        <f>(C11/$D$106)</f>
        <v>#DIV/0!</v>
      </c>
      <c r="E11" s="710" t="e">
        <f>(C11/$D$105)</f>
        <v>#DIV/0!</v>
      </c>
      <c r="H11"/>
      <c r="I11" s="757" t="str">
        <f>IF(Financing!B11&gt;0, Financing!A11, "")</f>
        <v/>
      </c>
      <c r="J11" s="759" t="str">
        <f>IF(Financing!B11&gt;0, Financing!B11, "")</f>
        <v/>
      </c>
      <c r="K11" s="763" t="str">
        <f>IF(Financing!B11&gt;0,Financing!F11,"")</f>
        <v/>
      </c>
      <c r="L11" s="675"/>
      <c r="M11" s="757" t="s">
        <v>4187</v>
      </c>
      <c r="N11" s="756">
        <f>Calculations!B195</f>
        <v>0</v>
      </c>
    </row>
    <row r="12" spans="1:14" ht="16.2">
      <c r="A12" s="552"/>
      <c r="B12" s="709" t="s">
        <v>1030</v>
      </c>
      <c r="C12" s="708">
        <f>SUM(C10:C11)</f>
        <v>0</v>
      </c>
      <c r="D12" s="707" t="e">
        <f>SUM(D10:D11)</f>
        <v>#DIV/0!</v>
      </c>
      <c r="E12" s="706" t="e">
        <f>SUM(E10:E11)</f>
        <v>#DIV/0!</v>
      </c>
      <c r="H12"/>
      <c r="I12" s="757" t="str">
        <f>IF(Financing!B16&gt;0, Financing!A16, "")</f>
        <v/>
      </c>
      <c r="J12" s="759" t="str">
        <f>IF(Financing!B16&gt;0, Financing!B16, "")</f>
        <v/>
      </c>
      <c r="K12" s="763" t="str">
        <f>IF(Financing!B16&gt;0,Financing!E16,"")</f>
        <v/>
      </c>
      <c r="L12" s="675"/>
      <c r="M12" s="757" t="s">
        <v>417</v>
      </c>
      <c r="N12" s="756">
        <f>Calculations!B211</f>
        <v>0</v>
      </c>
    </row>
    <row r="13" spans="1:14" ht="16.2">
      <c r="A13" s="551"/>
      <c r="B13" s="717" t="s">
        <v>1031</v>
      </c>
      <c r="C13" s="716"/>
      <c r="D13" s="715"/>
      <c r="E13" s="714"/>
      <c r="H13"/>
      <c r="I13" s="757" t="str">
        <f>IF(Financing!B17&gt;0, Financing!A17, "")</f>
        <v/>
      </c>
      <c r="J13" s="759" t="str">
        <f>IF(Financing!B17&gt;0, Financing!B17, "")</f>
        <v/>
      </c>
      <c r="K13" s="763" t="str">
        <f>IF(Financing!B17&gt;0,Financing!E17,"")</f>
        <v/>
      </c>
      <c r="L13" s="675"/>
      <c r="M13" s="757" t="s">
        <v>4186</v>
      </c>
      <c r="N13" s="756">
        <f>C50</f>
        <v>0</v>
      </c>
    </row>
    <row r="14" spans="1:14" ht="16.2">
      <c r="A14" s="551"/>
      <c r="B14" s="713" t="s">
        <v>1032</v>
      </c>
      <c r="C14" s="712">
        <f>Calculations!B177</f>
        <v>0</v>
      </c>
      <c r="D14" s="711" t="e">
        <f>(C14/$D$106)</f>
        <v>#DIV/0!</v>
      </c>
      <c r="E14" s="710" t="e">
        <f>(C14/$D$105)</f>
        <v>#DIV/0!</v>
      </c>
      <c r="H14"/>
      <c r="I14" s="757" t="str">
        <f>IF(Financing!B18&gt;0, Financing!A18, "")</f>
        <v/>
      </c>
      <c r="J14" s="759" t="str">
        <f>IF(Financing!B18&gt;0, Financing!B18, "")</f>
        <v/>
      </c>
      <c r="K14" s="763" t="str">
        <f>IF(Financing!B18&gt;0,Financing!E18,"")</f>
        <v/>
      </c>
      <c r="L14" s="675"/>
      <c r="M14" s="765" t="s">
        <v>4185</v>
      </c>
      <c r="N14" s="756">
        <f>Calculations!B247+Calculations!B274</f>
        <v>0</v>
      </c>
    </row>
    <row r="15" spans="1:14" ht="16.2">
      <c r="A15" s="553"/>
      <c r="B15" s="713" t="s">
        <v>1033</v>
      </c>
      <c r="C15" s="712">
        <f>Calculations!B178</f>
        <v>0</v>
      </c>
      <c r="D15" s="711" t="e">
        <f>(C15/$D$106)</f>
        <v>#DIV/0!</v>
      </c>
      <c r="E15" s="710" t="e">
        <f>(C15/$D$105)</f>
        <v>#DIV/0!</v>
      </c>
      <c r="H15"/>
      <c r="I15" s="757" t="str">
        <f>IF(Financing!B19&gt;0, Financing!A19, "")</f>
        <v/>
      </c>
      <c r="J15" s="759" t="str">
        <f>IF(Financing!B19&gt;0, Financing!B19, "")</f>
        <v/>
      </c>
      <c r="K15" s="763" t="str">
        <f>IF(Financing!B19&gt;0,Financing!E19,"")</f>
        <v/>
      </c>
      <c r="L15" s="675"/>
      <c r="M15" s="757" t="s">
        <v>455</v>
      </c>
      <c r="N15" s="756">
        <f>C79</f>
        <v>0</v>
      </c>
    </row>
    <row r="16" spans="1:14" ht="16.2">
      <c r="A16" s="553"/>
      <c r="B16" s="713" t="s">
        <v>401</v>
      </c>
      <c r="C16" s="712">
        <f>Calculations!B174</f>
        <v>0</v>
      </c>
      <c r="D16" s="711" t="e">
        <f>(C16/$D$106)</f>
        <v>#DIV/0!</v>
      </c>
      <c r="E16" s="710" t="e">
        <f>(C16/$D$105)</f>
        <v>#DIV/0!</v>
      </c>
      <c r="H16"/>
      <c r="I16" s="757" t="str">
        <f>IF(Financing!B20&gt;0, Financing!A20, "")</f>
        <v/>
      </c>
      <c r="J16" s="759" t="str">
        <f>IF(Financing!B20&gt;0, Financing!B20, "")</f>
        <v/>
      </c>
      <c r="K16" s="763" t="str">
        <f>IF(Financing!B20&gt;0,Financing!E20,"")</f>
        <v/>
      </c>
      <c r="L16" s="675"/>
      <c r="M16" s="757" t="s">
        <v>4184</v>
      </c>
      <c r="N16" s="756">
        <f>Calculations!B283</f>
        <v>0</v>
      </c>
    </row>
    <row r="17" spans="1:14" ht="16.2">
      <c r="A17" s="552"/>
      <c r="B17" s="709" t="s">
        <v>1030</v>
      </c>
      <c r="C17" s="764">
        <f>SUM(C14:C16)</f>
        <v>0</v>
      </c>
      <c r="D17" s="707" t="e">
        <f>SUM(D14:D16)</f>
        <v>#DIV/0!</v>
      </c>
      <c r="E17" s="706" t="e">
        <f>SUM(E14:E16)</f>
        <v>#DIV/0!</v>
      </c>
      <c r="H17"/>
      <c r="I17" s="757" t="str">
        <f>IF(Financing!B21&gt;0, Financing!A21, "")</f>
        <v/>
      </c>
      <c r="J17" s="759" t="str">
        <f>IF(Financing!B21&gt;0, Financing!B21, "")</f>
        <v/>
      </c>
      <c r="K17" s="763" t="str">
        <f>IF(Financing!B21&gt;0,Financing!E21,"")</f>
        <v/>
      </c>
      <c r="L17" s="675"/>
      <c r="M17" s="757" t="s">
        <v>4183</v>
      </c>
      <c r="N17" s="756">
        <f>Calculations!B291</f>
        <v>0</v>
      </c>
    </row>
    <row r="18" spans="1:14" ht="16.2">
      <c r="A18" s="551"/>
      <c r="B18" s="717" t="s">
        <v>1034</v>
      </c>
      <c r="C18" s="716"/>
      <c r="D18" s="715"/>
      <c r="E18" s="714"/>
      <c r="H18"/>
      <c r="I18" s="757" t="str">
        <f>IF(Financing!B26&gt;0, Financing!A26, "")</f>
        <v/>
      </c>
      <c r="J18" s="759" t="str">
        <f>IF(Financing!B26&gt;0, Financing!B26, "")</f>
        <v/>
      </c>
      <c r="K18" s="758"/>
      <c r="L18" s="675"/>
      <c r="M18" s="757"/>
      <c r="N18" s="762"/>
    </row>
    <row r="19" spans="1:14" ht="16.2">
      <c r="A19" s="551"/>
      <c r="B19" s="761" t="s">
        <v>1035</v>
      </c>
      <c r="C19" s="712">
        <f>Calculations!B181</f>
        <v>0</v>
      </c>
      <c r="D19" s="711" t="e">
        <f t="shared" ref="D19:D27" si="0">(C19/$D$106)</f>
        <v>#DIV/0!</v>
      </c>
      <c r="E19" s="710" t="e">
        <f t="shared" ref="E19:E27" si="1">(C19/$D$105)</f>
        <v>#DIV/0!</v>
      </c>
      <c r="H19"/>
      <c r="I19" s="757" t="str">
        <f>IF(Financing!B27&gt;0, Financing!A27, "")</f>
        <v/>
      </c>
      <c r="J19" s="759" t="str">
        <f>IF(Financing!B27&gt;0, Financing!B27, "")</f>
        <v/>
      </c>
      <c r="K19" s="758"/>
      <c r="L19" s="675"/>
      <c r="M19" s="757"/>
      <c r="N19" s="756"/>
    </row>
    <row r="20" spans="1:14" ht="16.2">
      <c r="A20" s="553"/>
      <c r="B20" s="761" t="s">
        <v>407</v>
      </c>
      <c r="C20" s="712">
        <f>Calculations!B182</f>
        <v>0</v>
      </c>
      <c r="D20" s="711" t="e">
        <f t="shared" si="0"/>
        <v>#DIV/0!</v>
      </c>
      <c r="E20" s="710" t="e">
        <f t="shared" si="1"/>
        <v>#DIV/0!</v>
      </c>
      <c r="H20"/>
      <c r="I20" s="757" t="str">
        <f>IF(Financing!B28&gt;0, Financing!A28, "")</f>
        <v/>
      </c>
      <c r="J20" s="759" t="str">
        <f>IF(Financing!B28&gt;0, Financing!B28, "")</f>
        <v/>
      </c>
      <c r="K20" s="758"/>
      <c r="L20" s="675"/>
      <c r="M20" s="757"/>
      <c r="N20" s="756"/>
    </row>
    <row r="21" spans="1:14" ht="16.2">
      <c r="A21" s="553"/>
      <c r="B21" s="761" t="s">
        <v>410</v>
      </c>
      <c r="C21" s="712">
        <f>Calculations!B185</f>
        <v>0</v>
      </c>
      <c r="D21" s="711" t="e">
        <f t="shared" si="0"/>
        <v>#DIV/0!</v>
      </c>
      <c r="E21" s="710" t="e">
        <f t="shared" si="1"/>
        <v>#DIV/0!</v>
      </c>
      <c r="H21"/>
      <c r="I21" s="757" t="str">
        <f>IF(Financing!B29&gt;0, Financing!A29, "")</f>
        <v/>
      </c>
      <c r="J21" s="759" t="str">
        <f>IF(Financing!B29&gt;0, Financing!B29, "")</f>
        <v/>
      </c>
      <c r="K21" s="758"/>
      <c r="L21" s="675"/>
      <c r="M21" s="757"/>
      <c r="N21" s="756"/>
    </row>
    <row r="22" spans="1:14" ht="16.2">
      <c r="A22" s="552"/>
      <c r="B22" s="761" t="s">
        <v>1036</v>
      </c>
      <c r="C22" s="1054">
        <f>Calculations!B186+Calculations!B187</f>
        <v>0</v>
      </c>
      <c r="D22" s="711" t="e">
        <f t="shared" si="0"/>
        <v>#DIV/0!</v>
      </c>
      <c r="E22" s="710" t="e">
        <f t="shared" si="1"/>
        <v>#DIV/0!</v>
      </c>
      <c r="H22"/>
      <c r="I22" s="757" t="str">
        <f>IF(Financing!B30&gt;0, Financing!A30, "")</f>
        <v/>
      </c>
      <c r="J22" s="759" t="str">
        <f>IF(Financing!B30&gt;0, Financing!B30, "")</f>
        <v/>
      </c>
      <c r="K22" s="758"/>
      <c r="L22" s="675"/>
      <c r="M22" s="757"/>
      <c r="N22" s="756"/>
    </row>
    <row r="23" spans="1:14" ht="16.2">
      <c r="A23" s="552"/>
      <c r="B23" s="761" t="s">
        <v>413</v>
      </c>
      <c r="C23" s="712">
        <f>Calculations!B188</f>
        <v>0</v>
      </c>
      <c r="D23" s="711" t="e">
        <f t="shared" si="0"/>
        <v>#DIV/0!</v>
      </c>
      <c r="E23" s="710" t="e">
        <f t="shared" si="1"/>
        <v>#DIV/0!</v>
      </c>
      <c r="H23"/>
      <c r="I23" s="757" t="str">
        <f>IF(Financing!B31&gt;0, Financing!A31, "")</f>
        <v/>
      </c>
      <c r="J23" s="759" t="str">
        <f>IF(Financing!B31&gt;0, Financing!B31, "")</f>
        <v/>
      </c>
      <c r="K23" s="758"/>
      <c r="L23" s="675"/>
      <c r="M23" s="757"/>
      <c r="N23" s="756"/>
    </row>
    <row r="24" spans="1:14" ht="16.2">
      <c r="A24" s="552"/>
      <c r="B24" s="761" t="s">
        <v>414</v>
      </c>
      <c r="C24" s="712">
        <f>Calculations!B189</f>
        <v>0</v>
      </c>
      <c r="D24" s="711" t="e">
        <f t="shared" si="0"/>
        <v>#DIV/0!</v>
      </c>
      <c r="E24" s="710" t="e">
        <f t="shared" si="1"/>
        <v>#DIV/0!</v>
      </c>
      <c r="H24"/>
      <c r="I24" s="757" t="str">
        <f>IF(Financing!B32&gt;0, Financing!A32, "")</f>
        <v/>
      </c>
      <c r="J24" s="759" t="str">
        <f>IF(Financing!B32&gt;0, Financing!B32, "")</f>
        <v/>
      </c>
      <c r="K24" s="758"/>
      <c r="L24" s="675"/>
      <c r="M24" s="757"/>
      <c r="N24" s="756"/>
    </row>
    <row r="25" spans="1:14" ht="16.2">
      <c r="A25" s="552"/>
      <c r="B25" s="761" t="s">
        <v>1037</v>
      </c>
      <c r="C25" s="712">
        <f>Calculations!B190</f>
        <v>0</v>
      </c>
      <c r="D25" s="711" t="e">
        <f t="shared" si="0"/>
        <v>#DIV/0!</v>
      </c>
      <c r="E25" s="710" t="e">
        <f t="shared" si="1"/>
        <v>#DIV/0!</v>
      </c>
      <c r="H25"/>
      <c r="I25" s="757" t="str">
        <f>IF(Financing!B33&gt;0, Financing!A33, "")</f>
        <v/>
      </c>
      <c r="J25" s="759" t="str">
        <f>IF(Financing!B33&gt;0, Financing!B33, "")</f>
        <v/>
      </c>
      <c r="K25" s="758"/>
      <c r="L25" s="675"/>
      <c r="M25" s="757"/>
      <c r="N25" s="756"/>
    </row>
    <row r="26" spans="1:14" ht="16.2">
      <c r="A26" s="552"/>
      <c r="B26" s="713" t="s">
        <v>1038</v>
      </c>
      <c r="C26" s="712">
        <f>Calculations!B191</f>
        <v>0</v>
      </c>
      <c r="D26" s="711" t="e">
        <f t="shared" si="0"/>
        <v>#DIV/0!</v>
      </c>
      <c r="E26" s="710" t="e">
        <f t="shared" si="1"/>
        <v>#DIV/0!</v>
      </c>
      <c r="H26"/>
      <c r="I26" s="757" t="str">
        <f>IF(Financing!B38&gt;0, Financing!A38, "")</f>
        <v/>
      </c>
      <c r="J26" s="759" t="str">
        <f>IF(Financing!B38&gt;0, Financing!B38, "")</f>
        <v/>
      </c>
      <c r="K26" s="758"/>
      <c r="L26" s="675"/>
      <c r="M26" s="757"/>
      <c r="N26" s="756"/>
    </row>
    <row r="27" spans="1:14" ht="16.2">
      <c r="A27" s="553"/>
      <c r="B27" s="713" t="s">
        <v>1039</v>
      </c>
      <c r="C27" s="712">
        <f>Calculations!B183+Calculations!B184+Calculations!B192+Calculations!B193+Calculations!B194</f>
        <v>0</v>
      </c>
      <c r="D27" s="711" t="e">
        <f t="shared" si="0"/>
        <v>#DIV/0!</v>
      </c>
      <c r="E27" s="710" t="e">
        <f t="shared" si="1"/>
        <v>#DIV/0!</v>
      </c>
      <c r="H27"/>
      <c r="I27" s="757" t="str">
        <f>IF(Financing!B39&gt;0, Financing!A39, "")</f>
        <v/>
      </c>
      <c r="J27" s="759" t="str">
        <f>IF(Financing!B39&gt;0, Financing!B39, "")</f>
        <v/>
      </c>
      <c r="K27" s="758"/>
      <c r="L27" s="675"/>
      <c r="M27" s="757"/>
      <c r="N27" s="756"/>
    </row>
    <row r="28" spans="1:14" ht="16.2">
      <c r="A28" s="552"/>
      <c r="B28" s="709" t="s">
        <v>1030</v>
      </c>
      <c r="C28" s="708">
        <f>SUM(C19:C27)</f>
        <v>0</v>
      </c>
      <c r="D28" s="707" t="e">
        <f>SUM(D19:D27)</f>
        <v>#DIV/0!</v>
      </c>
      <c r="E28" s="706" t="e">
        <f>SUM(E19:E27)</f>
        <v>#DIV/0!</v>
      </c>
      <c r="H28"/>
      <c r="I28" s="757" t="str">
        <f>IF(Financing!B40&gt;0, Financing!A40, "")</f>
        <v/>
      </c>
      <c r="J28" s="759" t="str">
        <f>IF(Financing!B40&gt;0, Financing!B40, "")</f>
        <v/>
      </c>
      <c r="K28" s="758"/>
      <c r="L28" s="675"/>
      <c r="M28" s="757"/>
      <c r="N28" s="756"/>
    </row>
    <row r="29" spans="1:14" ht="16.2">
      <c r="A29" s="551"/>
      <c r="B29" s="717" t="s">
        <v>1040</v>
      </c>
      <c r="C29" s="716"/>
      <c r="D29" s="715"/>
      <c r="E29" s="714"/>
      <c r="H29"/>
      <c r="I29" s="757" t="s">
        <v>4182</v>
      </c>
      <c r="J29" s="759">
        <f>IF(Calculations!B6,Calculations!B621,0)</f>
        <v>0</v>
      </c>
      <c r="K29" s="758" t="str">
        <f>IF(Calculations!B6=TRUE, Calculations!B618, " ")</f>
        <v xml:space="preserve"> </v>
      </c>
      <c r="L29" s="675"/>
      <c r="M29" s="757"/>
      <c r="N29" s="756"/>
    </row>
    <row r="30" spans="1:14" ht="16.2">
      <c r="A30" s="551"/>
      <c r="B30" s="713" t="s">
        <v>1041</v>
      </c>
      <c r="C30" s="1054">
        <f>Calculations!B197+Calculations!B199</f>
        <v>0</v>
      </c>
      <c r="D30" s="711" t="e">
        <f t="shared" ref="D30:D37" si="2">(C30/$D$106)</f>
        <v>#DIV/0!</v>
      </c>
      <c r="E30" s="710" t="e">
        <f t="shared" ref="E30:E37" si="3">(C30/$D$105)</f>
        <v>#DIV/0!</v>
      </c>
      <c r="H30"/>
      <c r="I30" s="757" t="s">
        <v>4181</v>
      </c>
      <c r="J30" s="759">
        <f>IF(Calculations!B5,Calculations!B621,0)</f>
        <v>0</v>
      </c>
      <c r="K30" s="760" t="str">
        <f>IF(Calculations!B5=TRUE, Calculations!B618, " ")</f>
        <v xml:space="preserve"> </v>
      </c>
      <c r="L30" s="675"/>
      <c r="M30" s="757"/>
      <c r="N30" s="756"/>
    </row>
    <row r="31" spans="1:14" ht="16.2">
      <c r="A31" s="552"/>
      <c r="B31" s="713" t="s">
        <v>1042</v>
      </c>
      <c r="C31" s="712">
        <f>Calculations!B200+Calculations!B201+Calculations!B202</f>
        <v>0</v>
      </c>
      <c r="D31" s="711" t="e">
        <f t="shared" si="2"/>
        <v>#DIV/0!</v>
      </c>
      <c r="E31" s="710" t="e">
        <f t="shared" si="3"/>
        <v>#DIV/0!</v>
      </c>
      <c r="H31"/>
      <c r="I31" s="757" t="s">
        <v>4437</v>
      </c>
      <c r="J31" s="759">
        <f>IF(Calculations!B10,Calculations!B631,0)</f>
        <v>0</v>
      </c>
      <c r="K31" s="760" t="str">
        <f>IF(Calculations!B10=TRUE, Calculations!B629,"")</f>
        <v/>
      </c>
      <c r="L31" s="675"/>
      <c r="M31" s="757"/>
      <c r="N31" s="756"/>
    </row>
    <row r="32" spans="1:14" ht="16.2">
      <c r="A32" s="552"/>
      <c r="B32" s="713" t="s">
        <v>1043</v>
      </c>
      <c r="C32" s="712">
        <f>Calculations!B204</f>
        <v>0</v>
      </c>
      <c r="D32" s="711" t="e">
        <f t="shared" si="2"/>
        <v>#DIV/0!</v>
      </c>
      <c r="E32" s="710" t="e">
        <f t="shared" si="3"/>
        <v>#DIV/0!</v>
      </c>
      <c r="H32"/>
      <c r="I32" s="757" t="s">
        <v>4082</v>
      </c>
      <c r="J32" s="759">
        <f>IF(Calculations!B12,Calculations!C631,0)</f>
        <v>0</v>
      </c>
      <c r="K32" s="760" t="str">
        <f>IF(Calculations!B12=TRUE, Calculations!C629,"")</f>
        <v/>
      </c>
      <c r="L32" s="675"/>
      <c r="M32" s="757"/>
      <c r="N32" s="756"/>
    </row>
    <row r="33" spans="1:16" ht="18" customHeight="1">
      <c r="A33" s="552"/>
      <c r="B33" s="713" t="s">
        <v>1044</v>
      </c>
      <c r="C33" s="712">
        <f>Calculations!B203</f>
        <v>0</v>
      </c>
      <c r="D33" s="711" t="e">
        <f t="shared" si="2"/>
        <v>#DIV/0!</v>
      </c>
      <c r="E33" s="710" t="e">
        <f t="shared" si="3"/>
        <v>#DIV/0!</v>
      </c>
      <c r="H33"/>
      <c r="I33" s="757" t="s">
        <v>1096</v>
      </c>
      <c r="J33" s="759">
        <f>Application!B85+Application!B87</f>
        <v>0</v>
      </c>
      <c r="K33" s="758"/>
      <c r="L33" s="675"/>
      <c r="M33" s="757"/>
      <c r="N33" s="756"/>
    </row>
    <row r="34" spans="1:16" ht="18" customHeight="1">
      <c r="A34" s="552"/>
      <c r="B34" s="713" t="s">
        <v>1045</v>
      </c>
      <c r="C34" s="712">
        <f>Calculations!B205+Calculations!B206</f>
        <v>0</v>
      </c>
      <c r="D34" s="711" t="e">
        <f t="shared" si="2"/>
        <v>#DIV/0!</v>
      </c>
      <c r="E34" s="710" t="e">
        <f t="shared" si="3"/>
        <v>#DIV/0!</v>
      </c>
      <c r="H34"/>
      <c r="I34" s="755" t="s">
        <v>1097</v>
      </c>
      <c r="J34" s="754">
        <f>SUM(J9:J33)</f>
        <v>0</v>
      </c>
      <c r="K34" s="753"/>
      <c r="L34" s="675"/>
      <c r="M34" s="752" t="s">
        <v>4180</v>
      </c>
      <c r="N34" s="751">
        <f>SUM(N9:N28)</f>
        <v>0</v>
      </c>
    </row>
    <row r="35" spans="1:16" ht="18" customHeight="1">
      <c r="A35" s="552"/>
      <c r="B35" s="713" t="s">
        <v>1046</v>
      </c>
      <c r="C35" s="712">
        <f>Calculations!B198</f>
        <v>0</v>
      </c>
      <c r="D35" s="711" t="e">
        <f t="shared" si="2"/>
        <v>#DIV/0!</v>
      </c>
      <c r="E35" s="710" t="e">
        <f t="shared" si="3"/>
        <v>#DIV/0!</v>
      </c>
      <c r="H35"/>
      <c r="I35" s="750"/>
      <c r="J35" s="749"/>
      <c r="K35" s="748"/>
      <c r="L35" s="747"/>
      <c r="M35" s="746"/>
      <c r="N35" s="745"/>
    </row>
    <row r="36" spans="1:16" ht="18.75" customHeight="1">
      <c r="A36" s="552"/>
      <c r="B36" s="713" t="s">
        <v>427</v>
      </c>
      <c r="C36" s="712">
        <f>Calculations!B207</f>
        <v>0</v>
      </c>
      <c r="D36" s="711" t="e">
        <f t="shared" si="2"/>
        <v>#DIV/0!</v>
      </c>
      <c r="E36" s="710" t="e">
        <f t="shared" si="3"/>
        <v>#DIV/0!</v>
      </c>
      <c r="H36"/>
      <c r="I36" s="744"/>
      <c r="J36" s="743" t="s">
        <v>4179</v>
      </c>
      <c r="K36" s="742"/>
      <c r="L36" s="741"/>
      <c r="M36" s="740">
        <f>J34-N34</f>
        <v>0</v>
      </c>
      <c r="N36" s="739"/>
    </row>
    <row r="37" spans="1:16" ht="18" customHeight="1">
      <c r="A37" s="553"/>
      <c r="B37" s="713" t="s">
        <v>1039</v>
      </c>
      <c r="C37" s="1054">
        <f>Calculations!B208+Calculations!B209+Calculations!B210</f>
        <v>0</v>
      </c>
      <c r="D37" s="711" t="e">
        <f t="shared" si="2"/>
        <v>#DIV/0!</v>
      </c>
      <c r="E37" s="710" t="e">
        <f t="shared" si="3"/>
        <v>#DIV/0!</v>
      </c>
      <c r="H37"/>
      <c r="I37" s="738"/>
      <c r="J37" s="737"/>
      <c r="K37" s="737"/>
      <c r="L37" s="736"/>
      <c r="M37" s="735"/>
      <c r="N37" s="734"/>
    </row>
    <row r="38" spans="1:16" ht="16.2">
      <c r="A38" s="553"/>
      <c r="B38" s="709" t="s">
        <v>1030</v>
      </c>
      <c r="C38" s="708">
        <f>SUM(C30:C37)</f>
        <v>0</v>
      </c>
      <c r="D38" s="707" t="e">
        <f>SUM(D30:D37)</f>
        <v>#DIV/0!</v>
      </c>
      <c r="E38" s="706" t="e">
        <f>SUM(E30:E37)</f>
        <v>#DIV/0!</v>
      </c>
      <c r="H38"/>
      <c r="I38" s="672" t="s">
        <v>4178</v>
      </c>
      <c r="J38" s="672"/>
      <c r="K38" s="672"/>
      <c r="L38" s="733"/>
      <c r="M38" s="672"/>
      <c r="N38" s="672"/>
    </row>
    <row r="39" spans="1:16" ht="16.2">
      <c r="A39" s="552"/>
      <c r="B39" s="717" t="s">
        <v>1047</v>
      </c>
      <c r="C39" s="716"/>
      <c r="D39" s="715"/>
      <c r="E39" s="714"/>
      <c r="H39"/>
      <c r="I39" s="1118" t="s">
        <v>4177</v>
      </c>
      <c r="J39" s="1119"/>
      <c r="K39" s="1119"/>
      <c r="L39" s="672"/>
      <c r="M39" s="1110" t="s">
        <v>4176</v>
      </c>
      <c r="N39" s="1111"/>
    </row>
    <row r="40" spans="1:16" s="728" customFormat="1" ht="16.2">
      <c r="A40" s="551"/>
      <c r="B40" s="713" t="s">
        <v>1048</v>
      </c>
      <c r="C40" s="1054">
        <f>Calculations!B213+Calculations!B214</f>
        <v>0</v>
      </c>
      <c r="D40" s="711" t="e">
        <f t="shared" ref="D40:D49" si="4">(C40/$D$106)</f>
        <v>#DIV/0!</v>
      </c>
      <c r="E40" s="710" t="e">
        <f t="shared" ref="E40:E49" si="5">(C40/$D$105)</f>
        <v>#DIV/0!</v>
      </c>
      <c r="F40"/>
      <c r="G40" s="670"/>
      <c r="H40"/>
      <c r="I40" s="732" t="s">
        <v>377</v>
      </c>
      <c r="J40" s="731" t="s">
        <v>393</v>
      </c>
      <c r="K40" s="730" t="s">
        <v>4175</v>
      </c>
      <c r="L40" s="672"/>
      <c r="M40" s="1112"/>
      <c r="N40" s="1113"/>
      <c r="O40" s="668"/>
      <c r="P40" s="729"/>
    </row>
    <row r="41" spans="1:16" ht="16.2">
      <c r="A41" s="551"/>
      <c r="B41" s="713" t="s">
        <v>1049</v>
      </c>
      <c r="C41" s="712">
        <f>Calculations!B215</f>
        <v>0</v>
      </c>
      <c r="D41" s="711" t="e">
        <f t="shared" si="4"/>
        <v>#DIV/0!</v>
      </c>
      <c r="E41" s="710" t="e">
        <f t="shared" si="5"/>
        <v>#DIV/0!</v>
      </c>
      <c r="H41"/>
      <c r="I41" s="727" t="s">
        <v>4174</v>
      </c>
      <c r="J41" s="726">
        <f>IF(COUNTIF(I12, "DOH*"),J12,"$0")+IF(COUNTIF(I13,"DOH*"),J13,"$0")+IF(COUNTIF(I14,"DOH*"),J14,"$0")+IF(COUNTIF(I15,"DOH*"),J15,"$0")+IF(COUNTIF(I16,"DOH*"),J16,"$0")+IF(COUNTIF(I17,"DOH*"),J17,"$0")</f>
        <v>0</v>
      </c>
      <c r="K41" s="723" t="e">
        <f>J41/J34</f>
        <v>#DIV/0!</v>
      </c>
      <c r="L41" s="672"/>
      <c r="M41" s="1112"/>
      <c r="N41" s="1113"/>
    </row>
    <row r="42" spans="1:16" ht="16.8" thickBot="1">
      <c r="A42" s="552"/>
      <c r="B42" s="713" t="s">
        <v>1050</v>
      </c>
      <c r="C42" s="712">
        <f>Calculations!B217</f>
        <v>0</v>
      </c>
      <c r="D42" s="711" t="e">
        <f t="shared" si="4"/>
        <v>#DIV/0!</v>
      </c>
      <c r="E42" s="710" t="e">
        <f t="shared" si="5"/>
        <v>#DIV/0!</v>
      </c>
      <c r="H42"/>
      <c r="I42" s="725" t="s">
        <v>4173</v>
      </c>
      <c r="J42" s="724">
        <f>IF(COUNTIF(I18,"DOH*"),J18,"$0")+IF(COUNTIF(I19,"DOH*"),J19,"$0")+IF(COUNTIF(I20,"DOH*"),J20,"$0")+IF(COUNTIF(I21,"DOH*"),J21,"$0")+IF(COUNTIF(I22,"DOH*"),J22,"$0")+IF(COUNTIF(I23,"DOH*"),J23,"$0")+IF(COUNTIF(I24,"DOH*"),J24,"$0")+IF(COUNTIF(I25,"DOH*"),J25,"$0")</f>
        <v>0</v>
      </c>
      <c r="K42" s="723" t="e">
        <f>J42/J34</f>
        <v>#DIV/0!</v>
      </c>
      <c r="L42" s="672"/>
      <c r="M42" s="1114"/>
      <c r="N42" s="1115"/>
    </row>
    <row r="43" spans="1:16" ht="16.2">
      <c r="A43" s="552"/>
      <c r="B43" s="713" t="s">
        <v>432</v>
      </c>
      <c r="C43" s="712">
        <f>Calculations!B216</f>
        <v>0</v>
      </c>
      <c r="D43" s="711" t="e">
        <f t="shared" si="4"/>
        <v>#DIV/0!</v>
      </c>
      <c r="E43" s="710" t="e">
        <f t="shared" si="5"/>
        <v>#DIV/0!</v>
      </c>
      <c r="H43"/>
      <c r="I43" s="722" t="s">
        <v>4172</v>
      </c>
      <c r="J43" s="721">
        <f>J41+J42</f>
        <v>0</v>
      </c>
      <c r="K43" s="720" t="e">
        <f>J43/J34</f>
        <v>#DIV/0!</v>
      </c>
      <c r="L43" s="672"/>
      <c r="M43" s="1107" t="e">
        <f>J43/D106</f>
        <v>#DIV/0!</v>
      </c>
      <c r="N43" s="1107"/>
    </row>
    <row r="44" spans="1:16" ht="16.2">
      <c r="A44" s="552"/>
      <c r="B44" s="713" t="s">
        <v>440</v>
      </c>
      <c r="C44" s="712">
        <f>Calculations!B224</f>
        <v>0</v>
      </c>
      <c r="D44" s="711" t="e">
        <f t="shared" si="4"/>
        <v>#DIV/0!</v>
      </c>
      <c r="E44" s="710" t="e">
        <f t="shared" si="5"/>
        <v>#DIV/0!</v>
      </c>
      <c r="H44"/>
      <c r="I44" s="672"/>
      <c r="J44" s="672"/>
      <c r="K44" s="672"/>
      <c r="L44" s="672"/>
      <c r="M44" s="672"/>
      <c r="N44" s="672"/>
    </row>
    <row r="45" spans="1:16" ht="16.2">
      <c r="A45" s="552"/>
      <c r="B45" s="713" t="s">
        <v>1051</v>
      </c>
      <c r="C45" s="712">
        <f>Calculations!B223</f>
        <v>0</v>
      </c>
      <c r="D45" s="711" t="e">
        <f t="shared" si="4"/>
        <v>#DIV/0!</v>
      </c>
      <c r="E45" s="710" t="e">
        <f t="shared" si="5"/>
        <v>#DIV/0!</v>
      </c>
      <c r="H45"/>
      <c r="I45" s="672"/>
      <c r="J45" s="672"/>
      <c r="K45" s="672"/>
      <c r="L45" s="675"/>
      <c r="M45" s="672"/>
      <c r="N45" s="672"/>
    </row>
    <row r="46" spans="1:16" ht="16.2">
      <c r="A46" s="553"/>
      <c r="B46" s="713" t="s">
        <v>1052</v>
      </c>
      <c r="C46" s="712">
        <f>Calculations!B225</f>
        <v>0</v>
      </c>
      <c r="D46" s="711" t="e">
        <f t="shared" si="4"/>
        <v>#DIV/0!</v>
      </c>
      <c r="E46" s="710" t="e">
        <f t="shared" si="5"/>
        <v>#DIV/0!</v>
      </c>
      <c r="H46"/>
      <c r="I46" s="672"/>
      <c r="J46" s="672"/>
      <c r="K46" s="672"/>
      <c r="L46" s="675"/>
      <c r="M46" s="672"/>
      <c r="N46" s="672"/>
    </row>
    <row r="47" spans="1:16" ht="16.2">
      <c r="A47" s="552"/>
      <c r="B47" s="713" t="s">
        <v>1053</v>
      </c>
      <c r="C47" s="712">
        <f>Calculations!B222</f>
        <v>0</v>
      </c>
      <c r="D47" s="711" t="e">
        <f t="shared" si="4"/>
        <v>#DIV/0!</v>
      </c>
      <c r="E47" s="710" t="e">
        <f t="shared" si="5"/>
        <v>#DIV/0!</v>
      </c>
      <c r="H47"/>
      <c r="I47" s="672"/>
      <c r="J47" s="672"/>
      <c r="K47" s="672"/>
      <c r="L47" s="675"/>
      <c r="M47" s="672"/>
      <c r="N47" s="672"/>
    </row>
    <row r="48" spans="1:16" ht="16.2">
      <c r="A48" s="552"/>
      <c r="B48" s="713" t="s">
        <v>1054</v>
      </c>
      <c r="C48" s="712">
        <f>Calculations!B221</f>
        <v>0</v>
      </c>
      <c r="D48" s="711" t="e">
        <f t="shared" si="4"/>
        <v>#DIV/0!</v>
      </c>
      <c r="E48" s="710" t="e">
        <f t="shared" si="5"/>
        <v>#DIV/0!</v>
      </c>
      <c r="H48"/>
      <c r="I48" s="672"/>
      <c r="J48" s="672"/>
      <c r="K48" s="672"/>
      <c r="L48" s="675"/>
      <c r="M48" s="672"/>
      <c r="N48" s="672"/>
    </row>
    <row r="49" spans="1:14" ht="16.2">
      <c r="A49" s="553"/>
      <c r="B49" s="713" t="s">
        <v>1039</v>
      </c>
      <c r="C49" s="1054">
        <f>Calculations!B226+Calculations!B228+Calculations!B229+Calculations!B230</f>
        <v>0</v>
      </c>
      <c r="D49" s="711" t="e">
        <f t="shared" si="4"/>
        <v>#DIV/0!</v>
      </c>
      <c r="E49" s="710" t="e">
        <f t="shared" si="5"/>
        <v>#DIV/0!</v>
      </c>
      <c r="H49"/>
      <c r="I49" s="672"/>
      <c r="J49" s="672"/>
      <c r="K49" s="672"/>
      <c r="L49" s="675"/>
      <c r="M49" s="719"/>
      <c r="N49" s="719"/>
    </row>
    <row r="50" spans="1:14" ht="16.2">
      <c r="A50" s="553"/>
      <c r="B50" s="709" t="s">
        <v>1030</v>
      </c>
      <c r="C50" s="708">
        <f>SUM(C40:C49)</f>
        <v>0</v>
      </c>
      <c r="D50" s="707" t="e">
        <f>SUM(D40:D49)</f>
        <v>#DIV/0!</v>
      </c>
      <c r="E50" s="706" t="e">
        <f>SUM(E40:E49)</f>
        <v>#DIV/0!</v>
      </c>
      <c r="H50"/>
      <c r="I50" s="672"/>
      <c r="J50" s="672"/>
      <c r="K50" s="672"/>
      <c r="L50" s="675"/>
      <c r="M50" s="719"/>
      <c r="N50" s="719"/>
    </row>
    <row r="51" spans="1:14" ht="16.2">
      <c r="A51" s="552"/>
      <c r="B51" s="717" t="s">
        <v>1055</v>
      </c>
      <c r="C51" s="716"/>
      <c r="D51" s="715"/>
      <c r="E51" s="714"/>
      <c r="H51"/>
      <c r="I51" s="672"/>
      <c r="J51" s="672"/>
      <c r="K51" s="672"/>
      <c r="L51" s="675"/>
      <c r="M51" s="719"/>
      <c r="N51" s="719"/>
    </row>
    <row r="52" spans="1:14" ht="16.2">
      <c r="A52" s="551"/>
      <c r="B52" s="713" t="s">
        <v>1056</v>
      </c>
      <c r="C52" s="712">
        <f>Calculations!B233+Calculations!B234+Calculations!B236+Calculations!B237+Calculations!B238+Calculations!B241+Calculations!B242+Calculations!B243</f>
        <v>0</v>
      </c>
      <c r="D52" s="711" t="e">
        <f t="shared" ref="D52:D59" si="6">(C52/$D$106)</f>
        <v>#DIV/0!</v>
      </c>
      <c r="E52" s="710" t="e">
        <f t="shared" ref="E52:E59" si="7">(C52/$D$105)</f>
        <v>#DIV/0!</v>
      </c>
      <c r="H52"/>
      <c r="I52" s="672"/>
      <c r="J52" s="672"/>
      <c r="K52" s="672"/>
      <c r="L52" s="719"/>
      <c r="M52" s="719"/>
      <c r="N52" s="719"/>
    </row>
    <row r="53" spans="1:14" ht="16.2">
      <c r="A53" s="551"/>
      <c r="B53" s="713" t="s">
        <v>1057</v>
      </c>
      <c r="C53" s="712">
        <f>Calculations!B240</f>
        <v>0</v>
      </c>
      <c r="D53" s="711" t="e">
        <f t="shared" si="6"/>
        <v>#DIV/0!</v>
      </c>
      <c r="E53" s="710" t="e">
        <f t="shared" si="7"/>
        <v>#DIV/0!</v>
      </c>
      <c r="H53"/>
      <c r="I53" s="675"/>
      <c r="J53" s="675"/>
      <c r="K53" s="675"/>
      <c r="L53" s="719"/>
      <c r="M53" s="719"/>
      <c r="N53" s="719"/>
    </row>
    <row r="54" spans="1:14" ht="16.2">
      <c r="A54" s="552"/>
      <c r="B54" s="713" t="s">
        <v>1051</v>
      </c>
      <c r="C54" s="712">
        <f>Calculations!B239</f>
        <v>0</v>
      </c>
      <c r="D54" s="711" t="e">
        <f t="shared" si="6"/>
        <v>#DIV/0!</v>
      </c>
      <c r="E54" s="710" t="e">
        <f t="shared" si="7"/>
        <v>#DIV/0!</v>
      </c>
      <c r="H54"/>
      <c r="I54" s="672"/>
      <c r="J54" s="672"/>
      <c r="K54" s="672"/>
      <c r="L54" s="719"/>
      <c r="M54" s="719"/>
      <c r="N54" s="719"/>
    </row>
    <row r="55" spans="1:14" ht="16.2">
      <c r="A55" s="553"/>
      <c r="B55" s="713" t="s">
        <v>447</v>
      </c>
      <c r="C55" s="712">
        <f>Calculations!B235</f>
        <v>0</v>
      </c>
      <c r="D55" s="711" t="e">
        <f t="shared" si="6"/>
        <v>#DIV/0!</v>
      </c>
      <c r="E55" s="710" t="e">
        <f t="shared" si="7"/>
        <v>#DIV/0!</v>
      </c>
      <c r="H55"/>
      <c r="I55" s="672"/>
      <c r="J55" s="672"/>
      <c r="K55" s="672"/>
      <c r="L55" s="719"/>
      <c r="M55" s="675"/>
      <c r="N55" s="675"/>
    </row>
    <row r="56" spans="1:14" ht="16.2">
      <c r="A56" s="552"/>
      <c r="B56" s="713" t="s">
        <v>472</v>
      </c>
      <c r="C56" s="712">
        <f>Calculations!B268</f>
        <v>0</v>
      </c>
      <c r="D56" s="711" t="e">
        <f t="shared" si="6"/>
        <v>#DIV/0!</v>
      </c>
      <c r="E56" s="710" t="e">
        <f t="shared" si="7"/>
        <v>#DIV/0!</v>
      </c>
      <c r="H56"/>
      <c r="I56" s="672"/>
      <c r="J56" s="672"/>
      <c r="K56" s="672"/>
      <c r="L56" s="675"/>
      <c r="M56" s="718"/>
      <c r="N56" s="718"/>
    </row>
    <row r="57" spans="1:14" ht="16.2">
      <c r="A57" s="553"/>
      <c r="B57" s="713" t="s">
        <v>473</v>
      </c>
      <c r="C57" s="712">
        <f>Calculations!B269</f>
        <v>0</v>
      </c>
      <c r="D57" s="711" t="e">
        <f t="shared" si="6"/>
        <v>#DIV/0!</v>
      </c>
      <c r="E57" s="710" t="e">
        <f t="shared" si="7"/>
        <v>#DIV/0!</v>
      </c>
      <c r="H57"/>
      <c r="I57" s="672"/>
      <c r="J57" s="672"/>
      <c r="K57" s="672"/>
      <c r="L57" s="718"/>
      <c r="M57" s="718"/>
      <c r="N57" s="718"/>
    </row>
    <row r="58" spans="1:14" ht="16.2">
      <c r="A58" s="553"/>
      <c r="B58" s="713" t="s">
        <v>474</v>
      </c>
      <c r="C58" s="712">
        <f>Calculations!B270</f>
        <v>0</v>
      </c>
      <c r="D58" s="711" t="e">
        <f t="shared" si="6"/>
        <v>#DIV/0!</v>
      </c>
      <c r="E58" s="710" t="e">
        <f t="shared" si="7"/>
        <v>#DIV/0!</v>
      </c>
      <c r="H58"/>
      <c r="I58" s="672"/>
      <c r="J58" s="672"/>
      <c r="K58" s="672"/>
      <c r="L58" s="718"/>
      <c r="M58" s="718"/>
      <c r="N58" s="718"/>
    </row>
    <row r="59" spans="1:14" ht="16.2">
      <c r="A59" s="553"/>
      <c r="B59" s="713" t="s">
        <v>1039</v>
      </c>
      <c r="C59" s="1054">
        <f>Calculations!B244+Calculations!B245+Calculations!B246+Calculations!B271+Calculations!B272+Calculations!B273</f>
        <v>0</v>
      </c>
      <c r="D59" s="711" t="e">
        <f t="shared" si="6"/>
        <v>#DIV/0!</v>
      </c>
      <c r="E59" s="710" t="e">
        <f t="shared" si="7"/>
        <v>#DIV/0!</v>
      </c>
      <c r="H59"/>
      <c r="I59" s="672"/>
      <c r="J59" s="672"/>
      <c r="K59" s="672"/>
      <c r="L59" s="718"/>
      <c r="M59" s="718"/>
      <c r="N59" s="718"/>
    </row>
    <row r="60" spans="1:14" ht="16.2">
      <c r="A60" s="553"/>
      <c r="B60" s="709" t="s">
        <v>1030</v>
      </c>
      <c r="C60" s="708">
        <f>SUM(C52:C59)</f>
        <v>0</v>
      </c>
      <c r="D60" s="707" t="e">
        <f>SUM(D52:D59)</f>
        <v>#DIV/0!</v>
      </c>
      <c r="E60" s="706" t="e">
        <f>SUM(E52:E59)</f>
        <v>#DIV/0!</v>
      </c>
      <c r="H60"/>
      <c r="I60" s="672"/>
      <c r="J60" s="672"/>
      <c r="K60" s="672"/>
      <c r="L60" s="718"/>
      <c r="M60" s="718"/>
      <c r="N60" s="718"/>
    </row>
    <row r="61" spans="1:14" ht="16.2">
      <c r="A61" s="552"/>
      <c r="B61" s="717" t="s">
        <v>1058</v>
      </c>
      <c r="C61" s="716"/>
      <c r="D61" s="715"/>
      <c r="E61" s="714"/>
      <c r="H61"/>
      <c r="I61" s="672"/>
      <c r="J61" s="672"/>
      <c r="K61" s="672"/>
      <c r="L61" s="718"/>
      <c r="M61" s="718"/>
      <c r="N61" s="718"/>
    </row>
    <row r="62" spans="1:14" ht="16.2">
      <c r="A62" s="551"/>
      <c r="B62" s="713" t="s">
        <v>434</v>
      </c>
      <c r="C62" s="712">
        <f>Calculations!B218</f>
        <v>0</v>
      </c>
      <c r="D62" s="711" t="e">
        <f t="shared" ref="D62:D78" si="8">(C62/$D$106)</f>
        <v>#DIV/0!</v>
      </c>
      <c r="E62" s="710" t="e">
        <f t="shared" ref="E62:E78" si="9">(C62/$D$105)</f>
        <v>#DIV/0!</v>
      </c>
      <c r="H62"/>
      <c r="I62" s="672"/>
      <c r="J62" s="672"/>
      <c r="K62" s="672"/>
      <c r="L62" s="718"/>
      <c r="M62" s="718"/>
      <c r="N62" s="718"/>
    </row>
    <row r="63" spans="1:14" ht="16.2">
      <c r="A63" s="551"/>
      <c r="B63" s="713" t="s">
        <v>498</v>
      </c>
      <c r="C63" s="712">
        <f>Calculations!B219</f>
        <v>0</v>
      </c>
      <c r="D63" s="711" t="e">
        <f t="shared" si="8"/>
        <v>#DIV/0!</v>
      </c>
      <c r="E63" s="710" t="e">
        <f t="shared" si="9"/>
        <v>#DIV/0!</v>
      </c>
      <c r="H63"/>
      <c r="I63" s="672"/>
      <c r="J63" s="672"/>
      <c r="K63" s="672"/>
      <c r="L63" s="718"/>
      <c r="M63" s="718"/>
      <c r="N63" s="718"/>
    </row>
    <row r="64" spans="1:14" ht="16.2">
      <c r="A64" s="553"/>
      <c r="B64" s="713" t="s">
        <v>1059</v>
      </c>
      <c r="C64" s="712">
        <f>Calculations!B252</f>
        <v>0</v>
      </c>
      <c r="D64" s="711" t="e">
        <f t="shared" si="8"/>
        <v>#DIV/0!</v>
      </c>
      <c r="E64" s="710" t="e">
        <f t="shared" si="9"/>
        <v>#DIV/0!</v>
      </c>
      <c r="H64"/>
      <c r="I64" s="672"/>
      <c r="J64" s="672"/>
      <c r="K64" s="672"/>
      <c r="L64" s="718"/>
      <c r="M64" s="718"/>
      <c r="N64" s="718"/>
    </row>
    <row r="65" spans="1:14" ht="16.2">
      <c r="A65" s="553"/>
      <c r="B65" s="713" t="s">
        <v>461</v>
      </c>
      <c r="C65" s="712">
        <f>Calculations!B253</f>
        <v>0</v>
      </c>
      <c r="D65" s="711" t="e">
        <f t="shared" si="8"/>
        <v>#DIV/0!</v>
      </c>
      <c r="E65" s="710" t="e">
        <f t="shared" si="9"/>
        <v>#DIV/0!</v>
      </c>
      <c r="H65"/>
      <c r="I65" s="718"/>
      <c r="J65" s="718"/>
      <c r="K65" s="718"/>
      <c r="L65" s="718"/>
      <c r="M65" s="718"/>
      <c r="N65" s="718"/>
    </row>
    <row r="66" spans="1:14" ht="16.2">
      <c r="A66" s="553"/>
      <c r="B66" s="713" t="s">
        <v>1060</v>
      </c>
      <c r="C66" s="712">
        <f>Calculations!B254</f>
        <v>0</v>
      </c>
      <c r="D66" s="711" t="e">
        <f t="shared" si="8"/>
        <v>#DIV/0!</v>
      </c>
      <c r="E66" s="710" t="e">
        <f t="shared" si="9"/>
        <v>#DIV/0!</v>
      </c>
      <c r="H66"/>
      <c r="I66" s="718"/>
      <c r="J66" s="718"/>
      <c r="K66" s="718"/>
      <c r="L66" s="718"/>
      <c r="M66" s="718"/>
      <c r="N66" s="718"/>
    </row>
    <row r="67" spans="1:14" ht="16.2">
      <c r="A67" s="553"/>
      <c r="B67" s="713" t="s">
        <v>463</v>
      </c>
      <c r="C67" s="712">
        <f>Calculations!B255</f>
        <v>0</v>
      </c>
      <c r="D67" s="711" t="e">
        <f t="shared" si="8"/>
        <v>#DIV/0!</v>
      </c>
      <c r="E67" s="710" t="e">
        <f t="shared" si="9"/>
        <v>#DIV/0!</v>
      </c>
      <c r="H67"/>
      <c r="I67" s="718"/>
      <c r="J67" s="718"/>
      <c r="K67" s="718"/>
      <c r="L67" s="718"/>
      <c r="M67" s="718"/>
      <c r="N67" s="718"/>
    </row>
    <row r="68" spans="1:14" ht="16.2">
      <c r="A68" s="552"/>
      <c r="B68" s="713" t="s">
        <v>1061</v>
      </c>
      <c r="C68" s="712">
        <f>Calculations!B251</f>
        <v>0</v>
      </c>
      <c r="D68" s="711" t="e">
        <f t="shared" si="8"/>
        <v>#DIV/0!</v>
      </c>
      <c r="E68" s="710" t="e">
        <f t="shared" si="9"/>
        <v>#DIV/0!</v>
      </c>
      <c r="H68"/>
      <c r="I68" s="718"/>
      <c r="J68" s="718"/>
      <c r="K68" s="718"/>
      <c r="L68" s="718"/>
      <c r="M68" s="718"/>
      <c r="N68" s="718"/>
    </row>
    <row r="69" spans="1:14" ht="16.2">
      <c r="A69" s="552"/>
      <c r="B69" s="713" t="s">
        <v>1062</v>
      </c>
      <c r="C69" s="712">
        <f>Calculations!B220</f>
        <v>0</v>
      </c>
      <c r="D69" s="711" t="e">
        <f t="shared" si="8"/>
        <v>#DIV/0!</v>
      </c>
      <c r="E69" s="710" t="e">
        <f t="shared" si="9"/>
        <v>#DIV/0!</v>
      </c>
      <c r="H69"/>
      <c r="I69" s="718"/>
      <c r="J69" s="718"/>
      <c r="K69" s="718"/>
      <c r="L69" s="718"/>
      <c r="M69" s="718"/>
      <c r="N69" s="718"/>
    </row>
    <row r="70" spans="1:14" ht="16.2">
      <c r="A70" s="552"/>
      <c r="B70" s="713" t="s">
        <v>1063</v>
      </c>
      <c r="C70" s="712">
        <f>Calculations!B250</f>
        <v>0</v>
      </c>
      <c r="D70" s="711" t="e">
        <f t="shared" si="8"/>
        <v>#DIV/0!</v>
      </c>
      <c r="E70" s="710" t="e">
        <f t="shared" si="9"/>
        <v>#DIV/0!</v>
      </c>
      <c r="H70"/>
      <c r="I70" s="718"/>
      <c r="J70" s="718"/>
      <c r="K70" s="718"/>
      <c r="L70" s="718"/>
      <c r="M70" s="718"/>
      <c r="N70" s="718"/>
    </row>
    <row r="71" spans="1:14" ht="16.2">
      <c r="A71" s="553"/>
      <c r="B71" s="713" t="s">
        <v>1064</v>
      </c>
      <c r="C71" s="712">
        <f>Calculations!B260</f>
        <v>0</v>
      </c>
      <c r="D71" s="711" t="e">
        <f t="shared" si="8"/>
        <v>#DIV/0!</v>
      </c>
      <c r="E71" s="710" t="e">
        <f t="shared" si="9"/>
        <v>#DIV/0!</v>
      </c>
      <c r="H71"/>
      <c r="I71" s="718"/>
      <c r="J71" s="718"/>
      <c r="K71" s="718"/>
      <c r="L71" s="718"/>
      <c r="M71" s="718"/>
      <c r="N71" s="718"/>
    </row>
    <row r="72" spans="1:14" ht="15" customHeight="1">
      <c r="A72" s="552"/>
      <c r="B72" s="713" t="s">
        <v>1065</v>
      </c>
      <c r="C72" s="712">
        <f>Calculations!B261</f>
        <v>0</v>
      </c>
      <c r="D72" s="711" t="e">
        <f t="shared" si="8"/>
        <v>#DIV/0!</v>
      </c>
      <c r="E72" s="710" t="e">
        <f t="shared" si="9"/>
        <v>#DIV/0!</v>
      </c>
      <c r="H72"/>
      <c r="I72" s="718"/>
      <c r="J72" s="718"/>
      <c r="K72" s="718"/>
      <c r="L72" s="718"/>
      <c r="M72" s="718"/>
      <c r="N72" s="718"/>
    </row>
    <row r="73" spans="1:14" ht="16.2">
      <c r="A73" s="552"/>
      <c r="B73" s="713" t="s">
        <v>464</v>
      </c>
      <c r="C73" s="1054">
        <f>Calculations!B256+Calculations!B257</f>
        <v>0</v>
      </c>
      <c r="D73" s="711" t="e">
        <f t="shared" si="8"/>
        <v>#DIV/0!</v>
      </c>
      <c r="E73" s="710" t="e">
        <f t="shared" si="9"/>
        <v>#DIV/0!</v>
      </c>
      <c r="H73"/>
      <c r="I73" s="718"/>
      <c r="J73" s="718"/>
      <c r="K73" s="718"/>
      <c r="L73" s="718"/>
      <c r="M73" s="718"/>
      <c r="N73" s="718"/>
    </row>
    <row r="74" spans="1:14" ht="16.2">
      <c r="A74" s="552"/>
      <c r="B74" s="713" t="s">
        <v>1066</v>
      </c>
      <c r="C74" s="712">
        <f>Calculations!B249</f>
        <v>0</v>
      </c>
      <c r="D74" s="711" t="e">
        <f t="shared" si="8"/>
        <v>#DIV/0!</v>
      </c>
      <c r="E74" s="710" t="e">
        <f t="shared" si="9"/>
        <v>#DIV/0!</v>
      </c>
      <c r="H74"/>
      <c r="I74" s="718"/>
      <c r="J74" s="718"/>
      <c r="K74" s="718"/>
      <c r="L74" s="718"/>
      <c r="M74" s="718"/>
      <c r="N74" s="718"/>
    </row>
    <row r="75" spans="1:14" ht="15.6" customHeight="1">
      <c r="A75" s="552"/>
      <c r="B75" s="713" t="s">
        <v>466</v>
      </c>
      <c r="C75" s="712">
        <f>Calculations!B258</f>
        <v>0</v>
      </c>
      <c r="D75" s="711" t="e">
        <f t="shared" si="8"/>
        <v>#DIV/0!</v>
      </c>
      <c r="E75" s="710" t="e">
        <f t="shared" si="9"/>
        <v>#DIV/0!</v>
      </c>
      <c r="H75"/>
      <c r="I75" s="718"/>
      <c r="J75" s="718"/>
      <c r="K75" s="718"/>
      <c r="L75" s="718"/>
      <c r="M75" s="718"/>
      <c r="N75" s="718"/>
    </row>
    <row r="76" spans="1:14" ht="16.2">
      <c r="A76" s="552"/>
      <c r="B76" s="713" t="s">
        <v>467</v>
      </c>
      <c r="C76" s="712">
        <f>Calculations!B259</f>
        <v>0</v>
      </c>
      <c r="D76" s="711" t="e">
        <f t="shared" si="8"/>
        <v>#DIV/0!</v>
      </c>
      <c r="E76" s="710" t="e">
        <f t="shared" si="9"/>
        <v>#DIV/0!</v>
      </c>
      <c r="H76"/>
      <c r="I76" s="718"/>
      <c r="J76" s="718"/>
      <c r="K76" s="718"/>
      <c r="L76" s="718"/>
      <c r="M76" s="718"/>
      <c r="N76" s="718"/>
    </row>
    <row r="77" spans="1:14" ht="16.2">
      <c r="A77" s="552"/>
      <c r="B77" s="713" t="s">
        <v>470</v>
      </c>
      <c r="C77" s="712">
        <f>Calculations!B262</f>
        <v>0</v>
      </c>
      <c r="D77" s="711" t="e">
        <f t="shared" si="8"/>
        <v>#DIV/0!</v>
      </c>
      <c r="E77" s="710" t="e">
        <f t="shared" si="9"/>
        <v>#DIV/0!</v>
      </c>
      <c r="H77"/>
      <c r="I77" s="718"/>
      <c r="J77" s="718"/>
      <c r="K77" s="718"/>
      <c r="L77" s="718"/>
      <c r="M77" s="718"/>
      <c r="N77" s="718"/>
    </row>
    <row r="78" spans="1:14" ht="16.2">
      <c r="A78" s="552"/>
      <c r="B78" s="713" t="s">
        <v>1039</v>
      </c>
      <c r="C78" s="1054">
        <f>Calculations!B263+Calculations!B264+Calculations!B265</f>
        <v>0</v>
      </c>
      <c r="D78" s="711" t="e">
        <f t="shared" si="8"/>
        <v>#DIV/0!</v>
      </c>
      <c r="E78" s="710" t="e">
        <f t="shared" si="9"/>
        <v>#DIV/0!</v>
      </c>
      <c r="H78"/>
      <c r="I78" s="718"/>
      <c r="J78" s="718"/>
      <c r="K78" s="718"/>
      <c r="L78" s="718"/>
      <c r="M78" s="718"/>
      <c r="N78" s="718"/>
    </row>
    <row r="79" spans="1:14" ht="16.2">
      <c r="A79" s="552"/>
      <c r="B79" s="709" t="s">
        <v>1030</v>
      </c>
      <c r="C79" s="708">
        <f>SUM(C62:C78)</f>
        <v>0</v>
      </c>
      <c r="D79" s="707" t="e">
        <f>SUM(D62:D78)</f>
        <v>#DIV/0!</v>
      </c>
      <c r="E79" s="706" t="e">
        <f>SUM(E62:E78)</f>
        <v>#DIV/0!</v>
      </c>
      <c r="H79"/>
      <c r="I79" s="718"/>
      <c r="J79" s="718"/>
      <c r="K79" s="718"/>
      <c r="L79" s="718"/>
      <c r="M79" s="718"/>
      <c r="N79" s="718"/>
    </row>
    <row r="80" spans="1:14" ht="16.2">
      <c r="A80" s="552"/>
      <c r="B80" s="717" t="s">
        <v>1067</v>
      </c>
      <c r="C80" s="716"/>
      <c r="D80" s="715"/>
      <c r="E80" s="714"/>
      <c r="H80"/>
      <c r="I80" s="718"/>
      <c r="J80" s="718"/>
      <c r="K80" s="718"/>
      <c r="L80" s="718"/>
      <c r="M80" s="718"/>
      <c r="N80" s="718"/>
    </row>
    <row r="81" spans="1:14" ht="16.2">
      <c r="A81" s="551"/>
      <c r="B81" s="713" t="s">
        <v>1068</v>
      </c>
      <c r="C81" s="712">
        <f>Calculations!B276</f>
        <v>0</v>
      </c>
      <c r="D81" s="711" t="e">
        <f>(C81/$D$106)</f>
        <v>#DIV/0!</v>
      </c>
      <c r="E81" s="710" t="e">
        <f>(C81/$D$105)</f>
        <v>#DIV/0!</v>
      </c>
      <c r="H81"/>
      <c r="I81" s="718"/>
      <c r="J81" s="718"/>
      <c r="K81" s="718"/>
      <c r="L81" s="718"/>
      <c r="M81" s="718"/>
      <c r="N81" s="718"/>
    </row>
    <row r="82" spans="1:14" ht="16.2">
      <c r="A82" s="551"/>
      <c r="B82" s="713" t="s">
        <v>4171</v>
      </c>
      <c r="C82" s="712">
        <f>Calculations!B279</f>
        <v>0</v>
      </c>
      <c r="D82" s="711" t="e">
        <f>(C82/$D$106)</f>
        <v>#DIV/0!</v>
      </c>
      <c r="E82" s="710" t="e">
        <f>(C82/$D$105)</f>
        <v>#DIV/0!</v>
      </c>
      <c r="H82"/>
      <c r="I82" s="675"/>
      <c r="J82" s="675"/>
      <c r="K82" s="675"/>
      <c r="L82" s="718"/>
      <c r="M82" s="718"/>
      <c r="N82" s="718"/>
    </row>
    <row r="83" spans="1:14" ht="16.2">
      <c r="A83" s="552"/>
      <c r="B83" s="713" t="s">
        <v>1069</v>
      </c>
      <c r="C83" s="712">
        <f>Calculations!B280</f>
        <v>0</v>
      </c>
      <c r="D83" s="711" t="e">
        <f>(C83/$D$106)</f>
        <v>#DIV/0!</v>
      </c>
      <c r="E83" s="710" t="e">
        <f>(C83/$D$105)</f>
        <v>#DIV/0!</v>
      </c>
      <c r="H83"/>
      <c r="I83" s="675"/>
      <c r="J83" s="675"/>
      <c r="K83" s="675"/>
      <c r="L83" s="718"/>
      <c r="M83" s="718"/>
      <c r="N83" s="718"/>
    </row>
    <row r="84" spans="1:14" ht="16.2">
      <c r="A84" s="552"/>
      <c r="B84" s="713" t="s">
        <v>1070</v>
      </c>
      <c r="C84" s="712">
        <f>Calculations!B281</f>
        <v>0</v>
      </c>
      <c r="D84" s="711" t="e">
        <f>(C84/$D$106)</f>
        <v>#DIV/0!</v>
      </c>
      <c r="E84" s="710" t="e">
        <f>(C84/$D$105)</f>
        <v>#DIV/0!</v>
      </c>
      <c r="H84"/>
      <c r="I84" s="675"/>
      <c r="J84" s="675"/>
      <c r="K84" s="675"/>
      <c r="L84" s="718"/>
      <c r="M84" s="675"/>
      <c r="N84" s="675"/>
    </row>
    <row r="85" spans="1:14" ht="16.2">
      <c r="A85" s="552"/>
      <c r="B85" s="713" t="s">
        <v>1039</v>
      </c>
      <c r="C85" s="712">
        <f>Calculations!B282</f>
        <v>0</v>
      </c>
      <c r="D85" s="711" t="e">
        <f>(C85/$D$106)</f>
        <v>#DIV/0!</v>
      </c>
      <c r="E85" s="710" t="e">
        <f>(C85/$D$105)</f>
        <v>#DIV/0!</v>
      </c>
      <c r="H85"/>
      <c r="I85" s="675"/>
      <c r="J85" s="675"/>
      <c r="K85" s="675"/>
      <c r="L85" s="675"/>
      <c r="M85" s="675"/>
      <c r="N85" s="675"/>
    </row>
    <row r="86" spans="1:14" ht="16.2">
      <c r="A86" s="552"/>
      <c r="B86" s="709" t="s">
        <v>1071</v>
      </c>
      <c r="C86" s="708">
        <f>SUM(C81:C85)</f>
        <v>0</v>
      </c>
      <c r="D86" s="707" t="e">
        <f>SUM(D81:D85)</f>
        <v>#DIV/0!</v>
      </c>
      <c r="E86" s="706" t="e">
        <f>SUM(E81:E85)</f>
        <v>#DIV/0!</v>
      </c>
      <c r="H86"/>
      <c r="I86" s="675"/>
      <c r="J86" s="675"/>
      <c r="K86" s="675"/>
      <c r="L86" s="675"/>
      <c r="M86" s="675"/>
      <c r="N86" s="675"/>
    </row>
    <row r="87" spans="1:14" ht="15.75" customHeight="1">
      <c r="A87" s="553"/>
      <c r="B87" s="717" t="s">
        <v>1072</v>
      </c>
      <c r="C87" s="716"/>
      <c r="D87" s="715"/>
      <c r="E87" s="714"/>
      <c r="H87"/>
      <c r="I87" s="675"/>
      <c r="J87" s="675"/>
      <c r="K87" s="675"/>
      <c r="L87" s="675"/>
      <c r="M87" s="675"/>
      <c r="N87" s="675"/>
    </row>
    <row r="88" spans="1:14" ht="16.2">
      <c r="A88" s="551"/>
      <c r="B88" s="713" t="s">
        <v>1073</v>
      </c>
      <c r="C88" s="712">
        <f>Calculations!B286</f>
        <v>0</v>
      </c>
      <c r="D88" s="711" t="e">
        <f>(C88/$D$106)</f>
        <v>#DIV/0!</v>
      </c>
      <c r="E88" s="710" t="e">
        <f>(C88/$D$105)</f>
        <v>#DIV/0!</v>
      </c>
      <c r="H88"/>
      <c r="I88" s="675"/>
      <c r="J88" s="675"/>
      <c r="K88" s="675"/>
      <c r="L88" s="675"/>
      <c r="M88" s="675"/>
      <c r="N88" s="675"/>
    </row>
    <row r="89" spans="1:14" ht="16.2">
      <c r="A89" s="551"/>
      <c r="B89" s="713" t="s">
        <v>1074</v>
      </c>
      <c r="C89" s="712">
        <f>Calculations!B288</f>
        <v>0</v>
      </c>
      <c r="D89" s="711" t="e">
        <f>(C89/$D$106)</f>
        <v>#DIV/0!</v>
      </c>
      <c r="E89" s="710" t="e">
        <f>(C89/$D$105)</f>
        <v>#DIV/0!</v>
      </c>
      <c r="H89"/>
      <c r="I89" s="675"/>
      <c r="J89" s="675"/>
      <c r="K89" s="675"/>
      <c r="L89" s="675"/>
      <c r="M89" s="675"/>
      <c r="N89" s="675"/>
    </row>
    <row r="90" spans="1:14" ht="16.2">
      <c r="A90" s="552"/>
      <c r="B90" s="713" t="s">
        <v>1075</v>
      </c>
      <c r="C90" s="712">
        <f>Calculations!B285</f>
        <v>0</v>
      </c>
      <c r="D90" s="711" t="e">
        <f>(C90/$D$106)</f>
        <v>#DIV/0!</v>
      </c>
      <c r="E90" s="710" t="e">
        <f>(C90/$D$105)</f>
        <v>#DIV/0!</v>
      </c>
      <c r="H90"/>
      <c r="I90" s="675"/>
      <c r="J90" s="675"/>
      <c r="K90" s="675"/>
      <c r="L90" s="675"/>
      <c r="M90" s="675"/>
      <c r="N90" s="675"/>
    </row>
    <row r="91" spans="1:14" ht="16.2">
      <c r="A91" s="552"/>
      <c r="B91" s="713" t="s">
        <v>1076</v>
      </c>
      <c r="C91" s="712">
        <f>Calculations!B287</f>
        <v>0</v>
      </c>
      <c r="D91" s="711" t="e">
        <f>(C91/$D$106)</f>
        <v>#DIV/0!</v>
      </c>
      <c r="E91" s="710" t="e">
        <f>(C91/$D$105)</f>
        <v>#DIV/0!</v>
      </c>
      <c r="H91"/>
      <c r="I91" s="675"/>
      <c r="J91" s="675"/>
      <c r="K91" s="675"/>
      <c r="L91" s="675"/>
      <c r="M91" s="675"/>
      <c r="N91" s="675"/>
    </row>
    <row r="92" spans="1:14" ht="16.2">
      <c r="A92" s="552"/>
      <c r="B92" s="713" t="s">
        <v>1039</v>
      </c>
      <c r="C92" s="1054">
        <f>Calculations!B289+Calculations!B290</f>
        <v>0</v>
      </c>
      <c r="D92" s="711" t="e">
        <f>(C92/$D$106)</f>
        <v>#DIV/0!</v>
      </c>
      <c r="E92" s="710" t="e">
        <f>(C92/$D$105)</f>
        <v>#DIV/0!</v>
      </c>
      <c r="H92"/>
      <c r="I92" s="675"/>
      <c r="J92" s="675"/>
      <c r="K92" s="675"/>
      <c r="L92" s="675"/>
      <c r="M92" s="675"/>
      <c r="N92" s="675"/>
    </row>
    <row r="93" spans="1:14" ht="16.2">
      <c r="A93" s="552"/>
      <c r="B93" s="709" t="s">
        <v>1030</v>
      </c>
      <c r="C93" s="708">
        <f>SUM(C88:C92)</f>
        <v>0</v>
      </c>
      <c r="D93" s="707" t="e">
        <f>SUM(D88:D92)</f>
        <v>#DIV/0!</v>
      </c>
      <c r="E93" s="706" t="e">
        <f>SUM(E88:E92)</f>
        <v>#DIV/0!</v>
      </c>
      <c r="H93"/>
      <c r="I93" s="675"/>
      <c r="J93" s="675"/>
      <c r="K93" s="675"/>
      <c r="L93" s="675"/>
      <c r="M93" s="675"/>
      <c r="N93" s="675"/>
    </row>
    <row r="94" spans="1:14" ht="16.8" thickBot="1">
      <c r="A94" s="553"/>
      <c r="B94" s="705" t="s">
        <v>1077</v>
      </c>
      <c r="C94" s="704">
        <f>C79+C28+C86+C93+C60+C50+C38+C17+C12</f>
        <v>0</v>
      </c>
      <c r="D94" s="703" t="e">
        <f>D79+D28+D86+D93+D60+D50+D38+D17+D12</f>
        <v>#DIV/0!</v>
      </c>
      <c r="E94" s="702" t="e">
        <f>E79+E28+E86+E93+E60+E50+E38+E17+E12</f>
        <v>#DIV/0!</v>
      </c>
      <c r="H94"/>
      <c r="I94" s="675"/>
      <c r="J94" s="675"/>
      <c r="K94" s="675"/>
      <c r="L94" s="675"/>
      <c r="M94" s="675"/>
      <c r="N94" s="675"/>
    </row>
    <row r="95" spans="1:14" ht="17.399999999999999" thickTop="1" thickBot="1">
      <c r="A95" s="551"/>
      <c r="B95" s="672"/>
      <c r="C95" s="701"/>
      <c r="D95" s="700"/>
      <c r="E95" s="699"/>
      <c r="F95" s="698"/>
      <c r="G95" s="671"/>
      <c r="I95" s="675"/>
      <c r="J95" s="675"/>
      <c r="K95" s="675"/>
      <c r="L95" s="675"/>
      <c r="M95" s="675"/>
      <c r="N95" s="675"/>
    </row>
    <row r="96" spans="1:14" ht="16.2">
      <c r="A96" s="551"/>
      <c r="B96" s="697"/>
      <c r="C96" s="696" t="s">
        <v>1078</v>
      </c>
      <c r="D96" s="695" t="s">
        <v>1079</v>
      </c>
      <c r="F96" s="694" t="e">
        <f>C97/D94</f>
        <v>#DIV/0!</v>
      </c>
      <c r="G96" s="671"/>
      <c r="I96" s="675"/>
      <c r="J96" s="675"/>
      <c r="K96" s="675"/>
      <c r="L96" s="675"/>
      <c r="M96" s="675"/>
      <c r="N96" s="675"/>
    </row>
    <row r="97" spans="1:14" ht="16.2">
      <c r="A97" s="551"/>
      <c r="B97" s="692" t="s">
        <v>1080</v>
      </c>
      <c r="C97" s="691" t="e">
        <f>(C11+C17+C28)/$D$106</f>
        <v>#DIV/0!</v>
      </c>
      <c r="D97" s="690" t="e">
        <f>($C$11+$C$17+$C$28)/$D$105</f>
        <v>#DIV/0!</v>
      </c>
      <c r="E97" s="685" t="e">
        <f>C97/D94</f>
        <v>#DIV/0!</v>
      </c>
      <c r="F97" s="694" t="e">
        <f>C98/D94</f>
        <v>#DIV/0!</v>
      </c>
      <c r="G97" s="693"/>
      <c r="I97" s="675"/>
      <c r="J97" s="675"/>
      <c r="K97" s="675"/>
      <c r="L97" s="675"/>
      <c r="M97" s="675"/>
      <c r="N97" s="675"/>
    </row>
    <row r="98" spans="1:14" ht="16.2">
      <c r="A98" s="551"/>
      <c r="B98" s="692" t="s">
        <v>455</v>
      </c>
      <c r="C98" s="691" t="e">
        <f>($C$93+$C$86+$C$79+$C$60+$C$50+$C$38)/$D$106</f>
        <v>#DIV/0!</v>
      </c>
      <c r="D98" s="690" t="e">
        <f>(C93+C86+C79+C60+C50+C38)/$D$105</f>
        <v>#DIV/0!</v>
      </c>
      <c r="E98" s="685" t="e">
        <f>C98/D94</f>
        <v>#DIV/0!</v>
      </c>
      <c r="F98" s="689" t="e">
        <f>C99/D94</f>
        <v>#DIV/0!</v>
      </c>
      <c r="G98" s="671"/>
      <c r="I98" s="675"/>
      <c r="J98" s="675"/>
      <c r="K98" s="675"/>
      <c r="L98" s="675"/>
      <c r="M98" s="675"/>
      <c r="N98" s="675"/>
    </row>
    <row r="99" spans="1:14" ht="16.8" thickBot="1">
      <c r="A99" s="554"/>
      <c r="B99" s="688" t="s">
        <v>905</v>
      </c>
      <c r="C99" s="687" t="e">
        <f>$C$10/$D$106</f>
        <v>#DIV/0!</v>
      </c>
      <c r="D99" s="686" t="e">
        <f>$C$10/$D$105</f>
        <v>#DIV/0!</v>
      </c>
      <c r="E99" s="685" t="e">
        <f>C99/D94</f>
        <v>#DIV/0!</v>
      </c>
      <c r="F99" s="674"/>
      <c r="G99" s="671"/>
      <c r="I99" s="675"/>
      <c r="J99" s="675"/>
      <c r="K99" s="675"/>
      <c r="L99" s="675"/>
      <c r="M99" s="675"/>
      <c r="N99" s="675"/>
    </row>
    <row r="100" spans="1:14" ht="16.2">
      <c r="A100" s="554"/>
      <c r="B100" s="672" t="s">
        <v>1081</v>
      </c>
      <c r="D100" s="673"/>
      <c r="E100" s="672"/>
      <c r="F100" s="674"/>
      <c r="G100" s="671"/>
      <c r="I100" s="675"/>
      <c r="J100" s="675"/>
      <c r="K100" s="675"/>
      <c r="L100" s="675"/>
      <c r="M100" s="675"/>
      <c r="N100" s="675"/>
    </row>
    <row r="101" spans="1:14" ht="16.8" thickBot="1">
      <c r="A101" s="552"/>
      <c r="B101" s="672"/>
      <c r="C101" s="672"/>
      <c r="D101" s="684"/>
      <c r="E101" s="672"/>
      <c r="F101" s="674"/>
      <c r="G101" s="671"/>
      <c r="I101" s="675"/>
      <c r="J101" s="675"/>
      <c r="K101" s="675"/>
      <c r="L101" s="675"/>
      <c r="M101" s="675"/>
      <c r="N101" s="675"/>
    </row>
    <row r="102" spans="1:14" ht="16.8" thickTop="1">
      <c r="B102" s="672"/>
      <c r="C102" s="683"/>
      <c r="D102" s="682"/>
      <c r="E102" s="672"/>
      <c r="F102" s="674"/>
      <c r="G102" s="671"/>
      <c r="I102" s="675"/>
      <c r="J102" s="675"/>
      <c r="K102" s="675"/>
      <c r="L102" s="675"/>
      <c r="M102" s="675"/>
      <c r="N102" s="675"/>
    </row>
    <row r="103" spans="1:14" ht="16.2">
      <c r="B103" s="672"/>
      <c r="C103" s="681" t="s">
        <v>1025</v>
      </c>
      <c r="D103" s="680">
        <f>Calculations!H60</f>
        <v>0</v>
      </c>
      <c r="E103" s="672"/>
      <c r="F103" s="674"/>
      <c r="G103" s="671"/>
      <c r="I103" s="675"/>
      <c r="J103" s="675"/>
      <c r="K103" s="675"/>
      <c r="L103" s="675"/>
      <c r="M103" s="675"/>
      <c r="N103" s="675"/>
    </row>
    <row r="104" spans="1:14" ht="16.2">
      <c r="B104" s="672"/>
      <c r="C104" s="681" t="s">
        <v>1027</v>
      </c>
      <c r="D104" s="680">
        <f>Calculations!M53</f>
        <v>0</v>
      </c>
      <c r="E104" s="672"/>
      <c r="F104" s="674"/>
      <c r="G104" s="671"/>
      <c r="I104" s="675"/>
      <c r="J104" s="675"/>
      <c r="K104" s="675"/>
      <c r="L104" s="675"/>
      <c r="M104" s="675"/>
      <c r="N104" s="675"/>
    </row>
    <row r="105" spans="1:14" ht="16.2">
      <c r="B105" s="672"/>
      <c r="C105" s="681" t="s">
        <v>1029</v>
      </c>
      <c r="D105" s="680">
        <f>D103+D104</f>
        <v>0</v>
      </c>
      <c r="E105" s="672"/>
      <c r="F105" s="674"/>
      <c r="G105" s="671"/>
      <c r="I105" s="675"/>
      <c r="J105" s="675"/>
      <c r="K105" s="675"/>
      <c r="L105" s="675"/>
      <c r="M105" s="675"/>
      <c r="N105" s="675"/>
    </row>
    <row r="106" spans="1:14" ht="16.8" thickBot="1">
      <c r="B106" s="672"/>
      <c r="C106" s="679" t="s">
        <v>882</v>
      </c>
      <c r="D106" s="678">
        <f>Calculations!H45</f>
        <v>0</v>
      </c>
      <c r="E106" s="672"/>
      <c r="F106" s="674"/>
      <c r="G106" s="671"/>
      <c r="I106" s="675"/>
      <c r="J106" s="675"/>
      <c r="K106" s="675"/>
      <c r="L106" s="675"/>
      <c r="M106" s="675"/>
      <c r="N106" s="675"/>
    </row>
    <row r="107" spans="1:14" ht="16.8" thickTop="1">
      <c r="B107" s="672"/>
      <c r="C107" s="677" t="s">
        <v>4170</v>
      </c>
      <c r="D107" s="676" t="e">
        <f>D104/D105</f>
        <v>#DIV/0!</v>
      </c>
      <c r="E107" s="672"/>
      <c r="F107" s="674"/>
      <c r="G107" s="671"/>
      <c r="I107" s="675"/>
      <c r="J107" s="675"/>
      <c r="K107" s="675"/>
      <c r="L107" s="675"/>
      <c r="M107" s="675"/>
      <c r="N107" s="675"/>
    </row>
    <row r="108" spans="1:14" ht="16.2">
      <c r="B108" s="672"/>
      <c r="C108" s="672"/>
      <c r="D108" s="673"/>
      <c r="E108" s="672"/>
      <c r="F108" s="674"/>
      <c r="G108" s="671"/>
      <c r="I108" s="675"/>
      <c r="J108" s="675"/>
      <c r="K108" s="675"/>
      <c r="L108" s="675"/>
      <c r="M108" s="675"/>
      <c r="N108" s="675"/>
    </row>
    <row r="109" spans="1:14" ht="16.2">
      <c r="B109" s="672"/>
      <c r="C109" s="672"/>
      <c r="D109" s="673"/>
      <c r="E109" s="672"/>
      <c r="F109" s="674"/>
      <c r="G109" s="671"/>
      <c r="I109" s="675"/>
      <c r="J109" s="675"/>
      <c r="K109" s="675"/>
      <c r="L109" s="675"/>
      <c r="M109" s="675"/>
      <c r="N109" s="675"/>
    </row>
    <row r="110" spans="1:14" ht="16.2">
      <c r="B110" s="672"/>
      <c r="C110" s="672"/>
      <c r="D110" s="673"/>
      <c r="E110" s="672"/>
      <c r="F110" s="674"/>
      <c r="G110" s="671"/>
      <c r="I110" s="675"/>
      <c r="J110" s="675"/>
      <c r="K110" s="675"/>
      <c r="L110" s="675"/>
      <c r="M110" s="675"/>
      <c r="N110" s="675"/>
    </row>
    <row r="111" spans="1:14" ht="16.2">
      <c r="B111" s="672"/>
      <c r="C111" s="672"/>
      <c r="D111" s="673"/>
      <c r="E111" s="672"/>
      <c r="F111" s="674"/>
      <c r="G111" s="671"/>
      <c r="I111" s="675"/>
      <c r="J111" s="675"/>
      <c r="K111" s="675"/>
      <c r="L111" s="675"/>
      <c r="M111" s="675"/>
      <c r="N111" s="675"/>
    </row>
    <row r="112" spans="1:14" ht="16.2">
      <c r="B112" s="672"/>
      <c r="C112" s="672"/>
      <c r="D112" s="673"/>
      <c r="E112" s="672"/>
      <c r="F112" s="674"/>
      <c r="G112" s="671"/>
      <c r="I112" s="675"/>
      <c r="J112" s="675"/>
      <c r="K112" s="675"/>
      <c r="L112" s="675"/>
      <c r="M112" s="675"/>
      <c r="N112" s="675"/>
    </row>
    <row r="113" spans="2:14" ht="16.2">
      <c r="B113" s="672"/>
      <c r="C113" s="672"/>
      <c r="D113" s="673"/>
      <c r="E113" s="672"/>
      <c r="F113" s="674"/>
      <c r="G113" s="671"/>
      <c r="I113" s="675"/>
      <c r="J113" s="675"/>
      <c r="K113" s="675"/>
      <c r="L113" s="675"/>
      <c r="M113" s="675"/>
      <c r="N113" s="675"/>
    </row>
    <row r="114" spans="2:14" ht="16.2">
      <c r="B114" s="672"/>
      <c r="C114" s="672"/>
      <c r="D114" s="673"/>
      <c r="E114" s="672"/>
      <c r="F114" s="674"/>
      <c r="G114" s="671"/>
      <c r="I114" s="675"/>
      <c r="J114" s="675"/>
      <c r="K114" s="675"/>
      <c r="L114" s="675"/>
      <c r="M114" s="675"/>
      <c r="N114" s="675"/>
    </row>
    <row r="115" spans="2:14" ht="16.2">
      <c r="B115" s="672"/>
      <c r="C115" s="672"/>
      <c r="D115" s="673"/>
      <c r="E115" s="672"/>
      <c r="F115" s="674"/>
      <c r="G115" s="671"/>
      <c r="I115" s="675"/>
      <c r="J115" s="675"/>
      <c r="K115" s="675"/>
      <c r="L115" s="675"/>
      <c r="M115" s="675"/>
      <c r="N115" s="675"/>
    </row>
    <row r="116" spans="2:14" ht="16.2">
      <c r="B116" s="672"/>
      <c r="C116" s="672"/>
      <c r="D116" s="673"/>
      <c r="E116" s="672"/>
      <c r="F116" s="674"/>
      <c r="G116" s="671"/>
      <c r="I116" s="675"/>
      <c r="J116" s="675"/>
      <c r="K116" s="675"/>
      <c r="L116" s="675"/>
      <c r="M116" s="675"/>
      <c r="N116" s="675"/>
    </row>
    <row r="117" spans="2:14" ht="16.2">
      <c r="B117" s="672"/>
      <c r="C117" s="672"/>
      <c r="D117" s="673"/>
      <c r="E117" s="672"/>
      <c r="F117" s="674"/>
      <c r="G117" s="671"/>
      <c r="I117" s="675"/>
      <c r="J117" s="675"/>
      <c r="K117" s="675"/>
      <c r="L117" s="675"/>
      <c r="M117" s="675"/>
      <c r="N117" s="675"/>
    </row>
    <row r="118" spans="2:14" ht="16.2">
      <c r="B118" s="672"/>
      <c r="C118" s="672"/>
      <c r="D118" s="673"/>
      <c r="E118" s="672"/>
      <c r="F118" s="674"/>
      <c r="G118" s="671"/>
      <c r="I118" s="675"/>
      <c r="J118" s="675"/>
      <c r="K118" s="675"/>
      <c r="L118" s="675"/>
      <c r="M118" s="675"/>
      <c r="N118" s="675"/>
    </row>
    <row r="119" spans="2:14" ht="16.2">
      <c r="B119" s="672"/>
      <c r="C119" s="672"/>
      <c r="D119" s="673"/>
      <c r="E119" s="672"/>
      <c r="F119" s="674"/>
      <c r="G119" s="671"/>
      <c r="I119" s="675"/>
      <c r="J119" s="675"/>
      <c r="K119" s="675"/>
      <c r="L119" s="675"/>
      <c r="M119" s="675"/>
      <c r="N119" s="675"/>
    </row>
    <row r="120" spans="2:14" ht="16.2">
      <c r="B120" s="672"/>
      <c r="C120" s="672"/>
      <c r="D120" s="673"/>
      <c r="E120" s="672"/>
      <c r="F120" s="674"/>
      <c r="G120" s="671"/>
      <c r="I120" s="675"/>
      <c r="J120" s="675"/>
      <c r="K120" s="675"/>
      <c r="L120" s="675"/>
      <c r="M120" s="675"/>
      <c r="N120" s="675"/>
    </row>
    <row r="121" spans="2:14" ht="16.2">
      <c r="B121" s="672"/>
      <c r="C121" s="672"/>
      <c r="D121" s="673"/>
      <c r="E121" s="672"/>
      <c r="F121" s="674"/>
      <c r="G121" s="671"/>
      <c r="I121" s="675"/>
      <c r="J121" s="675"/>
      <c r="K121" s="675"/>
      <c r="L121" s="675"/>
      <c r="M121" s="675"/>
      <c r="N121" s="675"/>
    </row>
    <row r="122" spans="2:14" ht="16.2">
      <c r="B122" s="672"/>
      <c r="C122" s="672"/>
      <c r="D122" s="673"/>
      <c r="E122" s="672"/>
      <c r="F122" s="674"/>
      <c r="G122" s="671"/>
      <c r="I122" s="675"/>
      <c r="J122" s="675"/>
      <c r="K122" s="675"/>
      <c r="L122" s="675"/>
      <c r="M122" s="675"/>
      <c r="N122" s="675"/>
    </row>
    <row r="123" spans="2:14" ht="16.2">
      <c r="B123" s="672"/>
      <c r="C123" s="672"/>
      <c r="D123" s="673"/>
      <c r="E123" s="672"/>
      <c r="F123" s="674"/>
      <c r="G123" s="671"/>
      <c r="I123" s="675"/>
      <c r="J123" s="675"/>
      <c r="K123" s="675"/>
      <c r="L123" s="675"/>
      <c r="M123" s="675"/>
      <c r="N123" s="675"/>
    </row>
    <row r="124" spans="2:14" ht="16.2">
      <c r="B124" s="672"/>
      <c r="C124" s="672"/>
      <c r="D124" s="673"/>
      <c r="E124" s="672"/>
      <c r="F124" s="674"/>
      <c r="G124" s="671"/>
      <c r="I124" s="675"/>
      <c r="J124" s="675"/>
      <c r="K124" s="675"/>
      <c r="L124" s="675"/>
      <c r="M124" s="675"/>
      <c r="N124" s="675"/>
    </row>
    <row r="125" spans="2:14" ht="16.2">
      <c r="B125" s="672"/>
      <c r="C125" s="672"/>
      <c r="D125" s="673"/>
      <c r="E125" s="672"/>
      <c r="F125" s="674"/>
      <c r="G125" s="671"/>
      <c r="I125" s="675"/>
      <c r="J125" s="675"/>
      <c r="K125" s="675"/>
      <c r="L125" s="675"/>
      <c r="M125" s="675"/>
      <c r="N125" s="675"/>
    </row>
    <row r="126" spans="2:14" ht="16.2">
      <c r="B126" s="672"/>
      <c r="C126" s="672"/>
      <c r="D126" s="673"/>
      <c r="E126" s="672"/>
      <c r="F126" s="674"/>
      <c r="G126" s="671"/>
      <c r="I126" s="675"/>
      <c r="J126" s="675"/>
      <c r="K126" s="675"/>
      <c r="L126" s="675"/>
      <c r="M126" s="675"/>
      <c r="N126" s="675"/>
    </row>
    <row r="127" spans="2:14" ht="16.2">
      <c r="B127" s="672"/>
      <c r="C127" s="672"/>
      <c r="D127" s="673"/>
      <c r="E127" s="672"/>
      <c r="F127" s="674"/>
      <c r="G127" s="671"/>
      <c r="I127" s="675"/>
      <c r="J127" s="675"/>
      <c r="K127" s="675"/>
      <c r="L127" s="675"/>
      <c r="M127" s="675"/>
      <c r="N127" s="675"/>
    </row>
    <row r="128" spans="2:14" ht="16.2">
      <c r="B128" s="672"/>
      <c r="C128" s="672"/>
      <c r="D128" s="673"/>
      <c r="E128" s="672"/>
      <c r="F128" s="674"/>
      <c r="G128" s="671"/>
      <c r="I128" s="675"/>
      <c r="J128" s="675"/>
      <c r="K128" s="675"/>
      <c r="L128" s="675"/>
      <c r="M128" s="675"/>
      <c r="N128" s="675"/>
    </row>
    <row r="129" spans="2:14" ht="16.2">
      <c r="B129" s="672"/>
      <c r="C129" s="672"/>
      <c r="D129" s="673"/>
      <c r="E129" s="672"/>
      <c r="F129" s="674"/>
      <c r="G129" s="671"/>
      <c r="I129" s="675"/>
      <c r="J129" s="675"/>
      <c r="K129" s="675"/>
      <c r="L129" s="675"/>
      <c r="M129" s="675"/>
      <c r="N129" s="675"/>
    </row>
    <row r="130" spans="2:14" ht="16.2">
      <c r="B130" s="672"/>
      <c r="C130" s="672"/>
      <c r="D130" s="673"/>
      <c r="E130" s="672"/>
      <c r="F130" s="674"/>
      <c r="G130" s="671"/>
      <c r="I130" s="675"/>
      <c r="J130" s="675"/>
      <c r="K130" s="675"/>
      <c r="L130" s="675"/>
      <c r="M130" s="675"/>
      <c r="N130" s="675"/>
    </row>
    <row r="131" spans="2:14" ht="16.2">
      <c r="B131" s="672"/>
      <c r="C131" s="672"/>
      <c r="D131" s="673"/>
      <c r="E131" s="672"/>
      <c r="F131" s="674"/>
      <c r="G131" s="671"/>
      <c r="I131" s="675"/>
      <c r="J131" s="675"/>
      <c r="K131" s="675"/>
      <c r="L131" s="675"/>
      <c r="M131" s="675"/>
      <c r="N131" s="675"/>
    </row>
    <row r="132" spans="2:14" ht="16.2">
      <c r="B132" s="672"/>
      <c r="C132" s="672"/>
      <c r="D132" s="673"/>
      <c r="E132" s="672"/>
      <c r="F132" s="674"/>
      <c r="G132" s="671"/>
      <c r="I132" s="675"/>
      <c r="J132" s="675"/>
      <c r="K132" s="675"/>
      <c r="L132" s="675"/>
      <c r="M132" s="675"/>
      <c r="N132" s="675"/>
    </row>
    <row r="133" spans="2:14" ht="16.2">
      <c r="B133" s="672"/>
      <c r="C133" s="672"/>
      <c r="D133" s="673"/>
      <c r="E133" s="672"/>
      <c r="F133" s="674"/>
      <c r="G133" s="671"/>
      <c r="I133" s="675"/>
      <c r="J133" s="675"/>
      <c r="K133" s="675"/>
      <c r="L133" s="675"/>
      <c r="M133" s="675"/>
      <c r="N133" s="675"/>
    </row>
    <row r="134" spans="2:14" ht="16.2">
      <c r="B134" s="672"/>
      <c r="C134" s="672"/>
      <c r="D134" s="673"/>
      <c r="E134" s="672"/>
      <c r="F134" s="674"/>
      <c r="G134" s="671"/>
      <c r="I134" s="675"/>
      <c r="J134" s="675"/>
      <c r="K134" s="675"/>
      <c r="L134" s="675"/>
      <c r="M134" s="675"/>
      <c r="N134" s="675"/>
    </row>
    <row r="135" spans="2:14" ht="16.2">
      <c r="B135" s="672"/>
      <c r="C135" s="672"/>
      <c r="D135" s="673"/>
      <c r="E135" s="672"/>
      <c r="F135" s="674"/>
      <c r="G135" s="671"/>
      <c r="I135" s="675"/>
      <c r="J135" s="675"/>
      <c r="K135" s="675"/>
      <c r="L135" s="675"/>
      <c r="M135" s="675"/>
      <c r="N135" s="675"/>
    </row>
    <row r="136" spans="2:14" ht="16.2">
      <c r="B136" s="672"/>
      <c r="C136" s="672"/>
      <c r="D136" s="673"/>
      <c r="E136" s="672"/>
      <c r="F136" s="674"/>
      <c r="G136" s="671"/>
      <c r="I136" s="675"/>
      <c r="J136" s="675"/>
      <c r="K136" s="675"/>
      <c r="L136" s="675"/>
      <c r="M136" s="675"/>
      <c r="N136" s="675"/>
    </row>
    <row r="137" spans="2:14" ht="16.2">
      <c r="B137" s="672"/>
      <c r="C137" s="672"/>
      <c r="D137" s="673"/>
      <c r="E137" s="672"/>
      <c r="F137" s="674"/>
      <c r="G137" s="671"/>
      <c r="I137" s="675"/>
      <c r="J137" s="675"/>
      <c r="K137" s="675"/>
      <c r="L137" s="675"/>
      <c r="M137" s="675"/>
      <c r="N137" s="675"/>
    </row>
    <row r="138" spans="2:14" ht="16.2">
      <c r="B138" s="672"/>
      <c r="C138" s="672"/>
      <c r="D138" s="673"/>
      <c r="E138" s="672"/>
      <c r="F138" s="674"/>
      <c r="G138" s="671"/>
      <c r="I138" s="675"/>
      <c r="J138" s="675"/>
      <c r="K138" s="675"/>
      <c r="L138" s="675"/>
      <c r="M138" s="675"/>
      <c r="N138" s="675"/>
    </row>
    <row r="139" spans="2:14" ht="16.2">
      <c r="B139" s="672"/>
      <c r="C139" s="672"/>
      <c r="D139" s="673"/>
      <c r="E139" s="672"/>
      <c r="F139" s="674"/>
      <c r="G139" s="671"/>
      <c r="I139" s="675"/>
      <c r="J139" s="675"/>
      <c r="K139" s="675"/>
      <c r="L139" s="675"/>
      <c r="M139" s="675"/>
      <c r="N139" s="675"/>
    </row>
    <row r="140" spans="2:14" ht="16.2">
      <c r="B140" s="672"/>
      <c r="C140" s="672"/>
      <c r="D140" s="673"/>
      <c r="E140" s="672"/>
      <c r="F140" s="674"/>
      <c r="G140" s="671"/>
      <c r="I140" s="675"/>
      <c r="J140" s="675"/>
      <c r="K140" s="675"/>
      <c r="L140" s="675"/>
      <c r="M140" s="675"/>
      <c r="N140" s="675"/>
    </row>
    <row r="141" spans="2:14" ht="16.2">
      <c r="B141" s="672"/>
      <c r="C141" s="672"/>
      <c r="D141" s="673"/>
      <c r="E141" s="672"/>
      <c r="F141" s="674"/>
      <c r="G141" s="671"/>
      <c r="I141" s="675"/>
      <c r="J141" s="675"/>
      <c r="K141" s="675"/>
      <c r="L141" s="675"/>
      <c r="M141" s="675"/>
      <c r="N141" s="675"/>
    </row>
    <row r="142" spans="2:14" ht="16.2">
      <c r="B142" s="672"/>
      <c r="C142" s="672"/>
      <c r="D142" s="673"/>
      <c r="E142" s="672"/>
      <c r="F142" s="674"/>
      <c r="G142" s="671"/>
      <c r="I142" s="675"/>
      <c r="J142" s="675"/>
      <c r="K142" s="675"/>
      <c r="L142" s="675"/>
      <c r="M142" s="675"/>
      <c r="N142" s="675"/>
    </row>
    <row r="143" spans="2:14" ht="16.2">
      <c r="B143" s="672"/>
      <c r="C143" s="672"/>
      <c r="D143" s="673"/>
      <c r="E143" s="672"/>
      <c r="F143" s="674"/>
      <c r="G143" s="671"/>
      <c r="I143" s="675"/>
      <c r="J143" s="675"/>
      <c r="K143" s="675"/>
      <c r="L143" s="675"/>
      <c r="M143" s="675"/>
      <c r="N143" s="675"/>
    </row>
    <row r="144" spans="2:14" ht="16.2">
      <c r="B144" s="672"/>
      <c r="C144" s="672"/>
      <c r="D144" s="673"/>
      <c r="E144" s="672"/>
      <c r="F144" s="674"/>
      <c r="G144" s="671"/>
      <c r="I144" s="675"/>
      <c r="J144" s="675"/>
      <c r="K144" s="675"/>
      <c r="L144" s="675"/>
      <c r="M144" s="675"/>
      <c r="N144" s="675"/>
    </row>
    <row r="145" spans="2:14" ht="16.2">
      <c r="B145" s="672"/>
      <c r="C145" s="672"/>
      <c r="D145" s="673"/>
      <c r="E145" s="672"/>
      <c r="F145" s="674"/>
      <c r="G145" s="671"/>
      <c r="I145" s="675"/>
      <c r="J145" s="675"/>
      <c r="K145" s="675"/>
      <c r="L145" s="675"/>
      <c r="M145" s="675"/>
      <c r="N145" s="675"/>
    </row>
    <row r="146" spans="2:14" ht="16.2">
      <c r="B146" s="672"/>
      <c r="C146" s="672"/>
      <c r="D146" s="673"/>
      <c r="E146" s="672"/>
      <c r="F146" s="674"/>
      <c r="G146" s="671"/>
      <c r="I146" s="675"/>
      <c r="J146" s="675"/>
      <c r="K146" s="675"/>
      <c r="L146" s="675"/>
      <c r="M146" s="675"/>
      <c r="N146" s="675"/>
    </row>
    <row r="147" spans="2:14" ht="16.2">
      <c r="B147" s="672"/>
      <c r="C147" s="672"/>
      <c r="D147" s="673"/>
      <c r="E147" s="672"/>
      <c r="F147" s="674"/>
      <c r="G147" s="671"/>
      <c r="I147" s="675"/>
      <c r="J147" s="675"/>
      <c r="K147" s="675"/>
      <c r="L147" s="675"/>
      <c r="M147" s="675"/>
      <c r="N147" s="675"/>
    </row>
    <row r="148" spans="2:14" ht="16.2">
      <c r="B148" s="672"/>
      <c r="C148" s="672"/>
      <c r="D148" s="673"/>
      <c r="E148" s="672"/>
      <c r="F148" s="674"/>
      <c r="G148" s="671"/>
      <c r="I148" s="675"/>
      <c r="J148" s="675"/>
      <c r="K148" s="675"/>
      <c r="L148" s="675"/>
      <c r="M148" s="675"/>
      <c r="N148" s="675"/>
    </row>
    <row r="149" spans="2:14" ht="16.2">
      <c r="B149" s="672"/>
      <c r="C149" s="672"/>
      <c r="D149" s="673"/>
      <c r="E149" s="672"/>
      <c r="F149" s="674"/>
      <c r="G149" s="671"/>
      <c r="I149" s="675"/>
      <c r="J149" s="675"/>
      <c r="K149" s="675"/>
      <c r="L149" s="675"/>
      <c r="M149" s="675"/>
      <c r="N149" s="675"/>
    </row>
    <row r="150" spans="2:14" ht="16.2">
      <c r="B150" s="672"/>
      <c r="C150" s="672"/>
      <c r="D150" s="673"/>
      <c r="E150" s="672"/>
      <c r="F150" s="674"/>
      <c r="G150" s="671"/>
      <c r="I150" s="675"/>
      <c r="J150" s="675"/>
      <c r="K150" s="675"/>
      <c r="L150" s="675"/>
      <c r="M150" s="675"/>
      <c r="N150" s="675"/>
    </row>
    <row r="151" spans="2:14" ht="16.2">
      <c r="B151" s="672"/>
      <c r="C151" s="672"/>
      <c r="D151" s="673"/>
      <c r="E151" s="672"/>
      <c r="F151" s="674"/>
      <c r="G151" s="671"/>
      <c r="I151" s="675"/>
      <c r="J151" s="675"/>
      <c r="K151" s="675"/>
      <c r="L151" s="675"/>
      <c r="M151" s="675"/>
      <c r="N151" s="675"/>
    </row>
    <row r="152" spans="2:14" ht="16.2">
      <c r="B152" s="672"/>
      <c r="C152" s="672"/>
      <c r="D152" s="673"/>
      <c r="E152" s="672"/>
      <c r="F152" s="674"/>
      <c r="G152" s="671"/>
      <c r="I152" s="675"/>
      <c r="J152" s="675"/>
      <c r="K152" s="675"/>
      <c r="L152" s="675"/>
      <c r="M152" s="675"/>
      <c r="N152" s="675"/>
    </row>
    <row r="153" spans="2:14" ht="16.2">
      <c r="B153" s="672"/>
      <c r="C153" s="672"/>
      <c r="D153" s="673"/>
      <c r="E153" s="672"/>
      <c r="F153" s="674"/>
      <c r="G153" s="671"/>
      <c r="I153" s="675"/>
      <c r="J153" s="675"/>
      <c r="K153" s="675"/>
      <c r="L153" s="675"/>
      <c r="M153" s="675"/>
      <c r="N153" s="675"/>
    </row>
    <row r="154" spans="2:14" ht="16.2">
      <c r="B154" s="672"/>
      <c r="C154" s="672"/>
      <c r="D154" s="673"/>
      <c r="E154" s="672"/>
      <c r="F154" s="674"/>
      <c r="G154" s="671"/>
      <c r="I154" s="675"/>
      <c r="J154" s="675"/>
      <c r="K154" s="675"/>
      <c r="L154" s="675"/>
      <c r="M154" s="675"/>
      <c r="N154" s="675"/>
    </row>
    <row r="155" spans="2:14" ht="16.2">
      <c r="B155" s="672"/>
      <c r="C155" s="672"/>
      <c r="D155" s="673"/>
      <c r="E155" s="672"/>
      <c r="F155" s="674"/>
      <c r="G155" s="671"/>
      <c r="I155" s="675"/>
      <c r="J155" s="675"/>
      <c r="K155" s="675"/>
      <c r="L155" s="675"/>
      <c r="M155" s="675"/>
      <c r="N155" s="675"/>
    </row>
    <row r="156" spans="2:14" ht="16.2">
      <c r="B156" s="672"/>
      <c r="C156" s="672"/>
      <c r="D156" s="673"/>
      <c r="E156" s="672"/>
      <c r="F156" s="674"/>
      <c r="G156" s="671"/>
      <c r="I156" s="675"/>
      <c r="J156" s="675"/>
      <c r="K156" s="675"/>
      <c r="L156" s="675"/>
      <c r="M156" s="675"/>
      <c r="N156" s="675"/>
    </row>
    <row r="157" spans="2:14" ht="16.2">
      <c r="B157" s="672"/>
      <c r="C157" s="672"/>
      <c r="D157" s="673"/>
      <c r="E157" s="672"/>
      <c r="F157" s="674"/>
      <c r="G157" s="671"/>
      <c r="I157" s="675"/>
      <c r="J157" s="675"/>
      <c r="K157" s="675"/>
      <c r="L157" s="675"/>
      <c r="M157" s="675"/>
      <c r="N157" s="675"/>
    </row>
    <row r="158" spans="2:14" ht="16.2">
      <c r="B158" s="672"/>
      <c r="C158" s="672"/>
      <c r="D158" s="673"/>
      <c r="E158" s="672"/>
      <c r="F158" s="674"/>
      <c r="G158" s="671"/>
      <c r="I158" s="675"/>
      <c r="J158" s="675"/>
      <c r="K158" s="675"/>
      <c r="L158" s="675"/>
      <c r="M158" s="675"/>
      <c r="N158" s="675"/>
    </row>
    <row r="159" spans="2:14" ht="16.2">
      <c r="B159" s="672"/>
      <c r="C159" s="672"/>
      <c r="D159" s="673"/>
      <c r="E159" s="672"/>
      <c r="F159" s="674"/>
      <c r="G159" s="671"/>
      <c r="I159" s="675"/>
      <c r="J159" s="675"/>
      <c r="K159" s="675"/>
      <c r="L159" s="675"/>
      <c r="M159" s="675"/>
      <c r="N159" s="675"/>
    </row>
    <row r="160" spans="2:14" ht="16.2">
      <c r="B160" s="672"/>
      <c r="C160" s="672"/>
      <c r="D160" s="673"/>
      <c r="E160" s="672"/>
      <c r="F160" s="674"/>
      <c r="G160" s="671"/>
      <c r="I160" s="675"/>
      <c r="J160" s="675"/>
      <c r="K160" s="675"/>
      <c r="L160" s="675"/>
      <c r="M160" s="675"/>
      <c r="N160" s="675"/>
    </row>
    <row r="161" spans="2:14" ht="16.2">
      <c r="B161" s="672"/>
      <c r="C161" s="672"/>
      <c r="D161" s="673"/>
      <c r="E161" s="672"/>
      <c r="F161" s="674"/>
      <c r="G161" s="671"/>
      <c r="I161" s="675"/>
      <c r="J161" s="675"/>
      <c r="K161" s="675"/>
      <c r="L161" s="675"/>
      <c r="M161" s="675"/>
      <c r="N161" s="675"/>
    </row>
    <row r="162" spans="2:14" ht="16.2">
      <c r="B162" s="672"/>
      <c r="C162" s="672"/>
      <c r="D162" s="673"/>
      <c r="E162" s="672"/>
      <c r="F162" s="674"/>
      <c r="G162" s="671"/>
      <c r="I162" s="675"/>
      <c r="J162" s="675"/>
      <c r="K162" s="675"/>
      <c r="L162" s="675"/>
      <c r="M162" s="675"/>
      <c r="N162" s="675"/>
    </row>
    <row r="163" spans="2:14" ht="16.2">
      <c r="B163" s="672"/>
      <c r="C163" s="672"/>
      <c r="D163" s="673"/>
      <c r="E163" s="672"/>
      <c r="F163" s="674"/>
      <c r="G163" s="671"/>
      <c r="I163" s="675"/>
      <c r="J163" s="675"/>
      <c r="K163" s="675"/>
      <c r="L163" s="675"/>
      <c r="M163" s="675"/>
      <c r="N163" s="675"/>
    </row>
    <row r="164" spans="2:14" ht="16.2">
      <c r="B164" s="672"/>
      <c r="C164" s="672"/>
      <c r="D164" s="673"/>
      <c r="E164" s="672"/>
      <c r="F164" s="674"/>
      <c r="G164" s="671"/>
      <c r="I164" s="675"/>
      <c r="J164" s="675"/>
      <c r="K164" s="675"/>
      <c r="L164" s="675"/>
      <c r="M164" s="675"/>
      <c r="N164" s="675"/>
    </row>
    <row r="165" spans="2:14" ht="16.2">
      <c r="B165" s="672"/>
      <c r="C165" s="672"/>
      <c r="D165" s="673"/>
      <c r="E165" s="672"/>
      <c r="F165" s="674"/>
      <c r="G165" s="671"/>
      <c r="I165" s="675"/>
      <c r="J165" s="675"/>
      <c r="K165" s="675"/>
      <c r="L165" s="675"/>
      <c r="M165" s="675"/>
      <c r="N165" s="675"/>
    </row>
    <row r="166" spans="2:14" ht="16.2">
      <c r="B166" s="672"/>
      <c r="C166" s="672"/>
      <c r="D166" s="673"/>
      <c r="E166" s="672"/>
      <c r="F166" s="674"/>
      <c r="G166" s="671"/>
      <c r="I166" s="675"/>
      <c r="J166" s="675"/>
      <c r="K166" s="675"/>
      <c r="L166" s="675"/>
      <c r="M166" s="675"/>
      <c r="N166" s="675"/>
    </row>
    <row r="167" spans="2:14" ht="16.2">
      <c r="B167" s="672"/>
      <c r="C167" s="672"/>
      <c r="D167" s="673"/>
      <c r="E167" s="672"/>
      <c r="F167" s="674"/>
      <c r="G167" s="671"/>
      <c r="I167" s="675"/>
      <c r="J167" s="675"/>
      <c r="K167" s="675"/>
      <c r="L167" s="675"/>
      <c r="M167" s="675"/>
      <c r="N167" s="675"/>
    </row>
    <row r="168" spans="2:14" ht="16.2">
      <c r="B168" s="672"/>
      <c r="C168" s="672"/>
      <c r="D168" s="673"/>
      <c r="E168" s="672"/>
      <c r="F168" s="674"/>
      <c r="G168" s="671"/>
      <c r="I168" s="675"/>
      <c r="J168" s="675"/>
      <c r="K168" s="675"/>
      <c r="L168" s="675"/>
      <c r="M168" s="675"/>
      <c r="N168" s="675"/>
    </row>
    <row r="169" spans="2:14" ht="16.2">
      <c r="B169" s="672"/>
      <c r="C169" s="672"/>
      <c r="D169" s="673"/>
      <c r="E169" s="672"/>
      <c r="F169" s="674"/>
      <c r="G169" s="671"/>
      <c r="I169" s="675"/>
      <c r="J169" s="675"/>
      <c r="K169" s="675"/>
      <c r="L169" s="675"/>
      <c r="M169" s="675"/>
      <c r="N169" s="675"/>
    </row>
    <row r="170" spans="2:14" ht="16.2">
      <c r="B170" s="672"/>
      <c r="C170" s="672"/>
      <c r="D170" s="673"/>
      <c r="E170" s="672"/>
      <c r="F170" s="674"/>
      <c r="G170" s="671"/>
      <c r="I170" s="675"/>
      <c r="J170" s="675"/>
      <c r="K170" s="675"/>
      <c r="L170" s="675"/>
      <c r="M170" s="675"/>
      <c r="N170" s="675"/>
    </row>
    <row r="171" spans="2:14" ht="16.2">
      <c r="B171" s="672"/>
      <c r="C171" s="672"/>
      <c r="D171" s="673"/>
      <c r="E171" s="672"/>
      <c r="F171" s="674"/>
      <c r="G171" s="671"/>
      <c r="I171" s="675"/>
      <c r="J171" s="675"/>
      <c r="K171" s="675"/>
      <c r="L171" s="675"/>
      <c r="M171" s="675"/>
      <c r="N171" s="675"/>
    </row>
    <row r="172" spans="2:14" ht="16.2">
      <c r="B172" s="672"/>
      <c r="C172" s="672"/>
      <c r="D172" s="673"/>
      <c r="E172" s="672"/>
      <c r="F172" s="674"/>
      <c r="G172" s="671"/>
      <c r="I172" s="675"/>
      <c r="J172" s="675"/>
      <c r="K172" s="675"/>
      <c r="L172" s="675"/>
      <c r="M172" s="675"/>
      <c r="N172" s="675"/>
    </row>
    <row r="173" spans="2:14" ht="16.2">
      <c r="B173" s="672"/>
      <c r="C173" s="672"/>
      <c r="D173" s="673"/>
      <c r="E173" s="672"/>
      <c r="F173" s="674"/>
      <c r="G173" s="671"/>
      <c r="I173" s="675"/>
      <c r="J173" s="675"/>
      <c r="K173" s="675"/>
      <c r="L173" s="675"/>
      <c r="M173" s="675"/>
      <c r="N173" s="675"/>
    </row>
    <row r="174" spans="2:14" ht="16.2">
      <c r="B174" s="672"/>
      <c r="C174" s="672"/>
      <c r="D174" s="673"/>
      <c r="E174" s="672"/>
      <c r="F174" s="674"/>
      <c r="G174" s="671"/>
      <c r="I174" s="675"/>
      <c r="J174" s="675"/>
      <c r="K174" s="675"/>
      <c r="L174" s="675"/>
      <c r="M174" s="675"/>
      <c r="N174" s="675"/>
    </row>
    <row r="175" spans="2:14" ht="16.2">
      <c r="B175" s="672"/>
      <c r="C175" s="672"/>
      <c r="D175" s="673"/>
      <c r="E175" s="672"/>
      <c r="F175" s="674"/>
      <c r="G175" s="671"/>
      <c r="I175" s="675"/>
      <c r="J175" s="675"/>
      <c r="K175" s="675"/>
      <c r="L175" s="675"/>
      <c r="M175" s="675"/>
      <c r="N175" s="675"/>
    </row>
    <row r="176" spans="2:14" ht="16.2">
      <c r="B176" s="672"/>
      <c r="C176" s="672"/>
      <c r="D176" s="673"/>
      <c r="E176" s="672"/>
      <c r="F176" s="674"/>
      <c r="G176" s="671"/>
      <c r="I176" s="675"/>
      <c r="J176" s="675"/>
      <c r="K176" s="675"/>
      <c r="L176" s="675"/>
      <c r="M176" s="675"/>
      <c r="N176" s="675"/>
    </row>
    <row r="177" spans="2:14" ht="16.2">
      <c r="B177" s="672"/>
      <c r="C177" s="672"/>
      <c r="D177" s="673"/>
      <c r="E177" s="672"/>
      <c r="F177" s="674"/>
      <c r="G177" s="671"/>
      <c r="I177" s="675"/>
      <c r="J177" s="675"/>
      <c r="K177" s="675"/>
      <c r="L177" s="675"/>
      <c r="M177" s="675"/>
      <c r="N177" s="675"/>
    </row>
    <row r="178" spans="2:14" ht="16.2">
      <c r="B178" s="672"/>
      <c r="C178" s="672"/>
      <c r="D178" s="673"/>
      <c r="E178" s="672"/>
      <c r="F178" s="674"/>
      <c r="G178" s="671"/>
      <c r="I178" s="675"/>
      <c r="J178" s="675"/>
      <c r="K178" s="675"/>
      <c r="L178" s="675"/>
      <c r="M178" s="675"/>
      <c r="N178" s="675"/>
    </row>
    <row r="179" spans="2:14" ht="16.2">
      <c r="B179" s="672"/>
      <c r="C179" s="672"/>
      <c r="D179" s="673"/>
      <c r="E179" s="672"/>
      <c r="F179" s="674"/>
      <c r="G179" s="671"/>
      <c r="I179" s="675"/>
      <c r="J179" s="675"/>
      <c r="K179" s="675"/>
      <c r="L179" s="675"/>
      <c r="M179" s="675"/>
      <c r="N179" s="675"/>
    </row>
    <row r="180" spans="2:14" ht="16.2">
      <c r="B180" s="672"/>
      <c r="C180" s="672"/>
      <c r="D180" s="673"/>
      <c r="E180" s="672"/>
      <c r="F180" s="674"/>
      <c r="G180" s="671"/>
      <c r="I180" s="675"/>
      <c r="J180" s="675"/>
      <c r="K180" s="675"/>
      <c r="L180" s="675"/>
      <c r="M180" s="675"/>
      <c r="N180" s="675"/>
    </row>
    <row r="181" spans="2:14" ht="16.2">
      <c r="B181" s="672"/>
      <c r="C181" s="672"/>
      <c r="D181" s="673"/>
      <c r="E181" s="672"/>
      <c r="F181" s="674"/>
      <c r="G181" s="671"/>
      <c r="I181" s="675"/>
      <c r="J181" s="675"/>
      <c r="K181" s="675"/>
      <c r="L181" s="675"/>
      <c r="M181" s="675"/>
      <c r="N181" s="675"/>
    </row>
    <row r="182" spans="2:14" ht="16.2">
      <c r="B182" s="672"/>
      <c r="C182" s="672"/>
      <c r="D182" s="673"/>
      <c r="E182" s="672"/>
      <c r="F182" s="674"/>
      <c r="G182" s="671"/>
      <c r="I182" s="675"/>
      <c r="J182" s="675"/>
      <c r="K182" s="675"/>
      <c r="L182" s="675"/>
      <c r="M182" s="675"/>
      <c r="N182" s="675"/>
    </row>
    <row r="183" spans="2:14" ht="16.2">
      <c r="B183" s="672"/>
      <c r="C183" s="672"/>
      <c r="D183" s="673"/>
      <c r="E183" s="672"/>
      <c r="F183" s="674"/>
      <c r="G183" s="671"/>
      <c r="I183" s="675"/>
      <c r="J183" s="675"/>
      <c r="K183" s="675"/>
      <c r="L183" s="675"/>
      <c r="M183" s="675"/>
      <c r="N183" s="675"/>
    </row>
    <row r="184" spans="2:14" ht="16.2">
      <c r="B184" s="672"/>
      <c r="C184" s="672"/>
      <c r="D184" s="673"/>
      <c r="E184" s="672"/>
      <c r="F184" s="674"/>
      <c r="G184" s="671"/>
      <c r="I184" s="675"/>
      <c r="J184" s="675"/>
      <c r="K184" s="675"/>
      <c r="L184" s="675"/>
      <c r="M184" s="675"/>
      <c r="N184" s="675"/>
    </row>
    <row r="185" spans="2:14" ht="16.2">
      <c r="B185" s="672"/>
      <c r="C185" s="672"/>
      <c r="D185" s="673"/>
      <c r="E185" s="672"/>
      <c r="F185" s="674"/>
      <c r="G185" s="671"/>
      <c r="I185" s="675"/>
      <c r="J185" s="675"/>
      <c r="K185" s="675"/>
      <c r="L185" s="675"/>
      <c r="M185" s="675"/>
      <c r="N185" s="675"/>
    </row>
    <row r="186" spans="2:14" ht="16.2">
      <c r="B186" s="672"/>
      <c r="C186" s="672"/>
      <c r="D186" s="673"/>
      <c r="E186" s="672"/>
      <c r="F186" s="674"/>
      <c r="G186" s="671"/>
      <c r="I186" s="675"/>
      <c r="J186" s="675"/>
      <c r="K186" s="675"/>
      <c r="L186" s="675"/>
      <c r="M186" s="675"/>
      <c r="N186" s="675"/>
    </row>
    <row r="187" spans="2:14" ht="16.2">
      <c r="B187" s="672"/>
      <c r="C187" s="672"/>
      <c r="D187" s="673"/>
      <c r="E187" s="672"/>
      <c r="F187" s="674"/>
      <c r="G187" s="671"/>
      <c r="I187" s="675"/>
      <c r="J187" s="675"/>
      <c r="K187" s="675"/>
      <c r="L187" s="675"/>
      <c r="M187" s="675"/>
      <c r="N187" s="675"/>
    </row>
    <row r="188" spans="2:14" ht="16.2">
      <c r="B188" s="672"/>
      <c r="C188" s="672"/>
      <c r="D188" s="673"/>
      <c r="E188" s="672"/>
      <c r="F188" s="674"/>
      <c r="G188" s="671"/>
      <c r="I188" s="675"/>
      <c r="J188" s="675"/>
      <c r="K188" s="675"/>
      <c r="L188" s="675"/>
      <c r="M188" s="675"/>
      <c r="N188" s="675"/>
    </row>
    <row r="189" spans="2:14" ht="16.2">
      <c r="B189" s="672"/>
      <c r="C189" s="672"/>
      <c r="D189" s="673"/>
      <c r="E189" s="672"/>
      <c r="F189" s="674"/>
      <c r="G189" s="671"/>
      <c r="I189" s="675"/>
      <c r="J189" s="675"/>
      <c r="K189" s="675"/>
      <c r="L189" s="675"/>
      <c r="M189" s="675"/>
      <c r="N189" s="675"/>
    </row>
    <row r="190" spans="2:14" ht="16.2">
      <c r="B190" s="672"/>
      <c r="C190" s="672"/>
      <c r="D190" s="673"/>
      <c r="E190" s="672"/>
      <c r="F190" s="674"/>
      <c r="G190" s="671"/>
      <c r="I190" s="675"/>
      <c r="J190" s="675"/>
      <c r="K190" s="675"/>
      <c r="L190" s="675"/>
      <c r="M190" s="675"/>
      <c r="N190" s="675"/>
    </row>
    <row r="191" spans="2:14" ht="16.2">
      <c r="B191" s="672"/>
      <c r="C191" s="672"/>
      <c r="D191" s="673"/>
      <c r="E191" s="672"/>
      <c r="F191" s="674"/>
      <c r="G191" s="671"/>
      <c r="I191" s="675"/>
      <c r="J191" s="675"/>
      <c r="K191" s="675"/>
      <c r="L191" s="675"/>
      <c r="M191" s="675"/>
      <c r="N191" s="675"/>
    </row>
    <row r="192" spans="2:14" ht="16.2">
      <c r="B192" s="672"/>
      <c r="C192" s="672"/>
      <c r="D192" s="673"/>
      <c r="E192" s="672"/>
      <c r="F192" s="674"/>
      <c r="G192" s="671"/>
      <c r="I192" s="675"/>
      <c r="J192" s="675"/>
      <c r="K192" s="675"/>
      <c r="L192" s="675"/>
      <c r="M192" s="675"/>
      <c r="N192" s="675"/>
    </row>
    <row r="193" spans="2:14" ht="16.2">
      <c r="B193" s="672"/>
      <c r="C193" s="672"/>
      <c r="D193" s="673"/>
      <c r="E193" s="672"/>
      <c r="F193" s="674"/>
      <c r="G193" s="671"/>
      <c r="I193" s="675"/>
      <c r="J193" s="675"/>
      <c r="K193" s="675"/>
      <c r="L193" s="675"/>
      <c r="M193" s="675"/>
      <c r="N193" s="675"/>
    </row>
    <row r="194" spans="2:14" ht="16.2">
      <c r="B194" s="672"/>
      <c r="C194" s="672"/>
      <c r="D194" s="673"/>
      <c r="E194" s="672"/>
      <c r="F194" s="674"/>
      <c r="G194" s="671"/>
      <c r="I194" s="675"/>
      <c r="J194" s="675"/>
      <c r="K194" s="675"/>
      <c r="L194" s="675"/>
      <c r="M194" s="675"/>
      <c r="N194" s="675"/>
    </row>
    <row r="195" spans="2:14" ht="16.2">
      <c r="B195" s="672"/>
      <c r="C195" s="672"/>
      <c r="D195" s="673"/>
      <c r="E195" s="672"/>
      <c r="F195" s="674"/>
      <c r="G195" s="671"/>
      <c r="I195" s="675"/>
      <c r="J195" s="675"/>
      <c r="K195" s="675"/>
      <c r="L195" s="675"/>
      <c r="M195" s="675"/>
      <c r="N195" s="675"/>
    </row>
    <row r="196" spans="2:14" ht="16.2">
      <c r="B196" s="672"/>
      <c r="C196" s="672"/>
      <c r="D196" s="673"/>
      <c r="E196" s="672"/>
      <c r="F196" s="674"/>
      <c r="G196" s="671"/>
      <c r="I196" s="675"/>
      <c r="J196" s="675"/>
      <c r="K196" s="675"/>
      <c r="L196" s="675"/>
      <c r="M196" s="675"/>
      <c r="N196" s="675"/>
    </row>
    <row r="197" spans="2:14" ht="16.2">
      <c r="B197" s="672"/>
      <c r="C197" s="672"/>
      <c r="D197" s="673"/>
      <c r="E197" s="672"/>
      <c r="F197" s="674"/>
      <c r="G197" s="671"/>
      <c r="I197" s="675"/>
      <c r="J197" s="675"/>
      <c r="K197" s="675"/>
      <c r="L197" s="675"/>
      <c r="M197" s="675"/>
      <c r="N197" s="675"/>
    </row>
    <row r="198" spans="2:14" ht="16.2">
      <c r="B198" s="672"/>
      <c r="C198" s="672"/>
      <c r="D198" s="673"/>
      <c r="E198" s="672"/>
      <c r="F198" s="674"/>
      <c r="G198" s="671"/>
      <c r="I198" s="675"/>
      <c r="J198" s="675"/>
      <c r="K198" s="675"/>
      <c r="L198" s="675"/>
      <c r="M198" s="675"/>
      <c r="N198" s="675"/>
    </row>
    <row r="199" spans="2:14" ht="16.2">
      <c r="B199" s="672"/>
      <c r="C199" s="672"/>
      <c r="D199" s="673"/>
      <c r="E199" s="672"/>
      <c r="F199" s="674"/>
      <c r="G199" s="671"/>
      <c r="I199" s="675"/>
      <c r="J199" s="675"/>
      <c r="K199" s="675"/>
      <c r="L199" s="675"/>
      <c r="M199" s="675"/>
      <c r="N199" s="675"/>
    </row>
    <row r="200" spans="2:14" ht="16.2">
      <c r="B200" s="672"/>
      <c r="C200" s="672"/>
      <c r="D200" s="673"/>
      <c r="E200" s="672"/>
      <c r="F200" s="674"/>
      <c r="G200" s="671"/>
      <c r="I200" s="675"/>
      <c r="J200" s="675"/>
      <c r="K200" s="675"/>
      <c r="L200" s="675"/>
      <c r="M200" s="675"/>
      <c r="N200" s="675"/>
    </row>
    <row r="201" spans="2:14" ht="16.2">
      <c r="B201" s="672"/>
      <c r="C201" s="672"/>
      <c r="D201" s="673"/>
      <c r="E201" s="672"/>
      <c r="F201" s="674"/>
      <c r="G201" s="671"/>
      <c r="I201" s="675"/>
      <c r="J201" s="675"/>
      <c r="K201" s="675"/>
      <c r="L201" s="675"/>
      <c r="M201" s="675"/>
      <c r="N201" s="675"/>
    </row>
    <row r="202" spans="2:14" ht="16.2">
      <c r="B202" s="672"/>
      <c r="C202" s="672"/>
      <c r="D202" s="673"/>
      <c r="E202" s="672"/>
      <c r="F202" s="674"/>
      <c r="G202" s="671"/>
      <c r="I202" s="675"/>
      <c r="J202" s="675"/>
      <c r="K202" s="675"/>
      <c r="L202" s="675"/>
      <c r="M202" s="675"/>
      <c r="N202" s="675"/>
    </row>
    <row r="203" spans="2:14" ht="16.2">
      <c r="B203" s="672"/>
      <c r="C203" s="672"/>
      <c r="D203" s="673"/>
      <c r="E203" s="672"/>
      <c r="F203" s="674"/>
      <c r="G203" s="671"/>
      <c r="I203" s="675"/>
      <c r="J203" s="675"/>
      <c r="K203" s="675"/>
      <c r="L203" s="675"/>
      <c r="M203" s="675"/>
      <c r="N203" s="675"/>
    </row>
    <row r="204" spans="2:14" ht="16.2">
      <c r="B204" s="672"/>
      <c r="C204" s="672"/>
      <c r="D204" s="673"/>
      <c r="E204" s="672"/>
      <c r="F204" s="674"/>
      <c r="G204" s="671"/>
      <c r="I204" s="675"/>
      <c r="J204" s="675"/>
      <c r="K204" s="675"/>
      <c r="L204" s="675"/>
      <c r="M204" s="675"/>
      <c r="N204" s="675"/>
    </row>
    <row r="205" spans="2:14" ht="16.2">
      <c r="B205" s="672"/>
      <c r="C205" s="672"/>
      <c r="D205" s="673"/>
      <c r="E205" s="672"/>
      <c r="F205" s="674"/>
      <c r="G205" s="671"/>
      <c r="I205" s="675"/>
      <c r="J205" s="675"/>
      <c r="K205" s="675"/>
      <c r="L205" s="675"/>
      <c r="M205" s="675"/>
      <c r="N205" s="675"/>
    </row>
    <row r="206" spans="2:14" ht="16.2">
      <c r="B206" s="672"/>
      <c r="C206" s="672"/>
      <c r="D206" s="673"/>
      <c r="E206" s="672"/>
      <c r="F206" s="674"/>
      <c r="G206" s="671"/>
      <c r="I206" s="675"/>
      <c r="J206" s="675"/>
      <c r="K206" s="675"/>
      <c r="L206" s="675"/>
      <c r="M206" s="675"/>
      <c r="N206" s="675"/>
    </row>
    <row r="207" spans="2:14" ht="16.2">
      <c r="B207" s="672"/>
      <c r="C207" s="672"/>
      <c r="D207" s="673"/>
      <c r="E207" s="672"/>
      <c r="F207" s="674"/>
      <c r="G207" s="671"/>
      <c r="I207" s="675"/>
      <c r="J207" s="675"/>
      <c r="K207" s="675"/>
      <c r="L207" s="675"/>
      <c r="M207" s="675"/>
      <c r="N207" s="675"/>
    </row>
    <row r="208" spans="2:14" ht="16.2">
      <c r="B208" s="672"/>
      <c r="C208" s="672"/>
      <c r="D208" s="673"/>
      <c r="E208" s="672"/>
      <c r="F208" s="674"/>
      <c r="G208" s="671"/>
      <c r="I208" s="675"/>
      <c r="J208" s="675"/>
      <c r="K208" s="675"/>
      <c r="L208" s="675"/>
      <c r="M208" s="675"/>
      <c r="N208" s="675"/>
    </row>
    <row r="209" spans="2:14" ht="16.2">
      <c r="B209" s="672"/>
      <c r="C209" s="672"/>
      <c r="D209" s="673"/>
      <c r="E209" s="672"/>
      <c r="F209" s="674"/>
      <c r="G209" s="671"/>
      <c r="I209" s="675"/>
      <c r="J209" s="675"/>
      <c r="K209" s="675"/>
      <c r="L209" s="675"/>
      <c r="M209" s="675"/>
      <c r="N209" s="675"/>
    </row>
    <row r="210" spans="2:14" ht="16.2">
      <c r="B210" s="672"/>
      <c r="C210" s="672"/>
      <c r="D210" s="673"/>
      <c r="E210" s="672"/>
      <c r="F210" s="674"/>
      <c r="G210" s="671"/>
      <c r="I210" s="675"/>
      <c r="J210" s="675"/>
      <c r="K210" s="675"/>
      <c r="L210" s="675"/>
      <c r="M210" s="675"/>
      <c r="N210" s="675"/>
    </row>
    <row r="211" spans="2:14" ht="16.2">
      <c r="B211" s="672"/>
      <c r="C211" s="672"/>
      <c r="D211" s="673"/>
      <c r="E211" s="672"/>
      <c r="F211" s="674"/>
      <c r="G211" s="671"/>
      <c r="I211" s="675"/>
      <c r="J211" s="675"/>
      <c r="K211" s="675"/>
      <c r="L211" s="675"/>
      <c r="M211" s="675"/>
      <c r="N211" s="675"/>
    </row>
    <row r="212" spans="2:14" ht="16.2">
      <c r="B212" s="672"/>
      <c r="C212" s="672"/>
      <c r="D212" s="673"/>
      <c r="E212" s="672"/>
      <c r="F212" s="674"/>
      <c r="G212" s="671"/>
      <c r="I212" s="675"/>
      <c r="J212" s="675"/>
      <c r="K212" s="675"/>
      <c r="L212" s="675"/>
      <c r="M212" s="675"/>
      <c r="N212" s="675"/>
    </row>
    <row r="213" spans="2:14" ht="16.2">
      <c r="B213" s="672"/>
      <c r="C213" s="672"/>
      <c r="D213" s="673"/>
      <c r="E213" s="672"/>
      <c r="F213" s="674"/>
      <c r="G213" s="671"/>
      <c r="I213" s="675"/>
      <c r="J213" s="675"/>
      <c r="K213" s="675"/>
      <c r="L213" s="675"/>
      <c r="M213" s="675"/>
      <c r="N213" s="675"/>
    </row>
    <row r="214" spans="2:14" ht="16.2">
      <c r="B214" s="672"/>
      <c r="C214" s="672"/>
      <c r="D214" s="673"/>
      <c r="E214" s="672"/>
      <c r="F214" s="674"/>
      <c r="G214" s="671"/>
      <c r="I214" s="675"/>
      <c r="J214" s="675"/>
      <c r="K214" s="675"/>
      <c r="L214" s="675"/>
      <c r="M214" s="675"/>
      <c r="N214" s="675"/>
    </row>
    <row r="215" spans="2:14" ht="16.2">
      <c r="B215" s="672"/>
      <c r="C215" s="672"/>
      <c r="D215" s="673"/>
      <c r="E215" s="672"/>
      <c r="F215" s="674"/>
      <c r="G215" s="671"/>
      <c r="I215" s="675"/>
      <c r="J215" s="675"/>
      <c r="K215" s="675"/>
      <c r="L215" s="675"/>
      <c r="M215" s="675"/>
      <c r="N215" s="675"/>
    </row>
    <row r="216" spans="2:14" ht="16.2">
      <c r="B216" s="672"/>
      <c r="C216" s="672"/>
      <c r="D216" s="673"/>
      <c r="E216" s="672"/>
      <c r="F216" s="674"/>
      <c r="G216" s="671"/>
      <c r="I216" s="675"/>
      <c r="J216" s="675"/>
      <c r="K216" s="675"/>
      <c r="L216" s="675"/>
      <c r="M216" s="675"/>
      <c r="N216" s="675"/>
    </row>
    <row r="217" spans="2:14" ht="16.2">
      <c r="B217" s="672"/>
      <c r="C217" s="672"/>
      <c r="D217" s="673"/>
      <c r="E217" s="672"/>
      <c r="F217" s="674"/>
      <c r="G217" s="671"/>
      <c r="I217" s="675"/>
      <c r="J217" s="675"/>
      <c r="K217" s="675"/>
      <c r="L217" s="675"/>
      <c r="M217" s="675"/>
      <c r="N217" s="675"/>
    </row>
    <row r="218" spans="2:14" ht="16.2">
      <c r="B218" s="672"/>
      <c r="C218" s="672"/>
      <c r="D218" s="673"/>
      <c r="E218" s="672"/>
      <c r="F218" s="674"/>
      <c r="G218" s="671"/>
      <c r="I218" s="675"/>
      <c r="J218" s="675"/>
      <c r="K218" s="675"/>
      <c r="L218" s="675"/>
      <c r="M218" s="675"/>
      <c r="N218" s="675"/>
    </row>
    <row r="219" spans="2:14" ht="16.2">
      <c r="B219" s="672"/>
      <c r="C219" s="672"/>
      <c r="D219" s="673"/>
      <c r="E219" s="672"/>
      <c r="F219" s="674"/>
      <c r="G219" s="671"/>
      <c r="I219" s="675"/>
      <c r="J219" s="675"/>
      <c r="K219" s="675"/>
      <c r="L219" s="675"/>
      <c r="M219" s="675"/>
      <c r="N219" s="675"/>
    </row>
    <row r="220" spans="2:14" ht="16.2">
      <c r="B220" s="672"/>
      <c r="C220" s="672"/>
      <c r="D220" s="673"/>
      <c r="E220" s="672"/>
      <c r="F220" s="674"/>
      <c r="G220" s="671"/>
      <c r="I220" s="675"/>
      <c r="J220" s="675"/>
      <c r="K220" s="675"/>
      <c r="L220" s="675"/>
      <c r="M220" s="675"/>
      <c r="N220" s="675"/>
    </row>
    <row r="221" spans="2:14" ht="16.2">
      <c r="B221" s="672"/>
      <c r="C221" s="672"/>
      <c r="D221" s="673"/>
      <c r="E221" s="672"/>
      <c r="F221" s="674"/>
      <c r="G221" s="671"/>
      <c r="I221" s="675"/>
      <c r="J221" s="675"/>
      <c r="K221" s="675"/>
      <c r="L221" s="675"/>
      <c r="M221" s="675"/>
      <c r="N221" s="675"/>
    </row>
    <row r="222" spans="2:14" ht="16.2">
      <c r="B222" s="672"/>
      <c r="C222" s="672"/>
      <c r="D222" s="673"/>
      <c r="E222" s="672"/>
      <c r="F222" s="674"/>
      <c r="G222" s="671"/>
      <c r="I222" s="675"/>
      <c r="J222" s="675"/>
      <c r="K222" s="675"/>
      <c r="L222" s="675"/>
      <c r="M222" s="675"/>
      <c r="N222" s="675"/>
    </row>
    <row r="223" spans="2:14" ht="16.2">
      <c r="B223" s="672"/>
      <c r="C223" s="672"/>
      <c r="D223" s="673"/>
      <c r="E223" s="672"/>
      <c r="F223" s="674"/>
      <c r="G223" s="671"/>
      <c r="I223" s="675"/>
      <c r="J223" s="675"/>
      <c r="K223" s="675"/>
      <c r="L223" s="675"/>
      <c r="M223" s="675"/>
      <c r="N223" s="675"/>
    </row>
    <row r="224" spans="2:14" ht="16.2">
      <c r="B224" s="672"/>
      <c r="C224" s="672"/>
      <c r="D224" s="673"/>
      <c r="E224" s="672"/>
      <c r="F224" s="674"/>
      <c r="G224" s="671"/>
      <c r="I224" s="675"/>
      <c r="J224" s="675"/>
      <c r="K224" s="675"/>
      <c r="L224" s="675"/>
      <c r="M224" s="675"/>
      <c r="N224" s="675"/>
    </row>
    <row r="225" spans="2:14" ht="16.2">
      <c r="B225" s="672"/>
      <c r="C225" s="672"/>
      <c r="D225" s="673"/>
      <c r="E225" s="672"/>
      <c r="F225" s="674"/>
      <c r="G225" s="671"/>
      <c r="I225" s="675"/>
      <c r="J225" s="675"/>
      <c r="K225" s="675"/>
      <c r="L225" s="675"/>
      <c r="M225" s="675"/>
      <c r="N225" s="675"/>
    </row>
    <row r="226" spans="2:14" ht="16.2">
      <c r="B226" s="672"/>
      <c r="C226" s="672"/>
      <c r="D226" s="673"/>
      <c r="E226" s="672"/>
      <c r="F226" s="674"/>
      <c r="G226" s="671"/>
      <c r="I226" s="675"/>
      <c r="J226" s="675"/>
      <c r="K226" s="675"/>
      <c r="L226" s="675"/>
      <c r="M226" s="675"/>
      <c r="N226" s="675"/>
    </row>
    <row r="227" spans="2:14" ht="16.2">
      <c r="B227" s="672"/>
      <c r="C227" s="672"/>
      <c r="D227" s="673"/>
      <c r="E227" s="672"/>
      <c r="F227" s="674"/>
      <c r="G227" s="671"/>
      <c r="I227" s="675"/>
      <c r="J227" s="675"/>
      <c r="K227" s="675"/>
      <c r="L227" s="675"/>
      <c r="M227" s="675"/>
      <c r="N227" s="675"/>
    </row>
    <row r="228" spans="2:14" ht="16.2">
      <c r="B228" s="672"/>
      <c r="C228" s="672"/>
      <c r="D228" s="673"/>
      <c r="E228" s="672"/>
      <c r="F228" s="674"/>
      <c r="G228" s="671"/>
      <c r="I228" s="675"/>
      <c r="J228" s="675"/>
      <c r="K228" s="675"/>
      <c r="L228" s="675"/>
      <c r="M228" s="675"/>
      <c r="N228" s="675"/>
    </row>
    <row r="229" spans="2:14" ht="16.2">
      <c r="B229" s="672"/>
      <c r="C229" s="672"/>
      <c r="D229" s="673"/>
      <c r="E229" s="672"/>
      <c r="F229" s="674"/>
      <c r="G229" s="671"/>
      <c r="L229" s="675"/>
    </row>
    <row r="230" spans="2:14" ht="16.2">
      <c r="B230" s="672"/>
      <c r="C230" s="672"/>
      <c r="D230" s="673"/>
      <c r="E230" s="672"/>
      <c r="F230" s="674"/>
      <c r="G230" s="671"/>
    </row>
    <row r="231" spans="2:14" ht="16.2">
      <c r="B231" s="672"/>
      <c r="C231" s="672"/>
      <c r="D231" s="673"/>
      <c r="E231" s="672"/>
      <c r="F231" s="674"/>
      <c r="G231" s="671"/>
    </row>
    <row r="232" spans="2:14" ht="16.2">
      <c r="B232" s="672"/>
      <c r="C232" s="672"/>
      <c r="D232" s="673"/>
      <c r="E232" s="672"/>
      <c r="F232" s="674"/>
      <c r="G232" s="671"/>
    </row>
    <row r="233" spans="2:14" ht="16.2">
      <c r="B233" s="672"/>
      <c r="C233" s="672"/>
      <c r="D233" s="673"/>
      <c r="E233" s="672"/>
      <c r="F233" s="674"/>
      <c r="G233" s="671"/>
    </row>
    <row r="234" spans="2:14" ht="16.2">
      <c r="B234" s="672"/>
      <c r="C234" s="672"/>
      <c r="D234" s="673"/>
      <c r="E234" s="672"/>
      <c r="F234" s="674"/>
      <c r="G234" s="671"/>
    </row>
    <row r="235" spans="2:14" ht="16.2">
      <c r="B235" s="672"/>
      <c r="C235" s="672"/>
      <c r="D235" s="673"/>
      <c r="E235" s="672"/>
      <c r="F235" s="674"/>
      <c r="G235" s="671"/>
    </row>
    <row r="236" spans="2:14" ht="16.2">
      <c r="B236" s="672"/>
      <c r="C236" s="672"/>
      <c r="D236" s="673"/>
      <c r="E236" s="672"/>
      <c r="F236" s="674"/>
      <c r="G236" s="671"/>
    </row>
    <row r="237" spans="2:14" ht="16.2">
      <c r="B237" s="672"/>
      <c r="C237" s="672"/>
      <c r="D237" s="673"/>
      <c r="E237" s="672"/>
      <c r="F237" s="674"/>
      <c r="G237" s="671"/>
    </row>
    <row r="238" spans="2:14" ht="16.2">
      <c r="B238" s="672"/>
      <c r="C238" s="672"/>
      <c r="D238" s="673"/>
      <c r="E238" s="672"/>
      <c r="F238" s="674"/>
      <c r="G238" s="671"/>
    </row>
    <row r="239" spans="2:14" ht="16.2">
      <c r="B239" s="672"/>
      <c r="C239" s="672"/>
      <c r="D239" s="673"/>
      <c r="E239" s="672"/>
      <c r="F239" s="674"/>
      <c r="G239" s="671"/>
    </row>
    <row r="240" spans="2:14" ht="16.2">
      <c r="B240" s="672"/>
      <c r="C240" s="672"/>
      <c r="D240" s="673"/>
      <c r="E240" s="672"/>
      <c r="F240" s="674"/>
      <c r="G240" s="671"/>
    </row>
    <row r="241" spans="2:7" ht="16.2">
      <c r="B241" s="672"/>
      <c r="C241" s="672"/>
      <c r="D241" s="673"/>
      <c r="E241" s="672"/>
      <c r="F241" s="674"/>
      <c r="G241" s="671"/>
    </row>
    <row r="242" spans="2:7" ht="16.2">
      <c r="B242" s="672"/>
      <c r="C242" s="672"/>
      <c r="D242" s="673"/>
      <c r="E242" s="672"/>
      <c r="F242" s="674"/>
      <c r="G242" s="671"/>
    </row>
    <row r="243" spans="2:7" ht="16.2">
      <c r="B243" s="672"/>
      <c r="C243" s="672"/>
      <c r="D243" s="673"/>
      <c r="E243" s="672"/>
      <c r="F243" s="674"/>
      <c r="G243" s="671"/>
    </row>
    <row r="244" spans="2:7" ht="16.2">
      <c r="B244" s="672"/>
      <c r="C244" s="672"/>
      <c r="D244" s="673"/>
      <c r="E244" s="672"/>
      <c r="F244" s="674"/>
      <c r="G244" s="671"/>
    </row>
    <row r="245" spans="2:7" ht="16.2">
      <c r="B245" s="672"/>
      <c r="C245" s="672"/>
      <c r="D245" s="673"/>
      <c r="E245" s="672"/>
      <c r="F245" s="674"/>
      <c r="G245" s="671"/>
    </row>
    <row r="246" spans="2:7" ht="16.2">
      <c r="B246" s="672"/>
      <c r="C246" s="672"/>
      <c r="D246" s="673"/>
      <c r="E246" s="672"/>
      <c r="F246" s="674"/>
      <c r="G246" s="671"/>
    </row>
    <row r="247" spans="2:7" ht="16.2">
      <c r="B247" s="672"/>
      <c r="C247" s="672"/>
      <c r="D247" s="673"/>
      <c r="E247" s="672"/>
      <c r="F247" s="674"/>
      <c r="G247" s="671"/>
    </row>
    <row r="248" spans="2:7" ht="16.2">
      <c r="B248" s="672"/>
      <c r="C248" s="672"/>
      <c r="D248" s="673"/>
      <c r="E248" s="672"/>
      <c r="F248" s="674"/>
      <c r="G248" s="671"/>
    </row>
    <row r="249" spans="2:7" ht="16.2">
      <c r="B249" s="672"/>
      <c r="C249" s="672"/>
      <c r="D249" s="673"/>
      <c r="E249" s="672"/>
      <c r="F249" s="674"/>
      <c r="G249" s="671"/>
    </row>
    <row r="250" spans="2:7" ht="16.2">
      <c r="B250" s="672"/>
      <c r="C250" s="672"/>
      <c r="D250" s="673"/>
      <c r="E250" s="672"/>
      <c r="F250" s="674"/>
      <c r="G250" s="671"/>
    </row>
    <row r="251" spans="2:7" ht="16.2">
      <c r="B251" s="672"/>
      <c r="C251" s="672"/>
      <c r="D251" s="673"/>
      <c r="E251" s="672"/>
      <c r="F251" s="674"/>
      <c r="G251" s="671"/>
    </row>
    <row r="252" spans="2:7" ht="16.2">
      <c r="B252" s="672"/>
      <c r="C252" s="672"/>
      <c r="D252" s="673"/>
      <c r="E252" s="672"/>
      <c r="F252" s="674"/>
      <c r="G252" s="671"/>
    </row>
    <row r="253" spans="2:7" ht="16.2">
      <c r="B253" s="672"/>
      <c r="C253" s="672"/>
      <c r="D253" s="673"/>
      <c r="E253" s="672"/>
      <c r="F253" s="674"/>
      <c r="G253" s="671"/>
    </row>
    <row r="254" spans="2:7" ht="16.2">
      <c r="B254" s="672"/>
      <c r="C254" s="672"/>
      <c r="D254" s="673"/>
      <c r="E254" s="672"/>
      <c r="F254" s="674"/>
      <c r="G254" s="671"/>
    </row>
    <row r="255" spans="2:7" ht="16.2">
      <c r="B255" s="672"/>
      <c r="C255" s="672"/>
      <c r="D255" s="673"/>
      <c r="E255" s="672"/>
      <c r="F255" s="674"/>
      <c r="G255" s="671"/>
    </row>
    <row r="256" spans="2:7" ht="16.2">
      <c r="B256" s="672"/>
      <c r="C256" s="672"/>
      <c r="D256" s="673"/>
      <c r="E256" s="672"/>
      <c r="F256" s="674"/>
      <c r="G256" s="671"/>
    </row>
    <row r="257" spans="2:7" ht="16.2">
      <c r="B257" s="672"/>
      <c r="C257" s="672"/>
      <c r="D257" s="673"/>
      <c r="E257" s="672"/>
      <c r="F257" s="674"/>
      <c r="G257" s="671"/>
    </row>
    <row r="258" spans="2:7" ht="16.2">
      <c r="B258" s="672"/>
      <c r="C258" s="672"/>
      <c r="D258" s="673"/>
      <c r="E258" s="672"/>
      <c r="F258" s="674"/>
      <c r="G258" s="671"/>
    </row>
    <row r="259" spans="2:7" ht="16.2">
      <c r="B259" s="672"/>
      <c r="C259" s="672"/>
      <c r="D259" s="673"/>
      <c r="E259" s="672"/>
      <c r="F259" s="674"/>
      <c r="G259" s="671"/>
    </row>
    <row r="260" spans="2:7" ht="16.2">
      <c r="B260" s="672"/>
      <c r="C260" s="672"/>
      <c r="D260" s="673"/>
      <c r="E260" s="672"/>
      <c r="F260" s="674"/>
      <c r="G260" s="671"/>
    </row>
    <row r="261" spans="2:7" ht="16.2">
      <c r="B261" s="672"/>
      <c r="C261" s="672"/>
      <c r="D261" s="673"/>
      <c r="E261" s="672"/>
      <c r="F261" s="674"/>
      <c r="G261" s="671"/>
    </row>
    <row r="262" spans="2:7" ht="16.2">
      <c r="B262" s="672"/>
      <c r="C262" s="672"/>
      <c r="D262" s="673"/>
      <c r="E262" s="672"/>
      <c r="F262" s="674"/>
      <c r="G262" s="671"/>
    </row>
    <row r="263" spans="2:7" ht="16.2">
      <c r="B263" s="672"/>
      <c r="C263" s="672"/>
      <c r="D263" s="673"/>
      <c r="E263" s="672"/>
      <c r="F263" s="674"/>
      <c r="G263" s="671"/>
    </row>
    <row r="264" spans="2:7" ht="16.2">
      <c r="B264" s="672"/>
      <c r="C264" s="672"/>
      <c r="D264" s="673"/>
      <c r="E264" s="672"/>
      <c r="F264" s="674"/>
      <c r="G264" s="671"/>
    </row>
    <row r="265" spans="2:7" ht="16.2">
      <c r="B265" s="672"/>
      <c r="C265" s="672"/>
      <c r="D265" s="673"/>
      <c r="E265" s="672"/>
      <c r="F265" s="674"/>
      <c r="G265" s="671"/>
    </row>
    <row r="266" spans="2:7" ht="16.2">
      <c r="B266" s="672"/>
      <c r="C266" s="672"/>
      <c r="D266" s="673"/>
      <c r="E266" s="672"/>
      <c r="F266" s="674"/>
      <c r="G266" s="671"/>
    </row>
    <row r="267" spans="2:7" ht="16.2">
      <c r="B267" s="672"/>
      <c r="C267" s="672"/>
      <c r="D267" s="673"/>
      <c r="E267" s="672"/>
      <c r="F267" s="674"/>
      <c r="G267" s="671"/>
    </row>
    <row r="268" spans="2:7" ht="16.2">
      <c r="B268" s="672"/>
      <c r="C268" s="672"/>
      <c r="D268" s="673"/>
      <c r="E268" s="672"/>
      <c r="F268" s="674"/>
      <c r="G268" s="671"/>
    </row>
    <row r="269" spans="2:7" ht="16.2">
      <c r="B269" s="672"/>
      <c r="C269" s="672"/>
      <c r="D269" s="673"/>
      <c r="E269" s="672"/>
      <c r="F269" s="674"/>
      <c r="G269" s="671"/>
    </row>
    <row r="270" spans="2:7" ht="16.2">
      <c r="B270" s="672"/>
      <c r="C270" s="672"/>
      <c r="D270" s="673"/>
      <c r="E270" s="672"/>
      <c r="F270" s="674"/>
      <c r="G270" s="671"/>
    </row>
    <row r="271" spans="2:7" ht="16.2">
      <c r="B271" s="672"/>
      <c r="C271" s="672"/>
      <c r="D271" s="673"/>
      <c r="E271" s="672"/>
      <c r="F271" s="674"/>
      <c r="G271" s="671"/>
    </row>
    <row r="272" spans="2:7" ht="16.2">
      <c r="B272" s="672"/>
      <c r="C272" s="672"/>
      <c r="D272" s="673"/>
      <c r="E272" s="672"/>
      <c r="F272" s="674"/>
      <c r="G272" s="671"/>
    </row>
    <row r="273" spans="2:7" ht="16.2">
      <c r="B273" s="672"/>
      <c r="C273" s="672"/>
      <c r="D273" s="673"/>
      <c r="E273" s="672"/>
      <c r="F273" s="674"/>
      <c r="G273" s="671"/>
    </row>
    <row r="274" spans="2:7" ht="16.2">
      <c r="B274" s="672"/>
      <c r="C274" s="672"/>
      <c r="D274" s="673"/>
      <c r="E274" s="672"/>
      <c r="F274" s="674"/>
      <c r="G274" s="671"/>
    </row>
    <row r="275" spans="2:7" ht="16.2">
      <c r="B275" s="672"/>
      <c r="C275" s="672"/>
      <c r="D275" s="673"/>
      <c r="E275" s="672"/>
      <c r="F275" s="674"/>
      <c r="G275" s="671"/>
    </row>
    <row r="276" spans="2:7" ht="16.2">
      <c r="B276" s="672"/>
      <c r="C276" s="672"/>
      <c r="D276" s="673"/>
      <c r="E276" s="672"/>
      <c r="F276" s="674"/>
      <c r="G276" s="671"/>
    </row>
    <row r="277" spans="2:7" ht="16.2">
      <c r="B277" s="672"/>
      <c r="C277" s="672"/>
      <c r="D277" s="673"/>
      <c r="E277" s="672"/>
      <c r="F277" s="674"/>
      <c r="G277" s="671"/>
    </row>
    <row r="278" spans="2:7" ht="16.2">
      <c r="B278" s="672"/>
      <c r="C278" s="672"/>
      <c r="D278" s="673"/>
      <c r="E278" s="672"/>
      <c r="F278" s="674"/>
      <c r="G278" s="671"/>
    </row>
    <row r="279" spans="2:7" ht="16.2">
      <c r="B279" s="672"/>
      <c r="C279" s="672"/>
      <c r="D279" s="673"/>
      <c r="E279" s="672"/>
      <c r="F279" s="674"/>
      <c r="G279" s="671"/>
    </row>
    <row r="280" spans="2:7" ht="16.2">
      <c r="B280" s="672"/>
      <c r="C280" s="672"/>
      <c r="D280" s="673"/>
      <c r="E280" s="672"/>
      <c r="F280" s="674"/>
      <c r="G280" s="671"/>
    </row>
    <row r="281" spans="2:7" ht="16.2">
      <c r="B281" s="672"/>
      <c r="C281" s="672"/>
      <c r="D281" s="673"/>
      <c r="E281" s="672"/>
      <c r="F281" s="674"/>
      <c r="G281" s="671"/>
    </row>
    <row r="282" spans="2:7" ht="16.2">
      <c r="B282" s="672"/>
      <c r="C282" s="672"/>
      <c r="D282" s="673"/>
      <c r="E282" s="672"/>
      <c r="F282" s="674"/>
      <c r="G282" s="671"/>
    </row>
    <row r="283" spans="2:7" ht="16.2">
      <c r="B283" s="672"/>
      <c r="C283" s="672"/>
      <c r="D283" s="673"/>
      <c r="E283" s="672"/>
      <c r="F283" s="674"/>
      <c r="G283" s="671"/>
    </row>
    <row r="284" spans="2:7" ht="16.2">
      <c r="B284" s="672"/>
      <c r="C284" s="672"/>
      <c r="D284" s="673"/>
      <c r="E284" s="672"/>
      <c r="F284" s="674"/>
      <c r="G284" s="671"/>
    </row>
    <row r="285" spans="2:7" ht="16.2">
      <c r="B285" s="672"/>
      <c r="C285" s="672"/>
      <c r="D285" s="673"/>
      <c r="E285" s="672"/>
      <c r="F285" s="674"/>
      <c r="G285" s="671"/>
    </row>
    <row r="286" spans="2:7" ht="16.2">
      <c r="B286" s="672"/>
      <c r="C286" s="672"/>
      <c r="D286" s="673"/>
      <c r="E286" s="672"/>
      <c r="F286" s="674"/>
      <c r="G286" s="671"/>
    </row>
    <row r="287" spans="2:7" ht="16.2">
      <c r="B287" s="672"/>
      <c r="C287" s="672"/>
      <c r="D287" s="673"/>
      <c r="E287" s="672"/>
      <c r="F287" s="674"/>
      <c r="G287" s="671"/>
    </row>
    <row r="288" spans="2:7" ht="16.2">
      <c r="B288" s="672"/>
      <c r="C288" s="672"/>
      <c r="D288" s="673"/>
      <c r="E288" s="672"/>
      <c r="F288" s="674"/>
      <c r="G288" s="671"/>
    </row>
    <row r="289" spans="2:7" ht="16.2">
      <c r="B289" s="672"/>
      <c r="C289" s="672"/>
      <c r="D289" s="673"/>
      <c r="E289" s="672"/>
      <c r="F289" s="674"/>
      <c r="G289" s="671"/>
    </row>
    <row r="290" spans="2:7" ht="16.2">
      <c r="B290" s="672"/>
      <c r="C290" s="672"/>
      <c r="D290" s="673"/>
      <c r="E290" s="672"/>
      <c r="F290" s="674"/>
      <c r="G290" s="671"/>
    </row>
    <row r="291" spans="2:7" ht="16.2">
      <c r="B291" s="672"/>
      <c r="C291" s="672"/>
      <c r="D291" s="673"/>
      <c r="E291" s="672"/>
      <c r="F291" s="674"/>
      <c r="G291" s="671"/>
    </row>
    <row r="292" spans="2:7" ht="16.2">
      <c r="B292" s="672"/>
      <c r="C292" s="672"/>
      <c r="D292" s="673"/>
      <c r="E292" s="672"/>
      <c r="F292" s="674"/>
      <c r="G292" s="671"/>
    </row>
    <row r="293" spans="2:7" ht="16.2">
      <c r="B293" s="672"/>
      <c r="C293" s="672"/>
      <c r="D293" s="673"/>
      <c r="E293" s="672"/>
      <c r="F293" s="672"/>
      <c r="G293" s="671"/>
    </row>
    <row r="294" spans="2:7" ht="16.2">
      <c r="B294" s="672"/>
      <c r="C294" s="672"/>
      <c r="D294" s="673"/>
      <c r="E294" s="672"/>
      <c r="F294" s="672"/>
      <c r="G294" s="671"/>
    </row>
    <row r="295" spans="2:7" ht="16.2">
      <c r="B295" s="672"/>
      <c r="C295" s="672"/>
      <c r="D295" s="673"/>
      <c r="E295" s="672"/>
      <c r="F295" s="672"/>
      <c r="G295" s="671"/>
    </row>
    <row r="296" spans="2:7" ht="16.2">
      <c r="B296" s="672"/>
      <c r="C296" s="672"/>
      <c r="D296" s="673"/>
      <c r="E296" s="672"/>
      <c r="G296" s="671"/>
    </row>
  </sheetData>
  <sheetProtection algorithmName="SHA-512" hashValue="3och+ABDet5mizhzXNTgQ17vkVrKRDRhIGVIOgvyljcGmudLaMX8T9m5yG8DLWzVoqBfKngddQmr/MXo+rCoVg==" saltValue="MBUI0DVhY+DZiQeDT8/gwg==" spinCount="100000" sheet="1" objects="1" scenarios="1"/>
  <mergeCells count="8">
    <mergeCell ref="M43:N43"/>
    <mergeCell ref="C4:D4"/>
    <mergeCell ref="M39:N42"/>
    <mergeCell ref="C6:D6"/>
    <mergeCell ref="C2:D2"/>
    <mergeCell ref="C3:D3"/>
    <mergeCell ref="K6:M6"/>
    <mergeCell ref="I39:K39"/>
  </mergeCells>
  <printOptions horizontalCentered="1"/>
  <pageMargins left="0.7" right="0.7" top="0.7" bottom="0.7" header="0.25" footer="0.25"/>
  <pageSetup scale="41" orientation="portrait" r:id="rId1"/>
  <headerFooter>
    <oddFooter>&amp;L&amp;"Times New Roman,Regular"&amp;8&amp;F&amp;C&amp;"Times New Roman,Regular"&amp;8Page &amp;P of &amp;N&amp;R&amp;"Times New Roman,Regular"&amp;8&amp;A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FF3A1-2368-44DF-B859-93D41DC154BD}">
  <sheetPr>
    <tabColor rgb="FF66FFFF"/>
    <pageSetUpPr fitToPage="1"/>
  </sheetPr>
  <dimension ref="A1:Q240"/>
  <sheetViews>
    <sheetView showGridLines="0" topLeftCell="B1" zoomScaleNormal="100" workbookViewId="0">
      <selection activeCell="B1" sqref="B1"/>
    </sheetView>
  </sheetViews>
  <sheetFormatPr defaultColWidth="10" defaultRowHeight="15.6"/>
  <cols>
    <col min="1" max="1" width="5.5546875" style="668" customWidth="1"/>
    <col min="2" max="2" width="46.44140625" customWidth="1"/>
    <col min="3" max="3" width="13.6640625" customWidth="1"/>
    <col min="4" max="4" width="9.5546875" customWidth="1"/>
    <col min="5" max="5" width="17.6640625" customWidth="1"/>
    <col min="6" max="6" width="23.5546875" bestFit="1" customWidth="1"/>
    <col min="7" max="7" width="13.5546875" style="872" bestFit="1" customWidth="1"/>
    <col min="8" max="8" width="7" customWidth="1"/>
    <col min="9" max="9" width="46.109375" bestFit="1" customWidth="1"/>
    <col min="10" max="10" width="15.109375" customWidth="1"/>
    <col min="11" max="11" width="10.88671875" customWidth="1"/>
    <col min="12" max="12" width="14" bestFit="1" customWidth="1"/>
    <col min="13" max="13" width="23" customWidth="1"/>
    <col min="14" max="14" width="13.5546875" style="872" bestFit="1" customWidth="1"/>
    <col min="15" max="15" width="3.44140625" style="872" customWidth="1"/>
    <col min="16" max="16" width="21.33203125" customWidth="1"/>
    <col min="17" max="17" width="11.33203125" customWidth="1"/>
    <col min="18" max="18" width="14.5546875" style="668" customWidth="1"/>
    <col min="19" max="19" width="11.5546875" style="668" customWidth="1"/>
    <col min="20" max="20" width="14.5546875" style="668" customWidth="1"/>
    <col min="21" max="21" width="13.5546875" style="668" customWidth="1"/>
    <col min="22" max="23" width="14.5546875" style="668" customWidth="1"/>
    <col min="24" max="27" width="10" style="668" customWidth="1"/>
    <col min="28" max="28" width="23.5546875" style="668" customWidth="1"/>
    <col min="29" max="29" width="10" style="668" customWidth="1"/>
    <col min="30" max="30" width="12.5546875" style="668" customWidth="1"/>
    <col min="31" max="31" width="14.5546875" style="668" customWidth="1"/>
    <col min="32" max="32" width="12.5546875" style="668" customWidth="1"/>
    <col min="33" max="33" width="15.5546875" style="668" customWidth="1"/>
    <col min="34" max="35" width="12.5546875" style="668" customWidth="1"/>
    <col min="36" max="36" width="14.5546875" style="668" customWidth="1"/>
    <col min="37" max="39" width="12.5546875" style="668" customWidth="1"/>
    <col min="40" max="40" width="14.5546875" style="668" customWidth="1"/>
    <col min="41" max="42" width="12.5546875" style="668" customWidth="1"/>
    <col min="43" max="43" width="15.5546875" style="668" customWidth="1"/>
    <col min="44" max="44" width="12.5546875" style="668" customWidth="1"/>
    <col min="45" max="45" width="13.5546875" style="668" customWidth="1"/>
    <col min="46" max="46" width="12.5546875" style="668" customWidth="1"/>
    <col min="47" max="47" width="9.5546875" style="668" customWidth="1"/>
    <col min="48" max="50" width="12.5546875" style="668" customWidth="1"/>
    <col min="51" max="53" width="10" style="668" customWidth="1"/>
    <col min="54" max="54" width="11.5546875" style="668" customWidth="1"/>
    <col min="55" max="195" width="10" style="668" customWidth="1"/>
    <col min="196" max="197" width="1.5546875" style="668" customWidth="1"/>
    <col min="198" max="16384" width="10" style="668"/>
  </cols>
  <sheetData>
    <row r="1" spans="1:17" ht="16.2">
      <c r="A1"/>
      <c r="B1" s="672"/>
      <c r="C1" s="672"/>
      <c r="D1" s="672"/>
      <c r="E1" s="672"/>
      <c r="F1" s="672"/>
      <c r="G1" s="927"/>
      <c r="H1" s="672"/>
      <c r="I1" s="672"/>
      <c r="J1" s="672"/>
      <c r="K1" s="672"/>
      <c r="L1" s="672"/>
      <c r="M1" s="672"/>
      <c r="N1" s="927"/>
      <c r="O1" s="927"/>
      <c r="P1" s="672"/>
      <c r="Q1" s="672"/>
    </row>
    <row r="2" spans="1:17" ht="18">
      <c r="A2"/>
      <c r="B2" s="1149" t="s">
        <v>4194</v>
      </c>
      <c r="C2" s="1109"/>
      <c r="D2" s="1109"/>
      <c r="E2" s="1109"/>
      <c r="G2" s="873"/>
      <c r="H2" s="719"/>
      <c r="I2" s="719"/>
      <c r="J2" s="719"/>
      <c r="K2" s="719"/>
      <c r="L2" s="719"/>
      <c r="M2" s="719"/>
      <c r="N2" s="873"/>
      <c r="O2" s="873"/>
      <c r="P2" s="719"/>
      <c r="Q2" s="719"/>
    </row>
    <row r="3" spans="1:17" ht="16.2">
      <c r="A3"/>
      <c r="B3" s="701" t="s">
        <v>1019</v>
      </c>
      <c r="C3" s="868">
        <f>Application!B29</f>
        <v>0</v>
      </c>
      <c r="D3" s="672"/>
      <c r="E3" s="865"/>
      <c r="F3" s="865"/>
      <c r="G3" s="873"/>
      <c r="H3" s="719"/>
      <c r="I3" s="719"/>
      <c r="J3" s="719"/>
      <c r="K3" s="719"/>
      <c r="L3" s="865"/>
      <c r="M3" s="719"/>
      <c r="N3" s="873"/>
      <c r="O3" s="873"/>
      <c r="P3" s="719"/>
      <c r="Q3" s="719"/>
    </row>
    <row r="4" spans="1:17" ht="16.2">
      <c r="A4"/>
      <c r="B4" s="701" t="s">
        <v>1020</v>
      </c>
      <c r="C4" s="719">
        <f>'Contact Information'!B6</f>
        <v>0</v>
      </c>
      <c r="D4" s="672"/>
      <c r="E4" s="865"/>
      <c r="F4" s="865"/>
      <c r="G4" s="873"/>
      <c r="H4" s="719"/>
      <c r="I4" s="719"/>
      <c r="J4" s="719"/>
      <c r="K4" s="809"/>
      <c r="L4" s="865"/>
      <c r="M4" s="719"/>
      <c r="N4" s="873"/>
      <c r="O4" s="873"/>
      <c r="P4" s="719"/>
      <c r="Q4" s="719"/>
    </row>
    <row r="5" spans="1:17" ht="16.2">
      <c r="A5"/>
      <c r="B5" s="701" t="s">
        <v>1021</v>
      </c>
      <c r="C5" s="719">
        <f>Calculations!B14</f>
        <v>0</v>
      </c>
      <c r="D5" s="719"/>
      <c r="E5" s="719"/>
      <c r="F5" s="719"/>
      <c r="G5" s="873"/>
      <c r="H5" s="719"/>
      <c r="I5" s="719"/>
      <c r="J5" s="719"/>
      <c r="K5" s="719"/>
      <c r="L5" s="719"/>
      <c r="M5" s="719"/>
      <c r="N5" s="873"/>
      <c r="O5" s="873"/>
      <c r="P5" s="719"/>
      <c r="Q5" s="719"/>
    </row>
    <row r="6" spans="1:17" ht="16.2">
      <c r="A6"/>
      <c r="B6" s="719"/>
      <c r="C6" s="719"/>
      <c r="D6" s="719"/>
      <c r="E6" s="719"/>
      <c r="F6" s="719"/>
      <c r="G6" s="873"/>
      <c r="H6" s="719"/>
      <c r="I6" s="719"/>
      <c r="J6" s="719"/>
      <c r="K6" s="719"/>
      <c r="L6" s="719"/>
      <c r="M6" s="719"/>
      <c r="N6" s="873"/>
      <c r="O6" s="873"/>
      <c r="P6" s="719"/>
      <c r="Q6" s="719"/>
    </row>
    <row r="7" spans="1:17" ht="16.2">
      <c r="A7"/>
      <c r="B7" s="1152" t="s">
        <v>4287</v>
      </c>
      <c r="C7" s="1152"/>
      <c r="D7" s="1152"/>
      <c r="E7" s="1152"/>
      <c r="F7" s="1152"/>
      <c r="G7" s="1152"/>
      <c r="H7" s="719"/>
      <c r="I7" s="1120" t="s">
        <v>4286</v>
      </c>
      <c r="J7" s="1121"/>
      <c r="K7" s="1121"/>
      <c r="L7" s="1121"/>
      <c r="M7" s="1121"/>
      <c r="N7" s="873"/>
      <c r="O7" s="873"/>
      <c r="P7" s="719"/>
      <c r="Q7" s="719"/>
    </row>
    <row r="8" spans="1:17" ht="16.8" thickBot="1">
      <c r="A8"/>
      <c r="B8" s="926" t="s">
        <v>4285</v>
      </c>
      <c r="C8" s="1122" t="s">
        <v>4284</v>
      </c>
      <c r="D8" s="1123"/>
      <c r="E8" s="1150" t="s">
        <v>4283</v>
      </c>
      <c r="F8" s="1151"/>
      <c r="G8" s="925" t="s">
        <v>4282</v>
      </c>
      <c r="H8" s="719"/>
      <c r="I8" s="926" t="s">
        <v>4285</v>
      </c>
      <c r="J8" s="1122" t="s">
        <v>4284</v>
      </c>
      <c r="K8" s="1123"/>
      <c r="L8" s="1124" t="s">
        <v>4283</v>
      </c>
      <c r="M8" s="1125"/>
      <c r="N8" s="925" t="s">
        <v>4282</v>
      </c>
      <c r="O8" s="873"/>
      <c r="P8" s="925" t="s">
        <v>4281</v>
      </c>
      <c r="Q8" s="925"/>
    </row>
    <row r="9" spans="1:17" ht="16.2">
      <c r="A9"/>
      <c r="B9" s="889" t="s">
        <v>4280</v>
      </c>
      <c r="C9" s="888"/>
      <c r="D9" s="887"/>
      <c r="E9" s="1134"/>
      <c r="F9" s="1135"/>
      <c r="G9" s="913"/>
      <c r="H9" s="719"/>
      <c r="I9" s="889" t="s">
        <v>4280</v>
      </c>
      <c r="J9" s="888"/>
      <c r="K9" s="887"/>
      <c r="L9" s="1126"/>
      <c r="M9" s="1127"/>
      <c r="N9" s="913"/>
      <c r="O9" s="873"/>
      <c r="P9" s="924" t="s">
        <v>4279</v>
      </c>
      <c r="Q9" s="923">
        <v>0</v>
      </c>
    </row>
    <row r="10" spans="1:17" ht="17.100000000000001" customHeight="1" thickBot="1">
      <c r="A10"/>
      <c r="B10" s="919" t="s">
        <v>4278</v>
      </c>
      <c r="C10" s="920" t="e">
        <f>'DOH Underwriting'!E94</f>
        <v>#DIV/0!</v>
      </c>
      <c r="D10" s="917" t="s">
        <v>4273</v>
      </c>
      <c r="E10" s="903" t="s">
        <v>4266</v>
      </c>
      <c r="F10" s="894">
        <v>525</v>
      </c>
      <c r="G10" s="899" t="e">
        <f t="shared" ref="G10:G17" si="0">IF(C10&gt;F10,C10-F10,"None")</f>
        <v>#DIV/0!</v>
      </c>
      <c r="H10" s="719"/>
      <c r="I10" s="919" t="s">
        <v>4278</v>
      </c>
      <c r="J10" s="920" t="e">
        <f>'DOH Underwriting'!E94</f>
        <v>#DIV/0!</v>
      </c>
      <c r="K10" s="917" t="s">
        <v>4273</v>
      </c>
      <c r="L10" s="903" t="s">
        <v>4266</v>
      </c>
      <c r="M10" s="912">
        <v>727</v>
      </c>
      <c r="N10" s="899" t="e">
        <f t="shared" ref="N10:N17" si="1">IF(J10&gt;M10,J10-M10,"None")</f>
        <v>#DIV/0!</v>
      </c>
      <c r="O10" s="873"/>
      <c r="P10" s="922" t="s">
        <v>4277</v>
      </c>
      <c r="Q10" s="921">
        <v>0</v>
      </c>
    </row>
    <row r="11" spans="1:17" ht="16.2">
      <c r="A11"/>
      <c r="B11" s="919" t="s">
        <v>4276</v>
      </c>
      <c r="C11" s="920" t="e">
        <f>'DOH Underwriting'!D97</f>
        <v>#DIV/0!</v>
      </c>
      <c r="D11" s="917" t="s">
        <v>4273</v>
      </c>
      <c r="E11" s="903" t="s">
        <v>4266</v>
      </c>
      <c r="F11" s="894">
        <v>370</v>
      </c>
      <c r="G11" s="899" t="e">
        <f t="shared" si="0"/>
        <v>#DIV/0!</v>
      </c>
      <c r="H11" s="719"/>
      <c r="I11" s="919" t="s">
        <v>4276</v>
      </c>
      <c r="J11" s="920" t="e">
        <f>'DOH Underwriting'!D97</f>
        <v>#DIV/0!</v>
      </c>
      <c r="K11" s="917" t="s">
        <v>4273</v>
      </c>
      <c r="L11" s="903" t="s">
        <v>4266</v>
      </c>
      <c r="M11" s="912">
        <v>434</v>
      </c>
      <c r="N11" s="899" t="e">
        <f t="shared" si="1"/>
        <v>#DIV/0!</v>
      </c>
      <c r="O11" s="873"/>
      <c r="P11" s="719"/>
      <c r="Q11" s="719"/>
    </row>
    <row r="12" spans="1:17" ht="16.2">
      <c r="A12"/>
      <c r="B12" s="879" t="s">
        <v>4275</v>
      </c>
      <c r="C12" s="920" t="e">
        <f>'DOH Underwriting'!D98</f>
        <v>#DIV/0!</v>
      </c>
      <c r="D12" s="917" t="s">
        <v>4273</v>
      </c>
      <c r="E12" s="903" t="s">
        <v>4266</v>
      </c>
      <c r="F12" s="894">
        <v>130</v>
      </c>
      <c r="G12" s="899" t="e">
        <f t="shared" si="0"/>
        <v>#DIV/0!</v>
      </c>
      <c r="H12" s="719"/>
      <c r="I12" s="879" t="s">
        <v>4275</v>
      </c>
      <c r="J12" s="920" t="e">
        <f>'DOH Underwriting'!D98</f>
        <v>#DIV/0!</v>
      </c>
      <c r="K12" s="917" t="s">
        <v>4273</v>
      </c>
      <c r="L12" s="903" t="s">
        <v>4266</v>
      </c>
      <c r="M12" s="912">
        <v>202</v>
      </c>
      <c r="N12" s="899" t="e">
        <f t="shared" si="1"/>
        <v>#DIV/0!</v>
      </c>
      <c r="O12" s="873"/>
      <c r="P12" s="719"/>
      <c r="Q12" s="719"/>
    </row>
    <row r="13" spans="1:17" ht="16.2">
      <c r="A13"/>
      <c r="B13" s="879" t="s">
        <v>4274</v>
      </c>
      <c r="C13" s="920" t="e">
        <f>'DOH Underwriting'!D99</f>
        <v>#DIV/0!</v>
      </c>
      <c r="D13" s="890" t="s">
        <v>4273</v>
      </c>
      <c r="E13" s="903" t="s">
        <v>4266</v>
      </c>
      <c r="F13" s="894">
        <v>45</v>
      </c>
      <c r="G13" s="899" t="e">
        <f t="shared" si="0"/>
        <v>#DIV/0!</v>
      </c>
      <c r="H13" s="719"/>
      <c r="I13" s="879" t="s">
        <v>4274</v>
      </c>
      <c r="J13" s="920" t="e">
        <f>'DOH Underwriting'!D99</f>
        <v>#DIV/0!</v>
      </c>
      <c r="K13" s="890" t="s">
        <v>4273</v>
      </c>
      <c r="L13" s="903" t="s">
        <v>4266</v>
      </c>
      <c r="M13" s="912">
        <v>90</v>
      </c>
      <c r="N13" s="899" t="e">
        <f t="shared" si="1"/>
        <v>#DIV/0!</v>
      </c>
      <c r="O13" s="873"/>
      <c r="P13" s="719"/>
      <c r="Q13" s="719"/>
    </row>
    <row r="14" spans="1:17" ht="16.2">
      <c r="A14"/>
      <c r="B14" s="919" t="s">
        <v>1023</v>
      </c>
      <c r="C14" s="918" t="e">
        <f>'DOH Underwriting'!D94</f>
        <v>#DIV/0!</v>
      </c>
      <c r="D14" s="917" t="s">
        <v>4249</v>
      </c>
      <c r="E14" s="903" t="s">
        <v>4266</v>
      </c>
      <c r="F14" s="894">
        <v>510000</v>
      </c>
      <c r="G14" s="899" t="e">
        <f t="shared" si="0"/>
        <v>#DIV/0!</v>
      </c>
      <c r="H14" s="719"/>
      <c r="I14" s="919" t="s">
        <v>1023</v>
      </c>
      <c r="J14" s="918" t="e">
        <f>'DOH Underwriting'!D94</f>
        <v>#DIV/0!</v>
      </c>
      <c r="K14" s="917" t="s">
        <v>4249</v>
      </c>
      <c r="L14" s="903" t="s">
        <v>4266</v>
      </c>
      <c r="M14" s="912">
        <v>545000</v>
      </c>
      <c r="N14" s="899" t="e">
        <f t="shared" si="1"/>
        <v>#DIV/0!</v>
      </c>
      <c r="O14" s="873"/>
      <c r="P14" s="719"/>
      <c r="Q14" s="719"/>
    </row>
    <row r="15" spans="1:17" ht="16.2">
      <c r="A15"/>
      <c r="B15" s="919" t="s">
        <v>4272</v>
      </c>
      <c r="C15" s="918" t="e">
        <f>'DOH Underwriting'!C97</f>
        <v>#DIV/0!</v>
      </c>
      <c r="D15" s="917" t="s">
        <v>4249</v>
      </c>
      <c r="E15" s="903" t="s">
        <v>4266</v>
      </c>
      <c r="F15" s="894">
        <v>440000</v>
      </c>
      <c r="G15" s="899" t="e">
        <f t="shared" si="0"/>
        <v>#DIV/0!</v>
      </c>
      <c r="H15" s="719"/>
      <c r="I15" s="919" t="s">
        <v>4272</v>
      </c>
      <c r="J15" s="918" t="e">
        <f>'DOH Underwriting'!C97</f>
        <v>#DIV/0!</v>
      </c>
      <c r="K15" s="917" t="s">
        <v>4249</v>
      </c>
      <c r="L15" s="903" t="s">
        <v>4266</v>
      </c>
      <c r="M15" s="912">
        <v>325725</v>
      </c>
      <c r="N15" s="899" t="e">
        <f t="shared" si="1"/>
        <v>#DIV/0!</v>
      </c>
      <c r="O15" s="873"/>
      <c r="P15" s="719"/>
      <c r="Q15" s="719"/>
    </row>
    <row r="16" spans="1:17" ht="16.2">
      <c r="A16"/>
      <c r="B16" s="879" t="s">
        <v>4271</v>
      </c>
      <c r="C16" s="918" t="e">
        <f>'DOH Underwriting'!C98</f>
        <v>#DIV/0!</v>
      </c>
      <c r="D16" s="917" t="s">
        <v>4249</v>
      </c>
      <c r="E16" s="903" t="s">
        <v>4266</v>
      </c>
      <c r="F16" s="894">
        <v>135000</v>
      </c>
      <c r="G16" s="899" t="e">
        <f t="shared" si="0"/>
        <v>#DIV/0!</v>
      </c>
      <c r="H16" s="719"/>
      <c r="I16" s="879" t="s">
        <v>4271</v>
      </c>
      <c r="J16" s="918" t="e">
        <f>'DOH Underwriting'!C98</f>
        <v>#DIV/0!</v>
      </c>
      <c r="K16" s="917" t="s">
        <v>4249</v>
      </c>
      <c r="L16" s="903" t="s">
        <v>4266</v>
      </c>
      <c r="M16" s="912">
        <v>151500</v>
      </c>
      <c r="N16" s="899" t="e">
        <f t="shared" si="1"/>
        <v>#DIV/0!</v>
      </c>
      <c r="O16" s="873"/>
      <c r="P16" s="719"/>
      <c r="Q16" s="719"/>
    </row>
    <row r="17" spans="1:17" ht="16.2">
      <c r="A17"/>
      <c r="B17" s="879" t="s">
        <v>4270</v>
      </c>
      <c r="C17" s="916" t="e">
        <f>'DOH Underwriting'!C99</f>
        <v>#DIV/0!</v>
      </c>
      <c r="D17" s="890" t="s">
        <v>4249</v>
      </c>
      <c r="E17" s="903" t="s">
        <v>4266</v>
      </c>
      <c r="F17" s="894">
        <v>45000</v>
      </c>
      <c r="G17" s="899" t="e">
        <f t="shared" si="0"/>
        <v>#DIV/0!</v>
      </c>
      <c r="H17" s="719"/>
      <c r="I17" s="879" t="s">
        <v>4270</v>
      </c>
      <c r="J17" s="916" t="e">
        <f>'DOH Underwriting'!C99</f>
        <v>#DIV/0!</v>
      </c>
      <c r="K17" s="890" t="s">
        <v>4249</v>
      </c>
      <c r="L17" s="903" t="s">
        <v>4266</v>
      </c>
      <c r="M17" s="912">
        <v>67500</v>
      </c>
      <c r="N17" s="899" t="e">
        <f t="shared" si="1"/>
        <v>#DIV/0!</v>
      </c>
      <c r="O17" s="873"/>
      <c r="P17" s="719"/>
      <c r="Q17" s="719"/>
    </row>
    <row r="18" spans="1:17" ht="16.2">
      <c r="A18"/>
      <c r="B18" s="1140" t="s">
        <v>4267</v>
      </c>
      <c r="C18" s="1142" t="e">
        <f>'DOH Underwriting'!C81/('DOH Underwriting'!C94-'DOH Underwriting'!C86-'DOH Underwriting'!C93-'DOH Underwriting'!C12)</f>
        <v>#DIV/0!</v>
      </c>
      <c r="D18" s="1131"/>
      <c r="E18" s="903" t="s">
        <v>4266</v>
      </c>
      <c r="F18" s="894" t="s">
        <v>4269</v>
      </c>
      <c r="G18" s="1133" t="s">
        <v>4268</v>
      </c>
      <c r="H18" s="719"/>
      <c r="I18" s="879" t="s">
        <v>4267</v>
      </c>
      <c r="J18" s="1129" t="e">
        <f>'DOH Underwriting'!C81/('DOH Underwriting'!C94-'DOH Underwriting'!C86-'DOH Underwriting'!C93-'DOH Underwriting'!C12)</f>
        <v>#DIV/0!</v>
      </c>
      <c r="K18" s="1131"/>
      <c r="L18" s="903" t="s">
        <v>4266</v>
      </c>
      <c r="M18" s="894" t="s">
        <v>4269</v>
      </c>
      <c r="N18" s="1133" t="s">
        <v>4268</v>
      </c>
      <c r="O18" s="873"/>
      <c r="P18" s="914">
        <v>0.12</v>
      </c>
      <c r="Q18" s="719"/>
    </row>
    <row r="19" spans="1:17" ht="16.2">
      <c r="A19"/>
      <c r="B19" s="1141"/>
      <c r="C19" s="1143"/>
      <c r="D19" s="1132"/>
      <c r="E19" s="903" t="s">
        <v>4266</v>
      </c>
      <c r="F19" s="915" t="s">
        <v>4265</v>
      </c>
      <c r="G19" s="1133"/>
      <c r="H19" s="719"/>
      <c r="I19" s="879" t="s">
        <v>4267</v>
      </c>
      <c r="J19" s="1130"/>
      <c r="K19" s="1132"/>
      <c r="L19" s="903" t="s">
        <v>4266</v>
      </c>
      <c r="M19" s="915" t="s">
        <v>4265</v>
      </c>
      <c r="N19" s="1133"/>
      <c r="O19" s="873"/>
      <c r="P19" s="914">
        <v>0.15</v>
      </c>
      <c r="Q19" s="719"/>
    </row>
    <row r="20" spans="1:17" ht="16.2">
      <c r="A20"/>
      <c r="B20" s="889" t="s">
        <v>4264</v>
      </c>
      <c r="C20" s="888"/>
      <c r="D20" s="887"/>
      <c r="E20" s="1134"/>
      <c r="F20" s="1135"/>
      <c r="G20" s="913"/>
      <c r="H20" s="719"/>
      <c r="I20" s="889" t="s">
        <v>4264</v>
      </c>
      <c r="J20" s="888"/>
      <c r="K20" s="887"/>
      <c r="L20" s="1134"/>
      <c r="M20" s="1135"/>
      <c r="N20" s="913"/>
      <c r="O20" s="873"/>
      <c r="P20" s="719"/>
      <c r="Q20" s="719"/>
    </row>
    <row r="21" spans="1:17" ht="16.2">
      <c r="A21"/>
      <c r="B21" s="879" t="s">
        <v>4263</v>
      </c>
      <c r="C21" s="911" t="e">
        <f>Calculations!B352/Calculations!H45</f>
        <v>#DIV/0!</v>
      </c>
      <c r="D21" s="890" t="s">
        <v>4249</v>
      </c>
      <c r="E21" s="903" t="s">
        <v>4248</v>
      </c>
      <c r="F21" s="894">
        <v>8000</v>
      </c>
      <c r="G21" s="899" t="e">
        <f>IF(C21&gt;F21,C21-F21,"None")</f>
        <v>#DIV/0!</v>
      </c>
      <c r="H21" s="719"/>
      <c r="I21" s="879" t="s">
        <v>4263</v>
      </c>
      <c r="J21" s="911" t="e">
        <f>'Proforma, Income &amp; Expense'!B73/Calculations!H45</f>
        <v>#DIV/0!</v>
      </c>
      <c r="K21" s="890" t="s">
        <v>4249</v>
      </c>
      <c r="L21" s="903" t="s">
        <v>4248</v>
      </c>
      <c r="M21" s="912">
        <v>10000</v>
      </c>
      <c r="N21" s="899" t="e">
        <f>IF(J21&gt;M21,J21-M21,"None")</f>
        <v>#DIV/0!</v>
      </c>
      <c r="O21" s="873"/>
      <c r="P21" s="719"/>
      <c r="Q21" s="719"/>
    </row>
    <row r="22" spans="1:17" ht="16.2">
      <c r="A22"/>
      <c r="B22" s="879" t="s">
        <v>4261</v>
      </c>
      <c r="C22" s="911">
        <f>'Proforma, Income &amp; Expense'!B76</f>
        <v>0</v>
      </c>
      <c r="D22" s="890"/>
      <c r="E22" s="1136" t="s">
        <v>4262</v>
      </c>
      <c r="F22" s="1136"/>
      <c r="G22" s="899" t="str">
        <f>IF(C22&lt;&gt;300,"Review","None")</f>
        <v>Review</v>
      </c>
      <c r="H22" s="719"/>
      <c r="I22" s="879" t="s">
        <v>4261</v>
      </c>
      <c r="J22" s="911">
        <f>'Proforma, Income &amp; Expense'!B76</f>
        <v>0</v>
      </c>
      <c r="K22" s="890"/>
      <c r="L22" s="1137" t="s">
        <v>4260</v>
      </c>
      <c r="M22" s="1136"/>
      <c r="N22" s="899" t="str">
        <f>IF(J22&lt;&gt;300,"Review","None")</f>
        <v>Review</v>
      </c>
      <c r="O22" s="873"/>
      <c r="P22" s="719"/>
      <c r="Q22" s="719"/>
    </row>
    <row r="23" spans="1:17" ht="16.2">
      <c r="A23"/>
      <c r="B23" s="909" t="s">
        <v>1098</v>
      </c>
      <c r="C23" s="908">
        <f>'DOH Proforma'!H23</f>
        <v>0</v>
      </c>
      <c r="D23" s="907"/>
      <c r="E23" s="1146" t="s">
        <v>4259</v>
      </c>
      <c r="F23" s="1146"/>
      <c r="G23" s="906" t="str">
        <f>IF(AND(C23&gt;1.15,C23&lt;1.3),"None","Review")</f>
        <v>Review</v>
      </c>
      <c r="H23" s="910"/>
      <c r="I23" s="909" t="s">
        <v>1098</v>
      </c>
      <c r="J23" s="908">
        <f>'DOH Proforma'!H23</f>
        <v>0</v>
      </c>
      <c r="K23" s="907"/>
      <c r="L23" s="1146" t="s">
        <v>4258</v>
      </c>
      <c r="M23" s="1146"/>
      <c r="N23" s="906" t="str">
        <f>IF(AND(J23&gt;1.15,J23&lt;1.3),"None","Review")</f>
        <v>Review</v>
      </c>
      <c r="O23" s="873"/>
      <c r="P23" s="719"/>
      <c r="Q23" s="719"/>
    </row>
    <row r="24" spans="1:17" ht="16.2">
      <c r="A24"/>
      <c r="B24" s="879" t="s">
        <v>4256</v>
      </c>
      <c r="C24" s="905" t="e">
        <f>('DOH Underwriting'!C88+'DOH Underwriting'!C89)/((Calculations!B352+Calculations!E126)/12)</f>
        <v>#DIV/0!</v>
      </c>
      <c r="D24" s="890"/>
      <c r="E24" s="1128" t="s">
        <v>4257</v>
      </c>
      <c r="F24" s="1128"/>
      <c r="G24" s="899" t="e">
        <f>IF(AND(C24&gt;4,C24&lt;6),"None","Review")</f>
        <v>#DIV/0!</v>
      </c>
      <c r="H24" s="719"/>
      <c r="I24" s="879" t="s">
        <v>4256</v>
      </c>
      <c r="J24" s="905" t="e">
        <f>('DOH Underwriting'!C88+'DOH Underwriting'!C89)/((Calculations!B352+Calculations!E126)/12)</f>
        <v>#DIV/0!</v>
      </c>
      <c r="K24" s="890"/>
      <c r="L24" s="1128" t="s">
        <v>4255</v>
      </c>
      <c r="M24" s="1128"/>
      <c r="N24" s="899" t="e">
        <f>IF(AND(J24&gt;4,J24&lt;6),"None","Review")</f>
        <v>#DIV/0!</v>
      </c>
      <c r="O24" s="873"/>
      <c r="P24" s="719"/>
      <c r="Q24" s="719"/>
    </row>
    <row r="25" spans="1:17" ht="16.2">
      <c r="A25"/>
      <c r="B25" s="879" t="s">
        <v>4254</v>
      </c>
      <c r="C25" s="904" t="e">
        <f>Financing!B38/Calculations!B276</f>
        <v>#DIV/0!</v>
      </c>
      <c r="D25" s="890"/>
      <c r="E25" s="876"/>
      <c r="F25" s="900"/>
      <c r="G25" s="899"/>
      <c r="H25" s="719"/>
      <c r="I25" s="879" t="s">
        <v>4254</v>
      </c>
      <c r="J25" s="893" t="e">
        <f>Financing!B38/Calculations!B276</f>
        <v>#DIV/0!</v>
      </c>
      <c r="K25" s="890"/>
      <c r="L25" s="876"/>
      <c r="M25" s="900"/>
      <c r="N25" s="899"/>
      <c r="O25" s="873"/>
      <c r="P25" s="719"/>
      <c r="Q25" s="719"/>
    </row>
    <row r="26" spans="1:17" ht="32.4">
      <c r="A26"/>
      <c r="B26" s="902" t="s">
        <v>4253</v>
      </c>
      <c r="C26" s="901">
        <f>COUNTIF('DOH Proforma'!H28:AU28,"&gt;0")</f>
        <v>0</v>
      </c>
      <c r="D26" s="890"/>
      <c r="E26" s="903"/>
      <c r="F26" s="875"/>
      <c r="G26" s="899"/>
      <c r="H26" s="719"/>
      <c r="I26" s="902" t="s">
        <v>4253</v>
      </c>
      <c r="J26" s="901">
        <f>COUNTIF('DOH Proforma'!H28:AU28,"&gt;0")</f>
        <v>0</v>
      </c>
      <c r="K26" s="890"/>
      <c r="L26" s="876"/>
      <c r="M26" s="900"/>
      <c r="N26" s="899"/>
      <c r="O26" s="873"/>
      <c r="P26" s="719"/>
      <c r="Q26" s="719"/>
    </row>
    <row r="27" spans="1:17" ht="16.2">
      <c r="A27"/>
      <c r="B27" s="889" t="s">
        <v>4252</v>
      </c>
      <c r="C27" s="898"/>
      <c r="D27" s="887"/>
      <c r="E27" s="886"/>
      <c r="F27" s="885"/>
      <c r="G27" s="897"/>
      <c r="H27" s="719"/>
      <c r="I27" s="889" t="s">
        <v>4252</v>
      </c>
      <c r="J27" s="898"/>
      <c r="K27" s="887"/>
      <c r="L27" s="886"/>
      <c r="M27" s="885"/>
      <c r="N27" s="897"/>
      <c r="O27" s="873"/>
      <c r="P27" s="719"/>
      <c r="Q27" s="719"/>
    </row>
    <row r="28" spans="1:17" ht="16.2">
      <c r="A28"/>
      <c r="B28" s="1140" t="s">
        <v>4250</v>
      </c>
      <c r="C28" s="1144" t="e">
        <f>'DOH Underwriting'!M43</f>
        <v>#DIV/0!</v>
      </c>
      <c r="D28" s="1131" t="s">
        <v>4249</v>
      </c>
      <c r="E28" s="895" t="s">
        <v>4251</v>
      </c>
      <c r="F28" s="894">
        <v>50000</v>
      </c>
      <c r="G28" s="896"/>
      <c r="H28" s="719"/>
      <c r="I28" s="1140" t="s">
        <v>4250</v>
      </c>
      <c r="J28" s="1144" t="e">
        <f>'DOH Underwriting'!M43</f>
        <v>#DIV/0!</v>
      </c>
      <c r="K28" s="1131" t="s">
        <v>4249</v>
      </c>
      <c r="L28" s="1138" t="s">
        <v>4248</v>
      </c>
      <c r="M28" s="1147">
        <v>60000</v>
      </c>
      <c r="N28" s="896"/>
      <c r="O28" s="873"/>
      <c r="P28" s="719"/>
      <c r="Q28" s="719"/>
    </row>
    <row r="29" spans="1:17" ht="16.2">
      <c r="A29"/>
      <c r="B29" s="1141"/>
      <c r="C29" s="1145"/>
      <c r="D29" s="1132"/>
      <c r="E29" s="895" t="s">
        <v>4247</v>
      </c>
      <c r="F29" s="894">
        <v>55000</v>
      </c>
      <c r="G29" s="882"/>
      <c r="H29" s="719"/>
      <c r="I29" s="1141"/>
      <c r="J29" s="1145"/>
      <c r="K29" s="1132"/>
      <c r="L29" s="1139"/>
      <c r="M29" s="1148"/>
      <c r="N29" s="882"/>
      <c r="O29" s="873"/>
      <c r="P29" s="719"/>
      <c r="Q29" s="719"/>
    </row>
    <row r="30" spans="1:17" ht="16.2">
      <c r="A30"/>
      <c r="B30" s="879" t="s">
        <v>4246</v>
      </c>
      <c r="C30" s="893" t="e">
        <f>'DOH Underwriting'!K43</f>
        <v>#DIV/0!</v>
      </c>
      <c r="D30" s="877"/>
      <c r="E30" s="876"/>
      <c r="F30" s="875"/>
      <c r="G30" s="882"/>
      <c r="H30" s="719"/>
      <c r="I30" s="879" t="s">
        <v>4246</v>
      </c>
      <c r="J30" s="893" t="e">
        <f>'DOH Underwriting'!K43</f>
        <v>#DIV/0!</v>
      </c>
      <c r="K30" s="877"/>
      <c r="L30" s="876"/>
      <c r="M30" s="875"/>
      <c r="N30" s="882"/>
      <c r="O30" s="873"/>
      <c r="P30" s="719"/>
      <c r="Q30" s="719"/>
    </row>
    <row r="31" spans="1:17" ht="16.2">
      <c r="A31"/>
      <c r="B31" s="879" t="s">
        <v>4245</v>
      </c>
      <c r="C31" s="884">
        <f>Financing!C9</f>
        <v>0</v>
      </c>
      <c r="D31" s="719"/>
      <c r="E31" s="876"/>
      <c r="F31" s="875"/>
      <c r="G31" s="882"/>
      <c r="H31" s="719"/>
      <c r="I31" s="879" t="s">
        <v>4245</v>
      </c>
      <c r="J31" s="884">
        <f>Financing!C9</f>
        <v>0</v>
      </c>
      <c r="K31" s="719"/>
      <c r="L31" s="876"/>
      <c r="M31" s="875"/>
      <c r="N31" s="882"/>
      <c r="O31" s="873"/>
      <c r="P31" s="719"/>
      <c r="Q31" s="719"/>
    </row>
    <row r="32" spans="1:17" ht="16.2">
      <c r="A32"/>
      <c r="B32" s="879" t="s">
        <v>4244</v>
      </c>
      <c r="C32" s="877">
        <f>Financing!D9</f>
        <v>0</v>
      </c>
      <c r="D32" s="877"/>
      <c r="E32" s="881"/>
      <c r="F32" s="880"/>
      <c r="G32" s="882"/>
      <c r="H32" s="719"/>
      <c r="I32" s="879" t="s">
        <v>4244</v>
      </c>
      <c r="J32" s="877">
        <f>Financing!D9</f>
        <v>0</v>
      </c>
      <c r="K32" s="877"/>
      <c r="L32" s="876"/>
      <c r="M32" s="875"/>
      <c r="N32" s="882"/>
      <c r="O32" s="873"/>
      <c r="P32" s="719"/>
      <c r="Q32" s="719"/>
    </row>
    <row r="33" spans="1:17" ht="16.2">
      <c r="A33"/>
      <c r="B33" s="879" t="s">
        <v>4243</v>
      </c>
      <c r="C33" s="891" t="str">
        <f>IF(Calculations!B6=TRUE, Calculations!B618, " ")</f>
        <v xml:space="preserve"> </v>
      </c>
      <c r="D33" s="877"/>
      <c r="E33" s="881"/>
      <c r="F33" s="880"/>
      <c r="G33" s="892"/>
      <c r="H33" s="719"/>
      <c r="I33" s="879" t="s">
        <v>4243</v>
      </c>
      <c r="J33" s="891" t="str">
        <f>IF(Calculations!B6=TRUE, Calculations!B618, " ")</f>
        <v xml:space="preserve"> </v>
      </c>
      <c r="K33" s="877"/>
      <c r="L33" s="876"/>
      <c r="M33" s="875"/>
      <c r="N33" s="882"/>
      <c r="O33" s="873"/>
      <c r="P33" s="719"/>
      <c r="Q33" s="719"/>
    </row>
    <row r="34" spans="1:17" ht="16.2">
      <c r="A34"/>
      <c r="B34" s="879" t="s">
        <v>4242</v>
      </c>
      <c r="C34" s="891" t="str">
        <f>IF(Calculations!B5=TRUE, Calculations!B618, " ")</f>
        <v xml:space="preserve"> </v>
      </c>
      <c r="D34" s="877"/>
      <c r="E34" s="881"/>
      <c r="F34" s="880"/>
      <c r="G34" s="892"/>
      <c r="H34" s="719"/>
      <c r="I34" s="879" t="s">
        <v>4242</v>
      </c>
      <c r="J34" s="891" t="str">
        <f>IF(Calculations!B5=TRUE, Calculations!B618, " ")</f>
        <v xml:space="preserve"> </v>
      </c>
      <c r="K34" s="877"/>
      <c r="L34" s="876"/>
      <c r="M34" s="875"/>
      <c r="N34" s="882"/>
      <c r="O34" s="873"/>
      <c r="P34" s="719"/>
      <c r="Q34" s="719"/>
    </row>
    <row r="35" spans="1:17" ht="16.2">
      <c r="A35"/>
      <c r="B35" s="879" t="s">
        <v>4241</v>
      </c>
      <c r="C35" s="891" t="str">
        <f>IF(Calculations!B10=TRUE, Calculations!B629,"")</f>
        <v/>
      </c>
      <c r="D35" s="890"/>
      <c r="E35" s="876"/>
      <c r="F35" s="875"/>
      <c r="G35" s="882"/>
      <c r="H35" s="719"/>
      <c r="I35" s="879" t="s">
        <v>4241</v>
      </c>
      <c r="J35" s="891" t="str">
        <f>IF(Calculations!B10=TRUE, Calculations!B629,"")</f>
        <v/>
      </c>
      <c r="K35" s="890"/>
      <c r="L35" s="876"/>
      <c r="M35" s="875"/>
      <c r="N35" s="882"/>
      <c r="O35" s="873"/>
      <c r="P35" s="719"/>
      <c r="Q35" s="719"/>
    </row>
    <row r="36" spans="1:17" ht="16.2">
      <c r="A36"/>
      <c r="B36" s="879" t="s">
        <v>4416</v>
      </c>
      <c r="C36" s="891" t="str">
        <f>IF(Calculations!B12=TRUE, Calculations!C629,"")</f>
        <v/>
      </c>
      <c r="D36" s="890"/>
      <c r="E36" s="876"/>
      <c r="F36" s="875"/>
      <c r="G36" s="882"/>
      <c r="H36" s="719"/>
      <c r="I36" s="879" t="s">
        <v>4416</v>
      </c>
      <c r="J36" s="891" t="str">
        <f>IF(Calculations!B12=TRUE, Calculations!C629,"")</f>
        <v/>
      </c>
      <c r="K36" s="890"/>
      <c r="L36" s="876"/>
      <c r="M36" s="875"/>
      <c r="N36" s="882"/>
      <c r="O36" s="873"/>
      <c r="P36" s="719"/>
      <c r="Q36" s="719"/>
    </row>
    <row r="37" spans="1:17" ht="16.2">
      <c r="A37"/>
      <c r="B37" s="889" t="s">
        <v>4240</v>
      </c>
      <c r="C37" s="888"/>
      <c r="D37" s="887"/>
      <c r="E37" s="886"/>
      <c r="F37" s="885"/>
      <c r="G37" s="882"/>
      <c r="H37" s="719"/>
      <c r="I37" s="889" t="s">
        <v>4240</v>
      </c>
      <c r="J37" s="888"/>
      <c r="K37" s="887"/>
      <c r="L37" s="886"/>
      <c r="M37" s="885"/>
      <c r="N37" s="882"/>
      <c r="O37" s="873"/>
      <c r="P37" s="719"/>
      <c r="Q37" s="719"/>
    </row>
    <row r="38" spans="1:17" ht="16.2">
      <c r="A38"/>
      <c r="B38" s="879" t="s">
        <v>4239</v>
      </c>
      <c r="C38" s="884">
        <f>Calculations!L41</f>
        <v>0</v>
      </c>
      <c r="D38" s="883"/>
      <c r="E38" s="881"/>
      <c r="F38" s="880"/>
      <c r="G38" s="882"/>
      <c r="H38" s="719"/>
      <c r="I38" s="879" t="s">
        <v>4239</v>
      </c>
      <c r="J38" s="884">
        <f>Calculations!L41</f>
        <v>0</v>
      </c>
      <c r="K38" s="883"/>
      <c r="L38" s="876"/>
      <c r="M38" s="875"/>
      <c r="N38" s="882"/>
      <c r="O38" s="873"/>
      <c r="P38" s="719"/>
      <c r="Q38" s="719"/>
    </row>
    <row r="39" spans="1:17" ht="16.2">
      <c r="A39"/>
      <c r="B39" s="879" t="s">
        <v>4238</v>
      </c>
      <c r="C39" s="877">
        <f>Calculations!E304</f>
        <v>0</v>
      </c>
      <c r="D39" s="877"/>
      <c r="E39" s="881"/>
      <c r="F39" s="880"/>
      <c r="G39" s="882"/>
      <c r="H39" s="719"/>
      <c r="I39" s="879" t="s">
        <v>4238</v>
      </c>
      <c r="J39" s="877">
        <f>Calculations!E304</f>
        <v>0</v>
      </c>
      <c r="K39" s="877"/>
      <c r="L39" s="876"/>
      <c r="M39" s="875"/>
      <c r="N39" s="882"/>
      <c r="O39" s="873"/>
      <c r="P39" s="719"/>
      <c r="Q39" s="719"/>
    </row>
    <row r="40" spans="1:17" ht="16.2">
      <c r="A40"/>
      <c r="B40" s="879" t="s">
        <v>4237</v>
      </c>
      <c r="C40" s="878" t="e">
        <f>C39/Calculations!B346</f>
        <v>#DIV/0!</v>
      </c>
      <c r="D40" s="877"/>
      <c r="E40" s="881"/>
      <c r="F40" s="880"/>
      <c r="G40" s="874"/>
      <c r="H40" s="719"/>
      <c r="I40" s="879" t="s">
        <v>4237</v>
      </c>
      <c r="J40" s="878" t="e">
        <f>C39/Calculations!B346</f>
        <v>#DIV/0!</v>
      </c>
      <c r="K40" s="877"/>
      <c r="L40" s="876"/>
      <c r="M40" s="875"/>
      <c r="N40" s="874"/>
      <c r="O40" s="873"/>
      <c r="P40" s="719"/>
      <c r="Q40" s="719"/>
    </row>
    <row r="41" spans="1:17" ht="16.2">
      <c r="A41"/>
      <c r="B41" s="719"/>
      <c r="C41" s="719"/>
      <c r="D41" s="719"/>
      <c r="E41" s="719"/>
      <c r="F41" s="719"/>
      <c r="G41" s="873"/>
      <c r="H41" s="719"/>
      <c r="I41" s="719"/>
      <c r="J41" s="719"/>
      <c r="K41" s="719"/>
      <c r="L41" s="719"/>
      <c r="M41" s="719"/>
      <c r="N41" s="873"/>
      <c r="O41" s="873"/>
      <c r="P41" s="719"/>
      <c r="Q41" s="719"/>
    </row>
    <row r="42" spans="1:17" ht="16.2">
      <c r="A42"/>
      <c r="B42" s="719"/>
      <c r="C42" s="719"/>
      <c r="D42" s="719"/>
      <c r="E42" s="719"/>
      <c r="F42" s="719"/>
      <c r="G42" s="873"/>
      <c r="H42" s="719"/>
      <c r="I42" s="719"/>
      <c r="J42" s="719"/>
      <c r="K42" s="719"/>
      <c r="L42" s="719"/>
      <c r="M42" s="719"/>
      <c r="N42" s="873"/>
      <c r="O42" s="873"/>
      <c r="P42" s="719"/>
      <c r="Q42" s="719"/>
    </row>
    <row r="43" spans="1:17" ht="18" customHeight="1">
      <c r="A43"/>
      <c r="B43" s="719"/>
      <c r="C43" s="719"/>
      <c r="D43" s="719"/>
      <c r="E43" s="719"/>
      <c r="F43" s="719"/>
      <c r="G43" s="873"/>
      <c r="H43" s="719"/>
      <c r="I43" s="719"/>
      <c r="J43" s="719"/>
      <c r="K43" s="719"/>
      <c r="L43" s="719"/>
      <c r="M43" s="719"/>
      <c r="N43" s="873"/>
      <c r="O43" s="873"/>
      <c r="P43" s="719"/>
      <c r="Q43" s="719"/>
    </row>
    <row r="44" spans="1:17" ht="16.2">
      <c r="A44"/>
      <c r="B44" s="719"/>
      <c r="C44" s="719"/>
      <c r="D44" s="719"/>
      <c r="E44" s="719"/>
      <c r="F44" s="719"/>
      <c r="G44" s="873"/>
      <c r="H44" s="719"/>
      <c r="I44" s="719"/>
      <c r="J44" s="719"/>
      <c r="K44" s="719"/>
      <c r="L44" s="719"/>
      <c r="M44" s="719"/>
      <c r="N44" s="873"/>
      <c r="O44" s="873"/>
      <c r="P44" s="719"/>
      <c r="Q44" s="719"/>
    </row>
    <row r="45" spans="1:17" ht="16.2">
      <c r="A45"/>
      <c r="B45" s="719"/>
      <c r="C45" s="719"/>
      <c r="D45" s="719"/>
      <c r="E45" s="719"/>
      <c r="F45" s="719"/>
      <c r="G45" s="873"/>
      <c r="H45" s="719"/>
      <c r="I45" s="719"/>
      <c r="J45" s="719"/>
      <c r="K45" s="719"/>
      <c r="L45" s="719"/>
      <c r="M45" s="719"/>
      <c r="N45" s="873"/>
      <c r="O45" s="873"/>
      <c r="P45" s="719"/>
      <c r="Q45" s="719"/>
    </row>
    <row r="46" spans="1:17" ht="16.2">
      <c r="A46"/>
      <c r="B46" s="719"/>
      <c r="C46" s="719"/>
      <c r="D46" s="719"/>
      <c r="E46" s="719"/>
      <c r="F46" s="719"/>
      <c r="G46" s="873"/>
      <c r="H46" s="719"/>
      <c r="I46" s="719"/>
      <c r="J46" s="719"/>
      <c r="K46" s="719"/>
      <c r="L46" s="719"/>
      <c r="M46" s="719"/>
      <c r="N46" s="873"/>
      <c r="O46" s="873"/>
      <c r="P46" s="719"/>
      <c r="Q46" s="719"/>
    </row>
    <row r="47" spans="1:17" ht="16.2">
      <c r="A47"/>
      <c r="B47" s="719"/>
      <c r="C47" s="719"/>
      <c r="D47" s="719"/>
      <c r="E47" s="719"/>
      <c r="F47" s="719"/>
      <c r="G47" s="873"/>
      <c r="H47" s="719"/>
      <c r="I47" s="719"/>
      <c r="J47" s="719"/>
      <c r="K47" s="719"/>
      <c r="L47" s="719"/>
      <c r="M47" s="719"/>
      <c r="N47" s="873"/>
      <c r="O47" s="873"/>
      <c r="P47" s="719"/>
      <c r="Q47" s="719"/>
    </row>
    <row r="48" spans="1:17" ht="16.2">
      <c r="A48"/>
      <c r="B48" s="719"/>
      <c r="C48" s="719"/>
      <c r="D48" s="719"/>
      <c r="E48" s="719"/>
      <c r="F48" s="719"/>
      <c r="G48" s="873"/>
      <c r="H48" s="719"/>
      <c r="I48" s="719"/>
      <c r="J48" s="719"/>
      <c r="K48" s="719"/>
      <c r="L48" s="719"/>
      <c r="M48" s="719"/>
      <c r="N48" s="873"/>
      <c r="O48" s="873"/>
      <c r="P48" s="719"/>
      <c r="Q48" s="719"/>
    </row>
    <row r="49" spans="1:17" ht="16.5" customHeight="1">
      <c r="A49"/>
      <c r="B49" s="719"/>
      <c r="C49" s="719"/>
      <c r="D49" s="719"/>
      <c r="E49" s="719"/>
      <c r="F49" s="719"/>
      <c r="G49" s="873"/>
      <c r="H49" s="719"/>
      <c r="I49" s="719"/>
      <c r="J49" s="719"/>
      <c r="K49" s="719"/>
      <c r="L49" s="719"/>
      <c r="M49" s="719"/>
      <c r="N49" s="873"/>
      <c r="O49" s="873"/>
      <c r="P49" s="719"/>
      <c r="Q49" s="719"/>
    </row>
    <row r="50" spans="1:17" ht="16.2">
      <c r="A50"/>
      <c r="B50" s="719"/>
      <c r="C50" s="719"/>
      <c r="D50" s="719"/>
      <c r="E50" s="719"/>
      <c r="F50" s="719"/>
      <c r="G50" s="873"/>
      <c r="H50" s="719"/>
      <c r="I50" s="719"/>
      <c r="J50" s="719"/>
      <c r="K50" s="719"/>
      <c r="L50" s="719"/>
      <c r="M50" s="719"/>
      <c r="N50" s="873"/>
      <c r="O50" s="873"/>
      <c r="P50" s="719"/>
      <c r="Q50" s="719"/>
    </row>
    <row r="51" spans="1:17" ht="16.2">
      <c r="A51"/>
      <c r="B51" s="719"/>
      <c r="C51" s="719"/>
      <c r="D51" s="719"/>
      <c r="E51" s="719"/>
      <c r="F51" s="719"/>
      <c r="G51" s="873"/>
      <c r="H51" s="719"/>
      <c r="I51" s="719"/>
      <c r="J51" s="719"/>
      <c r="K51" s="719"/>
      <c r="L51" s="719"/>
      <c r="M51" s="719"/>
      <c r="N51" s="873"/>
      <c r="O51" s="873"/>
      <c r="P51" s="719"/>
      <c r="Q51" s="719"/>
    </row>
    <row r="52" spans="1:17" ht="16.2">
      <c r="A52"/>
      <c r="B52" s="719"/>
      <c r="C52" s="719"/>
      <c r="D52" s="719"/>
      <c r="E52" s="719"/>
      <c r="F52" s="719"/>
      <c r="G52" s="873"/>
      <c r="H52" s="719"/>
      <c r="I52" s="719"/>
      <c r="J52" s="719"/>
      <c r="K52" s="719"/>
      <c r="L52" s="719"/>
      <c r="M52" s="719"/>
      <c r="N52" s="873"/>
      <c r="O52" s="873"/>
      <c r="P52" s="719"/>
      <c r="Q52" s="719"/>
    </row>
    <row r="53" spans="1:17" ht="16.2">
      <c r="A53"/>
      <c r="B53" s="719"/>
      <c r="C53" s="719"/>
      <c r="D53" s="719"/>
      <c r="E53" s="719"/>
      <c r="F53" s="719"/>
      <c r="G53" s="873"/>
      <c r="H53" s="719"/>
      <c r="I53" s="719"/>
      <c r="J53" s="719"/>
      <c r="K53" s="719"/>
      <c r="L53" s="719"/>
      <c r="M53" s="719"/>
      <c r="N53" s="873"/>
      <c r="O53" s="873"/>
      <c r="P53" s="719"/>
      <c r="Q53" s="719"/>
    </row>
    <row r="54" spans="1:17" ht="16.2">
      <c r="A54"/>
      <c r="B54" s="719"/>
      <c r="C54" s="719"/>
      <c r="D54" s="719"/>
      <c r="E54" s="719"/>
      <c r="F54" s="719"/>
      <c r="G54" s="873"/>
      <c r="H54" s="719"/>
      <c r="I54" s="719"/>
      <c r="J54" s="719"/>
      <c r="K54" s="719"/>
      <c r="L54" s="719"/>
      <c r="M54" s="719"/>
      <c r="N54" s="873"/>
      <c r="O54" s="873"/>
      <c r="P54" s="719"/>
      <c r="Q54" s="719"/>
    </row>
    <row r="55" spans="1:17" ht="16.2">
      <c r="A55"/>
      <c r="B55" s="719"/>
      <c r="C55" s="719"/>
      <c r="D55" s="719"/>
      <c r="E55" s="719"/>
      <c r="F55" s="719"/>
      <c r="G55" s="873"/>
      <c r="H55" s="719"/>
      <c r="I55" s="719"/>
      <c r="J55" s="719"/>
      <c r="K55" s="719"/>
      <c r="L55" s="719"/>
      <c r="M55" s="719"/>
      <c r="N55" s="873"/>
      <c r="O55" s="873"/>
      <c r="P55" s="719"/>
      <c r="Q55" s="719"/>
    </row>
    <row r="56" spans="1:17" ht="16.2">
      <c r="A56"/>
      <c r="B56" s="719"/>
      <c r="C56" s="719"/>
      <c r="D56" s="719"/>
      <c r="E56" s="719"/>
      <c r="F56" s="719"/>
      <c r="G56" s="873"/>
      <c r="H56" s="719"/>
      <c r="I56" s="719"/>
      <c r="J56" s="719"/>
      <c r="K56" s="719"/>
      <c r="L56" s="719"/>
      <c r="M56" s="719"/>
      <c r="N56" s="873"/>
      <c r="O56" s="873"/>
      <c r="P56" s="719"/>
      <c r="Q56" s="719"/>
    </row>
    <row r="57" spans="1:17" ht="16.2">
      <c r="A57"/>
      <c r="B57" s="719"/>
      <c r="C57" s="719"/>
      <c r="D57" s="719"/>
      <c r="E57" s="719"/>
      <c r="F57" s="719"/>
      <c r="G57" s="873"/>
      <c r="H57" s="719"/>
      <c r="I57" s="719"/>
      <c r="J57" s="719"/>
      <c r="K57" s="719"/>
      <c r="L57" s="719"/>
      <c r="M57" s="719"/>
      <c r="N57" s="873"/>
      <c r="O57" s="873"/>
      <c r="P57" s="719"/>
      <c r="Q57" s="719"/>
    </row>
    <row r="58" spans="1:17" ht="16.2">
      <c r="A58"/>
      <c r="B58" s="719"/>
      <c r="C58" s="719"/>
      <c r="D58" s="719"/>
      <c r="E58" s="719"/>
      <c r="F58" s="719"/>
      <c r="G58" s="873"/>
      <c r="H58" s="719"/>
      <c r="I58" s="719"/>
      <c r="J58" s="719"/>
      <c r="K58" s="719"/>
      <c r="L58" s="719"/>
      <c r="M58" s="719"/>
      <c r="N58" s="873"/>
      <c r="O58" s="873"/>
      <c r="P58" s="719"/>
      <c r="Q58" s="719"/>
    </row>
    <row r="59" spans="1:17" ht="16.2">
      <c r="A59"/>
      <c r="B59" s="719"/>
      <c r="C59" s="719"/>
      <c r="D59" s="719"/>
      <c r="E59" s="719"/>
      <c r="F59" s="719"/>
      <c r="G59" s="873"/>
      <c r="H59" s="719"/>
      <c r="I59" s="719"/>
      <c r="J59" s="719"/>
      <c r="K59" s="719"/>
      <c r="L59" s="719"/>
      <c r="M59" s="719"/>
      <c r="N59" s="873"/>
      <c r="O59" s="873"/>
      <c r="P59" s="719"/>
      <c r="Q59" s="719"/>
    </row>
    <row r="60" spans="1:17" ht="16.2">
      <c r="A60"/>
      <c r="B60" s="719"/>
      <c r="C60" s="719"/>
      <c r="D60" s="719"/>
      <c r="E60" s="719"/>
      <c r="F60" s="719"/>
      <c r="G60" s="873"/>
      <c r="H60" s="719"/>
      <c r="I60" s="719"/>
      <c r="J60" s="719"/>
      <c r="K60" s="719"/>
      <c r="L60" s="719"/>
      <c r="M60" s="719"/>
      <c r="N60" s="873"/>
      <c r="O60" s="873"/>
      <c r="P60" s="719"/>
      <c r="Q60" s="719"/>
    </row>
    <row r="61" spans="1:17" ht="16.2">
      <c r="A61"/>
      <c r="B61" s="719"/>
      <c r="C61" s="719"/>
      <c r="D61" s="719"/>
      <c r="E61" s="719"/>
      <c r="F61" s="719"/>
      <c r="G61" s="873"/>
      <c r="H61" s="719"/>
      <c r="I61" s="719"/>
      <c r="J61" s="719"/>
      <c r="K61" s="719"/>
      <c r="L61" s="719"/>
      <c r="M61" s="719"/>
      <c r="N61" s="873"/>
      <c r="O61" s="873"/>
      <c r="P61" s="719"/>
      <c r="Q61" s="719"/>
    </row>
    <row r="62" spans="1:17" ht="16.2">
      <c r="A62"/>
      <c r="B62" s="719"/>
      <c r="C62" s="719"/>
      <c r="D62" s="719"/>
      <c r="E62" s="719"/>
      <c r="F62" s="719"/>
      <c r="G62" s="873"/>
      <c r="H62" s="719"/>
      <c r="I62" s="719"/>
      <c r="J62" s="719"/>
      <c r="K62" s="719"/>
      <c r="L62" s="719"/>
      <c r="M62" s="719"/>
      <c r="N62" s="873"/>
      <c r="O62" s="873"/>
      <c r="P62" s="719"/>
      <c r="Q62" s="719"/>
    </row>
    <row r="63" spans="1:17" ht="16.2">
      <c r="A63" s="556"/>
      <c r="B63" s="719"/>
      <c r="C63" s="719"/>
      <c r="D63" s="719"/>
      <c r="E63" s="719"/>
      <c r="F63" s="719"/>
      <c r="G63" s="873"/>
      <c r="H63" s="719"/>
      <c r="I63" s="719"/>
      <c r="J63" s="719"/>
      <c r="K63" s="719"/>
      <c r="L63" s="719"/>
      <c r="M63" s="719"/>
      <c r="N63" s="873"/>
      <c r="O63" s="873"/>
      <c r="P63" s="719"/>
      <c r="Q63" s="719"/>
    </row>
    <row r="64" spans="1:17" ht="16.2">
      <c r="A64" s="556"/>
      <c r="B64" s="719"/>
      <c r="C64" s="719"/>
      <c r="D64" s="719"/>
      <c r="E64" s="719"/>
      <c r="F64" s="719"/>
      <c r="G64" s="873"/>
      <c r="H64" s="719"/>
      <c r="I64" s="719"/>
      <c r="J64" s="719"/>
      <c r="K64" s="719"/>
      <c r="L64" s="719"/>
      <c r="M64" s="719"/>
      <c r="N64" s="873"/>
      <c r="O64" s="873"/>
      <c r="P64" s="719"/>
      <c r="Q64" s="719"/>
    </row>
    <row r="65" spans="1:17" ht="16.2">
      <c r="A65"/>
      <c r="B65" s="719"/>
      <c r="C65" s="719"/>
      <c r="D65" s="719"/>
      <c r="E65" s="719"/>
      <c r="F65" s="719"/>
      <c r="G65" s="873"/>
      <c r="H65" s="719"/>
      <c r="I65" s="719"/>
      <c r="J65" s="719"/>
      <c r="K65" s="719"/>
      <c r="L65" s="719"/>
      <c r="M65" s="719"/>
      <c r="N65" s="873"/>
      <c r="O65" s="873"/>
      <c r="P65" s="719"/>
      <c r="Q65" s="719"/>
    </row>
    <row r="66" spans="1:17" ht="16.2">
      <c r="A66"/>
      <c r="B66" s="719"/>
      <c r="C66" s="719"/>
      <c r="D66" s="719"/>
      <c r="E66" s="719"/>
      <c r="F66" s="719"/>
      <c r="G66" s="873"/>
      <c r="H66" s="719"/>
      <c r="I66" s="719"/>
      <c r="J66" s="719"/>
      <c r="K66" s="719"/>
      <c r="L66" s="719"/>
      <c r="M66" s="719"/>
      <c r="N66" s="873"/>
      <c r="O66" s="873"/>
      <c r="P66" s="719"/>
      <c r="Q66" s="719"/>
    </row>
    <row r="67" spans="1:17" ht="16.2">
      <c r="A67"/>
      <c r="B67" s="719"/>
      <c r="C67" s="719"/>
      <c r="D67" s="719"/>
      <c r="E67" s="719"/>
      <c r="F67" s="719"/>
      <c r="G67" s="873"/>
      <c r="H67" s="719"/>
      <c r="I67" s="719"/>
      <c r="J67" s="719"/>
      <c r="K67" s="719"/>
      <c r="L67" s="719"/>
      <c r="M67" s="719"/>
      <c r="N67" s="873"/>
      <c r="O67" s="873"/>
      <c r="P67" s="719"/>
      <c r="Q67" s="719"/>
    </row>
    <row r="68" spans="1:17" ht="16.2">
      <c r="A68"/>
      <c r="B68" s="719"/>
      <c r="C68" s="719"/>
      <c r="D68" s="719"/>
      <c r="E68" s="719"/>
      <c r="F68" s="719"/>
      <c r="G68" s="873"/>
      <c r="H68" s="719"/>
      <c r="I68" s="719"/>
      <c r="J68" s="719"/>
      <c r="K68" s="719"/>
      <c r="L68" s="719"/>
      <c r="M68" s="719"/>
      <c r="N68" s="873"/>
      <c r="O68" s="873"/>
      <c r="P68" s="719"/>
      <c r="Q68" s="719"/>
    </row>
    <row r="69" spans="1:17" ht="16.2">
      <c r="A69"/>
      <c r="B69" s="719"/>
      <c r="C69" s="719"/>
      <c r="D69" s="719"/>
      <c r="E69" s="719"/>
      <c r="F69" s="719"/>
      <c r="G69" s="873"/>
      <c r="H69" s="719"/>
      <c r="I69" s="719"/>
      <c r="J69" s="719"/>
      <c r="K69" s="719"/>
      <c r="L69" s="719"/>
      <c r="M69" s="719"/>
      <c r="N69" s="873"/>
      <c r="O69" s="873"/>
      <c r="P69" s="719"/>
      <c r="Q69" s="719"/>
    </row>
    <row r="70" spans="1:17" ht="16.2">
      <c r="A70"/>
      <c r="B70" s="719"/>
      <c r="C70" s="719"/>
      <c r="D70" s="719"/>
      <c r="E70" s="719"/>
      <c r="F70" s="719"/>
      <c r="G70" s="873"/>
      <c r="H70" s="719"/>
      <c r="I70" s="719"/>
      <c r="J70" s="719"/>
      <c r="K70" s="719"/>
      <c r="L70" s="719"/>
      <c r="M70" s="719"/>
      <c r="N70" s="873"/>
      <c r="O70" s="873"/>
      <c r="P70" s="719"/>
      <c r="Q70" s="719"/>
    </row>
    <row r="71" spans="1:17" ht="16.2">
      <c r="A71"/>
      <c r="B71" s="719"/>
      <c r="C71" s="719"/>
      <c r="D71" s="719"/>
      <c r="E71" s="719"/>
      <c r="F71" s="719"/>
      <c r="G71" s="873"/>
      <c r="H71" s="719"/>
      <c r="I71" s="719"/>
      <c r="J71" s="719"/>
      <c r="K71" s="719"/>
      <c r="L71" s="719"/>
      <c r="M71" s="719"/>
      <c r="N71" s="873"/>
      <c r="O71" s="873"/>
      <c r="P71" s="719"/>
      <c r="Q71" s="719"/>
    </row>
    <row r="72" spans="1:17" ht="16.2">
      <c r="A72"/>
      <c r="B72" s="719"/>
      <c r="C72" s="719"/>
      <c r="D72" s="719"/>
      <c r="E72" s="719"/>
      <c r="F72" s="719"/>
      <c r="G72" s="873"/>
      <c r="H72" s="719"/>
      <c r="I72" s="719"/>
      <c r="J72" s="719"/>
      <c r="K72" s="719"/>
      <c r="L72" s="719"/>
      <c r="M72" s="719"/>
      <c r="N72" s="873"/>
      <c r="O72" s="873"/>
      <c r="P72" s="719"/>
      <c r="Q72" s="719"/>
    </row>
    <row r="73" spans="1:17" ht="16.2">
      <c r="A73"/>
      <c r="B73" s="719"/>
      <c r="C73" s="719"/>
      <c r="D73" s="719"/>
      <c r="E73" s="719"/>
      <c r="F73" s="719"/>
      <c r="G73" s="873"/>
      <c r="H73" s="719"/>
      <c r="I73" s="719"/>
      <c r="J73" s="719"/>
      <c r="K73" s="719"/>
      <c r="L73" s="719"/>
      <c r="M73" s="719"/>
      <c r="N73" s="873"/>
      <c r="O73" s="873"/>
      <c r="P73" s="719"/>
      <c r="Q73" s="719"/>
    </row>
    <row r="74" spans="1:17" ht="16.2">
      <c r="A74"/>
      <c r="B74" s="719"/>
      <c r="C74" s="719"/>
      <c r="D74" s="719"/>
      <c r="E74" s="719"/>
      <c r="F74" s="719"/>
      <c r="G74" s="873"/>
      <c r="H74" s="719"/>
      <c r="I74" s="719"/>
      <c r="J74" s="719"/>
      <c r="K74" s="719"/>
      <c r="L74" s="719"/>
      <c r="M74" s="719"/>
      <c r="N74" s="873"/>
      <c r="O74" s="873"/>
      <c r="P74" s="719"/>
      <c r="Q74" s="719"/>
    </row>
    <row r="75" spans="1:17" ht="16.2">
      <c r="A75"/>
      <c r="B75" s="719"/>
      <c r="C75" s="719"/>
      <c r="D75" s="719"/>
      <c r="E75" s="719"/>
      <c r="F75" s="719"/>
      <c r="G75" s="873"/>
      <c r="H75" s="719"/>
      <c r="I75" s="719"/>
      <c r="J75" s="719"/>
      <c r="K75" s="719"/>
      <c r="L75" s="719"/>
      <c r="M75" s="719"/>
      <c r="N75" s="873"/>
      <c r="O75" s="873"/>
      <c r="P75" s="719"/>
      <c r="Q75" s="719"/>
    </row>
    <row r="76" spans="1:17" ht="16.2">
      <c r="A76"/>
      <c r="B76" s="719"/>
      <c r="C76" s="719"/>
      <c r="D76" s="719"/>
      <c r="E76" s="719"/>
      <c r="F76" s="719"/>
      <c r="G76" s="873"/>
      <c r="H76" s="719"/>
      <c r="I76" s="719"/>
      <c r="J76" s="719"/>
      <c r="K76" s="719"/>
      <c r="L76" s="719"/>
      <c r="M76" s="719"/>
      <c r="N76" s="873"/>
      <c r="O76" s="873"/>
      <c r="P76" s="719"/>
      <c r="Q76" s="719"/>
    </row>
    <row r="77" spans="1:17" ht="16.2">
      <c r="A77"/>
      <c r="B77" s="719"/>
      <c r="C77" s="719"/>
      <c r="D77" s="719"/>
      <c r="E77" s="719"/>
      <c r="F77" s="719"/>
      <c r="G77" s="873"/>
      <c r="H77" s="719"/>
      <c r="I77" s="719"/>
      <c r="J77" s="719"/>
      <c r="K77" s="719"/>
      <c r="L77" s="719"/>
      <c r="M77" s="719"/>
      <c r="N77" s="873"/>
      <c r="O77" s="873"/>
      <c r="P77" s="719"/>
      <c r="Q77" s="719"/>
    </row>
    <row r="78" spans="1:17" ht="16.2">
      <c r="A78"/>
      <c r="B78" s="719"/>
      <c r="C78" s="719"/>
      <c r="D78" s="719"/>
      <c r="E78" s="719"/>
      <c r="F78" s="719"/>
      <c r="G78" s="873"/>
      <c r="H78" s="719"/>
      <c r="I78" s="719"/>
      <c r="J78" s="719"/>
      <c r="K78" s="719"/>
      <c r="L78" s="719"/>
      <c r="M78" s="719"/>
      <c r="N78" s="873"/>
      <c r="O78" s="873"/>
      <c r="P78" s="719"/>
      <c r="Q78" s="719"/>
    </row>
    <row r="79" spans="1:17" ht="16.2">
      <c r="A79"/>
      <c r="B79" s="719"/>
      <c r="C79" s="719"/>
      <c r="D79" s="719"/>
      <c r="E79" s="719"/>
      <c r="F79" s="719"/>
      <c r="G79" s="873"/>
      <c r="H79" s="719"/>
      <c r="I79" s="719"/>
      <c r="J79" s="719"/>
      <c r="K79" s="719"/>
      <c r="L79" s="719"/>
      <c r="M79" s="719"/>
      <c r="N79" s="873"/>
      <c r="O79" s="873"/>
      <c r="P79" s="719"/>
      <c r="Q79" s="719"/>
    </row>
    <row r="80" spans="1:17" ht="16.2">
      <c r="A80"/>
      <c r="B80" s="719"/>
      <c r="C80" s="719"/>
      <c r="D80" s="719"/>
      <c r="E80" s="719"/>
      <c r="F80" s="719"/>
      <c r="G80" s="873"/>
      <c r="H80" s="719"/>
      <c r="I80" s="719"/>
      <c r="J80" s="719"/>
      <c r="K80" s="719"/>
      <c r="L80" s="719"/>
      <c r="M80" s="719"/>
      <c r="N80" s="873"/>
      <c r="O80" s="873"/>
      <c r="P80" s="719"/>
      <c r="Q80" s="719"/>
    </row>
    <row r="81" spans="1:17" ht="16.2">
      <c r="A81"/>
      <c r="B81" s="719"/>
      <c r="C81" s="719"/>
      <c r="D81" s="719"/>
      <c r="E81" s="719"/>
      <c r="F81" s="719"/>
      <c r="G81" s="873"/>
      <c r="H81" s="719"/>
      <c r="I81" s="719"/>
      <c r="J81" s="719"/>
      <c r="K81" s="719"/>
      <c r="L81" s="719"/>
      <c r="M81" s="719"/>
      <c r="N81" s="873"/>
      <c r="O81" s="873"/>
      <c r="P81" s="719"/>
      <c r="Q81" s="719"/>
    </row>
    <row r="82" spans="1:17" ht="16.2">
      <c r="A82"/>
      <c r="B82" s="719"/>
      <c r="C82" s="719"/>
      <c r="D82" s="719"/>
      <c r="E82" s="719"/>
      <c r="F82" s="719"/>
      <c r="G82" s="873"/>
      <c r="H82" s="719"/>
      <c r="I82" s="719"/>
      <c r="J82" s="719"/>
      <c r="K82" s="719"/>
      <c r="L82" s="719"/>
      <c r="M82" s="719"/>
      <c r="N82" s="873"/>
      <c r="O82" s="873"/>
      <c r="P82" s="719"/>
      <c r="Q82" s="719"/>
    </row>
    <row r="83" spans="1:17" ht="16.2">
      <c r="A83"/>
      <c r="B83" s="719"/>
      <c r="C83" s="719"/>
      <c r="D83" s="719"/>
      <c r="E83" s="719"/>
      <c r="F83" s="719"/>
      <c r="G83" s="873"/>
      <c r="H83" s="719"/>
      <c r="I83" s="719"/>
      <c r="J83" s="719"/>
      <c r="K83" s="719"/>
      <c r="L83" s="719"/>
      <c r="M83" s="719"/>
      <c r="N83" s="873"/>
      <c r="O83" s="873"/>
      <c r="P83" s="719"/>
      <c r="Q83" s="719"/>
    </row>
    <row r="84" spans="1:17" ht="16.2">
      <c r="A84"/>
      <c r="B84" s="719"/>
      <c r="C84" s="719"/>
      <c r="D84" s="719"/>
      <c r="E84" s="719"/>
      <c r="F84" s="719"/>
      <c r="G84" s="873"/>
      <c r="H84" s="719"/>
      <c r="I84" s="719"/>
      <c r="J84" s="719"/>
      <c r="K84" s="719"/>
      <c r="L84" s="719"/>
      <c r="M84" s="719"/>
      <c r="N84" s="873"/>
      <c r="O84" s="873"/>
      <c r="P84" s="719"/>
      <c r="Q84" s="719"/>
    </row>
    <row r="85" spans="1:17" ht="16.2">
      <c r="A85"/>
      <c r="B85" s="719"/>
      <c r="C85" s="719"/>
      <c r="D85" s="719"/>
      <c r="E85" s="719"/>
      <c r="F85" s="719"/>
      <c r="G85" s="873"/>
      <c r="H85" s="719"/>
      <c r="I85" s="719"/>
      <c r="J85" s="719"/>
      <c r="K85" s="719"/>
      <c r="L85" s="719"/>
      <c r="M85" s="719"/>
      <c r="N85" s="873"/>
      <c r="O85" s="873"/>
      <c r="P85" s="719"/>
      <c r="Q85" s="719"/>
    </row>
    <row r="86" spans="1:17" ht="16.2">
      <c r="A86"/>
      <c r="B86" s="719"/>
      <c r="C86" s="719"/>
      <c r="D86" s="719"/>
      <c r="E86" s="719"/>
      <c r="F86" s="719"/>
      <c r="G86" s="873"/>
      <c r="H86" s="719"/>
      <c r="I86" s="719"/>
      <c r="J86" s="719"/>
      <c r="K86" s="719"/>
      <c r="L86" s="719"/>
      <c r="M86" s="719"/>
      <c r="N86" s="873"/>
      <c r="O86" s="873"/>
      <c r="P86" s="719"/>
      <c r="Q86" s="719"/>
    </row>
    <row r="87" spans="1:17" ht="16.2">
      <c r="A87"/>
      <c r="B87" s="719"/>
      <c r="C87" s="719"/>
      <c r="D87" s="719"/>
      <c r="E87" s="719"/>
      <c r="F87" s="719"/>
      <c r="G87" s="873"/>
      <c r="H87" s="719"/>
      <c r="I87" s="719"/>
      <c r="J87" s="719"/>
      <c r="K87" s="719"/>
      <c r="L87" s="719"/>
      <c r="M87" s="719"/>
      <c r="N87" s="873"/>
      <c r="O87" s="873"/>
      <c r="P87" s="719"/>
      <c r="Q87" s="719"/>
    </row>
    <row r="88" spans="1:17" ht="16.2">
      <c r="B88" s="719"/>
      <c r="C88" s="719"/>
      <c r="D88" s="719"/>
      <c r="E88" s="719"/>
      <c r="F88" s="719"/>
      <c r="G88" s="873"/>
      <c r="H88" s="719"/>
      <c r="I88" s="719"/>
      <c r="J88" s="719"/>
      <c r="K88" s="719"/>
      <c r="L88" s="719"/>
      <c r="M88" s="719"/>
      <c r="N88" s="873"/>
      <c r="O88" s="873"/>
      <c r="P88" s="719"/>
      <c r="Q88" s="719"/>
    </row>
    <row r="89" spans="1:17" ht="16.2">
      <c r="B89" s="719"/>
      <c r="C89" s="719"/>
      <c r="D89" s="719"/>
      <c r="E89" s="719"/>
      <c r="F89" s="719"/>
      <c r="G89" s="873"/>
      <c r="H89" s="719"/>
      <c r="I89" s="719"/>
      <c r="J89" s="719"/>
      <c r="K89" s="719"/>
      <c r="L89" s="719"/>
      <c r="M89" s="719"/>
      <c r="N89" s="873"/>
      <c r="O89" s="873"/>
      <c r="P89" s="719"/>
      <c r="Q89" s="719"/>
    </row>
    <row r="90" spans="1:17" ht="16.2">
      <c r="B90" s="719"/>
      <c r="C90" s="719"/>
      <c r="D90" s="719"/>
      <c r="E90" s="719"/>
      <c r="F90" s="719"/>
      <c r="G90" s="873"/>
      <c r="H90" s="719"/>
      <c r="I90" s="719"/>
      <c r="J90" s="719"/>
      <c r="K90" s="719"/>
      <c r="L90" s="719"/>
      <c r="M90" s="719"/>
      <c r="N90" s="873"/>
      <c r="O90" s="873"/>
      <c r="P90" s="719"/>
      <c r="Q90" s="719"/>
    </row>
    <row r="91" spans="1:17" ht="16.2">
      <c r="B91" s="719"/>
      <c r="C91" s="719"/>
      <c r="D91" s="719"/>
      <c r="E91" s="719"/>
      <c r="F91" s="719"/>
      <c r="G91" s="873"/>
      <c r="H91" s="719"/>
      <c r="I91" s="719"/>
      <c r="J91" s="719"/>
      <c r="K91" s="719"/>
      <c r="L91" s="719"/>
      <c r="M91" s="719"/>
      <c r="N91" s="873"/>
      <c r="O91" s="873"/>
      <c r="P91" s="719"/>
      <c r="Q91" s="719"/>
    </row>
    <row r="92" spans="1:17" ht="16.2">
      <c r="B92" s="719"/>
      <c r="C92" s="719"/>
      <c r="D92" s="719"/>
      <c r="E92" s="719"/>
      <c r="F92" s="719"/>
      <c r="G92" s="873"/>
      <c r="H92" s="719"/>
      <c r="I92" s="719"/>
      <c r="J92" s="719"/>
      <c r="K92" s="719"/>
      <c r="L92" s="719"/>
      <c r="M92" s="719"/>
      <c r="N92" s="873"/>
      <c r="O92" s="873"/>
      <c r="P92" s="719"/>
      <c r="Q92" s="719"/>
    </row>
    <row r="93" spans="1:17" ht="16.2">
      <c r="B93" s="719"/>
      <c r="C93" s="719"/>
      <c r="D93" s="719"/>
      <c r="E93" s="719"/>
      <c r="F93" s="719"/>
      <c r="G93" s="873"/>
      <c r="H93" s="719"/>
      <c r="I93" s="719"/>
      <c r="J93" s="719"/>
      <c r="K93" s="719"/>
      <c r="L93" s="719"/>
      <c r="M93" s="719"/>
      <c r="N93" s="873"/>
      <c r="O93" s="873"/>
      <c r="P93" s="719"/>
      <c r="Q93" s="719"/>
    </row>
    <row r="94" spans="1:17" ht="16.2">
      <c r="B94" s="719"/>
      <c r="C94" s="719"/>
      <c r="D94" s="719"/>
      <c r="E94" s="719"/>
      <c r="F94" s="719"/>
      <c r="G94" s="873"/>
      <c r="H94" s="719"/>
      <c r="I94" s="719"/>
      <c r="J94" s="719"/>
      <c r="K94" s="719"/>
      <c r="L94" s="719"/>
      <c r="M94" s="719"/>
      <c r="N94" s="873"/>
      <c r="O94" s="873"/>
      <c r="P94" s="719"/>
      <c r="Q94" s="719"/>
    </row>
    <row r="95" spans="1:17" ht="16.2">
      <c r="B95" s="719"/>
      <c r="C95" s="719"/>
      <c r="D95" s="719"/>
      <c r="E95" s="719"/>
      <c r="F95" s="719"/>
      <c r="G95" s="873"/>
      <c r="H95" s="719"/>
      <c r="I95" s="719"/>
      <c r="J95" s="719"/>
      <c r="K95" s="719"/>
      <c r="L95" s="719"/>
      <c r="M95" s="719"/>
      <c r="N95" s="873"/>
      <c r="O95" s="873"/>
      <c r="P95" s="719"/>
      <c r="Q95" s="719"/>
    </row>
    <row r="96" spans="1:17" ht="16.2">
      <c r="B96" s="719"/>
      <c r="C96" s="719"/>
      <c r="D96" s="719"/>
      <c r="E96" s="719"/>
      <c r="F96" s="719"/>
      <c r="G96" s="873"/>
      <c r="H96" s="719"/>
      <c r="I96" s="719"/>
      <c r="J96" s="719"/>
      <c r="K96" s="719"/>
      <c r="L96" s="719"/>
      <c r="M96" s="719"/>
      <c r="N96" s="873"/>
      <c r="O96" s="873"/>
      <c r="P96" s="719"/>
      <c r="Q96" s="719"/>
    </row>
    <row r="97" spans="2:17" ht="16.2">
      <c r="B97" s="719"/>
      <c r="C97" s="719"/>
      <c r="D97" s="719"/>
      <c r="E97" s="719"/>
      <c r="F97" s="719"/>
      <c r="G97" s="873"/>
      <c r="H97" s="719"/>
      <c r="I97" s="719"/>
      <c r="J97" s="719"/>
      <c r="K97" s="719"/>
      <c r="L97" s="719"/>
      <c r="M97" s="719"/>
      <c r="N97" s="873"/>
      <c r="O97" s="873"/>
      <c r="P97" s="719"/>
      <c r="Q97" s="719"/>
    </row>
    <row r="98" spans="2:17" ht="16.2">
      <c r="B98" s="719"/>
      <c r="C98" s="719"/>
      <c r="D98" s="719"/>
      <c r="E98" s="719"/>
      <c r="F98" s="719"/>
      <c r="G98" s="873"/>
      <c r="H98" s="719"/>
      <c r="I98" s="719"/>
      <c r="J98" s="719"/>
      <c r="K98" s="719"/>
      <c r="L98" s="719"/>
      <c r="M98" s="719"/>
      <c r="N98" s="873"/>
      <c r="O98" s="873"/>
      <c r="P98" s="719"/>
      <c r="Q98" s="719"/>
    </row>
    <row r="99" spans="2:17" ht="16.2">
      <c r="B99" s="719"/>
      <c r="C99" s="719"/>
      <c r="D99" s="719"/>
      <c r="E99" s="719"/>
      <c r="F99" s="719"/>
      <c r="G99" s="873"/>
      <c r="H99" s="719"/>
      <c r="I99" s="719"/>
      <c r="J99" s="719"/>
      <c r="K99" s="719"/>
      <c r="L99" s="719"/>
      <c r="M99" s="719"/>
      <c r="N99" s="873"/>
      <c r="O99" s="873"/>
      <c r="P99" s="719"/>
      <c r="Q99" s="719"/>
    </row>
    <row r="100" spans="2:17" ht="16.2">
      <c r="B100" s="719"/>
      <c r="C100" s="719"/>
      <c r="D100" s="719"/>
      <c r="E100" s="719"/>
      <c r="F100" s="719"/>
      <c r="G100" s="873"/>
      <c r="H100" s="719"/>
      <c r="I100" s="719"/>
      <c r="J100" s="719"/>
      <c r="K100" s="719"/>
      <c r="L100" s="719"/>
      <c r="M100" s="719"/>
      <c r="N100" s="873"/>
      <c r="O100" s="873"/>
      <c r="P100" s="719"/>
      <c r="Q100" s="719"/>
    </row>
    <row r="101" spans="2:17" ht="16.2">
      <c r="B101" s="719"/>
      <c r="C101" s="719"/>
      <c r="D101" s="719"/>
      <c r="E101" s="719"/>
      <c r="F101" s="719"/>
      <c r="G101" s="873"/>
      <c r="H101" s="719"/>
      <c r="I101" s="719"/>
      <c r="J101" s="719"/>
      <c r="K101" s="719"/>
      <c r="L101" s="719"/>
      <c r="M101" s="719"/>
      <c r="N101" s="873"/>
      <c r="O101" s="873"/>
      <c r="P101" s="719"/>
      <c r="Q101" s="719"/>
    </row>
    <row r="102" spans="2:17" ht="16.2">
      <c r="B102" s="719"/>
      <c r="C102" s="719"/>
      <c r="D102" s="719"/>
      <c r="E102" s="719"/>
      <c r="F102" s="719"/>
      <c r="G102" s="873"/>
      <c r="H102" s="719"/>
      <c r="I102" s="719"/>
      <c r="J102" s="719"/>
      <c r="K102" s="719"/>
      <c r="L102" s="719"/>
      <c r="M102" s="719"/>
      <c r="N102" s="873"/>
      <c r="O102" s="873"/>
      <c r="P102" s="719"/>
      <c r="Q102" s="719"/>
    </row>
    <row r="103" spans="2:17" ht="16.2">
      <c r="B103" s="719"/>
      <c r="C103" s="719"/>
      <c r="D103" s="719"/>
      <c r="E103" s="719"/>
      <c r="F103" s="719"/>
      <c r="G103" s="873"/>
      <c r="H103" s="719"/>
      <c r="I103" s="719"/>
      <c r="J103" s="719"/>
      <c r="K103" s="719"/>
      <c r="L103" s="719"/>
      <c r="M103" s="719"/>
      <c r="N103" s="873"/>
      <c r="O103" s="873"/>
      <c r="P103" s="719"/>
      <c r="Q103" s="719"/>
    </row>
    <row r="104" spans="2:17" ht="16.2">
      <c r="B104" s="719"/>
      <c r="C104" s="719"/>
      <c r="D104" s="719"/>
      <c r="E104" s="719"/>
      <c r="F104" s="719"/>
      <c r="G104" s="873"/>
      <c r="H104" s="719"/>
      <c r="I104" s="719"/>
      <c r="J104" s="719"/>
      <c r="K104" s="719"/>
      <c r="L104" s="719"/>
      <c r="M104" s="719"/>
      <c r="N104" s="873"/>
      <c r="O104" s="873"/>
      <c r="P104" s="719"/>
      <c r="Q104" s="719"/>
    </row>
    <row r="105" spans="2:17" ht="16.2">
      <c r="B105" s="719"/>
      <c r="C105" s="719"/>
      <c r="D105" s="719"/>
      <c r="E105" s="719"/>
      <c r="F105" s="719"/>
      <c r="G105" s="873"/>
      <c r="H105" s="719"/>
      <c r="I105" s="719"/>
      <c r="J105" s="719"/>
      <c r="K105" s="719"/>
      <c r="L105" s="719"/>
      <c r="M105" s="719"/>
      <c r="N105" s="873"/>
      <c r="O105" s="873"/>
      <c r="P105" s="719"/>
      <c r="Q105" s="719"/>
    </row>
    <row r="106" spans="2:17" ht="16.2">
      <c r="B106" s="719"/>
      <c r="C106" s="719"/>
      <c r="D106" s="719"/>
      <c r="E106" s="719"/>
      <c r="F106" s="719"/>
      <c r="G106" s="873"/>
      <c r="H106" s="719"/>
      <c r="I106" s="719"/>
      <c r="J106" s="719"/>
      <c r="K106" s="719"/>
      <c r="L106" s="719"/>
      <c r="M106" s="719"/>
      <c r="N106" s="873"/>
      <c r="O106" s="873"/>
      <c r="P106" s="719"/>
      <c r="Q106" s="719"/>
    </row>
    <row r="107" spans="2:17" ht="16.2">
      <c r="B107" s="719"/>
      <c r="C107" s="719"/>
      <c r="D107" s="719"/>
      <c r="E107" s="719"/>
      <c r="F107" s="719"/>
      <c r="G107" s="873"/>
      <c r="H107" s="719"/>
      <c r="I107" s="719"/>
      <c r="J107" s="719"/>
      <c r="K107" s="719"/>
      <c r="L107" s="719"/>
      <c r="M107" s="719"/>
      <c r="N107" s="873"/>
      <c r="O107" s="873"/>
      <c r="P107" s="719"/>
      <c r="Q107" s="719"/>
    </row>
    <row r="108" spans="2:17" ht="16.2">
      <c r="B108" s="719"/>
      <c r="C108" s="719"/>
      <c r="D108" s="719"/>
      <c r="E108" s="719"/>
      <c r="F108" s="719"/>
      <c r="G108" s="873"/>
      <c r="H108" s="719"/>
      <c r="I108" s="719"/>
      <c r="J108" s="719"/>
      <c r="K108" s="719"/>
      <c r="L108" s="719"/>
      <c r="M108" s="719"/>
      <c r="N108" s="873"/>
      <c r="O108" s="873"/>
      <c r="P108" s="719"/>
      <c r="Q108" s="719"/>
    </row>
    <row r="109" spans="2:17" ht="16.2">
      <c r="B109" s="719"/>
      <c r="C109" s="719"/>
      <c r="D109" s="719"/>
      <c r="E109" s="719"/>
      <c r="F109" s="719"/>
      <c r="G109" s="873"/>
      <c r="H109" s="719"/>
      <c r="I109" s="719"/>
      <c r="J109" s="719"/>
      <c r="K109" s="719"/>
      <c r="L109" s="719"/>
      <c r="M109" s="719"/>
      <c r="N109" s="873"/>
      <c r="O109" s="873"/>
      <c r="P109" s="719"/>
      <c r="Q109" s="719"/>
    </row>
    <row r="110" spans="2:17" ht="16.2">
      <c r="B110" s="719"/>
      <c r="C110" s="719"/>
      <c r="D110" s="719"/>
      <c r="E110" s="719"/>
      <c r="F110" s="719"/>
      <c r="G110" s="873"/>
      <c r="H110" s="719"/>
      <c r="I110" s="719"/>
      <c r="J110" s="719"/>
      <c r="K110" s="719"/>
      <c r="L110" s="719"/>
      <c r="M110" s="719"/>
      <c r="N110" s="873"/>
      <c r="O110" s="873"/>
      <c r="P110" s="719"/>
      <c r="Q110" s="719"/>
    </row>
    <row r="111" spans="2:17" ht="16.2">
      <c r="B111" s="719"/>
      <c r="C111" s="719"/>
      <c r="D111" s="719"/>
      <c r="E111" s="719"/>
      <c r="F111" s="719"/>
      <c r="G111" s="873"/>
      <c r="H111" s="719"/>
      <c r="I111" s="719"/>
      <c r="J111" s="719"/>
      <c r="K111" s="719"/>
      <c r="L111" s="719"/>
      <c r="M111" s="719"/>
      <c r="N111" s="873"/>
      <c r="O111" s="873"/>
      <c r="P111" s="719"/>
      <c r="Q111" s="719"/>
    </row>
    <row r="112" spans="2:17" ht="16.2">
      <c r="B112" s="719"/>
      <c r="C112" s="719"/>
      <c r="D112" s="719"/>
      <c r="E112" s="719"/>
      <c r="F112" s="719"/>
      <c r="G112" s="873"/>
      <c r="H112" s="719"/>
      <c r="I112" s="719"/>
      <c r="J112" s="719"/>
      <c r="K112" s="719"/>
      <c r="L112" s="719"/>
      <c r="M112" s="719"/>
      <c r="N112" s="873"/>
      <c r="O112" s="873"/>
      <c r="P112" s="719"/>
      <c r="Q112" s="719"/>
    </row>
    <row r="113" spans="2:17" ht="16.2">
      <c r="B113" s="719"/>
      <c r="C113" s="719"/>
      <c r="D113" s="719"/>
      <c r="E113" s="719"/>
      <c r="F113" s="719"/>
      <c r="G113" s="873"/>
      <c r="H113" s="719"/>
      <c r="I113" s="719"/>
      <c r="J113" s="719"/>
      <c r="K113" s="719"/>
      <c r="L113" s="719"/>
      <c r="M113" s="719"/>
      <c r="N113" s="873"/>
      <c r="O113" s="873"/>
      <c r="P113" s="719"/>
      <c r="Q113" s="719"/>
    </row>
    <row r="114" spans="2:17" ht="16.2">
      <c r="B114" s="719"/>
      <c r="C114" s="719"/>
      <c r="D114" s="719"/>
      <c r="E114" s="719"/>
      <c r="F114" s="719"/>
      <c r="G114" s="873"/>
      <c r="H114" s="719"/>
      <c r="I114" s="719"/>
      <c r="J114" s="719"/>
      <c r="K114" s="719"/>
      <c r="L114" s="719"/>
      <c r="M114" s="719"/>
      <c r="N114" s="873"/>
      <c r="O114" s="873"/>
      <c r="P114" s="719"/>
      <c r="Q114" s="719"/>
    </row>
    <row r="115" spans="2:17" ht="16.2">
      <c r="B115" s="719"/>
      <c r="C115" s="719"/>
      <c r="D115" s="719"/>
      <c r="E115" s="719"/>
      <c r="F115" s="719"/>
      <c r="G115" s="873"/>
      <c r="H115" s="719"/>
      <c r="I115" s="719"/>
      <c r="J115" s="719"/>
      <c r="K115" s="719"/>
      <c r="L115" s="719"/>
      <c r="M115" s="719"/>
      <c r="N115" s="873"/>
      <c r="O115" s="873"/>
      <c r="P115" s="719"/>
      <c r="Q115" s="719"/>
    </row>
    <row r="116" spans="2:17" ht="16.2">
      <c r="B116" s="719"/>
      <c r="C116" s="719"/>
      <c r="D116" s="719"/>
      <c r="E116" s="719"/>
      <c r="F116" s="719"/>
      <c r="G116" s="873"/>
      <c r="H116" s="719"/>
      <c r="I116" s="719"/>
      <c r="J116" s="719"/>
      <c r="K116" s="719"/>
      <c r="L116" s="719"/>
      <c r="M116" s="719"/>
      <c r="N116" s="873"/>
      <c r="O116" s="873"/>
      <c r="P116" s="719"/>
      <c r="Q116" s="719"/>
    </row>
    <row r="117" spans="2:17" ht="16.2">
      <c r="B117" s="719"/>
      <c r="C117" s="719"/>
      <c r="D117" s="719"/>
      <c r="E117" s="719"/>
      <c r="F117" s="719"/>
      <c r="G117" s="873"/>
      <c r="H117" s="719"/>
      <c r="I117" s="719"/>
      <c r="J117" s="719"/>
      <c r="K117" s="719"/>
      <c r="L117" s="719"/>
      <c r="M117" s="719"/>
      <c r="N117" s="873"/>
      <c r="O117" s="873"/>
      <c r="P117" s="719"/>
      <c r="Q117" s="719"/>
    </row>
    <row r="118" spans="2:17" ht="16.2">
      <c r="B118" s="719"/>
      <c r="C118" s="719"/>
      <c r="D118" s="719"/>
      <c r="E118" s="719"/>
      <c r="F118" s="719"/>
      <c r="G118" s="873"/>
      <c r="H118" s="719"/>
      <c r="I118" s="719"/>
      <c r="J118" s="719"/>
      <c r="K118" s="719"/>
      <c r="L118" s="719"/>
      <c r="M118" s="719"/>
      <c r="N118" s="873"/>
      <c r="O118" s="873"/>
      <c r="P118" s="719"/>
      <c r="Q118" s="719"/>
    </row>
    <row r="119" spans="2:17" ht="16.2">
      <c r="B119" s="719"/>
      <c r="C119" s="719"/>
      <c r="D119" s="719"/>
      <c r="E119" s="719"/>
      <c r="F119" s="719"/>
      <c r="G119" s="873"/>
      <c r="H119" s="719"/>
      <c r="I119" s="719"/>
      <c r="J119" s="719"/>
      <c r="K119" s="719"/>
      <c r="L119" s="719"/>
      <c r="M119" s="719"/>
      <c r="N119" s="873"/>
      <c r="O119" s="873"/>
      <c r="P119" s="719"/>
      <c r="Q119" s="719"/>
    </row>
    <row r="120" spans="2:17" ht="16.2">
      <c r="B120" s="719"/>
      <c r="C120" s="719"/>
      <c r="D120" s="719"/>
      <c r="E120" s="719"/>
      <c r="F120" s="719"/>
      <c r="G120" s="873"/>
      <c r="H120" s="719"/>
      <c r="I120" s="719"/>
      <c r="J120" s="719"/>
      <c r="K120" s="719"/>
      <c r="L120" s="719"/>
      <c r="M120" s="719"/>
      <c r="N120" s="873"/>
      <c r="O120" s="873"/>
      <c r="P120" s="719"/>
      <c r="Q120" s="719"/>
    </row>
    <row r="121" spans="2:17" ht="16.2">
      <c r="B121" s="719"/>
      <c r="C121" s="719"/>
      <c r="D121" s="719"/>
      <c r="E121" s="719"/>
      <c r="F121" s="719"/>
      <c r="G121" s="873"/>
      <c r="H121" s="719"/>
      <c r="I121" s="719"/>
      <c r="J121" s="719"/>
      <c r="K121" s="719"/>
      <c r="L121" s="719"/>
      <c r="M121" s="719"/>
      <c r="N121" s="873"/>
      <c r="O121" s="873"/>
      <c r="P121" s="719"/>
      <c r="Q121" s="719"/>
    </row>
    <row r="122" spans="2:17" ht="16.2">
      <c r="B122" s="719"/>
      <c r="C122" s="719"/>
      <c r="D122" s="719"/>
      <c r="E122" s="719"/>
      <c r="F122" s="719"/>
      <c r="G122" s="873"/>
      <c r="H122" s="719"/>
      <c r="I122" s="719"/>
      <c r="J122" s="719"/>
      <c r="K122" s="719"/>
      <c r="L122" s="719"/>
      <c r="M122" s="719"/>
      <c r="N122" s="873"/>
      <c r="O122" s="873"/>
      <c r="P122" s="719"/>
      <c r="Q122" s="719"/>
    </row>
    <row r="123" spans="2:17" ht="16.2">
      <c r="B123" s="719"/>
      <c r="C123" s="719"/>
      <c r="D123" s="719"/>
      <c r="E123" s="719"/>
      <c r="F123" s="719"/>
      <c r="G123" s="873"/>
      <c r="H123" s="719"/>
      <c r="I123" s="719"/>
      <c r="J123" s="719"/>
      <c r="K123" s="719"/>
      <c r="L123" s="719"/>
      <c r="M123" s="719"/>
      <c r="N123" s="873"/>
      <c r="O123" s="873"/>
      <c r="P123" s="719"/>
      <c r="Q123" s="719"/>
    </row>
    <row r="124" spans="2:17" ht="16.2">
      <c r="B124" s="719"/>
      <c r="C124" s="719"/>
      <c r="D124" s="719"/>
      <c r="E124" s="719"/>
      <c r="F124" s="719"/>
      <c r="G124" s="873"/>
      <c r="H124" s="719"/>
      <c r="I124" s="719"/>
      <c r="J124" s="719"/>
      <c r="K124" s="719"/>
      <c r="L124" s="719"/>
      <c r="M124" s="719"/>
      <c r="N124" s="873"/>
      <c r="O124" s="873"/>
      <c r="P124" s="719"/>
      <c r="Q124" s="719"/>
    </row>
    <row r="125" spans="2:17" ht="16.2">
      <c r="B125" s="719"/>
      <c r="C125" s="719"/>
      <c r="D125" s="719"/>
      <c r="E125" s="719"/>
      <c r="F125" s="719"/>
      <c r="G125" s="873"/>
      <c r="H125" s="719"/>
      <c r="I125" s="719"/>
      <c r="J125" s="719"/>
      <c r="K125" s="719"/>
      <c r="L125" s="719"/>
      <c r="M125" s="719"/>
      <c r="N125" s="873"/>
      <c r="O125" s="873"/>
      <c r="P125" s="719"/>
      <c r="Q125" s="719"/>
    </row>
    <row r="126" spans="2:17" ht="16.2">
      <c r="B126" s="719"/>
      <c r="C126" s="719"/>
      <c r="D126" s="719"/>
      <c r="E126" s="719"/>
      <c r="F126" s="719"/>
      <c r="G126" s="873"/>
      <c r="H126" s="719"/>
      <c r="I126" s="719"/>
      <c r="J126" s="719"/>
      <c r="K126" s="719"/>
      <c r="L126" s="719"/>
      <c r="M126" s="719"/>
      <c r="N126" s="873"/>
      <c r="O126" s="873"/>
      <c r="P126" s="719"/>
      <c r="Q126" s="719"/>
    </row>
    <row r="127" spans="2:17" ht="16.2">
      <c r="B127" s="719"/>
      <c r="C127" s="719"/>
      <c r="D127" s="719"/>
      <c r="E127" s="719"/>
      <c r="F127" s="719"/>
      <c r="G127" s="873"/>
      <c r="H127" s="719"/>
      <c r="I127" s="719"/>
      <c r="J127" s="719"/>
      <c r="K127" s="719"/>
      <c r="L127" s="719"/>
      <c r="M127" s="719"/>
      <c r="N127" s="873"/>
      <c r="O127" s="873"/>
      <c r="P127" s="719"/>
      <c r="Q127" s="719"/>
    </row>
    <row r="128" spans="2:17" ht="16.2">
      <c r="B128" s="719"/>
      <c r="C128" s="719"/>
      <c r="D128" s="719"/>
      <c r="E128" s="719"/>
      <c r="F128" s="719"/>
      <c r="G128" s="873"/>
      <c r="H128" s="719"/>
      <c r="I128" s="719"/>
      <c r="J128" s="719"/>
      <c r="K128" s="719"/>
      <c r="L128" s="719"/>
      <c r="M128" s="719"/>
      <c r="N128" s="873"/>
      <c r="O128" s="873"/>
      <c r="P128" s="719"/>
      <c r="Q128" s="719"/>
    </row>
    <row r="129" spans="2:17" ht="16.2">
      <c r="B129" s="719"/>
      <c r="C129" s="719"/>
      <c r="D129" s="719"/>
      <c r="E129" s="719"/>
      <c r="F129" s="719"/>
      <c r="G129" s="873"/>
      <c r="H129" s="719"/>
      <c r="I129" s="719"/>
      <c r="J129" s="719"/>
      <c r="K129" s="719"/>
      <c r="L129" s="719"/>
      <c r="M129" s="719"/>
      <c r="N129" s="873"/>
      <c r="O129" s="873"/>
      <c r="P129" s="719"/>
      <c r="Q129" s="719"/>
    </row>
    <row r="130" spans="2:17" ht="16.2">
      <c r="B130" s="719"/>
      <c r="C130" s="719"/>
      <c r="D130" s="719"/>
      <c r="E130" s="719"/>
      <c r="F130" s="719"/>
      <c r="G130" s="873"/>
      <c r="H130" s="719"/>
      <c r="I130" s="719"/>
      <c r="J130" s="719"/>
      <c r="K130" s="719"/>
      <c r="L130" s="719"/>
      <c r="M130" s="719"/>
      <c r="N130" s="873"/>
      <c r="O130" s="873"/>
      <c r="P130" s="719"/>
      <c r="Q130" s="719"/>
    </row>
    <row r="131" spans="2:17" ht="16.2">
      <c r="B131" s="719"/>
      <c r="C131" s="719"/>
      <c r="D131" s="719"/>
      <c r="E131" s="719"/>
      <c r="F131" s="719"/>
      <c r="G131" s="873"/>
      <c r="H131" s="719"/>
      <c r="I131" s="719"/>
      <c r="J131" s="719"/>
      <c r="K131" s="719"/>
      <c r="L131" s="719"/>
      <c r="M131" s="719"/>
      <c r="N131" s="873"/>
      <c r="O131" s="873"/>
      <c r="P131" s="719"/>
      <c r="Q131" s="719"/>
    </row>
    <row r="132" spans="2:17" ht="16.2">
      <c r="B132" s="719"/>
      <c r="C132" s="719"/>
      <c r="D132" s="719"/>
      <c r="E132" s="719"/>
      <c r="F132" s="719"/>
      <c r="G132" s="873"/>
      <c r="H132" s="719"/>
      <c r="I132" s="719"/>
      <c r="J132" s="719"/>
      <c r="K132" s="719"/>
      <c r="L132" s="719"/>
      <c r="M132" s="719"/>
      <c r="N132" s="873"/>
      <c r="O132" s="873"/>
      <c r="P132" s="719"/>
      <c r="Q132" s="719"/>
    </row>
    <row r="133" spans="2:17" ht="16.2">
      <c r="B133" s="719"/>
      <c r="C133" s="719"/>
      <c r="D133" s="719"/>
      <c r="E133" s="719"/>
      <c r="F133" s="719"/>
      <c r="G133" s="873"/>
      <c r="H133" s="719"/>
      <c r="I133" s="719"/>
      <c r="J133" s="719"/>
      <c r="K133" s="719"/>
      <c r="L133" s="719"/>
      <c r="M133" s="719"/>
      <c r="N133" s="873"/>
      <c r="O133" s="873"/>
      <c r="P133" s="719"/>
      <c r="Q133" s="719"/>
    </row>
    <row r="134" spans="2:17" ht="16.2">
      <c r="B134" s="719"/>
      <c r="C134" s="719"/>
      <c r="D134" s="719"/>
      <c r="E134" s="719"/>
      <c r="F134" s="719"/>
      <c r="G134" s="873"/>
      <c r="H134" s="719"/>
      <c r="I134" s="719"/>
      <c r="J134" s="719"/>
      <c r="K134" s="719"/>
      <c r="L134" s="719"/>
      <c r="M134" s="719"/>
      <c r="N134" s="873"/>
      <c r="O134" s="873"/>
      <c r="P134" s="719"/>
      <c r="Q134" s="719"/>
    </row>
    <row r="135" spans="2:17" ht="16.2">
      <c r="B135" s="719"/>
      <c r="C135" s="719"/>
      <c r="D135" s="719"/>
      <c r="E135" s="719"/>
      <c r="F135" s="719"/>
      <c r="G135" s="873"/>
      <c r="H135" s="719"/>
      <c r="I135" s="719"/>
      <c r="J135" s="719"/>
      <c r="K135" s="719"/>
      <c r="L135" s="719"/>
      <c r="M135" s="719"/>
      <c r="N135" s="873"/>
      <c r="O135" s="873"/>
      <c r="P135" s="719"/>
      <c r="Q135" s="719"/>
    </row>
    <row r="136" spans="2:17" ht="16.2">
      <c r="B136" s="719"/>
      <c r="C136" s="719"/>
      <c r="D136" s="719"/>
      <c r="E136" s="719"/>
      <c r="F136" s="719"/>
      <c r="G136" s="873"/>
      <c r="H136" s="719"/>
      <c r="I136" s="719"/>
      <c r="J136" s="719"/>
      <c r="K136" s="719"/>
      <c r="L136" s="719"/>
      <c r="M136" s="719"/>
      <c r="N136" s="873"/>
      <c r="O136" s="873"/>
      <c r="P136" s="719"/>
      <c r="Q136" s="719"/>
    </row>
    <row r="137" spans="2:17" ht="16.2">
      <c r="B137" s="719"/>
      <c r="C137" s="719"/>
      <c r="D137" s="719"/>
      <c r="E137" s="719"/>
      <c r="F137" s="719"/>
      <c r="G137" s="873"/>
      <c r="H137" s="719"/>
      <c r="I137" s="719"/>
      <c r="J137" s="719"/>
      <c r="K137" s="719"/>
      <c r="L137" s="719"/>
      <c r="M137" s="719"/>
      <c r="N137" s="873"/>
      <c r="O137" s="873"/>
      <c r="P137" s="719"/>
      <c r="Q137" s="719"/>
    </row>
    <row r="138" spans="2:17" ht="16.2">
      <c r="B138" s="719"/>
      <c r="C138" s="719"/>
      <c r="D138" s="719"/>
      <c r="E138" s="719"/>
      <c r="F138" s="719"/>
      <c r="G138" s="873"/>
      <c r="H138" s="719"/>
      <c r="I138" s="719"/>
      <c r="J138" s="719"/>
      <c r="K138" s="719"/>
      <c r="L138" s="719"/>
      <c r="M138" s="719"/>
      <c r="N138" s="873"/>
      <c r="O138" s="873"/>
      <c r="P138" s="719"/>
      <c r="Q138" s="719"/>
    </row>
    <row r="139" spans="2:17" ht="16.2">
      <c r="B139" s="719"/>
      <c r="C139" s="719"/>
      <c r="D139" s="719"/>
      <c r="E139" s="719"/>
      <c r="F139" s="719"/>
      <c r="G139" s="873"/>
      <c r="H139" s="719"/>
      <c r="I139" s="719"/>
      <c r="J139" s="719"/>
      <c r="K139" s="719"/>
      <c r="L139" s="719"/>
      <c r="M139" s="719"/>
      <c r="N139" s="873"/>
      <c r="O139" s="873"/>
      <c r="P139" s="719"/>
      <c r="Q139" s="719"/>
    </row>
    <row r="140" spans="2:17" ht="16.2">
      <c r="B140" s="719"/>
      <c r="C140" s="719"/>
      <c r="D140" s="719"/>
      <c r="E140" s="719"/>
      <c r="F140" s="719"/>
      <c r="G140" s="873"/>
      <c r="H140" s="719"/>
      <c r="I140" s="719"/>
      <c r="J140" s="719"/>
      <c r="K140" s="719"/>
      <c r="L140" s="719"/>
      <c r="M140" s="719"/>
      <c r="N140" s="873"/>
      <c r="O140" s="873"/>
      <c r="P140" s="719"/>
      <c r="Q140" s="719"/>
    </row>
    <row r="141" spans="2:17" ht="16.2">
      <c r="B141" s="719"/>
      <c r="C141" s="719"/>
      <c r="D141" s="719"/>
      <c r="E141" s="719"/>
      <c r="F141" s="719"/>
      <c r="G141" s="873"/>
      <c r="H141" s="719"/>
      <c r="I141" s="719"/>
      <c r="J141" s="719"/>
      <c r="K141" s="719"/>
      <c r="L141" s="719"/>
      <c r="M141" s="719"/>
      <c r="N141" s="873"/>
      <c r="O141" s="873"/>
      <c r="P141" s="719"/>
      <c r="Q141" s="719"/>
    </row>
    <row r="142" spans="2:17" ht="16.2">
      <c r="B142" s="719"/>
      <c r="C142" s="719"/>
      <c r="D142" s="719"/>
      <c r="E142" s="719"/>
      <c r="F142" s="719"/>
      <c r="G142" s="873"/>
      <c r="H142" s="719"/>
      <c r="I142" s="719"/>
      <c r="J142" s="719"/>
      <c r="K142" s="719"/>
      <c r="L142" s="719"/>
      <c r="M142" s="719"/>
      <c r="N142" s="873"/>
      <c r="O142" s="873"/>
      <c r="P142" s="719"/>
      <c r="Q142" s="719"/>
    </row>
    <row r="143" spans="2:17" ht="16.2">
      <c r="B143" s="719"/>
      <c r="C143" s="719"/>
      <c r="D143" s="719"/>
      <c r="E143" s="719"/>
      <c r="F143" s="719"/>
      <c r="G143" s="873"/>
      <c r="H143" s="719"/>
      <c r="I143" s="719"/>
      <c r="J143" s="719"/>
      <c r="K143" s="719"/>
      <c r="L143" s="719"/>
      <c r="M143" s="719"/>
      <c r="N143" s="873"/>
      <c r="O143" s="873"/>
      <c r="P143" s="719"/>
      <c r="Q143" s="719"/>
    </row>
    <row r="144" spans="2:17" ht="16.2">
      <c r="B144" s="719"/>
      <c r="C144" s="719"/>
      <c r="D144" s="719"/>
      <c r="E144" s="719"/>
      <c r="F144" s="719"/>
      <c r="G144" s="873"/>
      <c r="H144" s="719"/>
      <c r="I144" s="719"/>
      <c r="J144" s="719"/>
      <c r="K144" s="719"/>
      <c r="L144" s="719"/>
      <c r="M144" s="719"/>
      <c r="N144" s="873"/>
      <c r="O144" s="873"/>
      <c r="P144" s="719"/>
      <c r="Q144" s="719"/>
    </row>
    <row r="145" spans="2:17" ht="16.2">
      <c r="B145" s="719"/>
      <c r="C145" s="719"/>
      <c r="D145" s="719"/>
      <c r="E145" s="719"/>
      <c r="F145" s="719"/>
      <c r="G145" s="873"/>
      <c r="H145" s="719"/>
      <c r="I145" s="719"/>
      <c r="J145" s="719"/>
      <c r="K145" s="719"/>
      <c r="L145" s="719"/>
      <c r="M145" s="719"/>
      <c r="N145" s="873"/>
      <c r="O145" s="873"/>
      <c r="P145" s="719"/>
      <c r="Q145" s="719"/>
    </row>
    <row r="146" spans="2:17" ht="16.2">
      <c r="B146" s="719"/>
      <c r="C146" s="719"/>
      <c r="D146" s="719"/>
      <c r="E146" s="719"/>
      <c r="F146" s="719"/>
      <c r="G146" s="873"/>
      <c r="H146" s="719"/>
      <c r="I146" s="719"/>
      <c r="J146" s="719"/>
      <c r="K146" s="719"/>
      <c r="L146" s="719"/>
      <c r="M146" s="719"/>
      <c r="N146" s="873"/>
      <c r="O146" s="873"/>
      <c r="P146" s="719"/>
      <c r="Q146" s="719"/>
    </row>
    <row r="147" spans="2:17" ht="16.2">
      <c r="B147" s="719"/>
      <c r="C147" s="719"/>
      <c r="D147" s="719"/>
      <c r="E147" s="719"/>
      <c r="F147" s="719"/>
      <c r="G147" s="873"/>
      <c r="H147" s="719"/>
      <c r="I147" s="719"/>
      <c r="J147" s="719"/>
      <c r="K147" s="719"/>
      <c r="L147" s="719"/>
      <c r="M147" s="719"/>
      <c r="N147" s="873"/>
      <c r="O147" s="873"/>
      <c r="P147" s="719"/>
      <c r="Q147" s="719"/>
    </row>
    <row r="148" spans="2:17" ht="16.2">
      <c r="B148" s="719"/>
      <c r="C148" s="719"/>
      <c r="D148" s="719"/>
      <c r="E148" s="719"/>
      <c r="F148" s="719"/>
      <c r="G148" s="873"/>
      <c r="H148" s="719"/>
      <c r="I148" s="719"/>
      <c r="J148" s="719"/>
      <c r="K148" s="719"/>
      <c r="L148" s="719"/>
      <c r="M148" s="719"/>
      <c r="N148" s="873"/>
      <c r="O148" s="873"/>
      <c r="P148" s="719"/>
      <c r="Q148" s="719"/>
    </row>
    <row r="149" spans="2:17" ht="16.2">
      <c r="B149" s="719"/>
      <c r="C149" s="719"/>
      <c r="D149" s="719"/>
      <c r="E149" s="719"/>
      <c r="F149" s="719"/>
      <c r="G149" s="873"/>
      <c r="H149" s="719"/>
      <c r="I149" s="719"/>
      <c r="J149" s="719"/>
      <c r="K149" s="719"/>
      <c r="L149" s="719"/>
      <c r="M149" s="719"/>
      <c r="N149" s="873"/>
      <c r="O149" s="873"/>
      <c r="P149" s="719"/>
      <c r="Q149" s="719"/>
    </row>
    <row r="150" spans="2:17" ht="16.2">
      <c r="B150" s="719"/>
      <c r="C150" s="719"/>
      <c r="D150" s="719"/>
      <c r="E150" s="719"/>
      <c r="F150" s="719"/>
      <c r="G150" s="873"/>
      <c r="H150" s="719"/>
      <c r="I150" s="719"/>
      <c r="J150" s="719"/>
      <c r="K150" s="719"/>
      <c r="L150" s="719"/>
      <c r="M150" s="719"/>
      <c r="N150" s="873"/>
      <c r="O150" s="873"/>
      <c r="P150" s="719"/>
      <c r="Q150" s="719"/>
    </row>
    <row r="151" spans="2:17" ht="16.2">
      <c r="B151" s="719"/>
      <c r="C151" s="719"/>
      <c r="D151" s="719"/>
      <c r="E151" s="719"/>
      <c r="F151" s="719"/>
      <c r="G151" s="873"/>
      <c r="H151" s="719"/>
      <c r="I151" s="719"/>
      <c r="J151" s="719"/>
      <c r="K151" s="719"/>
      <c r="L151" s="719"/>
      <c r="M151" s="719"/>
      <c r="N151" s="873"/>
      <c r="O151" s="873"/>
      <c r="P151" s="719"/>
      <c r="Q151" s="719"/>
    </row>
    <row r="152" spans="2:17" ht="16.2">
      <c r="B152" s="719"/>
      <c r="C152" s="719"/>
      <c r="D152" s="719"/>
      <c r="E152" s="719"/>
      <c r="F152" s="719"/>
      <c r="G152" s="873"/>
      <c r="H152" s="719"/>
      <c r="I152" s="719"/>
      <c r="J152" s="719"/>
      <c r="K152" s="719"/>
      <c r="L152" s="719"/>
      <c r="M152" s="719"/>
      <c r="N152" s="873"/>
      <c r="O152" s="873"/>
      <c r="P152" s="719"/>
      <c r="Q152" s="719"/>
    </row>
    <row r="153" spans="2:17" ht="16.2">
      <c r="B153" s="719"/>
      <c r="C153" s="719"/>
      <c r="D153" s="719"/>
      <c r="E153" s="719"/>
      <c r="F153" s="719"/>
      <c r="G153" s="873"/>
      <c r="H153" s="719"/>
      <c r="I153" s="719"/>
      <c r="J153" s="719"/>
      <c r="K153" s="719"/>
      <c r="L153" s="719"/>
      <c r="M153" s="719"/>
      <c r="N153" s="873"/>
      <c r="O153" s="873"/>
      <c r="P153" s="719"/>
      <c r="Q153" s="719"/>
    </row>
    <row r="154" spans="2:17" ht="16.2">
      <c r="B154" s="719"/>
      <c r="C154" s="719"/>
      <c r="D154" s="719"/>
      <c r="E154" s="719"/>
      <c r="F154" s="719"/>
      <c r="G154" s="873"/>
      <c r="H154" s="719"/>
      <c r="I154" s="719"/>
      <c r="J154" s="719"/>
      <c r="K154" s="719"/>
      <c r="L154" s="719"/>
      <c r="M154" s="719"/>
      <c r="N154" s="873"/>
      <c r="O154" s="873"/>
      <c r="P154" s="719"/>
      <c r="Q154" s="719"/>
    </row>
    <row r="155" spans="2:17" ht="16.2">
      <c r="B155" s="719"/>
      <c r="C155" s="719"/>
      <c r="D155" s="719"/>
      <c r="E155" s="719"/>
      <c r="F155" s="719"/>
      <c r="G155" s="873"/>
      <c r="H155" s="719"/>
      <c r="I155" s="719"/>
      <c r="J155" s="719"/>
      <c r="K155" s="719"/>
      <c r="L155" s="719"/>
      <c r="M155" s="719"/>
      <c r="N155" s="873"/>
      <c r="O155" s="873"/>
      <c r="P155" s="719"/>
      <c r="Q155" s="719"/>
    </row>
    <row r="156" spans="2:17" ht="16.2">
      <c r="B156" s="719"/>
      <c r="C156" s="719"/>
      <c r="D156" s="719"/>
      <c r="E156" s="719"/>
      <c r="F156" s="719"/>
      <c r="G156" s="873"/>
      <c r="H156" s="719"/>
      <c r="I156" s="719"/>
      <c r="J156" s="719"/>
      <c r="K156" s="719"/>
      <c r="L156" s="719"/>
      <c r="M156" s="719"/>
      <c r="N156" s="873"/>
      <c r="O156" s="873"/>
      <c r="P156" s="719"/>
      <c r="Q156" s="719"/>
    </row>
    <row r="157" spans="2:17" ht="16.2">
      <c r="B157" s="719"/>
      <c r="C157" s="719"/>
      <c r="D157" s="719"/>
      <c r="E157" s="719"/>
      <c r="F157" s="719"/>
      <c r="G157" s="873"/>
      <c r="H157" s="719"/>
      <c r="I157" s="719"/>
      <c r="J157" s="719"/>
      <c r="K157" s="719"/>
      <c r="L157" s="719"/>
      <c r="M157" s="719"/>
      <c r="N157" s="873"/>
      <c r="O157" s="873"/>
      <c r="P157" s="719"/>
      <c r="Q157" s="719"/>
    </row>
    <row r="158" spans="2:17" ht="16.2">
      <c r="B158" s="719"/>
      <c r="C158" s="719"/>
      <c r="D158" s="719"/>
      <c r="E158" s="719"/>
      <c r="F158" s="719"/>
      <c r="G158" s="873"/>
      <c r="H158" s="719"/>
      <c r="I158" s="719"/>
      <c r="J158" s="719"/>
      <c r="K158" s="719"/>
      <c r="L158" s="719"/>
      <c r="M158" s="719"/>
      <c r="N158" s="873"/>
      <c r="O158" s="873"/>
      <c r="P158" s="719"/>
      <c r="Q158" s="719"/>
    </row>
    <row r="159" spans="2:17" ht="16.2">
      <c r="B159" s="719"/>
      <c r="C159" s="719"/>
      <c r="D159" s="719"/>
      <c r="E159" s="719"/>
      <c r="F159" s="719"/>
      <c r="G159" s="873"/>
      <c r="H159" s="719"/>
      <c r="I159" s="719"/>
      <c r="J159" s="719"/>
      <c r="K159" s="719"/>
      <c r="L159" s="719"/>
      <c r="M159" s="719"/>
      <c r="N159" s="873"/>
      <c r="O159" s="873"/>
      <c r="P159" s="719"/>
      <c r="Q159" s="719"/>
    </row>
    <row r="160" spans="2:17" ht="16.2">
      <c r="B160" s="719"/>
      <c r="C160" s="719"/>
      <c r="D160" s="719"/>
      <c r="E160" s="719"/>
      <c r="F160" s="719"/>
      <c r="G160" s="873"/>
      <c r="H160" s="719"/>
      <c r="I160" s="719"/>
      <c r="J160" s="719"/>
      <c r="K160" s="719"/>
      <c r="L160" s="719"/>
      <c r="M160" s="719"/>
      <c r="N160" s="873"/>
      <c r="O160" s="873"/>
      <c r="P160" s="719"/>
      <c r="Q160" s="719"/>
    </row>
    <row r="161" spans="2:17" ht="16.2">
      <c r="B161" s="719"/>
      <c r="C161" s="719"/>
      <c r="D161" s="719"/>
      <c r="E161" s="719"/>
      <c r="F161" s="719"/>
      <c r="G161" s="873"/>
      <c r="H161" s="719"/>
      <c r="I161" s="719"/>
      <c r="J161" s="719"/>
      <c r="K161" s="719"/>
      <c r="L161" s="719"/>
      <c r="M161" s="719"/>
      <c r="N161" s="873"/>
      <c r="O161" s="873"/>
      <c r="P161" s="719"/>
      <c r="Q161" s="719"/>
    </row>
    <row r="162" spans="2:17" ht="16.2">
      <c r="B162" s="719"/>
      <c r="C162" s="719"/>
      <c r="D162" s="719"/>
      <c r="E162" s="719"/>
      <c r="F162" s="719"/>
      <c r="G162" s="873"/>
      <c r="H162" s="719"/>
      <c r="I162" s="719"/>
      <c r="J162" s="719"/>
      <c r="K162" s="719"/>
      <c r="L162" s="719"/>
      <c r="M162" s="719"/>
      <c r="N162" s="873"/>
      <c r="O162" s="873"/>
      <c r="P162" s="719"/>
      <c r="Q162" s="719"/>
    </row>
    <row r="163" spans="2:17" ht="16.2">
      <c r="B163" s="719"/>
      <c r="C163" s="719"/>
      <c r="D163" s="719"/>
      <c r="E163" s="719"/>
      <c r="F163" s="719"/>
      <c r="G163" s="873"/>
      <c r="H163" s="719"/>
      <c r="I163" s="719"/>
      <c r="J163" s="719"/>
      <c r="K163" s="719"/>
      <c r="L163" s="719"/>
      <c r="M163" s="719"/>
      <c r="N163" s="873"/>
      <c r="O163" s="873"/>
      <c r="P163" s="719"/>
      <c r="Q163" s="719"/>
    </row>
    <row r="164" spans="2:17" ht="16.2">
      <c r="B164" s="719"/>
      <c r="C164" s="719"/>
      <c r="D164" s="719"/>
      <c r="E164" s="719"/>
      <c r="F164" s="719"/>
      <c r="G164" s="873"/>
      <c r="H164" s="719"/>
      <c r="I164" s="719"/>
      <c r="J164" s="719"/>
      <c r="K164" s="719"/>
      <c r="L164" s="719"/>
      <c r="M164" s="719"/>
      <c r="N164" s="873"/>
      <c r="O164" s="873"/>
      <c r="P164" s="719"/>
      <c r="Q164" s="719"/>
    </row>
    <row r="165" spans="2:17" ht="16.2">
      <c r="B165" s="719"/>
      <c r="C165" s="719"/>
      <c r="D165" s="719"/>
      <c r="E165" s="719"/>
      <c r="F165" s="719"/>
      <c r="G165" s="873"/>
      <c r="H165" s="719"/>
      <c r="I165" s="719"/>
      <c r="J165" s="719"/>
      <c r="K165" s="719"/>
      <c r="L165" s="719"/>
      <c r="M165" s="719"/>
      <c r="N165" s="873"/>
      <c r="O165" s="873"/>
      <c r="P165" s="719"/>
      <c r="Q165" s="719"/>
    </row>
    <row r="166" spans="2:17" ht="16.2">
      <c r="B166" s="719"/>
      <c r="C166" s="719"/>
      <c r="D166" s="719"/>
      <c r="E166" s="719"/>
      <c r="F166" s="719"/>
      <c r="G166" s="873"/>
      <c r="H166" s="719"/>
      <c r="I166" s="719"/>
      <c r="J166" s="719"/>
      <c r="K166" s="719"/>
      <c r="L166" s="719"/>
      <c r="M166" s="719"/>
      <c r="N166" s="873"/>
      <c r="O166" s="873"/>
      <c r="P166" s="719"/>
      <c r="Q166" s="719"/>
    </row>
    <row r="167" spans="2:17" ht="16.2">
      <c r="B167" s="719"/>
      <c r="C167" s="719"/>
      <c r="D167" s="719"/>
      <c r="E167" s="719"/>
      <c r="F167" s="719"/>
      <c r="G167" s="873"/>
      <c r="H167" s="719"/>
      <c r="I167" s="719"/>
      <c r="J167" s="719"/>
      <c r="K167" s="719"/>
      <c r="L167" s="719"/>
      <c r="M167" s="719"/>
      <c r="N167" s="873"/>
      <c r="O167" s="873"/>
      <c r="P167" s="719"/>
      <c r="Q167" s="719"/>
    </row>
    <row r="168" spans="2:17" ht="16.2">
      <c r="B168" s="719"/>
      <c r="C168" s="719"/>
      <c r="D168" s="719"/>
      <c r="E168" s="719"/>
      <c r="F168" s="719"/>
      <c r="G168" s="873"/>
      <c r="H168" s="719"/>
      <c r="I168" s="719"/>
      <c r="J168" s="719"/>
      <c r="K168" s="719"/>
      <c r="L168" s="719"/>
      <c r="M168" s="719"/>
      <c r="N168" s="873"/>
      <c r="O168" s="873"/>
      <c r="P168" s="719"/>
      <c r="Q168" s="719"/>
    </row>
    <row r="169" spans="2:17" ht="16.2">
      <c r="B169" s="719"/>
      <c r="C169" s="719"/>
      <c r="D169" s="719"/>
      <c r="E169" s="719"/>
      <c r="F169" s="719"/>
      <c r="G169" s="873"/>
      <c r="H169" s="719"/>
      <c r="I169" s="719"/>
      <c r="J169" s="719"/>
      <c r="K169" s="719"/>
      <c r="L169" s="719"/>
      <c r="M169" s="719"/>
      <c r="N169" s="873"/>
      <c r="O169" s="873"/>
      <c r="P169" s="719"/>
      <c r="Q169" s="719"/>
    </row>
    <row r="170" spans="2:17" ht="16.2">
      <c r="B170" s="719"/>
      <c r="C170" s="719"/>
      <c r="D170" s="719"/>
      <c r="E170" s="719"/>
      <c r="F170" s="719"/>
      <c r="G170" s="873"/>
      <c r="H170" s="719"/>
      <c r="I170" s="719"/>
      <c r="J170" s="719"/>
      <c r="K170" s="719"/>
      <c r="L170" s="719"/>
      <c r="M170" s="719"/>
      <c r="N170" s="873"/>
      <c r="O170" s="873"/>
      <c r="P170" s="719"/>
      <c r="Q170" s="719"/>
    </row>
    <row r="171" spans="2:17" ht="16.2">
      <c r="B171" s="719"/>
      <c r="C171" s="719"/>
      <c r="D171" s="719"/>
      <c r="E171" s="719"/>
      <c r="F171" s="719"/>
      <c r="G171" s="873"/>
      <c r="H171" s="719"/>
      <c r="I171" s="719"/>
      <c r="J171" s="719"/>
      <c r="K171" s="719"/>
      <c r="L171" s="719"/>
      <c r="M171" s="719"/>
      <c r="N171" s="873"/>
      <c r="O171" s="873"/>
      <c r="P171" s="719"/>
      <c r="Q171" s="719"/>
    </row>
    <row r="172" spans="2:17" ht="16.2">
      <c r="B172" s="719"/>
      <c r="C172" s="719"/>
      <c r="D172" s="719"/>
      <c r="E172" s="719"/>
      <c r="F172" s="719"/>
      <c r="G172" s="873"/>
      <c r="H172" s="719"/>
      <c r="I172" s="719"/>
      <c r="J172" s="719"/>
      <c r="K172" s="719"/>
      <c r="L172" s="719"/>
      <c r="M172" s="719"/>
      <c r="N172" s="873"/>
      <c r="O172" s="873"/>
      <c r="P172" s="719"/>
      <c r="Q172" s="719"/>
    </row>
    <row r="173" spans="2:17" ht="16.2">
      <c r="B173" s="719"/>
      <c r="C173" s="719"/>
      <c r="D173" s="719"/>
      <c r="E173" s="719"/>
      <c r="F173" s="719"/>
      <c r="G173" s="873"/>
      <c r="H173" s="719"/>
      <c r="I173" s="719"/>
      <c r="J173" s="719"/>
      <c r="K173" s="719"/>
      <c r="L173" s="719"/>
      <c r="M173" s="719"/>
      <c r="N173" s="873"/>
      <c r="O173" s="873"/>
      <c r="P173" s="719"/>
      <c r="Q173" s="719"/>
    </row>
    <row r="174" spans="2:17" ht="16.2">
      <c r="B174" s="719"/>
      <c r="C174" s="719"/>
      <c r="D174" s="719"/>
      <c r="E174" s="719"/>
      <c r="F174" s="719"/>
      <c r="G174" s="873"/>
      <c r="H174" s="719"/>
      <c r="I174" s="719"/>
      <c r="J174" s="719"/>
      <c r="K174" s="719"/>
      <c r="L174" s="719"/>
      <c r="M174" s="719"/>
      <c r="N174" s="873"/>
      <c r="O174" s="873"/>
      <c r="P174" s="719"/>
      <c r="Q174" s="719"/>
    </row>
    <row r="175" spans="2:17" ht="16.2">
      <c r="B175" s="719"/>
      <c r="C175" s="719"/>
      <c r="D175" s="719"/>
      <c r="E175" s="719"/>
      <c r="F175" s="719"/>
      <c r="G175" s="873"/>
      <c r="H175" s="719"/>
      <c r="I175" s="719"/>
      <c r="J175" s="719"/>
      <c r="K175" s="719"/>
      <c r="L175" s="719"/>
      <c r="M175" s="719"/>
      <c r="N175" s="873"/>
      <c r="O175" s="873"/>
      <c r="P175" s="719"/>
      <c r="Q175" s="719"/>
    </row>
    <row r="176" spans="2:17" ht="16.2">
      <c r="B176" s="719"/>
      <c r="C176" s="719"/>
      <c r="D176" s="719"/>
      <c r="E176" s="719"/>
      <c r="F176" s="719"/>
      <c r="G176" s="873"/>
      <c r="H176" s="719"/>
      <c r="I176" s="719"/>
      <c r="J176" s="719"/>
      <c r="K176" s="719"/>
      <c r="L176" s="719"/>
      <c r="M176" s="719"/>
      <c r="N176" s="873"/>
      <c r="O176" s="873"/>
      <c r="P176" s="719"/>
      <c r="Q176" s="719"/>
    </row>
    <row r="177" spans="2:17" ht="16.2">
      <c r="B177" s="719"/>
      <c r="C177" s="719"/>
      <c r="D177" s="719"/>
      <c r="E177" s="719"/>
      <c r="F177" s="719"/>
      <c r="G177" s="873"/>
      <c r="H177" s="719"/>
      <c r="I177" s="719"/>
      <c r="J177" s="719"/>
      <c r="K177" s="719"/>
      <c r="L177" s="719"/>
      <c r="M177" s="719"/>
      <c r="N177" s="873"/>
      <c r="O177" s="873"/>
      <c r="P177" s="719"/>
      <c r="Q177" s="719"/>
    </row>
    <row r="178" spans="2:17" ht="16.2">
      <c r="B178" s="719"/>
      <c r="C178" s="719"/>
      <c r="D178" s="719"/>
      <c r="E178" s="719"/>
      <c r="F178" s="719"/>
      <c r="G178" s="873"/>
      <c r="H178" s="719"/>
      <c r="I178" s="719"/>
      <c r="J178" s="719"/>
      <c r="K178" s="719"/>
      <c r="L178" s="719"/>
      <c r="M178" s="719"/>
      <c r="N178" s="873"/>
      <c r="O178" s="873"/>
      <c r="P178" s="719"/>
      <c r="Q178" s="719"/>
    </row>
    <row r="179" spans="2:17" ht="16.2">
      <c r="B179" s="719"/>
      <c r="C179" s="719"/>
      <c r="D179" s="719"/>
      <c r="E179" s="719"/>
      <c r="F179" s="719"/>
      <c r="G179" s="873"/>
      <c r="H179" s="719"/>
      <c r="I179" s="719"/>
      <c r="J179" s="719"/>
      <c r="K179" s="719"/>
      <c r="L179" s="719"/>
      <c r="M179" s="719"/>
      <c r="N179" s="873"/>
      <c r="O179" s="873"/>
      <c r="P179" s="719"/>
      <c r="Q179" s="719"/>
    </row>
    <row r="180" spans="2:17" ht="16.2">
      <c r="B180" s="719"/>
      <c r="C180" s="719"/>
      <c r="D180" s="719"/>
      <c r="E180" s="719"/>
      <c r="F180" s="719"/>
      <c r="G180" s="873"/>
      <c r="H180" s="719"/>
      <c r="I180" s="719"/>
      <c r="J180" s="719"/>
      <c r="K180" s="719"/>
      <c r="L180" s="719"/>
      <c r="M180" s="719"/>
      <c r="N180" s="873"/>
      <c r="O180" s="873"/>
      <c r="P180" s="719"/>
      <c r="Q180" s="719"/>
    </row>
    <row r="181" spans="2:17" ht="16.2">
      <c r="B181" s="719"/>
      <c r="C181" s="719"/>
      <c r="D181" s="719"/>
      <c r="E181" s="719"/>
      <c r="F181" s="719"/>
      <c r="G181" s="873"/>
      <c r="H181" s="719"/>
      <c r="I181" s="719"/>
      <c r="J181" s="719"/>
      <c r="K181" s="719"/>
      <c r="L181" s="719"/>
      <c r="M181" s="719"/>
      <c r="N181" s="873"/>
      <c r="O181" s="873"/>
      <c r="P181" s="719"/>
      <c r="Q181" s="719"/>
    </row>
    <row r="182" spans="2:17" ht="16.2">
      <c r="B182" s="719"/>
      <c r="C182" s="719"/>
      <c r="D182" s="719"/>
      <c r="E182" s="719"/>
      <c r="F182" s="719"/>
      <c r="G182" s="873"/>
      <c r="H182" s="719"/>
      <c r="I182" s="719"/>
      <c r="J182" s="719"/>
      <c r="K182" s="719"/>
      <c r="L182" s="719"/>
      <c r="M182" s="719"/>
      <c r="N182" s="873"/>
      <c r="O182" s="873"/>
      <c r="P182" s="719"/>
      <c r="Q182" s="719"/>
    </row>
    <row r="183" spans="2:17" ht="16.2">
      <c r="B183" s="719"/>
      <c r="C183" s="719"/>
      <c r="D183" s="719"/>
      <c r="E183" s="719"/>
      <c r="F183" s="719"/>
      <c r="G183" s="873"/>
      <c r="H183" s="719"/>
      <c r="I183" s="719"/>
      <c r="J183" s="719"/>
      <c r="K183" s="719"/>
      <c r="L183" s="719"/>
      <c r="M183" s="719"/>
      <c r="N183" s="873"/>
      <c r="O183" s="873"/>
      <c r="P183" s="719"/>
      <c r="Q183" s="719"/>
    </row>
    <row r="184" spans="2:17" ht="16.2">
      <c r="B184" s="719"/>
      <c r="C184" s="719"/>
      <c r="D184" s="719"/>
      <c r="E184" s="719"/>
      <c r="F184" s="719"/>
      <c r="G184" s="873"/>
      <c r="H184" s="719"/>
      <c r="I184" s="719"/>
      <c r="J184" s="719"/>
      <c r="K184" s="719"/>
      <c r="L184" s="719"/>
      <c r="M184" s="719"/>
      <c r="N184" s="873"/>
      <c r="O184" s="873"/>
      <c r="P184" s="719"/>
      <c r="Q184" s="719"/>
    </row>
    <row r="185" spans="2:17" ht="16.2">
      <c r="B185" s="719"/>
      <c r="C185" s="719"/>
      <c r="D185" s="719"/>
      <c r="E185" s="719"/>
      <c r="F185" s="719"/>
      <c r="G185" s="873"/>
      <c r="H185" s="719"/>
      <c r="I185" s="719"/>
      <c r="J185" s="719"/>
      <c r="K185" s="719"/>
      <c r="L185" s="719"/>
      <c r="M185" s="719"/>
      <c r="N185" s="873"/>
      <c r="O185" s="873"/>
      <c r="P185" s="719"/>
      <c r="Q185" s="719"/>
    </row>
    <row r="186" spans="2:17" ht="16.2">
      <c r="B186" s="719"/>
      <c r="C186" s="719"/>
      <c r="D186" s="719"/>
      <c r="E186" s="719"/>
      <c r="F186" s="719"/>
      <c r="G186" s="873"/>
      <c r="H186" s="719"/>
      <c r="I186" s="719"/>
      <c r="J186" s="719"/>
      <c r="K186" s="719"/>
      <c r="L186" s="719"/>
      <c r="M186" s="719"/>
      <c r="N186" s="873"/>
      <c r="O186" s="873"/>
      <c r="P186" s="719"/>
      <c r="Q186" s="719"/>
    </row>
    <row r="187" spans="2:17" ht="16.2">
      <c r="B187" s="719"/>
      <c r="C187" s="719"/>
      <c r="D187" s="719"/>
      <c r="E187" s="719"/>
      <c r="F187" s="719"/>
      <c r="G187" s="873"/>
      <c r="H187" s="719"/>
      <c r="I187" s="719"/>
      <c r="J187" s="719"/>
      <c r="K187" s="719"/>
      <c r="L187" s="719"/>
      <c r="M187" s="719"/>
      <c r="N187" s="873"/>
      <c r="O187" s="873"/>
      <c r="P187" s="719"/>
      <c r="Q187" s="719"/>
    </row>
    <row r="188" spans="2:17" ht="16.2">
      <c r="B188" s="719"/>
      <c r="C188" s="719"/>
      <c r="D188" s="719"/>
      <c r="E188" s="719"/>
      <c r="F188" s="719"/>
      <c r="G188" s="873"/>
      <c r="H188" s="719"/>
      <c r="I188" s="719"/>
      <c r="J188" s="719"/>
      <c r="K188" s="719"/>
      <c r="L188" s="719"/>
      <c r="M188" s="719"/>
      <c r="N188" s="873"/>
      <c r="O188" s="873"/>
      <c r="P188" s="719"/>
      <c r="Q188" s="719"/>
    </row>
    <row r="189" spans="2:17" ht="16.2">
      <c r="B189" s="719"/>
      <c r="C189" s="719"/>
      <c r="D189" s="719"/>
      <c r="E189" s="719"/>
      <c r="F189" s="719"/>
      <c r="G189" s="873"/>
      <c r="H189" s="719"/>
      <c r="I189" s="719"/>
      <c r="J189" s="719"/>
      <c r="K189" s="719"/>
      <c r="L189" s="719"/>
      <c r="M189" s="719"/>
      <c r="N189" s="873"/>
      <c r="O189" s="873"/>
      <c r="P189" s="719"/>
      <c r="Q189" s="719"/>
    </row>
    <row r="190" spans="2:17" ht="16.2">
      <c r="B190" s="719"/>
      <c r="C190" s="719"/>
      <c r="D190" s="719"/>
      <c r="E190" s="719"/>
      <c r="F190" s="719"/>
      <c r="G190" s="873"/>
      <c r="H190" s="719"/>
      <c r="I190" s="719"/>
      <c r="J190" s="719"/>
      <c r="K190" s="719"/>
      <c r="L190" s="719"/>
      <c r="M190" s="719"/>
      <c r="N190" s="873"/>
      <c r="O190" s="873"/>
      <c r="P190" s="719"/>
      <c r="Q190" s="719"/>
    </row>
    <row r="191" spans="2:17" ht="16.2">
      <c r="B191" s="719"/>
      <c r="C191" s="719"/>
      <c r="D191" s="719"/>
      <c r="E191" s="719"/>
      <c r="F191" s="719"/>
      <c r="G191" s="873"/>
      <c r="H191" s="719"/>
      <c r="I191" s="719"/>
      <c r="J191" s="719"/>
      <c r="K191" s="719"/>
      <c r="L191" s="719"/>
      <c r="M191" s="719"/>
      <c r="N191" s="873"/>
      <c r="O191" s="873"/>
      <c r="P191" s="719"/>
      <c r="Q191" s="719"/>
    </row>
    <row r="192" spans="2:17" ht="16.2">
      <c r="B192" s="719"/>
      <c r="C192" s="719"/>
      <c r="D192" s="719"/>
      <c r="E192" s="719"/>
      <c r="F192" s="719"/>
      <c r="G192" s="873"/>
      <c r="H192" s="719"/>
      <c r="I192" s="719"/>
      <c r="J192" s="719"/>
      <c r="K192" s="719"/>
      <c r="L192" s="719"/>
      <c r="M192" s="719"/>
      <c r="N192" s="873"/>
      <c r="O192" s="873"/>
      <c r="P192" s="719"/>
      <c r="Q192" s="719"/>
    </row>
    <row r="193" spans="2:17" ht="16.2">
      <c r="B193" s="719"/>
      <c r="C193" s="719"/>
      <c r="D193" s="719"/>
      <c r="E193" s="719"/>
      <c r="F193" s="719"/>
      <c r="G193" s="873"/>
      <c r="H193" s="719"/>
      <c r="I193" s="719"/>
      <c r="J193" s="719"/>
      <c r="K193" s="719"/>
      <c r="L193" s="719"/>
      <c r="M193" s="719"/>
      <c r="N193" s="873"/>
      <c r="O193" s="873"/>
      <c r="P193" s="719"/>
      <c r="Q193" s="719"/>
    </row>
    <row r="194" spans="2:17" ht="16.2">
      <c r="B194" s="719"/>
      <c r="C194" s="719"/>
      <c r="D194" s="719"/>
      <c r="E194" s="719"/>
      <c r="F194" s="719"/>
      <c r="G194" s="873"/>
      <c r="H194" s="719"/>
      <c r="I194" s="719"/>
      <c r="J194" s="719"/>
      <c r="K194" s="719"/>
      <c r="L194" s="719"/>
      <c r="M194" s="719"/>
      <c r="N194" s="873"/>
      <c r="O194" s="873"/>
      <c r="P194" s="719"/>
      <c r="Q194" s="719"/>
    </row>
    <row r="195" spans="2:17" ht="16.2">
      <c r="B195" s="719"/>
      <c r="C195" s="719"/>
      <c r="D195" s="719"/>
      <c r="E195" s="719"/>
      <c r="F195" s="719"/>
      <c r="G195" s="873"/>
      <c r="H195" s="719"/>
      <c r="I195" s="719"/>
      <c r="J195" s="719"/>
      <c r="K195" s="719"/>
      <c r="L195" s="719"/>
      <c r="M195" s="719"/>
      <c r="N195" s="873"/>
      <c r="O195" s="873"/>
      <c r="P195" s="719"/>
      <c r="Q195" s="719"/>
    </row>
    <row r="196" spans="2:17" ht="16.2">
      <c r="B196" s="719"/>
      <c r="C196" s="719"/>
      <c r="D196" s="719"/>
      <c r="E196" s="719"/>
      <c r="F196" s="719"/>
      <c r="G196" s="873"/>
      <c r="H196" s="719"/>
      <c r="I196" s="719"/>
      <c r="J196" s="719"/>
      <c r="K196" s="719"/>
      <c r="L196" s="719"/>
      <c r="M196" s="719"/>
      <c r="N196" s="873"/>
      <c r="O196" s="873"/>
      <c r="P196" s="719"/>
      <c r="Q196" s="719"/>
    </row>
    <row r="197" spans="2:17" ht="16.2">
      <c r="B197" s="719"/>
      <c r="C197" s="719"/>
      <c r="D197" s="719"/>
      <c r="E197" s="719"/>
      <c r="F197" s="719"/>
      <c r="G197" s="873"/>
      <c r="H197" s="719"/>
      <c r="I197" s="719"/>
      <c r="J197" s="719"/>
      <c r="K197" s="719"/>
      <c r="L197" s="719"/>
      <c r="M197" s="719"/>
      <c r="N197" s="873"/>
      <c r="O197" s="873"/>
      <c r="P197" s="719"/>
      <c r="Q197" s="719"/>
    </row>
    <row r="198" spans="2:17" ht="16.2">
      <c r="B198" s="719"/>
      <c r="C198" s="719"/>
      <c r="D198" s="719"/>
      <c r="E198" s="719"/>
      <c r="F198" s="719"/>
      <c r="G198" s="873"/>
      <c r="H198" s="719"/>
      <c r="I198" s="719"/>
      <c r="J198" s="719"/>
      <c r="K198" s="719"/>
      <c r="L198" s="719"/>
      <c r="M198" s="719"/>
      <c r="N198" s="873"/>
      <c r="O198" s="873"/>
      <c r="P198" s="719"/>
      <c r="Q198" s="719"/>
    </row>
    <row r="199" spans="2:17" ht="16.2">
      <c r="B199" s="719"/>
      <c r="C199" s="719"/>
      <c r="D199" s="719"/>
      <c r="E199" s="719"/>
      <c r="F199" s="719"/>
      <c r="G199" s="873"/>
      <c r="H199" s="719"/>
      <c r="I199" s="719"/>
      <c r="J199" s="719"/>
      <c r="K199" s="719"/>
      <c r="L199" s="719"/>
      <c r="M199" s="719"/>
      <c r="N199" s="873"/>
      <c r="O199" s="873"/>
      <c r="P199" s="719"/>
      <c r="Q199" s="719"/>
    </row>
    <row r="200" spans="2:17" ht="16.2">
      <c r="B200" s="719"/>
      <c r="C200" s="719"/>
      <c r="D200" s="719"/>
      <c r="E200" s="719"/>
      <c r="F200" s="719"/>
      <c r="G200" s="873"/>
      <c r="H200" s="719"/>
      <c r="I200" s="719"/>
      <c r="J200" s="719"/>
      <c r="K200" s="719"/>
      <c r="L200" s="719"/>
      <c r="M200" s="719"/>
      <c r="N200" s="873"/>
      <c r="O200" s="873"/>
      <c r="P200" s="719"/>
      <c r="Q200" s="719"/>
    </row>
    <row r="201" spans="2:17" ht="16.2">
      <c r="B201" s="719"/>
      <c r="C201" s="719"/>
      <c r="D201" s="719"/>
      <c r="E201" s="719"/>
      <c r="F201" s="719"/>
      <c r="G201" s="873"/>
      <c r="H201" s="719"/>
      <c r="I201" s="719"/>
      <c r="J201" s="719"/>
      <c r="K201" s="719"/>
      <c r="L201" s="719"/>
      <c r="M201" s="719"/>
      <c r="N201" s="873"/>
      <c r="O201" s="873"/>
      <c r="P201" s="719"/>
      <c r="Q201" s="719"/>
    </row>
    <row r="202" spans="2:17" ht="16.2">
      <c r="B202" s="719"/>
      <c r="C202" s="719"/>
      <c r="D202" s="719"/>
      <c r="E202" s="719"/>
      <c r="F202" s="719"/>
      <c r="G202" s="873"/>
      <c r="H202" s="719"/>
      <c r="I202" s="719"/>
      <c r="J202" s="719"/>
      <c r="K202" s="719"/>
      <c r="L202" s="719"/>
      <c r="M202" s="719"/>
      <c r="N202" s="873"/>
      <c r="O202" s="873"/>
      <c r="P202" s="719"/>
      <c r="Q202" s="719"/>
    </row>
    <row r="203" spans="2:17" ht="16.2">
      <c r="B203" s="719"/>
      <c r="C203" s="719"/>
      <c r="D203" s="719"/>
      <c r="E203" s="719"/>
      <c r="F203" s="719"/>
      <c r="G203" s="873"/>
      <c r="H203" s="719"/>
      <c r="I203" s="719"/>
      <c r="J203" s="719"/>
      <c r="K203" s="719"/>
      <c r="L203" s="719"/>
      <c r="M203" s="719"/>
      <c r="N203" s="873"/>
      <c r="O203" s="873"/>
      <c r="P203" s="719"/>
      <c r="Q203" s="719"/>
    </row>
    <row r="204" spans="2:17" ht="16.2">
      <c r="B204" s="719"/>
      <c r="C204" s="719"/>
      <c r="D204" s="719"/>
      <c r="E204" s="719"/>
      <c r="F204" s="719"/>
      <c r="G204" s="873"/>
      <c r="H204" s="719"/>
      <c r="I204" s="719"/>
      <c r="J204" s="719"/>
      <c r="K204" s="719"/>
      <c r="L204" s="719"/>
      <c r="M204" s="719"/>
      <c r="N204" s="873"/>
      <c r="O204" s="873"/>
      <c r="P204" s="719"/>
      <c r="Q204" s="719"/>
    </row>
    <row r="205" spans="2:17" ht="16.2">
      <c r="B205" s="719"/>
      <c r="C205" s="719"/>
      <c r="D205" s="719"/>
      <c r="E205" s="719"/>
      <c r="F205" s="719"/>
      <c r="G205" s="873"/>
      <c r="H205" s="719"/>
      <c r="I205" s="719"/>
      <c r="J205" s="719"/>
      <c r="K205" s="719"/>
      <c r="L205" s="719"/>
      <c r="M205" s="719"/>
      <c r="N205" s="873"/>
      <c r="O205" s="873"/>
      <c r="P205" s="719"/>
      <c r="Q205" s="719"/>
    </row>
    <row r="206" spans="2:17" ht="16.2">
      <c r="B206" s="719"/>
      <c r="C206" s="719"/>
      <c r="D206" s="719"/>
      <c r="E206" s="719"/>
      <c r="F206" s="719"/>
      <c r="G206" s="873"/>
      <c r="H206" s="719"/>
      <c r="I206" s="719"/>
      <c r="J206" s="719"/>
      <c r="K206" s="719"/>
      <c r="L206" s="719"/>
      <c r="M206" s="719"/>
      <c r="N206" s="873"/>
      <c r="O206" s="873"/>
      <c r="P206" s="719"/>
      <c r="Q206" s="719"/>
    </row>
    <row r="207" spans="2:17" ht="16.2">
      <c r="B207" s="719"/>
      <c r="C207" s="719"/>
      <c r="D207" s="719"/>
      <c r="E207" s="719"/>
      <c r="F207" s="719"/>
      <c r="G207" s="873"/>
      <c r="H207" s="719"/>
      <c r="I207" s="719"/>
      <c r="J207" s="719"/>
      <c r="K207" s="719"/>
      <c r="L207" s="719"/>
      <c r="M207" s="719"/>
      <c r="N207" s="873"/>
      <c r="O207" s="873"/>
      <c r="P207" s="719"/>
      <c r="Q207" s="719"/>
    </row>
    <row r="208" spans="2:17" ht="16.2">
      <c r="B208" s="719"/>
      <c r="C208" s="719"/>
      <c r="D208" s="719"/>
      <c r="E208" s="719"/>
      <c r="F208" s="719"/>
      <c r="G208" s="873"/>
      <c r="H208" s="719"/>
      <c r="I208" s="719"/>
      <c r="J208" s="719"/>
      <c r="K208" s="719"/>
      <c r="L208" s="719"/>
      <c r="M208" s="719"/>
      <c r="N208" s="873"/>
      <c r="O208" s="873"/>
      <c r="P208" s="719"/>
      <c r="Q208" s="719"/>
    </row>
    <row r="209" spans="2:17" ht="16.2">
      <c r="B209" s="719"/>
      <c r="C209" s="719"/>
      <c r="D209" s="719"/>
      <c r="E209" s="719"/>
      <c r="F209" s="719"/>
      <c r="G209" s="873"/>
      <c r="H209" s="719"/>
      <c r="I209" s="719"/>
      <c r="J209" s="719"/>
      <c r="K209" s="719"/>
      <c r="L209" s="719"/>
      <c r="M209" s="719"/>
      <c r="N209" s="873"/>
      <c r="O209" s="873"/>
      <c r="P209" s="719"/>
      <c r="Q209" s="719"/>
    </row>
    <row r="210" spans="2:17" ht="16.2">
      <c r="B210" s="719"/>
      <c r="C210" s="719"/>
      <c r="D210" s="719"/>
      <c r="E210" s="719"/>
      <c r="F210" s="719"/>
      <c r="G210" s="873"/>
      <c r="H210" s="719"/>
      <c r="I210" s="719"/>
      <c r="J210" s="719"/>
      <c r="K210" s="719"/>
      <c r="L210" s="719"/>
      <c r="M210" s="719"/>
      <c r="N210" s="873"/>
      <c r="O210" s="873"/>
      <c r="P210" s="719"/>
      <c r="Q210" s="719"/>
    </row>
    <row r="211" spans="2:17" ht="16.2">
      <c r="B211" s="719"/>
      <c r="C211" s="719"/>
      <c r="D211" s="719"/>
      <c r="E211" s="719"/>
      <c r="F211" s="719"/>
      <c r="G211" s="873"/>
      <c r="H211" s="719"/>
      <c r="I211" s="719"/>
      <c r="J211" s="719"/>
      <c r="K211" s="719"/>
      <c r="L211" s="719"/>
      <c r="M211" s="719"/>
      <c r="N211" s="873"/>
      <c r="O211" s="873"/>
      <c r="P211" s="719"/>
      <c r="Q211" s="719"/>
    </row>
    <row r="212" spans="2:17" ht="16.2">
      <c r="B212" s="719"/>
      <c r="C212" s="719"/>
      <c r="D212" s="719"/>
      <c r="E212" s="719"/>
      <c r="F212" s="719"/>
      <c r="G212" s="873"/>
      <c r="H212" s="719"/>
      <c r="I212" s="719"/>
      <c r="J212" s="719"/>
      <c r="K212" s="719"/>
      <c r="L212" s="719"/>
      <c r="M212" s="719"/>
      <c r="N212" s="873"/>
      <c r="O212" s="873"/>
      <c r="P212" s="719"/>
      <c r="Q212" s="719"/>
    </row>
    <row r="213" spans="2:17" ht="16.2">
      <c r="B213" s="719"/>
      <c r="C213" s="719"/>
      <c r="D213" s="719"/>
      <c r="E213" s="719"/>
      <c r="F213" s="719"/>
      <c r="G213" s="873"/>
      <c r="H213" s="719"/>
      <c r="I213" s="719"/>
      <c r="J213" s="719"/>
      <c r="K213" s="719"/>
      <c r="L213" s="719"/>
      <c r="M213" s="719"/>
      <c r="N213" s="873"/>
      <c r="O213" s="873"/>
      <c r="P213" s="719"/>
      <c r="Q213" s="719"/>
    </row>
    <row r="214" spans="2:17" ht="16.2">
      <c r="B214" s="719"/>
      <c r="C214" s="719"/>
      <c r="D214" s="719"/>
      <c r="E214" s="719"/>
      <c r="F214" s="719"/>
      <c r="G214" s="873"/>
      <c r="H214" s="719"/>
      <c r="I214" s="719"/>
      <c r="J214" s="719"/>
      <c r="K214" s="719"/>
      <c r="L214" s="719"/>
      <c r="M214" s="719"/>
      <c r="N214" s="873"/>
      <c r="O214" s="873"/>
      <c r="P214" s="719"/>
      <c r="Q214" s="719"/>
    </row>
    <row r="215" spans="2:17" ht="16.2">
      <c r="B215" s="719"/>
      <c r="C215" s="719"/>
      <c r="D215" s="719"/>
      <c r="E215" s="719"/>
      <c r="F215" s="719"/>
      <c r="G215" s="873"/>
      <c r="H215" s="719"/>
      <c r="I215" s="719"/>
      <c r="J215" s="719"/>
      <c r="K215" s="719"/>
      <c r="L215" s="719"/>
      <c r="M215" s="719"/>
      <c r="N215" s="873"/>
      <c r="O215" s="873"/>
      <c r="P215" s="719"/>
      <c r="Q215" s="719"/>
    </row>
    <row r="216" spans="2:17" ht="16.2">
      <c r="B216" s="719"/>
      <c r="C216" s="719"/>
      <c r="D216" s="719"/>
      <c r="E216" s="719"/>
      <c r="F216" s="719"/>
      <c r="G216" s="873"/>
      <c r="H216" s="719"/>
      <c r="I216" s="719"/>
      <c r="J216" s="719"/>
      <c r="K216" s="719"/>
      <c r="L216" s="719"/>
      <c r="M216" s="719"/>
      <c r="N216" s="873"/>
      <c r="O216" s="873"/>
      <c r="P216" s="719"/>
      <c r="Q216" s="719"/>
    </row>
    <row r="217" spans="2:17" ht="16.2">
      <c r="B217" s="719"/>
      <c r="C217" s="719"/>
      <c r="D217" s="719"/>
      <c r="E217" s="719"/>
      <c r="F217" s="719"/>
      <c r="G217" s="873"/>
      <c r="H217" s="719"/>
      <c r="I217" s="719"/>
      <c r="J217" s="719"/>
      <c r="K217" s="719"/>
      <c r="L217" s="719"/>
      <c r="M217" s="719"/>
      <c r="N217" s="873"/>
      <c r="O217" s="873"/>
      <c r="P217" s="719"/>
      <c r="Q217" s="719"/>
    </row>
    <row r="218" spans="2:17" ht="16.2">
      <c r="B218" s="719"/>
      <c r="C218" s="719"/>
      <c r="D218" s="719"/>
      <c r="E218" s="719"/>
      <c r="F218" s="719"/>
      <c r="G218" s="873"/>
      <c r="H218" s="719"/>
      <c r="I218" s="719"/>
      <c r="J218" s="719"/>
      <c r="K218" s="719"/>
      <c r="L218" s="719"/>
      <c r="M218" s="719"/>
      <c r="N218" s="873"/>
      <c r="O218" s="873"/>
      <c r="P218" s="719"/>
      <c r="Q218" s="719"/>
    </row>
    <row r="219" spans="2:17" ht="16.2">
      <c r="B219" s="719"/>
      <c r="C219" s="719"/>
      <c r="D219" s="719"/>
      <c r="E219" s="719"/>
      <c r="F219" s="719"/>
      <c r="G219" s="873"/>
      <c r="H219" s="719"/>
      <c r="I219" s="719"/>
      <c r="J219" s="719"/>
      <c r="K219" s="719"/>
      <c r="L219" s="719"/>
      <c r="M219" s="719"/>
      <c r="N219" s="873"/>
      <c r="O219" s="873"/>
      <c r="P219" s="719"/>
      <c r="Q219" s="719"/>
    </row>
    <row r="220" spans="2:17" ht="16.2">
      <c r="B220" s="719"/>
      <c r="C220" s="719"/>
      <c r="D220" s="719"/>
      <c r="E220" s="719"/>
      <c r="F220" s="719"/>
      <c r="G220" s="873"/>
      <c r="H220" s="719"/>
      <c r="I220" s="719"/>
      <c r="J220" s="719"/>
      <c r="K220" s="719"/>
      <c r="L220" s="719"/>
      <c r="M220" s="719"/>
      <c r="N220" s="873"/>
      <c r="O220" s="873"/>
      <c r="P220" s="719"/>
      <c r="Q220" s="719"/>
    </row>
    <row r="221" spans="2:17" ht="16.2">
      <c r="B221" s="719"/>
      <c r="C221" s="719"/>
      <c r="D221" s="719"/>
      <c r="E221" s="719"/>
      <c r="F221" s="719"/>
      <c r="G221" s="873"/>
      <c r="H221" s="719"/>
      <c r="I221" s="719"/>
      <c r="J221" s="719"/>
      <c r="K221" s="719"/>
      <c r="L221" s="719"/>
      <c r="M221" s="719"/>
      <c r="N221" s="873"/>
      <c r="O221" s="873"/>
      <c r="P221" s="719"/>
      <c r="Q221" s="719"/>
    </row>
    <row r="222" spans="2:17" ht="16.2">
      <c r="B222" s="719"/>
      <c r="C222" s="719"/>
      <c r="D222" s="719"/>
      <c r="E222" s="719"/>
      <c r="F222" s="719"/>
      <c r="G222" s="873"/>
      <c r="H222" s="719"/>
      <c r="I222" s="719"/>
      <c r="J222" s="719"/>
      <c r="K222" s="719"/>
      <c r="L222" s="719"/>
      <c r="M222" s="719"/>
      <c r="N222" s="873"/>
      <c r="O222" s="873"/>
      <c r="P222" s="719"/>
      <c r="Q222" s="719"/>
    </row>
    <row r="223" spans="2:17" ht="16.2">
      <c r="B223" s="719"/>
      <c r="C223" s="719"/>
      <c r="D223" s="719"/>
      <c r="E223" s="719"/>
      <c r="F223" s="719"/>
      <c r="G223" s="873"/>
      <c r="H223" s="719"/>
      <c r="I223" s="719"/>
      <c r="J223" s="719"/>
      <c r="K223" s="719"/>
      <c r="L223" s="719"/>
      <c r="M223" s="719"/>
      <c r="N223" s="873"/>
      <c r="O223" s="873"/>
      <c r="P223" s="719"/>
      <c r="Q223" s="719"/>
    </row>
    <row r="224" spans="2:17" ht="16.2">
      <c r="B224" s="719"/>
      <c r="C224" s="719"/>
      <c r="D224" s="719"/>
      <c r="E224" s="719"/>
      <c r="F224" s="719"/>
      <c r="G224" s="873"/>
      <c r="H224" s="719"/>
      <c r="I224" s="719"/>
      <c r="J224" s="719"/>
      <c r="K224" s="719"/>
      <c r="L224" s="719"/>
      <c r="M224" s="719"/>
      <c r="N224" s="873"/>
      <c r="O224" s="873"/>
      <c r="P224" s="719"/>
      <c r="Q224" s="719"/>
    </row>
    <row r="225" spans="2:17" ht="16.2">
      <c r="B225" s="719"/>
      <c r="C225" s="719"/>
      <c r="D225" s="719"/>
      <c r="E225" s="719"/>
      <c r="F225" s="719"/>
      <c r="G225" s="873"/>
      <c r="H225" s="719"/>
      <c r="I225" s="719"/>
      <c r="J225" s="719"/>
      <c r="K225" s="719"/>
      <c r="L225" s="719"/>
      <c r="M225" s="719"/>
      <c r="N225" s="873"/>
      <c r="O225" s="873"/>
      <c r="P225" s="719"/>
      <c r="Q225" s="719"/>
    </row>
    <row r="226" spans="2:17" ht="16.2">
      <c r="B226" s="719"/>
      <c r="C226" s="719"/>
      <c r="D226" s="719"/>
      <c r="E226" s="719"/>
      <c r="F226" s="719"/>
      <c r="G226" s="873"/>
      <c r="H226" s="719"/>
      <c r="I226" s="719"/>
      <c r="J226" s="719"/>
      <c r="K226" s="719"/>
      <c r="L226" s="719"/>
      <c r="M226" s="719"/>
      <c r="N226" s="873"/>
      <c r="O226" s="873"/>
      <c r="P226" s="719"/>
      <c r="Q226" s="719"/>
    </row>
    <row r="227" spans="2:17" ht="16.2">
      <c r="B227" s="719"/>
      <c r="C227" s="719"/>
      <c r="D227" s="719"/>
      <c r="E227" s="719"/>
      <c r="F227" s="719"/>
      <c r="G227" s="873"/>
      <c r="H227" s="719"/>
      <c r="I227" s="719"/>
      <c r="J227" s="719"/>
      <c r="K227" s="719"/>
      <c r="L227" s="719"/>
      <c r="M227" s="719"/>
      <c r="N227" s="873"/>
      <c r="O227" s="873"/>
      <c r="P227" s="719"/>
      <c r="Q227" s="719"/>
    </row>
    <row r="228" spans="2:17" ht="16.2">
      <c r="B228" s="719"/>
      <c r="C228" s="719"/>
      <c r="D228" s="719"/>
      <c r="E228" s="719"/>
      <c r="F228" s="719"/>
      <c r="G228" s="873"/>
      <c r="H228" s="719"/>
      <c r="I228" s="719"/>
      <c r="J228" s="719"/>
      <c r="K228" s="719"/>
      <c r="L228" s="719"/>
      <c r="M228" s="719"/>
      <c r="N228" s="873"/>
      <c r="O228" s="873"/>
      <c r="P228" s="719"/>
      <c r="Q228" s="719"/>
    </row>
    <row r="229" spans="2:17" ht="16.2">
      <c r="B229" s="719"/>
      <c r="C229" s="719"/>
      <c r="D229" s="719"/>
      <c r="E229" s="719"/>
      <c r="F229" s="719"/>
      <c r="G229" s="873"/>
      <c r="H229" s="719"/>
      <c r="I229" s="719"/>
      <c r="J229" s="719"/>
      <c r="K229" s="719"/>
      <c r="L229" s="719"/>
      <c r="M229" s="719"/>
      <c r="N229" s="873"/>
      <c r="O229" s="873"/>
      <c r="P229" s="719"/>
      <c r="Q229" s="719"/>
    </row>
    <row r="230" spans="2:17" ht="16.2">
      <c r="B230" s="719"/>
      <c r="C230" s="719"/>
      <c r="D230" s="719"/>
      <c r="E230" s="719"/>
      <c r="F230" s="719"/>
      <c r="G230" s="873"/>
      <c r="H230" s="719"/>
      <c r="I230" s="719"/>
      <c r="J230" s="719"/>
      <c r="K230" s="719"/>
      <c r="L230" s="719"/>
      <c r="M230" s="719"/>
      <c r="N230" s="873"/>
      <c r="O230" s="873"/>
      <c r="P230" s="719"/>
      <c r="Q230" s="719"/>
    </row>
    <row r="231" spans="2:17" ht="16.2">
      <c r="B231" s="719"/>
      <c r="C231" s="719"/>
      <c r="D231" s="719"/>
      <c r="E231" s="719"/>
      <c r="F231" s="719"/>
      <c r="G231" s="873"/>
      <c r="H231" s="719"/>
      <c r="I231" s="719"/>
      <c r="J231" s="719"/>
      <c r="K231" s="719"/>
      <c r="L231" s="719"/>
      <c r="M231" s="719"/>
      <c r="N231" s="873"/>
      <c r="O231" s="873"/>
      <c r="P231" s="719"/>
      <c r="Q231" s="719"/>
    </row>
    <row r="232" spans="2:17" ht="16.2">
      <c r="B232" s="719"/>
      <c r="C232" s="719"/>
      <c r="D232" s="719"/>
      <c r="E232" s="719"/>
      <c r="F232" s="719"/>
      <c r="G232" s="873"/>
      <c r="H232" s="719"/>
      <c r="I232" s="719"/>
      <c r="J232" s="719"/>
      <c r="K232" s="719"/>
      <c r="L232" s="719"/>
      <c r="M232" s="719"/>
      <c r="N232" s="873"/>
      <c r="O232" s="873"/>
      <c r="P232" s="719"/>
      <c r="Q232" s="719"/>
    </row>
    <row r="233" spans="2:17" ht="16.2">
      <c r="B233" s="719"/>
      <c r="C233" s="719"/>
      <c r="D233" s="719"/>
      <c r="E233" s="719"/>
      <c r="F233" s="719"/>
      <c r="G233" s="873"/>
      <c r="H233" s="719"/>
      <c r="I233" s="719"/>
      <c r="J233" s="719"/>
      <c r="K233" s="719"/>
      <c r="L233" s="719"/>
      <c r="M233" s="719"/>
      <c r="N233" s="873"/>
      <c r="O233" s="873"/>
      <c r="P233" s="719"/>
      <c r="Q233" s="719"/>
    </row>
    <row r="234" spans="2:17" ht="16.2">
      <c r="B234" s="719"/>
      <c r="C234" s="719"/>
      <c r="D234" s="719"/>
      <c r="E234" s="719"/>
      <c r="F234" s="719"/>
      <c r="G234" s="873"/>
      <c r="H234" s="719"/>
      <c r="I234" s="719"/>
      <c r="J234" s="719"/>
      <c r="K234" s="719"/>
      <c r="L234" s="719"/>
      <c r="M234" s="719"/>
      <c r="N234" s="873"/>
      <c r="O234" s="873"/>
      <c r="P234" s="719"/>
      <c r="Q234" s="719"/>
    </row>
    <row r="235" spans="2:17" ht="16.2">
      <c r="B235" s="719"/>
      <c r="C235" s="719"/>
      <c r="D235" s="719"/>
      <c r="E235" s="719"/>
      <c r="F235" s="719"/>
      <c r="G235" s="873"/>
      <c r="H235" s="719"/>
      <c r="I235" s="719"/>
      <c r="J235" s="719"/>
      <c r="K235" s="719"/>
      <c r="L235" s="719"/>
      <c r="M235" s="719"/>
      <c r="N235" s="873"/>
      <c r="O235" s="873"/>
      <c r="P235" s="719"/>
      <c r="Q235" s="719"/>
    </row>
    <row r="236" spans="2:17" ht="16.2">
      <c r="B236" s="719"/>
      <c r="C236" s="719"/>
      <c r="D236" s="719"/>
      <c r="E236" s="719"/>
      <c r="F236" s="719"/>
      <c r="G236" s="873"/>
      <c r="H236" s="719"/>
      <c r="I236" s="719"/>
      <c r="J236" s="719"/>
      <c r="K236" s="719"/>
      <c r="L236" s="719"/>
      <c r="M236" s="719"/>
      <c r="N236" s="873"/>
      <c r="O236" s="873"/>
      <c r="P236" s="719"/>
      <c r="Q236" s="719"/>
    </row>
    <row r="237" spans="2:17" ht="16.2">
      <c r="B237" s="719"/>
      <c r="C237" s="719"/>
      <c r="D237" s="719"/>
      <c r="E237" s="719"/>
      <c r="F237" s="719"/>
      <c r="G237" s="873"/>
      <c r="H237" s="719"/>
      <c r="I237" s="719"/>
      <c r="J237" s="719"/>
      <c r="K237" s="719"/>
      <c r="L237" s="719"/>
      <c r="M237" s="719"/>
      <c r="N237" s="873"/>
      <c r="O237" s="873"/>
      <c r="P237" s="719"/>
      <c r="Q237" s="719"/>
    </row>
    <row r="238" spans="2:17" ht="16.2">
      <c r="B238" s="719"/>
      <c r="C238" s="719"/>
      <c r="D238" s="719"/>
      <c r="E238" s="719"/>
      <c r="F238" s="719"/>
      <c r="G238" s="873"/>
      <c r="H238" s="719"/>
      <c r="I238" s="719"/>
      <c r="J238" s="719"/>
      <c r="K238" s="719"/>
      <c r="L238" s="719"/>
      <c r="M238" s="719"/>
      <c r="N238" s="873"/>
      <c r="O238" s="873"/>
      <c r="P238" s="719"/>
      <c r="Q238" s="719"/>
    </row>
    <row r="239" spans="2:17" ht="16.2">
      <c r="B239" s="719"/>
      <c r="C239" s="719"/>
      <c r="D239" s="719"/>
      <c r="E239" s="719"/>
      <c r="F239" s="719"/>
      <c r="G239" s="873"/>
      <c r="H239" s="719"/>
      <c r="I239" s="719"/>
      <c r="J239" s="719"/>
      <c r="K239" s="719"/>
      <c r="L239" s="719"/>
      <c r="M239" s="719"/>
      <c r="N239" s="873"/>
      <c r="O239" s="873"/>
      <c r="P239" s="719"/>
      <c r="Q239" s="719"/>
    </row>
    <row r="240" spans="2:17" ht="16.2">
      <c r="B240" s="719"/>
      <c r="C240" s="719"/>
      <c r="D240" s="719"/>
      <c r="E240" s="719"/>
      <c r="F240" s="719"/>
      <c r="G240" s="873"/>
      <c r="H240" s="719"/>
      <c r="I240" s="719"/>
      <c r="J240" s="719"/>
      <c r="K240" s="719"/>
      <c r="L240" s="719"/>
      <c r="M240" s="719"/>
      <c r="N240" s="873"/>
      <c r="O240" s="873"/>
      <c r="P240" s="719"/>
      <c r="Q240" s="719"/>
    </row>
  </sheetData>
  <sheetProtection algorithmName="SHA-512" hashValue="wAARGMdiAhltfnphd00bwTzBrloY+qd/5DaZ+lXu12TVZPdes+OHD2tZOJGgo8m458eP8NMc5LTQDK3cSYeinQ==" saltValue="ncQ/23D6zXrpHZjlDUaTLw==" spinCount="100000" sheet="1" objects="1" scenarios="1"/>
  <mergeCells count="32">
    <mergeCell ref="B2:E2"/>
    <mergeCell ref="C8:D8"/>
    <mergeCell ref="E8:F8"/>
    <mergeCell ref="B7:G7"/>
    <mergeCell ref="E9:F9"/>
    <mergeCell ref="K28:K29"/>
    <mergeCell ref="L28:L29"/>
    <mergeCell ref="B18:B19"/>
    <mergeCell ref="C18:C19"/>
    <mergeCell ref="D18:D19"/>
    <mergeCell ref="G18:G19"/>
    <mergeCell ref="E24:F24"/>
    <mergeCell ref="B28:B29"/>
    <mergeCell ref="C28:C29"/>
    <mergeCell ref="D28:D29"/>
    <mergeCell ref="E23:F23"/>
    <mergeCell ref="L23:M23"/>
    <mergeCell ref="M28:M29"/>
    <mergeCell ref="I28:I29"/>
    <mergeCell ref="J28:J29"/>
    <mergeCell ref="N18:N19"/>
    <mergeCell ref="E20:F20"/>
    <mergeCell ref="L20:M20"/>
    <mergeCell ref="E22:F22"/>
    <mergeCell ref="L22:M22"/>
    <mergeCell ref="I7:M7"/>
    <mergeCell ref="J8:K8"/>
    <mergeCell ref="L8:M8"/>
    <mergeCell ref="L9:M9"/>
    <mergeCell ref="L24:M24"/>
    <mergeCell ref="J18:J19"/>
    <mergeCell ref="K18:K19"/>
  </mergeCells>
  <dataValidations count="1">
    <dataValidation type="list" allowBlank="1" showInputMessage="1" showErrorMessage="1" sqref="G18:G19 N18:O19" xr:uid="{062C00C6-AD29-485E-BA4A-AAF3C71C21D2}">
      <formula1>$P$18:$P$19</formula1>
    </dataValidation>
  </dataValidations>
  <printOptions horizontalCentered="1"/>
  <pageMargins left="0.7" right="0.7" top="0.7" bottom="0.7" header="0.25" footer="0.25"/>
  <pageSetup scale="42" orientation="landscape" r:id="rId1"/>
  <headerFooter>
    <oddFooter>&amp;L&amp;"Times New Roman,Regular"&amp;8&amp;F&amp;C&amp;"Times New Roman,Regular"&amp;8Page &amp;P of &amp;N&amp;R&amp;"Times New Roman,Regular"&amp;8&amp;A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M25"/>
  <sheetViews>
    <sheetView zoomScaleNormal="100" workbookViewId="0"/>
  </sheetViews>
  <sheetFormatPr defaultRowHeight="14.4"/>
  <cols>
    <col min="1" max="1" width="157.109375" customWidth="1"/>
  </cols>
  <sheetData>
    <row r="1" spans="1:13" ht="21">
      <c r="A1" s="4" t="s">
        <v>86</v>
      </c>
    </row>
    <row r="2" spans="1:13">
      <c r="A2" s="3" t="s">
        <v>87</v>
      </c>
    </row>
    <row r="3" spans="1:13" ht="303" customHeight="1">
      <c r="A3" s="21" t="str">
        <f ca="1">IF(TRIM(Validation!G1475)="", "No Missing Data or Data Entry Errors", Validation!G1475)</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v>
      </c>
    </row>
    <row r="4" spans="1:13">
      <c r="A4" s="3" t="s">
        <v>88</v>
      </c>
    </row>
    <row r="5" spans="1:13">
      <c r="A5" s="21" t="str">
        <f>IF(TRIM(Validation!G133)="", "No Missing Data or Data Entry Errors", Validation!G133)</f>
        <v>No Missing Data or Data Entry Errors</v>
      </c>
    </row>
    <row r="6" spans="1:13">
      <c r="A6" s="3" t="s">
        <v>89</v>
      </c>
    </row>
    <row r="7" spans="1:13" ht="105" customHeight="1">
      <c r="A7" s="21" t="str">
        <f ca="1">IF(TRIM(Validation!G215)="", "No Missing Data or Data Entry Errors", Validation!G215)</f>
        <v xml:space="preserve">Enter a value for 'Total Number of Units' in cell B3.
Enter a value for 'Do Rents Include Utilities' in cell B4.
Please enter at least one row of the Rental Income Table beginning on worksheet row 4.
</v>
      </c>
    </row>
    <row r="8" spans="1:13">
      <c r="A8" s="3" t="s">
        <v>90</v>
      </c>
    </row>
    <row r="9" spans="1:13" ht="105" customHeight="1">
      <c r="A9" s="21" t="str">
        <f ca="1">IF(TRIM(Validation!G289)="", "No Missing Data or Data Entry Errors", Validation!G289)</f>
        <v xml:space="preserve">Enter a value for 'Construction Loan Amount' in cell B3.
Enter a value for 'Construction Loan Rate' in cell B4.
Enter a value for 'Project Funded without Permanent Debt' in cell B5.
Total residential financing must be greater than 0.
</v>
      </c>
    </row>
    <row r="10" spans="1:13">
      <c r="A10" s="3" t="s">
        <v>91</v>
      </c>
    </row>
    <row r="11" spans="1:13" ht="105" customHeight="1">
      <c r="A11" s="21" t="str">
        <f ca="1">IF(TRIM(Validation!G739)="", "No Missing Data or Data Entry Errors", Validation!G739)</f>
        <v xml:space="preserve">The total of development budget in column B must be greater than zero.
</v>
      </c>
      <c r="M11" s="9"/>
    </row>
    <row r="12" spans="1:13">
      <c r="A12" s="3" t="s">
        <v>92</v>
      </c>
    </row>
    <row r="13" spans="1:13" ht="105" customHeight="1">
      <c r="A13" s="21" t="str">
        <f ca="1">IF(TRIM(Validation!G918)="", "No Missing Data or Data Entry Errors", Validation!G918)</f>
        <v>No Missing Data or Data Entry Errors</v>
      </c>
    </row>
    <row r="14" spans="1:13">
      <c r="A14" s="3" t="s">
        <v>93</v>
      </c>
    </row>
    <row r="15" spans="1:13" ht="105" customHeight="1">
      <c r="A15" s="21">
        <f ca="1">IF(TRIM(Validation!G1098)="", "No Missing Data or Data Entry Errors", Validation!G1098)</f>
        <v>0</v>
      </c>
    </row>
    <row r="16" spans="1:13">
      <c r="A16" s="3" t="s">
        <v>94</v>
      </c>
    </row>
    <row r="17" spans="1:1" ht="232.5" customHeight="1">
      <c r="A17" s="21" t="str">
        <f ca="1">IF(OR(NOT(Calculations!B2),TRIM(Validation!G237)=""), "No Missing Data or Data Entry Errors", Validation!G237)</f>
        <v>No Missing Data or Data Entry Errors</v>
      </c>
    </row>
    <row r="18" spans="1:1" ht="18" customHeight="1">
      <c r="A18" s="3" t="s">
        <v>95</v>
      </c>
    </row>
    <row r="19" spans="1:1" ht="409.5" customHeight="1">
      <c r="A19" s="21" t="str">
        <f ca="1">IF(TRIM(Validation!G3452)="", "No Missing Data or Data Entry Errors", Validation!G3452)</f>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20" spans="1:1">
      <c r="A20" s="3" t="s">
        <v>96</v>
      </c>
    </row>
    <row r="21" spans="1:1" ht="56.25" customHeight="1">
      <c r="A21" s="21" t="str">
        <f ca="1">IF(TRIM(Validation!G1562)="", "No Missing Data or Data Entry Errors", Validation!G1562)</f>
        <v xml:space="preserve">Enter a value for 'Prevailing Wages' in cell C5.
The total of the cost in column C must be greater than zero.
</v>
      </c>
    </row>
    <row r="22" spans="1:1">
      <c r="A22" s="3" t="s">
        <v>97</v>
      </c>
    </row>
    <row r="23" spans="1:1" ht="105" customHeight="1">
      <c r="A23" s="21" t="str">
        <f ca="1">IF(TRIM(Validation!G3370)="", "No Missing Data or Data Entry Errors", Validation!G3370)</f>
        <v>Enter a value for 'Number of Floors in the Tallest Building' in cell B60.
TRUE</v>
      </c>
    </row>
    <row r="24" spans="1:1">
      <c r="A24" s="9"/>
    </row>
    <row r="25" spans="1:1" ht="35.25" customHeight="1"/>
  </sheetData>
  <sheetProtection algorithmName="SHA-512" hashValue="OeNak4PElBXFIHBmJYpGO+hBChbP9WA6WzAayYbrtIOt6Sveme1aYgGi4p+pachMY13UJhGP/S6xAzgla5lqQA==" saltValue="h6QfUf0KdJiPw3CFWZXfQA==" spinCount="100000" sheet="1" objects="1" scenarios="1"/>
  <conditionalFormatting sqref="A3">
    <cfRule type="cellIs" dxfId="22" priority="1" operator="equal">
      <formula>"No Missing Data or Data Entry Errors"</formula>
    </cfRule>
  </conditionalFormatting>
  <conditionalFormatting sqref="A5">
    <cfRule type="cellIs" dxfId="21" priority="13" operator="equal">
      <formula>"No Missing Data or Data Entry Errors"</formula>
    </cfRule>
  </conditionalFormatting>
  <conditionalFormatting sqref="A7">
    <cfRule type="cellIs" dxfId="20" priority="10" operator="equal">
      <formula>"No Missing Data or Data Entry Errors"</formula>
    </cfRule>
  </conditionalFormatting>
  <conditionalFormatting sqref="A9">
    <cfRule type="cellIs" dxfId="19" priority="9" operator="equal">
      <formula>"No Missing Data or Data Entry Errors"</formula>
    </cfRule>
  </conditionalFormatting>
  <conditionalFormatting sqref="A11">
    <cfRule type="cellIs" dxfId="18" priority="8" operator="equal">
      <formula>"No Missing Data or Data Entry Errors"</formula>
    </cfRule>
  </conditionalFormatting>
  <conditionalFormatting sqref="A13">
    <cfRule type="cellIs" dxfId="17" priority="7" operator="equal">
      <formula>"No Missing Data or Data Entry Errors"</formula>
    </cfRule>
  </conditionalFormatting>
  <conditionalFormatting sqref="A15">
    <cfRule type="cellIs" dxfId="16" priority="6" operator="equal">
      <formula>"No Missing Data or Data Entry Errors"</formula>
    </cfRule>
  </conditionalFormatting>
  <conditionalFormatting sqref="A17:A19">
    <cfRule type="cellIs" dxfId="15" priority="5" operator="equal">
      <formula>"No Missing Data or Data Entry Errors"</formula>
    </cfRule>
  </conditionalFormatting>
  <conditionalFormatting sqref="A21">
    <cfRule type="cellIs" dxfId="14" priority="3" operator="equal">
      <formula>"No Missing Data or Data Entry Errors"</formula>
    </cfRule>
  </conditionalFormatting>
  <conditionalFormatting sqref="A23">
    <cfRule type="cellIs" dxfId="13" priority="2" operator="equal">
      <formula>"No Missing Data or Data Entry Errors"</formula>
    </cfRule>
  </conditionalFormatting>
  <hyperlinks>
    <hyperlink ref="A4" location="Application!A1" display="Application Worksheet" xr:uid="{00000000-0004-0000-0100-000000000000}"/>
    <hyperlink ref="A16" location="Scoring!A1" display="Scoring Worksheet" xr:uid="{00000000-0004-0000-0100-000002000000}"/>
    <hyperlink ref="A8" location="Financing!A1" display="Financing Worksheet" xr:uid="{00000000-0004-0000-0100-000003000000}"/>
    <hyperlink ref="A10" location="'Development Budget'!A1" display="Development Budget Worksheet" xr:uid="{00000000-0004-0000-0100-000004000000}"/>
    <hyperlink ref="A12" location="'Commercial Budget'!A1" display="Commercial Budget Worksheet" xr:uid="{00000000-0004-0000-0100-000005000000}"/>
    <hyperlink ref="A14" location="'Proforma, Income &amp; Expense'!A1" display="Proforma, Income &amp; Expense Worksheet" xr:uid="{00000000-0004-0000-0100-000006000000}"/>
    <hyperlink ref="A20" location="'Cost Summary'!A1" display="Cost Summary Worksheet" xr:uid="{00000000-0004-0000-0100-000008000000}"/>
    <hyperlink ref="A22" location="'Final Building Profile'!A1" display="Final Building Profile Worksheet" xr:uid="{00000000-0004-0000-0100-000009000000}"/>
    <hyperlink ref="A18" location="Amenities!A1" display="Amenities Worksheet" xr:uid="{00000000-0004-0000-0100-00000A000000}"/>
    <hyperlink ref="A2" location="'Contact Information'!A1" display="Contact Information Worksheet" xr:uid="{BE4C8630-5D29-4A43-B685-CB0615817D61}"/>
    <hyperlink ref="A6" location="'Unit Mix &amp; Rents'!A1" display="Unit Mix &amp; Rents Worksheet" xr:uid="{00000000-0004-0000-0100-000001000000}"/>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08795-41C3-44A5-9C80-2CCA41D9F202}">
  <sheetPr>
    <tabColor rgb="FF66FFFF"/>
    <pageSetUpPr fitToPage="1"/>
  </sheetPr>
  <dimension ref="A1:Z1028"/>
  <sheetViews>
    <sheetView showGridLines="0" zoomScaleNormal="100" workbookViewId="0"/>
  </sheetViews>
  <sheetFormatPr defaultColWidth="13" defaultRowHeight="14.4"/>
  <cols>
    <col min="1" max="1" width="3.109375" customWidth="1"/>
    <col min="2" max="2" width="30.5546875" customWidth="1"/>
    <col min="3" max="3" width="18" customWidth="1"/>
    <col min="4" max="4" width="15.6640625" customWidth="1"/>
    <col min="5" max="5" width="19.33203125" customWidth="1"/>
    <col min="6" max="6" width="23.44140625" customWidth="1"/>
    <col min="7" max="7" width="25.88671875" customWidth="1"/>
    <col min="8" max="8" width="27" customWidth="1"/>
    <col min="9" max="9" width="3.5546875" customWidth="1"/>
    <col min="10" max="10" width="1.88671875" customWidth="1"/>
    <col min="11" max="11" width="27" customWidth="1"/>
    <col min="12" max="17" width="7.44140625" customWidth="1"/>
    <col min="18" max="18" width="10.109375" customWidth="1"/>
    <col min="19" max="19" width="4.5546875" hidden="1" customWidth="1"/>
    <col min="20" max="20" width="1.88671875" customWidth="1"/>
    <col min="21" max="21" width="3.5546875" customWidth="1"/>
    <col min="22" max="26" width="14.44140625" customWidth="1"/>
  </cols>
  <sheetData>
    <row r="1" spans="1:26" ht="16.2">
      <c r="A1" s="672"/>
      <c r="B1" s="672"/>
      <c r="C1" s="672"/>
      <c r="D1" s="672"/>
      <c r="E1" s="672"/>
      <c r="F1" s="672"/>
      <c r="G1" s="672"/>
      <c r="H1" s="672"/>
      <c r="I1" s="672"/>
      <c r="J1" s="672"/>
      <c r="K1" s="672"/>
      <c r="L1" s="672"/>
      <c r="M1" s="672"/>
      <c r="N1" s="672"/>
      <c r="O1" s="672"/>
      <c r="P1" s="672"/>
      <c r="Q1" s="672"/>
      <c r="R1" s="672"/>
      <c r="S1" s="672"/>
      <c r="T1" s="672"/>
      <c r="U1" s="672"/>
      <c r="V1" s="672"/>
      <c r="W1" s="672"/>
      <c r="X1" s="672"/>
      <c r="Y1" s="672"/>
      <c r="Z1" s="672"/>
    </row>
    <row r="2" spans="1:26" ht="16.5" customHeight="1">
      <c r="A2" s="672"/>
      <c r="B2" s="871" t="s">
        <v>4194</v>
      </c>
      <c r="C2" s="788"/>
      <c r="D2" s="788"/>
      <c r="E2" s="788"/>
      <c r="F2" s="870"/>
      <c r="G2" s="788"/>
      <c r="H2" s="788"/>
      <c r="I2" s="788"/>
      <c r="J2" s="788"/>
      <c r="K2" s="788"/>
      <c r="L2" s="788"/>
      <c r="M2" s="788"/>
      <c r="N2" s="788"/>
      <c r="O2" s="788"/>
      <c r="P2" s="788"/>
      <c r="Q2" s="788"/>
      <c r="R2" s="672"/>
      <c r="S2" s="672"/>
      <c r="T2" s="672"/>
      <c r="U2" s="672"/>
      <c r="V2" s="672"/>
      <c r="W2" s="672"/>
      <c r="X2" s="672"/>
      <c r="Y2" s="672"/>
      <c r="Z2" s="672"/>
    </row>
    <row r="3" spans="1:26" ht="15.75" customHeight="1">
      <c r="A3" s="672"/>
      <c r="B3" s="701" t="s">
        <v>1019</v>
      </c>
      <c r="C3" s="1153">
        <f>Application!B29</f>
        <v>0</v>
      </c>
      <c r="D3" s="1109"/>
      <c r="E3" s="1109"/>
      <c r="F3" s="869"/>
      <c r="G3" s="788"/>
      <c r="H3" s="788"/>
      <c r="I3" s="788"/>
      <c r="J3" s="788"/>
      <c r="K3" s="788"/>
      <c r="L3" s="788"/>
      <c r="M3" s="788"/>
      <c r="N3" s="788"/>
      <c r="O3" s="788"/>
      <c r="P3" s="788"/>
      <c r="Q3" s="788"/>
      <c r="R3" s="672"/>
      <c r="S3" s="672"/>
      <c r="T3" s="672"/>
      <c r="U3" s="672"/>
      <c r="V3" s="672"/>
      <c r="W3" s="672"/>
      <c r="X3" s="672"/>
      <c r="Y3" s="672"/>
      <c r="Z3" s="672"/>
    </row>
    <row r="4" spans="1:26" ht="15.75" customHeight="1">
      <c r="A4" s="672"/>
      <c r="B4" s="701" t="s">
        <v>1020</v>
      </c>
      <c r="C4" s="868">
        <f>'Contact Information'!B6</f>
        <v>0</v>
      </c>
      <c r="D4" s="779"/>
      <c r="E4" s="672"/>
      <c r="F4" s="869"/>
      <c r="G4" s="672"/>
      <c r="H4" s="788"/>
      <c r="I4" s="788"/>
      <c r="J4" s="788"/>
      <c r="K4" s="788"/>
      <c r="L4" s="809"/>
      <c r="M4" s="788"/>
      <c r="N4" s="788"/>
      <c r="O4" s="788"/>
      <c r="P4" s="788"/>
      <c r="Q4" s="788"/>
      <c r="R4" s="672"/>
      <c r="S4" s="672"/>
      <c r="T4" s="672"/>
      <c r="U4" s="672"/>
      <c r="V4" s="672"/>
      <c r="W4" s="672"/>
      <c r="X4" s="672"/>
      <c r="Y4" s="672"/>
      <c r="Z4" s="672"/>
    </row>
    <row r="5" spans="1:26" ht="16.2">
      <c r="A5" s="672"/>
      <c r="B5" s="701" t="s">
        <v>4193</v>
      </c>
      <c r="C5" s="868">
        <f>Calculations!B14</f>
        <v>0</v>
      </c>
      <c r="D5" s="672"/>
      <c r="E5" s="865" t="s">
        <v>4236</v>
      </c>
      <c r="F5" s="672"/>
      <c r="G5" s="672"/>
      <c r="H5" s="788"/>
      <c r="I5" s="865"/>
      <c r="J5" s="788"/>
      <c r="K5" s="788"/>
      <c r="L5" s="788"/>
      <c r="M5" s="788"/>
      <c r="N5" s="788"/>
      <c r="O5" s="788"/>
      <c r="P5" s="788"/>
      <c r="Q5" s="788"/>
      <c r="R5" s="672"/>
      <c r="S5" s="672"/>
      <c r="T5" s="672"/>
      <c r="U5" s="672"/>
      <c r="V5" s="672"/>
      <c r="W5" s="672"/>
      <c r="X5" s="672"/>
      <c r="Y5" s="672"/>
      <c r="Z5" s="672"/>
    </row>
    <row r="6" spans="1:26" ht="16.2">
      <c r="A6" s="672"/>
      <c r="B6" s="865"/>
      <c r="C6" s="867"/>
      <c r="D6" s="858"/>
      <c r="E6" s="788"/>
      <c r="F6" s="866"/>
      <c r="G6" s="672"/>
      <c r="H6" s="788"/>
      <c r="I6" s="865"/>
      <c r="J6" s="788"/>
      <c r="K6" s="788"/>
      <c r="L6" s="788"/>
      <c r="M6" s="788"/>
      <c r="N6" s="788"/>
      <c r="O6" s="788"/>
      <c r="P6" s="788"/>
      <c r="Q6" s="788"/>
      <c r="R6" s="672"/>
      <c r="S6" s="672"/>
      <c r="T6" s="672"/>
      <c r="U6" s="672"/>
      <c r="V6" s="672"/>
      <c r="W6" s="672"/>
      <c r="X6" s="672"/>
      <c r="Y6" s="672"/>
      <c r="Z6" s="672"/>
    </row>
    <row r="7" spans="1:26" ht="16.8" thickBot="1">
      <c r="A7" s="789"/>
      <c r="B7" s="861"/>
      <c r="C7" s="864"/>
      <c r="D7" s="863"/>
      <c r="E7" s="790"/>
      <c r="F7" s="862"/>
      <c r="G7" s="789"/>
      <c r="H7" s="790"/>
      <c r="I7" s="861"/>
      <c r="J7" s="790"/>
      <c r="K7" s="790"/>
      <c r="L7" s="790"/>
      <c r="M7" s="790"/>
      <c r="N7" s="790"/>
      <c r="O7" s="790"/>
      <c r="P7" s="790"/>
      <c r="Q7" s="790"/>
      <c r="R7" s="789"/>
      <c r="S7" s="789"/>
      <c r="T7" s="789"/>
      <c r="U7" s="789"/>
      <c r="V7" s="672"/>
      <c r="W7" s="672"/>
      <c r="X7" s="672"/>
      <c r="Y7" s="672"/>
      <c r="Z7" s="672"/>
    </row>
    <row r="8" spans="1:26" ht="30.6" thickBot="1">
      <c r="A8" s="672"/>
      <c r="B8" s="860" t="s">
        <v>4235</v>
      </c>
      <c r="C8" s="859" t="s">
        <v>815</v>
      </c>
      <c r="D8" s="858"/>
      <c r="E8" s="1154" t="e">
        <f>IF(MIN(C10,G29,H93)=C10,"Sufficient units assisted","Insufficient assisted units")</f>
        <v>#DIV/0!</v>
      </c>
      <c r="F8" s="1155"/>
      <c r="G8" s="1156"/>
      <c r="H8" s="672"/>
      <c r="I8" s="789"/>
      <c r="J8" s="788"/>
      <c r="K8" s="857" t="s">
        <v>4234</v>
      </c>
      <c r="L8" s="719"/>
      <c r="M8" s="719"/>
      <c r="N8" s="719"/>
      <c r="O8" s="719"/>
      <c r="P8" s="719"/>
      <c r="Q8" s="719"/>
      <c r="R8" s="719"/>
      <c r="S8" s="719"/>
      <c r="T8" s="719"/>
      <c r="U8" s="789"/>
      <c r="V8" s="672"/>
      <c r="W8" s="672"/>
      <c r="X8" s="672"/>
      <c r="Y8" s="672"/>
      <c r="Z8" s="672"/>
    </row>
    <row r="9" spans="1:26" ht="16.8" thickBot="1">
      <c r="A9" s="672"/>
      <c r="B9" s="788"/>
      <c r="C9" s="788"/>
      <c r="D9" s="788"/>
      <c r="E9" s="1157"/>
      <c r="F9" s="1109"/>
      <c r="G9" s="1158"/>
      <c r="H9" s="672"/>
      <c r="I9" s="789"/>
      <c r="J9" s="672"/>
      <c r="K9" s="856"/>
      <c r="L9" s="719"/>
      <c r="M9" s="719"/>
      <c r="N9" s="719"/>
      <c r="O9" s="719"/>
      <c r="P9" s="719"/>
      <c r="Q9" s="719"/>
      <c r="R9" s="719"/>
      <c r="S9" s="719"/>
      <c r="T9" s="719"/>
      <c r="U9" s="789"/>
      <c r="V9" s="672"/>
      <c r="W9" s="672"/>
      <c r="X9" s="672"/>
      <c r="Y9" s="672"/>
      <c r="Z9" s="672"/>
    </row>
    <row r="10" spans="1:26" ht="33" thickBot="1">
      <c r="A10" s="672"/>
      <c r="B10" s="855" t="s">
        <v>4233</v>
      </c>
      <c r="C10" s="854">
        <f>'DOH Underwriting'!J43</f>
        <v>0</v>
      </c>
      <c r="D10" s="788"/>
      <c r="E10" s="1157"/>
      <c r="F10" s="1109"/>
      <c r="G10" s="1158"/>
      <c r="H10" s="672"/>
      <c r="I10" s="789"/>
      <c r="J10" s="672"/>
      <c r="K10" s="853" t="s">
        <v>4232</v>
      </c>
      <c r="L10" s="853" t="s">
        <v>1087</v>
      </c>
      <c r="M10" s="853" t="s">
        <v>1088</v>
      </c>
      <c r="N10" s="853" t="s">
        <v>1089</v>
      </c>
      <c r="O10" s="853" t="s">
        <v>1090</v>
      </c>
      <c r="P10" s="853" t="s">
        <v>1091</v>
      </c>
      <c r="Q10" s="853" t="s">
        <v>373</v>
      </c>
      <c r="R10" s="853" t="s">
        <v>4231</v>
      </c>
      <c r="S10" s="719"/>
      <c r="T10" s="719"/>
      <c r="U10" s="789"/>
      <c r="V10" s="672"/>
      <c r="W10" s="672"/>
      <c r="X10" s="672"/>
      <c r="Y10" s="672"/>
      <c r="Z10" s="672"/>
    </row>
    <row r="11" spans="1:26" ht="16.8" thickBot="1">
      <c r="A11" s="672"/>
      <c r="B11" s="852" t="s">
        <v>4230</v>
      </c>
      <c r="C11" s="848">
        <f>'DOH Underwriting'!C94</f>
        <v>0</v>
      </c>
      <c r="D11" s="788"/>
      <c r="E11" s="1157"/>
      <c r="F11" s="1109"/>
      <c r="G11" s="1158"/>
      <c r="H11" s="672"/>
      <c r="I11" s="789"/>
      <c r="J11" s="672"/>
      <c r="K11" s="808" t="s">
        <v>4221</v>
      </c>
      <c r="L11" s="808">
        <f t="shared" ref="L11:P19" si="0">SUMIFS($F$33:$F$92,$B$33:$B$92,L$10,$C$33:$C$92,$S11)</f>
        <v>0</v>
      </c>
      <c r="M11" s="808">
        <f t="shared" si="0"/>
        <v>0</v>
      </c>
      <c r="N11" s="808">
        <f t="shared" si="0"/>
        <v>0</v>
      </c>
      <c r="O11" s="808">
        <f t="shared" si="0"/>
        <v>0</v>
      </c>
      <c r="P11" s="808">
        <f t="shared" si="0"/>
        <v>0</v>
      </c>
      <c r="Q11" s="821">
        <f t="shared" ref="Q11:Q29" si="1">SUM(L11:P11)</f>
        <v>0</v>
      </c>
      <c r="R11" s="817" t="s">
        <v>991</v>
      </c>
      <c r="S11" s="834">
        <v>0.2</v>
      </c>
      <c r="T11" s="834"/>
      <c r="U11" s="789"/>
      <c r="V11" s="672"/>
      <c r="W11" s="672"/>
      <c r="X11" s="672"/>
      <c r="Y11" s="672"/>
      <c r="Z11" s="672"/>
    </row>
    <row r="12" spans="1:26" ht="16.8" thickBot="1">
      <c r="A12" s="672"/>
      <c r="B12" s="852" t="s">
        <v>4229</v>
      </c>
      <c r="C12" s="848">
        <f>'DOH Underwriting'!C90+'DOH Underwriting'!C88</f>
        <v>0</v>
      </c>
      <c r="D12" s="788"/>
      <c r="E12" s="1157"/>
      <c r="F12" s="1109"/>
      <c r="G12" s="1158"/>
      <c r="H12" s="672"/>
      <c r="I12" s="789"/>
      <c r="J12" s="672"/>
      <c r="K12" s="808" t="s">
        <v>4221</v>
      </c>
      <c r="L12" s="808">
        <f t="shared" si="0"/>
        <v>0</v>
      </c>
      <c r="M12" s="808">
        <f t="shared" si="0"/>
        <v>0</v>
      </c>
      <c r="N12" s="808">
        <f t="shared" si="0"/>
        <v>0</v>
      </c>
      <c r="O12" s="808">
        <f t="shared" si="0"/>
        <v>0</v>
      </c>
      <c r="P12" s="808">
        <f t="shared" si="0"/>
        <v>0</v>
      </c>
      <c r="Q12" s="821">
        <f t="shared" si="1"/>
        <v>0</v>
      </c>
      <c r="R12" s="817" t="s">
        <v>4219</v>
      </c>
      <c r="S12" s="834">
        <v>0.3</v>
      </c>
      <c r="T12" s="834"/>
      <c r="U12" s="789"/>
      <c r="V12" s="672"/>
      <c r="W12" s="672"/>
      <c r="X12" s="672"/>
      <c r="Y12" s="672"/>
      <c r="Z12" s="672"/>
    </row>
    <row r="13" spans="1:26" ht="16.8" thickBot="1">
      <c r="A13" s="672"/>
      <c r="B13" s="852" t="s">
        <v>4228</v>
      </c>
      <c r="C13" s="848">
        <f>'DOH Underwriting'!C15</f>
        <v>0</v>
      </c>
      <c r="D13" s="788"/>
      <c r="E13" s="1157"/>
      <c r="F13" s="1109"/>
      <c r="G13" s="1158"/>
      <c r="H13" s="672"/>
      <c r="I13" s="789"/>
      <c r="J13" s="672"/>
      <c r="K13" s="808" t="s">
        <v>4221</v>
      </c>
      <c r="L13" s="808">
        <f t="shared" si="0"/>
        <v>0</v>
      </c>
      <c r="M13" s="808">
        <f t="shared" si="0"/>
        <v>0</v>
      </c>
      <c r="N13" s="808">
        <f t="shared" si="0"/>
        <v>0</v>
      </c>
      <c r="O13" s="808">
        <f t="shared" si="0"/>
        <v>0</v>
      </c>
      <c r="P13" s="808">
        <f t="shared" si="0"/>
        <v>0</v>
      </c>
      <c r="Q13" s="821">
        <f t="shared" si="1"/>
        <v>0</v>
      </c>
      <c r="R13" s="817" t="s">
        <v>4217</v>
      </c>
      <c r="S13" s="834">
        <v>0.4</v>
      </c>
      <c r="T13" s="834"/>
      <c r="U13" s="789"/>
      <c r="V13" s="672"/>
      <c r="W13" s="672"/>
      <c r="X13" s="672"/>
      <c r="Y13" s="672"/>
      <c r="Z13" s="672"/>
    </row>
    <row r="14" spans="1:26" ht="16.8" thickBot="1">
      <c r="A14" s="672"/>
      <c r="B14" s="852" t="s">
        <v>4227</v>
      </c>
      <c r="C14" s="848">
        <f>'DOH Underwriting'!C73</f>
        <v>0</v>
      </c>
      <c r="D14" s="788"/>
      <c r="E14" s="1157"/>
      <c r="F14" s="1109"/>
      <c r="G14" s="1158"/>
      <c r="H14" s="672"/>
      <c r="I14" s="789"/>
      <c r="J14" s="672"/>
      <c r="K14" s="808" t="s">
        <v>4221</v>
      </c>
      <c r="L14" s="808">
        <f t="shared" si="0"/>
        <v>0</v>
      </c>
      <c r="M14" s="808">
        <f t="shared" si="0"/>
        <v>0</v>
      </c>
      <c r="N14" s="808">
        <f t="shared" si="0"/>
        <v>0</v>
      </c>
      <c r="O14" s="808">
        <f t="shared" si="0"/>
        <v>0</v>
      </c>
      <c r="P14" s="808">
        <f t="shared" si="0"/>
        <v>0</v>
      </c>
      <c r="Q14" s="821">
        <f t="shared" si="1"/>
        <v>0</v>
      </c>
      <c r="R14" s="817" t="s">
        <v>4211</v>
      </c>
      <c r="S14" s="834">
        <v>0.5</v>
      </c>
      <c r="T14" s="834"/>
      <c r="U14" s="789"/>
      <c r="V14" s="672"/>
      <c r="W14" s="672"/>
      <c r="X14" s="672"/>
      <c r="Y14" s="672"/>
      <c r="Z14" s="672"/>
    </row>
    <row r="15" spans="1:26" ht="16.8" thickBot="1">
      <c r="A15" s="672"/>
      <c r="B15" s="852" t="s">
        <v>4226</v>
      </c>
      <c r="C15" s="848">
        <f>'DOH Underwriting'!C25</f>
        <v>0</v>
      </c>
      <c r="D15" s="788"/>
      <c r="E15" s="1157"/>
      <c r="F15" s="1109"/>
      <c r="G15" s="1158"/>
      <c r="H15" s="672"/>
      <c r="I15" s="789"/>
      <c r="J15" s="672"/>
      <c r="K15" s="808" t="s">
        <v>4221</v>
      </c>
      <c r="L15" s="808">
        <f t="shared" si="0"/>
        <v>0</v>
      </c>
      <c r="M15" s="808">
        <f t="shared" si="0"/>
        <v>0</v>
      </c>
      <c r="N15" s="808">
        <f t="shared" si="0"/>
        <v>0</v>
      </c>
      <c r="O15" s="808">
        <f t="shared" si="0"/>
        <v>0</v>
      </c>
      <c r="P15" s="808">
        <f t="shared" si="0"/>
        <v>0</v>
      </c>
      <c r="Q15" s="821">
        <f t="shared" si="1"/>
        <v>0</v>
      </c>
      <c r="R15" s="817" t="s">
        <v>995</v>
      </c>
      <c r="S15" s="834">
        <v>0.6</v>
      </c>
      <c r="T15" s="827"/>
      <c r="U15" s="789"/>
      <c r="V15" s="672"/>
      <c r="W15" s="672"/>
      <c r="X15" s="672"/>
      <c r="Y15" s="672"/>
      <c r="Z15" s="672"/>
    </row>
    <row r="16" spans="1:26" ht="29.4" thickBot="1">
      <c r="A16" s="672"/>
      <c r="B16" s="851" t="s">
        <v>4225</v>
      </c>
      <c r="C16" s="850"/>
      <c r="D16" s="849"/>
      <c r="E16" s="1157"/>
      <c r="F16" s="1109"/>
      <c r="G16" s="1158"/>
      <c r="H16" s="672"/>
      <c r="I16" s="789"/>
      <c r="J16" s="672"/>
      <c r="K16" s="808" t="s">
        <v>4221</v>
      </c>
      <c r="L16" s="808">
        <f t="shared" si="0"/>
        <v>0</v>
      </c>
      <c r="M16" s="808">
        <f t="shared" si="0"/>
        <v>0</v>
      </c>
      <c r="N16" s="808">
        <f t="shared" si="0"/>
        <v>0</v>
      </c>
      <c r="O16" s="808">
        <f t="shared" si="0"/>
        <v>0</v>
      </c>
      <c r="P16" s="808">
        <f t="shared" si="0"/>
        <v>0</v>
      </c>
      <c r="Q16" s="821">
        <f t="shared" si="1"/>
        <v>0</v>
      </c>
      <c r="R16" s="817" t="s">
        <v>996</v>
      </c>
      <c r="S16" s="827">
        <v>0.7</v>
      </c>
      <c r="T16" s="827"/>
      <c r="U16" s="789"/>
      <c r="V16" s="672"/>
      <c r="W16" s="672"/>
      <c r="X16" s="672"/>
      <c r="Y16" s="672"/>
      <c r="Z16" s="672"/>
    </row>
    <row r="17" spans="1:26" ht="16.8" thickBot="1">
      <c r="A17" s="672"/>
      <c r="B17" s="844" t="s">
        <v>4224</v>
      </c>
      <c r="C17" s="848">
        <f>C11-SUM(C12:C16)</f>
        <v>0</v>
      </c>
      <c r="D17" s="847"/>
      <c r="E17" s="1157"/>
      <c r="F17" s="1109"/>
      <c r="G17" s="1158"/>
      <c r="H17" s="672"/>
      <c r="I17" s="789"/>
      <c r="J17" s="672"/>
      <c r="K17" s="808" t="s">
        <v>4221</v>
      </c>
      <c r="L17" s="808">
        <f t="shared" si="0"/>
        <v>0</v>
      </c>
      <c r="M17" s="808">
        <f t="shared" si="0"/>
        <v>0</v>
      </c>
      <c r="N17" s="808">
        <f t="shared" si="0"/>
        <v>0</v>
      </c>
      <c r="O17" s="808">
        <f t="shared" si="0"/>
        <v>0</v>
      </c>
      <c r="P17" s="808">
        <f t="shared" si="0"/>
        <v>0</v>
      </c>
      <c r="Q17" s="821">
        <f t="shared" si="1"/>
        <v>0</v>
      </c>
      <c r="R17" s="817" t="s">
        <v>997</v>
      </c>
      <c r="S17" s="827">
        <v>0.8</v>
      </c>
      <c r="T17" s="827"/>
      <c r="U17" s="789"/>
      <c r="V17" s="672"/>
      <c r="W17" s="672"/>
      <c r="X17" s="672"/>
      <c r="Y17" s="672"/>
      <c r="Z17" s="672"/>
    </row>
    <row r="18" spans="1:26" ht="16.8" thickBot="1">
      <c r="A18" s="672"/>
      <c r="B18" s="846" t="s">
        <v>4223</v>
      </c>
      <c r="C18" s="845">
        <f>SUMPRODUCT(D33:D64,E33:E64)</f>
        <v>0</v>
      </c>
      <c r="D18" s="788"/>
      <c r="E18" s="1157"/>
      <c r="F18" s="1109"/>
      <c r="G18" s="1158"/>
      <c r="H18" s="672"/>
      <c r="I18" s="789"/>
      <c r="J18" s="672"/>
      <c r="K18" s="808" t="s">
        <v>4221</v>
      </c>
      <c r="L18" s="808">
        <f t="shared" si="0"/>
        <v>0</v>
      </c>
      <c r="M18" s="808">
        <f t="shared" si="0"/>
        <v>0</v>
      </c>
      <c r="N18" s="808">
        <f t="shared" si="0"/>
        <v>0</v>
      </c>
      <c r="O18" s="808">
        <f t="shared" si="0"/>
        <v>0</v>
      </c>
      <c r="P18" s="808">
        <f t="shared" si="0"/>
        <v>0</v>
      </c>
      <c r="Q18" s="821">
        <f t="shared" si="1"/>
        <v>0</v>
      </c>
      <c r="R18" s="817" t="s">
        <v>4210</v>
      </c>
      <c r="S18" s="827">
        <v>0.9</v>
      </c>
      <c r="T18" s="827"/>
      <c r="U18" s="789"/>
      <c r="V18" s="672"/>
      <c r="W18" s="672"/>
      <c r="X18" s="672"/>
      <c r="Y18" s="672"/>
      <c r="Z18" s="672"/>
    </row>
    <row r="19" spans="1:26" ht="16.8" thickBot="1">
      <c r="A19" s="672"/>
      <c r="B19" s="844" t="s">
        <v>4222</v>
      </c>
      <c r="C19" s="843" t="e">
        <f>C17/C18</f>
        <v>#DIV/0!</v>
      </c>
      <c r="D19" s="788"/>
      <c r="E19" s="1157"/>
      <c r="F19" s="1109"/>
      <c r="G19" s="1158"/>
      <c r="H19" s="672"/>
      <c r="I19" s="789"/>
      <c r="J19" s="672"/>
      <c r="K19" s="808" t="s">
        <v>4221</v>
      </c>
      <c r="L19" s="808">
        <f t="shared" si="0"/>
        <v>0</v>
      </c>
      <c r="M19" s="808">
        <f t="shared" si="0"/>
        <v>0</v>
      </c>
      <c r="N19" s="808">
        <f t="shared" si="0"/>
        <v>0</v>
      </c>
      <c r="O19" s="808">
        <f t="shared" si="0"/>
        <v>0</v>
      </c>
      <c r="P19" s="808">
        <f t="shared" si="0"/>
        <v>0</v>
      </c>
      <c r="Q19" s="821">
        <f t="shared" si="1"/>
        <v>0</v>
      </c>
      <c r="R19" s="817" t="s">
        <v>1198</v>
      </c>
      <c r="S19" s="827">
        <v>1</v>
      </c>
      <c r="T19" s="827"/>
      <c r="U19" s="789"/>
      <c r="V19" s="672"/>
      <c r="W19" s="672"/>
      <c r="X19" s="672"/>
      <c r="Y19" s="672"/>
      <c r="Z19" s="672"/>
    </row>
    <row r="20" spans="1:26" ht="16.8" thickBot="1">
      <c r="A20" s="672"/>
      <c r="B20" s="842" t="s">
        <v>4220</v>
      </c>
      <c r="C20" s="841" t="e">
        <f>C10/C17</f>
        <v>#DIV/0!</v>
      </c>
      <c r="D20" s="840"/>
      <c r="E20" s="1159"/>
      <c r="F20" s="1160"/>
      <c r="G20" s="1161"/>
      <c r="H20" s="672"/>
      <c r="I20" s="789"/>
      <c r="J20" s="672"/>
      <c r="K20" s="808" t="s">
        <v>4209</v>
      </c>
      <c r="L20" s="818">
        <f t="shared" ref="L20:P28" si="2">SUMIFS($D$33:$D$92,$B$33:$B$92,L$10,$C$33:$C$92,$S11)-L11</f>
        <v>0</v>
      </c>
      <c r="M20" s="818">
        <f t="shared" si="2"/>
        <v>0</v>
      </c>
      <c r="N20" s="818">
        <f t="shared" si="2"/>
        <v>0</v>
      </c>
      <c r="O20" s="818">
        <f t="shared" si="2"/>
        <v>0</v>
      </c>
      <c r="P20" s="818">
        <f t="shared" si="2"/>
        <v>0</v>
      </c>
      <c r="Q20" s="821">
        <f t="shared" si="1"/>
        <v>0</v>
      </c>
      <c r="R20" s="817" t="s">
        <v>991</v>
      </c>
      <c r="S20" s="834">
        <v>0.2</v>
      </c>
      <c r="T20" s="827"/>
      <c r="U20" s="789"/>
      <c r="V20" s="672"/>
      <c r="W20" s="672"/>
      <c r="X20" s="672"/>
      <c r="Y20" s="672"/>
      <c r="Z20" s="672"/>
    </row>
    <row r="21" spans="1:26" ht="15.75" customHeight="1" thickBot="1">
      <c r="A21" s="672"/>
      <c r="B21" s="788"/>
      <c r="C21" s="788"/>
      <c r="D21" s="788"/>
      <c r="E21" s="788"/>
      <c r="F21" s="788"/>
      <c r="G21" s="788"/>
      <c r="H21" s="788"/>
      <c r="I21" s="790"/>
      <c r="J21" s="788"/>
      <c r="K21" s="808" t="s">
        <v>4209</v>
      </c>
      <c r="L21" s="818">
        <f t="shared" si="2"/>
        <v>0</v>
      </c>
      <c r="M21" s="818">
        <f t="shared" si="2"/>
        <v>0</v>
      </c>
      <c r="N21" s="818">
        <f t="shared" si="2"/>
        <v>0</v>
      </c>
      <c r="O21" s="818">
        <f t="shared" si="2"/>
        <v>0</v>
      </c>
      <c r="P21" s="818">
        <f t="shared" si="2"/>
        <v>0</v>
      </c>
      <c r="Q21" s="821">
        <f t="shared" si="1"/>
        <v>0</v>
      </c>
      <c r="R21" s="817" t="s">
        <v>4219</v>
      </c>
      <c r="S21" s="834">
        <v>0.3</v>
      </c>
      <c r="T21" s="839"/>
      <c r="U21" s="789"/>
      <c r="V21" s="672"/>
      <c r="W21" s="672"/>
      <c r="X21" s="672"/>
      <c r="Y21" s="672"/>
      <c r="Z21" s="672"/>
    </row>
    <row r="22" spans="1:26" ht="15.75" customHeight="1">
      <c r="A22" s="672"/>
      <c r="B22" s="838" t="s">
        <v>4218</v>
      </c>
      <c r="C22" s="820"/>
      <c r="D22" s="820"/>
      <c r="E22" s="820"/>
      <c r="F22" s="820"/>
      <c r="G22" s="819"/>
      <c r="H22" s="788"/>
      <c r="I22" s="790"/>
      <c r="J22" s="672"/>
      <c r="K22" s="808" t="s">
        <v>4209</v>
      </c>
      <c r="L22" s="818">
        <f t="shared" si="2"/>
        <v>0</v>
      </c>
      <c r="M22" s="818">
        <f t="shared" si="2"/>
        <v>0</v>
      </c>
      <c r="N22" s="818">
        <f t="shared" si="2"/>
        <v>0</v>
      </c>
      <c r="O22" s="818">
        <f t="shared" si="2"/>
        <v>0</v>
      </c>
      <c r="P22" s="818">
        <f t="shared" si="2"/>
        <v>0</v>
      </c>
      <c r="Q22" s="821">
        <f t="shared" si="1"/>
        <v>0</v>
      </c>
      <c r="R22" s="817" t="s">
        <v>4217</v>
      </c>
      <c r="S22" s="834">
        <v>0.4</v>
      </c>
      <c r="T22" s="809"/>
      <c r="U22" s="789"/>
      <c r="V22" s="672"/>
      <c r="W22" s="672"/>
      <c r="X22" s="672"/>
      <c r="Y22" s="672"/>
      <c r="Z22" s="672"/>
    </row>
    <row r="23" spans="1:26" ht="28.8">
      <c r="A23" s="672"/>
      <c r="B23" s="837" t="s">
        <v>1201</v>
      </c>
      <c r="C23" s="836" t="s">
        <v>4216</v>
      </c>
      <c r="D23" s="836" t="s">
        <v>4215</v>
      </c>
      <c r="E23" s="836" t="s">
        <v>4214</v>
      </c>
      <c r="F23" s="836" t="s">
        <v>4213</v>
      </c>
      <c r="G23" s="835" t="s">
        <v>4212</v>
      </c>
      <c r="H23" s="672"/>
      <c r="I23" s="790"/>
      <c r="J23" s="672"/>
      <c r="K23" s="808" t="s">
        <v>4209</v>
      </c>
      <c r="L23" s="818">
        <f t="shared" si="2"/>
        <v>0</v>
      </c>
      <c r="M23" s="818">
        <f t="shared" si="2"/>
        <v>0</v>
      </c>
      <c r="N23" s="818">
        <f t="shared" si="2"/>
        <v>0</v>
      </c>
      <c r="O23" s="818">
        <f t="shared" si="2"/>
        <v>0</v>
      </c>
      <c r="P23" s="818">
        <f t="shared" si="2"/>
        <v>0</v>
      </c>
      <c r="Q23" s="821">
        <f t="shared" si="1"/>
        <v>0</v>
      </c>
      <c r="R23" s="817" t="s">
        <v>4211</v>
      </c>
      <c r="S23" s="834">
        <v>0.5</v>
      </c>
      <c r="T23" s="809"/>
      <c r="U23" s="789"/>
      <c r="V23" s="672"/>
      <c r="W23" s="672"/>
      <c r="X23" s="672"/>
      <c r="Y23" s="672"/>
      <c r="Z23" s="672"/>
    </row>
    <row r="24" spans="1:26" ht="15.75" customHeight="1">
      <c r="A24" s="672"/>
      <c r="B24" s="833" t="s">
        <v>1087</v>
      </c>
      <c r="C24" s="832">
        <f>SUMIF('Unit Mix &amp; Rents'!$B$17:$B$76,"0 Bed*", 'Unit Mix &amp; Rents'!$D$17:$D$76)</f>
        <v>0</v>
      </c>
      <c r="D24" s="831" t="e">
        <f>ROUNDUP(C24*$C$20,0)</f>
        <v>#DIV/0!</v>
      </c>
      <c r="E24" s="831"/>
      <c r="F24" s="830">
        <v>181488</v>
      </c>
      <c r="G24" s="829" t="e">
        <f>IF(E24&gt;0,+E24*F24,+F24*D24)</f>
        <v>#DIV/0!</v>
      </c>
      <c r="H24" s="672"/>
      <c r="I24" s="790"/>
      <c r="J24" s="672"/>
      <c r="K24" s="808" t="s">
        <v>4209</v>
      </c>
      <c r="L24" s="818">
        <f t="shared" si="2"/>
        <v>0</v>
      </c>
      <c r="M24" s="818">
        <f t="shared" si="2"/>
        <v>0</v>
      </c>
      <c r="N24" s="818">
        <f t="shared" si="2"/>
        <v>0</v>
      </c>
      <c r="O24" s="818">
        <f t="shared" si="2"/>
        <v>0</v>
      </c>
      <c r="P24" s="818">
        <f t="shared" si="2"/>
        <v>0</v>
      </c>
      <c r="Q24" s="821">
        <f t="shared" si="1"/>
        <v>0</v>
      </c>
      <c r="R24" s="817" t="s">
        <v>995</v>
      </c>
      <c r="S24" s="834">
        <v>0.6</v>
      </c>
      <c r="T24" s="809"/>
      <c r="U24" s="789"/>
      <c r="V24" s="672"/>
      <c r="W24" s="672"/>
      <c r="X24" s="672"/>
      <c r="Y24" s="672"/>
      <c r="Z24" s="672"/>
    </row>
    <row r="25" spans="1:26" ht="15.75" customHeight="1">
      <c r="A25" s="672"/>
      <c r="B25" s="833" t="s">
        <v>1088</v>
      </c>
      <c r="C25" s="832">
        <f>SUMIF('Unit Mix &amp; Rents'!$B$17:$B$76,"1 Bed*", 'Unit Mix &amp; Rents'!$D$17:$D$76)</f>
        <v>0</v>
      </c>
      <c r="D25" s="831" t="e">
        <f>ROUNDUP(C25*$C$20,0)</f>
        <v>#DIV/0!</v>
      </c>
      <c r="E25" s="831"/>
      <c r="F25" s="830">
        <v>208049</v>
      </c>
      <c r="G25" s="829" t="e">
        <f>IF(E25&gt;0,+E25*F25,+F25*D25)</f>
        <v>#DIV/0!</v>
      </c>
      <c r="H25" s="828"/>
      <c r="I25" s="790"/>
      <c r="J25" s="672"/>
      <c r="K25" s="808" t="s">
        <v>4209</v>
      </c>
      <c r="L25" s="818">
        <f t="shared" si="2"/>
        <v>0</v>
      </c>
      <c r="M25" s="818">
        <f t="shared" si="2"/>
        <v>0</v>
      </c>
      <c r="N25" s="818">
        <f t="shared" si="2"/>
        <v>0</v>
      </c>
      <c r="O25" s="818">
        <f t="shared" si="2"/>
        <v>0</v>
      </c>
      <c r="P25" s="818">
        <f t="shared" si="2"/>
        <v>0</v>
      </c>
      <c r="Q25" s="821">
        <f t="shared" si="1"/>
        <v>0</v>
      </c>
      <c r="R25" s="817" t="s">
        <v>996</v>
      </c>
      <c r="S25" s="827">
        <v>0.7</v>
      </c>
      <c r="T25" s="809"/>
      <c r="U25" s="789"/>
      <c r="V25" s="672"/>
      <c r="W25" s="672"/>
      <c r="X25" s="672"/>
      <c r="Y25" s="672"/>
      <c r="Z25" s="672"/>
    </row>
    <row r="26" spans="1:26" ht="15.75" customHeight="1">
      <c r="A26" s="672"/>
      <c r="B26" s="833" t="s">
        <v>1089</v>
      </c>
      <c r="C26" s="832">
        <f>SUMIF('Unit Mix &amp; Rents'!$B$17:$B$76,"2 Bed*", 'Unit Mix &amp; Rents'!$D$17:$D$76)</f>
        <v>0</v>
      </c>
      <c r="D26" s="831" t="e">
        <f>ROUNDUP(C26*$C$20,0)</f>
        <v>#DIV/0!</v>
      </c>
      <c r="E26" s="831"/>
      <c r="F26" s="830">
        <v>252994</v>
      </c>
      <c r="G26" s="829" t="e">
        <f>IF(E26&gt;0,+E26*F26,+F26*D26)</f>
        <v>#DIV/0!</v>
      </c>
      <c r="H26" s="828"/>
      <c r="I26" s="790"/>
      <c r="J26" s="672"/>
      <c r="K26" s="808" t="s">
        <v>4209</v>
      </c>
      <c r="L26" s="818">
        <f t="shared" si="2"/>
        <v>0</v>
      </c>
      <c r="M26" s="818">
        <f t="shared" si="2"/>
        <v>0</v>
      </c>
      <c r="N26" s="818">
        <f t="shared" si="2"/>
        <v>0</v>
      </c>
      <c r="O26" s="818">
        <f t="shared" si="2"/>
        <v>0</v>
      </c>
      <c r="P26" s="818">
        <f t="shared" si="2"/>
        <v>0</v>
      </c>
      <c r="Q26" s="821">
        <f t="shared" si="1"/>
        <v>0</v>
      </c>
      <c r="R26" s="817" t="s">
        <v>997</v>
      </c>
      <c r="S26" s="827">
        <v>0.8</v>
      </c>
      <c r="T26" s="809"/>
      <c r="U26" s="789"/>
      <c r="V26" s="672"/>
      <c r="W26" s="672"/>
      <c r="X26" s="672"/>
      <c r="Y26" s="672"/>
      <c r="Z26" s="672"/>
    </row>
    <row r="27" spans="1:26" ht="15.75" customHeight="1">
      <c r="A27" s="672"/>
      <c r="B27" s="833" t="s">
        <v>1090</v>
      </c>
      <c r="C27" s="832">
        <f>SUMIF('Unit Mix &amp; Rents'!$B$17:$B$76,"3 Bed*", 'Unit Mix &amp; Rents'!$D$17:$D$76)</f>
        <v>0</v>
      </c>
      <c r="D27" s="831" t="e">
        <f>ROUNDUP(C27*$C$20,0)</f>
        <v>#DIV/0!</v>
      </c>
      <c r="E27" s="831"/>
      <c r="F27" s="830">
        <v>327293</v>
      </c>
      <c r="G27" s="829" t="e">
        <f>IF(E27&gt;0,+E27*F27,+F27*D27)</f>
        <v>#DIV/0!</v>
      </c>
      <c r="H27" s="828"/>
      <c r="I27" s="790"/>
      <c r="J27" s="672"/>
      <c r="K27" s="808" t="s">
        <v>4209</v>
      </c>
      <c r="L27" s="818">
        <f t="shared" si="2"/>
        <v>0</v>
      </c>
      <c r="M27" s="818">
        <f t="shared" si="2"/>
        <v>0</v>
      </c>
      <c r="N27" s="818">
        <f t="shared" si="2"/>
        <v>0</v>
      </c>
      <c r="O27" s="818">
        <f t="shared" si="2"/>
        <v>0</v>
      </c>
      <c r="P27" s="818">
        <f t="shared" si="2"/>
        <v>0</v>
      </c>
      <c r="Q27" s="821">
        <f t="shared" si="1"/>
        <v>0</v>
      </c>
      <c r="R27" s="817" t="s">
        <v>4210</v>
      </c>
      <c r="S27" s="827">
        <v>0.9</v>
      </c>
      <c r="T27" s="809"/>
      <c r="U27" s="789"/>
      <c r="V27" s="672"/>
      <c r="W27" s="672"/>
      <c r="X27" s="672"/>
      <c r="Y27" s="672"/>
      <c r="Z27" s="672"/>
    </row>
    <row r="28" spans="1:26" ht="15.75" customHeight="1">
      <c r="A28" s="672"/>
      <c r="B28" s="833" t="s">
        <v>1091</v>
      </c>
      <c r="C28" s="832">
        <f>SUMIF('Unit Mix &amp; Rents'!$B$17:$B$76,"4 Bed*", 'Unit Mix &amp; Rents'!$D$17:$D$76)</f>
        <v>0</v>
      </c>
      <c r="D28" s="831" t="e">
        <f>ROUNDUP(C28*$C$20,0)</f>
        <v>#DIV/0!</v>
      </c>
      <c r="E28" s="831"/>
      <c r="F28" s="830">
        <v>359263</v>
      </c>
      <c r="G28" s="829" t="e">
        <f>IF(E28&gt;0,+E28*F28,+F28*D28)</f>
        <v>#DIV/0!</v>
      </c>
      <c r="H28" s="828"/>
      <c r="I28" s="790"/>
      <c r="J28" s="672"/>
      <c r="K28" s="808" t="s">
        <v>4209</v>
      </c>
      <c r="L28" s="818">
        <f t="shared" si="2"/>
        <v>0</v>
      </c>
      <c r="M28" s="818">
        <f t="shared" si="2"/>
        <v>0</v>
      </c>
      <c r="N28" s="818">
        <f t="shared" si="2"/>
        <v>0</v>
      </c>
      <c r="O28" s="818">
        <f t="shared" si="2"/>
        <v>0</v>
      </c>
      <c r="P28" s="818">
        <f t="shared" si="2"/>
        <v>0</v>
      </c>
      <c r="Q28" s="821">
        <f t="shared" si="1"/>
        <v>0</v>
      </c>
      <c r="R28" s="817" t="s">
        <v>1198</v>
      </c>
      <c r="S28" s="827">
        <v>1</v>
      </c>
      <c r="T28" s="672"/>
      <c r="U28" s="789"/>
      <c r="V28" s="672"/>
      <c r="W28" s="672"/>
      <c r="X28" s="672"/>
      <c r="Y28" s="672"/>
      <c r="Z28" s="672"/>
    </row>
    <row r="29" spans="1:26" ht="15.75" customHeight="1" thickBot="1">
      <c r="A29" s="672"/>
      <c r="B29" s="826"/>
      <c r="C29" s="825">
        <f>SUM(C24:C28)</f>
        <v>0</v>
      </c>
      <c r="D29" s="824" t="e">
        <f>SUM(D24:D28)</f>
        <v>#DIV/0!</v>
      </c>
      <c r="E29" s="824">
        <f>SUM(E24:E28)</f>
        <v>0</v>
      </c>
      <c r="F29" s="824" t="s">
        <v>373</v>
      </c>
      <c r="G29" s="823" t="e">
        <f>SUM(G24:G28)</f>
        <v>#DIV/0!</v>
      </c>
      <c r="H29" s="672"/>
      <c r="I29" s="790"/>
      <c r="J29" s="672"/>
      <c r="K29" s="808" t="s">
        <v>4208</v>
      </c>
      <c r="L29" s="808"/>
      <c r="M29" s="808"/>
      <c r="N29" s="808"/>
      <c r="O29" s="808"/>
      <c r="P29" s="808"/>
      <c r="Q29" s="821">
        <f t="shared" si="1"/>
        <v>0</v>
      </c>
      <c r="R29" s="817"/>
      <c r="S29" s="809"/>
      <c r="T29" s="672"/>
      <c r="U29" s="789"/>
      <c r="V29" s="672"/>
      <c r="W29" s="672"/>
      <c r="X29" s="672"/>
      <c r="Y29" s="672"/>
      <c r="Z29" s="672"/>
    </row>
    <row r="30" spans="1:26" ht="15.75" customHeight="1" thickBot="1">
      <c r="A30" s="672"/>
      <c r="B30" s="672"/>
      <c r="C30" s="672"/>
      <c r="D30" s="672"/>
      <c r="E30" s="672"/>
      <c r="F30" s="672"/>
      <c r="G30" s="672"/>
      <c r="H30" s="788"/>
      <c r="I30" s="789"/>
      <c r="J30" s="672"/>
      <c r="K30" s="822" t="s">
        <v>4207</v>
      </c>
      <c r="L30" s="822">
        <f t="shared" ref="L30:P30" si="3">SUM(L12:L28)</f>
        <v>0</v>
      </c>
      <c r="M30" s="822">
        <f t="shared" si="3"/>
        <v>0</v>
      </c>
      <c r="N30" s="822">
        <f t="shared" si="3"/>
        <v>0</v>
      </c>
      <c r="O30" s="822">
        <f t="shared" si="3"/>
        <v>0</v>
      </c>
      <c r="P30" s="822">
        <f t="shared" si="3"/>
        <v>0</v>
      </c>
      <c r="Q30" s="821">
        <f>SUM(Q11:Q28)</f>
        <v>0</v>
      </c>
      <c r="R30" s="817"/>
      <c r="S30" s="672"/>
      <c r="T30" s="672"/>
      <c r="U30" s="789"/>
      <c r="V30" s="672"/>
      <c r="W30" s="672"/>
      <c r="X30" s="672"/>
      <c r="Y30" s="672"/>
      <c r="Z30" s="672"/>
    </row>
    <row r="31" spans="1:26" ht="15.75" customHeight="1">
      <c r="A31" s="672"/>
      <c r="B31" s="1162" t="s">
        <v>4206</v>
      </c>
      <c r="C31" s="1163"/>
      <c r="D31" s="1163"/>
      <c r="E31" s="1164"/>
      <c r="F31" s="820"/>
      <c r="G31" s="820"/>
      <c r="H31" s="819"/>
      <c r="I31" s="790"/>
      <c r="J31" s="672"/>
      <c r="K31" s="808" t="s">
        <v>4205</v>
      </c>
      <c r="L31" s="808">
        <f t="shared" ref="L31:P31" si="4">SUM(L12:L19)</f>
        <v>0</v>
      </c>
      <c r="M31" s="808">
        <f t="shared" si="4"/>
        <v>0</v>
      </c>
      <c r="N31" s="808">
        <f t="shared" si="4"/>
        <v>0</v>
      </c>
      <c r="O31" s="808">
        <f t="shared" si="4"/>
        <v>0</v>
      </c>
      <c r="P31" s="808">
        <f t="shared" si="4"/>
        <v>0</v>
      </c>
      <c r="Q31" s="818">
        <f>SUM(Q11:Q19)</f>
        <v>0</v>
      </c>
      <c r="R31" s="817"/>
      <c r="S31" s="672"/>
      <c r="T31" s="672"/>
      <c r="U31" s="789"/>
      <c r="V31" s="672"/>
      <c r="W31" s="672"/>
      <c r="X31" s="672"/>
      <c r="Y31" s="672"/>
      <c r="Z31" s="672"/>
    </row>
    <row r="32" spans="1:26" ht="15.75" customHeight="1">
      <c r="A32" s="672"/>
      <c r="B32" s="816" t="s">
        <v>4204</v>
      </c>
      <c r="C32" s="815" t="s">
        <v>4203</v>
      </c>
      <c r="D32" s="815" t="s">
        <v>4202</v>
      </c>
      <c r="E32" s="815" t="s">
        <v>4201</v>
      </c>
      <c r="F32" s="814" t="s">
        <v>4200</v>
      </c>
      <c r="G32" s="813" t="s">
        <v>4199</v>
      </c>
      <c r="H32" s="812" t="s">
        <v>4198</v>
      </c>
      <c r="I32" s="790"/>
      <c r="J32" s="672"/>
      <c r="K32" s="808" t="s">
        <v>4197</v>
      </c>
      <c r="L32" s="811" t="e">
        <f t="shared" ref="L32:Q32" si="5">IF((L30/$Q$30)=0,"",L30/$Q$30)</f>
        <v>#DIV/0!</v>
      </c>
      <c r="M32" s="811" t="e">
        <f t="shared" si="5"/>
        <v>#DIV/0!</v>
      </c>
      <c r="N32" s="811" t="e">
        <f t="shared" si="5"/>
        <v>#DIV/0!</v>
      </c>
      <c r="O32" s="811" t="e">
        <f t="shared" si="5"/>
        <v>#DIV/0!</v>
      </c>
      <c r="P32" s="811" t="e">
        <f t="shared" si="5"/>
        <v>#DIV/0!</v>
      </c>
      <c r="Q32" s="811" t="e">
        <f t="shared" si="5"/>
        <v>#DIV/0!</v>
      </c>
      <c r="R32" s="810" t="e">
        <f>SUMPRODUCT(S11:S29,Q11:Q29)/Q30</f>
        <v>#DIV/0!</v>
      </c>
      <c r="S32" s="672"/>
      <c r="T32" s="672"/>
      <c r="U32" s="789"/>
      <c r="V32" s="672"/>
      <c r="W32" s="672"/>
      <c r="X32" s="672"/>
      <c r="Y32" s="672"/>
      <c r="Z32" s="672"/>
    </row>
    <row r="33" spans="1:26" ht="15.75" customHeight="1">
      <c r="A33" s="672"/>
      <c r="B33" s="804">
        <f>'Unit Mix &amp; Rents'!B17</f>
        <v>0</v>
      </c>
      <c r="C33" s="803">
        <f>'Unit Mix &amp; Rents'!A17</f>
        <v>0</v>
      </c>
      <c r="D33" s="802">
        <f>'Unit Mix &amp; Rents'!D17</f>
        <v>0</v>
      </c>
      <c r="E33" s="801">
        <f>'Unit Mix &amp; Rents'!C17</f>
        <v>0</v>
      </c>
      <c r="F33" s="805"/>
      <c r="G33" s="799">
        <f t="shared" ref="G33:G64" si="6">D33-F33</f>
        <v>0</v>
      </c>
      <c r="H33" s="798" t="e">
        <f t="shared" ref="H33:H64" si="7">F33*E33*$C$19</f>
        <v>#DIV/0!</v>
      </c>
      <c r="I33" s="790"/>
      <c r="J33" s="672"/>
      <c r="K33" s="809"/>
      <c r="L33" s="809"/>
      <c r="M33" s="809"/>
      <c r="N33" s="809"/>
      <c r="O33" s="809"/>
      <c r="P33" s="809"/>
      <c r="Q33" s="809"/>
      <c r="R33" s="809"/>
      <c r="S33" s="672"/>
      <c r="T33" s="672"/>
      <c r="U33" s="789"/>
      <c r="V33" s="672"/>
      <c r="W33" s="672"/>
      <c r="X33" s="672"/>
      <c r="Y33" s="672"/>
      <c r="Z33" s="672"/>
    </row>
    <row r="34" spans="1:26" ht="15.75" customHeight="1">
      <c r="A34" s="672"/>
      <c r="B34" s="804">
        <f>'Unit Mix &amp; Rents'!B18</f>
        <v>0</v>
      </c>
      <c r="C34" s="803">
        <f>'Unit Mix &amp; Rents'!A18</f>
        <v>0</v>
      </c>
      <c r="D34" s="802">
        <f>'Unit Mix &amp; Rents'!D18</f>
        <v>0</v>
      </c>
      <c r="E34" s="801">
        <f>'Unit Mix &amp; Rents'!C18</f>
        <v>0</v>
      </c>
      <c r="F34" s="805"/>
      <c r="G34" s="799">
        <f t="shared" si="6"/>
        <v>0</v>
      </c>
      <c r="H34" s="798" t="e">
        <f t="shared" si="7"/>
        <v>#DIV/0!</v>
      </c>
      <c r="I34" s="790"/>
      <c r="J34" s="672"/>
      <c r="K34" s="809"/>
      <c r="L34" s="809"/>
      <c r="M34" s="809"/>
      <c r="N34" s="809"/>
      <c r="O34" s="809"/>
      <c r="P34" s="809"/>
      <c r="Q34" s="809"/>
      <c r="R34" s="809"/>
      <c r="S34" s="672"/>
      <c r="T34" s="672"/>
      <c r="U34" s="789"/>
      <c r="V34" s="672"/>
      <c r="W34" s="672"/>
      <c r="X34" s="672"/>
      <c r="Y34" s="672"/>
      <c r="Z34" s="672"/>
    </row>
    <row r="35" spans="1:26" ht="15.75" customHeight="1">
      <c r="A35" s="672"/>
      <c r="B35" s="804">
        <f>'Unit Mix &amp; Rents'!B19</f>
        <v>0</v>
      </c>
      <c r="C35" s="803">
        <f>'Unit Mix &amp; Rents'!A19</f>
        <v>0</v>
      </c>
      <c r="D35" s="802">
        <f>'Unit Mix &amp; Rents'!D19</f>
        <v>0</v>
      </c>
      <c r="E35" s="801">
        <f>'Unit Mix &amp; Rents'!C19</f>
        <v>0</v>
      </c>
      <c r="F35" s="805"/>
      <c r="G35" s="799">
        <f t="shared" si="6"/>
        <v>0</v>
      </c>
      <c r="H35" s="798" t="e">
        <f t="shared" si="7"/>
        <v>#DIV/0!</v>
      </c>
      <c r="I35" s="790"/>
      <c r="J35" s="672"/>
      <c r="K35" s="808" t="s">
        <v>4196</v>
      </c>
      <c r="L35" s="808">
        <f>SUM(L12:L29)</f>
        <v>0</v>
      </c>
      <c r="M35" s="808">
        <f>SUM(M12:M29)</f>
        <v>0</v>
      </c>
      <c r="N35" s="808">
        <f>SUM(N12:N29)</f>
        <v>0</v>
      </c>
      <c r="O35" s="808">
        <f>SUM(O12:O29)</f>
        <v>0</v>
      </c>
      <c r="P35" s="808">
        <f>SUM(P12:P29)</f>
        <v>0</v>
      </c>
      <c r="Q35" s="808">
        <f>SUM(L35:P35)</f>
        <v>0</v>
      </c>
      <c r="R35" s="808"/>
      <c r="S35" s="672"/>
      <c r="T35" s="672"/>
      <c r="U35" s="789"/>
      <c r="V35" s="672"/>
      <c r="W35" s="672"/>
      <c r="X35" s="672"/>
      <c r="Y35" s="672"/>
      <c r="Z35" s="672"/>
    </row>
    <row r="36" spans="1:26" ht="15.75" customHeight="1">
      <c r="A36" s="672"/>
      <c r="B36" s="804">
        <f>'Unit Mix &amp; Rents'!B20</f>
        <v>0</v>
      </c>
      <c r="C36" s="803">
        <f>'Unit Mix &amp; Rents'!A20</f>
        <v>0</v>
      </c>
      <c r="D36" s="802">
        <f>'Unit Mix &amp; Rents'!D20</f>
        <v>0</v>
      </c>
      <c r="E36" s="801">
        <f>'Unit Mix &amp; Rents'!C20</f>
        <v>0</v>
      </c>
      <c r="F36" s="805"/>
      <c r="G36" s="799">
        <f t="shared" si="6"/>
        <v>0</v>
      </c>
      <c r="H36" s="798" t="e">
        <f t="shared" si="7"/>
        <v>#DIV/0!</v>
      </c>
      <c r="I36" s="790"/>
      <c r="J36" s="672"/>
      <c r="K36" s="672"/>
      <c r="L36" s="672"/>
      <c r="M36" s="672"/>
      <c r="N36" s="672"/>
      <c r="O36" s="672"/>
      <c r="P36" s="788"/>
      <c r="Q36" s="788"/>
      <c r="R36" s="788"/>
      <c r="S36" s="672"/>
      <c r="T36" s="672"/>
      <c r="U36" s="789"/>
      <c r="V36" s="672"/>
      <c r="W36" s="672"/>
      <c r="X36" s="672"/>
      <c r="Y36" s="672"/>
      <c r="Z36" s="672"/>
    </row>
    <row r="37" spans="1:26" ht="15.75" customHeight="1">
      <c r="A37" s="672"/>
      <c r="B37" s="804">
        <f>'Unit Mix &amp; Rents'!B21</f>
        <v>0</v>
      </c>
      <c r="C37" s="803">
        <f>'Unit Mix &amp; Rents'!A21</f>
        <v>0</v>
      </c>
      <c r="D37" s="802">
        <f>'Unit Mix &amp; Rents'!D21</f>
        <v>0</v>
      </c>
      <c r="E37" s="801">
        <f>'Unit Mix &amp; Rents'!C21</f>
        <v>0</v>
      </c>
      <c r="F37" s="805"/>
      <c r="G37" s="799">
        <f t="shared" si="6"/>
        <v>0</v>
      </c>
      <c r="H37" s="798" t="e">
        <f t="shared" si="7"/>
        <v>#DIV/0!</v>
      </c>
      <c r="I37" s="790"/>
      <c r="J37" s="672"/>
      <c r="K37" s="672"/>
      <c r="L37" s="672"/>
      <c r="M37" s="672"/>
      <c r="N37" s="672"/>
      <c r="O37" s="672"/>
      <c r="P37" s="788"/>
      <c r="Q37" s="788"/>
      <c r="R37" s="788"/>
      <c r="S37" s="672"/>
      <c r="T37" s="672"/>
      <c r="U37" s="789"/>
      <c r="V37" s="672"/>
      <c r="W37" s="672"/>
      <c r="X37" s="672"/>
      <c r="Y37" s="672"/>
      <c r="Z37" s="672"/>
    </row>
    <row r="38" spans="1:26" ht="15.75" customHeight="1">
      <c r="A38" s="672"/>
      <c r="B38" s="804">
        <f>'Unit Mix &amp; Rents'!B22</f>
        <v>0</v>
      </c>
      <c r="C38" s="803">
        <f>'Unit Mix &amp; Rents'!A22</f>
        <v>0</v>
      </c>
      <c r="D38" s="802">
        <f>'Unit Mix &amp; Rents'!D22</f>
        <v>0</v>
      </c>
      <c r="E38" s="801">
        <f>'Unit Mix &amp; Rents'!C22</f>
        <v>0</v>
      </c>
      <c r="F38" s="805"/>
      <c r="G38" s="799">
        <f t="shared" si="6"/>
        <v>0</v>
      </c>
      <c r="H38" s="798" t="e">
        <f t="shared" si="7"/>
        <v>#DIV/0!</v>
      </c>
      <c r="I38" s="790"/>
      <c r="J38" s="672"/>
      <c r="K38" s="672"/>
      <c r="L38" s="672"/>
      <c r="M38" s="672"/>
      <c r="N38" s="672"/>
      <c r="O38" s="788"/>
      <c r="P38" s="788"/>
      <c r="Q38" s="788"/>
      <c r="R38" s="672"/>
      <c r="S38" s="672"/>
      <c r="T38" s="672"/>
      <c r="U38" s="789"/>
      <c r="V38" s="672"/>
      <c r="W38" s="672"/>
      <c r="X38" s="672"/>
      <c r="Y38" s="672"/>
      <c r="Z38" s="672"/>
    </row>
    <row r="39" spans="1:26" ht="15.75" customHeight="1">
      <c r="A39" s="672"/>
      <c r="B39" s="804">
        <f>'Unit Mix &amp; Rents'!B23</f>
        <v>0</v>
      </c>
      <c r="C39" s="803">
        <f>'Unit Mix &amp; Rents'!A23</f>
        <v>0</v>
      </c>
      <c r="D39" s="802">
        <f>'Unit Mix &amp; Rents'!D23</f>
        <v>0</v>
      </c>
      <c r="E39" s="801">
        <f>'Unit Mix &amp; Rents'!C23</f>
        <v>0</v>
      </c>
      <c r="F39" s="805"/>
      <c r="G39" s="799">
        <f t="shared" si="6"/>
        <v>0</v>
      </c>
      <c r="H39" s="798" t="e">
        <f t="shared" si="7"/>
        <v>#DIV/0!</v>
      </c>
      <c r="I39" s="790"/>
      <c r="J39" s="672"/>
      <c r="K39" s="672"/>
      <c r="L39" s="672"/>
      <c r="M39" s="672"/>
      <c r="N39" s="672"/>
      <c r="O39" s="672"/>
      <c r="P39" s="788"/>
      <c r="Q39" s="788"/>
      <c r="R39" s="788"/>
      <c r="S39" s="672"/>
      <c r="T39" s="672"/>
      <c r="U39" s="789"/>
      <c r="V39" s="672"/>
      <c r="W39" s="672"/>
      <c r="X39" s="672"/>
      <c r="Y39" s="672"/>
      <c r="Z39" s="672"/>
    </row>
    <row r="40" spans="1:26" ht="15.75" customHeight="1">
      <c r="A40" s="672"/>
      <c r="B40" s="804">
        <f>'Unit Mix &amp; Rents'!B24</f>
        <v>0</v>
      </c>
      <c r="C40" s="803">
        <f>'Unit Mix &amp; Rents'!A24</f>
        <v>0</v>
      </c>
      <c r="D40" s="802">
        <f>'Unit Mix &amp; Rents'!D24</f>
        <v>0</v>
      </c>
      <c r="E40" s="801">
        <f>'Unit Mix &amp; Rents'!C24</f>
        <v>0</v>
      </c>
      <c r="F40" s="805"/>
      <c r="G40" s="799">
        <f t="shared" si="6"/>
        <v>0</v>
      </c>
      <c r="H40" s="798" t="e">
        <f t="shared" si="7"/>
        <v>#DIV/0!</v>
      </c>
      <c r="I40" s="790"/>
      <c r="J40" s="672"/>
      <c r="K40" s="672"/>
      <c r="L40" s="672"/>
      <c r="M40" s="672"/>
      <c r="N40" s="672"/>
      <c r="O40" s="672"/>
      <c r="P40" s="788"/>
      <c r="Q40" s="788"/>
      <c r="R40" s="788"/>
      <c r="S40" s="672"/>
      <c r="T40" s="672"/>
      <c r="U40" s="789"/>
      <c r="V40" s="672"/>
      <c r="W40" s="672"/>
      <c r="X40" s="672"/>
      <c r="Y40" s="672"/>
      <c r="Z40" s="672"/>
    </row>
    <row r="41" spans="1:26" ht="15.75" customHeight="1">
      <c r="A41" s="672"/>
      <c r="B41" s="804">
        <f>'Unit Mix &amp; Rents'!B25</f>
        <v>0</v>
      </c>
      <c r="C41" s="803">
        <f>'Unit Mix &amp; Rents'!A25</f>
        <v>0</v>
      </c>
      <c r="D41" s="802">
        <f>'Unit Mix &amp; Rents'!D25</f>
        <v>0</v>
      </c>
      <c r="E41" s="801">
        <f>'Unit Mix &amp; Rents'!C25</f>
        <v>0</v>
      </c>
      <c r="F41" s="805"/>
      <c r="G41" s="799">
        <f t="shared" si="6"/>
        <v>0</v>
      </c>
      <c r="H41" s="798" t="e">
        <f t="shared" si="7"/>
        <v>#DIV/0!</v>
      </c>
      <c r="I41" s="790"/>
      <c r="J41" s="672"/>
      <c r="K41" s="672"/>
      <c r="L41" s="672"/>
      <c r="M41" s="672"/>
      <c r="N41" s="672"/>
      <c r="O41" s="672"/>
      <c r="P41" s="788"/>
      <c r="Q41" s="788"/>
      <c r="R41" s="788"/>
      <c r="S41" s="672"/>
      <c r="T41" s="672"/>
      <c r="U41" s="789"/>
      <c r="V41" s="672"/>
      <c r="W41" s="672"/>
      <c r="X41" s="672"/>
      <c r="Y41" s="672"/>
      <c r="Z41" s="672"/>
    </row>
    <row r="42" spans="1:26" ht="15.75" customHeight="1">
      <c r="A42" s="672"/>
      <c r="B42" s="804">
        <f>'Unit Mix &amp; Rents'!B26</f>
        <v>0</v>
      </c>
      <c r="C42" s="803">
        <f>'Unit Mix &amp; Rents'!A26</f>
        <v>0</v>
      </c>
      <c r="D42" s="802">
        <f>'Unit Mix &amp; Rents'!D26</f>
        <v>0</v>
      </c>
      <c r="E42" s="801">
        <f>'Unit Mix &amp; Rents'!C26</f>
        <v>0</v>
      </c>
      <c r="F42" s="805"/>
      <c r="G42" s="799">
        <f t="shared" si="6"/>
        <v>0</v>
      </c>
      <c r="H42" s="798" t="e">
        <f t="shared" si="7"/>
        <v>#DIV/0!</v>
      </c>
      <c r="I42" s="790"/>
      <c r="J42" s="672"/>
      <c r="K42" s="672"/>
      <c r="L42" s="672"/>
      <c r="M42" s="672"/>
      <c r="N42" s="672"/>
      <c r="O42" s="672"/>
      <c r="P42" s="788"/>
      <c r="Q42" s="788"/>
      <c r="R42" s="788"/>
      <c r="S42" s="672"/>
      <c r="T42" s="672"/>
      <c r="U42" s="789"/>
      <c r="V42" s="672"/>
      <c r="W42" s="672"/>
      <c r="X42" s="672"/>
      <c r="Y42" s="672"/>
      <c r="Z42" s="672"/>
    </row>
    <row r="43" spans="1:26" ht="15.75" customHeight="1">
      <c r="A43" s="672"/>
      <c r="B43" s="804">
        <f>'Unit Mix &amp; Rents'!B27</f>
        <v>0</v>
      </c>
      <c r="C43" s="803">
        <f>'Unit Mix &amp; Rents'!A27</f>
        <v>0</v>
      </c>
      <c r="D43" s="802">
        <f>'Unit Mix &amp; Rents'!D27</f>
        <v>0</v>
      </c>
      <c r="E43" s="801">
        <f>'Unit Mix &amp; Rents'!C27</f>
        <v>0</v>
      </c>
      <c r="F43" s="805"/>
      <c r="G43" s="799">
        <f t="shared" si="6"/>
        <v>0</v>
      </c>
      <c r="H43" s="798" t="e">
        <f t="shared" si="7"/>
        <v>#DIV/0!</v>
      </c>
      <c r="I43" s="790"/>
      <c r="J43" s="672"/>
      <c r="K43" s="672"/>
      <c r="L43" s="672"/>
      <c r="M43" s="672"/>
      <c r="N43" s="672"/>
      <c r="O43" s="672"/>
      <c r="P43" s="788"/>
      <c r="Q43" s="788"/>
      <c r="R43" s="788"/>
      <c r="S43" s="672"/>
      <c r="T43" s="672"/>
      <c r="U43" s="789"/>
      <c r="V43" s="672"/>
      <c r="W43" s="672"/>
      <c r="X43" s="672"/>
      <c r="Y43" s="672"/>
      <c r="Z43" s="672"/>
    </row>
    <row r="44" spans="1:26" ht="15.75" customHeight="1">
      <c r="A44" s="672"/>
      <c r="B44" s="804">
        <f>'Unit Mix &amp; Rents'!B28</f>
        <v>0</v>
      </c>
      <c r="C44" s="803">
        <f>'Unit Mix &amp; Rents'!A28</f>
        <v>0</v>
      </c>
      <c r="D44" s="802">
        <f>'Unit Mix &amp; Rents'!D28</f>
        <v>0</v>
      </c>
      <c r="E44" s="801">
        <f>'Unit Mix &amp; Rents'!C28</f>
        <v>0</v>
      </c>
      <c r="F44" s="805"/>
      <c r="G44" s="799">
        <f t="shared" si="6"/>
        <v>0</v>
      </c>
      <c r="H44" s="798" t="e">
        <f t="shared" si="7"/>
        <v>#DIV/0!</v>
      </c>
      <c r="I44" s="790"/>
      <c r="J44" s="672"/>
      <c r="K44" s="672"/>
      <c r="L44" s="672"/>
      <c r="M44" s="672"/>
      <c r="N44" s="672"/>
      <c r="O44" s="672"/>
      <c r="P44" s="788"/>
      <c r="Q44" s="788"/>
      <c r="R44" s="788"/>
      <c r="S44" s="672"/>
      <c r="T44" s="672"/>
      <c r="U44" s="789"/>
      <c r="V44" s="672"/>
      <c r="W44" s="672"/>
      <c r="X44" s="672"/>
      <c r="Y44" s="672"/>
      <c r="Z44" s="672"/>
    </row>
    <row r="45" spans="1:26" ht="15.75" customHeight="1">
      <c r="A45" s="672"/>
      <c r="B45" s="804">
        <f>'Unit Mix &amp; Rents'!B29</f>
        <v>0</v>
      </c>
      <c r="C45" s="803">
        <f>'Unit Mix &amp; Rents'!A29</f>
        <v>0</v>
      </c>
      <c r="D45" s="802">
        <f>'Unit Mix &amp; Rents'!D29</f>
        <v>0</v>
      </c>
      <c r="E45" s="801">
        <f>'Unit Mix &amp; Rents'!C29</f>
        <v>0</v>
      </c>
      <c r="F45" s="805"/>
      <c r="G45" s="799">
        <f t="shared" si="6"/>
        <v>0</v>
      </c>
      <c r="H45" s="798" t="e">
        <f t="shared" si="7"/>
        <v>#DIV/0!</v>
      </c>
      <c r="I45" s="790"/>
      <c r="J45" s="672"/>
      <c r="K45" s="672"/>
      <c r="L45" s="672"/>
      <c r="M45" s="672"/>
      <c r="N45" s="672"/>
      <c r="O45" s="672"/>
      <c r="P45" s="788"/>
      <c r="Q45" s="788"/>
      <c r="R45" s="788"/>
      <c r="S45" s="672"/>
      <c r="T45" s="672"/>
      <c r="U45" s="789"/>
      <c r="V45" s="672"/>
      <c r="W45" s="672"/>
      <c r="X45" s="672"/>
      <c r="Y45" s="672"/>
      <c r="Z45" s="672"/>
    </row>
    <row r="46" spans="1:26" ht="15.75" customHeight="1">
      <c r="A46" s="672"/>
      <c r="B46" s="804">
        <f>'Unit Mix &amp; Rents'!B30</f>
        <v>0</v>
      </c>
      <c r="C46" s="803">
        <f>'Unit Mix &amp; Rents'!A30</f>
        <v>0</v>
      </c>
      <c r="D46" s="802">
        <f>'Unit Mix &amp; Rents'!D30</f>
        <v>0</v>
      </c>
      <c r="E46" s="801">
        <f>'Unit Mix &amp; Rents'!C30</f>
        <v>0</v>
      </c>
      <c r="F46" s="805"/>
      <c r="G46" s="799">
        <f t="shared" si="6"/>
        <v>0</v>
      </c>
      <c r="H46" s="798" t="e">
        <f t="shared" si="7"/>
        <v>#DIV/0!</v>
      </c>
      <c r="I46" s="790"/>
      <c r="J46" s="672"/>
      <c r="K46" s="672"/>
      <c r="L46" s="672"/>
      <c r="M46" s="672"/>
      <c r="N46" s="672"/>
      <c r="O46" s="672"/>
      <c r="P46" s="788"/>
      <c r="Q46" s="788"/>
      <c r="R46" s="788"/>
      <c r="S46" s="672"/>
      <c r="T46" s="672"/>
      <c r="U46" s="789"/>
      <c r="V46" s="672"/>
      <c r="W46" s="672"/>
      <c r="X46" s="672"/>
      <c r="Y46" s="672"/>
      <c r="Z46" s="672"/>
    </row>
    <row r="47" spans="1:26" ht="15.75" customHeight="1">
      <c r="A47" s="672"/>
      <c r="B47" s="804">
        <f>'Unit Mix &amp; Rents'!B31</f>
        <v>0</v>
      </c>
      <c r="C47" s="803">
        <f>'Unit Mix &amp; Rents'!A31</f>
        <v>0</v>
      </c>
      <c r="D47" s="802">
        <f>'Unit Mix &amp; Rents'!D31</f>
        <v>0</v>
      </c>
      <c r="E47" s="801">
        <f>'Unit Mix &amp; Rents'!C31</f>
        <v>0</v>
      </c>
      <c r="F47" s="805"/>
      <c r="G47" s="799">
        <f t="shared" si="6"/>
        <v>0</v>
      </c>
      <c r="H47" s="798" t="e">
        <f t="shared" si="7"/>
        <v>#DIV/0!</v>
      </c>
      <c r="I47" s="790"/>
      <c r="J47" s="672"/>
      <c r="K47" s="672"/>
      <c r="L47" s="672"/>
      <c r="M47" s="672"/>
      <c r="N47" s="672"/>
      <c r="O47" s="672"/>
      <c r="P47" s="788"/>
      <c r="Q47" s="788"/>
      <c r="R47" s="788"/>
      <c r="S47" s="672"/>
      <c r="T47" s="672"/>
      <c r="U47" s="789"/>
      <c r="V47" s="672"/>
      <c r="W47" s="672"/>
      <c r="X47" s="672"/>
      <c r="Y47" s="672"/>
      <c r="Z47" s="672"/>
    </row>
    <row r="48" spans="1:26" ht="15.75" customHeight="1">
      <c r="A48" s="672"/>
      <c r="B48" s="804">
        <f>'Unit Mix &amp; Rents'!B32</f>
        <v>0</v>
      </c>
      <c r="C48" s="803">
        <f>'Unit Mix &amp; Rents'!A32</f>
        <v>0</v>
      </c>
      <c r="D48" s="802">
        <f>'Unit Mix &amp; Rents'!D32</f>
        <v>0</v>
      </c>
      <c r="E48" s="801">
        <f>'Unit Mix &amp; Rents'!C32</f>
        <v>0</v>
      </c>
      <c r="F48" s="805"/>
      <c r="G48" s="799">
        <f t="shared" si="6"/>
        <v>0</v>
      </c>
      <c r="H48" s="798" t="e">
        <f t="shared" si="7"/>
        <v>#DIV/0!</v>
      </c>
      <c r="I48" s="790"/>
      <c r="J48" s="672"/>
      <c r="K48" s="672"/>
      <c r="L48" s="672"/>
      <c r="M48" s="672"/>
      <c r="N48" s="672"/>
      <c r="O48" s="672"/>
      <c r="P48" s="788"/>
      <c r="Q48" s="788"/>
      <c r="R48" s="788"/>
      <c r="S48" s="672"/>
      <c r="T48" s="672"/>
      <c r="U48" s="789"/>
      <c r="V48" s="672"/>
      <c r="W48" s="672"/>
      <c r="X48" s="672"/>
      <c r="Y48" s="672"/>
      <c r="Z48" s="672"/>
    </row>
    <row r="49" spans="1:26" ht="15.75" customHeight="1">
      <c r="A49" s="672"/>
      <c r="B49" s="804">
        <f>'Unit Mix &amp; Rents'!B33</f>
        <v>0</v>
      </c>
      <c r="C49" s="803">
        <f>'Unit Mix &amp; Rents'!A33</f>
        <v>0</v>
      </c>
      <c r="D49" s="802">
        <f>'Unit Mix &amp; Rents'!D33</f>
        <v>0</v>
      </c>
      <c r="E49" s="801">
        <f>'Unit Mix &amp; Rents'!C33</f>
        <v>0</v>
      </c>
      <c r="F49" s="805"/>
      <c r="G49" s="799">
        <f t="shared" si="6"/>
        <v>0</v>
      </c>
      <c r="H49" s="798" t="e">
        <f t="shared" si="7"/>
        <v>#DIV/0!</v>
      </c>
      <c r="I49" s="790"/>
      <c r="J49" s="672"/>
      <c r="K49" s="672"/>
      <c r="L49" s="672"/>
      <c r="M49" s="672"/>
      <c r="N49" s="672"/>
      <c r="O49" s="672"/>
      <c r="P49" s="788"/>
      <c r="Q49" s="788"/>
      <c r="R49" s="788"/>
      <c r="S49" s="672"/>
      <c r="T49" s="672"/>
      <c r="U49" s="789"/>
      <c r="V49" s="672"/>
      <c r="W49" s="672"/>
      <c r="X49" s="672"/>
      <c r="Y49" s="672"/>
      <c r="Z49" s="672"/>
    </row>
    <row r="50" spans="1:26" ht="15.75" customHeight="1">
      <c r="A50" s="672"/>
      <c r="B50" s="804">
        <f>'Unit Mix &amp; Rents'!B34</f>
        <v>0</v>
      </c>
      <c r="C50" s="803">
        <f>'Unit Mix &amp; Rents'!A34</f>
        <v>0</v>
      </c>
      <c r="D50" s="802">
        <f>'Unit Mix &amp; Rents'!D34</f>
        <v>0</v>
      </c>
      <c r="E50" s="801">
        <f>'Unit Mix &amp; Rents'!C34</f>
        <v>0</v>
      </c>
      <c r="F50" s="805"/>
      <c r="G50" s="799">
        <f t="shared" si="6"/>
        <v>0</v>
      </c>
      <c r="H50" s="798" t="e">
        <f t="shared" si="7"/>
        <v>#DIV/0!</v>
      </c>
      <c r="I50" s="790"/>
      <c r="J50" s="672"/>
      <c r="K50" s="672"/>
      <c r="L50" s="672"/>
      <c r="M50" s="672"/>
      <c r="N50" s="672"/>
      <c r="O50" s="672"/>
      <c r="P50" s="788"/>
      <c r="Q50" s="788"/>
      <c r="R50" s="788"/>
      <c r="S50" s="672"/>
      <c r="T50" s="672"/>
      <c r="U50" s="789"/>
      <c r="V50" s="672"/>
      <c r="W50" s="672"/>
      <c r="X50" s="672"/>
      <c r="Y50" s="672"/>
      <c r="Z50" s="672"/>
    </row>
    <row r="51" spans="1:26" ht="15.75" customHeight="1">
      <c r="A51" s="672"/>
      <c r="B51" s="804">
        <f>'Unit Mix &amp; Rents'!B35</f>
        <v>0</v>
      </c>
      <c r="C51" s="803">
        <f>'Unit Mix &amp; Rents'!A35</f>
        <v>0</v>
      </c>
      <c r="D51" s="802">
        <f>'Unit Mix &amp; Rents'!D35</f>
        <v>0</v>
      </c>
      <c r="E51" s="801">
        <f>'Unit Mix &amp; Rents'!C35</f>
        <v>0</v>
      </c>
      <c r="F51" s="805"/>
      <c r="G51" s="799">
        <f t="shared" si="6"/>
        <v>0</v>
      </c>
      <c r="H51" s="798" t="e">
        <f t="shared" si="7"/>
        <v>#DIV/0!</v>
      </c>
      <c r="I51" s="790"/>
      <c r="J51" s="672"/>
      <c r="K51" s="672"/>
      <c r="L51" s="672"/>
      <c r="M51" s="672"/>
      <c r="N51" s="672"/>
      <c r="O51" s="672"/>
      <c r="P51" s="788"/>
      <c r="Q51" s="788"/>
      <c r="R51" s="788"/>
      <c r="S51" s="672"/>
      <c r="T51" s="672"/>
      <c r="U51" s="789"/>
      <c r="V51" s="672"/>
      <c r="W51" s="672"/>
      <c r="X51" s="672"/>
      <c r="Y51" s="672"/>
      <c r="Z51" s="672"/>
    </row>
    <row r="52" spans="1:26" ht="15.75" customHeight="1">
      <c r="A52" s="672"/>
      <c r="B52" s="804">
        <f>'Unit Mix &amp; Rents'!B36</f>
        <v>0</v>
      </c>
      <c r="C52" s="803">
        <f>'Unit Mix &amp; Rents'!A36</f>
        <v>0</v>
      </c>
      <c r="D52" s="802">
        <f>'Unit Mix &amp; Rents'!D36</f>
        <v>0</v>
      </c>
      <c r="E52" s="801">
        <f>'Unit Mix &amp; Rents'!C36</f>
        <v>0</v>
      </c>
      <c r="F52" s="805"/>
      <c r="G52" s="799">
        <f t="shared" si="6"/>
        <v>0</v>
      </c>
      <c r="H52" s="798" t="e">
        <f t="shared" si="7"/>
        <v>#DIV/0!</v>
      </c>
      <c r="I52" s="790"/>
      <c r="J52" s="672"/>
      <c r="K52" s="672"/>
      <c r="L52" s="672"/>
      <c r="M52" s="672"/>
      <c r="N52" s="672"/>
      <c r="O52" s="672"/>
      <c r="P52" s="788"/>
      <c r="Q52" s="788"/>
      <c r="R52" s="788"/>
      <c r="S52" s="672"/>
      <c r="T52" s="672"/>
      <c r="U52" s="789"/>
      <c r="V52" s="672"/>
      <c r="W52" s="672"/>
      <c r="X52" s="672"/>
      <c r="Y52" s="672"/>
      <c r="Z52" s="672"/>
    </row>
    <row r="53" spans="1:26" ht="15.75" customHeight="1">
      <c r="A53" s="672"/>
      <c r="B53" s="804">
        <f>'Unit Mix &amp; Rents'!B37</f>
        <v>0</v>
      </c>
      <c r="C53" s="803">
        <f>'Unit Mix &amp; Rents'!A37</f>
        <v>0</v>
      </c>
      <c r="D53" s="802">
        <f>'Unit Mix &amp; Rents'!D37</f>
        <v>0</v>
      </c>
      <c r="E53" s="801">
        <f>'Unit Mix &amp; Rents'!C37</f>
        <v>0</v>
      </c>
      <c r="F53" s="805"/>
      <c r="G53" s="799">
        <f t="shared" si="6"/>
        <v>0</v>
      </c>
      <c r="H53" s="798" t="e">
        <f t="shared" si="7"/>
        <v>#DIV/0!</v>
      </c>
      <c r="I53" s="790"/>
      <c r="J53" s="672"/>
      <c r="K53" s="672"/>
      <c r="L53" s="672"/>
      <c r="M53" s="672"/>
      <c r="N53" s="672"/>
      <c r="O53" s="672"/>
      <c r="P53" s="788"/>
      <c r="Q53" s="788"/>
      <c r="R53" s="788"/>
      <c r="S53" s="672"/>
      <c r="T53" s="672"/>
      <c r="U53" s="789"/>
      <c r="V53" s="672"/>
      <c r="W53" s="672"/>
      <c r="X53" s="672"/>
      <c r="Y53" s="672"/>
      <c r="Z53" s="672"/>
    </row>
    <row r="54" spans="1:26" ht="15.75" customHeight="1">
      <c r="A54" s="672"/>
      <c r="B54" s="804">
        <f>'Unit Mix &amp; Rents'!B38</f>
        <v>0</v>
      </c>
      <c r="C54" s="803">
        <f>'Unit Mix &amp; Rents'!A38</f>
        <v>0</v>
      </c>
      <c r="D54" s="802">
        <f>'Unit Mix &amp; Rents'!D38</f>
        <v>0</v>
      </c>
      <c r="E54" s="801">
        <f>'Unit Mix &amp; Rents'!C38</f>
        <v>0</v>
      </c>
      <c r="F54" s="805"/>
      <c r="G54" s="799">
        <f t="shared" si="6"/>
        <v>0</v>
      </c>
      <c r="H54" s="798" t="e">
        <f t="shared" si="7"/>
        <v>#DIV/0!</v>
      </c>
      <c r="I54" s="790"/>
      <c r="J54" s="672"/>
      <c r="K54" s="672"/>
      <c r="L54" s="672"/>
      <c r="M54" s="672"/>
      <c r="N54" s="672"/>
      <c r="O54" s="672"/>
      <c r="P54" s="788"/>
      <c r="Q54" s="788"/>
      <c r="R54" s="788"/>
      <c r="S54" s="672"/>
      <c r="T54" s="672"/>
      <c r="U54" s="789"/>
      <c r="V54" s="672"/>
      <c r="W54" s="672"/>
      <c r="X54" s="672"/>
      <c r="Y54" s="672"/>
      <c r="Z54" s="672"/>
    </row>
    <row r="55" spans="1:26" ht="15.75" customHeight="1">
      <c r="A55" s="672"/>
      <c r="B55" s="804">
        <f>'Unit Mix &amp; Rents'!B39</f>
        <v>0</v>
      </c>
      <c r="C55" s="803">
        <f>'Unit Mix &amp; Rents'!A39</f>
        <v>0</v>
      </c>
      <c r="D55" s="802">
        <f>'Unit Mix &amp; Rents'!D39</f>
        <v>0</v>
      </c>
      <c r="E55" s="801">
        <f>'Unit Mix &amp; Rents'!C39</f>
        <v>0</v>
      </c>
      <c r="F55" s="805"/>
      <c r="G55" s="799">
        <f t="shared" si="6"/>
        <v>0</v>
      </c>
      <c r="H55" s="798" t="e">
        <f t="shared" si="7"/>
        <v>#DIV/0!</v>
      </c>
      <c r="I55" s="790"/>
      <c r="J55" s="672"/>
      <c r="K55" s="672"/>
      <c r="L55" s="672"/>
      <c r="M55" s="672"/>
      <c r="N55" s="672"/>
      <c r="O55" s="672"/>
      <c r="P55" s="788"/>
      <c r="Q55" s="788"/>
      <c r="R55" s="788"/>
      <c r="S55" s="672"/>
      <c r="T55" s="672"/>
      <c r="U55" s="789"/>
      <c r="V55" s="672"/>
      <c r="W55" s="672"/>
      <c r="X55" s="672"/>
      <c r="Y55" s="672"/>
      <c r="Z55" s="672"/>
    </row>
    <row r="56" spans="1:26" ht="15.75" customHeight="1">
      <c r="A56" s="672"/>
      <c r="B56" s="804">
        <f>'Unit Mix &amp; Rents'!B40</f>
        <v>0</v>
      </c>
      <c r="C56" s="803">
        <f>'Unit Mix &amp; Rents'!A40</f>
        <v>0</v>
      </c>
      <c r="D56" s="802">
        <f>'Unit Mix &amp; Rents'!D40</f>
        <v>0</v>
      </c>
      <c r="E56" s="801">
        <f>'Unit Mix &amp; Rents'!C40</f>
        <v>0</v>
      </c>
      <c r="F56" s="805"/>
      <c r="G56" s="799">
        <f t="shared" si="6"/>
        <v>0</v>
      </c>
      <c r="H56" s="798" t="e">
        <f t="shared" si="7"/>
        <v>#DIV/0!</v>
      </c>
      <c r="I56" s="790"/>
      <c r="J56" s="672"/>
      <c r="K56" s="672"/>
      <c r="L56" s="672"/>
      <c r="M56" s="672"/>
      <c r="N56" s="672"/>
      <c r="O56" s="672"/>
      <c r="P56" s="788"/>
      <c r="Q56" s="788"/>
      <c r="R56" s="788"/>
      <c r="S56" s="672"/>
      <c r="T56" s="672"/>
      <c r="U56" s="789"/>
      <c r="V56" s="672"/>
      <c r="W56" s="672"/>
      <c r="X56" s="672"/>
      <c r="Y56" s="672"/>
      <c r="Z56" s="672"/>
    </row>
    <row r="57" spans="1:26" ht="15.75" customHeight="1">
      <c r="A57" s="672"/>
      <c r="B57" s="804">
        <f>'Unit Mix &amp; Rents'!B41</f>
        <v>0</v>
      </c>
      <c r="C57" s="803">
        <f>'Unit Mix &amp; Rents'!A41</f>
        <v>0</v>
      </c>
      <c r="D57" s="802">
        <f>'Unit Mix &amp; Rents'!D41</f>
        <v>0</v>
      </c>
      <c r="E57" s="801">
        <f>'Unit Mix &amp; Rents'!C41</f>
        <v>0</v>
      </c>
      <c r="F57" s="805"/>
      <c r="G57" s="799">
        <f t="shared" si="6"/>
        <v>0</v>
      </c>
      <c r="H57" s="798" t="e">
        <f t="shared" si="7"/>
        <v>#DIV/0!</v>
      </c>
      <c r="I57" s="790"/>
      <c r="J57" s="788"/>
      <c r="K57" s="672"/>
      <c r="L57" s="672"/>
      <c r="M57" s="672"/>
      <c r="N57" s="672"/>
      <c r="O57" s="672"/>
      <c r="P57" s="788"/>
      <c r="Q57" s="788"/>
      <c r="R57" s="788"/>
      <c r="S57" s="672"/>
      <c r="T57" s="672"/>
      <c r="U57" s="789"/>
      <c r="V57" s="672"/>
      <c r="W57" s="672"/>
      <c r="X57" s="672"/>
      <c r="Y57" s="672"/>
      <c r="Z57" s="672"/>
    </row>
    <row r="58" spans="1:26" ht="15.75" customHeight="1">
      <c r="A58" s="672"/>
      <c r="B58" s="804">
        <f>'Unit Mix &amp; Rents'!B42</f>
        <v>0</v>
      </c>
      <c r="C58" s="803">
        <f>'Unit Mix &amp; Rents'!A42</f>
        <v>0</v>
      </c>
      <c r="D58" s="802">
        <f>'Unit Mix &amp; Rents'!D42</f>
        <v>0</v>
      </c>
      <c r="E58" s="801">
        <f>'Unit Mix &amp; Rents'!C42</f>
        <v>0</v>
      </c>
      <c r="F58" s="805"/>
      <c r="G58" s="799">
        <f t="shared" si="6"/>
        <v>0</v>
      </c>
      <c r="H58" s="798" t="e">
        <f t="shared" si="7"/>
        <v>#DIV/0!</v>
      </c>
      <c r="I58" s="807"/>
      <c r="J58" s="791"/>
      <c r="K58" s="672"/>
      <c r="L58" s="672"/>
      <c r="M58" s="672"/>
      <c r="N58" s="672"/>
      <c r="O58" s="672"/>
      <c r="P58" s="788"/>
      <c r="Q58" s="788"/>
      <c r="R58" s="788"/>
      <c r="S58" s="672"/>
      <c r="T58" s="672"/>
      <c r="U58" s="789"/>
      <c r="V58" s="672"/>
      <c r="W58" s="672"/>
      <c r="X58" s="672"/>
      <c r="Y58" s="672"/>
      <c r="Z58" s="672"/>
    </row>
    <row r="59" spans="1:26" ht="15.75" customHeight="1">
      <c r="A59" s="672"/>
      <c r="B59" s="804">
        <f>'Unit Mix &amp; Rents'!B43</f>
        <v>0</v>
      </c>
      <c r="C59" s="803">
        <f>'Unit Mix &amp; Rents'!A43</f>
        <v>0</v>
      </c>
      <c r="D59" s="802">
        <f>'Unit Mix &amp; Rents'!D43</f>
        <v>0</v>
      </c>
      <c r="E59" s="801">
        <f>'Unit Mix &amp; Rents'!C43</f>
        <v>0</v>
      </c>
      <c r="F59" s="805"/>
      <c r="G59" s="799">
        <f t="shared" si="6"/>
        <v>0</v>
      </c>
      <c r="H59" s="798" t="e">
        <f t="shared" si="7"/>
        <v>#DIV/0!</v>
      </c>
      <c r="I59" s="806"/>
      <c r="J59" s="791"/>
      <c r="K59" s="672"/>
      <c r="L59" s="672"/>
      <c r="M59" s="672"/>
      <c r="N59" s="672"/>
      <c r="O59" s="672"/>
      <c r="P59" s="788"/>
      <c r="Q59" s="788"/>
      <c r="R59" s="788"/>
      <c r="S59" s="672"/>
      <c r="T59" s="672"/>
      <c r="U59" s="789"/>
      <c r="V59" s="672"/>
      <c r="W59" s="672"/>
      <c r="X59" s="672"/>
      <c r="Y59" s="672"/>
      <c r="Z59" s="672"/>
    </row>
    <row r="60" spans="1:26" ht="15.75" customHeight="1">
      <c r="A60" s="672"/>
      <c r="B60" s="804">
        <f>'Unit Mix &amp; Rents'!B44</f>
        <v>0</v>
      </c>
      <c r="C60" s="803">
        <f>'Unit Mix &amp; Rents'!A44</f>
        <v>0</v>
      </c>
      <c r="D60" s="802">
        <f>'Unit Mix &amp; Rents'!D44</f>
        <v>0</v>
      </c>
      <c r="E60" s="801">
        <f>'Unit Mix &amp; Rents'!C44</f>
        <v>0</v>
      </c>
      <c r="F60" s="805"/>
      <c r="G60" s="799">
        <f t="shared" si="6"/>
        <v>0</v>
      </c>
      <c r="H60" s="798" t="e">
        <f t="shared" si="7"/>
        <v>#DIV/0!</v>
      </c>
      <c r="I60" s="806"/>
      <c r="J60" s="791"/>
      <c r="K60" s="672"/>
      <c r="L60" s="672"/>
      <c r="M60" s="672"/>
      <c r="N60" s="672"/>
      <c r="O60" s="672"/>
      <c r="P60" s="788"/>
      <c r="Q60" s="788"/>
      <c r="R60" s="788"/>
      <c r="S60" s="672"/>
      <c r="T60" s="672"/>
      <c r="U60" s="789"/>
      <c r="V60" s="672"/>
      <c r="W60" s="672"/>
      <c r="X60" s="672"/>
      <c r="Y60" s="672"/>
      <c r="Z60" s="672"/>
    </row>
    <row r="61" spans="1:26" ht="15.75" customHeight="1">
      <c r="A61" s="672"/>
      <c r="B61" s="804">
        <f>'Unit Mix &amp; Rents'!B45</f>
        <v>0</v>
      </c>
      <c r="C61" s="803">
        <f>'Unit Mix &amp; Rents'!A45</f>
        <v>0</v>
      </c>
      <c r="D61" s="802">
        <f>'Unit Mix &amp; Rents'!D45</f>
        <v>0</v>
      </c>
      <c r="E61" s="801">
        <f>'Unit Mix &amp; Rents'!C45</f>
        <v>0</v>
      </c>
      <c r="F61" s="805"/>
      <c r="G61" s="799">
        <f t="shared" si="6"/>
        <v>0</v>
      </c>
      <c r="H61" s="798" t="e">
        <f t="shared" si="7"/>
        <v>#DIV/0!</v>
      </c>
      <c r="I61" s="806"/>
      <c r="J61" s="791"/>
      <c r="K61" s="672"/>
      <c r="L61" s="672"/>
      <c r="M61" s="672"/>
      <c r="N61" s="672"/>
      <c r="O61" s="672"/>
      <c r="P61" s="788"/>
      <c r="Q61" s="788"/>
      <c r="R61" s="788"/>
      <c r="S61" s="672"/>
      <c r="T61" s="672"/>
      <c r="U61" s="789"/>
      <c r="V61" s="672"/>
      <c r="W61" s="672"/>
      <c r="X61" s="672"/>
      <c r="Y61" s="672"/>
      <c r="Z61" s="672"/>
    </row>
    <row r="62" spans="1:26" ht="15.75" customHeight="1">
      <c r="A62" s="672"/>
      <c r="B62" s="804">
        <f>'Unit Mix &amp; Rents'!B46</f>
        <v>0</v>
      </c>
      <c r="C62" s="803">
        <f>'Unit Mix &amp; Rents'!A46</f>
        <v>0</v>
      </c>
      <c r="D62" s="802">
        <f>'Unit Mix &amp; Rents'!D46</f>
        <v>0</v>
      </c>
      <c r="E62" s="801">
        <f>'Unit Mix &amp; Rents'!C46</f>
        <v>0</v>
      </c>
      <c r="F62" s="805"/>
      <c r="G62" s="799">
        <f t="shared" si="6"/>
        <v>0</v>
      </c>
      <c r="H62" s="798" t="e">
        <f t="shared" si="7"/>
        <v>#DIV/0!</v>
      </c>
      <c r="I62" s="806"/>
      <c r="J62" s="791"/>
      <c r="K62" s="672"/>
      <c r="L62" s="672"/>
      <c r="M62" s="672"/>
      <c r="N62" s="672"/>
      <c r="O62" s="672"/>
      <c r="P62" s="788"/>
      <c r="Q62" s="788"/>
      <c r="R62" s="788"/>
      <c r="S62" s="672"/>
      <c r="T62" s="672"/>
      <c r="U62" s="789"/>
      <c r="V62" s="672"/>
      <c r="W62" s="672"/>
      <c r="X62" s="672"/>
      <c r="Y62" s="672"/>
      <c r="Z62" s="672"/>
    </row>
    <row r="63" spans="1:26" ht="15.75" customHeight="1">
      <c r="A63" s="672"/>
      <c r="B63" s="804">
        <f>'Unit Mix &amp; Rents'!B47</f>
        <v>0</v>
      </c>
      <c r="C63" s="803">
        <f>'Unit Mix &amp; Rents'!A47</f>
        <v>0</v>
      </c>
      <c r="D63" s="802">
        <f>'Unit Mix &amp; Rents'!D47</f>
        <v>0</v>
      </c>
      <c r="E63" s="801">
        <f>'Unit Mix &amp; Rents'!C47</f>
        <v>0</v>
      </c>
      <c r="F63" s="805"/>
      <c r="G63" s="799">
        <f t="shared" si="6"/>
        <v>0</v>
      </c>
      <c r="H63" s="798" t="e">
        <f t="shared" si="7"/>
        <v>#DIV/0!</v>
      </c>
      <c r="I63" s="790"/>
      <c r="J63" s="788"/>
      <c r="K63" s="672"/>
      <c r="L63" s="672"/>
      <c r="M63" s="672"/>
      <c r="N63" s="672"/>
      <c r="O63" s="672"/>
      <c r="P63" s="788"/>
      <c r="Q63" s="788"/>
      <c r="R63" s="788"/>
      <c r="S63" s="672"/>
      <c r="T63" s="672"/>
      <c r="U63" s="789"/>
      <c r="V63" s="672"/>
      <c r="W63" s="672"/>
      <c r="X63" s="672"/>
      <c r="Y63" s="672"/>
      <c r="Z63" s="672"/>
    </row>
    <row r="64" spans="1:26" ht="15.75" customHeight="1">
      <c r="A64" s="672"/>
      <c r="B64" s="804">
        <f>'Unit Mix &amp; Rents'!B48</f>
        <v>0</v>
      </c>
      <c r="C64" s="803">
        <f>'Unit Mix &amp; Rents'!A48</f>
        <v>0</v>
      </c>
      <c r="D64" s="802">
        <f>'Unit Mix &amp; Rents'!D48</f>
        <v>0</v>
      </c>
      <c r="E64" s="801">
        <f>'Unit Mix &amp; Rents'!C48</f>
        <v>0</v>
      </c>
      <c r="F64" s="805"/>
      <c r="G64" s="799">
        <f t="shared" si="6"/>
        <v>0</v>
      </c>
      <c r="H64" s="798" t="e">
        <f t="shared" si="7"/>
        <v>#DIV/0!</v>
      </c>
      <c r="I64" s="790"/>
      <c r="J64" s="788"/>
      <c r="K64" s="672"/>
      <c r="L64" s="672"/>
      <c r="M64" s="672"/>
      <c r="N64" s="672"/>
      <c r="O64" s="672"/>
      <c r="P64" s="788"/>
      <c r="Q64" s="788"/>
      <c r="R64" s="788"/>
      <c r="S64" s="672"/>
      <c r="T64" s="672"/>
      <c r="U64" s="789"/>
      <c r="V64" s="672"/>
      <c r="W64" s="672"/>
      <c r="X64" s="672"/>
      <c r="Y64" s="672"/>
      <c r="Z64" s="672"/>
    </row>
    <row r="65" spans="1:26" ht="15.75" customHeight="1">
      <c r="A65" s="672"/>
      <c r="B65" s="804">
        <f>'Unit Mix &amp; Rents'!B49</f>
        <v>0</v>
      </c>
      <c r="C65" s="803">
        <f>'Unit Mix &amp; Rents'!A49</f>
        <v>0</v>
      </c>
      <c r="D65" s="802">
        <f>'Unit Mix &amp; Rents'!D49</f>
        <v>0</v>
      </c>
      <c r="E65" s="801">
        <f>'Unit Mix &amp; Rents'!C49</f>
        <v>0</v>
      </c>
      <c r="F65" s="800"/>
      <c r="G65" s="799">
        <f t="shared" ref="G65:G92" si="8">D65-F65</f>
        <v>0</v>
      </c>
      <c r="H65" s="798" t="e">
        <f t="shared" ref="H65:H92" si="9">F65*E65*$C$19</f>
        <v>#DIV/0!</v>
      </c>
      <c r="I65" s="790"/>
      <c r="J65" s="788"/>
      <c r="K65" s="672"/>
      <c r="L65" s="672"/>
      <c r="M65" s="672"/>
      <c r="N65" s="672"/>
      <c r="O65" s="672"/>
      <c r="P65" s="788"/>
      <c r="Q65" s="788"/>
      <c r="R65" s="788"/>
      <c r="S65" s="672"/>
      <c r="T65" s="672"/>
      <c r="U65" s="789"/>
      <c r="V65" s="672"/>
      <c r="W65" s="672"/>
      <c r="X65" s="672"/>
      <c r="Y65" s="672"/>
      <c r="Z65" s="672"/>
    </row>
    <row r="66" spans="1:26" ht="15.75" customHeight="1">
      <c r="A66" s="672"/>
      <c r="B66" s="804">
        <f>'Unit Mix &amp; Rents'!B50</f>
        <v>0</v>
      </c>
      <c r="C66" s="803">
        <f>'Unit Mix &amp; Rents'!A50</f>
        <v>0</v>
      </c>
      <c r="D66" s="802">
        <f>'Unit Mix &amp; Rents'!D50</f>
        <v>0</v>
      </c>
      <c r="E66" s="801">
        <f>'Unit Mix &amp; Rents'!C50</f>
        <v>0</v>
      </c>
      <c r="F66" s="800"/>
      <c r="G66" s="799">
        <f t="shared" si="8"/>
        <v>0</v>
      </c>
      <c r="H66" s="798" t="e">
        <f t="shared" si="9"/>
        <v>#DIV/0!</v>
      </c>
      <c r="I66" s="790"/>
      <c r="J66" s="788"/>
      <c r="K66" s="672"/>
      <c r="L66" s="672"/>
      <c r="M66" s="672"/>
      <c r="N66" s="672"/>
      <c r="O66" s="672"/>
      <c r="P66" s="788"/>
      <c r="Q66" s="788"/>
      <c r="R66" s="788"/>
      <c r="S66" s="672"/>
      <c r="T66" s="672"/>
      <c r="U66" s="789"/>
      <c r="V66" s="672"/>
      <c r="W66" s="672"/>
      <c r="X66" s="672"/>
      <c r="Y66" s="672"/>
      <c r="Z66" s="672"/>
    </row>
    <row r="67" spans="1:26" ht="15.75" customHeight="1">
      <c r="A67" s="672"/>
      <c r="B67" s="804">
        <f>'Unit Mix &amp; Rents'!B51</f>
        <v>0</v>
      </c>
      <c r="C67" s="803">
        <f>'Unit Mix &amp; Rents'!A51</f>
        <v>0</v>
      </c>
      <c r="D67" s="802">
        <f>'Unit Mix &amp; Rents'!D51</f>
        <v>0</v>
      </c>
      <c r="E67" s="801">
        <f>'Unit Mix &amp; Rents'!C51</f>
        <v>0</v>
      </c>
      <c r="F67" s="800"/>
      <c r="G67" s="799">
        <f t="shared" si="8"/>
        <v>0</v>
      </c>
      <c r="H67" s="798" t="e">
        <f t="shared" si="9"/>
        <v>#DIV/0!</v>
      </c>
      <c r="I67" s="790"/>
      <c r="J67" s="788"/>
      <c r="K67" s="672"/>
      <c r="L67" s="672"/>
      <c r="M67" s="672"/>
      <c r="N67" s="672"/>
      <c r="O67" s="672"/>
      <c r="P67" s="788"/>
      <c r="Q67" s="788"/>
      <c r="R67" s="788"/>
      <c r="S67" s="672"/>
      <c r="T67" s="672"/>
      <c r="U67" s="789"/>
      <c r="V67" s="672"/>
      <c r="W67" s="672"/>
      <c r="X67" s="672"/>
      <c r="Y67" s="672"/>
      <c r="Z67" s="672"/>
    </row>
    <row r="68" spans="1:26" ht="15.75" customHeight="1">
      <c r="A68" s="672"/>
      <c r="B68" s="804">
        <f>'Unit Mix &amp; Rents'!B52</f>
        <v>0</v>
      </c>
      <c r="C68" s="803">
        <f>'Unit Mix &amp; Rents'!A52</f>
        <v>0</v>
      </c>
      <c r="D68" s="802">
        <f>'Unit Mix &amp; Rents'!D52</f>
        <v>0</v>
      </c>
      <c r="E68" s="801">
        <f>'Unit Mix &amp; Rents'!C52</f>
        <v>0</v>
      </c>
      <c r="F68" s="800"/>
      <c r="G68" s="799">
        <f t="shared" si="8"/>
        <v>0</v>
      </c>
      <c r="H68" s="798" t="e">
        <f t="shared" si="9"/>
        <v>#DIV/0!</v>
      </c>
      <c r="I68" s="790"/>
      <c r="J68" s="788"/>
      <c r="K68" s="672"/>
      <c r="L68" s="672"/>
      <c r="M68" s="672"/>
      <c r="N68" s="672"/>
      <c r="O68" s="672"/>
      <c r="P68" s="788"/>
      <c r="Q68" s="788"/>
      <c r="R68" s="788"/>
      <c r="S68" s="672"/>
      <c r="T68" s="672"/>
      <c r="U68" s="789"/>
      <c r="V68" s="672"/>
      <c r="W68" s="672"/>
      <c r="X68" s="672"/>
      <c r="Y68" s="672"/>
      <c r="Z68" s="672"/>
    </row>
    <row r="69" spans="1:26" ht="15.75" customHeight="1">
      <c r="A69" s="672"/>
      <c r="B69" s="804">
        <f>'Unit Mix &amp; Rents'!B53</f>
        <v>0</v>
      </c>
      <c r="C69" s="803">
        <f>'Unit Mix &amp; Rents'!A53</f>
        <v>0</v>
      </c>
      <c r="D69" s="802">
        <f>'Unit Mix &amp; Rents'!D53</f>
        <v>0</v>
      </c>
      <c r="E69" s="801">
        <f>'Unit Mix &amp; Rents'!C53</f>
        <v>0</v>
      </c>
      <c r="F69" s="800"/>
      <c r="G69" s="799">
        <f t="shared" si="8"/>
        <v>0</v>
      </c>
      <c r="H69" s="798" t="e">
        <f t="shared" si="9"/>
        <v>#DIV/0!</v>
      </c>
      <c r="I69" s="790"/>
      <c r="J69" s="788"/>
      <c r="K69" s="672"/>
      <c r="L69" s="672"/>
      <c r="M69" s="672"/>
      <c r="N69" s="672"/>
      <c r="O69" s="672"/>
      <c r="P69" s="788"/>
      <c r="Q69" s="788"/>
      <c r="R69" s="788"/>
      <c r="S69" s="672"/>
      <c r="T69" s="672"/>
      <c r="U69" s="789"/>
      <c r="V69" s="672"/>
      <c r="W69" s="672"/>
      <c r="X69" s="672"/>
      <c r="Y69" s="672"/>
      <c r="Z69" s="672"/>
    </row>
    <row r="70" spans="1:26" ht="15.75" customHeight="1">
      <c r="A70" s="672"/>
      <c r="B70" s="804">
        <f>'Unit Mix &amp; Rents'!B54</f>
        <v>0</v>
      </c>
      <c r="C70" s="803">
        <f>'Unit Mix &amp; Rents'!A54</f>
        <v>0</v>
      </c>
      <c r="D70" s="802">
        <f>'Unit Mix &amp; Rents'!D54</f>
        <v>0</v>
      </c>
      <c r="E70" s="801">
        <f>'Unit Mix &amp; Rents'!C54</f>
        <v>0</v>
      </c>
      <c r="F70" s="800"/>
      <c r="G70" s="799">
        <f t="shared" si="8"/>
        <v>0</v>
      </c>
      <c r="H70" s="798" t="e">
        <f t="shared" si="9"/>
        <v>#DIV/0!</v>
      </c>
      <c r="I70" s="790"/>
      <c r="J70" s="788"/>
      <c r="K70" s="672"/>
      <c r="L70" s="672"/>
      <c r="M70" s="672"/>
      <c r="N70" s="672"/>
      <c r="O70" s="672"/>
      <c r="P70" s="788"/>
      <c r="Q70" s="788"/>
      <c r="R70" s="788"/>
      <c r="S70" s="672"/>
      <c r="T70" s="672"/>
      <c r="U70" s="789"/>
      <c r="V70" s="672"/>
      <c r="W70" s="672"/>
      <c r="X70" s="672"/>
      <c r="Y70" s="672"/>
      <c r="Z70" s="672"/>
    </row>
    <row r="71" spans="1:26" ht="15.75" customHeight="1">
      <c r="A71" s="672"/>
      <c r="B71" s="804">
        <f>'Unit Mix &amp; Rents'!B55</f>
        <v>0</v>
      </c>
      <c r="C71" s="803">
        <f>'Unit Mix &amp; Rents'!A55</f>
        <v>0</v>
      </c>
      <c r="D71" s="802">
        <f>'Unit Mix &amp; Rents'!D55</f>
        <v>0</v>
      </c>
      <c r="E71" s="801">
        <f>'Unit Mix &amp; Rents'!C55</f>
        <v>0</v>
      </c>
      <c r="F71" s="800"/>
      <c r="G71" s="799">
        <f t="shared" si="8"/>
        <v>0</v>
      </c>
      <c r="H71" s="798" t="e">
        <f t="shared" si="9"/>
        <v>#DIV/0!</v>
      </c>
      <c r="I71" s="790"/>
      <c r="J71" s="788"/>
      <c r="K71" s="672"/>
      <c r="L71" s="672"/>
      <c r="M71" s="672"/>
      <c r="N71" s="672"/>
      <c r="O71" s="672"/>
      <c r="P71" s="788"/>
      <c r="Q71" s="788"/>
      <c r="R71" s="788"/>
      <c r="S71" s="672"/>
      <c r="T71" s="672"/>
      <c r="U71" s="789"/>
      <c r="V71" s="672"/>
      <c r="W71" s="672"/>
      <c r="X71" s="672"/>
      <c r="Y71" s="672"/>
      <c r="Z71" s="672"/>
    </row>
    <row r="72" spans="1:26" ht="15.75" customHeight="1">
      <c r="A72" s="672"/>
      <c r="B72" s="804">
        <f>'Unit Mix &amp; Rents'!B56</f>
        <v>0</v>
      </c>
      <c r="C72" s="803">
        <f>'Unit Mix &amp; Rents'!A56</f>
        <v>0</v>
      </c>
      <c r="D72" s="802">
        <f>'Unit Mix &amp; Rents'!D56</f>
        <v>0</v>
      </c>
      <c r="E72" s="801">
        <f>'Unit Mix &amp; Rents'!C56</f>
        <v>0</v>
      </c>
      <c r="F72" s="800"/>
      <c r="G72" s="799">
        <f t="shared" si="8"/>
        <v>0</v>
      </c>
      <c r="H72" s="798" t="e">
        <f t="shared" si="9"/>
        <v>#DIV/0!</v>
      </c>
      <c r="I72" s="790"/>
      <c r="J72" s="788"/>
      <c r="K72" s="672"/>
      <c r="L72" s="672"/>
      <c r="M72" s="672"/>
      <c r="N72" s="672"/>
      <c r="O72" s="672"/>
      <c r="P72" s="788"/>
      <c r="Q72" s="788"/>
      <c r="R72" s="788"/>
      <c r="S72" s="672"/>
      <c r="T72" s="672"/>
      <c r="U72" s="789"/>
      <c r="V72" s="672"/>
      <c r="W72" s="672"/>
      <c r="X72" s="672"/>
      <c r="Y72" s="672"/>
      <c r="Z72" s="672"/>
    </row>
    <row r="73" spans="1:26" ht="15.75" customHeight="1">
      <c r="A73" s="672"/>
      <c r="B73" s="804">
        <f>'Unit Mix &amp; Rents'!B57</f>
        <v>0</v>
      </c>
      <c r="C73" s="803">
        <f>'Unit Mix &amp; Rents'!A57</f>
        <v>0</v>
      </c>
      <c r="D73" s="802">
        <f>'Unit Mix &amp; Rents'!D57</f>
        <v>0</v>
      </c>
      <c r="E73" s="801">
        <f>'Unit Mix &amp; Rents'!C57</f>
        <v>0</v>
      </c>
      <c r="F73" s="800"/>
      <c r="G73" s="799">
        <f t="shared" si="8"/>
        <v>0</v>
      </c>
      <c r="H73" s="798" t="e">
        <f t="shared" si="9"/>
        <v>#DIV/0!</v>
      </c>
      <c r="I73" s="790"/>
      <c r="J73" s="788"/>
      <c r="K73" s="672"/>
      <c r="L73" s="672"/>
      <c r="M73" s="672"/>
      <c r="N73" s="672"/>
      <c r="O73" s="672"/>
      <c r="P73" s="788"/>
      <c r="Q73" s="788"/>
      <c r="R73" s="788"/>
      <c r="S73" s="672"/>
      <c r="T73" s="672"/>
      <c r="U73" s="789"/>
      <c r="V73" s="672"/>
      <c r="W73" s="672"/>
      <c r="X73" s="672"/>
      <c r="Y73" s="672"/>
      <c r="Z73" s="672"/>
    </row>
    <row r="74" spans="1:26" ht="15.75" customHeight="1">
      <c r="A74" s="672"/>
      <c r="B74" s="804">
        <f>'Unit Mix &amp; Rents'!B58</f>
        <v>0</v>
      </c>
      <c r="C74" s="803">
        <f>'Unit Mix &amp; Rents'!A58</f>
        <v>0</v>
      </c>
      <c r="D74" s="802">
        <f>'Unit Mix &amp; Rents'!D58</f>
        <v>0</v>
      </c>
      <c r="E74" s="801">
        <f>'Unit Mix &amp; Rents'!C58</f>
        <v>0</v>
      </c>
      <c r="F74" s="800"/>
      <c r="G74" s="799">
        <f t="shared" si="8"/>
        <v>0</v>
      </c>
      <c r="H74" s="798" t="e">
        <f t="shared" si="9"/>
        <v>#DIV/0!</v>
      </c>
      <c r="I74" s="790"/>
      <c r="J74" s="788"/>
      <c r="K74" s="672"/>
      <c r="L74" s="672"/>
      <c r="M74" s="672"/>
      <c r="N74" s="672"/>
      <c r="O74" s="672"/>
      <c r="P74" s="788"/>
      <c r="Q74" s="788"/>
      <c r="R74" s="788"/>
      <c r="S74" s="672"/>
      <c r="T74" s="672"/>
      <c r="U74" s="789"/>
      <c r="V74" s="672"/>
      <c r="W74" s="672"/>
      <c r="X74" s="672"/>
      <c r="Y74" s="672"/>
      <c r="Z74" s="672"/>
    </row>
    <row r="75" spans="1:26" ht="15.75" customHeight="1">
      <c r="A75" s="672"/>
      <c r="B75" s="804">
        <f>'Unit Mix &amp; Rents'!B59</f>
        <v>0</v>
      </c>
      <c r="C75" s="803">
        <f>'Unit Mix &amp; Rents'!A59</f>
        <v>0</v>
      </c>
      <c r="D75" s="802">
        <f>'Unit Mix &amp; Rents'!D59</f>
        <v>0</v>
      </c>
      <c r="E75" s="801">
        <f>'Unit Mix &amp; Rents'!C59</f>
        <v>0</v>
      </c>
      <c r="F75" s="800"/>
      <c r="G75" s="799">
        <f t="shared" si="8"/>
        <v>0</v>
      </c>
      <c r="H75" s="798" t="e">
        <f t="shared" si="9"/>
        <v>#DIV/0!</v>
      </c>
      <c r="I75" s="790"/>
      <c r="J75" s="788"/>
      <c r="K75" s="672"/>
      <c r="L75" s="672"/>
      <c r="M75" s="672"/>
      <c r="N75" s="672"/>
      <c r="O75" s="672"/>
      <c r="P75" s="788"/>
      <c r="Q75" s="788"/>
      <c r="R75" s="788"/>
      <c r="S75" s="672"/>
      <c r="T75" s="672"/>
      <c r="U75" s="789"/>
      <c r="V75" s="672"/>
      <c r="W75" s="672"/>
      <c r="X75" s="672"/>
      <c r="Y75" s="672"/>
      <c r="Z75" s="672"/>
    </row>
    <row r="76" spans="1:26" ht="15.75" customHeight="1">
      <c r="A76" s="672"/>
      <c r="B76" s="804">
        <f>'Unit Mix &amp; Rents'!B60</f>
        <v>0</v>
      </c>
      <c r="C76" s="803">
        <f>'Unit Mix &amp; Rents'!A60</f>
        <v>0</v>
      </c>
      <c r="D76" s="802">
        <f>'Unit Mix &amp; Rents'!D60</f>
        <v>0</v>
      </c>
      <c r="E76" s="801">
        <f>'Unit Mix &amp; Rents'!C60</f>
        <v>0</v>
      </c>
      <c r="F76" s="800"/>
      <c r="G76" s="799">
        <f t="shared" si="8"/>
        <v>0</v>
      </c>
      <c r="H76" s="798" t="e">
        <f t="shared" si="9"/>
        <v>#DIV/0!</v>
      </c>
      <c r="I76" s="790"/>
      <c r="J76" s="788"/>
      <c r="K76" s="672"/>
      <c r="L76" s="672"/>
      <c r="M76" s="672"/>
      <c r="N76" s="672"/>
      <c r="O76" s="672"/>
      <c r="P76" s="788"/>
      <c r="Q76" s="788"/>
      <c r="R76" s="788"/>
      <c r="S76" s="672"/>
      <c r="T76" s="672"/>
      <c r="U76" s="789"/>
      <c r="V76" s="672"/>
      <c r="W76" s="672"/>
      <c r="X76" s="672"/>
      <c r="Y76" s="672"/>
      <c r="Z76" s="672"/>
    </row>
    <row r="77" spans="1:26" ht="15.75" customHeight="1">
      <c r="A77" s="672"/>
      <c r="B77" s="804">
        <f>'Unit Mix &amp; Rents'!B61</f>
        <v>0</v>
      </c>
      <c r="C77" s="803">
        <f>'Unit Mix &amp; Rents'!A61</f>
        <v>0</v>
      </c>
      <c r="D77" s="802">
        <f>'Unit Mix &amp; Rents'!D61</f>
        <v>0</v>
      </c>
      <c r="E77" s="801">
        <f>'Unit Mix &amp; Rents'!C61</f>
        <v>0</v>
      </c>
      <c r="F77" s="800"/>
      <c r="G77" s="799">
        <f t="shared" si="8"/>
        <v>0</v>
      </c>
      <c r="H77" s="798" t="e">
        <f t="shared" si="9"/>
        <v>#DIV/0!</v>
      </c>
      <c r="I77" s="790"/>
      <c r="J77" s="788"/>
      <c r="K77" s="672"/>
      <c r="L77" s="672"/>
      <c r="M77" s="672"/>
      <c r="N77" s="672"/>
      <c r="O77" s="672"/>
      <c r="P77" s="788"/>
      <c r="Q77" s="788"/>
      <c r="R77" s="788"/>
      <c r="S77" s="672"/>
      <c r="T77" s="672"/>
      <c r="U77" s="789"/>
      <c r="V77" s="672"/>
      <c r="W77" s="672"/>
      <c r="X77" s="672"/>
      <c r="Y77" s="672"/>
      <c r="Z77" s="672"/>
    </row>
    <row r="78" spans="1:26" ht="15.75" customHeight="1">
      <c r="A78" s="672"/>
      <c r="B78" s="804">
        <f>'Unit Mix &amp; Rents'!B62</f>
        <v>0</v>
      </c>
      <c r="C78" s="803">
        <f>'Unit Mix &amp; Rents'!A62</f>
        <v>0</v>
      </c>
      <c r="D78" s="802">
        <f>'Unit Mix &amp; Rents'!D62</f>
        <v>0</v>
      </c>
      <c r="E78" s="801">
        <f>'Unit Mix &amp; Rents'!C62</f>
        <v>0</v>
      </c>
      <c r="F78" s="800"/>
      <c r="G78" s="799">
        <f t="shared" si="8"/>
        <v>0</v>
      </c>
      <c r="H78" s="798" t="e">
        <f t="shared" si="9"/>
        <v>#DIV/0!</v>
      </c>
      <c r="I78" s="790"/>
      <c r="J78" s="788"/>
      <c r="K78" s="672"/>
      <c r="L78" s="672"/>
      <c r="M78" s="672"/>
      <c r="N78" s="672"/>
      <c r="O78" s="672"/>
      <c r="P78" s="788"/>
      <c r="Q78" s="788"/>
      <c r="R78" s="788"/>
      <c r="S78" s="672"/>
      <c r="T78" s="672"/>
      <c r="U78" s="789"/>
      <c r="V78" s="672"/>
      <c r="W78" s="672"/>
      <c r="X78" s="672"/>
      <c r="Y78" s="672"/>
      <c r="Z78" s="672"/>
    </row>
    <row r="79" spans="1:26" ht="15.75" customHeight="1">
      <c r="A79" s="672"/>
      <c r="B79" s="804">
        <f>'Unit Mix &amp; Rents'!B63</f>
        <v>0</v>
      </c>
      <c r="C79" s="803">
        <f>'Unit Mix &amp; Rents'!A63</f>
        <v>0</v>
      </c>
      <c r="D79" s="802">
        <f>'Unit Mix &amp; Rents'!D63</f>
        <v>0</v>
      </c>
      <c r="E79" s="801">
        <f>'Unit Mix &amp; Rents'!C63</f>
        <v>0</v>
      </c>
      <c r="F79" s="800"/>
      <c r="G79" s="799">
        <f t="shared" si="8"/>
        <v>0</v>
      </c>
      <c r="H79" s="798" t="e">
        <f t="shared" si="9"/>
        <v>#DIV/0!</v>
      </c>
      <c r="I79" s="790"/>
      <c r="J79" s="788"/>
      <c r="K79" s="672"/>
      <c r="L79" s="672"/>
      <c r="M79" s="672"/>
      <c r="N79" s="672"/>
      <c r="O79" s="672"/>
      <c r="P79" s="788"/>
      <c r="Q79" s="788"/>
      <c r="R79" s="788"/>
      <c r="S79" s="672"/>
      <c r="T79" s="672"/>
      <c r="U79" s="789"/>
      <c r="V79" s="672"/>
      <c r="W79" s="672"/>
      <c r="X79" s="672"/>
      <c r="Y79" s="672"/>
      <c r="Z79" s="672"/>
    </row>
    <row r="80" spans="1:26" ht="15.75" customHeight="1">
      <c r="A80" s="672"/>
      <c r="B80" s="804">
        <f>'Unit Mix &amp; Rents'!B64</f>
        <v>0</v>
      </c>
      <c r="C80" s="803">
        <f>'Unit Mix &amp; Rents'!A64</f>
        <v>0</v>
      </c>
      <c r="D80" s="802">
        <f>'Unit Mix &amp; Rents'!D64</f>
        <v>0</v>
      </c>
      <c r="E80" s="801">
        <f>'Unit Mix &amp; Rents'!C64</f>
        <v>0</v>
      </c>
      <c r="F80" s="800"/>
      <c r="G80" s="799">
        <f t="shared" si="8"/>
        <v>0</v>
      </c>
      <c r="H80" s="798" t="e">
        <f t="shared" si="9"/>
        <v>#DIV/0!</v>
      </c>
      <c r="I80" s="790"/>
      <c r="J80" s="788"/>
      <c r="K80" s="672"/>
      <c r="L80" s="672"/>
      <c r="M80" s="672"/>
      <c r="N80" s="672"/>
      <c r="O80" s="672"/>
      <c r="P80" s="788"/>
      <c r="Q80" s="788"/>
      <c r="R80" s="788"/>
      <c r="S80" s="672"/>
      <c r="T80" s="672"/>
      <c r="U80" s="789"/>
      <c r="V80" s="672"/>
      <c r="W80" s="672"/>
      <c r="X80" s="672"/>
      <c r="Y80" s="672"/>
      <c r="Z80" s="672"/>
    </row>
    <row r="81" spans="1:26" ht="15.75" customHeight="1">
      <c r="A81" s="672"/>
      <c r="B81" s="804">
        <f>'Unit Mix &amp; Rents'!B65</f>
        <v>0</v>
      </c>
      <c r="C81" s="803">
        <f>'Unit Mix &amp; Rents'!A65</f>
        <v>0</v>
      </c>
      <c r="D81" s="802">
        <f>'Unit Mix &amp; Rents'!D65</f>
        <v>0</v>
      </c>
      <c r="E81" s="801">
        <f>'Unit Mix &amp; Rents'!C65</f>
        <v>0</v>
      </c>
      <c r="F81" s="800"/>
      <c r="G81" s="799">
        <f t="shared" si="8"/>
        <v>0</v>
      </c>
      <c r="H81" s="798" t="e">
        <f t="shared" si="9"/>
        <v>#DIV/0!</v>
      </c>
      <c r="I81" s="790"/>
      <c r="J81" s="788"/>
      <c r="K81" s="672"/>
      <c r="L81" s="672"/>
      <c r="M81" s="672"/>
      <c r="N81" s="672"/>
      <c r="O81" s="672"/>
      <c r="P81" s="788"/>
      <c r="Q81" s="788"/>
      <c r="R81" s="788"/>
      <c r="S81" s="672"/>
      <c r="T81" s="672"/>
      <c r="U81" s="789"/>
      <c r="V81" s="672"/>
      <c r="W81" s="672"/>
      <c r="X81" s="672"/>
      <c r="Y81" s="672"/>
      <c r="Z81" s="672"/>
    </row>
    <row r="82" spans="1:26" ht="15.75" customHeight="1">
      <c r="A82" s="672"/>
      <c r="B82" s="804">
        <f>'Unit Mix &amp; Rents'!B66</f>
        <v>0</v>
      </c>
      <c r="C82" s="803">
        <f>'Unit Mix &amp; Rents'!A66</f>
        <v>0</v>
      </c>
      <c r="D82" s="802">
        <f>'Unit Mix &amp; Rents'!D66</f>
        <v>0</v>
      </c>
      <c r="E82" s="801">
        <f>'Unit Mix &amp; Rents'!C66</f>
        <v>0</v>
      </c>
      <c r="F82" s="800"/>
      <c r="G82" s="799">
        <f t="shared" si="8"/>
        <v>0</v>
      </c>
      <c r="H82" s="798" t="e">
        <f t="shared" si="9"/>
        <v>#DIV/0!</v>
      </c>
      <c r="I82" s="790"/>
      <c r="J82" s="788"/>
      <c r="K82" s="672"/>
      <c r="L82" s="672"/>
      <c r="M82" s="672"/>
      <c r="N82" s="672"/>
      <c r="O82" s="672"/>
      <c r="P82" s="788"/>
      <c r="Q82" s="788"/>
      <c r="R82" s="788"/>
      <c r="S82" s="672"/>
      <c r="T82" s="672"/>
      <c r="U82" s="789"/>
      <c r="V82" s="672"/>
      <c r="W82" s="672"/>
      <c r="X82" s="672"/>
      <c r="Y82" s="672"/>
      <c r="Z82" s="672"/>
    </row>
    <row r="83" spans="1:26" ht="15.75" customHeight="1">
      <c r="A83" s="672"/>
      <c r="B83" s="804">
        <f>'Unit Mix &amp; Rents'!B67</f>
        <v>0</v>
      </c>
      <c r="C83" s="803">
        <f>'Unit Mix &amp; Rents'!A67</f>
        <v>0</v>
      </c>
      <c r="D83" s="802">
        <f>'Unit Mix &amp; Rents'!D67</f>
        <v>0</v>
      </c>
      <c r="E83" s="801">
        <f>'Unit Mix &amp; Rents'!C67</f>
        <v>0</v>
      </c>
      <c r="F83" s="800"/>
      <c r="G83" s="799">
        <f t="shared" si="8"/>
        <v>0</v>
      </c>
      <c r="H83" s="798" t="e">
        <f t="shared" si="9"/>
        <v>#DIV/0!</v>
      </c>
      <c r="I83" s="790"/>
      <c r="J83" s="788"/>
      <c r="K83" s="672"/>
      <c r="L83" s="672"/>
      <c r="M83" s="672"/>
      <c r="N83" s="672"/>
      <c r="O83" s="672"/>
      <c r="P83" s="788"/>
      <c r="Q83" s="788"/>
      <c r="R83" s="788"/>
      <c r="S83" s="672"/>
      <c r="T83" s="672"/>
      <c r="U83" s="789"/>
      <c r="V83" s="672"/>
      <c r="W83" s="672"/>
      <c r="X83" s="672"/>
      <c r="Y83" s="672"/>
      <c r="Z83" s="672"/>
    </row>
    <row r="84" spans="1:26" ht="15.75" customHeight="1">
      <c r="A84" s="672"/>
      <c r="B84" s="804">
        <f>'Unit Mix &amp; Rents'!B68</f>
        <v>0</v>
      </c>
      <c r="C84" s="803">
        <f>'Unit Mix &amp; Rents'!A68</f>
        <v>0</v>
      </c>
      <c r="D84" s="802">
        <f>'Unit Mix &amp; Rents'!D68</f>
        <v>0</v>
      </c>
      <c r="E84" s="801">
        <f>'Unit Mix &amp; Rents'!C68</f>
        <v>0</v>
      </c>
      <c r="F84" s="800"/>
      <c r="G84" s="799">
        <f t="shared" si="8"/>
        <v>0</v>
      </c>
      <c r="H84" s="798" t="e">
        <f t="shared" si="9"/>
        <v>#DIV/0!</v>
      </c>
      <c r="I84" s="790"/>
      <c r="J84" s="788"/>
      <c r="K84" s="672"/>
      <c r="L84" s="672"/>
      <c r="M84" s="672"/>
      <c r="N84" s="672"/>
      <c r="O84" s="672"/>
      <c r="P84" s="788"/>
      <c r="Q84" s="788"/>
      <c r="R84" s="788"/>
      <c r="S84" s="672"/>
      <c r="T84" s="672"/>
      <c r="U84" s="789"/>
      <c r="V84" s="672"/>
      <c r="W84" s="672"/>
      <c r="X84" s="672"/>
      <c r="Y84" s="672"/>
      <c r="Z84" s="672"/>
    </row>
    <row r="85" spans="1:26" ht="15.75" customHeight="1">
      <c r="A85" s="672"/>
      <c r="B85" s="804">
        <f>'Unit Mix &amp; Rents'!B69</f>
        <v>0</v>
      </c>
      <c r="C85" s="803">
        <f>'Unit Mix &amp; Rents'!A69</f>
        <v>0</v>
      </c>
      <c r="D85" s="802">
        <f>'Unit Mix &amp; Rents'!D69</f>
        <v>0</v>
      </c>
      <c r="E85" s="801">
        <f>'Unit Mix &amp; Rents'!C69</f>
        <v>0</v>
      </c>
      <c r="F85" s="800"/>
      <c r="G85" s="799">
        <f t="shared" si="8"/>
        <v>0</v>
      </c>
      <c r="H85" s="798" t="e">
        <f t="shared" si="9"/>
        <v>#DIV/0!</v>
      </c>
      <c r="I85" s="790"/>
      <c r="J85" s="788"/>
      <c r="K85" s="672"/>
      <c r="L85" s="672"/>
      <c r="M85" s="672"/>
      <c r="N85" s="672"/>
      <c r="O85" s="672"/>
      <c r="P85" s="788"/>
      <c r="Q85" s="788"/>
      <c r="R85" s="788"/>
      <c r="S85" s="672"/>
      <c r="T85" s="672"/>
      <c r="U85" s="789"/>
      <c r="V85" s="672"/>
      <c r="W85" s="672"/>
      <c r="X85" s="672"/>
      <c r="Y85" s="672"/>
      <c r="Z85" s="672"/>
    </row>
    <row r="86" spans="1:26" ht="15.75" customHeight="1">
      <c r="A86" s="672"/>
      <c r="B86" s="804">
        <f>'Unit Mix &amp; Rents'!B70</f>
        <v>0</v>
      </c>
      <c r="C86" s="803">
        <f>'Unit Mix &amp; Rents'!A70</f>
        <v>0</v>
      </c>
      <c r="D86" s="802">
        <f>'Unit Mix &amp; Rents'!D70</f>
        <v>0</v>
      </c>
      <c r="E86" s="801">
        <f>'Unit Mix &amp; Rents'!C70</f>
        <v>0</v>
      </c>
      <c r="F86" s="800"/>
      <c r="G86" s="799">
        <f t="shared" si="8"/>
        <v>0</v>
      </c>
      <c r="H86" s="798" t="e">
        <f t="shared" si="9"/>
        <v>#DIV/0!</v>
      </c>
      <c r="I86" s="790"/>
      <c r="J86" s="788"/>
      <c r="K86" s="672"/>
      <c r="L86" s="672"/>
      <c r="M86" s="672"/>
      <c r="N86" s="672"/>
      <c r="O86" s="672"/>
      <c r="P86" s="788"/>
      <c r="Q86" s="788"/>
      <c r="R86" s="788"/>
      <c r="S86" s="672"/>
      <c r="T86" s="672"/>
      <c r="U86" s="789"/>
      <c r="V86" s="672"/>
      <c r="W86" s="672"/>
      <c r="X86" s="672"/>
      <c r="Y86" s="672"/>
      <c r="Z86" s="672"/>
    </row>
    <row r="87" spans="1:26" ht="15.75" customHeight="1">
      <c r="A87" s="672"/>
      <c r="B87" s="804">
        <f>'Unit Mix &amp; Rents'!B71</f>
        <v>0</v>
      </c>
      <c r="C87" s="803">
        <f>'Unit Mix &amp; Rents'!A71</f>
        <v>0</v>
      </c>
      <c r="D87" s="802">
        <f>'Unit Mix &amp; Rents'!D71</f>
        <v>0</v>
      </c>
      <c r="E87" s="801">
        <f>'Unit Mix &amp; Rents'!C71</f>
        <v>0</v>
      </c>
      <c r="F87" s="800"/>
      <c r="G87" s="799">
        <f t="shared" si="8"/>
        <v>0</v>
      </c>
      <c r="H87" s="798" t="e">
        <f t="shared" si="9"/>
        <v>#DIV/0!</v>
      </c>
      <c r="I87" s="790"/>
      <c r="J87" s="788"/>
      <c r="K87" s="672"/>
      <c r="L87" s="672"/>
      <c r="M87" s="672"/>
      <c r="N87" s="672"/>
      <c r="O87" s="672"/>
      <c r="P87" s="788"/>
      <c r="Q87" s="788"/>
      <c r="R87" s="788"/>
      <c r="S87" s="672"/>
      <c r="T87" s="672"/>
      <c r="U87" s="789"/>
      <c r="V87" s="672"/>
      <c r="W87" s="672"/>
      <c r="X87" s="672"/>
      <c r="Y87" s="672"/>
      <c r="Z87" s="672"/>
    </row>
    <row r="88" spans="1:26" ht="15.75" customHeight="1">
      <c r="A88" s="672"/>
      <c r="B88" s="804">
        <f>'Unit Mix &amp; Rents'!B72</f>
        <v>0</v>
      </c>
      <c r="C88" s="803">
        <f>'Unit Mix &amp; Rents'!A72</f>
        <v>0</v>
      </c>
      <c r="D88" s="802">
        <f>'Unit Mix &amp; Rents'!D72</f>
        <v>0</v>
      </c>
      <c r="E88" s="801">
        <f>'Unit Mix &amp; Rents'!C72</f>
        <v>0</v>
      </c>
      <c r="F88" s="800"/>
      <c r="G88" s="799">
        <f t="shared" si="8"/>
        <v>0</v>
      </c>
      <c r="H88" s="798" t="e">
        <f t="shared" si="9"/>
        <v>#DIV/0!</v>
      </c>
      <c r="I88" s="790"/>
      <c r="J88" s="788"/>
      <c r="K88" s="672"/>
      <c r="L88" s="672"/>
      <c r="M88" s="672"/>
      <c r="N88" s="672"/>
      <c r="O88" s="672"/>
      <c r="P88" s="788"/>
      <c r="Q88" s="788"/>
      <c r="R88" s="788"/>
      <c r="S88" s="672"/>
      <c r="T88" s="672"/>
      <c r="U88" s="789"/>
      <c r="V88" s="672"/>
      <c r="W88" s="672"/>
      <c r="X88" s="672"/>
      <c r="Y88" s="672"/>
      <c r="Z88" s="672"/>
    </row>
    <row r="89" spans="1:26" ht="15.75" customHeight="1">
      <c r="A89" s="672"/>
      <c r="B89" s="804">
        <f>'Unit Mix &amp; Rents'!B73</f>
        <v>0</v>
      </c>
      <c r="C89" s="803">
        <f>'Unit Mix &amp; Rents'!A73</f>
        <v>0</v>
      </c>
      <c r="D89" s="802">
        <f>'Unit Mix &amp; Rents'!D73</f>
        <v>0</v>
      </c>
      <c r="E89" s="801">
        <f>'Unit Mix &amp; Rents'!C73</f>
        <v>0</v>
      </c>
      <c r="F89" s="800"/>
      <c r="G89" s="799">
        <f t="shared" si="8"/>
        <v>0</v>
      </c>
      <c r="H89" s="798" t="e">
        <f t="shared" si="9"/>
        <v>#DIV/0!</v>
      </c>
      <c r="I89" s="790"/>
      <c r="J89" s="788"/>
      <c r="K89" s="672"/>
      <c r="L89" s="672"/>
      <c r="M89" s="672"/>
      <c r="N89" s="672"/>
      <c r="O89" s="672"/>
      <c r="P89" s="788"/>
      <c r="Q89" s="788"/>
      <c r="R89" s="788"/>
      <c r="S89" s="672"/>
      <c r="T89" s="672"/>
      <c r="U89" s="789"/>
      <c r="V89" s="672"/>
      <c r="W89" s="672"/>
      <c r="X89" s="672"/>
      <c r="Y89" s="672"/>
      <c r="Z89" s="672"/>
    </row>
    <row r="90" spans="1:26" ht="15.75" customHeight="1">
      <c r="A90" s="672"/>
      <c r="B90" s="804">
        <f>'Unit Mix &amp; Rents'!B74</f>
        <v>0</v>
      </c>
      <c r="C90" s="803">
        <f>'Unit Mix &amp; Rents'!A74</f>
        <v>0</v>
      </c>
      <c r="D90" s="802">
        <f>'Unit Mix &amp; Rents'!D74</f>
        <v>0</v>
      </c>
      <c r="E90" s="801">
        <f>'Unit Mix &amp; Rents'!C74</f>
        <v>0</v>
      </c>
      <c r="F90" s="800"/>
      <c r="G90" s="799">
        <f t="shared" si="8"/>
        <v>0</v>
      </c>
      <c r="H90" s="798" t="e">
        <f t="shared" si="9"/>
        <v>#DIV/0!</v>
      </c>
      <c r="I90" s="790"/>
      <c r="J90" s="788"/>
      <c r="K90" s="672"/>
      <c r="L90" s="672"/>
      <c r="M90" s="672"/>
      <c r="N90" s="672"/>
      <c r="O90" s="672"/>
      <c r="P90" s="788"/>
      <c r="Q90" s="788"/>
      <c r="R90" s="788"/>
      <c r="S90" s="672"/>
      <c r="T90" s="672"/>
      <c r="U90" s="789"/>
      <c r="V90" s="672"/>
      <c r="W90" s="672"/>
      <c r="X90" s="672"/>
      <c r="Y90" s="672"/>
      <c r="Z90" s="672"/>
    </row>
    <row r="91" spans="1:26" ht="15.75" customHeight="1">
      <c r="A91" s="672"/>
      <c r="B91" s="804">
        <f>'Unit Mix &amp; Rents'!B75</f>
        <v>0</v>
      </c>
      <c r="C91" s="803">
        <f>'Unit Mix &amp; Rents'!A75</f>
        <v>0</v>
      </c>
      <c r="D91" s="802">
        <f>'Unit Mix &amp; Rents'!D75</f>
        <v>0</v>
      </c>
      <c r="E91" s="801">
        <f>'Unit Mix &amp; Rents'!C75</f>
        <v>0</v>
      </c>
      <c r="F91" s="800"/>
      <c r="G91" s="799">
        <f t="shared" si="8"/>
        <v>0</v>
      </c>
      <c r="H91" s="798" t="e">
        <f t="shared" si="9"/>
        <v>#DIV/0!</v>
      </c>
      <c r="I91" s="790"/>
      <c r="J91" s="788"/>
      <c r="K91" s="672"/>
      <c r="L91" s="672"/>
      <c r="M91" s="672"/>
      <c r="N91" s="672"/>
      <c r="O91" s="672"/>
      <c r="P91" s="788"/>
      <c r="Q91" s="788"/>
      <c r="R91" s="788"/>
      <c r="S91" s="672"/>
      <c r="T91" s="672"/>
      <c r="U91" s="789"/>
      <c r="V91" s="672"/>
      <c r="W91" s="672"/>
      <c r="X91" s="672"/>
      <c r="Y91" s="672"/>
      <c r="Z91" s="672"/>
    </row>
    <row r="92" spans="1:26" ht="15.75" customHeight="1">
      <c r="A92" s="672"/>
      <c r="B92" s="804">
        <f>'Unit Mix &amp; Rents'!B76</f>
        <v>0</v>
      </c>
      <c r="C92" s="803">
        <f>'Unit Mix &amp; Rents'!A76</f>
        <v>0</v>
      </c>
      <c r="D92" s="802">
        <f>'Unit Mix &amp; Rents'!D76</f>
        <v>0</v>
      </c>
      <c r="E92" s="801">
        <f>'Unit Mix &amp; Rents'!C76</f>
        <v>0</v>
      </c>
      <c r="F92" s="800"/>
      <c r="G92" s="799">
        <f t="shared" si="8"/>
        <v>0</v>
      </c>
      <c r="H92" s="798" t="e">
        <f t="shared" si="9"/>
        <v>#DIV/0!</v>
      </c>
      <c r="I92" s="790"/>
      <c r="J92" s="788"/>
      <c r="K92" s="672"/>
      <c r="L92" s="672"/>
      <c r="M92" s="672"/>
      <c r="N92" s="672"/>
      <c r="O92" s="672"/>
      <c r="P92" s="788"/>
      <c r="Q92" s="788"/>
      <c r="R92" s="788"/>
      <c r="S92" s="672"/>
      <c r="T92" s="672"/>
      <c r="U92" s="789"/>
      <c r="V92" s="672"/>
      <c r="W92" s="672"/>
      <c r="X92" s="672"/>
      <c r="Y92" s="672"/>
      <c r="Z92" s="672"/>
    </row>
    <row r="93" spans="1:26" ht="15.75" customHeight="1" thickBot="1">
      <c r="A93" s="672"/>
      <c r="B93" s="797" t="s">
        <v>4195</v>
      </c>
      <c r="C93" s="795"/>
      <c r="D93" s="796">
        <f>SUM(D33:D92)</f>
        <v>0</v>
      </c>
      <c r="E93" s="795"/>
      <c r="F93" s="794">
        <f>SUM(F33:F92)</f>
        <v>0</v>
      </c>
      <c r="G93" s="793"/>
      <c r="H93" s="792" t="e">
        <f>SUM(H33:H92)</f>
        <v>#DIV/0!</v>
      </c>
      <c r="I93" s="790"/>
      <c r="J93" s="788"/>
      <c r="K93" s="788"/>
      <c r="L93" s="788"/>
      <c r="M93" s="788"/>
      <c r="N93" s="788"/>
      <c r="O93" s="788"/>
      <c r="P93" s="788"/>
      <c r="Q93" s="788"/>
      <c r="R93" s="788"/>
      <c r="S93" s="672"/>
      <c r="T93" s="672"/>
      <c r="U93" s="789"/>
      <c r="V93" s="672"/>
      <c r="W93" s="672"/>
      <c r="X93" s="672"/>
      <c r="Y93" s="672"/>
      <c r="Z93" s="672"/>
    </row>
    <row r="94" spans="1:26" ht="15.75" customHeight="1">
      <c r="A94" s="789"/>
      <c r="B94" s="790"/>
      <c r="C94" s="790"/>
      <c r="D94" s="790"/>
      <c r="E94" s="790"/>
      <c r="F94" s="790"/>
      <c r="G94" s="790"/>
      <c r="H94" s="790"/>
      <c r="I94" s="790"/>
      <c r="J94" s="790"/>
      <c r="K94" s="791"/>
      <c r="L94" s="788"/>
      <c r="M94" s="788"/>
      <c r="N94" s="788"/>
      <c r="O94" s="788"/>
      <c r="P94" s="788"/>
      <c r="Q94" s="788"/>
      <c r="R94" s="788"/>
      <c r="S94" s="672"/>
      <c r="T94" s="789"/>
      <c r="U94" s="789"/>
      <c r="V94" s="672"/>
      <c r="W94" s="672"/>
      <c r="X94" s="672"/>
      <c r="Y94" s="672"/>
      <c r="Z94" s="672"/>
    </row>
    <row r="95" spans="1:26" ht="12.75" customHeight="1">
      <c r="A95" s="672"/>
      <c r="B95" s="788"/>
      <c r="C95" s="788"/>
      <c r="D95" s="788"/>
      <c r="E95" s="788"/>
      <c r="F95" s="788"/>
      <c r="G95" s="788"/>
      <c r="H95" s="788"/>
      <c r="I95" s="788"/>
      <c r="J95" s="788"/>
      <c r="K95" s="791"/>
      <c r="L95" s="788"/>
      <c r="M95" s="788"/>
      <c r="N95" s="788"/>
      <c r="O95" s="788"/>
      <c r="P95" s="788"/>
      <c r="Q95" s="788"/>
      <c r="R95" s="788"/>
      <c r="S95" s="672"/>
      <c r="T95" s="672"/>
      <c r="U95" s="672"/>
      <c r="V95" s="672"/>
      <c r="W95" s="672"/>
      <c r="X95" s="672"/>
      <c r="Y95" s="672"/>
      <c r="Z95" s="672"/>
    </row>
    <row r="96" spans="1:26" ht="12.75" customHeight="1">
      <c r="A96" s="672"/>
      <c r="B96" s="788"/>
      <c r="C96" s="788"/>
      <c r="D96" s="788"/>
      <c r="E96" s="788"/>
      <c r="F96" s="788"/>
      <c r="G96" s="788"/>
      <c r="H96" s="788"/>
      <c r="I96" s="788"/>
      <c r="J96" s="788"/>
      <c r="K96" s="790"/>
      <c r="L96" s="790"/>
      <c r="M96" s="790"/>
      <c r="N96" s="790"/>
      <c r="O96" s="790"/>
      <c r="P96" s="790"/>
      <c r="Q96" s="790"/>
      <c r="R96" s="789"/>
      <c r="S96" s="789"/>
      <c r="T96" s="672"/>
      <c r="U96" s="672"/>
      <c r="V96" s="672"/>
      <c r="W96" s="672"/>
      <c r="X96" s="672"/>
      <c r="Y96" s="672"/>
      <c r="Z96" s="672"/>
    </row>
    <row r="97" spans="1:26" ht="12.75" customHeight="1">
      <c r="A97" s="672"/>
      <c r="B97" s="788"/>
      <c r="C97" s="788"/>
      <c r="D97" s="788"/>
      <c r="E97" s="788"/>
      <c r="F97" s="788"/>
      <c r="G97" s="788"/>
      <c r="H97" s="788"/>
      <c r="I97" s="788"/>
      <c r="J97" s="788"/>
      <c r="K97" s="788"/>
      <c r="L97" s="788"/>
      <c r="M97" s="788"/>
      <c r="N97" s="788"/>
      <c r="O97" s="788"/>
      <c r="P97" s="788"/>
      <c r="Q97" s="788"/>
      <c r="R97" s="672"/>
      <c r="S97" s="672"/>
      <c r="T97" s="672"/>
      <c r="U97" s="672"/>
      <c r="V97" s="672"/>
      <c r="W97" s="672"/>
      <c r="X97" s="672"/>
      <c r="Y97" s="672"/>
      <c r="Z97" s="672"/>
    </row>
    <row r="98" spans="1:26" ht="12.75" customHeight="1">
      <c r="A98" s="672"/>
      <c r="B98" s="788"/>
      <c r="C98" s="788"/>
      <c r="D98" s="788"/>
      <c r="E98" s="788"/>
      <c r="F98" s="788"/>
      <c r="G98" s="788"/>
      <c r="H98" s="788"/>
      <c r="I98" s="788"/>
      <c r="J98" s="788"/>
      <c r="K98" s="788"/>
      <c r="L98" s="788"/>
      <c r="M98" s="788"/>
      <c r="N98" s="788"/>
      <c r="O98" s="788"/>
      <c r="P98" s="788"/>
      <c r="Q98" s="788"/>
      <c r="R98" s="672"/>
      <c r="S98" s="672"/>
      <c r="T98" s="672"/>
      <c r="U98" s="672"/>
      <c r="V98" s="672"/>
      <c r="W98" s="672"/>
      <c r="X98" s="672"/>
      <c r="Y98" s="672"/>
      <c r="Z98" s="672"/>
    </row>
    <row r="99" spans="1:26" ht="12.75" customHeight="1">
      <c r="A99" s="672"/>
      <c r="B99" s="788"/>
      <c r="C99" s="788"/>
      <c r="D99" s="788"/>
      <c r="E99" s="788"/>
      <c r="F99" s="788"/>
      <c r="G99" s="788"/>
      <c r="H99" s="788"/>
      <c r="I99" s="788"/>
      <c r="J99" s="788"/>
      <c r="K99" s="788"/>
      <c r="L99" s="788"/>
      <c r="M99" s="788"/>
      <c r="N99" s="788"/>
      <c r="O99" s="788"/>
      <c r="P99" s="788"/>
      <c r="Q99" s="788"/>
      <c r="R99" s="672"/>
      <c r="S99" s="672"/>
      <c r="T99" s="672"/>
      <c r="U99" s="672"/>
      <c r="V99" s="672"/>
      <c r="W99" s="672"/>
      <c r="X99" s="672"/>
      <c r="Y99" s="672"/>
      <c r="Z99" s="672"/>
    </row>
    <row r="100" spans="1:26" ht="12.75" customHeight="1">
      <c r="A100" s="672"/>
      <c r="B100" s="788"/>
      <c r="C100" s="788"/>
      <c r="D100" s="788"/>
      <c r="E100" s="788"/>
      <c r="F100" s="788"/>
      <c r="G100" s="788"/>
      <c r="H100" s="788"/>
      <c r="I100" s="788"/>
      <c r="J100" s="788"/>
      <c r="K100" s="788"/>
      <c r="L100" s="788"/>
      <c r="M100" s="788"/>
      <c r="N100" s="788"/>
      <c r="O100" s="788"/>
      <c r="P100" s="788"/>
      <c r="Q100" s="788"/>
      <c r="R100" s="672"/>
      <c r="S100" s="672"/>
      <c r="T100" s="672"/>
      <c r="U100" s="672"/>
      <c r="V100" s="672"/>
      <c r="W100" s="672"/>
      <c r="X100" s="672"/>
      <c r="Y100" s="672"/>
      <c r="Z100" s="672"/>
    </row>
    <row r="101" spans="1:26" ht="12.75" customHeight="1">
      <c r="A101" s="672"/>
      <c r="B101" s="788"/>
      <c r="C101" s="788"/>
      <c r="D101" s="788"/>
      <c r="E101" s="788"/>
      <c r="F101" s="788"/>
      <c r="G101" s="788"/>
      <c r="H101" s="788"/>
      <c r="I101" s="788"/>
      <c r="J101" s="788"/>
      <c r="K101" s="788"/>
      <c r="L101" s="788"/>
      <c r="M101" s="788"/>
      <c r="N101" s="788"/>
      <c r="O101" s="788"/>
      <c r="P101" s="788"/>
      <c r="Q101" s="788"/>
      <c r="R101" s="672"/>
      <c r="S101" s="672"/>
      <c r="T101" s="672"/>
      <c r="U101" s="672"/>
      <c r="V101" s="672"/>
      <c r="W101" s="672"/>
      <c r="X101" s="672"/>
      <c r="Y101" s="672"/>
      <c r="Z101" s="672"/>
    </row>
    <row r="102" spans="1:26" ht="12.75" customHeight="1">
      <c r="A102" s="672"/>
      <c r="B102" s="788"/>
      <c r="C102" s="788"/>
      <c r="D102" s="788"/>
      <c r="E102" s="788"/>
      <c r="F102" s="788"/>
      <c r="G102" s="788"/>
      <c r="H102" s="788"/>
      <c r="I102" s="788"/>
      <c r="J102" s="788"/>
      <c r="K102" s="788"/>
      <c r="L102" s="788"/>
      <c r="M102" s="788"/>
      <c r="N102" s="788"/>
      <c r="O102" s="788"/>
      <c r="P102" s="788"/>
      <c r="Q102" s="788"/>
      <c r="R102" s="672"/>
      <c r="S102" s="672"/>
      <c r="T102" s="672"/>
      <c r="U102" s="672"/>
      <c r="V102" s="672"/>
      <c r="W102" s="672"/>
      <c r="X102" s="672"/>
      <c r="Y102" s="672"/>
      <c r="Z102" s="672"/>
    </row>
    <row r="103" spans="1:26" ht="12.75" customHeight="1">
      <c r="A103" s="672"/>
      <c r="B103" s="788"/>
      <c r="C103" s="788"/>
      <c r="D103" s="788"/>
      <c r="E103" s="788"/>
      <c r="F103" s="788"/>
      <c r="G103" s="788"/>
      <c r="H103" s="788"/>
      <c r="I103" s="788"/>
      <c r="J103" s="788"/>
      <c r="K103" s="788"/>
      <c r="L103" s="788"/>
      <c r="M103" s="788"/>
      <c r="N103" s="788"/>
      <c r="O103" s="788"/>
      <c r="P103" s="788"/>
      <c r="Q103" s="788"/>
      <c r="R103" s="672"/>
      <c r="S103" s="672"/>
      <c r="T103" s="672"/>
      <c r="U103" s="672"/>
      <c r="V103" s="672"/>
      <c r="W103" s="672"/>
      <c r="X103" s="672"/>
      <c r="Y103" s="672"/>
      <c r="Z103" s="672"/>
    </row>
    <row r="104" spans="1:26" ht="12.75" customHeight="1">
      <c r="A104" s="672"/>
      <c r="B104" s="788"/>
      <c r="C104" s="788"/>
      <c r="D104" s="788"/>
      <c r="E104" s="788"/>
      <c r="F104" s="788"/>
      <c r="G104" s="788"/>
      <c r="H104" s="788"/>
      <c r="I104" s="788"/>
      <c r="J104" s="788"/>
      <c r="K104" s="788"/>
      <c r="L104" s="788"/>
      <c r="M104" s="788"/>
      <c r="N104" s="788"/>
      <c r="O104" s="788"/>
      <c r="P104" s="788"/>
      <c r="Q104" s="788"/>
      <c r="R104" s="672"/>
      <c r="S104" s="672"/>
      <c r="T104" s="672"/>
      <c r="U104" s="672"/>
      <c r="V104" s="672"/>
      <c r="W104" s="672"/>
      <c r="X104" s="672"/>
      <c r="Y104" s="672"/>
      <c r="Z104" s="672"/>
    </row>
    <row r="105" spans="1:26" ht="12.75" customHeight="1">
      <c r="A105" s="672"/>
      <c r="B105" s="788"/>
      <c r="C105" s="788"/>
      <c r="D105" s="788"/>
      <c r="E105" s="788"/>
      <c r="F105" s="788"/>
      <c r="G105" s="788"/>
      <c r="H105" s="788"/>
      <c r="I105" s="788"/>
      <c r="J105" s="788"/>
      <c r="K105" s="788"/>
      <c r="L105" s="788"/>
      <c r="M105" s="788"/>
      <c r="N105" s="788"/>
      <c r="O105" s="788"/>
      <c r="P105" s="788"/>
      <c r="Q105" s="788"/>
      <c r="R105" s="672"/>
      <c r="S105" s="672"/>
      <c r="T105" s="672"/>
      <c r="U105" s="672"/>
      <c r="V105" s="672"/>
      <c r="W105" s="672"/>
      <c r="X105" s="672"/>
      <c r="Y105" s="672"/>
      <c r="Z105" s="672"/>
    </row>
    <row r="106" spans="1:26" ht="12.75" customHeight="1">
      <c r="A106" s="672"/>
      <c r="B106" s="788"/>
      <c r="C106" s="788"/>
      <c r="D106" s="788"/>
      <c r="E106" s="788"/>
      <c r="F106" s="788"/>
      <c r="G106" s="788"/>
      <c r="H106" s="788"/>
      <c r="I106" s="788"/>
      <c r="J106" s="788"/>
      <c r="K106" s="788"/>
      <c r="L106" s="788"/>
      <c r="M106" s="788"/>
      <c r="N106" s="788"/>
      <c r="O106" s="788"/>
      <c r="P106" s="788"/>
      <c r="Q106" s="788"/>
      <c r="R106" s="672"/>
      <c r="S106" s="672"/>
      <c r="T106" s="672"/>
      <c r="U106" s="672"/>
      <c r="V106" s="672"/>
      <c r="W106" s="672"/>
      <c r="X106" s="672"/>
      <c r="Y106" s="672"/>
      <c r="Z106" s="672"/>
    </row>
    <row r="107" spans="1:26" ht="12.75" customHeight="1">
      <c r="A107" s="672"/>
      <c r="B107" s="788"/>
      <c r="C107" s="788"/>
      <c r="D107" s="788"/>
      <c r="E107" s="788"/>
      <c r="F107" s="788"/>
      <c r="G107" s="788"/>
      <c r="H107" s="788"/>
      <c r="I107" s="788"/>
      <c r="J107" s="788"/>
      <c r="K107" s="788"/>
      <c r="L107" s="788"/>
      <c r="M107" s="788"/>
      <c r="N107" s="788"/>
      <c r="O107" s="788"/>
      <c r="P107" s="788"/>
      <c r="Q107" s="788"/>
      <c r="R107" s="672"/>
      <c r="S107" s="672"/>
      <c r="T107" s="672"/>
      <c r="U107" s="672"/>
      <c r="V107" s="672"/>
      <c r="W107" s="672"/>
      <c r="X107" s="672"/>
      <c r="Y107" s="672"/>
      <c r="Z107" s="672"/>
    </row>
    <row r="108" spans="1:26" ht="12.75" customHeight="1">
      <c r="A108" s="672"/>
      <c r="B108" s="788"/>
      <c r="C108" s="788"/>
      <c r="D108" s="788"/>
      <c r="E108" s="788"/>
      <c r="F108" s="788"/>
      <c r="G108" s="788"/>
      <c r="H108" s="788"/>
      <c r="I108" s="788"/>
      <c r="J108" s="788"/>
      <c r="K108" s="788"/>
      <c r="L108" s="788"/>
      <c r="M108" s="788"/>
      <c r="N108" s="788"/>
      <c r="O108" s="788"/>
      <c r="P108" s="788"/>
      <c r="Q108" s="788"/>
      <c r="R108" s="672"/>
      <c r="S108" s="672"/>
      <c r="T108" s="672"/>
      <c r="U108" s="672"/>
      <c r="V108" s="672"/>
      <c r="W108" s="672"/>
      <c r="X108" s="672"/>
      <c r="Y108" s="672"/>
      <c r="Z108" s="672"/>
    </row>
    <row r="109" spans="1:26" ht="12.75" customHeight="1">
      <c r="A109" s="672"/>
      <c r="B109" s="788"/>
      <c r="C109" s="788"/>
      <c r="D109" s="788"/>
      <c r="E109" s="788"/>
      <c r="F109" s="788"/>
      <c r="G109" s="788"/>
      <c r="H109" s="788"/>
      <c r="I109" s="788"/>
      <c r="J109" s="788"/>
      <c r="K109" s="788"/>
      <c r="L109" s="788"/>
      <c r="M109" s="788"/>
      <c r="N109" s="788"/>
      <c r="O109" s="788"/>
      <c r="P109" s="788"/>
      <c r="Q109" s="788"/>
      <c r="R109" s="672"/>
      <c r="S109" s="672"/>
      <c r="T109" s="672"/>
      <c r="U109" s="672"/>
      <c r="V109" s="672"/>
      <c r="W109" s="672"/>
      <c r="X109" s="672"/>
      <c r="Y109" s="672"/>
      <c r="Z109" s="672"/>
    </row>
    <row r="110" spans="1:26" ht="12.75" customHeight="1">
      <c r="A110" s="672"/>
      <c r="B110" s="788"/>
      <c r="C110" s="788"/>
      <c r="D110" s="788"/>
      <c r="E110" s="788"/>
      <c r="F110" s="788"/>
      <c r="G110" s="788"/>
      <c r="H110" s="788"/>
      <c r="I110" s="788"/>
      <c r="J110" s="788"/>
      <c r="K110" s="788"/>
      <c r="L110" s="788"/>
      <c r="M110" s="788"/>
      <c r="N110" s="788"/>
      <c r="O110" s="788"/>
      <c r="P110" s="788"/>
      <c r="Q110" s="788"/>
      <c r="R110" s="672"/>
      <c r="S110" s="672"/>
      <c r="T110" s="672"/>
      <c r="U110" s="672"/>
      <c r="V110" s="672"/>
      <c r="W110" s="672"/>
      <c r="X110" s="672"/>
      <c r="Y110" s="672"/>
      <c r="Z110" s="672"/>
    </row>
    <row r="111" spans="1:26" ht="12.75" customHeight="1">
      <c r="A111" s="672"/>
      <c r="B111" s="788"/>
      <c r="C111" s="788"/>
      <c r="D111" s="788"/>
      <c r="E111" s="788"/>
      <c r="F111" s="788"/>
      <c r="G111" s="788"/>
      <c r="H111" s="788"/>
      <c r="I111" s="788"/>
      <c r="J111" s="788"/>
      <c r="K111" s="788"/>
      <c r="L111" s="788"/>
      <c r="M111" s="788"/>
      <c r="N111" s="788"/>
      <c r="O111" s="788"/>
      <c r="P111" s="788"/>
      <c r="Q111" s="788"/>
      <c r="R111" s="672"/>
      <c r="S111" s="672"/>
      <c r="T111" s="672"/>
      <c r="U111" s="672"/>
      <c r="V111" s="672"/>
      <c r="W111" s="672"/>
      <c r="X111" s="672"/>
      <c r="Y111" s="672"/>
      <c r="Z111" s="672"/>
    </row>
    <row r="112" spans="1:26" ht="12.75" customHeight="1">
      <c r="A112" s="672"/>
      <c r="B112" s="788"/>
      <c r="C112" s="788"/>
      <c r="D112" s="788"/>
      <c r="E112" s="788"/>
      <c r="F112" s="788"/>
      <c r="G112" s="788"/>
      <c r="H112" s="788"/>
      <c r="I112" s="788"/>
      <c r="J112" s="788"/>
      <c r="K112" s="788"/>
      <c r="L112" s="788"/>
      <c r="M112" s="788"/>
      <c r="N112" s="788"/>
      <c r="O112" s="788"/>
      <c r="P112" s="788"/>
      <c r="Q112" s="788"/>
      <c r="R112" s="672"/>
      <c r="S112" s="672"/>
      <c r="T112" s="672"/>
      <c r="U112" s="672"/>
      <c r="V112" s="672"/>
      <c r="W112" s="672"/>
      <c r="X112" s="672"/>
      <c r="Y112" s="672"/>
      <c r="Z112" s="672"/>
    </row>
    <row r="113" spans="1:26" ht="12.75" customHeight="1">
      <c r="A113" s="672"/>
      <c r="B113" s="788"/>
      <c r="C113" s="788"/>
      <c r="D113" s="788"/>
      <c r="E113" s="788"/>
      <c r="F113" s="788"/>
      <c r="G113" s="788"/>
      <c r="H113" s="788"/>
      <c r="I113" s="788"/>
      <c r="J113" s="788"/>
      <c r="K113" s="788"/>
      <c r="L113" s="788"/>
      <c r="M113" s="788"/>
      <c r="N113" s="788"/>
      <c r="O113" s="788"/>
      <c r="P113" s="788"/>
      <c r="Q113" s="788"/>
      <c r="R113" s="672"/>
      <c r="S113" s="672"/>
      <c r="T113" s="672"/>
      <c r="U113" s="672"/>
      <c r="V113" s="672"/>
      <c r="W113" s="672"/>
      <c r="X113" s="672"/>
      <c r="Y113" s="672"/>
      <c r="Z113" s="672"/>
    </row>
    <row r="114" spans="1:26" ht="12.75" customHeight="1">
      <c r="A114" s="672"/>
      <c r="B114" s="788"/>
      <c r="C114" s="788"/>
      <c r="D114" s="788"/>
      <c r="E114" s="788"/>
      <c r="F114" s="788"/>
      <c r="G114" s="788"/>
      <c r="H114" s="788"/>
      <c r="I114" s="788"/>
      <c r="J114" s="788"/>
      <c r="K114" s="788"/>
      <c r="L114" s="788"/>
      <c r="M114" s="788"/>
      <c r="N114" s="788"/>
      <c r="O114" s="788"/>
      <c r="P114" s="788"/>
      <c r="Q114" s="788"/>
      <c r="R114" s="672"/>
      <c r="S114" s="672"/>
      <c r="T114" s="672"/>
      <c r="U114" s="672"/>
      <c r="V114" s="672"/>
      <c r="W114" s="672"/>
      <c r="X114" s="672"/>
      <c r="Y114" s="672"/>
      <c r="Z114" s="672"/>
    </row>
    <row r="115" spans="1:26" ht="12.75" customHeight="1">
      <c r="A115" s="672"/>
      <c r="B115" s="788"/>
      <c r="C115" s="788"/>
      <c r="D115" s="788"/>
      <c r="E115" s="788"/>
      <c r="F115" s="788"/>
      <c r="G115" s="788"/>
      <c r="H115" s="788"/>
      <c r="I115" s="788"/>
      <c r="J115" s="788"/>
      <c r="K115" s="788"/>
      <c r="L115" s="788"/>
      <c r="M115" s="788"/>
      <c r="N115" s="788"/>
      <c r="O115" s="788"/>
      <c r="P115" s="788"/>
      <c r="Q115" s="788"/>
      <c r="R115" s="672"/>
      <c r="S115" s="672"/>
      <c r="T115" s="672"/>
      <c r="U115" s="672"/>
      <c r="V115" s="672"/>
      <c r="W115" s="672"/>
      <c r="X115" s="672"/>
      <c r="Y115" s="672"/>
      <c r="Z115" s="672"/>
    </row>
    <row r="116" spans="1:26" ht="12.75" customHeight="1">
      <c r="A116" s="672"/>
      <c r="B116" s="788"/>
      <c r="C116" s="788"/>
      <c r="D116" s="788"/>
      <c r="E116" s="788"/>
      <c r="F116" s="788"/>
      <c r="G116" s="788"/>
      <c r="H116" s="788"/>
      <c r="I116" s="788"/>
      <c r="J116" s="788"/>
      <c r="K116" s="788"/>
      <c r="L116" s="788"/>
      <c r="M116" s="788"/>
      <c r="N116" s="788"/>
      <c r="O116" s="788"/>
      <c r="P116" s="788"/>
      <c r="Q116" s="788"/>
      <c r="R116" s="672"/>
      <c r="S116" s="672"/>
      <c r="T116" s="672"/>
      <c r="U116" s="672"/>
      <c r="V116" s="672"/>
      <c r="W116" s="672"/>
      <c r="X116" s="672"/>
      <c r="Y116" s="672"/>
      <c r="Z116" s="672"/>
    </row>
    <row r="117" spans="1:26" ht="12.75" customHeight="1">
      <c r="A117" s="672"/>
      <c r="B117" s="788"/>
      <c r="C117" s="788"/>
      <c r="D117" s="788"/>
      <c r="E117" s="788"/>
      <c r="F117" s="788"/>
      <c r="G117" s="788"/>
      <c r="H117" s="788"/>
      <c r="I117" s="788"/>
      <c r="J117" s="788"/>
      <c r="K117" s="788"/>
      <c r="L117" s="788"/>
      <c r="M117" s="788"/>
      <c r="N117" s="788"/>
      <c r="O117" s="788"/>
      <c r="P117" s="788"/>
      <c r="Q117" s="788"/>
      <c r="R117" s="672"/>
      <c r="S117" s="672"/>
      <c r="T117" s="672"/>
      <c r="U117" s="672"/>
      <c r="V117" s="672"/>
      <c r="W117" s="672"/>
      <c r="X117" s="672"/>
      <c r="Y117" s="672"/>
      <c r="Z117" s="672"/>
    </row>
    <row r="118" spans="1:26" ht="12.75" customHeight="1">
      <c r="A118" s="672"/>
      <c r="B118" s="788"/>
      <c r="C118" s="788"/>
      <c r="D118" s="788"/>
      <c r="E118" s="788"/>
      <c r="F118" s="788"/>
      <c r="G118" s="788"/>
      <c r="H118" s="788"/>
      <c r="I118" s="788"/>
      <c r="J118" s="788"/>
      <c r="K118" s="788"/>
      <c r="L118" s="788"/>
      <c r="M118" s="788"/>
      <c r="N118" s="788"/>
      <c r="O118" s="788"/>
      <c r="P118" s="788"/>
      <c r="Q118" s="788"/>
      <c r="R118" s="672"/>
      <c r="S118" s="672"/>
      <c r="T118" s="672"/>
      <c r="U118" s="672"/>
      <c r="V118" s="672"/>
      <c r="W118" s="672"/>
      <c r="X118" s="672"/>
      <c r="Y118" s="672"/>
      <c r="Z118" s="672"/>
    </row>
    <row r="119" spans="1:26" ht="12.75" customHeight="1">
      <c r="A119" s="672"/>
      <c r="B119" s="788"/>
      <c r="C119" s="788"/>
      <c r="D119" s="788"/>
      <c r="E119" s="788"/>
      <c r="F119" s="788"/>
      <c r="G119" s="788"/>
      <c r="H119" s="788"/>
      <c r="I119" s="788"/>
      <c r="J119" s="788"/>
      <c r="K119" s="788"/>
      <c r="L119" s="788"/>
      <c r="M119" s="788"/>
      <c r="N119" s="788"/>
      <c r="O119" s="788"/>
      <c r="P119" s="788"/>
      <c r="Q119" s="788"/>
      <c r="R119" s="672"/>
      <c r="S119" s="672"/>
      <c r="T119" s="672"/>
      <c r="U119" s="672"/>
      <c r="V119" s="672"/>
      <c r="W119" s="672"/>
      <c r="X119" s="672"/>
      <c r="Y119" s="672"/>
      <c r="Z119" s="672"/>
    </row>
    <row r="120" spans="1:26" ht="12.75" customHeight="1">
      <c r="A120" s="672"/>
      <c r="B120" s="788"/>
      <c r="C120" s="788"/>
      <c r="D120" s="788"/>
      <c r="E120" s="788"/>
      <c r="F120" s="788"/>
      <c r="G120" s="788"/>
      <c r="H120" s="788"/>
      <c r="I120" s="788"/>
      <c r="J120" s="788"/>
      <c r="K120" s="788"/>
      <c r="L120" s="788"/>
      <c r="M120" s="788"/>
      <c r="N120" s="788"/>
      <c r="O120" s="788"/>
      <c r="P120" s="788"/>
      <c r="Q120" s="788"/>
      <c r="R120" s="672"/>
      <c r="S120" s="672"/>
      <c r="T120" s="672"/>
      <c r="U120" s="672"/>
      <c r="V120" s="672"/>
      <c r="W120" s="672"/>
      <c r="X120" s="672"/>
      <c r="Y120" s="672"/>
      <c r="Z120" s="672"/>
    </row>
    <row r="121" spans="1:26" ht="12.75" customHeight="1">
      <c r="A121" s="672"/>
      <c r="B121" s="788"/>
      <c r="C121" s="788"/>
      <c r="D121" s="788"/>
      <c r="E121" s="788"/>
      <c r="F121" s="788"/>
      <c r="G121" s="788"/>
      <c r="H121" s="788"/>
      <c r="I121" s="788"/>
      <c r="J121" s="788"/>
      <c r="K121" s="788"/>
      <c r="L121" s="788"/>
      <c r="M121" s="788"/>
      <c r="N121" s="788"/>
      <c r="O121" s="788"/>
      <c r="P121" s="788"/>
      <c r="Q121" s="788"/>
      <c r="R121" s="672"/>
      <c r="S121" s="672"/>
      <c r="T121" s="672"/>
      <c r="U121" s="672"/>
      <c r="V121" s="672"/>
      <c r="W121" s="672"/>
      <c r="X121" s="672"/>
      <c r="Y121" s="672"/>
      <c r="Z121" s="672"/>
    </row>
    <row r="122" spans="1:26" ht="12.75" customHeight="1">
      <c r="A122" s="672"/>
      <c r="B122" s="788"/>
      <c r="C122" s="788"/>
      <c r="D122" s="788"/>
      <c r="E122" s="788"/>
      <c r="F122" s="788"/>
      <c r="G122" s="788"/>
      <c r="H122" s="788"/>
      <c r="I122" s="788"/>
      <c r="J122" s="788"/>
      <c r="K122" s="788"/>
      <c r="L122" s="788"/>
      <c r="M122" s="788"/>
      <c r="N122" s="788"/>
      <c r="O122" s="788"/>
      <c r="P122" s="788"/>
      <c r="Q122" s="788"/>
      <c r="R122" s="672"/>
      <c r="S122" s="672"/>
      <c r="T122" s="672"/>
      <c r="U122" s="672"/>
      <c r="V122" s="672"/>
      <c r="W122" s="672"/>
      <c r="X122" s="672"/>
      <c r="Y122" s="672"/>
      <c r="Z122" s="672"/>
    </row>
    <row r="123" spans="1:26" ht="12.75" customHeight="1">
      <c r="A123" s="672"/>
      <c r="B123" s="788"/>
      <c r="C123" s="788"/>
      <c r="D123" s="788"/>
      <c r="E123" s="788"/>
      <c r="F123" s="788"/>
      <c r="G123" s="788"/>
      <c r="H123" s="788"/>
      <c r="I123" s="788"/>
      <c r="J123" s="788"/>
      <c r="K123" s="788"/>
      <c r="L123" s="788"/>
      <c r="M123" s="788"/>
      <c r="N123" s="788"/>
      <c r="O123" s="788"/>
      <c r="P123" s="788"/>
      <c r="Q123" s="788"/>
      <c r="R123" s="672"/>
      <c r="S123" s="672"/>
      <c r="T123" s="672"/>
      <c r="U123" s="672"/>
      <c r="V123" s="672"/>
      <c r="W123" s="672"/>
      <c r="X123" s="672"/>
      <c r="Y123" s="672"/>
      <c r="Z123" s="672"/>
    </row>
    <row r="124" spans="1:26" ht="12.75" customHeight="1">
      <c r="A124" s="672"/>
      <c r="B124" s="788"/>
      <c r="C124" s="788"/>
      <c r="D124" s="788"/>
      <c r="E124" s="788"/>
      <c r="F124" s="788"/>
      <c r="G124" s="788"/>
      <c r="H124" s="788"/>
      <c r="I124" s="788"/>
      <c r="J124" s="788"/>
      <c r="K124" s="788"/>
      <c r="L124" s="788"/>
      <c r="M124" s="788"/>
      <c r="N124" s="788"/>
      <c r="O124" s="788"/>
      <c r="P124" s="788"/>
      <c r="Q124" s="788"/>
      <c r="R124" s="672"/>
      <c r="S124" s="672"/>
      <c r="T124" s="672"/>
      <c r="U124" s="672"/>
      <c r="V124" s="672"/>
      <c r="W124" s="672"/>
      <c r="X124" s="672"/>
      <c r="Y124" s="672"/>
      <c r="Z124" s="672"/>
    </row>
    <row r="125" spans="1:26" ht="12.75" customHeight="1">
      <c r="A125" s="672"/>
      <c r="B125" s="788"/>
      <c r="C125" s="788"/>
      <c r="D125" s="788"/>
      <c r="E125" s="788"/>
      <c r="F125" s="788"/>
      <c r="G125" s="788"/>
      <c r="H125" s="788"/>
      <c r="I125" s="788"/>
      <c r="J125" s="788"/>
      <c r="K125" s="788"/>
      <c r="L125" s="788"/>
      <c r="M125" s="788"/>
      <c r="N125" s="788"/>
      <c r="O125" s="788"/>
      <c r="P125" s="788"/>
      <c r="Q125" s="788"/>
      <c r="R125" s="672"/>
      <c r="S125" s="672"/>
      <c r="T125" s="672"/>
      <c r="U125" s="672"/>
      <c r="V125" s="672"/>
      <c r="W125" s="672"/>
      <c r="X125" s="672"/>
      <c r="Y125" s="672"/>
      <c r="Z125" s="672"/>
    </row>
    <row r="126" spans="1:26" ht="12.75" customHeight="1">
      <c r="A126" s="672"/>
      <c r="B126" s="788"/>
      <c r="C126" s="788"/>
      <c r="D126" s="788"/>
      <c r="E126" s="788"/>
      <c r="F126" s="788"/>
      <c r="G126" s="788"/>
      <c r="H126" s="788"/>
      <c r="I126" s="788"/>
      <c r="J126" s="788"/>
      <c r="K126" s="788"/>
      <c r="L126" s="788"/>
      <c r="M126" s="788"/>
      <c r="N126" s="788"/>
      <c r="O126" s="788"/>
      <c r="P126" s="788"/>
      <c r="Q126" s="788"/>
      <c r="R126" s="672"/>
      <c r="S126" s="672"/>
      <c r="T126" s="672"/>
      <c r="U126" s="672"/>
      <c r="V126" s="672"/>
      <c r="W126" s="672"/>
      <c r="X126" s="672"/>
      <c r="Y126" s="672"/>
      <c r="Z126" s="672"/>
    </row>
    <row r="127" spans="1:26" ht="12.75" customHeight="1">
      <c r="A127" s="672"/>
      <c r="B127" s="788"/>
      <c r="C127" s="788"/>
      <c r="D127" s="788"/>
      <c r="E127" s="788"/>
      <c r="F127" s="788"/>
      <c r="G127" s="788"/>
      <c r="H127" s="788"/>
      <c r="I127" s="788"/>
      <c r="J127" s="788"/>
      <c r="K127" s="788"/>
      <c r="L127" s="788"/>
      <c r="M127" s="788"/>
      <c r="N127" s="788"/>
      <c r="O127" s="788"/>
      <c r="P127" s="788"/>
      <c r="Q127" s="788"/>
      <c r="R127" s="672"/>
      <c r="S127" s="672"/>
      <c r="T127" s="672"/>
      <c r="U127" s="672"/>
      <c r="V127" s="672"/>
      <c r="W127" s="672"/>
      <c r="X127" s="672"/>
      <c r="Y127" s="672"/>
      <c r="Z127" s="672"/>
    </row>
    <row r="128" spans="1:26" ht="12.75" customHeight="1">
      <c r="A128" s="672"/>
      <c r="B128" s="788"/>
      <c r="C128" s="788"/>
      <c r="D128" s="788"/>
      <c r="E128" s="788"/>
      <c r="F128" s="788"/>
      <c r="G128" s="788"/>
      <c r="H128" s="788"/>
      <c r="I128" s="788"/>
      <c r="J128" s="788"/>
      <c r="K128" s="788"/>
      <c r="L128" s="788"/>
      <c r="M128" s="788"/>
      <c r="N128" s="788"/>
      <c r="O128" s="788"/>
      <c r="P128" s="788"/>
      <c r="Q128" s="788"/>
      <c r="R128" s="672"/>
      <c r="S128" s="672"/>
      <c r="T128" s="672"/>
      <c r="U128" s="672"/>
      <c r="V128" s="672"/>
      <c r="W128" s="672"/>
      <c r="X128" s="672"/>
      <c r="Y128" s="672"/>
      <c r="Z128" s="672"/>
    </row>
    <row r="129" spans="1:26" ht="12.75" customHeight="1">
      <c r="A129" s="672"/>
      <c r="B129" s="788"/>
      <c r="C129" s="788"/>
      <c r="D129" s="788"/>
      <c r="E129" s="788"/>
      <c r="F129" s="788"/>
      <c r="G129" s="788"/>
      <c r="H129" s="788"/>
      <c r="I129" s="788"/>
      <c r="J129" s="788"/>
      <c r="K129" s="788"/>
      <c r="L129" s="788"/>
      <c r="M129" s="788"/>
      <c r="N129" s="788"/>
      <c r="O129" s="788"/>
      <c r="P129" s="788"/>
      <c r="Q129" s="788"/>
      <c r="R129" s="672"/>
      <c r="S129" s="672"/>
      <c r="T129" s="672"/>
      <c r="U129" s="672"/>
      <c r="V129" s="672"/>
      <c r="W129" s="672"/>
      <c r="X129" s="672"/>
      <c r="Y129" s="672"/>
      <c r="Z129" s="672"/>
    </row>
    <row r="130" spans="1:26" ht="12.75" customHeight="1">
      <c r="A130" s="672"/>
      <c r="B130" s="788"/>
      <c r="C130" s="788"/>
      <c r="D130" s="788"/>
      <c r="E130" s="788"/>
      <c r="F130" s="788"/>
      <c r="G130" s="788"/>
      <c r="H130" s="788"/>
      <c r="I130" s="788"/>
      <c r="J130" s="788"/>
      <c r="K130" s="788"/>
      <c r="L130" s="788"/>
      <c r="M130" s="788"/>
      <c r="N130" s="788"/>
      <c r="O130" s="788"/>
      <c r="P130" s="788"/>
      <c r="Q130" s="788"/>
      <c r="R130" s="672"/>
      <c r="S130" s="672"/>
      <c r="T130" s="672"/>
      <c r="U130" s="672"/>
      <c r="V130" s="672"/>
      <c r="W130" s="672"/>
      <c r="X130" s="672"/>
      <c r="Y130" s="672"/>
      <c r="Z130" s="672"/>
    </row>
    <row r="131" spans="1:26" ht="12.75" customHeight="1">
      <c r="A131" s="672"/>
      <c r="B131" s="788"/>
      <c r="C131" s="788"/>
      <c r="D131" s="788"/>
      <c r="E131" s="788"/>
      <c r="F131" s="788"/>
      <c r="G131" s="788"/>
      <c r="H131" s="788"/>
      <c r="I131" s="788"/>
      <c r="J131" s="788"/>
      <c r="K131" s="788"/>
      <c r="L131" s="788"/>
      <c r="M131" s="788"/>
      <c r="N131" s="788"/>
      <c r="O131" s="788"/>
      <c r="P131" s="788"/>
      <c r="Q131" s="788"/>
      <c r="R131" s="672"/>
      <c r="S131" s="672"/>
      <c r="T131" s="672"/>
      <c r="U131" s="672"/>
      <c r="V131" s="672"/>
      <c r="W131" s="672"/>
      <c r="X131" s="672"/>
      <c r="Y131" s="672"/>
      <c r="Z131" s="672"/>
    </row>
    <row r="132" spans="1:26" ht="12.75" customHeight="1">
      <c r="A132" s="672"/>
      <c r="B132" s="788"/>
      <c r="C132" s="788"/>
      <c r="D132" s="788"/>
      <c r="E132" s="788"/>
      <c r="F132" s="788"/>
      <c r="G132" s="788"/>
      <c r="H132" s="788"/>
      <c r="I132" s="788"/>
      <c r="J132" s="788"/>
      <c r="K132" s="788"/>
      <c r="L132" s="788"/>
      <c r="M132" s="788"/>
      <c r="N132" s="788"/>
      <c r="O132" s="788"/>
      <c r="P132" s="788"/>
      <c r="Q132" s="788"/>
      <c r="R132" s="672"/>
      <c r="S132" s="672"/>
      <c r="T132" s="672"/>
      <c r="U132" s="672"/>
      <c r="V132" s="672"/>
      <c r="W132" s="672"/>
      <c r="X132" s="672"/>
      <c r="Y132" s="672"/>
      <c r="Z132" s="672"/>
    </row>
    <row r="133" spans="1:26" ht="12.75" customHeight="1">
      <c r="A133" s="672"/>
      <c r="B133" s="788"/>
      <c r="C133" s="788"/>
      <c r="D133" s="788"/>
      <c r="E133" s="788"/>
      <c r="F133" s="788"/>
      <c r="G133" s="788"/>
      <c r="H133" s="788"/>
      <c r="I133" s="788"/>
      <c r="J133" s="788"/>
      <c r="K133" s="788"/>
      <c r="L133" s="788"/>
      <c r="M133" s="788"/>
      <c r="N133" s="788"/>
      <c r="O133" s="788"/>
      <c r="P133" s="788"/>
      <c r="Q133" s="788"/>
      <c r="R133" s="672"/>
      <c r="S133" s="672"/>
      <c r="T133" s="672"/>
      <c r="U133" s="672"/>
      <c r="V133" s="672"/>
      <c r="W133" s="672"/>
      <c r="X133" s="672"/>
      <c r="Y133" s="672"/>
      <c r="Z133" s="672"/>
    </row>
    <row r="134" spans="1:26" ht="12.75" customHeight="1">
      <c r="A134" s="672"/>
      <c r="B134" s="788"/>
      <c r="C134" s="788"/>
      <c r="D134" s="788"/>
      <c r="E134" s="788"/>
      <c r="F134" s="788"/>
      <c r="G134" s="788"/>
      <c r="H134" s="788"/>
      <c r="I134" s="788"/>
      <c r="J134" s="788"/>
      <c r="K134" s="788"/>
      <c r="L134" s="788"/>
      <c r="M134" s="788"/>
      <c r="N134" s="788"/>
      <c r="O134" s="788"/>
      <c r="P134" s="788"/>
      <c r="Q134" s="788"/>
      <c r="R134" s="672"/>
      <c r="S134" s="672"/>
      <c r="T134" s="672"/>
      <c r="U134" s="672"/>
      <c r="V134" s="672"/>
      <c r="W134" s="672"/>
      <c r="X134" s="672"/>
      <c r="Y134" s="672"/>
      <c r="Z134" s="672"/>
    </row>
    <row r="135" spans="1:26" ht="12.75" customHeight="1">
      <c r="A135" s="672"/>
      <c r="B135" s="788"/>
      <c r="C135" s="788"/>
      <c r="D135" s="788"/>
      <c r="E135" s="788"/>
      <c r="F135" s="788"/>
      <c r="G135" s="788"/>
      <c r="H135" s="788"/>
      <c r="I135" s="788"/>
      <c r="J135" s="788"/>
      <c r="K135" s="788"/>
      <c r="L135" s="788"/>
      <c r="M135" s="788"/>
      <c r="N135" s="788"/>
      <c r="O135" s="788"/>
      <c r="P135" s="788"/>
      <c r="Q135" s="788"/>
      <c r="R135" s="672"/>
      <c r="S135" s="672"/>
      <c r="T135" s="672"/>
      <c r="U135" s="672"/>
      <c r="V135" s="672"/>
      <c r="W135" s="672"/>
      <c r="X135" s="672"/>
      <c r="Y135" s="672"/>
      <c r="Z135" s="672"/>
    </row>
    <row r="136" spans="1:26" ht="12.75" customHeight="1">
      <c r="A136" s="672"/>
      <c r="B136" s="788"/>
      <c r="C136" s="788"/>
      <c r="D136" s="788"/>
      <c r="E136" s="788"/>
      <c r="F136" s="788"/>
      <c r="G136" s="788"/>
      <c r="H136" s="788"/>
      <c r="I136" s="788"/>
      <c r="J136" s="788"/>
      <c r="K136" s="788"/>
      <c r="L136" s="788"/>
      <c r="M136" s="788"/>
      <c r="N136" s="788"/>
      <c r="O136" s="788"/>
      <c r="P136" s="788"/>
      <c r="Q136" s="788"/>
      <c r="R136" s="672"/>
      <c r="S136" s="672"/>
      <c r="T136" s="672"/>
      <c r="U136" s="672"/>
      <c r="V136" s="672"/>
      <c r="W136" s="672"/>
      <c r="X136" s="672"/>
      <c r="Y136" s="672"/>
      <c r="Z136" s="672"/>
    </row>
    <row r="137" spans="1:26" ht="12.75" customHeight="1">
      <c r="A137" s="672"/>
      <c r="B137" s="788"/>
      <c r="C137" s="788"/>
      <c r="D137" s="788"/>
      <c r="E137" s="788"/>
      <c r="F137" s="788"/>
      <c r="G137" s="788"/>
      <c r="H137" s="788"/>
      <c r="I137" s="788"/>
      <c r="J137" s="788"/>
      <c r="K137" s="788"/>
      <c r="L137" s="788"/>
      <c r="M137" s="788"/>
      <c r="N137" s="788"/>
      <c r="O137" s="788"/>
      <c r="P137" s="788"/>
      <c r="Q137" s="788"/>
      <c r="R137" s="672"/>
      <c r="S137" s="672"/>
      <c r="T137" s="672"/>
      <c r="U137" s="672"/>
      <c r="V137" s="672"/>
      <c r="W137" s="672"/>
      <c r="X137" s="672"/>
      <c r="Y137" s="672"/>
      <c r="Z137" s="672"/>
    </row>
    <row r="138" spans="1:26" ht="12.75" customHeight="1">
      <c r="A138" s="672"/>
      <c r="B138" s="788"/>
      <c r="C138" s="788"/>
      <c r="D138" s="788"/>
      <c r="E138" s="788"/>
      <c r="F138" s="788"/>
      <c r="G138" s="788"/>
      <c r="H138" s="788"/>
      <c r="I138" s="788"/>
      <c r="J138" s="788"/>
      <c r="K138" s="788"/>
      <c r="L138" s="788"/>
      <c r="M138" s="788"/>
      <c r="N138" s="788"/>
      <c r="O138" s="788"/>
      <c r="P138" s="788"/>
      <c r="Q138" s="788"/>
      <c r="R138" s="672"/>
      <c r="S138" s="672"/>
      <c r="T138" s="672"/>
      <c r="U138" s="672"/>
      <c r="V138" s="672"/>
      <c r="W138" s="672"/>
      <c r="X138" s="672"/>
      <c r="Y138" s="672"/>
      <c r="Z138" s="672"/>
    </row>
    <row r="139" spans="1:26" ht="12.75" customHeight="1">
      <c r="A139" s="672"/>
      <c r="B139" s="788"/>
      <c r="C139" s="788"/>
      <c r="D139" s="788"/>
      <c r="E139" s="788"/>
      <c r="F139" s="788"/>
      <c r="G139" s="788"/>
      <c r="H139" s="788"/>
      <c r="I139" s="788"/>
      <c r="J139" s="788"/>
      <c r="K139" s="788"/>
      <c r="L139" s="788"/>
      <c r="M139" s="788"/>
      <c r="N139" s="788"/>
      <c r="O139" s="788"/>
      <c r="P139" s="788"/>
      <c r="Q139" s="788"/>
      <c r="R139" s="672"/>
      <c r="S139" s="672"/>
      <c r="T139" s="672"/>
      <c r="U139" s="672"/>
      <c r="V139" s="672"/>
      <c r="W139" s="672"/>
      <c r="X139" s="672"/>
      <c r="Y139" s="672"/>
      <c r="Z139" s="672"/>
    </row>
    <row r="140" spans="1:26" ht="12.75" customHeight="1">
      <c r="A140" s="672"/>
      <c r="B140" s="788"/>
      <c r="C140" s="788"/>
      <c r="D140" s="788"/>
      <c r="E140" s="788"/>
      <c r="F140" s="788"/>
      <c r="G140" s="788"/>
      <c r="H140" s="788"/>
      <c r="I140" s="788"/>
      <c r="J140" s="788"/>
      <c r="K140" s="788"/>
      <c r="L140" s="788"/>
      <c r="M140" s="788"/>
      <c r="N140" s="788"/>
      <c r="O140" s="788"/>
      <c r="P140" s="788"/>
      <c r="Q140" s="788"/>
      <c r="R140" s="672"/>
      <c r="S140" s="672"/>
      <c r="T140" s="672"/>
      <c r="U140" s="672"/>
      <c r="V140" s="672"/>
      <c r="W140" s="672"/>
      <c r="X140" s="672"/>
      <c r="Y140" s="672"/>
      <c r="Z140" s="672"/>
    </row>
    <row r="141" spans="1:26" ht="12.75" customHeight="1">
      <c r="A141" s="672"/>
      <c r="B141" s="788"/>
      <c r="C141" s="788"/>
      <c r="D141" s="788"/>
      <c r="E141" s="788"/>
      <c r="F141" s="788"/>
      <c r="G141" s="788"/>
      <c r="H141" s="788"/>
      <c r="I141" s="788"/>
      <c r="J141" s="788"/>
      <c r="K141" s="788"/>
      <c r="L141" s="788"/>
      <c r="M141" s="788"/>
      <c r="N141" s="788"/>
      <c r="O141" s="788"/>
      <c r="P141" s="788"/>
      <c r="Q141" s="788"/>
      <c r="R141" s="672"/>
      <c r="S141" s="672"/>
      <c r="T141" s="672"/>
      <c r="U141" s="672"/>
      <c r="V141" s="672"/>
      <c r="W141" s="672"/>
      <c r="X141" s="672"/>
      <c r="Y141" s="672"/>
      <c r="Z141" s="672"/>
    </row>
    <row r="142" spans="1:26" ht="12.75" customHeight="1">
      <c r="A142" s="672"/>
      <c r="B142" s="788"/>
      <c r="C142" s="788"/>
      <c r="D142" s="788"/>
      <c r="E142" s="788"/>
      <c r="F142" s="788"/>
      <c r="G142" s="788"/>
      <c r="H142" s="788"/>
      <c r="I142" s="788"/>
      <c r="J142" s="788"/>
      <c r="K142" s="788"/>
      <c r="L142" s="788"/>
      <c r="M142" s="788"/>
      <c r="N142" s="788"/>
      <c r="O142" s="788"/>
      <c r="P142" s="788"/>
      <c r="Q142" s="788"/>
      <c r="R142" s="672"/>
      <c r="S142" s="672"/>
      <c r="T142" s="672"/>
      <c r="U142" s="672"/>
      <c r="V142" s="672"/>
      <c r="W142" s="672"/>
      <c r="X142" s="672"/>
      <c r="Y142" s="672"/>
      <c r="Z142" s="672"/>
    </row>
    <row r="143" spans="1:26" ht="12.75" customHeight="1">
      <c r="A143" s="672"/>
      <c r="B143" s="788"/>
      <c r="C143" s="788"/>
      <c r="D143" s="788"/>
      <c r="E143" s="788"/>
      <c r="F143" s="788"/>
      <c r="G143" s="788"/>
      <c r="H143" s="788"/>
      <c r="I143" s="788"/>
      <c r="J143" s="788"/>
      <c r="K143" s="788"/>
      <c r="L143" s="788"/>
      <c r="M143" s="788"/>
      <c r="N143" s="788"/>
      <c r="O143" s="788"/>
      <c r="P143" s="788"/>
      <c r="Q143" s="788"/>
      <c r="R143" s="672"/>
      <c r="S143" s="672"/>
      <c r="T143" s="672"/>
      <c r="U143" s="672"/>
      <c r="V143" s="672"/>
      <c r="W143" s="672"/>
      <c r="X143" s="672"/>
      <c r="Y143" s="672"/>
      <c r="Z143" s="672"/>
    </row>
    <row r="144" spans="1:26" ht="12.75" customHeight="1">
      <c r="A144" s="672"/>
      <c r="B144" s="788"/>
      <c r="C144" s="788"/>
      <c r="D144" s="788"/>
      <c r="E144" s="788"/>
      <c r="F144" s="788"/>
      <c r="G144" s="788"/>
      <c r="H144" s="788"/>
      <c r="I144" s="788"/>
      <c r="J144" s="788"/>
      <c r="K144" s="788"/>
      <c r="L144" s="788"/>
      <c r="M144" s="788"/>
      <c r="N144" s="788"/>
      <c r="O144" s="788"/>
      <c r="P144" s="788"/>
      <c r="Q144" s="788"/>
      <c r="R144" s="672"/>
      <c r="S144" s="672"/>
      <c r="T144" s="672"/>
      <c r="U144" s="672"/>
      <c r="V144" s="672"/>
      <c r="W144" s="672"/>
      <c r="X144" s="672"/>
      <c r="Y144" s="672"/>
      <c r="Z144" s="672"/>
    </row>
    <row r="145" spans="1:26" ht="12.75" customHeight="1">
      <c r="A145" s="672"/>
      <c r="B145" s="788"/>
      <c r="C145" s="788"/>
      <c r="D145" s="788"/>
      <c r="E145" s="788"/>
      <c r="F145" s="788"/>
      <c r="G145" s="788"/>
      <c r="H145" s="788"/>
      <c r="I145" s="788"/>
      <c r="J145" s="788"/>
      <c r="K145" s="788"/>
      <c r="L145" s="788"/>
      <c r="M145" s="788"/>
      <c r="N145" s="788"/>
      <c r="O145" s="788"/>
      <c r="P145" s="788"/>
      <c r="Q145" s="788"/>
      <c r="R145" s="672"/>
      <c r="S145" s="672"/>
      <c r="T145" s="672"/>
      <c r="U145" s="672"/>
      <c r="V145" s="672"/>
      <c r="W145" s="672"/>
      <c r="X145" s="672"/>
      <c r="Y145" s="672"/>
      <c r="Z145" s="672"/>
    </row>
    <row r="146" spans="1:26" ht="12.75" customHeight="1">
      <c r="A146" s="672"/>
      <c r="B146" s="788"/>
      <c r="C146" s="788"/>
      <c r="D146" s="788"/>
      <c r="E146" s="788"/>
      <c r="F146" s="788"/>
      <c r="G146" s="788"/>
      <c r="H146" s="788"/>
      <c r="I146" s="788"/>
      <c r="J146" s="788"/>
      <c r="K146" s="788"/>
      <c r="L146" s="788"/>
      <c r="M146" s="788"/>
      <c r="N146" s="788"/>
      <c r="O146" s="788"/>
      <c r="P146" s="788"/>
      <c r="Q146" s="788"/>
      <c r="R146" s="672"/>
      <c r="S146" s="672"/>
      <c r="T146" s="672"/>
      <c r="U146" s="672"/>
      <c r="V146" s="672"/>
      <c r="W146" s="672"/>
      <c r="X146" s="672"/>
      <c r="Y146" s="672"/>
      <c r="Z146" s="672"/>
    </row>
    <row r="147" spans="1:26" ht="12.75" customHeight="1">
      <c r="A147" s="672"/>
      <c r="B147" s="788"/>
      <c r="C147" s="788"/>
      <c r="D147" s="788"/>
      <c r="E147" s="788"/>
      <c r="F147" s="788"/>
      <c r="G147" s="788"/>
      <c r="H147" s="788"/>
      <c r="I147" s="788"/>
      <c r="J147" s="788"/>
      <c r="K147" s="788"/>
      <c r="L147" s="788"/>
      <c r="M147" s="788"/>
      <c r="N147" s="788"/>
      <c r="O147" s="788"/>
      <c r="P147" s="788"/>
      <c r="Q147" s="788"/>
      <c r="R147" s="672"/>
      <c r="S147" s="672"/>
      <c r="T147" s="672"/>
      <c r="U147" s="672"/>
      <c r="V147" s="672"/>
      <c r="W147" s="672"/>
      <c r="X147" s="672"/>
      <c r="Y147" s="672"/>
      <c r="Z147" s="672"/>
    </row>
    <row r="148" spans="1:26" ht="12.75" customHeight="1">
      <c r="A148" s="672"/>
      <c r="B148" s="788"/>
      <c r="C148" s="788"/>
      <c r="D148" s="788"/>
      <c r="E148" s="788"/>
      <c r="F148" s="788"/>
      <c r="G148" s="788"/>
      <c r="H148" s="788"/>
      <c r="I148" s="788"/>
      <c r="J148" s="788"/>
      <c r="K148" s="788"/>
      <c r="L148" s="788"/>
      <c r="M148" s="788"/>
      <c r="N148" s="788"/>
      <c r="O148" s="788"/>
      <c r="P148" s="788"/>
      <c r="Q148" s="788"/>
      <c r="R148" s="672"/>
      <c r="S148" s="672"/>
      <c r="T148" s="672"/>
      <c r="U148" s="672"/>
      <c r="V148" s="672"/>
      <c r="W148" s="672"/>
      <c r="X148" s="672"/>
      <c r="Y148" s="672"/>
      <c r="Z148" s="672"/>
    </row>
    <row r="149" spans="1:26" ht="12.75" customHeight="1">
      <c r="A149" s="672"/>
      <c r="B149" s="788"/>
      <c r="C149" s="788"/>
      <c r="D149" s="788"/>
      <c r="E149" s="788"/>
      <c r="F149" s="788"/>
      <c r="G149" s="788"/>
      <c r="H149" s="788"/>
      <c r="I149" s="788"/>
      <c r="J149" s="788"/>
      <c r="K149" s="788"/>
      <c r="L149" s="788"/>
      <c r="M149" s="788"/>
      <c r="N149" s="788"/>
      <c r="O149" s="788"/>
      <c r="P149" s="788"/>
      <c r="Q149" s="788"/>
      <c r="R149" s="672"/>
      <c r="S149" s="672"/>
      <c r="T149" s="672"/>
      <c r="U149" s="672"/>
      <c r="V149" s="672"/>
      <c r="W149" s="672"/>
      <c r="X149" s="672"/>
      <c r="Y149" s="672"/>
      <c r="Z149" s="672"/>
    </row>
    <row r="150" spans="1:26" ht="12.75" customHeight="1">
      <c r="A150" s="672"/>
      <c r="B150" s="788"/>
      <c r="C150" s="788"/>
      <c r="D150" s="788"/>
      <c r="E150" s="788"/>
      <c r="F150" s="788"/>
      <c r="G150" s="788"/>
      <c r="H150" s="788"/>
      <c r="I150" s="788"/>
      <c r="J150" s="788"/>
      <c r="K150" s="788"/>
      <c r="L150" s="788"/>
      <c r="M150" s="788"/>
      <c r="N150" s="788"/>
      <c r="O150" s="788"/>
      <c r="P150" s="788"/>
      <c r="Q150" s="788"/>
      <c r="R150" s="672"/>
      <c r="S150" s="672"/>
      <c r="T150" s="672"/>
      <c r="U150" s="672"/>
      <c r="V150" s="672"/>
      <c r="W150" s="672"/>
      <c r="X150" s="672"/>
      <c r="Y150" s="672"/>
      <c r="Z150" s="672"/>
    </row>
    <row r="151" spans="1:26" ht="12.75" customHeight="1">
      <c r="A151" s="672"/>
      <c r="B151" s="788"/>
      <c r="C151" s="788"/>
      <c r="D151" s="788"/>
      <c r="E151" s="788"/>
      <c r="F151" s="788"/>
      <c r="G151" s="788"/>
      <c r="H151" s="788"/>
      <c r="I151" s="788"/>
      <c r="J151" s="788"/>
      <c r="K151" s="788"/>
      <c r="L151" s="788"/>
      <c r="M151" s="788"/>
      <c r="N151" s="788"/>
      <c r="O151" s="788"/>
      <c r="P151" s="788"/>
      <c r="Q151" s="788"/>
      <c r="R151" s="672"/>
      <c r="S151" s="672"/>
      <c r="T151" s="672"/>
      <c r="U151" s="672"/>
      <c r="V151" s="672"/>
      <c r="W151" s="672"/>
      <c r="X151" s="672"/>
      <c r="Y151" s="672"/>
      <c r="Z151" s="672"/>
    </row>
    <row r="152" spans="1:26" ht="12.75" customHeight="1">
      <c r="A152" s="672"/>
      <c r="B152" s="788"/>
      <c r="C152" s="788"/>
      <c r="D152" s="788"/>
      <c r="E152" s="788"/>
      <c r="F152" s="788"/>
      <c r="G152" s="788"/>
      <c r="H152" s="788"/>
      <c r="I152" s="788"/>
      <c r="J152" s="788"/>
      <c r="K152" s="788"/>
      <c r="L152" s="788"/>
      <c r="M152" s="788"/>
      <c r="N152" s="788"/>
      <c r="O152" s="788"/>
      <c r="P152" s="788"/>
      <c r="Q152" s="788"/>
      <c r="R152" s="672"/>
      <c r="S152" s="672"/>
      <c r="T152" s="672"/>
      <c r="U152" s="672"/>
      <c r="V152" s="672"/>
      <c r="W152" s="672"/>
      <c r="X152" s="672"/>
      <c r="Y152" s="672"/>
      <c r="Z152" s="672"/>
    </row>
    <row r="153" spans="1:26" ht="12.75" customHeight="1">
      <c r="A153" s="672"/>
      <c r="B153" s="788"/>
      <c r="C153" s="788"/>
      <c r="D153" s="788"/>
      <c r="E153" s="788"/>
      <c r="F153" s="788"/>
      <c r="G153" s="788"/>
      <c r="H153" s="788"/>
      <c r="I153" s="788"/>
      <c r="J153" s="788"/>
      <c r="K153" s="788"/>
      <c r="L153" s="788"/>
      <c r="M153" s="788"/>
      <c r="N153" s="788"/>
      <c r="O153" s="788"/>
      <c r="P153" s="788"/>
      <c r="Q153" s="788"/>
      <c r="R153" s="672"/>
      <c r="S153" s="672"/>
      <c r="T153" s="672"/>
      <c r="U153" s="672"/>
      <c r="V153" s="672"/>
      <c r="W153" s="672"/>
      <c r="X153" s="672"/>
      <c r="Y153" s="672"/>
      <c r="Z153" s="672"/>
    </row>
    <row r="154" spans="1:26" ht="12.75" customHeight="1">
      <c r="A154" s="672"/>
      <c r="B154" s="788"/>
      <c r="C154" s="788"/>
      <c r="D154" s="788"/>
      <c r="E154" s="788"/>
      <c r="F154" s="788"/>
      <c r="G154" s="788"/>
      <c r="H154" s="788"/>
      <c r="I154" s="788"/>
      <c r="J154" s="788"/>
      <c r="K154" s="788"/>
      <c r="L154" s="788"/>
      <c r="M154" s="788"/>
      <c r="N154" s="788"/>
      <c r="O154" s="788"/>
      <c r="P154" s="788"/>
      <c r="Q154" s="788"/>
      <c r="R154" s="672"/>
      <c r="S154" s="672"/>
      <c r="T154" s="672"/>
      <c r="U154" s="672"/>
      <c r="V154" s="672"/>
      <c r="W154" s="672"/>
      <c r="X154" s="672"/>
      <c r="Y154" s="672"/>
      <c r="Z154" s="672"/>
    </row>
    <row r="155" spans="1:26" ht="12.75" customHeight="1">
      <c r="A155" s="672"/>
      <c r="B155" s="788"/>
      <c r="C155" s="788"/>
      <c r="D155" s="788"/>
      <c r="E155" s="788"/>
      <c r="F155" s="788"/>
      <c r="G155" s="788"/>
      <c r="H155" s="788"/>
      <c r="I155" s="788"/>
      <c r="J155" s="788"/>
      <c r="K155" s="788"/>
      <c r="L155" s="788"/>
      <c r="M155" s="788"/>
      <c r="N155" s="788"/>
      <c r="O155" s="788"/>
      <c r="P155" s="788"/>
      <c r="Q155" s="788"/>
      <c r="R155" s="672"/>
      <c r="S155" s="672"/>
      <c r="T155" s="672"/>
      <c r="U155" s="672"/>
      <c r="V155" s="672"/>
      <c r="W155" s="672"/>
      <c r="X155" s="672"/>
      <c r="Y155" s="672"/>
      <c r="Z155" s="672"/>
    </row>
    <row r="156" spans="1:26" ht="12.75" customHeight="1">
      <c r="A156" s="672"/>
      <c r="B156" s="788"/>
      <c r="C156" s="788"/>
      <c r="D156" s="788"/>
      <c r="E156" s="788"/>
      <c r="F156" s="788"/>
      <c r="G156" s="788"/>
      <c r="H156" s="788"/>
      <c r="I156" s="788"/>
      <c r="J156" s="788"/>
      <c r="K156" s="788"/>
      <c r="L156" s="788"/>
      <c r="M156" s="788"/>
      <c r="N156" s="788"/>
      <c r="O156" s="788"/>
      <c r="P156" s="788"/>
      <c r="Q156" s="788"/>
      <c r="R156" s="672"/>
      <c r="S156" s="672"/>
      <c r="T156" s="672"/>
      <c r="U156" s="672"/>
      <c r="V156" s="672"/>
      <c r="W156" s="672"/>
      <c r="X156" s="672"/>
      <c r="Y156" s="672"/>
      <c r="Z156" s="672"/>
    </row>
    <row r="157" spans="1:26" ht="12.75" customHeight="1">
      <c r="A157" s="672"/>
      <c r="B157" s="788"/>
      <c r="C157" s="788"/>
      <c r="D157" s="788"/>
      <c r="E157" s="788"/>
      <c r="F157" s="788"/>
      <c r="G157" s="788"/>
      <c r="H157" s="788"/>
      <c r="I157" s="788"/>
      <c r="J157" s="788"/>
      <c r="K157" s="788"/>
      <c r="L157" s="788"/>
      <c r="M157" s="788"/>
      <c r="N157" s="788"/>
      <c r="O157" s="788"/>
      <c r="P157" s="788"/>
      <c r="Q157" s="788"/>
      <c r="R157" s="672"/>
      <c r="S157" s="672"/>
      <c r="T157" s="672"/>
      <c r="U157" s="672"/>
      <c r="V157" s="672"/>
      <c r="W157" s="672"/>
      <c r="X157" s="672"/>
      <c r="Y157" s="672"/>
      <c r="Z157" s="672"/>
    </row>
    <row r="158" spans="1:26" ht="12.75" customHeight="1">
      <c r="A158" s="672"/>
      <c r="B158" s="788"/>
      <c r="C158" s="788"/>
      <c r="D158" s="788"/>
      <c r="E158" s="788"/>
      <c r="F158" s="788"/>
      <c r="G158" s="788"/>
      <c r="H158" s="788"/>
      <c r="I158" s="788"/>
      <c r="J158" s="788"/>
      <c r="K158" s="788"/>
      <c r="L158" s="788"/>
      <c r="M158" s="788"/>
      <c r="N158" s="788"/>
      <c r="O158" s="788"/>
      <c r="P158" s="788"/>
      <c r="Q158" s="788"/>
      <c r="R158" s="672"/>
      <c r="S158" s="672"/>
      <c r="T158" s="672"/>
      <c r="U158" s="672"/>
      <c r="V158" s="672"/>
      <c r="W158" s="672"/>
      <c r="X158" s="672"/>
      <c r="Y158" s="672"/>
      <c r="Z158" s="672"/>
    </row>
    <row r="159" spans="1:26" ht="12.75" customHeight="1">
      <c r="A159" s="672"/>
      <c r="B159" s="788"/>
      <c r="C159" s="788"/>
      <c r="D159" s="788"/>
      <c r="E159" s="788"/>
      <c r="F159" s="788"/>
      <c r="G159" s="788"/>
      <c r="H159" s="788"/>
      <c r="I159" s="788"/>
      <c r="J159" s="788"/>
      <c r="K159" s="788"/>
      <c r="L159" s="788"/>
      <c r="M159" s="788"/>
      <c r="N159" s="788"/>
      <c r="O159" s="788"/>
      <c r="P159" s="788"/>
      <c r="Q159" s="788"/>
      <c r="R159" s="672"/>
      <c r="S159" s="672"/>
      <c r="T159" s="672"/>
      <c r="U159" s="672"/>
      <c r="V159" s="672"/>
      <c r="W159" s="672"/>
      <c r="X159" s="672"/>
      <c r="Y159" s="672"/>
      <c r="Z159" s="672"/>
    </row>
    <row r="160" spans="1:26" ht="12.75" customHeight="1">
      <c r="A160" s="672"/>
      <c r="B160" s="788"/>
      <c r="C160" s="788"/>
      <c r="D160" s="788"/>
      <c r="E160" s="788"/>
      <c r="F160" s="788"/>
      <c r="G160" s="788"/>
      <c r="H160" s="788"/>
      <c r="I160" s="788"/>
      <c r="J160" s="788"/>
      <c r="K160" s="788"/>
      <c r="L160" s="788"/>
      <c r="M160" s="788"/>
      <c r="N160" s="788"/>
      <c r="O160" s="788"/>
      <c r="P160" s="788"/>
      <c r="Q160" s="788"/>
      <c r="R160" s="672"/>
      <c r="S160" s="672"/>
      <c r="T160" s="672"/>
      <c r="U160" s="672"/>
      <c r="V160" s="672"/>
      <c r="W160" s="672"/>
      <c r="X160" s="672"/>
      <c r="Y160" s="672"/>
      <c r="Z160" s="672"/>
    </row>
    <row r="161" spans="1:26" ht="12.75" customHeight="1">
      <c r="A161" s="672"/>
      <c r="B161" s="788"/>
      <c r="C161" s="788"/>
      <c r="D161" s="788"/>
      <c r="E161" s="788"/>
      <c r="F161" s="788"/>
      <c r="G161" s="788"/>
      <c r="H161" s="788"/>
      <c r="I161" s="788"/>
      <c r="J161" s="788"/>
      <c r="K161" s="788"/>
      <c r="L161" s="788"/>
      <c r="M161" s="788"/>
      <c r="N161" s="788"/>
      <c r="O161" s="788"/>
      <c r="P161" s="788"/>
      <c r="Q161" s="788"/>
      <c r="R161" s="672"/>
      <c r="S161" s="672"/>
      <c r="T161" s="672"/>
      <c r="U161" s="672"/>
      <c r="V161" s="672"/>
      <c r="W161" s="672"/>
      <c r="X161" s="672"/>
      <c r="Y161" s="672"/>
      <c r="Z161" s="672"/>
    </row>
    <row r="162" spans="1:26" ht="12.75" customHeight="1">
      <c r="A162" s="672"/>
      <c r="B162" s="788"/>
      <c r="C162" s="788"/>
      <c r="D162" s="788"/>
      <c r="E162" s="788"/>
      <c r="F162" s="788"/>
      <c r="G162" s="788"/>
      <c r="H162" s="788"/>
      <c r="I162" s="788"/>
      <c r="J162" s="788"/>
      <c r="K162" s="788"/>
      <c r="L162" s="788"/>
      <c r="M162" s="788"/>
      <c r="N162" s="788"/>
      <c r="O162" s="788"/>
      <c r="P162" s="788"/>
      <c r="Q162" s="788"/>
      <c r="R162" s="672"/>
      <c r="S162" s="672"/>
      <c r="T162" s="672"/>
      <c r="U162" s="672"/>
      <c r="V162" s="672"/>
      <c r="W162" s="672"/>
      <c r="X162" s="672"/>
      <c r="Y162" s="672"/>
      <c r="Z162" s="672"/>
    </row>
    <row r="163" spans="1:26" ht="12.75" customHeight="1">
      <c r="A163" s="672"/>
      <c r="B163" s="788"/>
      <c r="C163" s="788"/>
      <c r="D163" s="788"/>
      <c r="E163" s="788"/>
      <c r="F163" s="788"/>
      <c r="G163" s="788"/>
      <c r="H163" s="788"/>
      <c r="I163" s="788"/>
      <c r="J163" s="788"/>
      <c r="K163" s="788"/>
      <c r="L163" s="788"/>
      <c r="M163" s="788"/>
      <c r="N163" s="788"/>
      <c r="O163" s="788"/>
      <c r="P163" s="788"/>
      <c r="Q163" s="788"/>
      <c r="R163" s="672"/>
      <c r="S163" s="672"/>
      <c r="T163" s="672"/>
      <c r="U163" s="672"/>
      <c r="V163" s="672"/>
      <c r="W163" s="672"/>
      <c r="X163" s="672"/>
      <c r="Y163" s="672"/>
      <c r="Z163" s="672"/>
    </row>
    <row r="164" spans="1:26" ht="12.75" customHeight="1">
      <c r="A164" s="672"/>
      <c r="B164" s="788"/>
      <c r="C164" s="788"/>
      <c r="D164" s="788"/>
      <c r="E164" s="788"/>
      <c r="F164" s="788"/>
      <c r="G164" s="788"/>
      <c r="H164" s="788"/>
      <c r="I164" s="788"/>
      <c r="J164" s="788"/>
      <c r="K164" s="788"/>
      <c r="L164" s="788"/>
      <c r="M164" s="788"/>
      <c r="N164" s="788"/>
      <c r="O164" s="788"/>
      <c r="P164" s="788"/>
      <c r="Q164" s="788"/>
      <c r="R164" s="672"/>
      <c r="S164" s="672"/>
      <c r="T164" s="672"/>
      <c r="U164" s="672"/>
      <c r="V164" s="672"/>
      <c r="W164" s="672"/>
      <c r="X164" s="672"/>
      <c r="Y164" s="672"/>
      <c r="Z164" s="672"/>
    </row>
    <row r="165" spans="1:26" ht="12.75" customHeight="1">
      <c r="A165" s="672"/>
      <c r="B165" s="788"/>
      <c r="C165" s="788"/>
      <c r="D165" s="788"/>
      <c r="E165" s="788"/>
      <c r="F165" s="788"/>
      <c r="G165" s="788"/>
      <c r="H165" s="788"/>
      <c r="I165" s="788"/>
      <c r="J165" s="788"/>
      <c r="K165" s="788"/>
      <c r="L165" s="788"/>
      <c r="M165" s="788"/>
      <c r="N165" s="788"/>
      <c r="O165" s="788"/>
      <c r="P165" s="788"/>
      <c r="Q165" s="788"/>
      <c r="R165" s="672"/>
      <c r="S165" s="672"/>
      <c r="T165" s="672"/>
      <c r="U165" s="672"/>
      <c r="V165" s="672"/>
      <c r="W165" s="672"/>
      <c r="X165" s="672"/>
      <c r="Y165" s="672"/>
      <c r="Z165" s="672"/>
    </row>
    <row r="166" spans="1:26" ht="12.75" customHeight="1">
      <c r="A166" s="672"/>
      <c r="B166" s="788"/>
      <c r="C166" s="788"/>
      <c r="D166" s="788"/>
      <c r="E166" s="788"/>
      <c r="F166" s="788"/>
      <c r="G166" s="788"/>
      <c r="H166" s="788"/>
      <c r="I166" s="788"/>
      <c r="J166" s="788"/>
      <c r="K166" s="788"/>
      <c r="L166" s="788"/>
      <c r="M166" s="788"/>
      <c r="N166" s="788"/>
      <c r="O166" s="788"/>
      <c r="P166" s="788"/>
      <c r="Q166" s="788"/>
      <c r="R166" s="672"/>
      <c r="S166" s="672"/>
      <c r="T166" s="672"/>
      <c r="U166" s="672"/>
      <c r="V166" s="672"/>
      <c r="W166" s="672"/>
      <c r="X166" s="672"/>
      <c r="Y166" s="672"/>
      <c r="Z166" s="672"/>
    </row>
    <row r="167" spans="1:26" ht="12.75" customHeight="1">
      <c r="A167" s="672"/>
      <c r="B167" s="788"/>
      <c r="C167" s="788"/>
      <c r="D167" s="788"/>
      <c r="E167" s="788"/>
      <c r="F167" s="788"/>
      <c r="G167" s="788"/>
      <c r="H167" s="788"/>
      <c r="I167" s="788"/>
      <c r="J167" s="788"/>
      <c r="K167" s="788"/>
      <c r="L167" s="788"/>
      <c r="M167" s="788"/>
      <c r="N167" s="788"/>
      <c r="O167" s="788"/>
      <c r="P167" s="788"/>
      <c r="Q167" s="788"/>
      <c r="R167" s="672"/>
      <c r="S167" s="672"/>
      <c r="T167" s="672"/>
      <c r="U167" s="672"/>
      <c r="V167" s="672"/>
      <c r="W167" s="672"/>
      <c r="X167" s="672"/>
      <c r="Y167" s="672"/>
      <c r="Z167" s="672"/>
    </row>
    <row r="168" spans="1:26" ht="12.75" customHeight="1">
      <c r="A168" s="672"/>
      <c r="B168" s="788"/>
      <c r="C168" s="788"/>
      <c r="D168" s="788"/>
      <c r="E168" s="788"/>
      <c r="F168" s="788"/>
      <c r="G168" s="788"/>
      <c r="H168" s="788"/>
      <c r="I168" s="788"/>
      <c r="J168" s="788"/>
      <c r="K168" s="788"/>
      <c r="L168" s="788"/>
      <c r="M168" s="788"/>
      <c r="N168" s="788"/>
      <c r="O168" s="788"/>
      <c r="P168" s="788"/>
      <c r="Q168" s="788"/>
      <c r="R168" s="672"/>
      <c r="S168" s="672"/>
      <c r="T168" s="672"/>
      <c r="U168" s="672"/>
      <c r="V168" s="672"/>
      <c r="W168" s="672"/>
      <c r="X168" s="672"/>
      <c r="Y168" s="672"/>
      <c r="Z168" s="672"/>
    </row>
    <row r="169" spans="1:26" ht="12.75" customHeight="1">
      <c r="A169" s="672"/>
      <c r="B169" s="788"/>
      <c r="C169" s="788"/>
      <c r="D169" s="788"/>
      <c r="E169" s="788"/>
      <c r="F169" s="788"/>
      <c r="G169" s="788"/>
      <c r="H169" s="788"/>
      <c r="I169" s="788"/>
      <c r="J169" s="788"/>
      <c r="K169" s="788"/>
      <c r="L169" s="788"/>
      <c r="M169" s="788"/>
      <c r="N169" s="788"/>
      <c r="O169" s="788"/>
      <c r="P169" s="788"/>
      <c r="Q169" s="788"/>
      <c r="R169" s="672"/>
      <c r="S169" s="672"/>
      <c r="T169" s="672"/>
      <c r="U169" s="672"/>
      <c r="V169" s="672"/>
      <c r="W169" s="672"/>
      <c r="X169" s="672"/>
      <c r="Y169" s="672"/>
      <c r="Z169" s="672"/>
    </row>
    <row r="170" spans="1:26" ht="12.75" customHeight="1">
      <c r="A170" s="672"/>
      <c r="B170" s="788"/>
      <c r="C170" s="788"/>
      <c r="D170" s="788"/>
      <c r="E170" s="788"/>
      <c r="F170" s="788"/>
      <c r="G170" s="788"/>
      <c r="H170" s="788"/>
      <c r="I170" s="788"/>
      <c r="J170" s="788"/>
      <c r="K170" s="788"/>
      <c r="L170" s="788"/>
      <c r="M170" s="788"/>
      <c r="N170" s="788"/>
      <c r="O170" s="788"/>
      <c r="P170" s="788"/>
      <c r="Q170" s="788"/>
      <c r="R170" s="672"/>
      <c r="S170" s="672"/>
      <c r="T170" s="672"/>
      <c r="U170" s="672"/>
      <c r="V170" s="672"/>
      <c r="W170" s="672"/>
      <c r="X170" s="672"/>
      <c r="Y170" s="672"/>
      <c r="Z170" s="672"/>
    </row>
    <row r="171" spans="1:26" ht="12.75" customHeight="1">
      <c r="A171" s="672"/>
      <c r="B171" s="788"/>
      <c r="C171" s="788"/>
      <c r="D171" s="788"/>
      <c r="E171" s="788"/>
      <c r="F171" s="788"/>
      <c r="G171" s="788"/>
      <c r="H171" s="788"/>
      <c r="I171" s="788"/>
      <c r="J171" s="788"/>
      <c r="K171" s="788"/>
      <c r="L171" s="788"/>
      <c r="M171" s="788"/>
      <c r="N171" s="788"/>
      <c r="O171" s="788"/>
      <c r="P171" s="788"/>
      <c r="Q171" s="788"/>
      <c r="R171" s="672"/>
      <c r="S171" s="672"/>
      <c r="T171" s="672"/>
      <c r="U171" s="672"/>
      <c r="V171" s="672"/>
      <c r="W171" s="672"/>
      <c r="X171" s="672"/>
      <c r="Y171" s="672"/>
      <c r="Z171" s="672"/>
    </row>
    <row r="172" spans="1:26" ht="12.75" customHeight="1">
      <c r="A172" s="672"/>
      <c r="B172" s="788"/>
      <c r="C172" s="788"/>
      <c r="D172" s="788"/>
      <c r="E172" s="788"/>
      <c r="F172" s="788"/>
      <c r="G172" s="788"/>
      <c r="H172" s="788"/>
      <c r="I172" s="788"/>
      <c r="J172" s="788"/>
      <c r="K172" s="788"/>
      <c r="L172" s="788"/>
      <c r="M172" s="788"/>
      <c r="N172" s="788"/>
      <c r="O172" s="788"/>
      <c r="P172" s="788"/>
      <c r="Q172" s="788"/>
      <c r="R172" s="672"/>
      <c r="S172" s="672"/>
      <c r="T172" s="672"/>
      <c r="U172" s="672"/>
      <c r="V172" s="672"/>
      <c r="W172" s="672"/>
      <c r="X172" s="672"/>
      <c r="Y172" s="672"/>
      <c r="Z172" s="672"/>
    </row>
    <row r="173" spans="1:26" ht="12.75" customHeight="1">
      <c r="A173" s="672"/>
      <c r="B173" s="788"/>
      <c r="C173" s="788"/>
      <c r="D173" s="788"/>
      <c r="E173" s="788"/>
      <c r="F173" s="788"/>
      <c r="G173" s="788"/>
      <c r="H173" s="788"/>
      <c r="I173" s="788"/>
      <c r="J173" s="788"/>
      <c r="K173" s="788"/>
      <c r="L173" s="788"/>
      <c r="M173" s="788"/>
      <c r="N173" s="788"/>
      <c r="O173" s="788"/>
      <c r="P173" s="788"/>
      <c r="Q173" s="788"/>
      <c r="R173" s="672"/>
      <c r="S173" s="672"/>
      <c r="T173" s="672"/>
      <c r="U173" s="672"/>
      <c r="V173" s="672"/>
      <c r="W173" s="672"/>
      <c r="X173" s="672"/>
      <c r="Y173" s="672"/>
      <c r="Z173" s="672"/>
    </row>
    <row r="174" spans="1:26" ht="12.75" customHeight="1">
      <c r="A174" s="672"/>
      <c r="B174" s="788"/>
      <c r="C174" s="788"/>
      <c r="D174" s="788"/>
      <c r="E174" s="788"/>
      <c r="F174" s="788"/>
      <c r="G174" s="788"/>
      <c r="H174" s="788"/>
      <c r="I174" s="788"/>
      <c r="J174" s="788"/>
      <c r="K174" s="788"/>
      <c r="L174" s="788"/>
      <c r="M174" s="788"/>
      <c r="N174" s="788"/>
      <c r="O174" s="788"/>
      <c r="P174" s="788"/>
      <c r="Q174" s="788"/>
      <c r="R174" s="672"/>
      <c r="S174" s="672"/>
      <c r="T174" s="672"/>
      <c r="U174" s="672"/>
      <c r="V174" s="672"/>
      <c r="W174" s="672"/>
      <c r="X174" s="672"/>
      <c r="Y174" s="672"/>
      <c r="Z174" s="672"/>
    </row>
    <row r="175" spans="1:26" ht="12.75" customHeight="1">
      <c r="A175" s="672"/>
      <c r="B175" s="788"/>
      <c r="C175" s="788"/>
      <c r="D175" s="788"/>
      <c r="E175" s="788"/>
      <c r="F175" s="788"/>
      <c r="G175" s="788"/>
      <c r="H175" s="788"/>
      <c r="I175" s="788"/>
      <c r="J175" s="788"/>
      <c r="K175" s="788"/>
      <c r="L175" s="788"/>
      <c r="M175" s="788"/>
      <c r="N175" s="788"/>
      <c r="O175" s="788"/>
      <c r="P175" s="788"/>
      <c r="Q175" s="788"/>
      <c r="R175" s="672"/>
      <c r="S175" s="672"/>
      <c r="T175" s="672"/>
      <c r="U175" s="672"/>
      <c r="V175" s="672"/>
      <c r="W175" s="672"/>
      <c r="X175" s="672"/>
      <c r="Y175" s="672"/>
      <c r="Z175" s="672"/>
    </row>
    <row r="176" spans="1:26" ht="12.75" customHeight="1">
      <c r="A176" s="672"/>
      <c r="B176" s="788"/>
      <c r="C176" s="788"/>
      <c r="D176" s="788"/>
      <c r="E176" s="788"/>
      <c r="F176" s="788"/>
      <c r="G176" s="788"/>
      <c r="H176" s="788"/>
      <c r="I176" s="788"/>
      <c r="J176" s="788"/>
      <c r="K176" s="788"/>
      <c r="L176" s="788"/>
      <c r="M176" s="788"/>
      <c r="N176" s="788"/>
      <c r="O176" s="788"/>
      <c r="P176" s="788"/>
      <c r="Q176" s="788"/>
      <c r="R176" s="672"/>
      <c r="S176" s="672"/>
      <c r="T176" s="672"/>
      <c r="U176" s="672"/>
      <c r="V176" s="672"/>
      <c r="W176" s="672"/>
      <c r="X176" s="672"/>
      <c r="Y176" s="672"/>
      <c r="Z176" s="672"/>
    </row>
    <row r="177" spans="1:26" ht="12.75" customHeight="1">
      <c r="A177" s="672"/>
      <c r="B177" s="788"/>
      <c r="C177" s="788"/>
      <c r="D177" s="788"/>
      <c r="E177" s="788"/>
      <c r="F177" s="788"/>
      <c r="G177" s="788"/>
      <c r="H177" s="788"/>
      <c r="I177" s="788"/>
      <c r="J177" s="788"/>
      <c r="K177" s="788"/>
      <c r="L177" s="788"/>
      <c r="M177" s="788"/>
      <c r="N177" s="788"/>
      <c r="O177" s="788"/>
      <c r="P177" s="788"/>
      <c r="Q177" s="788"/>
      <c r="R177" s="672"/>
      <c r="S177" s="672"/>
      <c r="T177" s="672"/>
      <c r="U177" s="672"/>
      <c r="V177" s="672"/>
      <c r="W177" s="672"/>
      <c r="X177" s="672"/>
      <c r="Y177" s="672"/>
      <c r="Z177" s="672"/>
    </row>
    <row r="178" spans="1:26" ht="12.75" customHeight="1">
      <c r="A178" s="672"/>
      <c r="B178" s="788"/>
      <c r="C178" s="788"/>
      <c r="D178" s="788"/>
      <c r="E178" s="788"/>
      <c r="F178" s="788"/>
      <c r="G178" s="788"/>
      <c r="H178" s="788"/>
      <c r="I178" s="788"/>
      <c r="J178" s="788"/>
      <c r="K178" s="788"/>
      <c r="L178" s="788"/>
      <c r="M178" s="788"/>
      <c r="N178" s="788"/>
      <c r="O178" s="788"/>
      <c r="P178" s="788"/>
      <c r="Q178" s="788"/>
      <c r="R178" s="672"/>
      <c r="S178" s="672"/>
      <c r="T178" s="672"/>
      <c r="U178" s="672"/>
      <c r="V178" s="672"/>
      <c r="W178" s="672"/>
      <c r="X178" s="672"/>
      <c r="Y178" s="672"/>
      <c r="Z178" s="672"/>
    </row>
    <row r="179" spans="1:26" ht="12.75" customHeight="1">
      <c r="A179" s="672"/>
      <c r="B179" s="788"/>
      <c r="C179" s="788"/>
      <c r="D179" s="788"/>
      <c r="E179" s="788"/>
      <c r="F179" s="788"/>
      <c r="G179" s="788"/>
      <c r="H179" s="788"/>
      <c r="I179" s="788"/>
      <c r="J179" s="788"/>
      <c r="K179" s="788"/>
      <c r="L179" s="788"/>
      <c r="M179" s="788"/>
      <c r="N179" s="788"/>
      <c r="O179" s="788"/>
      <c r="P179" s="788"/>
      <c r="Q179" s="788"/>
      <c r="R179" s="672"/>
      <c r="S179" s="672"/>
      <c r="T179" s="672"/>
      <c r="U179" s="672"/>
      <c r="V179" s="672"/>
      <c r="W179" s="672"/>
      <c r="X179" s="672"/>
      <c r="Y179" s="672"/>
      <c r="Z179" s="672"/>
    </row>
    <row r="180" spans="1:26" ht="12.75" customHeight="1">
      <c r="A180" s="672"/>
      <c r="B180" s="788"/>
      <c r="C180" s="788"/>
      <c r="D180" s="788"/>
      <c r="E180" s="788"/>
      <c r="F180" s="788"/>
      <c r="G180" s="788"/>
      <c r="H180" s="788"/>
      <c r="I180" s="788"/>
      <c r="J180" s="788"/>
      <c r="K180" s="788"/>
      <c r="L180" s="788"/>
      <c r="M180" s="788"/>
      <c r="N180" s="788"/>
      <c r="O180" s="788"/>
      <c r="P180" s="788"/>
      <c r="Q180" s="788"/>
      <c r="R180" s="672"/>
      <c r="S180" s="672"/>
      <c r="T180" s="672"/>
      <c r="U180" s="672"/>
      <c r="V180" s="672"/>
      <c r="W180" s="672"/>
      <c r="X180" s="672"/>
      <c r="Y180" s="672"/>
      <c r="Z180" s="672"/>
    </row>
    <row r="181" spans="1:26" ht="12.75" customHeight="1">
      <c r="A181" s="672"/>
      <c r="B181" s="788"/>
      <c r="C181" s="788"/>
      <c r="D181" s="788"/>
      <c r="E181" s="788"/>
      <c r="F181" s="788"/>
      <c r="G181" s="788"/>
      <c r="H181" s="788"/>
      <c r="I181" s="788"/>
      <c r="J181" s="788"/>
      <c r="K181" s="788"/>
      <c r="L181" s="788"/>
      <c r="M181" s="788"/>
      <c r="N181" s="788"/>
      <c r="O181" s="788"/>
      <c r="P181" s="788"/>
      <c r="Q181" s="788"/>
      <c r="R181" s="672"/>
      <c r="S181" s="672"/>
      <c r="T181" s="672"/>
      <c r="U181" s="672"/>
      <c r="V181" s="672"/>
      <c r="W181" s="672"/>
      <c r="X181" s="672"/>
      <c r="Y181" s="672"/>
      <c r="Z181" s="672"/>
    </row>
    <row r="182" spans="1:26" ht="12.75" customHeight="1">
      <c r="A182" s="672"/>
      <c r="B182" s="788"/>
      <c r="C182" s="788"/>
      <c r="D182" s="788"/>
      <c r="E182" s="788"/>
      <c r="F182" s="788"/>
      <c r="G182" s="788"/>
      <c r="H182" s="788"/>
      <c r="I182" s="788"/>
      <c r="J182" s="788"/>
      <c r="K182" s="788"/>
      <c r="L182" s="788"/>
      <c r="M182" s="788"/>
      <c r="N182" s="788"/>
      <c r="O182" s="788"/>
      <c r="P182" s="788"/>
      <c r="Q182" s="788"/>
      <c r="R182" s="672"/>
      <c r="S182" s="672"/>
      <c r="T182" s="672"/>
      <c r="U182" s="672"/>
      <c r="V182" s="672"/>
      <c r="W182" s="672"/>
      <c r="X182" s="672"/>
      <c r="Y182" s="672"/>
      <c r="Z182" s="672"/>
    </row>
    <row r="183" spans="1:26" ht="12.75" customHeight="1">
      <c r="A183" s="672"/>
      <c r="B183" s="788"/>
      <c r="C183" s="788"/>
      <c r="D183" s="788"/>
      <c r="E183" s="788"/>
      <c r="F183" s="788"/>
      <c r="G183" s="788"/>
      <c r="H183" s="788"/>
      <c r="I183" s="788"/>
      <c r="J183" s="788"/>
      <c r="K183" s="788"/>
      <c r="L183" s="788"/>
      <c r="M183" s="788"/>
      <c r="N183" s="788"/>
      <c r="O183" s="788"/>
      <c r="P183" s="788"/>
      <c r="Q183" s="788"/>
      <c r="R183" s="672"/>
      <c r="S183" s="672"/>
      <c r="T183" s="672"/>
      <c r="U183" s="672"/>
      <c r="V183" s="672"/>
      <c r="W183" s="672"/>
      <c r="X183" s="672"/>
      <c r="Y183" s="672"/>
      <c r="Z183" s="672"/>
    </row>
    <row r="184" spans="1:26" ht="12.75" customHeight="1">
      <c r="A184" s="672"/>
      <c r="B184" s="788"/>
      <c r="C184" s="788"/>
      <c r="D184" s="788"/>
      <c r="E184" s="788"/>
      <c r="F184" s="788"/>
      <c r="G184" s="788"/>
      <c r="H184" s="788"/>
      <c r="I184" s="788"/>
      <c r="J184" s="788"/>
      <c r="K184" s="788"/>
      <c r="L184" s="788"/>
      <c r="M184" s="788"/>
      <c r="N184" s="788"/>
      <c r="O184" s="788"/>
      <c r="P184" s="788"/>
      <c r="Q184" s="788"/>
      <c r="R184" s="672"/>
      <c r="S184" s="672"/>
      <c r="T184" s="672"/>
      <c r="U184" s="672"/>
      <c r="V184" s="672"/>
      <c r="W184" s="672"/>
      <c r="X184" s="672"/>
      <c r="Y184" s="672"/>
      <c r="Z184" s="672"/>
    </row>
    <row r="185" spans="1:26" ht="12.75" customHeight="1">
      <c r="A185" s="672"/>
      <c r="B185" s="788"/>
      <c r="C185" s="788"/>
      <c r="D185" s="788"/>
      <c r="E185" s="788"/>
      <c r="F185" s="788"/>
      <c r="G185" s="788"/>
      <c r="H185" s="788"/>
      <c r="I185" s="788"/>
      <c r="J185" s="788"/>
      <c r="K185" s="788"/>
      <c r="L185" s="788"/>
      <c r="M185" s="788"/>
      <c r="N185" s="788"/>
      <c r="O185" s="788"/>
      <c r="P185" s="788"/>
      <c r="Q185" s="788"/>
      <c r="R185" s="672"/>
      <c r="S185" s="672"/>
      <c r="T185" s="672"/>
      <c r="U185" s="672"/>
      <c r="V185" s="672"/>
      <c r="W185" s="672"/>
      <c r="X185" s="672"/>
      <c r="Y185" s="672"/>
      <c r="Z185" s="672"/>
    </row>
    <row r="186" spans="1:26" ht="12.75" customHeight="1">
      <c r="A186" s="672"/>
      <c r="B186" s="788"/>
      <c r="C186" s="788"/>
      <c r="D186" s="788"/>
      <c r="E186" s="788"/>
      <c r="F186" s="788"/>
      <c r="G186" s="788"/>
      <c r="H186" s="788"/>
      <c r="I186" s="788"/>
      <c r="J186" s="788"/>
      <c r="K186" s="788"/>
      <c r="L186" s="788"/>
      <c r="M186" s="788"/>
      <c r="N186" s="788"/>
      <c r="O186" s="788"/>
      <c r="P186" s="788"/>
      <c r="Q186" s="788"/>
      <c r="R186" s="672"/>
      <c r="S186" s="672"/>
      <c r="T186" s="672"/>
      <c r="U186" s="672"/>
      <c r="V186" s="672"/>
      <c r="W186" s="672"/>
      <c r="X186" s="672"/>
      <c r="Y186" s="672"/>
      <c r="Z186" s="672"/>
    </row>
    <row r="187" spans="1:26" ht="12.75" customHeight="1">
      <c r="A187" s="672"/>
      <c r="B187" s="788"/>
      <c r="C187" s="788"/>
      <c r="D187" s="788"/>
      <c r="E187" s="788"/>
      <c r="F187" s="788"/>
      <c r="G187" s="788"/>
      <c r="H187" s="788"/>
      <c r="I187" s="788"/>
      <c r="J187" s="788"/>
      <c r="K187" s="788"/>
      <c r="L187" s="788"/>
      <c r="M187" s="788"/>
      <c r="N187" s="788"/>
      <c r="O187" s="788"/>
      <c r="P187" s="788"/>
      <c r="Q187" s="788"/>
      <c r="R187" s="672"/>
      <c r="S187" s="672"/>
      <c r="T187" s="672"/>
      <c r="U187" s="672"/>
      <c r="V187" s="672"/>
      <c r="W187" s="672"/>
      <c r="X187" s="672"/>
      <c r="Y187" s="672"/>
      <c r="Z187" s="672"/>
    </row>
    <row r="188" spans="1:26" ht="12.75" customHeight="1">
      <c r="A188" s="672"/>
      <c r="B188" s="788"/>
      <c r="C188" s="788"/>
      <c r="D188" s="788"/>
      <c r="E188" s="788"/>
      <c r="F188" s="788"/>
      <c r="G188" s="788"/>
      <c r="H188" s="788"/>
      <c r="I188" s="788"/>
      <c r="J188" s="788"/>
      <c r="K188" s="788"/>
      <c r="L188" s="788"/>
      <c r="M188" s="788"/>
      <c r="N188" s="788"/>
      <c r="O188" s="788"/>
      <c r="P188" s="788"/>
      <c r="Q188" s="788"/>
      <c r="R188" s="672"/>
      <c r="S188" s="672"/>
      <c r="T188" s="672"/>
      <c r="U188" s="672"/>
      <c r="V188" s="672"/>
      <c r="W188" s="672"/>
      <c r="X188" s="672"/>
      <c r="Y188" s="672"/>
      <c r="Z188" s="672"/>
    </row>
    <row r="189" spans="1:26" ht="12.75" customHeight="1">
      <c r="A189" s="672"/>
      <c r="B189" s="788"/>
      <c r="C189" s="788"/>
      <c r="D189" s="788"/>
      <c r="E189" s="788"/>
      <c r="F189" s="788"/>
      <c r="G189" s="788"/>
      <c r="H189" s="788"/>
      <c r="I189" s="788"/>
      <c r="J189" s="788"/>
      <c r="K189" s="788"/>
      <c r="L189" s="788"/>
      <c r="M189" s="788"/>
      <c r="N189" s="788"/>
      <c r="O189" s="788"/>
      <c r="P189" s="788"/>
      <c r="Q189" s="788"/>
      <c r="R189" s="672"/>
      <c r="S189" s="672"/>
      <c r="T189" s="672"/>
      <c r="U189" s="672"/>
      <c r="V189" s="672"/>
      <c r="W189" s="672"/>
      <c r="X189" s="672"/>
      <c r="Y189" s="672"/>
      <c r="Z189" s="672"/>
    </row>
    <row r="190" spans="1:26" ht="12.75" customHeight="1">
      <c r="A190" s="672"/>
      <c r="B190" s="788"/>
      <c r="C190" s="788"/>
      <c r="D190" s="788"/>
      <c r="E190" s="788"/>
      <c r="F190" s="788"/>
      <c r="G190" s="788"/>
      <c r="H190" s="788"/>
      <c r="I190" s="788"/>
      <c r="J190" s="788"/>
      <c r="K190" s="788"/>
      <c r="L190" s="788"/>
      <c r="M190" s="788"/>
      <c r="N190" s="788"/>
      <c r="O190" s="788"/>
      <c r="P190" s="788"/>
      <c r="Q190" s="788"/>
      <c r="R190" s="672"/>
      <c r="S190" s="672"/>
      <c r="T190" s="672"/>
      <c r="U190" s="672"/>
      <c r="V190" s="672"/>
      <c r="W190" s="672"/>
      <c r="X190" s="672"/>
      <c r="Y190" s="672"/>
      <c r="Z190" s="672"/>
    </row>
    <row r="191" spans="1:26" ht="12.75" customHeight="1">
      <c r="A191" s="672"/>
      <c r="B191" s="788"/>
      <c r="C191" s="788"/>
      <c r="D191" s="788"/>
      <c r="E191" s="788"/>
      <c r="F191" s="788"/>
      <c r="G191" s="788"/>
      <c r="H191" s="788"/>
      <c r="I191" s="788"/>
      <c r="J191" s="788"/>
      <c r="K191" s="788"/>
      <c r="L191" s="788"/>
      <c r="M191" s="788"/>
      <c r="N191" s="788"/>
      <c r="O191" s="788"/>
      <c r="P191" s="788"/>
      <c r="Q191" s="788"/>
      <c r="R191" s="672"/>
      <c r="S191" s="672"/>
      <c r="T191" s="672"/>
      <c r="U191" s="672"/>
      <c r="V191" s="672"/>
      <c r="W191" s="672"/>
      <c r="X191" s="672"/>
      <c r="Y191" s="672"/>
      <c r="Z191" s="672"/>
    </row>
    <row r="192" spans="1:26" ht="12.75" customHeight="1">
      <c r="A192" s="672"/>
      <c r="B192" s="788"/>
      <c r="C192" s="788"/>
      <c r="D192" s="788"/>
      <c r="E192" s="788"/>
      <c r="F192" s="788"/>
      <c r="G192" s="788"/>
      <c r="H192" s="788"/>
      <c r="I192" s="788"/>
      <c r="J192" s="788"/>
      <c r="K192" s="788"/>
      <c r="L192" s="788"/>
      <c r="M192" s="788"/>
      <c r="N192" s="788"/>
      <c r="O192" s="788"/>
      <c r="P192" s="788"/>
      <c r="Q192" s="788"/>
      <c r="R192" s="672"/>
      <c r="S192" s="672"/>
      <c r="T192" s="672"/>
      <c r="U192" s="672"/>
      <c r="V192" s="672"/>
      <c r="W192" s="672"/>
      <c r="X192" s="672"/>
      <c r="Y192" s="672"/>
      <c r="Z192" s="672"/>
    </row>
    <row r="193" spans="1:26" ht="12.75" customHeight="1">
      <c r="A193" s="672"/>
      <c r="B193" s="788"/>
      <c r="C193" s="788"/>
      <c r="D193" s="788"/>
      <c r="E193" s="788"/>
      <c r="F193" s="788"/>
      <c r="G193" s="788"/>
      <c r="H193" s="788"/>
      <c r="I193" s="788"/>
      <c r="J193" s="788"/>
      <c r="K193" s="788"/>
      <c r="L193" s="788"/>
      <c r="M193" s="788"/>
      <c r="N193" s="788"/>
      <c r="O193" s="788"/>
      <c r="P193" s="788"/>
      <c r="Q193" s="788"/>
      <c r="R193" s="672"/>
      <c r="S193" s="672"/>
      <c r="T193" s="672"/>
      <c r="U193" s="672"/>
      <c r="V193" s="672"/>
      <c r="W193" s="672"/>
      <c r="X193" s="672"/>
      <c r="Y193" s="672"/>
      <c r="Z193" s="672"/>
    </row>
    <row r="194" spans="1:26" ht="12.75" customHeight="1">
      <c r="A194" s="672"/>
      <c r="B194" s="788"/>
      <c r="C194" s="788"/>
      <c r="D194" s="788"/>
      <c r="E194" s="788"/>
      <c r="F194" s="788"/>
      <c r="G194" s="788"/>
      <c r="H194" s="788"/>
      <c r="I194" s="788"/>
      <c r="J194" s="788"/>
      <c r="K194" s="788"/>
      <c r="L194" s="788"/>
      <c r="M194" s="788"/>
      <c r="N194" s="788"/>
      <c r="O194" s="788"/>
      <c r="P194" s="788"/>
      <c r="Q194" s="788"/>
      <c r="R194" s="672"/>
      <c r="S194" s="672"/>
      <c r="T194" s="672"/>
      <c r="U194" s="672"/>
      <c r="V194" s="672"/>
      <c r="W194" s="672"/>
      <c r="X194" s="672"/>
      <c r="Y194" s="672"/>
      <c r="Z194" s="672"/>
    </row>
    <row r="195" spans="1:26" ht="12.75" customHeight="1">
      <c r="A195" s="672"/>
      <c r="B195" s="788"/>
      <c r="C195" s="788"/>
      <c r="D195" s="788"/>
      <c r="E195" s="788"/>
      <c r="F195" s="788"/>
      <c r="G195" s="788"/>
      <c r="H195" s="788"/>
      <c r="I195" s="788"/>
      <c r="J195" s="788"/>
      <c r="K195" s="788"/>
      <c r="L195" s="788"/>
      <c r="M195" s="788"/>
      <c r="N195" s="788"/>
      <c r="O195" s="788"/>
      <c r="P195" s="788"/>
      <c r="Q195" s="788"/>
      <c r="R195" s="672"/>
      <c r="S195" s="672"/>
      <c r="T195" s="672"/>
      <c r="U195" s="672"/>
      <c r="V195" s="672"/>
      <c r="W195" s="672"/>
      <c r="X195" s="672"/>
      <c r="Y195" s="672"/>
      <c r="Z195" s="672"/>
    </row>
    <row r="196" spans="1:26" ht="12.75" customHeight="1">
      <c r="A196" s="672"/>
      <c r="B196" s="788"/>
      <c r="C196" s="788"/>
      <c r="D196" s="788"/>
      <c r="E196" s="788"/>
      <c r="F196" s="788"/>
      <c r="G196" s="788"/>
      <c r="H196" s="788"/>
      <c r="I196" s="788"/>
      <c r="J196" s="788"/>
      <c r="K196" s="788"/>
      <c r="L196" s="788"/>
      <c r="M196" s="788"/>
      <c r="N196" s="788"/>
      <c r="O196" s="788"/>
      <c r="P196" s="788"/>
      <c r="Q196" s="788"/>
      <c r="R196" s="672"/>
      <c r="S196" s="672"/>
      <c r="T196" s="672"/>
      <c r="U196" s="672"/>
      <c r="V196" s="672"/>
      <c r="W196" s="672"/>
      <c r="X196" s="672"/>
      <c r="Y196" s="672"/>
      <c r="Z196" s="672"/>
    </row>
    <row r="197" spans="1:26" ht="12.75" customHeight="1">
      <c r="A197" s="672"/>
      <c r="B197" s="788"/>
      <c r="C197" s="788"/>
      <c r="D197" s="788"/>
      <c r="E197" s="788"/>
      <c r="F197" s="788"/>
      <c r="G197" s="788"/>
      <c r="H197" s="788"/>
      <c r="I197" s="788"/>
      <c r="J197" s="788"/>
      <c r="K197" s="788"/>
      <c r="L197" s="788"/>
      <c r="M197" s="788"/>
      <c r="N197" s="788"/>
      <c r="O197" s="788"/>
      <c r="P197" s="788"/>
      <c r="Q197" s="788"/>
      <c r="R197" s="672"/>
      <c r="S197" s="672"/>
      <c r="T197" s="672"/>
      <c r="U197" s="672"/>
      <c r="V197" s="672"/>
      <c r="W197" s="672"/>
      <c r="X197" s="672"/>
      <c r="Y197" s="672"/>
      <c r="Z197" s="672"/>
    </row>
    <row r="198" spans="1:26" ht="12.75" customHeight="1">
      <c r="A198" s="672"/>
      <c r="B198" s="788"/>
      <c r="C198" s="788"/>
      <c r="D198" s="788"/>
      <c r="E198" s="788"/>
      <c r="F198" s="788"/>
      <c r="G198" s="788"/>
      <c r="H198" s="788"/>
      <c r="I198" s="788"/>
      <c r="J198" s="788"/>
      <c r="K198" s="788"/>
      <c r="L198" s="788"/>
      <c r="M198" s="788"/>
      <c r="N198" s="788"/>
      <c r="O198" s="788"/>
      <c r="P198" s="788"/>
      <c r="Q198" s="788"/>
      <c r="R198" s="672"/>
      <c r="S198" s="672"/>
      <c r="T198" s="672"/>
      <c r="U198" s="672"/>
      <c r="V198" s="672"/>
      <c r="W198" s="672"/>
      <c r="X198" s="672"/>
      <c r="Y198" s="672"/>
      <c r="Z198" s="672"/>
    </row>
    <row r="199" spans="1:26" ht="12.75" customHeight="1">
      <c r="A199" s="672"/>
      <c r="B199" s="788"/>
      <c r="C199" s="788"/>
      <c r="D199" s="788"/>
      <c r="E199" s="788"/>
      <c r="F199" s="788"/>
      <c r="G199" s="788"/>
      <c r="H199" s="788"/>
      <c r="I199" s="788"/>
      <c r="J199" s="788"/>
      <c r="K199" s="788"/>
      <c r="L199" s="788"/>
      <c r="M199" s="788"/>
      <c r="N199" s="788"/>
      <c r="O199" s="788"/>
      <c r="P199" s="788"/>
      <c r="Q199" s="788"/>
      <c r="R199" s="672"/>
      <c r="S199" s="672"/>
      <c r="T199" s="672"/>
      <c r="U199" s="672"/>
      <c r="V199" s="672"/>
      <c r="W199" s="672"/>
      <c r="X199" s="672"/>
      <c r="Y199" s="672"/>
      <c r="Z199" s="672"/>
    </row>
    <row r="200" spans="1:26" ht="12.75" customHeight="1">
      <c r="A200" s="672"/>
      <c r="B200" s="788"/>
      <c r="C200" s="788"/>
      <c r="D200" s="788"/>
      <c r="E200" s="788"/>
      <c r="F200" s="788"/>
      <c r="G200" s="788"/>
      <c r="H200" s="788"/>
      <c r="I200" s="788"/>
      <c r="J200" s="788"/>
      <c r="K200" s="788"/>
      <c r="L200" s="788"/>
      <c r="M200" s="788"/>
      <c r="N200" s="788"/>
      <c r="O200" s="788"/>
      <c r="P200" s="788"/>
      <c r="Q200" s="788"/>
      <c r="R200" s="672"/>
      <c r="S200" s="672"/>
      <c r="T200" s="672"/>
      <c r="U200" s="672"/>
      <c r="V200" s="672"/>
      <c r="W200" s="672"/>
      <c r="X200" s="672"/>
      <c r="Y200" s="672"/>
      <c r="Z200" s="672"/>
    </row>
    <row r="201" spans="1:26" ht="12.75" customHeight="1">
      <c r="A201" s="672"/>
      <c r="B201" s="788"/>
      <c r="C201" s="788"/>
      <c r="D201" s="788"/>
      <c r="E201" s="788"/>
      <c r="F201" s="788"/>
      <c r="G201" s="788"/>
      <c r="H201" s="788"/>
      <c r="I201" s="788"/>
      <c r="J201" s="788"/>
      <c r="K201" s="788"/>
      <c r="L201" s="788"/>
      <c r="M201" s="788"/>
      <c r="N201" s="788"/>
      <c r="O201" s="788"/>
      <c r="P201" s="788"/>
      <c r="Q201" s="788"/>
      <c r="R201" s="672"/>
      <c r="S201" s="672"/>
      <c r="T201" s="672"/>
      <c r="U201" s="672"/>
      <c r="V201" s="672"/>
      <c r="W201" s="672"/>
      <c r="X201" s="672"/>
      <c r="Y201" s="672"/>
      <c r="Z201" s="672"/>
    </row>
    <row r="202" spans="1:26" ht="12.75" customHeight="1">
      <c r="A202" s="672"/>
      <c r="B202" s="788"/>
      <c r="C202" s="788"/>
      <c r="D202" s="788"/>
      <c r="E202" s="788"/>
      <c r="F202" s="788"/>
      <c r="G202" s="788"/>
      <c r="H202" s="788"/>
      <c r="I202" s="788"/>
      <c r="J202" s="788"/>
      <c r="K202" s="788"/>
      <c r="L202" s="788"/>
      <c r="M202" s="788"/>
      <c r="N202" s="788"/>
      <c r="O202" s="788"/>
      <c r="P202" s="788"/>
      <c r="Q202" s="788"/>
      <c r="R202" s="672"/>
      <c r="S202" s="672"/>
      <c r="T202" s="672"/>
      <c r="U202" s="672"/>
      <c r="V202" s="672"/>
      <c r="W202" s="672"/>
      <c r="X202" s="672"/>
      <c r="Y202" s="672"/>
      <c r="Z202" s="672"/>
    </row>
    <row r="203" spans="1:26" ht="12.75" customHeight="1">
      <c r="A203" s="672"/>
      <c r="B203" s="788"/>
      <c r="C203" s="788"/>
      <c r="D203" s="788"/>
      <c r="E203" s="788"/>
      <c r="F203" s="788"/>
      <c r="G203" s="788"/>
      <c r="H203" s="788"/>
      <c r="I203" s="788"/>
      <c r="J203" s="788"/>
      <c r="K203" s="788"/>
      <c r="L203" s="788"/>
      <c r="M203" s="788"/>
      <c r="N203" s="788"/>
      <c r="O203" s="788"/>
      <c r="P203" s="788"/>
      <c r="Q203" s="788"/>
      <c r="R203" s="672"/>
      <c r="S203" s="672"/>
      <c r="T203" s="672"/>
      <c r="U203" s="672"/>
      <c r="V203" s="672"/>
      <c r="W203" s="672"/>
      <c r="X203" s="672"/>
      <c r="Y203" s="672"/>
      <c r="Z203" s="672"/>
    </row>
    <row r="204" spans="1:26" ht="12.75" customHeight="1">
      <c r="A204" s="672"/>
      <c r="B204" s="788"/>
      <c r="C204" s="788"/>
      <c r="D204" s="788"/>
      <c r="E204" s="788"/>
      <c r="F204" s="788"/>
      <c r="G204" s="788"/>
      <c r="H204" s="788"/>
      <c r="I204" s="788"/>
      <c r="J204" s="788"/>
      <c r="K204" s="788"/>
      <c r="L204" s="788"/>
      <c r="M204" s="788"/>
      <c r="N204" s="788"/>
      <c r="O204" s="788"/>
      <c r="P204" s="788"/>
      <c r="Q204" s="788"/>
      <c r="R204" s="672"/>
      <c r="S204" s="672"/>
      <c r="T204" s="672"/>
      <c r="U204" s="672"/>
      <c r="V204" s="672"/>
      <c r="W204" s="672"/>
      <c r="X204" s="672"/>
      <c r="Y204" s="672"/>
      <c r="Z204" s="672"/>
    </row>
    <row r="205" spans="1:26" ht="12.75" customHeight="1">
      <c r="A205" s="672"/>
      <c r="B205" s="788"/>
      <c r="C205" s="788"/>
      <c r="D205" s="788"/>
      <c r="E205" s="788"/>
      <c r="F205" s="788"/>
      <c r="G205" s="788"/>
      <c r="H205" s="788"/>
      <c r="I205" s="788"/>
      <c r="J205" s="788"/>
      <c r="K205" s="788"/>
      <c r="L205" s="788"/>
      <c r="M205" s="788"/>
      <c r="N205" s="788"/>
      <c r="O205" s="788"/>
      <c r="P205" s="788"/>
      <c r="Q205" s="788"/>
      <c r="R205" s="672"/>
      <c r="S205" s="672"/>
      <c r="T205" s="672"/>
      <c r="U205" s="672"/>
      <c r="V205" s="672"/>
      <c r="W205" s="672"/>
      <c r="X205" s="672"/>
      <c r="Y205" s="672"/>
      <c r="Z205" s="672"/>
    </row>
    <row r="206" spans="1:26" ht="12.75" customHeight="1">
      <c r="A206" s="672"/>
      <c r="B206" s="788"/>
      <c r="C206" s="788"/>
      <c r="D206" s="788"/>
      <c r="E206" s="788"/>
      <c r="F206" s="788"/>
      <c r="G206" s="788"/>
      <c r="H206" s="788"/>
      <c r="I206" s="788"/>
      <c r="J206" s="788"/>
      <c r="K206" s="788"/>
      <c r="L206" s="788"/>
      <c r="M206" s="788"/>
      <c r="N206" s="788"/>
      <c r="O206" s="788"/>
      <c r="P206" s="788"/>
      <c r="Q206" s="788"/>
      <c r="R206" s="672"/>
      <c r="S206" s="672"/>
      <c r="T206" s="672"/>
      <c r="U206" s="672"/>
      <c r="V206" s="672"/>
      <c r="W206" s="672"/>
      <c r="X206" s="672"/>
      <c r="Y206" s="672"/>
      <c r="Z206" s="672"/>
    </row>
    <row r="207" spans="1:26" ht="12.75" customHeight="1">
      <c r="A207" s="672"/>
      <c r="B207" s="788"/>
      <c r="C207" s="788"/>
      <c r="D207" s="788"/>
      <c r="E207" s="788"/>
      <c r="F207" s="788"/>
      <c r="G207" s="788"/>
      <c r="H207" s="788"/>
      <c r="I207" s="788"/>
      <c r="J207" s="788"/>
      <c r="K207" s="788"/>
      <c r="L207" s="788"/>
      <c r="M207" s="788"/>
      <c r="N207" s="788"/>
      <c r="O207" s="788"/>
      <c r="P207" s="788"/>
      <c r="Q207" s="788"/>
      <c r="R207" s="672"/>
      <c r="S207" s="672"/>
      <c r="T207" s="672"/>
      <c r="U207" s="672"/>
      <c r="V207" s="672"/>
      <c r="W207" s="672"/>
      <c r="X207" s="672"/>
      <c r="Y207" s="672"/>
      <c r="Z207" s="672"/>
    </row>
    <row r="208" spans="1:26" ht="12.75" customHeight="1">
      <c r="A208" s="672"/>
      <c r="B208" s="788"/>
      <c r="C208" s="788"/>
      <c r="D208" s="788"/>
      <c r="E208" s="788"/>
      <c r="F208" s="788"/>
      <c r="G208" s="788"/>
      <c r="H208" s="788"/>
      <c r="I208" s="788"/>
      <c r="J208" s="788"/>
      <c r="K208" s="788"/>
      <c r="L208" s="788"/>
      <c r="M208" s="788"/>
      <c r="N208" s="788"/>
      <c r="O208" s="788"/>
      <c r="P208" s="788"/>
      <c r="Q208" s="788"/>
      <c r="R208" s="672"/>
      <c r="S208" s="672"/>
      <c r="T208" s="672"/>
      <c r="U208" s="672"/>
      <c r="V208" s="672"/>
      <c r="W208" s="672"/>
      <c r="X208" s="672"/>
      <c r="Y208" s="672"/>
      <c r="Z208" s="672"/>
    </row>
    <row r="209" spans="1:26" ht="12.75" customHeight="1">
      <c r="A209" s="672"/>
      <c r="B209" s="788"/>
      <c r="C209" s="788"/>
      <c r="D209" s="788"/>
      <c r="E209" s="788"/>
      <c r="F209" s="788"/>
      <c r="G209" s="788"/>
      <c r="H209" s="788"/>
      <c r="I209" s="788"/>
      <c r="J209" s="788"/>
      <c r="K209" s="788"/>
      <c r="L209" s="788"/>
      <c r="M209" s="788"/>
      <c r="N209" s="788"/>
      <c r="O209" s="788"/>
      <c r="P209" s="788"/>
      <c r="Q209" s="788"/>
      <c r="R209" s="672"/>
      <c r="S209" s="672"/>
      <c r="T209" s="672"/>
      <c r="U209" s="672"/>
      <c r="V209" s="672"/>
      <c r="W209" s="672"/>
      <c r="X209" s="672"/>
      <c r="Y209" s="672"/>
      <c r="Z209" s="672"/>
    </row>
    <row r="210" spans="1:26" ht="12.75" customHeight="1">
      <c r="A210" s="672"/>
      <c r="B210" s="788"/>
      <c r="C210" s="788"/>
      <c r="D210" s="788"/>
      <c r="E210" s="788"/>
      <c r="F210" s="788"/>
      <c r="G210" s="788"/>
      <c r="H210" s="788"/>
      <c r="I210" s="788"/>
      <c r="J210" s="788"/>
      <c r="K210" s="788"/>
      <c r="L210" s="788"/>
      <c r="M210" s="788"/>
      <c r="N210" s="788"/>
      <c r="O210" s="788"/>
      <c r="P210" s="788"/>
      <c r="Q210" s="788"/>
      <c r="R210" s="672"/>
      <c r="S210" s="672"/>
      <c r="T210" s="672"/>
      <c r="U210" s="672"/>
      <c r="V210" s="672"/>
      <c r="W210" s="672"/>
      <c r="X210" s="672"/>
      <c r="Y210" s="672"/>
      <c r="Z210" s="672"/>
    </row>
    <row r="211" spans="1:26" ht="12.75" customHeight="1">
      <c r="A211" s="672"/>
      <c r="B211" s="788"/>
      <c r="C211" s="788"/>
      <c r="D211" s="788"/>
      <c r="E211" s="788"/>
      <c r="F211" s="788"/>
      <c r="G211" s="788"/>
      <c r="H211" s="788"/>
      <c r="I211" s="788"/>
      <c r="J211" s="788"/>
      <c r="K211" s="788"/>
      <c r="L211" s="788"/>
      <c r="M211" s="788"/>
      <c r="N211" s="788"/>
      <c r="O211" s="788"/>
      <c r="P211" s="788"/>
      <c r="Q211" s="788"/>
      <c r="R211" s="672"/>
      <c r="S211" s="672"/>
      <c r="T211" s="672"/>
      <c r="U211" s="672"/>
      <c r="V211" s="672"/>
      <c r="W211" s="672"/>
      <c r="X211" s="672"/>
      <c r="Y211" s="672"/>
      <c r="Z211" s="672"/>
    </row>
    <row r="212" spans="1:26" ht="12.75" customHeight="1">
      <c r="A212" s="672"/>
      <c r="B212" s="788"/>
      <c r="C212" s="788"/>
      <c r="D212" s="788"/>
      <c r="E212" s="788"/>
      <c r="F212" s="788"/>
      <c r="G212" s="788"/>
      <c r="H212" s="788"/>
      <c r="I212" s="788"/>
      <c r="J212" s="788"/>
      <c r="K212" s="788"/>
      <c r="L212" s="788"/>
      <c r="M212" s="788"/>
      <c r="N212" s="788"/>
      <c r="O212" s="788"/>
      <c r="P212" s="788"/>
      <c r="Q212" s="788"/>
      <c r="R212" s="672"/>
      <c r="S212" s="672"/>
      <c r="T212" s="672"/>
      <c r="U212" s="672"/>
      <c r="V212" s="672"/>
      <c r="W212" s="672"/>
      <c r="X212" s="672"/>
      <c r="Y212" s="672"/>
      <c r="Z212" s="672"/>
    </row>
    <row r="213" spans="1:26" ht="12.75" customHeight="1">
      <c r="A213" s="672"/>
      <c r="B213" s="788"/>
      <c r="C213" s="788"/>
      <c r="D213" s="788"/>
      <c r="E213" s="788"/>
      <c r="F213" s="788"/>
      <c r="G213" s="788"/>
      <c r="H213" s="788"/>
      <c r="I213" s="788"/>
      <c r="J213" s="788"/>
      <c r="K213" s="788"/>
      <c r="L213" s="788"/>
      <c r="M213" s="788"/>
      <c r="N213" s="788"/>
      <c r="O213" s="788"/>
      <c r="P213" s="788"/>
      <c r="Q213" s="788"/>
      <c r="R213" s="672"/>
      <c r="S213" s="672"/>
      <c r="T213" s="672"/>
      <c r="U213" s="672"/>
      <c r="V213" s="672"/>
      <c r="W213" s="672"/>
      <c r="X213" s="672"/>
      <c r="Y213" s="672"/>
      <c r="Z213" s="672"/>
    </row>
    <row r="214" spans="1:26" ht="12.75" customHeight="1">
      <c r="A214" s="672"/>
      <c r="B214" s="788"/>
      <c r="C214" s="788"/>
      <c r="D214" s="788"/>
      <c r="E214" s="788"/>
      <c r="F214" s="788"/>
      <c r="G214" s="788"/>
      <c r="H214" s="788"/>
      <c r="I214" s="788"/>
      <c r="J214" s="788"/>
      <c r="K214" s="788"/>
      <c r="L214" s="788"/>
      <c r="M214" s="788"/>
      <c r="N214" s="788"/>
      <c r="O214" s="788"/>
      <c r="P214" s="788"/>
      <c r="Q214" s="788"/>
      <c r="R214" s="672"/>
      <c r="S214" s="672"/>
      <c r="T214" s="672"/>
      <c r="U214" s="672"/>
      <c r="V214" s="672"/>
      <c r="W214" s="672"/>
      <c r="X214" s="672"/>
      <c r="Y214" s="672"/>
      <c r="Z214" s="672"/>
    </row>
    <row r="215" spans="1:26" ht="12.75" customHeight="1">
      <c r="A215" s="672"/>
      <c r="B215" s="788"/>
      <c r="C215" s="788"/>
      <c r="D215" s="788"/>
      <c r="E215" s="788"/>
      <c r="F215" s="788"/>
      <c r="G215" s="788"/>
      <c r="H215" s="788"/>
      <c r="I215" s="788"/>
      <c r="J215" s="788"/>
      <c r="K215" s="788"/>
      <c r="L215" s="788"/>
      <c r="M215" s="788"/>
      <c r="N215" s="788"/>
      <c r="O215" s="788"/>
      <c r="P215" s="788"/>
      <c r="Q215" s="788"/>
      <c r="R215" s="672"/>
      <c r="S215" s="672"/>
      <c r="T215" s="672"/>
      <c r="U215" s="672"/>
      <c r="V215" s="672"/>
      <c r="W215" s="672"/>
      <c r="X215" s="672"/>
      <c r="Y215" s="672"/>
      <c r="Z215" s="672"/>
    </row>
    <row r="216" spans="1:26" ht="12.75" customHeight="1">
      <c r="A216" s="672"/>
      <c r="B216" s="788"/>
      <c r="C216" s="788"/>
      <c r="D216" s="788"/>
      <c r="E216" s="788"/>
      <c r="F216" s="788"/>
      <c r="G216" s="788"/>
      <c r="H216" s="788"/>
      <c r="I216" s="788"/>
      <c r="J216" s="788"/>
      <c r="K216" s="788"/>
      <c r="L216" s="788"/>
      <c r="M216" s="788"/>
      <c r="N216" s="788"/>
      <c r="O216" s="788"/>
      <c r="P216" s="788"/>
      <c r="Q216" s="788"/>
      <c r="R216" s="672"/>
      <c r="S216" s="672"/>
      <c r="T216" s="672"/>
      <c r="U216" s="672"/>
      <c r="V216" s="672"/>
      <c r="W216" s="672"/>
      <c r="X216" s="672"/>
      <c r="Y216" s="672"/>
      <c r="Z216" s="672"/>
    </row>
    <row r="217" spans="1:26" ht="12.75" customHeight="1">
      <c r="A217" s="672"/>
      <c r="B217" s="788"/>
      <c r="C217" s="788"/>
      <c r="D217" s="788"/>
      <c r="E217" s="788"/>
      <c r="F217" s="788"/>
      <c r="G217" s="788"/>
      <c r="H217" s="788"/>
      <c r="I217" s="788"/>
      <c r="J217" s="788"/>
      <c r="K217" s="788"/>
      <c r="L217" s="788"/>
      <c r="M217" s="788"/>
      <c r="N217" s="788"/>
      <c r="O217" s="788"/>
      <c r="P217" s="788"/>
      <c r="Q217" s="788"/>
      <c r="R217" s="672"/>
      <c r="S217" s="672"/>
      <c r="T217" s="672"/>
      <c r="U217" s="672"/>
      <c r="V217" s="672"/>
      <c r="W217" s="672"/>
      <c r="X217" s="672"/>
      <c r="Y217" s="672"/>
      <c r="Z217" s="672"/>
    </row>
    <row r="218" spans="1:26" ht="12.75" customHeight="1">
      <c r="A218" s="672"/>
      <c r="B218" s="788"/>
      <c r="C218" s="788"/>
      <c r="D218" s="788"/>
      <c r="E218" s="788"/>
      <c r="F218" s="788"/>
      <c r="G218" s="788"/>
      <c r="H218" s="788"/>
      <c r="I218" s="788"/>
      <c r="J218" s="788"/>
      <c r="K218" s="788"/>
      <c r="L218" s="788"/>
      <c r="M218" s="788"/>
      <c r="N218" s="788"/>
      <c r="O218" s="788"/>
      <c r="P218" s="788"/>
      <c r="Q218" s="788"/>
      <c r="R218" s="672"/>
      <c r="S218" s="672"/>
      <c r="T218" s="672"/>
      <c r="U218" s="672"/>
      <c r="V218" s="672"/>
      <c r="W218" s="672"/>
      <c r="X218" s="672"/>
      <c r="Y218" s="672"/>
      <c r="Z218" s="672"/>
    </row>
    <row r="219" spans="1:26" ht="12.75" customHeight="1">
      <c r="A219" s="672"/>
      <c r="B219" s="788"/>
      <c r="C219" s="788"/>
      <c r="D219" s="788"/>
      <c r="E219" s="788"/>
      <c r="F219" s="788"/>
      <c r="G219" s="788"/>
      <c r="H219" s="788"/>
      <c r="I219" s="788"/>
      <c r="J219" s="788"/>
      <c r="K219" s="788"/>
      <c r="L219" s="788"/>
      <c r="M219" s="788"/>
      <c r="N219" s="788"/>
      <c r="O219" s="788"/>
      <c r="P219" s="788"/>
      <c r="Q219" s="788"/>
      <c r="R219" s="672"/>
      <c r="S219" s="672"/>
      <c r="T219" s="672"/>
      <c r="U219" s="672"/>
      <c r="V219" s="672"/>
      <c r="W219" s="672"/>
      <c r="X219" s="672"/>
      <c r="Y219" s="672"/>
      <c r="Z219" s="672"/>
    </row>
    <row r="220" spans="1:26" ht="12.75" customHeight="1">
      <c r="A220" s="672"/>
      <c r="B220" s="788"/>
      <c r="C220" s="788"/>
      <c r="D220" s="788"/>
      <c r="E220" s="788"/>
      <c r="F220" s="788"/>
      <c r="G220" s="788"/>
      <c r="H220" s="788"/>
      <c r="I220" s="788"/>
      <c r="J220" s="788"/>
      <c r="K220" s="788"/>
      <c r="L220" s="788"/>
      <c r="M220" s="788"/>
      <c r="N220" s="788"/>
      <c r="O220" s="788"/>
      <c r="P220" s="788"/>
      <c r="Q220" s="788"/>
      <c r="R220" s="672"/>
      <c r="S220" s="672"/>
      <c r="T220" s="672"/>
      <c r="U220" s="672"/>
      <c r="V220" s="672"/>
      <c r="W220" s="672"/>
      <c r="X220" s="672"/>
      <c r="Y220" s="672"/>
      <c r="Z220" s="672"/>
    </row>
    <row r="221" spans="1:26" ht="12.75" customHeight="1">
      <c r="A221" s="672"/>
      <c r="B221" s="788"/>
      <c r="C221" s="788"/>
      <c r="D221" s="788"/>
      <c r="E221" s="788"/>
      <c r="F221" s="788"/>
      <c r="G221" s="788"/>
      <c r="H221" s="788"/>
      <c r="I221" s="788"/>
      <c r="J221" s="788"/>
      <c r="K221" s="788"/>
      <c r="L221" s="788"/>
      <c r="M221" s="788"/>
      <c r="N221" s="788"/>
      <c r="O221" s="788"/>
      <c r="P221" s="788"/>
      <c r="Q221" s="788"/>
      <c r="R221" s="672"/>
      <c r="S221" s="672"/>
      <c r="T221" s="672"/>
      <c r="U221" s="672"/>
      <c r="V221" s="672"/>
      <c r="W221" s="672"/>
      <c r="X221" s="672"/>
      <c r="Y221" s="672"/>
      <c r="Z221" s="672"/>
    </row>
    <row r="222" spans="1:26" ht="12.75" customHeight="1">
      <c r="A222" s="672"/>
      <c r="B222" s="788"/>
      <c r="C222" s="788"/>
      <c r="D222" s="788"/>
      <c r="E222" s="788"/>
      <c r="F222" s="788"/>
      <c r="G222" s="788"/>
      <c r="H222" s="788"/>
      <c r="I222" s="788"/>
      <c r="J222" s="788"/>
      <c r="K222" s="788"/>
      <c r="L222" s="788"/>
      <c r="M222" s="788"/>
      <c r="N222" s="788"/>
      <c r="O222" s="788"/>
      <c r="P222" s="788"/>
      <c r="Q222" s="788"/>
      <c r="R222" s="672"/>
      <c r="S222" s="672"/>
      <c r="T222" s="672"/>
      <c r="U222" s="672"/>
      <c r="V222" s="672"/>
      <c r="W222" s="672"/>
      <c r="X222" s="672"/>
      <c r="Y222" s="672"/>
      <c r="Z222" s="672"/>
    </row>
    <row r="223" spans="1:26" ht="12.75" customHeight="1">
      <c r="A223" s="672"/>
      <c r="B223" s="788"/>
      <c r="C223" s="788"/>
      <c r="D223" s="788"/>
      <c r="E223" s="788"/>
      <c r="F223" s="788"/>
      <c r="G223" s="788"/>
      <c r="H223" s="788"/>
      <c r="I223" s="788"/>
      <c r="J223" s="788"/>
      <c r="K223" s="788"/>
      <c r="L223" s="788"/>
      <c r="M223" s="788"/>
      <c r="N223" s="788"/>
      <c r="O223" s="788"/>
      <c r="P223" s="788"/>
      <c r="Q223" s="788"/>
      <c r="R223" s="672"/>
      <c r="S223" s="672"/>
      <c r="T223" s="672"/>
      <c r="U223" s="672"/>
      <c r="V223" s="672"/>
      <c r="W223" s="672"/>
      <c r="X223" s="672"/>
      <c r="Y223" s="672"/>
      <c r="Z223" s="672"/>
    </row>
    <row r="224" spans="1:26" ht="12.75" customHeight="1">
      <c r="A224" s="672"/>
      <c r="B224" s="788"/>
      <c r="C224" s="788"/>
      <c r="D224" s="788"/>
      <c r="E224" s="788"/>
      <c r="F224" s="788"/>
      <c r="G224" s="788"/>
      <c r="H224" s="788"/>
      <c r="I224" s="788"/>
      <c r="J224" s="788"/>
      <c r="K224" s="788"/>
      <c r="L224" s="788"/>
      <c r="M224" s="788"/>
      <c r="N224" s="788"/>
      <c r="O224" s="788"/>
      <c r="P224" s="788"/>
      <c r="Q224" s="788"/>
      <c r="R224" s="672"/>
      <c r="S224" s="672"/>
      <c r="T224" s="672"/>
      <c r="U224" s="672"/>
      <c r="V224" s="672"/>
      <c r="W224" s="672"/>
      <c r="X224" s="672"/>
      <c r="Y224" s="672"/>
      <c r="Z224" s="672"/>
    </row>
    <row r="225" spans="1:26" ht="12.75" customHeight="1">
      <c r="A225" s="672"/>
      <c r="B225" s="788"/>
      <c r="C225" s="788"/>
      <c r="D225" s="788"/>
      <c r="E225" s="788"/>
      <c r="F225" s="788"/>
      <c r="G225" s="788"/>
      <c r="H225" s="788"/>
      <c r="I225" s="788"/>
      <c r="J225" s="788"/>
      <c r="K225" s="788"/>
      <c r="L225" s="788"/>
      <c r="M225" s="788"/>
      <c r="N225" s="788"/>
      <c r="O225" s="788"/>
      <c r="P225" s="788"/>
      <c r="Q225" s="788"/>
      <c r="R225" s="672"/>
      <c r="S225" s="672"/>
      <c r="T225" s="672"/>
      <c r="U225" s="672"/>
      <c r="V225" s="672"/>
      <c r="W225" s="672"/>
      <c r="X225" s="672"/>
      <c r="Y225" s="672"/>
      <c r="Z225" s="672"/>
    </row>
    <row r="226" spans="1:26" ht="12.75" customHeight="1">
      <c r="A226" s="672"/>
      <c r="B226" s="788"/>
      <c r="C226" s="788"/>
      <c r="D226" s="788"/>
      <c r="E226" s="788"/>
      <c r="F226" s="788"/>
      <c r="G226" s="788"/>
      <c r="H226" s="788"/>
      <c r="I226" s="788"/>
      <c r="J226" s="788"/>
      <c r="K226" s="788"/>
      <c r="L226" s="788"/>
      <c r="M226" s="788"/>
      <c r="N226" s="788"/>
      <c r="O226" s="788"/>
      <c r="P226" s="788"/>
      <c r="Q226" s="788"/>
      <c r="R226" s="672"/>
      <c r="S226" s="672"/>
      <c r="T226" s="672"/>
      <c r="U226" s="672"/>
      <c r="V226" s="672"/>
      <c r="W226" s="672"/>
      <c r="X226" s="672"/>
      <c r="Y226" s="672"/>
      <c r="Z226" s="672"/>
    </row>
    <row r="227" spans="1:26" ht="12.75" customHeight="1">
      <c r="A227" s="672"/>
      <c r="B227" s="788"/>
      <c r="C227" s="788"/>
      <c r="D227" s="788"/>
      <c r="E227" s="788"/>
      <c r="F227" s="788"/>
      <c r="G227" s="788"/>
      <c r="H227" s="788"/>
      <c r="I227" s="788"/>
      <c r="J227" s="788"/>
      <c r="K227" s="788"/>
      <c r="L227" s="788"/>
      <c r="M227" s="788"/>
      <c r="N227" s="788"/>
      <c r="O227" s="788"/>
      <c r="P227" s="788"/>
      <c r="Q227" s="788"/>
      <c r="R227" s="672"/>
      <c r="S227" s="672"/>
      <c r="T227" s="672"/>
      <c r="U227" s="672"/>
      <c r="V227" s="672"/>
      <c r="W227" s="672"/>
      <c r="X227" s="672"/>
      <c r="Y227" s="672"/>
      <c r="Z227" s="672"/>
    </row>
    <row r="228" spans="1:26" ht="12.75" customHeight="1">
      <c r="A228" s="672"/>
      <c r="B228" s="788"/>
      <c r="C228" s="788"/>
      <c r="D228" s="788"/>
      <c r="E228" s="788"/>
      <c r="F228" s="788"/>
      <c r="G228" s="788"/>
      <c r="H228" s="788"/>
      <c r="I228" s="788"/>
      <c r="J228" s="788"/>
      <c r="K228" s="788"/>
      <c r="L228" s="788"/>
      <c r="M228" s="788"/>
      <c r="N228" s="788"/>
      <c r="O228" s="788"/>
      <c r="P228" s="788"/>
      <c r="Q228" s="788"/>
      <c r="R228" s="672"/>
      <c r="S228" s="672"/>
      <c r="T228" s="672"/>
      <c r="U228" s="672"/>
      <c r="V228" s="672"/>
      <c r="W228" s="672"/>
      <c r="X228" s="672"/>
      <c r="Y228" s="672"/>
      <c r="Z228" s="672"/>
    </row>
    <row r="229" spans="1:26" ht="12.75" customHeight="1">
      <c r="A229" s="672"/>
      <c r="B229" s="788"/>
      <c r="C229" s="788"/>
      <c r="D229" s="788"/>
      <c r="E229" s="788"/>
      <c r="F229" s="788"/>
      <c r="G229" s="788"/>
      <c r="H229" s="788"/>
      <c r="I229" s="788"/>
      <c r="J229" s="788"/>
      <c r="K229" s="788"/>
      <c r="L229" s="788"/>
      <c r="M229" s="788"/>
      <c r="N229" s="788"/>
      <c r="O229" s="788"/>
      <c r="P229" s="788"/>
      <c r="Q229" s="788"/>
      <c r="R229" s="672"/>
      <c r="S229" s="672"/>
      <c r="T229" s="672"/>
      <c r="U229" s="672"/>
      <c r="V229" s="672"/>
      <c r="W229" s="672"/>
      <c r="X229" s="672"/>
      <c r="Y229" s="672"/>
      <c r="Z229" s="672"/>
    </row>
    <row r="230" spans="1:26" ht="12.75" customHeight="1">
      <c r="A230" s="672"/>
      <c r="B230" s="788"/>
      <c r="C230" s="788"/>
      <c r="D230" s="788"/>
      <c r="E230" s="788"/>
      <c r="F230" s="788"/>
      <c r="G230" s="788"/>
      <c r="H230" s="788"/>
      <c r="I230" s="788"/>
      <c r="J230" s="788"/>
      <c r="K230" s="788"/>
      <c r="L230" s="788"/>
      <c r="M230" s="788"/>
      <c r="N230" s="788"/>
      <c r="O230" s="788"/>
      <c r="P230" s="788"/>
      <c r="Q230" s="788"/>
      <c r="R230" s="672"/>
      <c r="S230" s="672"/>
      <c r="T230" s="672"/>
      <c r="U230" s="672"/>
      <c r="V230" s="672"/>
      <c r="W230" s="672"/>
      <c r="X230" s="672"/>
      <c r="Y230" s="672"/>
      <c r="Z230" s="672"/>
    </row>
    <row r="231" spans="1:26" ht="12.75" customHeight="1">
      <c r="A231" s="672"/>
      <c r="B231" s="788"/>
      <c r="C231" s="788"/>
      <c r="D231" s="788"/>
      <c r="E231" s="788"/>
      <c r="F231" s="788"/>
      <c r="G231" s="788"/>
      <c r="H231" s="788"/>
      <c r="I231" s="788"/>
      <c r="J231" s="788"/>
      <c r="K231" s="788"/>
      <c r="L231" s="788"/>
      <c r="M231" s="788"/>
      <c r="N231" s="788"/>
      <c r="O231" s="788"/>
      <c r="P231" s="788"/>
      <c r="Q231" s="788"/>
      <c r="R231" s="672"/>
      <c r="S231" s="672"/>
      <c r="T231" s="672"/>
      <c r="U231" s="672"/>
      <c r="V231" s="672"/>
      <c r="W231" s="672"/>
      <c r="X231" s="672"/>
      <c r="Y231" s="672"/>
      <c r="Z231" s="672"/>
    </row>
    <row r="232" spans="1:26" ht="12.75" customHeight="1">
      <c r="A232" s="672"/>
      <c r="B232" s="788"/>
      <c r="C232" s="788"/>
      <c r="D232" s="788"/>
      <c r="E232" s="788"/>
      <c r="F232" s="788"/>
      <c r="G232" s="788"/>
      <c r="H232" s="788"/>
      <c r="I232" s="788"/>
      <c r="J232" s="788"/>
      <c r="K232" s="788"/>
      <c r="L232" s="788"/>
      <c r="M232" s="788"/>
      <c r="N232" s="788"/>
      <c r="O232" s="788"/>
      <c r="P232" s="788"/>
      <c r="Q232" s="788"/>
      <c r="R232" s="672"/>
      <c r="S232" s="672"/>
      <c r="T232" s="672"/>
      <c r="U232" s="672"/>
      <c r="V232" s="672"/>
      <c r="W232" s="672"/>
      <c r="X232" s="672"/>
      <c r="Y232" s="672"/>
      <c r="Z232" s="672"/>
    </row>
    <row r="233" spans="1:26" ht="12.75" customHeight="1">
      <c r="A233" s="672"/>
      <c r="B233" s="788"/>
      <c r="C233" s="788"/>
      <c r="D233" s="788"/>
      <c r="E233" s="788"/>
      <c r="F233" s="788"/>
      <c r="G233" s="788"/>
      <c r="H233" s="788"/>
      <c r="I233" s="788"/>
      <c r="J233" s="788"/>
      <c r="K233" s="788"/>
      <c r="L233" s="788"/>
      <c r="M233" s="788"/>
      <c r="N233" s="788"/>
      <c r="O233" s="788"/>
      <c r="P233" s="788"/>
      <c r="Q233" s="788"/>
      <c r="R233" s="672"/>
      <c r="S233" s="672"/>
      <c r="T233" s="672"/>
      <c r="U233" s="672"/>
      <c r="V233" s="672"/>
      <c r="W233" s="672"/>
      <c r="X233" s="672"/>
      <c r="Y233" s="672"/>
      <c r="Z233" s="672"/>
    </row>
    <row r="234" spans="1:26" ht="12.75" customHeight="1">
      <c r="A234" s="672"/>
      <c r="B234" s="788"/>
      <c r="C234" s="788"/>
      <c r="D234" s="788"/>
      <c r="E234" s="788"/>
      <c r="F234" s="788"/>
      <c r="G234" s="788"/>
      <c r="H234" s="788"/>
      <c r="I234" s="788"/>
      <c r="J234" s="788"/>
      <c r="K234" s="788"/>
      <c r="L234" s="788"/>
      <c r="M234" s="788"/>
      <c r="N234" s="788"/>
      <c r="O234" s="788"/>
      <c r="P234" s="788"/>
      <c r="Q234" s="788"/>
      <c r="R234" s="672"/>
      <c r="S234" s="672"/>
      <c r="T234" s="672"/>
      <c r="U234" s="672"/>
      <c r="V234" s="672"/>
      <c r="W234" s="672"/>
      <c r="X234" s="672"/>
      <c r="Y234" s="672"/>
      <c r="Z234" s="672"/>
    </row>
    <row r="235" spans="1:26" ht="12.75" customHeight="1">
      <c r="A235" s="672"/>
      <c r="B235" s="788"/>
      <c r="C235" s="788"/>
      <c r="D235" s="788"/>
      <c r="E235" s="788"/>
      <c r="F235" s="788"/>
      <c r="G235" s="788"/>
      <c r="H235" s="788"/>
      <c r="I235" s="788"/>
      <c r="J235" s="788"/>
      <c r="K235" s="788"/>
      <c r="L235" s="788"/>
      <c r="M235" s="788"/>
      <c r="N235" s="788"/>
      <c r="O235" s="788"/>
      <c r="P235" s="788"/>
      <c r="Q235" s="788"/>
      <c r="R235" s="672"/>
      <c r="S235" s="672"/>
      <c r="T235" s="672"/>
      <c r="U235" s="672"/>
      <c r="V235" s="672"/>
      <c r="W235" s="672"/>
      <c r="X235" s="672"/>
      <c r="Y235" s="672"/>
      <c r="Z235" s="672"/>
    </row>
    <row r="236" spans="1:26" ht="12.75" customHeight="1">
      <c r="A236" s="672"/>
      <c r="B236" s="788"/>
      <c r="C236" s="788"/>
      <c r="D236" s="788"/>
      <c r="E236" s="788"/>
      <c r="F236" s="788"/>
      <c r="G236" s="788"/>
      <c r="H236" s="788"/>
      <c r="I236" s="788"/>
      <c r="J236" s="788"/>
      <c r="K236" s="788"/>
      <c r="L236" s="788"/>
      <c r="M236" s="788"/>
      <c r="N236" s="788"/>
      <c r="O236" s="788"/>
      <c r="P236" s="788"/>
      <c r="Q236" s="788"/>
      <c r="R236" s="672"/>
      <c r="S236" s="672"/>
      <c r="T236" s="672"/>
      <c r="U236" s="672"/>
      <c r="V236" s="672"/>
      <c r="W236" s="672"/>
      <c r="X236" s="672"/>
      <c r="Y236" s="672"/>
      <c r="Z236" s="672"/>
    </row>
    <row r="237" spans="1:26" ht="12.75" customHeight="1">
      <c r="A237" s="672"/>
      <c r="B237" s="788"/>
      <c r="C237" s="788"/>
      <c r="D237" s="788"/>
      <c r="E237" s="788"/>
      <c r="F237" s="788"/>
      <c r="G237" s="788"/>
      <c r="H237" s="788"/>
      <c r="I237" s="788"/>
      <c r="J237" s="788"/>
      <c r="K237" s="788"/>
      <c r="L237" s="788"/>
      <c r="M237" s="788"/>
      <c r="N237" s="788"/>
      <c r="O237" s="788"/>
      <c r="P237" s="788"/>
      <c r="Q237" s="788"/>
      <c r="R237" s="672"/>
      <c r="S237" s="672"/>
      <c r="T237" s="672"/>
      <c r="U237" s="672"/>
      <c r="V237" s="672"/>
      <c r="W237" s="672"/>
      <c r="X237" s="672"/>
      <c r="Y237" s="672"/>
      <c r="Z237" s="672"/>
    </row>
    <row r="238" spans="1:26" ht="12.75" customHeight="1">
      <c r="A238" s="672"/>
      <c r="B238" s="788"/>
      <c r="C238" s="788"/>
      <c r="D238" s="788"/>
      <c r="E238" s="788"/>
      <c r="F238" s="788"/>
      <c r="G238" s="788"/>
      <c r="H238" s="788"/>
      <c r="I238" s="788"/>
      <c r="J238" s="788"/>
      <c r="K238" s="788"/>
      <c r="L238" s="788"/>
      <c r="M238" s="788"/>
      <c r="N238" s="788"/>
      <c r="O238" s="788"/>
      <c r="P238" s="788"/>
      <c r="Q238" s="788"/>
      <c r="R238" s="672"/>
      <c r="S238" s="672"/>
      <c r="T238" s="672"/>
      <c r="U238" s="672"/>
      <c r="V238" s="672"/>
      <c r="W238" s="672"/>
      <c r="X238" s="672"/>
      <c r="Y238" s="672"/>
      <c r="Z238" s="672"/>
    </row>
    <row r="239" spans="1:26" ht="12.75" customHeight="1">
      <c r="A239" s="672"/>
      <c r="B239" s="788"/>
      <c r="C239" s="788"/>
      <c r="D239" s="788"/>
      <c r="E239" s="788"/>
      <c r="F239" s="788"/>
      <c r="G239" s="788"/>
      <c r="H239" s="788"/>
      <c r="I239" s="788"/>
      <c r="J239" s="788"/>
      <c r="K239" s="788"/>
      <c r="L239" s="788"/>
      <c r="M239" s="788"/>
      <c r="N239" s="788"/>
      <c r="O239" s="788"/>
      <c r="P239" s="788"/>
      <c r="Q239" s="788"/>
      <c r="R239" s="672"/>
      <c r="S239" s="672"/>
      <c r="T239" s="672"/>
      <c r="U239" s="672"/>
      <c r="V239" s="672"/>
      <c r="W239" s="672"/>
      <c r="X239" s="672"/>
      <c r="Y239" s="672"/>
      <c r="Z239" s="672"/>
    </row>
    <row r="240" spans="1:26" ht="12.75" customHeight="1">
      <c r="A240" s="672"/>
      <c r="B240" s="788"/>
      <c r="C240" s="788"/>
      <c r="D240" s="788"/>
      <c r="E240" s="788"/>
      <c r="F240" s="788"/>
      <c r="G240" s="788"/>
      <c r="H240" s="788"/>
      <c r="I240" s="788"/>
      <c r="J240" s="788"/>
      <c r="K240" s="788"/>
      <c r="L240" s="788"/>
      <c r="M240" s="788"/>
      <c r="N240" s="788"/>
      <c r="O240" s="788"/>
      <c r="P240" s="788"/>
      <c r="Q240" s="788"/>
      <c r="R240" s="672"/>
      <c r="S240" s="672"/>
      <c r="T240" s="672"/>
      <c r="U240" s="672"/>
      <c r="V240" s="672"/>
      <c r="W240" s="672"/>
      <c r="X240" s="672"/>
      <c r="Y240" s="672"/>
      <c r="Z240" s="672"/>
    </row>
    <row r="241" spans="1:26" ht="12.75" customHeight="1">
      <c r="A241" s="672"/>
      <c r="B241" s="788"/>
      <c r="C241" s="788"/>
      <c r="D241" s="788"/>
      <c r="E241" s="788"/>
      <c r="F241" s="788"/>
      <c r="G241" s="788"/>
      <c r="H241" s="788"/>
      <c r="I241" s="788"/>
      <c r="J241" s="788"/>
      <c r="K241" s="788"/>
      <c r="L241" s="788"/>
      <c r="M241" s="788"/>
      <c r="N241" s="788"/>
      <c r="O241" s="788"/>
      <c r="P241" s="788"/>
      <c r="Q241" s="788"/>
      <c r="R241" s="672"/>
      <c r="S241" s="672"/>
      <c r="T241" s="672"/>
      <c r="U241" s="672"/>
      <c r="V241" s="672"/>
      <c r="W241" s="672"/>
      <c r="X241" s="672"/>
      <c r="Y241" s="672"/>
      <c r="Z241" s="672"/>
    </row>
    <row r="242" spans="1:26" ht="12.75" customHeight="1">
      <c r="A242" s="672"/>
      <c r="B242" s="788"/>
      <c r="C242" s="788"/>
      <c r="D242" s="788"/>
      <c r="E242" s="788"/>
      <c r="F242" s="788"/>
      <c r="G242" s="788"/>
      <c r="H242" s="788"/>
      <c r="I242" s="788"/>
      <c r="J242" s="788"/>
      <c r="K242" s="788"/>
      <c r="L242" s="788"/>
      <c r="M242" s="788"/>
      <c r="N242" s="788"/>
      <c r="O242" s="788"/>
      <c r="P242" s="788"/>
      <c r="Q242" s="788"/>
      <c r="R242" s="672"/>
      <c r="S242" s="672"/>
      <c r="T242" s="672"/>
      <c r="U242" s="672"/>
      <c r="V242" s="672"/>
      <c r="W242" s="672"/>
      <c r="X242" s="672"/>
      <c r="Y242" s="672"/>
      <c r="Z242" s="672"/>
    </row>
    <row r="243" spans="1:26" ht="12.75" customHeight="1">
      <c r="A243" s="672"/>
      <c r="B243" s="788"/>
      <c r="C243" s="788"/>
      <c r="D243" s="788"/>
      <c r="E243" s="788"/>
      <c r="F243" s="788"/>
      <c r="G243" s="788"/>
      <c r="H243" s="788"/>
      <c r="I243" s="788"/>
      <c r="J243" s="788"/>
      <c r="K243" s="788"/>
      <c r="L243" s="788"/>
      <c r="M243" s="788"/>
      <c r="N243" s="788"/>
      <c r="O243" s="788"/>
      <c r="P243" s="788"/>
      <c r="Q243" s="788"/>
      <c r="R243" s="672"/>
      <c r="S243" s="672"/>
      <c r="T243" s="672"/>
      <c r="U243" s="672"/>
      <c r="V243" s="672"/>
      <c r="W243" s="672"/>
      <c r="X243" s="672"/>
      <c r="Y243" s="672"/>
      <c r="Z243" s="672"/>
    </row>
    <row r="244" spans="1:26" ht="12.75" customHeight="1">
      <c r="A244" s="672"/>
      <c r="B244" s="788"/>
      <c r="C244" s="788"/>
      <c r="D244" s="788"/>
      <c r="E244" s="788"/>
      <c r="F244" s="788"/>
      <c r="G244" s="788"/>
      <c r="H244" s="788"/>
      <c r="I244" s="788"/>
      <c r="J244" s="788"/>
      <c r="K244" s="788"/>
      <c r="L244" s="788"/>
      <c r="M244" s="788"/>
      <c r="N244" s="788"/>
      <c r="O244" s="788"/>
      <c r="P244" s="788"/>
      <c r="Q244" s="788"/>
      <c r="R244" s="672"/>
      <c r="S244" s="672"/>
      <c r="T244" s="672"/>
      <c r="U244" s="672"/>
      <c r="V244" s="672"/>
      <c r="W244" s="672"/>
      <c r="X244" s="672"/>
      <c r="Y244" s="672"/>
      <c r="Z244" s="672"/>
    </row>
    <row r="245" spans="1:26" ht="12.75" customHeight="1">
      <c r="A245" s="672"/>
      <c r="B245" s="788"/>
      <c r="C245" s="788"/>
      <c r="D245" s="788"/>
      <c r="E245" s="788"/>
      <c r="F245" s="788"/>
      <c r="G245" s="788"/>
      <c r="H245" s="788"/>
      <c r="I245" s="788"/>
      <c r="J245" s="788"/>
      <c r="K245" s="788"/>
      <c r="L245" s="788"/>
      <c r="M245" s="788"/>
      <c r="N245" s="788"/>
      <c r="O245" s="788"/>
      <c r="P245" s="788"/>
      <c r="Q245" s="788"/>
      <c r="R245" s="672"/>
      <c r="S245" s="672"/>
      <c r="T245" s="672"/>
      <c r="U245" s="672"/>
      <c r="V245" s="672"/>
      <c r="W245" s="672"/>
      <c r="X245" s="672"/>
      <c r="Y245" s="672"/>
      <c r="Z245" s="672"/>
    </row>
    <row r="246" spans="1:26" ht="12.75" customHeight="1">
      <c r="A246" s="672"/>
      <c r="B246" s="788"/>
      <c r="C246" s="788"/>
      <c r="D246" s="788"/>
      <c r="E246" s="788"/>
      <c r="F246" s="788"/>
      <c r="G246" s="788"/>
      <c r="H246" s="788"/>
      <c r="I246" s="788"/>
      <c r="J246" s="788"/>
      <c r="K246" s="788"/>
      <c r="L246" s="788"/>
      <c r="M246" s="788"/>
      <c r="N246" s="788"/>
      <c r="O246" s="788"/>
      <c r="P246" s="788"/>
      <c r="Q246" s="788"/>
      <c r="R246" s="672"/>
      <c r="S246" s="672"/>
      <c r="T246" s="672"/>
      <c r="U246" s="672"/>
      <c r="V246" s="672"/>
      <c r="W246" s="672"/>
      <c r="X246" s="672"/>
      <c r="Y246" s="672"/>
      <c r="Z246" s="672"/>
    </row>
    <row r="247" spans="1:26" ht="12.75" customHeight="1">
      <c r="A247" s="672"/>
      <c r="B247" s="788"/>
      <c r="C247" s="788"/>
      <c r="D247" s="788"/>
      <c r="E247" s="788"/>
      <c r="F247" s="788"/>
      <c r="G247" s="788"/>
      <c r="H247" s="788"/>
      <c r="I247" s="788"/>
      <c r="J247" s="788"/>
      <c r="K247" s="788"/>
      <c r="L247" s="788"/>
      <c r="M247" s="788"/>
      <c r="N247" s="788"/>
      <c r="O247" s="788"/>
      <c r="P247" s="788"/>
      <c r="Q247" s="788"/>
      <c r="R247" s="672"/>
      <c r="S247" s="672"/>
      <c r="T247" s="672"/>
      <c r="U247" s="672"/>
      <c r="V247" s="672"/>
      <c r="W247" s="672"/>
      <c r="X247" s="672"/>
      <c r="Y247" s="672"/>
      <c r="Z247" s="672"/>
    </row>
    <row r="248" spans="1:26" ht="12.75" customHeight="1">
      <c r="A248" s="672"/>
      <c r="B248" s="788"/>
      <c r="C248" s="788"/>
      <c r="D248" s="788"/>
      <c r="E248" s="788"/>
      <c r="F248" s="788"/>
      <c r="G248" s="788"/>
      <c r="H248" s="788"/>
      <c r="I248" s="788"/>
      <c r="J248" s="788"/>
      <c r="K248" s="788"/>
      <c r="L248" s="788"/>
      <c r="M248" s="788"/>
      <c r="N248" s="788"/>
      <c r="O248" s="788"/>
      <c r="P248" s="788"/>
      <c r="Q248" s="788"/>
      <c r="R248" s="672"/>
      <c r="S248" s="672"/>
      <c r="T248" s="672"/>
      <c r="U248" s="672"/>
      <c r="V248" s="672"/>
      <c r="W248" s="672"/>
      <c r="X248" s="672"/>
      <c r="Y248" s="672"/>
      <c r="Z248" s="672"/>
    </row>
    <row r="249" spans="1:26" ht="12.75" customHeight="1">
      <c r="A249" s="672"/>
      <c r="B249" s="788"/>
      <c r="C249" s="788"/>
      <c r="D249" s="788"/>
      <c r="E249" s="788"/>
      <c r="F249" s="788"/>
      <c r="G249" s="788"/>
      <c r="H249" s="788"/>
      <c r="I249" s="788"/>
      <c r="J249" s="788"/>
      <c r="K249" s="788"/>
      <c r="L249" s="788"/>
      <c r="M249" s="788"/>
      <c r="N249" s="788"/>
      <c r="O249" s="788"/>
      <c r="P249" s="788"/>
      <c r="Q249" s="788"/>
      <c r="R249" s="672"/>
      <c r="S249" s="672"/>
      <c r="T249" s="672"/>
      <c r="U249" s="672"/>
      <c r="V249" s="672"/>
      <c r="W249" s="672"/>
      <c r="X249" s="672"/>
      <c r="Y249" s="672"/>
      <c r="Z249" s="672"/>
    </row>
    <row r="250" spans="1:26" ht="12.75" customHeight="1">
      <c r="A250" s="672"/>
      <c r="B250" s="788"/>
      <c r="C250" s="788"/>
      <c r="D250" s="788"/>
      <c r="E250" s="788"/>
      <c r="F250" s="788"/>
      <c r="G250" s="788"/>
      <c r="H250" s="788"/>
      <c r="I250" s="788"/>
      <c r="J250" s="788"/>
      <c r="K250" s="788"/>
      <c r="L250" s="788"/>
      <c r="M250" s="788"/>
      <c r="N250" s="788"/>
      <c r="O250" s="788"/>
      <c r="P250" s="788"/>
      <c r="Q250" s="788"/>
      <c r="R250" s="672"/>
      <c r="S250" s="672"/>
      <c r="T250" s="672"/>
      <c r="U250" s="672"/>
      <c r="V250" s="672"/>
      <c r="W250" s="672"/>
      <c r="X250" s="672"/>
      <c r="Y250" s="672"/>
      <c r="Z250" s="672"/>
    </row>
    <row r="251" spans="1:26" ht="12.75" customHeight="1">
      <c r="A251" s="672"/>
      <c r="B251" s="788"/>
      <c r="C251" s="788"/>
      <c r="D251" s="788"/>
      <c r="E251" s="788"/>
      <c r="F251" s="788"/>
      <c r="G251" s="788"/>
      <c r="H251" s="788"/>
      <c r="I251" s="788"/>
      <c r="J251" s="788"/>
      <c r="K251" s="788"/>
      <c r="L251" s="788"/>
      <c r="M251" s="788"/>
      <c r="N251" s="788"/>
      <c r="O251" s="788"/>
      <c r="P251" s="788"/>
      <c r="Q251" s="788"/>
      <c r="R251" s="672"/>
      <c r="S251" s="672"/>
      <c r="T251" s="672"/>
      <c r="U251" s="672"/>
      <c r="V251" s="672"/>
      <c r="W251" s="672"/>
      <c r="X251" s="672"/>
      <c r="Y251" s="672"/>
      <c r="Z251" s="672"/>
    </row>
    <row r="252" spans="1:26" ht="12.75" customHeight="1">
      <c r="A252" s="672"/>
      <c r="B252" s="788"/>
      <c r="C252" s="788"/>
      <c r="D252" s="788"/>
      <c r="E252" s="788"/>
      <c r="F252" s="788"/>
      <c r="G252" s="788"/>
      <c r="H252" s="788"/>
      <c r="I252" s="788"/>
      <c r="J252" s="788"/>
      <c r="K252" s="788"/>
      <c r="L252" s="788"/>
      <c r="M252" s="788"/>
      <c r="N252" s="788"/>
      <c r="O252" s="788"/>
      <c r="P252" s="788"/>
      <c r="Q252" s="788"/>
      <c r="R252" s="672"/>
      <c r="S252" s="672"/>
      <c r="T252" s="672"/>
      <c r="U252" s="672"/>
      <c r="V252" s="672"/>
      <c r="W252" s="672"/>
      <c r="X252" s="672"/>
      <c r="Y252" s="672"/>
      <c r="Z252" s="672"/>
    </row>
    <row r="253" spans="1:26" ht="12.75" customHeight="1">
      <c r="A253" s="672"/>
      <c r="B253" s="788"/>
      <c r="C253" s="788"/>
      <c r="D253" s="788"/>
      <c r="E253" s="788"/>
      <c r="F253" s="788"/>
      <c r="G253" s="788"/>
      <c r="H253" s="788"/>
      <c r="I253" s="788"/>
      <c r="J253" s="788"/>
      <c r="K253" s="788"/>
      <c r="L253" s="788"/>
      <c r="M253" s="788"/>
      <c r="N253" s="788"/>
      <c r="O253" s="788"/>
      <c r="P253" s="788"/>
      <c r="Q253" s="788"/>
      <c r="R253" s="672"/>
      <c r="S253" s="672"/>
      <c r="T253" s="672"/>
      <c r="U253" s="672"/>
      <c r="V253" s="672"/>
      <c r="W253" s="672"/>
      <c r="X253" s="672"/>
      <c r="Y253" s="672"/>
      <c r="Z253" s="672"/>
    </row>
    <row r="254" spans="1:26" ht="12.75" customHeight="1">
      <c r="A254" s="672"/>
      <c r="B254" s="788"/>
      <c r="C254" s="788"/>
      <c r="D254" s="788"/>
      <c r="E254" s="788"/>
      <c r="F254" s="788"/>
      <c r="G254" s="788"/>
      <c r="H254" s="788"/>
      <c r="I254" s="788"/>
      <c r="J254" s="788"/>
      <c r="K254" s="788"/>
      <c r="L254" s="788"/>
      <c r="M254" s="788"/>
      <c r="N254" s="788"/>
      <c r="O254" s="788"/>
      <c r="P254" s="788"/>
      <c r="Q254" s="788"/>
      <c r="R254" s="672"/>
      <c r="S254" s="672"/>
      <c r="T254" s="672"/>
      <c r="U254" s="672"/>
      <c r="V254" s="672"/>
      <c r="W254" s="672"/>
      <c r="X254" s="672"/>
      <c r="Y254" s="672"/>
      <c r="Z254" s="672"/>
    </row>
    <row r="255" spans="1:26" ht="12.75" customHeight="1">
      <c r="A255" s="672"/>
      <c r="B255" s="788"/>
      <c r="C255" s="788"/>
      <c r="D255" s="788"/>
      <c r="E255" s="788"/>
      <c r="F255" s="788"/>
      <c r="G255" s="788"/>
      <c r="H255" s="788"/>
      <c r="I255" s="788"/>
      <c r="J255" s="788"/>
      <c r="K255" s="788"/>
      <c r="L255" s="788"/>
      <c r="M255" s="788"/>
      <c r="N255" s="788"/>
      <c r="O255" s="788"/>
      <c r="P255" s="788"/>
      <c r="Q255" s="788"/>
      <c r="R255" s="672"/>
      <c r="S255" s="672"/>
      <c r="T255" s="672"/>
      <c r="U255" s="672"/>
      <c r="V255" s="672"/>
      <c r="W255" s="672"/>
      <c r="X255" s="672"/>
      <c r="Y255" s="672"/>
      <c r="Z255" s="672"/>
    </row>
    <row r="256" spans="1:26" ht="12.75" customHeight="1">
      <c r="A256" s="672"/>
      <c r="B256" s="788"/>
      <c r="C256" s="788"/>
      <c r="D256" s="788"/>
      <c r="E256" s="788"/>
      <c r="F256" s="788"/>
      <c r="G256" s="788"/>
      <c r="H256" s="788"/>
      <c r="I256" s="788"/>
      <c r="J256" s="788"/>
      <c r="K256" s="788"/>
      <c r="L256" s="788"/>
      <c r="M256" s="788"/>
      <c r="N256" s="788"/>
      <c r="O256" s="788"/>
      <c r="P256" s="788"/>
      <c r="Q256" s="788"/>
      <c r="R256" s="672"/>
      <c r="S256" s="672"/>
      <c r="T256" s="672"/>
      <c r="U256" s="672"/>
      <c r="V256" s="672"/>
      <c r="W256" s="672"/>
      <c r="X256" s="672"/>
      <c r="Y256" s="672"/>
      <c r="Z256" s="672"/>
    </row>
    <row r="257" spans="1:26" ht="12.75" customHeight="1">
      <c r="A257" s="672"/>
      <c r="B257" s="788"/>
      <c r="C257" s="788"/>
      <c r="D257" s="788"/>
      <c r="E257" s="788"/>
      <c r="F257" s="788"/>
      <c r="G257" s="788"/>
      <c r="H257" s="788"/>
      <c r="I257" s="788"/>
      <c r="J257" s="788"/>
      <c r="K257" s="788"/>
      <c r="L257" s="788"/>
      <c r="M257" s="788"/>
      <c r="N257" s="788"/>
      <c r="O257" s="788"/>
      <c r="P257" s="788"/>
      <c r="Q257" s="788"/>
      <c r="R257" s="672"/>
      <c r="S257" s="672"/>
      <c r="T257" s="672"/>
      <c r="U257" s="672"/>
      <c r="V257" s="672"/>
      <c r="W257" s="672"/>
      <c r="X257" s="672"/>
      <c r="Y257" s="672"/>
      <c r="Z257" s="672"/>
    </row>
    <row r="258" spans="1:26" ht="12.75" customHeight="1">
      <c r="A258" s="672"/>
      <c r="B258" s="788"/>
      <c r="C258" s="788"/>
      <c r="D258" s="788"/>
      <c r="E258" s="788"/>
      <c r="F258" s="788"/>
      <c r="G258" s="788"/>
      <c r="H258" s="788"/>
      <c r="I258" s="788"/>
      <c r="J258" s="788"/>
      <c r="K258" s="788"/>
      <c r="L258" s="788"/>
      <c r="M258" s="788"/>
      <c r="N258" s="788"/>
      <c r="O258" s="788"/>
      <c r="P258" s="788"/>
      <c r="Q258" s="788"/>
      <c r="R258" s="672"/>
      <c r="S258" s="672"/>
      <c r="T258" s="672"/>
      <c r="U258" s="672"/>
      <c r="V258" s="672"/>
      <c r="W258" s="672"/>
      <c r="X258" s="672"/>
      <c r="Y258" s="672"/>
      <c r="Z258" s="672"/>
    </row>
    <row r="259" spans="1:26" ht="12.75" customHeight="1">
      <c r="A259" s="672"/>
      <c r="B259" s="788"/>
      <c r="C259" s="788"/>
      <c r="D259" s="788"/>
      <c r="E259" s="788"/>
      <c r="F259" s="788"/>
      <c r="G259" s="788"/>
      <c r="H259" s="788"/>
      <c r="I259" s="788"/>
      <c r="J259" s="788"/>
      <c r="K259" s="788"/>
      <c r="L259" s="788"/>
      <c r="M259" s="788"/>
      <c r="N259" s="788"/>
      <c r="O259" s="788"/>
      <c r="P259" s="788"/>
      <c r="Q259" s="788"/>
      <c r="R259" s="672"/>
      <c r="S259" s="672"/>
      <c r="T259" s="672"/>
      <c r="U259" s="672"/>
      <c r="V259" s="672"/>
      <c r="W259" s="672"/>
      <c r="X259" s="672"/>
      <c r="Y259" s="672"/>
      <c r="Z259" s="672"/>
    </row>
    <row r="260" spans="1:26" ht="12.75" customHeight="1">
      <c r="A260" s="672"/>
      <c r="B260" s="788"/>
      <c r="C260" s="788"/>
      <c r="D260" s="788"/>
      <c r="E260" s="788"/>
      <c r="F260" s="788"/>
      <c r="G260" s="788"/>
      <c r="H260" s="788"/>
      <c r="I260" s="788"/>
      <c r="J260" s="788"/>
      <c r="K260" s="788"/>
      <c r="L260" s="788"/>
      <c r="M260" s="788"/>
      <c r="N260" s="788"/>
      <c r="O260" s="788"/>
      <c r="P260" s="788"/>
      <c r="Q260" s="788"/>
      <c r="R260" s="672"/>
      <c r="S260" s="672"/>
      <c r="T260" s="672"/>
      <c r="U260" s="672"/>
      <c r="V260" s="672"/>
      <c r="W260" s="672"/>
      <c r="X260" s="672"/>
      <c r="Y260" s="672"/>
      <c r="Z260" s="672"/>
    </row>
    <row r="261" spans="1:26" ht="12.75" customHeight="1">
      <c r="A261" s="672"/>
      <c r="B261" s="788"/>
      <c r="C261" s="788"/>
      <c r="D261" s="788"/>
      <c r="E261" s="788"/>
      <c r="F261" s="788"/>
      <c r="G261" s="788"/>
      <c r="H261" s="788"/>
      <c r="I261" s="788"/>
      <c r="J261" s="788"/>
      <c r="K261" s="788"/>
      <c r="L261" s="788"/>
      <c r="M261" s="788"/>
      <c r="N261" s="788"/>
      <c r="O261" s="788"/>
      <c r="P261" s="788"/>
      <c r="Q261" s="788"/>
      <c r="R261" s="672"/>
      <c r="S261" s="672"/>
      <c r="T261" s="672"/>
      <c r="U261" s="672"/>
      <c r="V261" s="672"/>
      <c r="W261" s="672"/>
      <c r="X261" s="672"/>
      <c r="Y261" s="672"/>
      <c r="Z261" s="672"/>
    </row>
    <row r="262" spans="1:26" ht="12.75" customHeight="1">
      <c r="A262" s="672"/>
      <c r="B262" s="788"/>
      <c r="C262" s="788"/>
      <c r="D262" s="788"/>
      <c r="E262" s="788"/>
      <c r="F262" s="788"/>
      <c r="G262" s="788"/>
      <c r="H262" s="788"/>
      <c r="I262" s="788"/>
      <c r="J262" s="788"/>
      <c r="K262" s="788"/>
      <c r="L262" s="788"/>
      <c r="M262" s="788"/>
      <c r="N262" s="788"/>
      <c r="O262" s="788"/>
      <c r="P262" s="788"/>
      <c r="Q262" s="788"/>
      <c r="R262" s="672"/>
      <c r="S262" s="672"/>
      <c r="T262" s="672"/>
      <c r="U262" s="672"/>
      <c r="V262" s="672"/>
      <c r="W262" s="672"/>
      <c r="X262" s="672"/>
      <c r="Y262" s="672"/>
      <c r="Z262" s="672"/>
    </row>
    <row r="263" spans="1:26" ht="12.75" customHeight="1">
      <c r="A263" s="672"/>
      <c r="B263" s="788"/>
      <c r="C263" s="788"/>
      <c r="D263" s="788"/>
      <c r="E263" s="788"/>
      <c r="F263" s="788"/>
      <c r="G263" s="788"/>
      <c r="H263" s="788"/>
      <c r="I263" s="788"/>
      <c r="J263" s="788"/>
      <c r="K263" s="788"/>
      <c r="L263" s="788"/>
      <c r="M263" s="788"/>
      <c r="N263" s="788"/>
      <c r="O263" s="788"/>
      <c r="P263" s="788"/>
      <c r="Q263" s="788"/>
      <c r="R263" s="672"/>
      <c r="S263" s="672"/>
      <c r="T263" s="672"/>
      <c r="U263" s="672"/>
      <c r="V263" s="672"/>
      <c r="W263" s="672"/>
      <c r="X263" s="672"/>
      <c r="Y263" s="672"/>
      <c r="Z263" s="672"/>
    </row>
    <row r="264" spans="1:26" ht="12.75" customHeight="1">
      <c r="A264" s="672"/>
      <c r="B264" s="788"/>
      <c r="C264" s="788"/>
      <c r="D264" s="788"/>
      <c r="E264" s="788"/>
      <c r="F264" s="788"/>
      <c r="G264" s="788"/>
      <c r="H264" s="788"/>
      <c r="I264" s="788"/>
      <c r="J264" s="788"/>
      <c r="K264" s="788"/>
      <c r="L264" s="788"/>
      <c r="M264" s="788"/>
      <c r="N264" s="788"/>
      <c r="O264" s="788"/>
      <c r="P264" s="788"/>
      <c r="Q264" s="788"/>
      <c r="R264" s="672"/>
      <c r="S264" s="672"/>
      <c r="T264" s="672"/>
      <c r="U264" s="672"/>
      <c r="V264" s="672"/>
      <c r="W264" s="672"/>
      <c r="X264" s="672"/>
      <c r="Y264" s="672"/>
      <c r="Z264" s="672"/>
    </row>
    <row r="265" spans="1:26" ht="12.75" customHeight="1">
      <c r="A265" s="672"/>
      <c r="B265" s="788"/>
      <c r="C265" s="788"/>
      <c r="D265" s="788"/>
      <c r="E265" s="788"/>
      <c r="F265" s="788"/>
      <c r="G265" s="788"/>
      <c r="H265" s="788"/>
      <c r="I265" s="788"/>
      <c r="J265" s="788"/>
      <c r="K265" s="788"/>
      <c r="L265" s="788"/>
      <c r="M265" s="788"/>
      <c r="N265" s="788"/>
      <c r="O265" s="788"/>
      <c r="P265" s="788"/>
      <c r="Q265" s="788"/>
      <c r="R265" s="672"/>
      <c r="S265" s="672"/>
      <c r="T265" s="672"/>
      <c r="U265" s="672"/>
      <c r="V265" s="672"/>
      <c r="W265" s="672"/>
      <c r="X265" s="672"/>
      <c r="Y265" s="672"/>
      <c r="Z265" s="672"/>
    </row>
    <row r="266" spans="1:26" ht="12.75" customHeight="1">
      <c r="A266" s="672"/>
      <c r="B266" s="788"/>
      <c r="C266" s="788"/>
      <c r="D266" s="788"/>
      <c r="E266" s="788"/>
      <c r="F266" s="788"/>
      <c r="G266" s="788"/>
      <c r="H266" s="788"/>
      <c r="I266" s="788"/>
      <c r="J266" s="788"/>
      <c r="K266" s="788"/>
      <c r="L266" s="788"/>
      <c r="M266" s="788"/>
      <c r="N266" s="788"/>
      <c r="O266" s="788"/>
      <c r="P266" s="788"/>
      <c r="Q266" s="788"/>
      <c r="R266" s="672"/>
      <c r="S266" s="672"/>
      <c r="T266" s="672"/>
      <c r="U266" s="672"/>
      <c r="V266" s="672"/>
      <c r="W266" s="672"/>
      <c r="X266" s="672"/>
      <c r="Y266" s="672"/>
      <c r="Z266" s="672"/>
    </row>
    <row r="267" spans="1:26" ht="12.75" customHeight="1">
      <c r="A267" s="672"/>
      <c r="B267" s="788"/>
      <c r="C267" s="788"/>
      <c r="D267" s="788"/>
      <c r="E267" s="788"/>
      <c r="F267" s="788"/>
      <c r="G267" s="788"/>
      <c r="H267" s="788"/>
      <c r="I267" s="788"/>
      <c r="J267" s="788"/>
      <c r="K267" s="788"/>
      <c r="L267" s="788"/>
      <c r="M267" s="788"/>
      <c r="N267" s="788"/>
      <c r="O267" s="788"/>
      <c r="P267" s="788"/>
      <c r="Q267" s="788"/>
      <c r="R267" s="672"/>
      <c r="S267" s="672"/>
      <c r="T267" s="672"/>
      <c r="U267" s="672"/>
      <c r="V267" s="672"/>
      <c r="W267" s="672"/>
      <c r="X267" s="672"/>
      <c r="Y267" s="672"/>
      <c r="Z267" s="672"/>
    </row>
    <row r="268" spans="1:26" ht="12.75" customHeight="1">
      <c r="A268" s="672"/>
      <c r="B268" s="788"/>
      <c r="C268" s="788"/>
      <c r="D268" s="788"/>
      <c r="E268" s="788"/>
      <c r="F268" s="788"/>
      <c r="G268" s="788"/>
      <c r="H268" s="788"/>
      <c r="I268" s="788"/>
      <c r="J268" s="788"/>
      <c r="K268" s="788"/>
      <c r="L268" s="788"/>
      <c r="M268" s="788"/>
      <c r="N268" s="788"/>
      <c r="O268" s="788"/>
      <c r="P268" s="788"/>
      <c r="Q268" s="788"/>
      <c r="R268" s="672"/>
      <c r="S268" s="672"/>
      <c r="T268" s="672"/>
      <c r="U268" s="672"/>
      <c r="V268" s="672"/>
      <c r="W268" s="672"/>
      <c r="X268" s="672"/>
      <c r="Y268" s="672"/>
      <c r="Z268" s="672"/>
    </row>
    <row r="269" spans="1:26" ht="12.75" customHeight="1">
      <c r="A269" s="672"/>
      <c r="B269" s="788"/>
      <c r="C269" s="788"/>
      <c r="D269" s="788"/>
      <c r="E269" s="788"/>
      <c r="F269" s="788"/>
      <c r="G269" s="788"/>
      <c r="H269" s="788"/>
      <c r="I269" s="788"/>
      <c r="J269" s="788"/>
      <c r="K269" s="788"/>
      <c r="L269" s="788"/>
      <c r="M269" s="788"/>
      <c r="N269" s="788"/>
      <c r="O269" s="788"/>
      <c r="P269" s="788"/>
      <c r="Q269" s="788"/>
      <c r="R269" s="672"/>
      <c r="S269" s="672"/>
      <c r="T269" s="672"/>
      <c r="U269" s="672"/>
      <c r="V269" s="672"/>
      <c r="W269" s="672"/>
      <c r="X269" s="672"/>
      <c r="Y269" s="672"/>
      <c r="Z269" s="672"/>
    </row>
    <row r="270" spans="1:26" ht="12.75" customHeight="1">
      <c r="A270" s="672"/>
      <c r="B270" s="788"/>
      <c r="C270" s="788"/>
      <c r="D270" s="788"/>
      <c r="E270" s="788"/>
      <c r="F270" s="788"/>
      <c r="G270" s="788"/>
      <c r="H270" s="788"/>
      <c r="I270" s="788"/>
      <c r="J270" s="788"/>
      <c r="K270" s="788"/>
      <c r="L270" s="788"/>
      <c r="M270" s="788"/>
      <c r="N270" s="788"/>
      <c r="O270" s="788"/>
      <c r="P270" s="788"/>
      <c r="Q270" s="788"/>
      <c r="R270" s="672"/>
      <c r="S270" s="672"/>
      <c r="T270" s="672"/>
      <c r="U270" s="672"/>
      <c r="V270" s="672"/>
      <c r="W270" s="672"/>
      <c r="X270" s="672"/>
      <c r="Y270" s="672"/>
      <c r="Z270" s="672"/>
    </row>
    <row r="271" spans="1:26" ht="12.75" customHeight="1">
      <c r="A271" s="672"/>
      <c r="B271" s="788"/>
      <c r="C271" s="788"/>
      <c r="D271" s="788"/>
      <c r="E271" s="788"/>
      <c r="F271" s="788"/>
      <c r="G271" s="788"/>
      <c r="H271" s="788"/>
      <c r="I271" s="788"/>
      <c r="J271" s="788"/>
      <c r="K271" s="788"/>
      <c r="L271" s="788"/>
      <c r="M271" s="788"/>
      <c r="N271" s="788"/>
      <c r="O271" s="788"/>
      <c r="P271" s="788"/>
      <c r="Q271" s="788"/>
      <c r="R271" s="672"/>
      <c r="S271" s="672"/>
      <c r="T271" s="672"/>
      <c r="U271" s="672"/>
      <c r="V271" s="672"/>
      <c r="W271" s="672"/>
      <c r="X271" s="672"/>
      <c r="Y271" s="672"/>
      <c r="Z271" s="672"/>
    </row>
    <row r="272" spans="1:26" ht="12.75" customHeight="1">
      <c r="A272" s="672"/>
      <c r="B272" s="788"/>
      <c r="C272" s="788"/>
      <c r="D272" s="788"/>
      <c r="E272" s="788"/>
      <c r="F272" s="788"/>
      <c r="G272" s="788"/>
      <c r="H272" s="788"/>
      <c r="I272" s="788"/>
      <c r="J272" s="788"/>
      <c r="K272" s="788"/>
      <c r="L272" s="788"/>
      <c r="M272" s="788"/>
      <c r="N272" s="788"/>
      <c r="O272" s="788"/>
      <c r="P272" s="788"/>
      <c r="Q272" s="788"/>
      <c r="R272" s="672"/>
      <c r="S272" s="672"/>
      <c r="T272" s="672"/>
      <c r="U272" s="672"/>
      <c r="V272" s="672"/>
      <c r="W272" s="672"/>
      <c r="X272" s="672"/>
      <c r="Y272" s="672"/>
      <c r="Z272" s="672"/>
    </row>
    <row r="273" spans="1:26" ht="12.75" customHeight="1">
      <c r="A273" s="672"/>
      <c r="B273" s="788"/>
      <c r="C273" s="788"/>
      <c r="D273" s="788"/>
      <c r="E273" s="788"/>
      <c r="F273" s="788"/>
      <c r="G273" s="788"/>
      <c r="H273" s="788"/>
      <c r="I273" s="788"/>
      <c r="J273" s="788"/>
      <c r="K273" s="788"/>
      <c r="L273" s="788"/>
      <c r="M273" s="788"/>
      <c r="N273" s="788"/>
      <c r="O273" s="788"/>
      <c r="P273" s="788"/>
      <c r="Q273" s="788"/>
      <c r="R273" s="672"/>
      <c r="S273" s="672"/>
      <c r="T273" s="672"/>
      <c r="U273" s="672"/>
      <c r="V273" s="672"/>
      <c r="W273" s="672"/>
      <c r="X273" s="672"/>
      <c r="Y273" s="672"/>
      <c r="Z273" s="672"/>
    </row>
    <row r="274" spans="1:26" ht="12.75" customHeight="1">
      <c r="A274" s="672"/>
      <c r="B274" s="788"/>
      <c r="C274" s="788"/>
      <c r="D274" s="788"/>
      <c r="E274" s="788"/>
      <c r="F274" s="788"/>
      <c r="G274" s="788"/>
      <c r="H274" s="788"/>
      <c r="I274" s="788"/>
      <c r="J274" s="788"/>
      <c r="K274" s="788"/>
      <c r="L274" s="788"/>
      <c r="M274" s="788"/>
      <c r="N274" s="788"/>
      <c r="O274" s="788"/>
      <c r="P274" s="788"/>
      <c r="Q274" s="788"/>
      <c r="R274" s="672"/>
      <c r="S274" s="672"/>
      <c r="T274" s="672"/>
      <c r="U274" s="672"/>
      <c r="V274" s="672"/>
      <c r="W274" s="672"/>
      <c r="X274" s="672"/>
      <c r="Y274" s="672"/>
      <c r="Z274" s="672"/>
    </row>
    <row r="275" spans="1:26" ht="12.75" customHeight="1">
      <c r="A275" s="672"/>
      <c r="B275" s="788"/>
      <c r="C275" s="788"/>
      <c r="D275" s="788"/>
      <c r="E275" s="788"/>
      <c r="F275" s="788"/>
      <c r="G275" s="788"/>
      <c r="H275" s="788"/>
      <c r="I275" s="788"/>
      <c r="J275" s="788"/>
      <c r="K275" s="788"/>
      <c r="L275" s="788"/>
      <c r="M275" s="788"/>
      <c r="N275" s="788"/>
      <c r="O275" s="788"/>
      <c r="P275" s="788"/>
      <c r="Q275" s="788"/>
      <c r="R275" s="672"/>
      <c r="S275" s="672"/>
      <c r="T275" s="672"/>
      <c r="U275" s="672"/>
      <c r="V275" s="672"/>
      <c r="W275" s="672"/>
      <c r="X275" s="672"/>
      <c r="Y275" s="672"/>
      <c r="Z275" s="672"/>
    </row>
    <row r="276" spans="1:26" ht="12.75" customHeight="1">
      <c r="A276" s="672"/>
      <c r="B276" s="788"/>
      <c r="C276" s="788"/>
      <c r="D276" s="788"/>
      <c r="E276" s="788"/>
      <c r="F276" s="788"/>
      <c r="G276" s="788"/>
      <c r="H276" s="788"/>
      <c r="I276" s="788"/>
      <c r="J276" s="788"/>
      <c r="K276" s="788"/>
      <c r="L276" s="788"/>
      <c r="M276" s="788"/>
      <c r="N276" s="788"/>
      <c r="O276" s="788"/>
      <c r="P276" s="788"/>
      <c r="Q276" s="788"/>
      <c r="R276" s="672"/>
      <c r="S276" s="672"/>
      <c r="T276" s="672"/>
      <c r="U276" s="672"/>
      <c r="V276" s="672"/>
      <c r="W276" s="672"/>
      <c r="X276" s="672"/>
      <c r="Y276" s="672"/>
      <c r="Z276" s="672"/>
    </row>
    <row r="277" spans="1:26" ht="12.75" customHeight="1">
      <c r="A277" s="672"/>
      <c r="B277" s="788"/>
      <c r="C277" s="788"/>
      <c r="D277" s="788"/>
      <c r="E277" s="788"/>
      <c r="F277" s="788"/>
      <c r="G277" s="788"/>
      <c r="H277" s="788"/>
      <c r="I277" s="788"/>
      <c r="J277" s="788"/>
      <c r="K277" s="788"/>
      <c r="L277" s="788"/>
      <c r="M277" s="788"/>
      <c r="N277" s="788"/>
      <c r="O277" s="788"/>
      <c r="P277" s="788"/>
      <c r="Q277" s="788"/>
      <c r="R277" s="672"/>
      <c r="S277" s="672"/>
      <c r="T277" s="672"/>
      <c r="U277" s="672"/>
      <c r="V277" s="672"/>
      <c r="W277" s="672"/>
      <c r="X277" s="672"/>
      <c r="Y277" s="672"/>
      <c r="Z277" s="672"/>
    </row>
    <row r="278" spans="1:26" ht="12.75" customHeight="1">
      <c r="A278" s="672"/>
      <c r="B278" s="788"/>
      <c r="C278" s="788"/>
      <c r="D278" s="788"/>
      <c r="E278" s="788"/>
      <c r="F278" s="788"/>
      <c r="G278" s="788"/>
      <c r="H278" s="788"/>
      <c r="I278" s="788"/>
      <c r="J278" s="788"/>
      <c r="K278" s="788"/>
      <c r="L278" s="788"/>
      <c r="M278" s="788"/>
      <c r="N278" s="788"/>
      <c r="O278" s="788"/>
      <c r="P278" s="788"/>
      <c r="Q278" s="788"/>
      <c r="R278" s="672"/>
      <c r="S278" s="672"/>
      <c r="T278" s="672"/>
      <c r="U278" s="672"/>
      <c r="V278" s="672"/>
      <c r="W278" s="672"/>
      <c r="X278" s="672"/>
      <c r="Y278" s="672"/>
      <c r="Z278" s="672"/>
    </row>
    <row r="279" spans="1:26" ht="12.75" customHeight="1">
      <c r="A279" s="672"/>
      <c r="B279" s="788"/>
      <c r="C279" s="788"/>
      <c r="D279" s="788"/>
      <c r="E279" s="788"/>
      <c r="F279" s="788"/>
      <c r="G279" s="788"/>
      <c r="H279" s="788"/>
      <c r="I279" s="788"/>
      <c r="J279" s="788"/>
      <c r="K279" s="788"/>
      <c r="L279" s="788"/>
      <c r="M279" s="788"/>
      <c r="N279" s="788"/>
      <c r="O279" s="788"/>
      <c r="P279" s="788"/>
      <c r="Q279" s="788"/>
      <c r="R279" s="672"/>
      <c r="S279" s="672"/>
      <c r="T279" s="672"/>
      <c r="U279" s="672"/>
      <c r="V279" s="672"/>
      <c r="W279" s="672"/>
      <c r="X279" s="672"/>
      <c r="Y279" s="672"/>
      <c r="Z279" s="672"/>
    </row>
    <row r="280" spans="1:26" ht="12.75" customHeight="1">
      <c r="A280" s="672"/>
      <c r="B280" s="788"/>
      <c r="C280" s="788"/>
      <c r="D280" s="788"/>
      <c r="E280" s="788"/>
      <c r="F280" s="788"/>
      <c r="G280" s="788"/>
      <c r="H280" s="788"/>
      <c r="I280" s="788"/>
      <c r="J280" s="788"/>
      <c r="K280" s="788"/>
      <c r="L280" s="788"/>
      <c r="M280" s="788"/>
      <c r="N280" s="788"/>
      <c r="O280" s="788"/>
      <c r="P280" s="788"/>
      <c r="Q280" s="788"/>
      <c r="R280" s="672"/>
      <c r="S280" s="672"/>
      <c r="T280" s="672"/>
      <c r="U280" s="672"/>
      <c r="V280" s="672"/>
      <c r="W280" s="672"/>
      <c r="X280" s="672"/>
      <c r="Y280" s="672"/>
      <c r="Z280" s="672"/>
    </row>
    <row r="281" spans="1:26" ht="12.75" customHeight="1">
      <c r="A281" s="672"/>
      <c r="B281" s="788"/>
      <c r="C281" s="788"/>
      <c r="D281" s="788"/>
      <c r="E281" s="788"/>
      <c r="F281" s="788"/>
      <c r="G281" s="788"/>
      <c r="H281" s="788"/>
      <c r="I281" s="788"/>
      <c r="J281" s="788"/>
      <c r="K281" s="788"/>
      <c r="L281" s="788"/>
      <c r="M281" s="788"/>
      <c r="N281" s="788"/>
      <c r="O281" s="788"/>
      <c r="P281" s="788"/>
      <c r="Q281" s="788"/>
      <c r="R281" s="672"/>
      <c r="S281" s="672"/>
      <c r="T281" s="672"/>
      <c r="U281" s="672"/>
      <c r="V281" s="672"/>
      <c r="W281" s="672"/>
      <c r="X281" s="672"/>
      <c r="Y281" s="672"/>
      <c r="Z281" s="672"/>
    </row>
    <row r="282" spans="1:26" ht="12.75" customHeight="1">
      <c r="A282" s="672"/>
      <c r="B282" s="788"/>
      <c r="C282" s="788"/>
      <c r="D282" s="788"/>
      <c r="E282" s="788"/>
      <c r="F282" s="788"/>
      <c r="G282" s="788"/>
      <c r="H282" s="788"/>
      <c r="I282" s="788"/>
      <c r="J282" s="788"/>
      <c r="K282" s="788"/>
      <c r="L282" s="788"/>
      <c r="M282" s="788"/>
      <c r="N282" s="788"/>
      <c r="O282" s="788"/>
      <c r="P282" s="788"/>
      <c r="Q282" s="788"/>
      <c r="R282" s="672"/>
      <c r="S282" s="672"/>
      <c r="T282" s="672"/>
      <c r="U282" s="672"/>
      <c r="V282" s="672"/>
      <c r="W282" s="672"/>
      <c r="X282" s="672"/>
      <c r="Y282" s="672"/>
      <c r="Z282" s="672"/>
    </row>
    <row r="283" spans="1:26" ht="12.75" customHeight="1">
      <c r="A283" s="672"/>
      <c r="B283" s="788"/>
      <c r="C283" s="788"/>
      <c r="D283" s="788"/>
      <c r="E283" s="788"/>
      <c r="F283" s="788"/>
      <c r="G283" s="788"/>
      <c r="H283" s="788"/>
      <c r="I283" s="788"/>
      <c r="J283" s="788"/>
      <c r="K283" s="788"/>
      <c r="L283" s="788"/>
      <c r="M283" s="788"/>
      <c r="N283" s="788"/>
      <c r="O283" s="788"/>
      <c r="P283" s="788"/>
      <c r="Q283" s="788"/>
      <c r="R283" s="672"/>
      <c r="S283" s="672"/>
      <c r="T283" s="672"/>
      <c r="U283" s="672"/>
      <c r="V283" s="672"/>
      <c r="W283" s="672"/>
      <c r="X283" s="672"/>
      <c r="Y283" s="672"/>
      <c r="Z283" s="672"/>
    </row>
    <row r="284" spans="1:26" ht="12.75" customHeight="1">
      <c r="A284" s="672"/>
      <c r="B284" s="788"/>
      <c r="C284" s="788"/>
      <c r="D284" s="788"/>
      <c r="E284" s="788"/>
      <c r="F284" s="788"/>
      <c r="G284" s="788"/>
      <c r="H284" s="788"/>
      <c r="I284" s="788"/>
      <c r="J284" s="788"/>
      <c r="K284" s="788"/>
      <c r="L284" s="788"/>
      <c r="M284" s="788"/>
      <c r="N284" s="788"/>
      <c r="O284" s="788"/>
      <c r="P284" s="788"/>
      <c r="Q284" s="788"/>
      <c r="R284" s="672"/>
      <c r="S284" s="672"/>
      <c r="T284" s="672"/>
      <c r="U284" s="672"/>
      <c r="V284" s="672"/>
      <c r="W284" s="672"/>
      <c r="X284" s="672"/>
      <c r="Y284" s="672"/>
      <c r="Z284" s="672"/>
    </row>
    <row r="285" spans="1:26" ht="12.75" customHeight="1">
      <c r="A285" s="672"/>
      <c r="B285" s="788"/>
      <c r="C285" s="788"/>
      <c r="D285" s="788"/>
      <c r="E285" s="788"/>
      <c r="F285" s="788"/>
      <c r="G285" s="788"/>
      <c r="H285" s="788"/>
      <c r="I285" s="788"/>
      <c r="J285" s="788"/>
      <c r="K285" s="788"/>
      <c r="L285" s="788"/>
      <c r="M285" s="788"/>
      <c r="N285" s="788"/>
      <c r="O285" s="788"/>
      <c r="P285" s="788"/>
      <c r="Q285" s="788"/>
      <c r="R285" s="672"/>
      <c r="S285" s="672"/>
      <c r="T285" s="672"/>
      <c r="U285" s="672"/>
      <c r="V285" s="672"/>
      <c r="W285" s="672"/>
      <c r="X285" s="672"/>
      <c r="Y285" s="672"/>
      <c r="Z285" s="672"/>
    </row>
    <row r="286" spans="1:26" ht="12.75" customHeight="1">
      <c r="A286" s="672"/>
      <c r="B286" s="788"/>
      <c r="C286" s="788"/>
      <c r="D286" s="788"/>
      <c r="E286" s="788"/>
      <c r="F286" s="788"/>
      <c r="G286" s="788"/>
      <c r="H286" s="788"/>
      <c r="I286" s="788"/>
      <c r="J286" s="788"/>
      <c r="K286" s="788"/>
      <c r="L286" s="788"/>
      <c r="M286" s="788"/>
      <c r="N286" s="788"/>
      <c r="O286" s="788"/>
      <c r="P286" s="788"/>
      <c r="Q286" s="788"/>
      <c r="R286" s="672"/>
      <c r="S286" s="672"/>
      <c r="T286" s="672"/>
      <c r="U286" s="672"/>
      <c r="V286" s="672"/>
      <c r="W286" s="672"/>
      <c r="X286" s="672"/>
      <c r="Y286" s="672"/>
      <c r="Z286" s="672"/>
    </row>
    <row r="287" spans="1:26" ht="12.75" customHeight="1">
      <c r="A287" s="672"/>
      <c r="B287" s="788"/>
      <c r="C287" s="788"/>
      <c r="D287" s="788"/>
      <c r="E287" s="788"/>
      <c r="F287" s="788"/>
      <c r="G287" s="788"/>
      <c r="H287" s="788"/>
      <c r="I287" s="788"/>
      <c r="J287" s="788"/>
      <c r="K287" s="788"/>
      <c r="L287" s="788"/>
      <c r="M287" s="788"/>
      <c r="N287" s="788"/>
      <c r="O287" s="788"/>
      <c r="P287" s="788"/>
      <c r="Q287" s="788"/>
      <c r="R287" s="672"/>
      <c r="S287" s="672"/>
      <c r="T287" s="672"/>
      <c r="U287" s="672"/>
      <c r="V287" s="672"/>
      <c r="W287" s="672"/>
      <c r="X287" s="672"/>
      <c r="Y287" s="672"/>
      <c r="Z287" s="672"/>
    </row>
    <row r="288" spans="1:26" ht="12.75" customHeight="1">
      <c r="A288" s="672"/>
      <c r="B288" s="788"/>
      <c r="C288" s="788"/>
      <c r="D288" s="788"/>
      <c r="E288" s="788"/>
      <c r="F288" s="788"/>
      <c r="G288" s="788"/>
      <c r="H288" s="788"/>
      <c r="I288" s="788"/>
      <c r="J288" s="788"/>
      <c r="K288" s="788"/>
      <c r="L288" s="788"/>
      <c r="M288" s="788"/>
      <c r="N288" s="788"/>
      <c r="O288" s="788"/>
      <c r="P288" s="788"/>
      <c r="Q288" s="788"/>
      <c r="R288" s="672"/>
      <c r="S288" s="672"/>
      <c r="T288" s="672"/>
      <c r="U288" s="672"/>
      <c r="V288" s="672"/>
      <c r="W288" s="672"/>
      <c r="X288" s="672"/>
      <c r="Y288" s="672"/>
      <c r="Z288" s="672"/>
    </row>
    <row r="289" spans="1:26" ht="12.75" customHeight="1">
      <c r="A289" s="672"/>
      <c r="B289" s="788"/>
      <c r="C289" s="788"/>
      <c r="D289" s="788"/>
      <c r="E289" s="788"/>
      <c r="F289" s="788"/>
      <c r="G289" s="788"/>
      <c r="H289" s="788"/>
      <c r="I289" s="788"/>
      <c r="J289" s="788"/>
      <c r="K289" s="788"/>
      <c r="L289" s="788"/>
      <c r="M289" s="788"/>
      <c r="N289" s="788"/>
      <c r="O289" s="788"/>
      <c r="P289" s="788"/>
      <c r="Q289" s="788"/>
      <c r="R289" s="672"/>
      <c r="S289" s="672"/>
      <c r="T289" s="672"/>
      <c r="U289" s="672"/>
      <c r="V289" s="672"/>
      <c r="W289" s="672"/>
      <c r="X289" s="672"/>
      <c r="Y289" s="672"/>
      <c r="Z289" s="672"/>
    </row>
    <row r="290" spans="1:26" ht="12.75" customHeight="1">
      <c r="A290" s="672"/>
      <c r="B290" s="788"/>
      <c r="C290" s="788"/>
      <c r="D290" s="788"/>
      <c r="E290" s="788"/>
      <c r="F290" s="788"/>
      <c r="G290" s="788"/>
      <c r="H290" s="788"/>
      <c r="I290" s="788"/>
      <c r="J290" s="788"/>
      <c r="K290" s="788"/>
      <c r="L290" s="788"/>
      <c r="M290" s="788"/>
      <c r="N290" s="788"/>
      <c r="O290" s="788"/>
      <c r="P290" s="788"/>
      <c r="Q290" s="788"/>
      <c r="R290" s="672"/>
      <c r="S290" s="672"/>
      <c r="T290" s="672"/>
      <c r="U290" s="672"/>
      <c r="V290" s="672"/>
      <c r="W290" s="672"/>
      <c r="X290" s="672"/>
      <c r="Y290" s="672"/>
      <c r="Z290" s="672"/>
    </row>
    <row r="291" spans="1:26" ht="12.75" customHeight="1">
      <c r="A291" s="672"/>
      <c r="B291" s="788"/>
      <c r="C291" s="788"/>
      <c r="D291" s="788"/>
      <c r="E291" s="788"/>
      <c r="F291" s="788"/>
      <c r="G291" s="788"/>
      <c r="H291" s="788"/>
      <c r="I291" s="788"/>
      <c r="J291" s="788"/>
      <c r="K291" s="788"/>
      <c r="L291" s="788"/>
      <c r="M291" s="788"/>
      <c r="N291" s="788"/>
      <c r="O291" s="788"/>
      <c r="P291" s="788"/>
      <c r="Q291" s="788"/>
      <c r="R291" s="672"/>
      <c r="S291" s="672"/>
      <c r="T291" s="672"/>
      <c r="U291" s="672"/>
      <c r="V291" s="672"/>
      <c r="W291" s="672"/>
      <c r="X291" s="672"/>
      <c r="Y291" s="672"/>
      <c r="Z291" s="672"/>
    </row>
    <row r="292" spans="1:26" ht="12.75" customHeight="1">
      <c r="A292" s="672"/>
      <c r="B292" s="788"/>
      <c r="C292" s="788"/>
      <c r="D292" s="788"/>
      <c r="E292" s="788"/>
      <c r="F292" s="788"/>
      <c r="G292" s="788"/>
      <c r="H292" s="788"/>
      <c r="I292" s="788"/>
      <c r="J292" s="788"/>
      <c r="K292" s="788"/>
      <c r="L292" s="788"/>
      <c r="M292" s="788"/>
      <c r="N292" s="788"/>
      <c r="O292" s="788"/>
      <c r="P292" s="788"/>
      <c r="Q292" s="788"/>
      <c r="R292" s="672"/>
      <c r="S292" s="672"/>
      <c r="T292" s="672"/>
      <c r="U292" s="672"/>
      <c r="V292" s="672"/>
      <c r="W292" s="672"/>
      <c r="X292" s="672"/>
      <c r="Y292" s="672"/>
      <c r="Z292" s="672"/>
    </row>
    <row r="293" spans="1:26" ht="12.75" customHeight="1">
      <c r="A293" s="672"/>
      <c r="B293" s="788"/>
      <c r="C293" s="788"/>
      <c r="D293" s="788"/>
      <c r="E293" s="788"/>
      <c r="F293" s="788"/>
      <c r="G293" s="788"/>
      <c r="H293" s="788"/>
      <c r="I293" s="788"/>
      <c r="J293" s="788"/>
      <c r="K293" s="788"/>
      <c r="L293" s="788"/>
      <c r="M293" s="788"/>
      <c r="N293" s="788"/>
      <c r="O293" s="788"/>
      <c r="P293" s="788"/>
      <c r="Q293" s="788"/>
      <c r="R293" s="672"/>
      <c r="S293" s="672"/>
      <c r="T293" s="672"/>
      <c r="U293" s="672"/>
      <c r="V293" s="672"/>
      <c r="W293" s="672"/>
      <c r="X293" s="672"/>
      <c r="Y293" s="672"/>
      <c r="Z293" s="672"/>
    </row>
    <row r="294" spans="1:26" ht="15.75" customHeight="1">
      <c r="K294" s="788"/>
      <c r="L294" s="788"/>
      <c r="M294" s="788"/>
      <c r="N294" s="788"/>
      <c r="O294" s="788"/>
      <c r="P294" s="788"/>
      <c r="Q294" s="788"/>
      <c r="R294" s="672"/>
      <c r="S294" s="672"/>
    </row>
    <row r="295" spans="1:26" ht="15.75" customHeight="1">
      <c r="K295" s="788"/>
      <c r="L295" s="788"/>
      <c r="M295" s="788"/>
      <c r="N295" s="788"/>
      <c r="O295" s="788"/>
      <c r="P295" s="788"/>
      <c r="Q295" s="788"/>
      <c r="R295" s="672"/>
      <c r="S295" s="672"/>
    </row>
    <row r="296" spans="1:26" ht="15.75" customHeight="1"/>
    <row r="297" spans="1:26" ht="15.75" customHeight="1"/>
    <row r="298" spans="1:26" ht="15.75" customHeight="1"/>
    <row r="299" spans="1:26" ht="15.75" customHeight="1"/>
    <row r="300" spans="1:26" ht="15.75" customHeight="1"/>
    <row r="301" spans="1:26" ht="15.75" customHeight="1"/>
    <row r="302" spans="1:26" ht="15.75" customHeight="1"/>
    <row r="303" spans="1:26" ht="15.75" customHeight="1"/>
    <row r="304" spans="1:26" ht="15.75" customHeight="1"/>
    <row r="305" customFormat="1" ht="15.75" customHeight="1"/>
    <row r="306" customFormat="1" ht="15.75" customHeight="1"/>
    <row r="307" customFormat="1" ht="15.75" customHeight="1"/>
    <row r="308" customFormat="1" ht="15.75" customHeight="1"/>
    <row r="309" customFormat="1" ht="15.75" customHeight="1"/>
    <row r="310" customFormat="1" ht="15.75" customHeight="1"/>
    <row r="311" customFormat="1" ht="15.75" customHeight="1"/>
    <row r="312" customFormat="1" ht="15.75" customHeight="1"/>
    <row r="313" customFormat="1" ht="15.75" customHeight="1"/>
    <row r="314" customFormat="1" ht="15.75" customHeight="1"/>
    <row r="315" customFormat="1" ht="15.75" customHeight="1"/>
    <row r="316" customFormat="1" ht="15.75" customHeight="1"/>
    <row r="317" customFormat="1" ht="15.75" customHeight="1"/>
    <row r="318" customFormat="1" ht="15.75" customHeight="1"/>
    <row r="319" customFormat="1" ht="15.75" customHeight="1"/>
    <row r="320" customFormat="1" ht="15.75" customHeight="1"/>
    <row r="321" customFormat="1" ht="15.75" customHeight="1"/>
    <row r="322" customFormat="1" ht="15.75" customHeight="1"/>
    <row r="323" customFormat="1" ht="15.75" customHeight="1"/>
    <row r="324" customFormat="1" ht="15.75" customHeight="1"/>
    <row r="325" customFormat="1" ht="15.75" customHeight="1"/>
    <row r="326" customFormat="1" ht="15.75" customHeight="1"/>
    <row r="327" customFormat="1" ht="15.75" customHeight="1"/>
    <row r="328" customFormat="1" ht="15.75" customHeight="1"/>
    <row r="329" customFormat="1" ht="15.75" customHeight="1"/>
    <row r="330" customFormat="1" ht="15.75" customHeight="1"/>
    <row r="331" customFormat="1" ht="15.75" customHeight="1"/>
    <row r="332" customFormat="1" ht="15.75" customHeight="1"/>
    <row r="333" customFormat="1" ht="15.75" customHeight="1"/>
    <row r="334" customFormat="1" ht="15.75" customHeight="1"/>
    <row r="335" customFormat="1" ht="15.75" customHeight="1"/>
    <row r="336" customFormat="1" ht="15.75" customHeight="1"/>
    <row r="337" customFormat="1" ht="15.75" customHeight="1"/>
    <row r="338" customFormat="1" ht="15.75" customHeight="1"/>
    <row r="339" customFormat="1" ht="15.75" customHeight="1"/>
    <row r="340" customFormat="1" ht="15.75" customHeight="1"/>
    <row r="341" customFormat="1" ht="15.75" customHeight="1"/>
    <row r="342" customFormat="1" ht="15.75" customHeight="1"/>
    <row r="343" customFormat="1" ht="15.75" customHeight="1"/>
    <row r="344" customFormat="1" ht="15.75" customHeight="1"/>
    <row r="345" customFormat="1" ht="15.75" customHeight="1"/>
    <row r="346" customFormat="1" ht="15.75" customHeight="1"/>
    <row r="347" customFormat="1" ht="15.75" customHeight="1"/>
    <row r="348" customFormat="1" ht="15.75" customHeight="1"/>
    <row r="349" customFormat="1" ht="15.75" customHeight="1"/>
    <row r="350" customFormat="1" ht="15.75" customHeight="1"/>
    <row r="351" customFormat="1" ht="15.75" customHeight="1"/>
    <row r="352" customFormat="1" ht="15.75" customHeight="1"/>
    <row r="353" customFormat="1" ht="15.75" customHeight="1"/>
    <row r="354" customFormat="1" ht="15.75" customHeight="1"/>
    <row r="355" customFormat="1" ht="15.75" customHeight="1"/>
    <row r="356" customFormat="1" ht="15.75" customHeight="1"/>
    <row r="357" customFormat="1" ht="15.75" customHeight="1"/>
    <row r="358" customFormat="1" ht="15.75" customHeight="1"/>
    <row r="359" customFormat="1" ht="15.75" customHeight="1"/>
    <row r="360" customFormat="1" ht="15.75" customHeight="1"/>
    <row r="361" customFormat="1" ht="15.75" customHeight="1"/>
    <row r="362" customFormat="1" ht="15.75" customHeight="1"/>
    <row r="363" customFormat="1" ht="15.75" customHeight="1"/>
    <row r="364" customFormat="1" ht="15.75" customHeight="1"/>
    <row r="365" customFormat="1" ht="15.75" customHeight="1"/>
    <row r="366" customFormat="1" ht="15.75" customHeight="1"/>
    <row r="367" customFormat="1" ht="15.75" customHeight="1"/>
    <row r="368" customFormat="1" ht="15.75" customHeight="1"/>
    <row r="369" customFormat="1" ht="15.75" customHeight="1"/>
    <row r="370" customFormat="1" ht="15.75" customHeight="1"/>
    <row r="371" customFormat="1" ht="15.75" customHeight="1"/>
    <row r="372" customFormat="1" ht="15.75" customHeight="1"/>
    <row r="373" customFormat="1" ht="15.75" customHeight="1"/>
    <row r="374" customFormat="1" ht="15.75" customHeight="1"/>
    <row r="375" customFormat="1" ht="15.75" customHeight="1"/>
    <row r="376" customFormat="1" ht="15.75" customHeight="1"/>
    <row r="377" customFormat="1" ht="15.75" customHeight="1"/>
    <row r="378" customFormat="1" ht="15.75" customHeight="1"/>
    <row r="379" customFormat="1" ht="15.75" customHeight="1"/>
    <row r="380" customFormat="1" ht="15.75" customHeight="1"/>
    <row r="381" customFormat="1" ht="15.75" customHeight="1"/>
    <row r="382" customFormat="1" ht="15.75" customHeight="1"/>
    <row r="383" customFormat="1" ht="15.75" customHeight="1"/>
    <row r="384" customFormat="1" ht="15.75" customHeight="1"/>
    <row r="385" customFormat="1" ht="15.75" customHeight="1"/>
    <row r="386" customFormat="1" ht="15.75" customHeight="1"/>
    <row r="387" customFormat="1" ht="15.75" customHeight="1"/>
    <row r="388" customFormat="1" ht="15.75" customHeight="1"/>
    <row r="389" customFormat="1" ht="15.75" customHeight="1"/>
    <row r="390" customFormat="1" ht="15.75" customHeight="1"/>
    <row r="391" customFormat="1" ht="15.75" customHeight="1"/>
    <row r="392" customFormat="1" ht="15.75" customHeight="1"/>
    <row r="393" customFormat="1" ht="15.75" customHeight="1"/>
    <row r="394" customFormat="1" ht="15.75" customHeight="1"/>
    <row r="395" customFormat="1" ht="15.75" customHeight="1"/>
    <row r="396" customFormat="1" ht="15.75" customHeight="1"/>
    <row r="397" customFormat="1" ht="15.75" customHeight="1"/>
    <row r="398" customFormat="1" ht="15.75" customHeight="1"/>
    <row r="399" customFormat="1" ht="15.75" customHeight="1"/>
    <row r="400" customFormat="1" ht="15.75" customHeight="1"/>
    <row r="401" customFormat="1" ht="15.75" customHeight="1"/>
    <row r="402" customFormat="1" ht="15.75" customHeight="1"/>
    <row r="403" customFormat="1" ht="15.75" customHeight="1"/>
    <row r="404" customFormat="1" ht="15.75" customHeight="1"/>
    <row r="405" customFormat="1" ht="15.75" customHeight="1"/>
    <row r="406" customFormat="1" ht="15.75" customHeight="1"/>
    <row r="407" customFormat="1" ht="15.75" customHeight="1"/>
    <row r="408" customFormat="1" ht="15.75" customHeight="1"/>
    <row r="409" customFormat="1" ht="15.75" customHeight="1"/>
    <row r="410" customFormat="1" ht="15.75" customHeight="1"/>
    <row r="411" customFormat="1" ht="15.75" customHeight="1"/>
    <row r="412" customFormat="1" ht="15.75" customHeight="1"/>
    <row r="413" customFormat="1" ht="15.75" customHeight="1"/>
    <row r="414" customFormat="1" ht="15.75" customHeight="1"/>
    <row r="415" customFormat="1" ht="15.75" customHeight="1"/>
    <row r="416" customFormat="1" ht="15.75" customHeight="1"/>
    <row r="417" customFormat="1" ht="15.75" customHeight="1"/>
    <row r="418" customFormat="1" ht="15.75" customHeight="1"/>
    <row r="419" customFormat="1" ht="15.75" customHeight="1"/>
    <row r="420" customFormat="1" ht="15.75" customHeight="1"/>
    <row r="421" customFormat="1" ht="15.75" customHeight="1"/>
    <row r="422" customFormat="1" ht="15.75" customHeight="1"/>
    <row r="423" customFormat="1" ht="15.75" customHeight="1"/>
    <row r="424" customFormat="1" ht="15.75" customHeight="1"/>
    <row r="425" customFormat="1" ht="15.75" customHeight="1"/>
    <row r="426" customFormat="1" ht="15.75" customHeight="1"/>
    <row r="427" customFormat="1" ht="15.75" customHeight="1"/>
    <row r="428" customFormat="1" ht="15.75" customHeight="1"/>
    <row r="429" customFormat="1" ht="15.75" customHeight="1"/>
    <row r="430" customFormat="1" ht="15.75" customHeight="1"/>
    <row r="431" customFormat="1" ht="15.75" customHeight="1"/>
    <row r="432" customFormat="1" ht="15.75" customHeight="1"/>
    <row r="433" customFormat="1" ht="15.75" customHeight="1"/>
    <row r="434" customFormat="1" ht="15.75" customHeight="1"/>
    <row r="435" customFormat="1" ht="15.75" customHeight="1"/>
    <row r="436" customFormat="1" ht="15.75" customHeight="1"/>
    <row r="437" customFormat="1" ht="15.75" customHeight="1"/>
    <row r="438" customFormat="1" ht="15.75" customHeight="1"/>
    <row r="439" customFormat="1" ht="15.75" customHeight="1"/>
    <row r="440" customFormat="1" ht="15.75" customHeight="1"/>
    <row r="441" customFormat="1" ht="15.75" customHeight="1"/>
    <row r="442" customFormat="1" ht="15.75" customHeight="1"/>
    <row r="443" customFormat="1" ht="15.75" customHeight="1"/>
    <row r="444" customFormat="1" ht="15.75" customHeight="1"/>
    <row r="445" customFormat="1" ht="15.75" customHeight="1"/>
    <row r="446" customFormat="1" ht="15.75" customHeight="1"/>
    <row r="447" customFormat="1" ht="15.75" customHeight="1"/>
    <row r="448" customFormat="1" ht="15.75" customHeight="1"/>
    <row r="449" customFormat="1" ht="15.75" customHeight="1"/>
    <row r="450" customFormat="1" ht="15.75" customHeight="1"/>
    <row r="451" customFormat="1" ht="15.75" customHeight="1"/>
    <row r="452" customFormat="1" ht="15.75" customHeight="1"/>
    <row r="453" customFormat="1" ht="15.75" customHeight="1"/>
    <row r="454" customFormat="1" ht="15.75" customHeight="1"/>
    <row r="455" customFormat="1" ht="15.75" customHeight="1"/>
    <row r="456" customFormat="1" ht="15.75" customHeight="1"/>
    <row r="457" customFormat="1" ht="15.75" customHeight="1"/>
    <row r="458" customFormat="1" ht="15.75" customHeight="1"/>
    <row r="459" customFormat="1" ht="15.75" customHeight="1"/>
    <row r="460" customFormat="1" ht="15.75" customHeight="1"/>
    <row r="461" customFormat="1" ht="15.75" customHeight="1"/>
    <row r="462" customFormat="1" ht="15.75" customHeight="1"/>
    <row r="463" customFormat="1" ht="15.75" customHeight="1"/>
    <row r="464" customFormat="1" ht="15.75" customHeight="1"/>
    <row r="465" customFormat="1" ht="15.75" customHeight="1"/>
    <row r="466" customFormat="1" ht="15.75" customHeight="1"/>
    <row r="467" customFormat="1" ht="15.75" customHeight="1"/>
    <row r="468" customFormat="1" ht="15.75" customHeight="1"/>
    <row r="469" customFormat="1" ht="15.75" customHeight="1"/>
    <row r="470" customFormat="1" ht="15.75" customHeight="1"/>
    <row r="471" customFormat="1" ht="15.75" customHeight="1"/>
    <row r="472" customFormat="1" ht="15.75" customHeight="1"/>
    <row r="473" customFormat="1" ht="15.75" customHeight="1"/>
    <row r="474" customFormat="1" ht="15.75" customHeight="1"/>
    <row r="475" customFormat="1" ht="15.75" customHeight="1"/>
    <row r="476" customFormat="1" ht="15.75" customHeight="1"/>
    <row r="477" customFormat="1" ht="15.75" customHeight="1"/>
    <row r="478" customFormat="1" ht="15.75" customHeight="1"/>
    <row r="479" customFormat="1" ht="15.75" customHeight="1"/>
    <row r="480" customFormat="1" ht="15.75" customHeight="1"/>
    <row r="481" customFormat="1" ht="15.75" customHeight="1"/>
    <row r="482" customFormat="1" ht="15.75" customHeight="1"/>
    <row r="483" customFormat="1" ht="15.75" customHeight="1"/>
    <row r="484" customFormat="1" ht="15.75" customHeight="1"/>
    <row r="485" customFormat="1" ht="15.75" customHeight="1"/>
    <row r="486" customFormat="1" ht="15.75" customHeight="1"/>
    <row r="487" customFormat="1" ht="15.75" customHeight="1"/>
    <row r="488" customFormat="1" ht="15.75" customHeight="1"/>
    <row r="489" customFormat="1" ht="15.75" customHeight="1"/>
    <row r="490" customFormat="1" ht="15.75" customHeight="1"/>
    <row r="491" customFormat="1" ht="15.75" customHeight="1"/>
    <row r="492" customFormat="1" ht="15.75" customHeight="1"/>
    <row r="493" customFormat="1" ht="15.75" customHeight="1"/>
    <row r="494" customFormat="1" ht="15.75" customHeight="1"/>
    <row r="495" customFormat="1" ht="15.75" customHeight="1"/>
    <row r="496" customFormat="1" ht="15.75" customHeight="1"/>
    <row r="497" customFormat="1" ht="15.75" customHeight="1"/>
    <row r="498" customFormat="1" ht="15.75" customHeight="1"/>
    <row r="499" customFormat="1" ht="15.75" customHeight="1"/>
    <row r="500" customFormat="1" ht="15.75" customHeight="1"/>
    <row r="501" customFormat="1" ht="15.75" customHeight="1"/>
    <row r="502" customFormat="1" ht="15.75" customHeight="1"/>
    <row r="503" customFormat="1" ht="15.75" customHeight="1"/>
    <row r="504" customFormat="1" ht="15.75" customHeight="1"/>
    <row r="505" customFormat="1" ht="15.75" customHeight="1"/>
    <row r="506" customFormat="1" ht="15.75" customHeight="1"/>
    <row r="507" customFormat="1" ht="15.75" customHeight="1"/>
    <row r="508" customFormat="1" ht="15.75" customHeight="1"/>
    <row r="509" customFormat="1" ht="15.75" customHeight="1"/>
    <row r="510" customFormat="1" ht="15.75" customHeight="1"/>
    <row r="511" customFormat="1" ht="15.75" customHeight="1"/>
    <row r="512" customFormat="1" ht="15.75" customHeight="1"/>
    <row r="513" customFormat="1" ht="15.75" customHeight="1"/>
    <row r="514" customFormat="1" ht="15.75" customHeight="1"/>
    <row r="515" customFormat="1" ht="15.75" customHeight="1"/>
    <row r="516" customFormat="1" ht="15.75" customHeight="1"/>
    <row r="517" customFormat="1" ht="15.75" customHeight="1"/>
    <row r="518" customFormat="1" ht="15.75" customHeight="1"/>
    <row r="519" customFormat="1" ht="15.75" customHeight="1"/>
    <row r="520" customFormat="1" ht="15.75" customHeight="1"/>
    <row r="521" customFormat="1" ht="15.75" customHeight="1"/>
    <row r="522" customFormat="1" ht="15.75" customHeight="1"/>
    <row r="523" customFormat="1" ht="15.75" customHeight="1"/>
    <row r="524" customFormat="1" ht="15.75" customHeight="1"/>
    <row r="525" customFormat="1" ht="15.75" customHeight="1"/>
    <row r="526" customFormat="1" ht="15.75" customHeight="1"/>
    <row r="527" customFormat="1" ht="15.75" customHeight="1"/>
    <row r="528" customFormat="1" ht="15.75" customHeight="1"/>
    <row r="529" customFormat="1" ht="15.75" customHeight="1"/>
    <row r="530" customFormat="1" ht="15.75" customHeight="1"/>
    <row r="531" customFormat="1" ht="15.75" customHeight="1"/>
    <row r="532" customFormat="1" ht="15.75" customHeight="1"/>
    <row r="533" customFormat="1" ht="15.75" customHeight="1"/>
    <row r="534" customFormat="1" ht="15.75" customHeight="1"/>
    <row r="535" customFormat="1" ht="15.75" customHeight="1"/>
    <row r="536" customFormat="1" ht="15.75" customHeight="1"/>
    <row r="537" customFormat="1" ht="15.75" customHeight="1"/>
    <row r="538" customFormat="1" ht="15.75" customHeight="1"/>
    <row r="539" customFormat="1" ht="15.75" customHeight="1"/>
    <row r="540" customFormat="1" ht="15.75" customHeight="1"/>
    <row r="541" customFormat="1" ht="15.75" customHeight="1"/>
    <row r="542" customFormat="1" ht="15.75" customHeight="1"/>
    <row r="543" customFormat="1" ht="15.75" customHeight="1"/>
    <row r="544" customFormat="1" ht="15.75" customHeight="1"/>
    <row r="545" customFormat="1" ht="15.75" customHeight="1"/>
    <row r="546" customFormat="1" ht="15.75" customHeight="1"/>
    <row r="547" customFormat="1" ht="15.75" customHeight="1"/>
    <row r="548" customFormat="1" ht="15.75" customHeight="1"/>
    <row r="549" customFormat="1" ht="15.75" customHeight="1"/>
    <row r="550" customFormat="1" ht="15.75" customHeight="1"/>
    <row r="551" customFormat="1" ht="15.75" customHeight="1"/>
    <row r="552" customFormat="1" ht="15.75" customHeight="1"/>
    <row r="553" customFormat="1" ht="15.75" customHeight="1"/>
    <row r="554" customFormat="1" ht="15.75" customHeight="1"/>
    <row r="555" customFormat="1" ht="15.75" customHeight="1"/>
    <row r="556" customFormat="1" ht="15.75" customHeight="1"/>
    <row r="557" customFormat="1" ht="15.75" customHeight="1"/>
    <row r="558" customFormat="1" ht="15.75" customHeight="1"/>
    <row r="559" customFormat="1" ht="15.75" customHeight="1"/>
    <row r="560" customFormat="1" ht="15.75" customHeight="1"/>
    <row r="561" customFormat="1" ht="15.75" customHeight="1"/>
    <row r="562" customFormat="1" ht="15.75" customHeight="1"/>
    <row r="563" customFormat="1" ht="15.75" customHeight="1"/>
    <row r="564" customFormat="1" ht="15.75" customHeight="1"/>
    <row r="565" customFormat="1" ht="15.75" customHeight="1"/>
    <row r="566" customFormat="1" ht="15.75" customHeight="1"/>
    <row r="567" customFormat="1" ht="15.75" customHeight="1"/>
    <row r="568" customFormat="1" ht="15.75" customHeight="1"/>
    <row r="569" customFormat="1" ht="15.75" customHeight="1"/>
    <row r="570" customFormat="1" ht="15.75" customHeight="1"/>
    <row r="571" customFormat="1" ht="15.75" customHeight="1"/>
    <row r="572" customFormat="1" ht="15.75" customHeight="1"/>
    <row r="573" customFormat="1" ht="15.75" customHeight="1"/>
    <row r="574" customFormat="1" ht="15.75" customHeight="1"/>
    <row r="575" customFormat="1" ht="15.75" customHeight="1"/>
    <row r="576" customFormat="1" ht="15.75" customHeight="1"/>
    <row r="577" customFormat="1" ht="15.75" customHeight="1"/>
    <row r="578" customFormat="1" ht="15.75" customHeight="1"/>
    <row r="579" customFormat="1" ht="15.75" customHeight="1"/>
    <row r="580" customFormat="1" ht="15.75" customHeight="1"/>
    <row r="581" customFormat="1" ht="15.75" customHeight="1"/>
    <row r="582" customFormat="1" ht="15.75" customHeight="1"/>
    <row r="583" customFormat="1" ht="15.75" customHeight="1"/>
    <row r="584" customFormat="1" ht="15.75" customHeight="1"/>
    <row r="585" customFormat="1" ht="15.75" customHeight="1"/>
    <row r="586" customFormat="1" ht="15.75" customHeight="1"/>
    <row r="587" customFormat="1" ht="15.75" customHeight="1"/>
    <row r="588" customFormat="1" ht="15.75" customHeight="1"/>
    <row r="589" customFormat="1" ht="15.75" customHeight="1"/>
    <row r="590" customFormat="1" ht="15.75" customHeight="1"/>
    <row r="591" customFormat="1" ht="15.75" customHeight="1"/>
    <row r="592" customFormat="1" ht="15.75" customHeight="1"/>
    <row r="593" customFormat="1" ht="15.75" customHeight="1"/>
    <row r="594" customFormat="1" ht="15.75" customHeight="1"/>
    <row r="595" customFormat="1" ht="15.75" customHeight="1"/>
    <row r="596" customFormat="1" ht="15.75" customHeight="1"/>
    <row r="597" customFormat="1" ht="15.75" customHeight="1"/>
    <row r="598" customFormat="1" ht="15.75" customHeight="1"/>
    <row r="599" customFormat="1" ht="15.75" customHeight="1"/>
    <row r="600" customFormat="1" ht="15.75" customHeight="1"/>
    <row r="601" customFormat="1" ht="15.75" customHeight="1"/>
    <row r="602" customFormat="1" ht="15.75" customHeight="1"/>
    <row r="603" customFormat="1" ht="15.75" customHeight="1"/>
    <row r="604" customFormat="1" ht="15.75" customHeight="1"/>
    <row r="605" customFormat="1" ht="15.75" customHeight="1"/>
    <row r="606" customFormat="1" ht="15.75" customHeight="1"/>
    <row r="607" customFormat="1" ht="15.75" customHeight="1"/>
    <row r="608" customFormat="1" ht="15.75" customHeight="1"/>
    <row r="609" customFormat="1" ht="15.75" customHeight="1"/>
    <row r="610" customFormat="1" ht="15.75" customHeight="1"/>
    <row r="611" customFormat="1" ht="15.75" customHeight="1"/>
    <row r="612" customFormat="1" ht="15.75" customHeight="1"/>
    <row r="613" customFormat="1" ht="15.75" customHeight="1"/>
    <row r="614" customFormat="1" ht="15.75" customHeight="1"/>
    <row r="615" customFormat="1" ht="15.75" customHeight="1"/>
    <row r="616" customFormat="1" ht="15.75" customHeight="1"/>
    <row r="617" customFormat="1" ht="15.75" customHeight="1"/>
    <row r="618" customFormat="1" ht="15.75" customHeight="1"/>
    <row r="619" customFormat="1" ht="15.75" customHeight="1"/>
    <row r="620" customFormat="1" ht="15.75" customHeight="1"/>
    <row r="621" customFormat="1" ht="15.75" customHeight="1"/>
    <row r="622" customFormat="1" ht="15.75" customHeight="1"/>
    <row r="623" customFormat="1" ht="15.75" customHeight="1"/>
    <row r="624" customFormat="1" ht="15.75" customHeight="1"/>
    <row r="625" customFormat="1" ht="15.75" customHeight="1"/>
    <row r="626" customFormat="1" ht="15.75" customHeight="1"/>
    <row r="627" customFormat="1" ht="15.75" customHeight="1"/>
    <row r="628" customFormat="1" ht="15.75" customHeight="1"/>
    <row r="629" customFormat="1" ht="15.75" customHeight="1"/>
    <row r="630" customFormat="1" ht="15.75" customHeight="1"/>
    <row r="631" customFormat="1" ht="15.75" customHeight="1"/>
    <row r="632" customFormat="1" ht="15.75" customHeight="1"/>
    <row r="633" customFormat="1" ht="15.75" customHeight="1"/>
    <row r="634" customFormat="1" ht="15.75" customHeight="1"/>
    <row r="635" customFormat="1" ht="15.75" customHeight="1"/>
    <row r="636" customFormat="1" ht="15.75" customHeight="1"/>
    <row r="637" customFormat="1" ht="15.75" customHeight="1"/>
    <row r="638" customFormat="1" ht="15.75" customHeight="1"/>
    <row r="639" customFormat="1" ht="15.75" customHeight="1"/>
    <row r="640" customFormat="1" ht="15.75" customHeight="1"/>
    <row r="641" customFormat="1" ht="15.75" customHeight="1"/>
    <row r="642" customFormat="1" ht="15.75" customHeight="1"/>
    <row r="643" customFormat="1" ht="15.75" customHeight="1"/>
    <row r="644" customFormat="1" ht="15.75" customHeight="1"/>
    <row r="645" customFormat="1" ht="15.75" customHeight="1"/>
    <row r="646" customFormat="1" ht="15.75" customHeight="1"/>
    <row r="647" customFormat="1" ht="15.75" customHeight="1"/>
    <row r="648" customFormat="1" ht="15.75" customHeight="1"/>
    <row r="649" customFormat="1" ht="15.75" customHeight="1"/>
    <row r="650" customFormat="1" ht="15.75" customHeight="1"/>
    <row r="651" customFormat="1" ht="15.75" customHeight="1"/>
    <row r="652" customFormat="1" ht="15.75" customHeight="1"/>
    <row r="653" customFormat="1" ht="15.75" customHeight="1"/>
    <row r="654" customFormat="1" ht="15.75" customHeight="1"/>
    <row r="655" customFormat="1" ht="15.75" customHeight="1"/>
    <row r="656" customFormat="1" ht="15.75" customHeight="1"/>
    <row r="657" customFormat="1" ht="15.75" customHeight="1"/>
    <row r="658" customFormat="1" ht="15.75" customHeight="1"/>
    <row r="659" customFormat="1" ht="15.75" customHeight="1"/>
    <row r="660" customFormat="1" ht="15.75" customHeight="1"/>
    <row r="661" customFormat="1" ht="15.75" customHeight="1"/>
    <row r="662" customFormat="1" ht="15.75" customHeight="1"/>
    <row r="663" customFormat="1" ht="15.75" customHeight="1"/>
    <row r="664" customFormat="1" ht="15.75" customHeight="1"/>
    <row r="665" customFormat="1" ht="15.75" customHeight="1"/>
    <row r="666" customFormat="1" ht="15.75" customHeight="1"/>
    <row r="667" customFormat="1" ht="15.75" customHeight="1"/>
    <row r="668" customFormat="1" ht="15.75" customHeight="1"/>
    <row r="669" customFormat="1" ht="15.75" customHeight="1"/>
    <row r="670" customFormat="1" ht="15.75" customHeight="1"/>
    <row r="671" customFormat="1" ht="15.75" customHeight="1"/>
    <row r="672" customFormat="1" ht="15.75" customHeight="1"/>
    <row r="673" customFormat="1" ht="15.75" customHeight="1"/>
    <row r="674" customFormat="1" ht="15.75" customHeight="1"/>
    <row r="675" customFormat="1" ht="15.75" customHeight="1"/>
    <row r="676" customFormat="1" ht="15.75" customHeight="1"/>
    <row r="677" customFormat="1" ht="15.75" customHeight="1"/>
    <row r="678" customFormat="1" ht="15.75" customHeight="1"/>
    <row r="679" customFormat="1" ht="15.75" customHeight="1"/>
    <row r="680" customFormat="1" ht="15.75" customHeight="1"/>
    <row r="681" customFormat="1" ht="15.75" customHeight="1"/>
    <row r="682" customFormat="1" ht="15.75" customHeight="1"/>
    <row r="683" customFormat="1" ht="15.75" customHeight="1"/>
    <row r="684" customFormat="1" ht="15.75" customHeight="1"/>
    <row r="685" customFormat="1" ht="15.75" customHeight="1"/>
    <row r="686" customFormat="1" ht="15.75" customHeight="1"/>
    <row r="687" customFormat="1" ht="15.75" customHeight="1"/>
    <row r="688" customFormat="1" ht="15.75" customHeight="1"/>
    <row r="689" customFormat="1" ht="15.75" customHeight="1"/>
    <row r="690" customFormat="1" ht="15.75" customHeight="1"/>
    <row r="691" customFormat="1" ht="15.75" customHeight="1"/>
    <row r="692" customFormat="1" ht="15.75" customHeight="1"/>
    <row r="693" customFormat="1" ht="15.75" customHeight="1"/>
    <row r="694" customFormat="1" ht="15.75" customHeight="1"/>
    <row r="695" customFormat="1" ht="15.75" customHeight="1"/>
    <row r="696" customFormat="1" ht="15.75" customHeight="1"/>
    <row r="697" customFormat="1" ht="15.75" customHeight="1"/>
    <row r="698" customFormat="1" ht="15.75" customHeight="1"/>
    <row r="699" customFormat="1" ht="15.75" customHeight="1"/>
    <row r="700" customFormat="1" ht="15.75" customHeight="1"/>
    <row r="701" customFormat="1" ht="15.75" customHeight="1"/>
    <row r="702" customFormat="1" ht="15.75" customHeight="1"/>
    <row r="703" customFormat="1" ht="15.75" customHeight="1"/>
    <row r="704" customFormat="1" ht="15.75" customHeight="1"/>
    <row r="705" customFormat="1" ht="15.75" customHeight="1"/>
    <row r="706" customFormat="1" ht="15.75" customHeight="1"/>
    <row r="707" customFormat="1" ht="15.75" customHeight="1"/>
    <row r="708" customFormat="1" ht="15.75" customHeight="1"/>
    <row r="709" customFormat="1" ht="15.75" customHeight="1"/>
    <row r="710" customFormat="1" ht="15.75" customHeight="1"/>
    <row r="711" customFormat="1" ht="15.75" customHeight="1"/>
    <row r="712" customFormat="1" ht="15.75" customHeight="1"/>
    <row r="713" customFormat="1" ht="15.75" customHeight="1"/>
    <row r="714" customFormat="1" ht="15.75" customHeight="1"/>
    <row r="715" customFormat="1" ht="15.75" customHeight="1"/>
    <row r="716" customFormat="1" ht="15.75" customHeight="1"/>
    <row r="717" customFormat="1" ht="15.75" customHeight="1"/>
    <row r="718" customFormat="1" ht="15.75" customHeight="1"/>
    <row r="719" customFormat="1" ht="15.75" customHeight="1"/>
    <row r="720" customFormat="1" ht="15.75" customHeight="1"/>
    <row r="721" customFormat="1" ht="15.75" customHeight="1"/>
    <row r="722" customFormat="1" ht="15.75" customHeight="1"/>
    <row r="723" customFormat="1" ht="15.75" customHeight="1"/>
    <row r="724" customFormat="1" ht="15.75" customHeight="1"/>
    <row r="725" customFormat="1" ht="15.75" customHeight="1"/>
    <row r="726" customFormat="1" ht="15.75" customHeight="1"/>
    <row r="727" customFormat="1" ht="15.75" customHeight="1"/>
    <row r="728" customFormat="1" ht="15.75" customHeight="1"/>
    <row r="729" customFormat="1" ht="15.75" customHeight="1"/>
    <row r="730" customFormat="1" ht="15.75" customHeight="1"/>
    <row r="731" customFormat="1" ht="15.75" customHeight="1"/>
    <row r="732" customFormat="1" ht="15.75" customHeight="1"/>
    <row r="733" customFormat="1" ht="15.75" customHeight="1"/>
    <row r="734" customFormat="1" ht="15.75" customHeight="1"/>
    <row r="735" customFormat="1" ht="15.75" customHeight="1"/>
    <row r="736" customFormat="1" ht="15.75" customHeight="1"/>
    <row r="737" customFormat="1" ht="15.75" customHeight="1"/>
    <row r="738" customFormat="1" ht="15.75" customHeight="1"/>
    <row r="739" customFormat="1" ht="15.75" customHeight="1"/>
    <row r="740" customFormat="1" ht="15.75" customHeight="1"/>
    <row r="741" customFormat="1" ht="15.75" customHeight="1"/>
    <row r="742" customFormat="1" ht="15.75" customHeight="1"/>
    <row r="743" customFormat="1" ht="15.75" customHeight="1"/>
    <row r="744" customFormat="1" ht="15.75" customHeight="1"/>
    <row r="745" customFormat="1" ht="15.75" customHeight="1"/>
    <row r="746" customFormat="1" ht="15.75" customHeight="1"/>
    <row r="747" customFormat="1" ht="15.75" customHeight="1"/>
    <row r="748" customFormat="1" ht="15.75" customHeight="1"/>
    <row r="749" customFormat="1" ht="15.75" customHeight="1"/>
    <row r="750" customFormat="1" ht="15.75" customHeight="1"/>
    <row r="751" customFormat="1" ht="15.75" customHeight="1"/>
    <row r="752" customFormat="1" ht="15.75" customHeight="1"/>
    <row r="753" customFormat="1" ht="15.75" customHeight="1"/>
    <row r="754" customFormat="1" ht="15.75" customHeight="1"/>
    <row r="755" customFormat="1" ht="15.75" customHeight="1"/>
    <row r="756" customFormat="1" ht="15.75" customHeight="1"/>
    <row r="757" customFormat="1" ht="15.75" customHeight="1"/>
    <row r="758" customFormat="1" ht="15.75" customHeight="1"/>
    <row r="759" customFormat="1" ht="15.75" customHeight="1"/>
    <row r="760" customFormat="1" ht="15.75" customHeight="1"/>
    <row r="761" customFormat="1" ht="15.75" customHeight="1"/>
    <row r="762" customFormat="1" ht="15.75" customHeight="1"/>
    <row r="763" customFormat="1" ht="15.75" customHeight="1"/>
    <row r="764" customFormat="1" ht="15.75" customHeight="1"/>
    <row r="765" customFormat="1" ht="15.75" customHeight="1"/>
    <row r="766" customFormat="1" ht="15.75" customHeight="1"/>
    <row r="767" customFormat="1" ht="15.75" customHeight="1"/>
    <row r="768" customFormat="1" ht="15.75" customHeight="1"/>
    <row r="769" customFormat="1" ht="15.75" customHeight="1"/>
    <row r="770" customFormat="1" ht="15.75" customHeight="1"/>
    <row r="771" customFormat="1" ht="15.75" customHeight="1"/>
    <row r="772" customFormat="1" ht="15.75" customHeight="1"/>
    <row r="773" customFormat="1" ht="15.75" customHeight="1"/>
    <row r="774" customFormat="1" ht="15.75" customHeight="1"/>
    <row r="775" customFormat="1" ht="15.75" customHeight="1"/>
    <row r="776" customFormat="1" ht="15.75" customHeight="1"/>
    <row r="777" customFormat="1" ht="15.75" customHeight="1"/>
    <row r="778" customFormat="1" ht="15.75" customHeight="1"/>
    <row r="779" customFormat="1" ht="15.75" customHeight="1"/>
    <row r="780" customFormat="1" ht="15.75" customHeight="1"/>
    <row r="781" customFormat="1" ht="15.75" customHeight="1"/>
    <row r="782" customFormat="1" ht="15.75" customHeight="1"/>
    <row r="783" customFormat="1" ht="15.75" customHeight="1"/>
    <row r="784" customFormat="1" ht="15.75" customHeight="1"/>
    <row r="785" customFormat="1" ht="15.75" customHeight="1"/>
    <row r="786" customFormat="1" ht="15.75" customHeight="1"/>
    <row r="787" customFormat="1" ht="15.75" customHeight="1"/>
    <row r="788" customFormat="1" ht="15.75" customHeight="1"/>
    <row r="789" customFormat="1" ht="15.75" customHeight="1"/>
    <row r="790" customFormat="1" ht="15.75" customHeight="1"/>
    <row r="791" customFormat="1" ht="15.75" customHeight="1"/>
    <row r="792" customFormat="1" ht="15.75" customHeight="1"/>
    <row r="793" customFormat="1" ht="15.75" customHeight="1"/>
    <row r="794" customFormat="1" ht="15.75" customHeight="1"/>
    <row r="795" customFormat="1" ht="15.75" customHeight="1"/>
    <row r="796" customFormat="1" ht="15.75" customHeight="1"/>
    <row r="797" customFormat="1" ht="15.75" customHeight="1"/>
    <row r="798" customFormat="1" ht="15.75" customHeight="1"/>
    <row r="799" customFormat="1" ht="15.75" customHeight="1"/>
    <row r="800" customFormat="1" ht="15.75" customHeight="1"/>
    <row r="801" customFormat="1" ht="15.75" customHeight="1"/>
    <row r="802" customFormat="1" ht="15.75" customHeight="1"/>
    <row r="803" customFormat="1" ht="15.75" customHeight="1"/>
    <row r="804" customFormat="1" ht="15.75" customHeight="1"/>
    <row r="805" customFormat="1" ht="15.75" customHeight="1"/>
    <row r="806" customFormat="1" ht="15.75" customHeight="1"/>
    <row r="807" customFormat="1" ht="15.75" customHeight="1"/>
    <row r="808" customFormat="1" ht="15.75" customHeight="1"/>
    <row r="809" customFormat="1" ht="15.75" customHeight="1"/>
    <row r="810" customFormat="1" ht="15.75" customHeight="1"/>
    <row r="811" customFormat="1" ht="15.75" customHeight="1"/>
    <row r="812" customFormat="1" ht="15.75" customHeight="1"/>
    <row r="813" customFormat="1" ht="15.75" customHeight="1"/>
    <row r="814" customFormat="1" ht="15.75" customHeight="1"/>
    <row r="815" customFormat="1" ht="15.75" customHeight="1"/>
    <row r="816" customFormat="1" ht="15.75" customHeight="1"/>
    <row r="817" customFormat="1" ht="15.75" customHeight="1"/>
    <row r="818" customFormat="1" ht="15.75" customHeight="1"/>
    <row r="819" customFormat="1" ht="15.75" customHeight="1"/>
    <row r="820" customFormat="1" ht="15.75" customHeight="1"/>
    <row r="821" customFormat="1" ht="15.75" customHeight="1"/>
    <row r="822" customFormat="1" ht="15.75" customHeight="1"/>
    <row r="823" customFormat="1" ht="15.75" customHeight="1"/>
    <row r="824" customFormat="1" ht="15.75" customHeight="1"/>
    <row r="825" customFormat="1" ht="15.75" customHeight="1"/>
    <row r="826" customFormat="1" ht="15.75" customHeight="1"/>
    <row r="827" customFormat="1" ht="15.75" customHeight="1"/>
    <row r="828" customFormat="1" ht="15.75" customHeight="1"/>
    <row r="829" customFormat="1" ht="15.75" customHeight="1"/>
    <row r="830" customFormat="1" ht="15.75" customHeight="1"/>
    <row r="831" customFormat="1" ht="15.75" customHeight="1"/>
    <row r="832" customFormat="1" ht="15.75" customHeight="1"/>
    <row r="833" customFormat="1" ht="15.75" customHeight="1"/>
    <row r="834" customFormat="1" ht="15.75" customHeight="1"/>
    <row r="835" customFormat="1" ht="15.75" customHeight="1"/>
    <row r="836" customFormat="1" ht="15.75" customHeight="1"/>
    <row r="837" customFormat="1" ht="15.75" customHeight="1"/>
    <row r="838" customFormat="1" ht="15.75" customHeight="1"/>
    <row r="839" customFormat="1" ht="15.75" customHeight="1"/>
    <row r="840" customFormat="1" ht="15.75" customHeight="1"/>
    <row r="841" customFormat="1" ht="15.75" customHeight="1"/>
    <row r="842" customFormat="1" ht="15.75" customHeight="1"/>
    <row r="843" customFormat="1" ht="15.75" customHeight="1"/>
    <row r="844" customFormat="1" ht="15.75" customHeight="1"/>
    <row r="845" customFormat="1" ht="15.75" customHeight="1"/>
    <row r="846" customFormat="1" ht="15.75" customHeight="1"/>
    <row r="847" customFormat="1" ht="15.75" customHeight="1"/>
    <row r="848" customFormat="1" ht="15.75" customHeight="1"/>
    <row r="849" customFormat="1" ht="15.75" customHeight="1"/>
    <row r="850" customFormat="1" ht="15.75" customHeight="1"/>
    <row r="851" customFormat="1" ht="15.75" customHeight="1"/>
    <row r="852" customFormat="1" ht="15.75" customHeight="1"/>
    <row r="853" customFormat="1" ht="15.75" customHeight="1"/>
    <row r="854" customFormat="1" ht="15.75" customHeight="1"/>
    <row r="855" customFormat="1" ht="15.75" customHeight="1"/>
    <row r="856" customFormat="1" ht="15.75" customHeight="1"/>
    <row r="857" customFormat="1" ht="15.75" customHeight="1"/>
    <row r="858" customFormat="1" ht="15.75" customHeight="1"/>
    <row r="859" customFormat="1" ht="15.75" customHeight="1"/>
    <row r="860" customFormat="1" ht="15.75" customHeight="1"/>
    <row r="861" customFormat="1" ht="15.75" customHeight="1"/>
    <row r="862" customFormat="1" ht="15.75" customHeight="1"/>
    <row r="863" customFormat="1" ht="15.75" customHeight="1"/>
    <row r="864" customFormat="1" ht="15.75" customHeight="1"/>
    <row r="865" customFormat="1" ht="15.75" customHeight="1"/>
    <row r="866" customFormat="1" ht="15.75" customHeight="1"/>
    <row r="867" customFormat="1" ht="15.75" customHeight="1"/>
    <row r="868" customFormat="1" ht="15.75" customHeight="1"/>
    <row r="869" customFormat="1" ht="15.75" customHeight="1"/>
    <row r="870" customFormat="1" ht="15.75" customHeight="1"/>
    <row r="871" customFormat="1" ht="15.75" customHeight="1"/>
    <row r="872" customFormat="1" ht="15.75" customHeight="1"/>
    <row r="873" customFormat="1" ht="15.75" customHeight="1"/>
    <row r="874" customFormat="1" ht="15.75" customHeight="1"/>
    <row r="875" customFormat="1" ht="15.75" customHeight="1"/>
    <row r="876" customFormat="1" ht="15.75" customHeight="1"/>
    <row r="877" customFormat="1" ht="15.75" customHeight="1"/>
    <row r="878" customFormat="1" ht="15.75" customHeight="1"/>
    <row r="879" customFormat="1" ht="15.75" customHeight="1"/>
    <row r="880" customFormat="1" ht="15.75" customHeight="1"/>
    <row r="881" customFormat="1" ht="15.75" customHeight="1"/>
    <row r="882" customFormat="1" ht="15.75" customHeight="1"/>
    <row r="883" customFormat="1" ht="15.75" customHeight="1"/>
    <row r="884" customFormat="1" ht="15.75" customHeight="1"/>
    <row r="885" customFormat="1" ht="15.75" customHeight="1"/>
    <row r="886" customFormat="1" ht="15.75" customHeight="1"/>
    <row r="887" customFormat="1" ht="15.75" customHeight="1"/>
    <row r="888" customFormat="1" ht="15.75" customHeight="1"/>
    <row r="889" customFormat="1" ht="15.75" customHeight="1"/>
    <row r="890" customFormat="1" ht="15.75" customHeight="1"/>
    <row r="891" customFormat="1" ht="15.75" customHeight="1"/>
    <row r="892" customFormat="1" ht="15.75" customHeight="1"/>
    <row r="893" customFormat="1" ht="15.75" customHeight="1"/>
    <row r="894" customFormat="1" ht="15.75" customHeight="1"/>
    <row r="895" customFormat="1" ht="15.75" customHeight="1"/>
    <row r="896" customFormat="1" ht="15.75" customHeight="1"/>
    <row r="897" customFormat="1" ht="15.75" customHeight="1"/>
    <row r="898" customFormat="1" ht="15.75" customHeight="1"/>
    <row r="899" customFormat="1" ht="15.75" customHeight="1"/>
    <row r="900" customFormat="1" ht="15.75" customHeight="1"/>
    <row r="901" customFormat="1" ht="15.75" customHeight="1"/>
    <row r="902" customFormat="1" ht="15.75" customHeight="1"/>
    <row r="903" customFormat="1" ht="15.75" customHeight="1"/>
    <row r="904" customFormat="1" ht="15.75" customHeight="1"/>
    <row r="905" customFormat="1" ht="15.75" customHeight="1"/>
    <row r="906" customFormat="1" ht="15.75" customHeight="1"/>
    <row r="907" customFormat="1" ht="15.75" customHeight="1"/>
    <row r="908" customFormat="1" ht="15.75" customHeight="1"/>
    <row r="909" customFormat="1" ht="15.75" customHeight="1"/>
    <row r="910" customFormat="1" ht="15.75" customHeight="1"/>
    <row r="911" customFormat="1" ht="15.75" customHeight="1"/>
    <row r="912" customFormat="1" ht="15.75" customHeight="1"/>
    <row r="913" customFormat="1" ht="15.75" customHeight="1"/>
    <row r="914" customFormat="1" ht="15.75" customHeight="1"/>
    <row r="915" customFormat="1" ht="15.75" customHeight="1"/>
    <row r="916" customFormat="1" ht="15.75" customHeight="1"/>
    <row r="917" customFormat="1" ht="15.75" customHeight="1"/>
    <row r="918" customFormat="1" ht="15.75" customHeight="1"/>
    <row r="919" customFormat="1" ht="15.75" customHeight="1"/>
    <row r="920" customFormat="1" ht="15.75" customHeight="1"/>
    <row r="921" customFormat="1" ht="15.75" customHeight="1"/>
    <row r="922" customFormat="1" ht="15.75" customHeight="1"/>
    <row r="923" customFormat="1" ht="15.75" customHeight="1"/>
    <row r="924" customFormat="1" ht="15.75" customHeight="1"/>
    <row r="925" customFormat="1" ht="15.75" customHeight="1"/>
    <row r="926" customFormat="1" ht="15.75" customHeight="1"/>
    <row r="927" customFormat="1" ht="15.75" customHeight="1"/>
    <row r="928" customFormat="1" ht="15.75" customHeight="1"/>
    <row r="929" customFormat="1" ht="15.75" customHeight="1"/>
    <row r="930" customFormat="1" ht="15.75" customHeight="1"/>
    <row r="931" customFormat="1" ht="15.75" customHeight="1"/>
    <row r="932" customFormat="1" ht="15.75" customHeight="1"/>
    <row r="933" customFormat="1" ht="15.75" customHeight="1"/>
    <row r="934" customFormat="1" ht="15.75" customHeight="1"/>
    <row r="935" customFormat="1" ht="15.75" customHeight="1"/>
    <row r="936" customFormat="1" ht="15.75" customHeight="1"/>
    <row r="937" customFormat="1" ht="15.75" customHeight="1"/>
    <row r="938" customFormat="1" ht="15.75" customHeight="1"/>
    <row r="939" customFormat="1" ht="15.75" customHeight="1"/>
    <row r="940" customFormat="1" ht="15.75" customHeight="1"/>
    <row r="941" customFormat="1" ht="15.75" customHeight="1"/>
    <row r="942" customFormat="1" ht="15.75" customHeight="1"/>
    <row r="943" customFormat="1" ht="15.75" customHeight="1"/>
    <row r="944" customFormat="1" ht="15.75" customHeight="1"/>
    <row r="945" customFormat="1" ht="15.75" customHeight="1"/>
    <row r="946" customFormat="1" ht="15.75" customHeight="1"/>
    <row r="947" customFormat="1" ht="15.75" customHeight="1"/>
    <row r="948" customFormat="1" ht="15.75" customHeight="1"/>
    <row r="949" customFormat="1" ht="15.75" customHeight="1"/>
    <row r="950" customFormat="1" ht="15.75" customHeight="1"/>
    <row r="951" customFormat="1" ht="15.75" customHeight="1"/>
    <row r="952" customFormat="1" ht="15.75" customHeight="1"/>
    <row r="953" customFormat="1" ht="15.75" customHeight="1"/>
    <row r="954" customFormat="1" ht="15.75" customHeight="1"/>
    <row r="955" customFormat="1" ht="15.75" customHeight="1"/>
    <row r="956" customFormat="1" ht="15.75" customHeight="1"/>
    <row r="957" customFormat="1" ht="15.75" customHeight="1"/>
    <row r="958" customFormat="1" ht="15.75" customHeight="1"/>
    <row r="959" customFormat="1" ht="15.75" customHeight="1"/>
    <row r="960" customFormat="1" ht="15.75" customHeight="1"/>
    <row r="961" customFormat="1" ht="15.75" customHeight="1"/>
    <row r="962" customFormat="1" ht="15.75" customHeight="1"/>
    <row r="963" customFormat="1" ht="15.75" customHeight="1"/>
    <row r="964" customFormat="1" ht="15.75" customHeight="1"/>
    <row r="965" customFormat="1" ht="15.75" customHeight="1"/>
    <row r="966" customFormat="1" ht="15.75" customHeight="1"/>
    <row r="967" customFormat="1" ht="15.75" customHeight="1"/>
    <row r="968" customFormat="1" ht="15.75" customHeight="1"/>
    <row r="969" customFormat="1" ht="15.75" customHeight="1"/>
    <row r="970" customFormat="1" ht="15.75" customHeight="1"/>
    <row r="971" customFormat="1" ht="15.75" customHeight="1"/>
    <row r="972" customFormat="1" ht="15.75" customHeight="1"/>
    <row r="973" customFormat="1" ht="15.75" customHeight="1"/>
    <row r="974" customFormat="1" ht="15.75" customHeight="1"/>
    <row r="975" customFormat="1" ht="15.75" customHeight="1"/>
    <row r="976" customFormat="1" ht="15.75" customHeight="1"/>
    <row r="977" customFormat="1" ht="15.75" customHeight="1"/>
    <row r="978" customFormat="1" ht="15.75" customHeight="1"/>
    <row r="979" customFormat="1" ht="15.75" customHeight="1"/>
    <row r="980" customFormat="1" ht="15.75" customHeight="1"/>
    <row r="981" customFormat="1" ht="15.75" customHeight="1"/>
    <row r="982" customFormat="1" ht="15.75" customHeight="1"/>
    <row r="983" customFormat="1" ht="15.75" customHeight="1"/>
    <row r="984" customFormat="1" ht="15.75" customHeight="1"/>
    <row r="985" customFormat="1" ht="15.75" customHeight="1"/>
    <row r="986" customFormat="1" ht="15.75" customHeight="1"/>
    <row r="987" customFormat="1" ht="15.75" customHeight="1"/>
    <row r="988" customFormat="1" ht="15.75" customHeight="1"/>
    <row r="989" customFormat="1" ht="15.75" customHeight="1"/>
    <row r="990" customFormat="1" ht="15.75" customHeight="1"/>
    <row r="991" customFormat="1" ht="15.75" customHeight="1"/>
    <row r="992" customFormat="1" ht="15.75" customHeight="1"/>
    <row r="993" customFormat="1" ht="15.75" customHeight="1"/>
    <row r="994" customFormat="1" ht="15.75" customHeight="1"/>
    <row r="995" customFormat="1" ht="15.75" customHeight="1"/>
    <row r="996" customFormat="1" ht="15.75" customHeight="1"/>
    <row r="997" customFormat="1" ht="15.75" customHeight="1"/>
    <row r="998" customFormat="1" ht="15.75" customHeight="1"/>
    <row r="999" customFormat="1" ht="15.75" customHeight="1"/>
    <row r="1000" customFormat="1" ht="15.75" customHeight="1"/>
    <row r="1001" customFormat="1" ht="15.75" customHeight="1"/>
    <row r="1002" customFormat="1" ht="15.75" customHeight="1"/>
    <row r="1003" customFormat="1" ht="15.75" customHeight="1"/>
    <row r="1004" customFormat="1" ht="15.75" customHeight="1"/>
    <row r="1005" customFormat="1" ht="15.75" customHeight="1"/>
    <row r="1006" customFormat="1" ht="15.75" customHeight="1"/>
    <row r="1007" customFormat="1" ht="15.75" customHeight="1"/>
    <row r="1008" customFormat="1" ht="15.75" customHeight="1"/>
    <row r="1009" customFormat="1" ht="15.75" customHeight="1"/>
    <row r="1010" customFormat="1" ht="15.75" customHeight="1"/>
    <row r="1011" customFormat="1" ht="15.75" customHeight="1"/>
    <row r="1012" customFormat="1" ht="15.75" customHeight="1"/>
    <row r="1013" customFormat="1" ht="15.75" customHeight="1"/>
    <row r="1014" customFormat="1" ht="15.75" customHeight="1"/>
    <row r="1015" customFormat="1" ht="15.75" customHeight="1"/>
    <row r="1016" customFormat="1" ht="15.75" customHeight="1"/>
    <row r="1017" customFormat="1" ht="15.75" customHeight="1"/>
    <row r="1018" customFormat="1" ht="15.75" customHeight="1"/>
    <row r="1019" customFormat="1" ht="15.75" customHeight="1"/>
    <row r="1020" customFormat="1" ht="15.75" customHeight="1"/>
    <row r="1021" customFormat="1" ht="15.75" customHeight="1"/>
    <row r="1022" customFormat="1" ht="15.75" customHeight="1"/>
    <row r="1023" customFormat="1" ht="15.75" customHeight="1"/>
    <row r="1024" customFormat="1" ht="15.75" customHeight="1"/>
    <row r="1025" customFormat="1" ht="15.75" customHeight="1"/>
    <row r="1026" customFormat="1" ht="15.75" customHeight="1"/>
    <row r="1027" customFormat="1" ht="15.75" customHeight="1"/>
    <row r="1028" customFormat="1" ht="15.75" customHeight="1"/>
  </sheetData>
  <sheetProtection algorithmName="SHA-512" hashValue="RVS42ijzwrFE5Cs6M0zfokgG4AomO+X52qsz+38wKCthDX9dU91S2mm3BnA0Jx7nApbGzda+lryfyP8ZSgLv3Q==" saltValue="AUCJjXfibU+lTL2svz071w==" spinCount="100000" sheet="1" objects="1" scenarios="1"/>
  <mergeCells count="3">
    <mergeCell ref="C3:E3"/>
    <mergeCell ref="E8:G20"/>
    <mergeCell ref="B31:E31"/>
  </mergeCells>
  <conditionalFormatting sqref="E1:E3 G1:G3 F1:F4 H1:I7 K1:T7 J1:J8 B1:D29 A1:A93 U1:Z93 E5:E7 F7:G7 J21 H21:H22 E21:G29 I21:I29 T28:T93 H30:H93 S30:S95 B31:G93 I31:I93 P36:R95 O38 J57:J93 K93:O95">
    <cfRule type="expression" dxfId="12" priority="1">
      <formula>ISERROR(A1)</formula>
    </cfRule>
  </conditionalFormatting>
  <conditionalFormatting sqref="E8">
    <cfRule type="cellIs" dxfId="11" priority="3" operator="equal">
      <formula>"Sufficient Units Assisted"</formula>
    </cfRule>
  </conditionalFormatting>
  <conditionalFormatting sqref="E8:H8">
    <cfRule type="cellIs" dxfId="10" priority="4" operator="equal">
      <formula>"Insufficient assisted units"</formula>
    </cfRule>
  </conditionalFormatting>
  <conditionalFormatting sqref="F6">
    <cfRule type="expression" dxfId="9" priority="2">
      <formula>ISERROR(F6)</formula>
    </cfRule>
  </conditionalFormatting>
  <conditionalFormatting sqref="G29 H93">
    <cfRule type="cellIs" dxfId="8" priority="5" operator="lessThan">
      <formula>$C$10</formula>
    </cfRule>
  </conditionalFormatting>
  <dataValidations count="1">
    <dataValidation type="list" allowBlank="1" sqref="C8" xr:uid="{E57AD640-8F03-486E-9D82-EE43F5B46EFD}">
      <formula1>"Yes,No - do not use this form"</formula1>
    </dataValidation>
  </dataValidations>
  <printOptions horizontalCentered="1"/>
  <pageMargins left="0.7" right="0.7" top="0.7" bottom="0.7" header="0.25" footer="0.25"/>
  <pageSetup scale="51" orientation="portrait" r:id="rId1"/>
  <headerFooter>
    <oddFooter>&amp;L&amp;"Times New Roman,Regular"&amp;8&amp;F&amp;C&amp;"Times New Roman,Regular"&amp;8Page &amp;P of &amp;N&amp;R&amp;"Times New Roman,Regular"&amp;8&amp;A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7CEF7-6D91-4F3C-9CB7-C0D2492DF70E}">
  <sheetPr>
    <tabColor rgb="FF66FFFF"/>
  </sheetPr>
  <dimension ref="A1:AZ981"/>
  <sheetViews>
    <sheetView showGridLines="0" workbookViewId="0"/>
  </sheetViews>
  <sheetFormatPr defaultColWidth="13" defaultRowHeight="14.4"/>
  <cols>
    <col min="1" max="1" width="3.109375" customWidth="1"/>
    <col min="2" max="2" width="12.109375" customWidth="1"/>
    <col min="3" max="5" width="11.6640625" customWidth="1"/>
    <col min="6" max="7" width="11.6640625" bestFit="1" customWidth="1"/>
    <col min="8" max="8" width="15.109375" customWidth="1"/>
    <col min="9" max="9" width="15.21875" customWidth="1"/>
    <col min="10" max="10" width="15.5546875" customWidth="1"/>
    <col min="11" max="12" width="15.33203125" customWidth="1"/>
    <col min="13" max="13" width="15.77734375" customWidth="1"/>
    <col min="14" max="14" width="15.88671875" customWidth="1"/>
    <col min="15" max="15" width="15.44140625" customWidth="1"/>
    <col min="16" max="18" width="15.33203125" customWidth="1"/>
    <col min="19" max="19" width="15" customWidth="1"/>
    <col min="20" max="21" width="15.88671875" customWidth="1"/>
    <col min="22" max="22" width="15.77734375" customWidth="1"/>
    <col min="23" max="23" width="15.44140625" customWidth="1"/>
    <col min="24" max="24" width="16.109375" customWidth="1"/>
    <col min="25" max="25" width="16.33203125" customWidth="1"/>
    <col min="26" max="26" width="15.88671875" customWidth="1"/>
    <col min="27" max="27" width="15.44140625" customWidth="1"/>
    <col min="28" max="28" width="15.5546875" customWidth="1"/>
    <col min="29" max="30" width="15.88671875" customWidth="1"/>
    <col min="31" max="31" width="15.77734375" customWidth="1"/>
    <col min="32" max="32" width="16" customWidth="1"/>
    <col min="33" max="33" width="15.88671875" customWidth="1"/>
    <col min="34" max="34" width="16.33203125" customWidth="1"/>
    <col min="35" max="35" width="15.109375" customWidth="1"/>
    <col min="36" max="36" width="15.77734375" customWidth="1"/>
    <col min="37" max="37" width="15.5546875" customWidth="1"/>
    <col min="38" max="39" width="15.77734375" customWidth="1"/>
    <col min="40" max="40" width="15.88671875" customWidth="1"/>
    <col min="41" max="41" width="16.6640625" customWidth="1"/>
    <col min="42" max="42" width="16.44140625" customWidth="1"/>
    <col min="43" max="43" width="15.5546875" customWidth="1"/>
    <col min="44" max="44" width="16.33203125" customWidth="1"/>
    <col min="45" max="45" width="15.6640625" customWidth="1"/>
    <col min="46" max="46" width="15.88671875" customWidth="1"/>
    <col min="47" max="47" width="14.88671875" customWidth="1"/>
  </cols>
  <sheetData>
    <row r="1" spans="1:48" ht="15" customHeight="1" thickBot="1">
      <c r="A1" s="672"/>
      <c r="B1" s="672"/>
      <c r="C1" s="672"/>
      <c r="D1" s="672"/>
      <c r="E1" s="672"/>
      <c r="F1" s="672"/>
      <c r="G1" s="672"/>
      <c r="H1" s="672"/>
      <c r="I1" s="672"/>
      <c r="J1" s="672"/>
      <c r="K1" s="672"/>
      <c r="L1" s="672"/>
      <c r="M1" s="672"/>
      <c r="N1" s="672"/>
      <c r="O1" s="672"/>
      <c r="P1" s="672"/>
      <c r="Q1" s="672"/>
      <c r="R1" s="672"/>
      <c r="S1" s="672"/>
      <c r="T1" s="672"/>
      <c r="U1" s="672"/>
      <c r="V1" s="672"/>
      <c r="W1" s="1025"/>
      <c r="X1" s="672"/>
      <c r="Y1" s="672"/>
      <c r="Z1" s="672"/>
      <c r="AA1" s="672"/>
      <c r="AB1" s="672"/>
      <c r="AC1" s="672"/>
      <c r="AD1" s="672"/>
      <c r="AE1" s="672"/>
      <c r="AF1" s="672"/>
      <c r="AG1" s="672"/>
      <c r="AH1" s="672"/>
      <c r="AI1" s="672"/>
      <c r="AJ1" s="672"/>
      <c r="AK1" s="672"/>
      <c r="AL1" s="672"/>
      <c r="AM1" s="672"/>
      <c r="AN1" s="672"/>
      <c r="AO1" s="672"/>
      <c r="AP1" s="672"/>
      <c r="AQ1" s="672"/>
      <c r="AR1" s="672"/>
      <c r="AS1" s="672"/>
      <c r="AT1" s="672"/>
      <c r="AU1" s="672"/>
      <c r="AV1" s="672"/>
    </row>
    <row r="2" spans="1:48" ht="18.600000000000001" thickTop="1">
      <c r="A2" s="672"/>
      <c r="B2" s="871" t="s">
        <v>1082</v>
      </c>
      <c r="C2" s="871"/>
      <c r="D2" s="871"/>
      <c r="E2" s="871"/>
      <c r="F2" s="871"/>
      <c r="G2" s="672"/>
      <c r="H2" s="1177" t="s">
        <v>4396</v>
      </c>
      <c r="I2" s="1178"/>
      <c r="J2" s="1178"/>
      <c r="K2" s="1178"/>
      <c r="L2" s="1179"/>
      <c r="M2" s="1024">
        <f>Financing!B38</f>
        <v>0</v>
      </c>
      <c r="N2" s="672"/>
      <c r="O2" s="1177">
        <f>Financing!A17</f>
        <v>0</v>
      </c>
      <c r="P2" s="1178"/>
      <c r="Q2" s="1178"/>
      <c r="R2" s="1178"/>
      <c r="S2" s="1179"/>
      <c r="T2" s="1021">
        <f>Financing!B17</f>
        <v>0</v>
      </c>
      <c r="U2" s="719"/>
      <c r="V2" s="1177">
        <f>Financing!A19</f>
        <v>0</v>
      </c>
      <c r="W2" s="1178"/>
      <c r="X2" s="1178"/>
      <c r="Y2" s="1178"/>
      <c r="Z2" s="1179"/>
      <c r="AA2" s="1021">
        <f>Financing!B19</f>
        <v>0</v>
      </c>
      <c r="AB2" s="672"/>
      <c r="AC2" s="1177">
        <f>Financing!A21</f>
        <v>0</v>
      </c>
      <c r="AD2" s="1178"/>
      <c r="AE2" s="1178"/>
      <c r="AF2" s="1178"/>
      <c r="AG2" s="1179"/>
      <c r="AH2" s="1021">
        <f>Financing!B21</f>
        <v>0</v>
      </c>
      <c r="AI2" s="672"/>
      <c r="AJ2" s="672"/>
      <c r="AK2" s="672"/>
      <c r="AL2" s="672"/>
      <c r="AM2" s="672"/>
      <c r="AN2" s="672"/>
      <c r="AO2" s="672"/>
      <c r="AP2" s="672"/>
      <c r="AQ2" s="672"/>
      <c r="AR2" s="672"/>
      <c r="AS2" s="672"/>
      <c r="AT2" s="672"/>
      <c r="AU2" s="672"/>
      <c r="AV2" s="672"/>
    </row>
    <row r="3" spans="1:48" ht="16.2">
      <c r="A3" s="672"/>
      <c r="B3" s="701" t="s">
        <v>1019</v>
      </c>
      <c r="C3" s="701"/>
      <c r="D3" s="1153">
        <f>Application!B29</f>
        <v>0</v>
      </c>
      <c r="E3" s="1109"/>
      <c r="F3" s="1109"/>
      <c r="G3" s="672"/>
      <c r="H3" s="1020" t="s">
        <v>4395</v>
      </c>
      <c r="I3" s="1019" t="s">
        <v>4394</v>
      </c>
      <c r="J3" s="1018" t="s">
        <v>4393</v>
      </c>
      <c r="K3" s="1018" t="s">
        <v>4392</v>
      </c>
      <c r="L3" s="1017" t="s">
        <v>4391</v>
      </c>
      <c r="M3" s="943"/>
      <c r="N3" s="672"/>
      <c r="O3" s="1020" t="s">
        <v>4395</v>
      </c>
      <c r="P3" s="1019" t="s">
        <v>4394</v>
      </c>
      <c r="Q3" s="1018" t="s">
        <v>4393</v>
      </c>
      <c r="R3" s="1018" t="s">
        <v>4392</v>
      </c>
      <c r="S3" s="1017" t="s">
        <v>4391</v>
      </c>
      <c r="T3" s="1016" t="e">
        <f>(T2/($M$7+$T$2+$T$7+$AA2+$AA$7+$AH$2))*0.5</f>
        <v>#DIV/0!</v>
      </c>
      <c r="U3" s="719"/>
      <c r="V3" s="1020" t="s">
        <v>4395</v>
      </c>
      <c r="W3" s="1019" t="s">
        <v>4394</v>
      </c>
      <c r="X3" s="1018" t="s">
        <v>4393</v>
      </c>
      <c r="Y3" s="1018" t="s">
        <v>4392</v>
      </c>
      <c r="Z3" s="1017" t="s">
        <v>4391</v>
      </c>
      <c r="AA3" s="1016" t="e">
        <f>(AA2/($M$7+$T$2+$T$7+$AA2+$AA$7+$AH$2))*0.5</f>
        <v>#DIV/0!</v>
      </c>
      <c r="AB3" s="672"/>
      <c r="AC3" s="1020" t="s">
        <v>4395</v>
      </c>
      <c r="AD3" s="1019" t="s">
        <v>4394</v>
      </c>
      <c r="AE3" s="1018" t="s">
        <v>4393</v>
      </c>
      <c r="AF3" s="1018" t="s">
        <v>4392</v>
      </c>
      <c r="AG3" s="1017" t="s">
        <v>4391</v>
      </c>
      <c r="AH3" s="1016" t="e">
        <f>(AH2/($M$7+$T$2+$T$7+$AA2+$AA$7+$AH$2))*0.5</f>
        <v>#DIV/0!</v>
      </c>
      <c r="AI3" s="672"/>
      <c r="AJ3" s="672"/>
      <c r="AK3" s="672"/>
      <c r="AL3" s="672"/>
      <c r="AM3" s="672"/>
      <c r="AN3" s="672"/>
      <c r="AO3" s="672"/>
      <c r="AP3" s="672"/>
      <c r="AQ3" s="672"/>
      <c r="AR3" s="672"/>
      <c r="AS3" s="672"/>
      <c r="AT3" s="672"/>
      <c r="AU3" s="672"/>
      <c r="AV3" s="672"/>
    </row>
    <row r="4" spans="1:48" ht="16.8" thickBot="1">
      <c r="A4" s="672"/>
      <c r="B4" s="701" t="s">
        <v>1020</v>
      </c>
      <c r="C4" s="701"/>
      <c r="D4" s="1153">
        <f>'Contact Information'!B6</f>
        <v>0</v>
      </c>
      <c r="E4" s="1109"/>
      <c r="F4" s="1109"/>
      <c r="G4" s="672"/>
      <c r="H4" s="1015">
        <f>SUM(H28:Q28)</f>
        <v>0</v>
      </c>
      <c r="I4" s="1013">
        <f>SUM(R28:AA28)</f>
        <v>0</v>
      </c>
      <c r="J4" s="1013">
        <f>SUM(AB28:AK28)</f>
        <v>0</v>
      </c>
      <c r="K4" s="1013">
        <f>SUM(AL28:AU28)</f>
        <v>0</v>
      </c>
      <c r="L4" s="1012">
        <f>SUM(H4:K4)</f>
        <v>0</v>
      </c>
      <c r="M4" s="943"/>
      <c r="N4" s="672"/>
      <c r="O4" s="1015">
        <f>SUM(H30:Q30)</f>
        <v>0</v>
      </c>
      <c r="P4" s="1013">
        <f>SUM(R30:AA30)</f>
        <v>0</v>
      </c>
      <c r="Q4" s="1013">
        <f>SUM(AB30:AK30)</f>
        <v>0</v>
      </c>
      <c r="R4" s="1013">
        <f>SUM(AL30:AU30)</f>
        <v>0</v>
      </c>
      <c r="S4" s="1012">
        <f>SUM(O4:R4)</f>
        <v>0</v>
      </c>
      <c r="T4" s="1011" t="e">
        <f>T3</f>
        <v>#DIV/0!</v>
      </c>
      <c r="U4" s="719"/>
      <c r="V4" s="1015">
        <f>SUM(H32:Q32)</f>
        <v>0</v>
      </c>
      <c r="W4" s="1013">
        <f>SUM(R32:AA32)</f>
        <v>0</v>
      </c>
      <c r="X4" s="1013">
        <f>SUM(AB32:AK32)</f>
        <v>0</v>
      </c>
      <c r="Y4" s="1013">
        <f>SUM(AL32:AU32)</f>
        <v>0</v>
      </c>
      <c r="Z4" s="1012">
        <f>SUM(V4:Y4)</f>
        <v>0</v>
      </c>
      <c r="AA4" s="1011" t="e">
        <f>AA3</f>
        <v>#DIV/0!</v>
      </c>
      <c r="AB4" s="672"/>
      <c r="AC4" s="1015">
        <f>SUM(H34:Q34)</f>
        <v>0</v>
      </c>
      <c r="AD4" s="1013">
        <f>SUM(R34:AA34)</f>
        <v>0</v>
      </c>
      <c r="AE4" s="1013">
        <f>SUM(AB34:AK34)</f>
        <v>0</v>
      </c>
      <c r="AF4" s="1013">
        <f>SUM(AL34:AU34)</f>
        <v>0</v>
      </c>
      <c r="AG4" s="1012">
        <f>SUM(AC4:AF4)</f>
        <v>0</v>
      </c>
      <c r="AH4" s="1011" t="e">
        <f>AH3</f>
        <v>#DIV/0!</v>
      </c>
      <c r="AI4" s="672"/>
      <c r="AJ4" s="672"/>
      <c r="AK4" s="672"/>
      <c r="AL4" s="672"/>
      <c r="AM4" s="672"/>
      <c r="AN4" s="672"/>
      <c r="AO4" s="672"/>
      <c r="AP4" s="672"/>
      <c r="AQ4" s="672"/>
      <c r="AR4" s="672"/>
      <c r="AS4" s="672"/>
      <c r="AT4" s="672"/>
      <c r="AU4" s="672"/>
      <c r="AV4" s="672"/>
    </row>
    <row r="5" spans="1:48" ht="18.600000000000001" thickTop="1">
      <c r="A5" s="672"/>
      <c r="B5" s="701" t="s">
        <v>4193</v>
      </c>
      <c r="C5" s="719"/>
      <c r="D5" s="719">
        <f>Calculations!B14</f>
        <v>0</v>
      </c>
      <c r="G5" s="672"/>
      <c r="H5" s="788"/>
      <c r="I5" s="788"/>
      <c r="J5" s="788"/>
      <c r="K5" s="788"/>
      <c r="L5" s="788"/>
      <c r="M5" s="788"/>
      <c r="N5" s="785"/>
      <c r="O5" s="788"/>
      <c r="P5" s="788"/>
      <c r="Q5" s="788"/>
      <c r="R5" s="788"/>
      <c r="S5" s="788"/>
      <c r="T5" s="943"/>
      <c r="U5" s="719"/>
      <c r="V5" s="719"/>
      <c r="W5" s="719"/>
      <c r="X5" s="719"/>
      <c r="Y5" s="672"/>
      <c r="Z5" s="672"/>
      <c r="AA5" s="672"/>
      <c r="AB5" s="672"/>
      <c r="AC5" s="672"/>
      <c r="AD5" s="672"/>
      <c r="AE5" s="672"/>
      <c r="AF5" s="672"/>
      <c r="AG5" s="672"/>
      <c r="AH5" s="672"/>
      <c r="AI5" s="672"/>
      <c r="AJ5" s="672"/>
      <c r="AK5" s="672"/>
      <c r="AL5" s="672"/>
      <c r="AM5" s="672"/>
      <c r="AN5" s="672"/>
      <c r="AO5" s="672"/>
      <c r="AP5" s="672"/>
      <c r="AQ5" s="672"/>
      <c r="AR5" s="672"/>
      <c r="AS5" s="672"/>
      <c r="AT5" s="672"/>
      <c r="AU5" s="672"/>
      <c r="AV5" s="672"/>
    </row>
    <row r="6" spans="1:48" ht="18.600000000000001" thickBot="1">
      <c r="G6" s="672"/>
      <c r="H6" s="788"/>
      <c r="I6" s="788"/>
      <c r="J6" s="788"/>
      <c r="K6" s="788"/>
      <c r="L6" s="788"/>
      <c r="M6" s="788"/>
      <c r="N6" s="785"/>
      <c r="O6" s="788"/>
      <c r="P6" s="788"/>
      <c r="Q6" s="788"/>
      <c r="R6" s="788"/>
      <c r="S6" s="788"/>
      <c r="T6" s="943"/>
      <c r="U6" s="719"/>
      <c r="V6" s="719"/>
      <c r="W6" s="719"/>
      <c r="X6" s="719"/>
      <c r="Y6" s="672"/>
      <c r="Z6" s="672"/>
      <c r="AA6" s="672"/>
      <c r="AB6" s="672"/>
      <c r="AC6" s="672"/>
      <c r="AD6" s="672"/>
      <c r="AE6" s="672"/>
      <c r="AF6" s="672"/>
      <c r="AG6" s="672"/>
      <c r="AH6" s="672"/>
      <c r="AI6" s="672"/>
      <c r="AJ6" s="672"/>
      <c r="AK6" s="672"/>
      <c r="AL6" s="672"/>
      <c r="AM6" s="672"/>
      <c r="AN6" s="672"/>
      <c r="AO6" s="672"/>
      <c r="AP6" s="672"/>
      <c r="AQ6" s="672"/>
      <c r="AR6" s="672"/>
      <c r="AS6" s="672"/>
      <c r="AT6" s="672"/>
      <c r="AU6" s="672"/>
      <c r="AV6" s="672"/>
    </row>
    <row r="7" spans="1:48" ht="18.600000000000001" thickTop="1">
      <c r="A7" s="672"/>
      <c r="C7" s="701"/>
      <c r="D7" s="1023"/>
      <c r="H7" s="1177">
        <f>Financing!A16</f>
        <v>0</v>
      </c>
      <c r="I7" s="1178"/>
      <c r="J7" s="1178"/>
      <c r="K7" s="1178"/>
      <c r="L7" s="1179"/>
      <c r="M7" s="1022">
        <f>Financing!B16</f>
        <v>0</v>
      </c>
      <c r="N7" s="785"/>
      <c r="O7" s="1177">
        <f>Financing!A18</f>
        <v>0</v>
      </c>
      <c r="P7" s="1178"/>
      <c r="Q7" s="1178"/>
      <c r="R7" s="1178"/>
      <c r="S7" s="1179"/>
      <c r="T7" s="1021">
        <f>Financing!B18</f>
        <v>0</v>
      </c>
      <c r="U7" s="719"/>
      <c r="V7" s="1177">
        <f>Financing!A20</f>
        <v>0</v>
      </c>
      <c r="W7" s="1178"/>
      <c r="X7" s="1178"/>
      <c r="Y7" s="1178"/>
      <c r="Z7" s="1179"/>
      <c r="AA7" s="1021">
        <f>Financing!B20</f>
        <v>0</v>
      </c>
      <c r="AB7" s="672"/>
      <c r="AC7" s="672"/>
      <c r="AD7" s="672"/>
      <c r="AE7" s="672"/>
      <c r="AF7" s="672"/>
      <c r="AG7" s="672"/>
      <c r="AH7" s="672"/>
      <c r="AI7" s="672"/>
      <c r="AJ7" s="672"/>
      <c r="AK7" s="672"/>
      <c r="AL7" s="672"/>
      <c r="AM7" s="672"/>
      <c r="AN7" s="672"/>
      <c r="AO7" s="672"/>
      <c r="AP7" s="672"/>
      <c r="AQ7" s="672"/>
      <c r="AR7" s="672"/>
      <c r="AS7" s="672"/>
      <c r="AT7" s="672"/>
      <c r="AU7" s="672"/>
      <c r="AV7" s="672"/>
    </row>
    <row r="8" spans="1:48" ht="16.2">
      <c r="A8" s="672"/>
      <c r="B8" s="701"/>
      <c r="C8" s="701"/>
      <c r="D8" s="701"/>
      <c r="E8" s="701"/>
      <c r="F8" s="701"/>
      <c r="G8" s="672"/>
      <c r="H8" s="1020" t="s">
        <v>4395</v>
      </c>
      <c r="I8" s="1019" t="s">
        <v>4394</v>
      </c>
      <c r="J8" s="1018" t="s">
        <v>4393</v>
      </c>
      <c r="K8" s="1018" t="s">
        <v>4392</v>
      </c>
      <c r="L8" s="1017" t="s">
        <v>4391</v>
      </c>
      <c r="M8" s="1016" t="e">
        <f>(M7/($M$7+$T$2+$T$7+$AA2+$AA$7+$AH$2))*0.5</f>
        <v>#DIV/0!</v>
      </c>
      <c r="N8" s="1006"/>
      <c r="O8" s="1020" t="s">
        <v>4395</v>
      </c>
      <c r="P8" s="1019" t="s">
        <v>4394</v>
      </c>
      <c r="Q8" s="1018" t="s">
        <v>4393</v>
      </c>
      <c r="R8" s="1018" t="s">
        <v>4392</v>
      </c>
      <c r="S8" s="1017" t="s">
        <v>4391</v>
      </c>
      <c r="T8" s="1016" t="e">
        <f>(T7/($M$7+$T$2+$T$7+$AA2+$AA$7+$AH$2))*0.5</f>
        <v>#DIV/0!</v>
      </c>
      <c r="U8" s="719"/>
      <c r="V8" s="1020" t="s">
        <v>4395</v>
      </c>
      <c r="W8" s="1019" t="s">
        <v>4394</v>
      </c>
      <c r="X8" s="1018" t="s">
        <v>4393</v>
      </c>
      <c r="Y8" s="1018" t="s">
        <v>4392</v>
      </c>
      <c r="Z8" s="1017" t="s">
        <v>4391</v>
      </c>
      <c r="AA8" s="1016" t="e">
        <f>(AA7/($M$7+$T$2+$T$7+$AA2+$AA$7+$AH$2))*0.5</f>
        <v>#DIV/0!</v>
      </c>
      <c r="AB8" s="672"/>
      <c r="AC8" s="672"/>
      <c r="AD8" s="672"/>
      <c r="AE8" s="672"/>
      <c r="AF8" s="672"/>
      <c r="AG8" s="672"/>
      <c r="AH8" s="672"/>
      <c r="AI8" s="672"/>
      <c r="AJ8" s="672"/>
      <c r="AK8" s="672"/>
      <c r="AL8" s="672"/>
      <c r="AM8" s="672"/>
      <c r="AN8" s="672"/>
      <c r="AO8" s="672"/>
      <c r="AP8" s="672"/>
      <c r="AQ8" s="672"/>
      <c r="AR8" s="672"/>
      <c r="AS8" s="672"/>
      <c r="AT8" s="672"/>
      <c r="AU8" s="672"/>
      <c r="AV8" s="672"/>
    </row>
    <row r="9" spans="1:48" ht="18.600000000000001" thickBot="1">
      <c r="A9" s="672"/>
      <c r="C9" s="1008"/>
      <c r="D9" s="787"/>
      <c r="E9" s="809"/>
      <c r="G9" s="672"/>
      <c r="H9" s="1015">
        <f>SUM(H29:Q29)</f>
        <v>0</v>
      </c>
      <c r="I9" s="1013">
        <f>SUM(R29:AA29)</f>
        <v>0</v>
      </c>
      <c r="J9" s="1013">
        <f>SUM(AB29:AK29)</f>
        <v>0</v>
      </c>
      <c r="K9" s="1013">
        <f>SUM(AL29:AU29)</f>
        <v>0</v>
      </c>
      <c r="L9" s="1012">
        <f>SUM(H9:K9)</f>
        <v>0</v>
      </c>
      <c r="M9" s="1011" t="e">
        <f>M8</f>
        <v>#DIV/0!</v>
      </c>
      <c r="N9" s="1006"/>
      <c r="O9" s="1015">
        <f>SUM(H31:Q31)</f>
        <v>0</v>
      </c>
      <c r="P9" s="1013">
        <f>SUM(R31:AA31)</f>
        <v>0</v>
      </c>
      <c r="Q9" s="1013">
        <f>SUM(AB31:AK31)</f>
        <v>0</v>
      </c>
      <c r="R9" s="1013">
        <f>SUM(AL31:AU31)</f>
        <v>0</v>
      </c>
      <c r="S9" s="1012">
        <f>SUM(O9:R9)</f>
        <v>0</v>
      </c>
      <c r="T9" s="1011" t="e">
        <f>T8</f>
        <v>#DIV/0!</v>
      </c>
      <c r="U9" s="719"/>
      <c r="V9" s="1014">
        <f>SUM(H33:Q33)</f>
        <v>0</v>
      </c>
      <c r="W9" s="1013">
        <f>SUM(R33:AA33)</f>
        <v>0</v>
      </c>
      <c r="X9" s="1013">
        <f>SUM(AB33:AK33)</f>
        <v>0</v>
      </c>
      <c r="Y9" s="1013">
        <f>SUM(AL33:AU33)</f>
        <v>0</v>
      </c>
      <c r="Z9" s="1012">
        <f>SUM(V9:Y9)</f>
        <v>0</v>
      </c>
      <c r="AA9" s="1011" t="e">
        <f>AA8</f>
        <v>#DIV/0!</v>
      </c>
      <c r="AB9" s="672"/>
      <c r="AC9" s="672"/>
      <c r="AD9" s="672"/>
      <c r="AE9" s="672"/>
      <c r="AF9" s="672"/>
      <c r="AG9" s="672"/>
      <c r="AH9" s="672"/>
      <c r="AI9" s="672"/>
      <c r="AJ9" s="672"/>
      <c r="AK9" s="672"/>
      <c r="AL9" s="672"/>
      <c r="AM9" s="672"/>
      <c r="AN9" s="672"/>
      <c r="AO9" s="672"/>
      <c r="AP9" s="672"/>
      <c r="AQ9" s="672"/>
      <c r="AR9" s="672"/>
      <c r="AS9" s="672"/>
      <c r="AT9" s="672"/>
      <c r="AU9" s="672"/>
      <c r="AV9" s="672"/>
    </row>
    <row r="10" spans="1:48" ht="16.8" thickTop="1">
      <c r="A10" s="672"/>
      <c r="C10" s="672"/>
      <c r="D10" s="672"/>
      <c r="E10" s="1010"/>
      <c r="G10" s="1009"/>
      <c r="H10" s="672"/>
      <c r="I10" s="672"/>
      <c r="J10" s="672"/>
      <c r="K10" s="1007"/>
      <c r="L10" s="1007"/>
      <c r="M10" s="672"/>
      <c r="N10" s="1006"/>
      <c r="O10" s="672"/>
      <c r="P10" s="672"/>
      <c r="Q10" s="672"/>
      <c r="R10" s="672"/>
      <c r="S10" s="672"/>
      <c r="T10" s="672"/>
      <c r="U10" s="719"/>
      <c r="V10" s="719"/>
      <c r="W10" s="719"/>
      <c r="X10" s="719"/>
      <c r="Y10" s="672"/>
      <c r="Z10" s="672"/>
      <c r="AA10" s="672"/>
      <c r="AB10" s="672"/>
      <c r="AC10" s="672"/>
      <c r="AD10" s="672"/>
      <c r="AE10" s="672"/>
      <c r="AF10" s="672"/>
      <c r="AG10" s="672"/>
      <c r="AH10" s="672"/>
      <c r="AI10" s="672"/>
      <c r="AJ10" s="672"/>
      <c r="AK10" s="672"/>
      <c r="AL10" s="672"/>
      <c r="AM10" s="672"/>
      <c r="AN10" s="672"/>
      <c r="AO10" s="672"/>
      <c r="AP10" s="672"/>
      <c r="AQ10" s="672"/>
      <c r="AR10" s="672"/>
      <c r="AS10" s="672"/>
      <c r="AT10" s="672"/>
      <c r="AU10" s="672"/>
      <c r="AV10" s="672"/>
    </row>
    <row r="11" spans="1:48" ht="18.600000000000001" thickBot="1">
      <c r="A11" s="672"/>
      <c r="B11" s="1008" t="s">
        <v>4390</v>
      </c>
      <c r="C11" s="701"/>
      <c r="D11" s="701"/>
      <c r="E11" s="1180"/>
      <c r="F11" s="1109"/>
      <c r="G11" s="1109"/>
      <c r="H11" s="719"/>
      <c r="I11" s="719"/>
      <c r="J11" s="719"/>
      <c r="K11" s="1007"/>
      <c r="L11" s="1007"/>
      <c r="M11" s="719"/>
      <c r="N11" s="1006"/>
      <c r="O11" s="719"/>
      <c r="P11" s="719"/>
      <c r="Q11" s="719"/>
      <c r="R11" s="719"/>
      <c r="S11" s="719"/>
      <c r="T11" s="719"/>
      <c r="U11" s="719"/>
      <c r="V11" s="719"/>
      <c r="W11" s="719"/>
      <c r="X11" s="719"/>
      <c r="Y11" s="719"/>
      <c r="Z11" s="719"/>
      <c r="AA11" s="719"/>
      <c r="AB11" s="719"/>
      <c r="AC11" s="719"/>
      <c r="AD11" s="719"/>
      <c r="AE11" s="672"/>
      <c r="AF11" s="672"/>
      <c r="AG11" s="672"/>
      <c r="AH11" s="672"/>
      <c r="AI11" s="672"/>
      <c r="AJ11" s="672"/>
      <c r="AK11" s="672"/>
      <c r="AL11" s="672"/>
      <c r="AM11" s="672"/>
      <c r="AN11" s="672"/>
      <c r="AO11" s="672"/>
      <c r="AP11" s="672"/>
      <c r="AQ11" s="672"/>
      <c r="AR11" s="672"/>
      <c r="AS11" s="672"/>
      <c r="AT11" s="672"/>
      <c r="AU11" s="672"/>
      <c r="AV11" s="672"/>
    </row>
    <row r="12" spans="1:48" ht="17.399999999999999" thickTop="1" thickBot="1">
      <c r="A12" s="672"/>
      <c r="B12" s="1005"/>
      <c r="C12" s="1004"/>
      <c r="D12" s="1004"/>
      <c r="E12" s="1004"/>
      <c r="F12" s="1004"/>
      <c r="G12" s="1004"/>
      <c r="H12" s="1003" t="s">
        <v>531</v>
      </c>
      <c r="I12" s="1003" t="s">
        <v>532</v>
      </c>
      <c r="J12" s="1003" t="s">
        <v>533</v>
      </c>
      <c r="K12" s="1003" t="s">
        <v>534</v>
      </c>
      <c r="L12" s="1003" t="s">
        <v>535</v>
      </c>
      <c r="M12" s="1003" t="s">
        <v>536</v>
      </c>
      <c r="N12" s="1003" t="s">
        <v>537</v>
      </c>
      <c r="O12" s="1003" t="s">
        <v>538</v>
      </c>
      <c r="P12" s="1003" t="s">
        <v>539</v>
      </c>
      <c r="Q12" s="1003" t="s">
        <v>540</v>
      </c>
      <c r="R12" s="1003" t="s">
        <v>541</v>
      </c>
      <c r="S12" s="1003" t="s">
        <v>542</v>
      </c>
      <c r="T12" s="1003" t="s">
        <v>543</v>
      </c>
      <c r="U12" s="1003" t="s">
        <v>544</v>
      </c>
      <c r="V12" s="1003" t="s">
        <v>545</v>
      </c>
      <c r="W12" s="1003" t="s">
        <v>4381</v>
      </c>
      <c r="X12" s="1003" t="s">
        <v>4380</v>
      </c>
      <c r="Y12" s="1003" t="s">
        <v>4379</v>
      </c>
      <c r="Z12" s="1003" t="s">
        <v>4378</v>
      </c>
      <c r="AA12" s="1003" t="s">
        <v>4377</v>
      </c>
      <c r="AB12" s="1003" t="s">
        <v>4376</v>
      </c>
      <c r="AC12" s="1003" t="s">
        <v>4375</v>
      </c>
      <c r="AD12" s="1003" t="s">
        <v>4374</v>
      </c>
      <c r="AE12" s="1003" t="s">
        <v>4373</v>
      </c>
      <c r="AF12" s="1003" t="s">
        <v>4372</v>
      </c>
      <c r="AG12" s="1003" t="s">
        <v>4371</v>
      </c>
      <c r="AH12" s="1003" t="s">
        <v>4370</v>
      </c>
      <c r="AI12" s="1003" t="s">
        <v>4369</v>
      </c>
      <c r="AJ12" s="1003" t="s">
        <v>4368</v>
      </c>
      <c r="AK12" s="1003" t="s">
        <v>4367</v>
      </c>
      <c r="AL12" s="1003" t="s">
        <v>4366</v>
      </c>
      <c r="AM12" s="1003" t="s">
        <v>4365</v>
      </c>
      <c r="AN12" s="1003" t="s">
        <v>4364</v>
      </c>
      <c r="AO12" s="1003" t="s">
        <v>4363</v>
      </c>
      <c r="AP12" s="1003" t="s">
        <v>4362</v>
      </c>
      <c r="AQ12" s="1003" t="s">
        <v>4361</v>
      </c>
      <c r="AR12" s="1003" t="s">
        <v>4360</v>
      </c>
      <c r="AS12" s="1003" t="s">
        <v>4359</v>
      </c>
      <c r="AT12" s="1003" t="s">
        <v>4358</v>
      </c>
      <c r="AU12" s="1003" t="s">
        <v>4357</v>
      </c>
      <c r="AV12" s="672"/>
    </row>
    <row r="13" spans="1:48" s="992" customFormat="1" ht="16.8" thickTop="1">
      <c r="A13" s="993"/>
      <c r="B13" s="1181" t="str">
        <f>"Rent Income (increasing by "&amp;(TEXT($G$13,"0%"&amp;")"))</f>
        <v>Rent Income (increasing by 2%)</v>
      </c>
      <c r="C13" s="1182"/>
      <c r="D13" s="1182"/>
      <c r="E13" s="1182"/>
      <c r="F13" s="1182"/>
      <c r="G13" s="1002">
        <v>0.02</v>
      </c>
      <c r="H13" s="1001">
        <f>Calculations!B363</f>
        <v>0</v>
      </c>
      <c r="I13" s="1000">
        <f t="shared" ref="I13:AU13" si="0">H13*(1+$G13)</f>
        <v>0</v>
      </c>
      <c r="J13" s="1000">
        <f t="shared" si="0"/>
        <v>0</v>
      </c>
      <c r="K13" s="1000">
        <f t="shared" si="0"/>
        <v>0</v>
      </c>
      <c r="L13" s="1000">
        <f t="shared" si="0"/>
        <v>0</v>
      </c>
      <c r="M13" s="1000">
        <f t="shared" si="0"/>
        <v>0</v>
      </c>
      <c r="N13" s="1000">
        <f t="shared" si="0"/>
        <v>0</v>
      </c>
      <c r="O13" s="1000">
        <f t="shared" si="0"/>
        <v>0</v>
      </c>
      <c r="P13" s="1000">
        <f t="shared" si="0"/>
        <v>0</v>
      </c>
      <c r="Q13" s="1000">
        <f t="shared" si="0"/>
        <v>0</v>
      </c>
      <c r="R13" s="1000">
        <f t="shared" si="0"/>
        <v>0</v>
      </c>
      <c r="S13" s="1000">
        <f t="shared" si="0"/>
        <v>0</v>
      </c>
      <c r="T13" s="1000">
        <f t="shared" si="0"/>
        <v>0</v>
      </c>
      <c r="U13" s="1000">
        <f t="shared" si="0"/>
        <v>0</v>
      </c>
      <c r="V13" s="1000">
        <f t="shared" si="0"/>
        <v>0</v>
      </c>
      <c r="W13" s="1000">
        <f t="shared" si="0"/>
        <v>0</v>
      </c>
      <c r="X13" s="1000">
        <f t="shared" si="0"/>
        <v>0</v>
      </c>
      <c r="Y13" s="1000">
        <f t="shared" si="0"/>
        <v>0</v>
      </c>
      <c r="Z13" s="1000">
        <f t="shared" si="0"/>
        <v>0</v>
      </c>
      <c r="AA13" s="1000">
        <f t="shared" si="0"/>
        <v>0</v>
      </c>
      <c r="AB13" s="1000">
        <f t="shared" si="0"/>
        <v>0</v>
      </c>
      <c r="AC13" s="1000">
        <f t="shared" si="0"/>
        <v>0</v>
      </c>
      <c r="AD13" s="1000">
        <f t="shared" si="0"/>
        <v>0</v>
      </c>
      <c r="AE13" s="1000">
        <f t="shared" si="0"/>
        <v>0</v>
      </c>
      <c r="AF13" s="1000">
        <f t="shared" si="0"/>
        <v>0</v>
      </c>
      <c r="AG13" s="1000">
        <f t="shared" si="0"/>
        <v>0</v>
      </c>
      <c r="AH13" s="1000">
        <f t="shared" si="0"/>
        <v>0</v>
      </c>
      <c r="AI13" s="1000">
        <f t="shared" si="0"/>
        <v>0</v>
      </c>
      <c r="AJ13" s="1000">
        <f t="shared" si="0"/>
        <v>0</v>
      </c>
      <c r="AK13" s="1000">
        <f t="shared" si="0"/>
        <v>0</v>
      </c>
      <c r="AL13" s="1000">
        <f t="shared" si="0"/>
        <v>0</v>
      </c>
      <c r="AM13" s="1000">
        <f t="shared" si="0"/>
        <v>0</v>
      </c>
      <c r="AN13" s="1000">
        <f t="shared" si="0"/>
        <v>0</v>
      </c>
      <c r="AO13" s="1000">
        <f t="shared" si="0"/>
        <v>0</v>
      </c>
      <c r="AP13" s="1000">
        <f t="shared" si="0"/>
        <v>0</v>
      </c>
      <c r="AQ13" s="1000">
        <f t="shared" si="0"/>
        <v>0</v>
      </c>
      <c r="AR13" s="1000">
        <f t="shared" si="0"/>
        <v>0</v>
      </c>
      <c r="AS13" s="1000">
        <f t="shared" si="0"/>
        <v>0</v>
      </c>
      <c r="AT13" s="1000">
        <f t="shared" si="0"/>
        <v>0</v>
      </c>
      <c r="AU13" s="999">
        <f t="shared" si="0"/>
        <v>0</v>
      </c>
      <c r="AV13" s="993"/>
    </row>
    <row r="14" spans="1:48" s="992" customFormat="1" ht="16.2">
      <c r="A14" s="993"/>
      <c r="B14" s="1171" t="str">
        <f>"Other Income (increasing by "&amp;(TEXT($G$14,"0%"&amp;")"))</f>
        <v>Other Income (increasing by 2%)</v>
      </c>
      <c r="C14" s="1172"/>
      <c r="D14" s="1172"/>
      <c r="E14" s="1172"/>
      <c r="F14" s="1172"/>
      <c r="G14" s="997">
        <v>0.02</v>
      </c>
      <c r="H14" s="973">
        <f>Calculations!B362</f>
        <v>0</v>
      </c>
      <c r="I14" s="967">
        <f t="shared" ref="I14:AU14" si="1">H14*(1+$G14)</f>
        <v>0</v>
      </c>
      <c r="J14" s="967">
        <f t="shared" si="1"/>
        <v>0</v>
      </c>
      <c r="K14" s="967">
        <f t="shared" si="1"/>
        <v>0</v>
      </c>
      <c r="L14" s="967">
        <f t="shared" si="1"/>
        <v>0</v>
      </c>
      <c r="M14" s="967">
        <f t="shared" si="1"/>
        <v>0</v>
      </c>
      <c r="N14" s="967">
        <f t="shared" si="1"/>
        <v>0</v>
      </c>
      <c r="O14" s="967">
        <f t="shared" si="1"/>
        <v>0</v>
      </c>
      <c r="P14" s="967">
        <f t="shared" si="1"/>
        <v>0</v>
      </c>
      <c r="Q14" s="981">
        <f t="shared" si="1"/>
        <v>0</v>
      </c>
      <c r="R14" s="981">
        <f t="shared" si="1"/>
        <v>0</v>
      </c>
      <c r="S14" s="981">
        <f t="shared" si="1"/>
        <v>0</v>
      </c>
      <c r="T14" s="981">
        <f t="shared" si="1"/>
        <v>0</v>
      </c>
      <c r="U14" s="981">
        <f t="shared" si="1"/>
        <v>0</v>
      </c>
      <c r="V14" s="981">
        <f t="shared" si="1"/>
        <v>0</v>
      </c>
      <c r="W14" s="981">
        <f t="shared" si="1"/>
        <v>0</v>
      </c>
      <c r="X14" s="981">
        <f t="shared" si="1"/>
        <v>0</v>
      </c>
      <c r="Y14" s="981">
        <f t="shared" si="1"/>
        <v>0</v>
      </c>
      <c r="Z14" s="981">
        <f t="shared" si="1"/>
        <v>0</v>
      </c>
      <c r="AA14" s="981">
        <f t="shared" si="1"/>
        <v>0</v>
      </c>
      <c r="AB14" s="981">
        <f t="shared" si="1"/>
        <v>0</v>
      </c>
      <c r="AC14" s="981">
        <f t="shared" si="1"/>
        <v>0</v>
      </c>
      <c r="AD14" s="981">
        <f t="shared" si="1"/>
        <v>0</v>
      </c>
      <c r="AE14" s="981">
        <f t="shared" si="1"/>
        <v>0</v>
      </c>
      <c r="AF14" s="981">
        <f t="shared" si="1"/>
        <v>0</v>
      </c>
      <c r="AG14" s="981">
        <f t="shared" si="1"/>
        <v>0</v>
      </c>
      <c r="AH14" s="981">
        <f t="shared" si="1"/>
        <v>0</v>
      </c>
      <c r="AI14" s="981">
        <f t="shared" si="1"/>
        <v>0</v>
      </c>
      <c r="AJ14" s="981">
        <f t="shared" si="1"/>
        <v>0</v>
      </c>
      <c r="AK14" s="981">
        <f t="shared" si="1"/>
        <v>0</v>
      </c>
      <c r="AL14" s="981">
        <f t="shared" si="1"/>
        <v>0</v>
      </c>
      <c r="AM14" s="981">
        <f t="shared" si="1"/>
        <v>0</v>
      </c>
      <c r="AN14" s="981">
        <f t="shared" si="1"/>
        <v>0</v>
      </c>
      <c r="AO14" s="981">
        <f t="shared" si="1"/>
        <v>0</v>
      </c>
      <c r="AP14" s="981">
        <f t="shared" si="1"/>
        <v>0</v>
      </c>
      <c r="AQ14" s="981">
        <f t="shared" si="1"/>
        <v>0</v>
      </c>
      <c r="AR14" s="981">
        <f t="shared" si="1"/>
        <v>0</v>
      </c>
      <c r="AS14" s="981">
        <f t="shared" si="1"/>
        <v>0</v>
      </c>
      <c r="AT14" s="981">
        <f t="shared" si="1"/>
        <v>0</v>
      </c>
      <c r="AU14" s="980">
        <f t="shared" si="1"/>
        <v>0</v>
      </c>
      <c r="AV14" s="993"/>
    </row>
    <row r="15" spans="1:48" s="992" customFormat="1" ht="16.2">
      <c r="A15" s="993"/>
      <c r="B15" s="1171" t="s">
        <v>1084</v>
      </c>
      <c r="C15" s="1172"/>
      <c r="D15" s="1172"/>
      <c r="E15" s="1172"/>
      <c r="F15" s="1172"/>
      <c r="G15" s="998">
        <f>Calculations!B360</f>
        <v>7.0000000000000007E-2</v>
      </c>
      <c r="H15" s="978">
        <f t="shared" ref="H15:AU15" si="2">-((H13+H14)*$G$15)</f>
        <v>0</v>
      </c>
      <c r="I15" s="981">
        <f t="shared" si="2"/>
        <v>0</v>
      </c>
      <c r="J15" s="981">
        <f t="shared" si="2"/>
        <v>0</v>
      </c>
      <c r="K15" s="981">
        <f t="shared" si="2"/>
        <v>0</v>
      </c>
      <c r="L15" s="981">
        <f t="shared" si="2"/>
        <v>0</v>
      </c>
      <c r="M15" s="981">
        <f t="shared" si="2"/>
        <v>0</v>
      </c>
      <c r="N15" s="981">
        <f t="shared" si="2"/>
        <v>0</v>
      </c>
      <c r="O15" s="981">
        <f t="shared" si="2"/>
        <v>0</v>
      </c>
      <c r="P15" s="981">
        <f t="shared" si="2"/>
        <v>0</v>
      </c>
      <c r="Q15" s="981">
        <f t="shared" si="2"/>
        <v>0</v>
      </c>
      <c r="R15" s="981">
        <f t="shared" si="2"/>
        <v>0</v>
      </c>
      <c r="S15" s="981">
        <f t="shared" si="2"/>
        <v>0</v>
      </c>
      <c r="T15" s="981">
        <f t="shared" si="2"/>
        <v>0</v>
      </c>
      <c r="U15" s="981">
        <f t="shared" si="2"/>
        <v>0</v>
      </c>
      <c r="V15" s="981">
        <f t="shared" si="2"/>
        <v>0</v>
      </c>
      <c r="W15" s="981">
        <f t="shared" si="2"/>
        <v>0</v>
      </c>
      <c r="X15" s="981">
        <f t="shared" si="2"/>
        <v>0</v>
      </c>
      <c r="Y15" s="981">
        <f t="shared" si="2"/>
        <v>0</v>
      </c>
      <c r="Z15" s="981">
        <f t="shared" si="2"/>
        <v>0</v>
      </c>
      <c r="AA15" s="981">
        <f t="shared" si="2"/>
        <v>0</v>
      </c>
      <c r="AB15" s="981">
        <f t="shared" si="2"/>
        <v>0</v>
      </c>
      <c r="AC15" s="981">
        <f t="shared" si="2"/>
        <v>0</v>
      </c>
      <c r="AD15" s="981">
        <f t="shared" si="2"/>
        <v>0</v>
      </c>
      <c r="AE15" s="981">
        <f t="shared" si="2"/>
        <v>0</v>
      </c>
      <c r="AF15" s="981">
        <f t="shared" si="2"/>
        <v>0</v>
      </c>
      <c r="AG15" s="981">
        <f t="shared" si="2"/>
        <v>0</v>
      </c>
      <c r="AH15" s="981">
        <f t="shared" si="2"/>
        <v>0</v>
      </c>
      <c r="AI15" s="981">
        <f t="shared" si="2"/>
        <v>0</v>
      </c>
      <c r="AJ15" s="981">
        <f t="shared" si="2"/>
        <v>0</v>
      </c>
      <c r="AK15" s="981">
        <f t="shared" si="2"/>
        <v>0</v>
      </c>
      <c r="AL15" s="981">
        <f t="shared" si="2"/>
        <v>0</v>
      </c>
      <c r="AM15" s="981">
        <f t="shared" si="2"/>
        <v>0</v>
      </c>
      <c r="AN15" s="981">
        <f t="shared" si="2"/>
        <v>0</v>
      </c>
      <c r="AO15" s="981">
        <f t="shared" si="2"/>
        <v>0</v>
      </c>
      <c r="AP15" s="981">
        <f t="shared" si="2"/>
        <v>0</v>
      </c>
      <c r="AQ15" s="981">
        <f t="shared" si="2"/>
        <v>0</v>
      </c>
      <c r="AR15" s="981">
        <f t="shared" si="2"/>
        <v>0</v>
      </c>
      <c r="AS15" s="981">
        <f t="shared" si="2"/>
        <v>0</v>
      </c>
      <c r="AT15" s="981">
        <f t="shared" si="2"/>
        <v>0</v>
      </c>
      <c r="AU15" s="980">
        <f t="shared" si="2"/>
        <v>0</v>
      </c>
      <c r="AV15" s="993"/>
    </row>
    <row r="16" spans="1:48" s="992" customFormat="1" ht="16.2">
      <c r="A16" s="993"/>
      <c r="B16" s="1173" t="s">
        <v>4389</v>
      </c>
      <c r="C16" s="1172"/>
      <c r="D16" s="1172"/>
      <c r="E16" s="1172"/>
      <c r="F16" s="1172"/>
      <c r="G16" s="998"/>
      <c r="H16" s="978">
        <f>H13+H14+H15</f>
        <v>0</v>
      </c>
      <c r="I16" s="981">
        <f>I13+I14+I15</f>
        <v>0</v>
      </c>
      <c r="J16" s="981">
        <f t="shared" ref="J16:AU16" si="3">J13+J15+J14</f>
        <v>0</v>
      </c>
      <c r="K16" s="981">
        <f t="shared" si="3"/>
        <v>0</v>
      </c>
      <c r="L16" s="981">
        <f t="shared" si="3"/>
        <v>0</v>
      </c>
      <c r="M16" s="981">
        <f t="shared" si="3"/>
        <v>0</v>
      </c>
      <c r="N16" s="981">
        <f t="shared" si="3"/>
        <v>0</v>
      </c>
      <c r="O16" s="981">
        <f t="shared" si="3"/>
        <v>0</v>
      </c>
      <c r="P16" s="981">
        <f t="shared" si="3"/>
        <v>0</v>
      </c>
      <c r="Q16" s="981">
        <f t="shared" si="3"/>
        <v>0</v>
      </c>
      <c r="R16" s="981">
        <f t="shared" si="3"/>
        <v>0</v>
      </c>
      <c r="S16" s="981">
        <f t="shared" si="3"/>
        <v>0</v>
      </c>
      <c r="T16" s="981">
        <f t="shared" si="3"/>
        <v>0</v>
      </c>
      <c r="U16" s="981">
        <f t="shared" si="3"/>
        <v>0</v>
      </c>
      <c r="V16" s="981">
        <f t="shared" si="3"/>
        <v>0</v>
      </c>
      <c r="W16" s="981">
        <f t="shared" si="3"/>
        <v>0</v>
      </c>
      <c r="X16" s="981">
        <f t="shared" si="3"/>
        <v>0</v>
      </c>
      <c r="Y16" s="981">
        <f t="shared" si="3"/>
        <v>0</v>
      </c>
      <c r="Z16" s="981">
        <f t="shared" si="3"/>
        <v>0</v>
      </c>
      <c r="AA16" s="981">
        <f t="shared" si="3"/>
        <v>0</v>
      </c>
      <c r="AB16" s="981">
        <f t="shared" si="3"/>
        <v>0</v>
      </c>
      <c r="AC16" s="981">
        <f t="shared" si="3"/>
        <v>0</v>
      </c>
      <c r="AD16" s="981">
        <f t="shared" si="3"/>
        <v>0</v>
      </c>
      <c r="AE16" s="981">
        <f t="shared" si="3"/>
        <v>0</v>
      </c>
      <c r="AF16" s="981">
        <f t="shared" si="3"/>
        <v>0</v>
      </c>
      <c r="AG16" s="981">
        <f t="shared" si="3"/>
        <v>0</v>
      </c>
      <c r="AH16" s="981">
        <f t="shared" si="3"/>
        <v>0</v>
      </c>
      <c r="AI16" s="981">
        <f t="shared" si="3"/>
        <v>0</v>
      </c>
      <c r="AJ16" s="981">
        <f t="shared" si="3"/>
        <v>0</v>
      </c>
      <c r="AK16" s="981">
        <f t="shared" si="3"/>
        <v>0</v>
      </c>
      <c r="AL16" s="981">
        <f t="shared" si="3"/>
        <v>0</v>
      </c>
      <c r="AM16" s="981">
        <f t="shared" si="3"/>
        <v>0</v>
      </c>
      <c r="AN16" s="981">
        <f t="shared" si="3"/>
        <v>0</v>
      </c>
      <c r="AO16" s="981">
        <f t="shared" si="3"/>
        <v>0</v>
      </c>
      <c r="AP16" s="981">
        <f t="shared" si="3"/>
        <v>0</v>
      </c>
      <c r="AQ16" s="981">
        <f t="shared" si="3"/>
        <v>0</v>
      </c>
      <c r="AR16" s="981">
        <f t="shared" si="3"/>
        <v>0</v>
      </c>
      <c r="AS16" s="981">
        <f t="shared" si="3"/>
        <v>0</v>
      </c>
      <c r="AT16" s="981">
        <f t="shared" si="3"/>
        <v>0</v>
      </c>
      <c r="AU16" s="980">
        <f t="shared" si="3"/>
        <v>0</v>
      </c>
      <c r="AV16" s="993"/>
    </row>
    <row r="17" spans="1:48" s="992" customFormat="1" ht="16.2">
      <c r="A17" s="993"/>
      <c r="B17" s="1171" t="str">
        <f>"Total Annual Expenses (increasing by "&amp;(TEXT(G17,"0.00%"&amp;")"))</f>
        <v>Total Annual Expenses (increasing by 3.00%)</v>
      </c>
      <c r="C17" s="1172"/>
      <c r="D17" s="1172"/>
      <c r="E17" s="1172"/>
      <c r="F17" s="1172"/>
      <c r="G17" s="997">
        <v>0.03</v>
      </c>
      <c r="H17" s="978">
        <f>-Calculations!B372</f>
        <v>0</v>
      </c>
      <c r="I17" s="981">
        <f t="shared" ref="I17:AU17" si="4">H17*(1+$G17)</f>
        <v>0</v>
      </c>
      <c r="J17" s="981">
        <f t="shared" si="4"/>
        <v>0</v>
      </c>
      <c r="K17" s="981">
        <f t="shared" si="4"/>
        <v>0</v>
      </c>
      <c r="L17" s="981">
        <f t="shared" si="4"/>
        <v>0</v>
      </c>
      <c r="M17" s="981">
        <f t="shared" si="4"/>
        <v>0</v>
      </c>
      <c r="N17" s="981">
        <f t="shared" si="4"/>
        <v>0</v>
      </c>
      <c r="O17" s="981">
        <f t="shared" si="4"/>
        <v>0</v>
      </c>
      <c r="P17" s="981">
        <f t="shared" si="4"/>
        <v>0</v>
      </c>
      <c r="Q17" s="981">
        <f t="shared" si="4"/>
        <v>0</v>
      </c>
      <c r="R17" s="981">
        <f t="shared" si="4"/>
        <v>0</v>
      </c>
      <c r="S17" s="981">
        <f t="shared" si="4"/>
        <v>0</v>
      </c>
      <c r="T17" s="981">
        <f t="shared" si="4"/>
        <v>0</v>
      </c>
      <c r="U17" s="981">
        <f t="shared" si="4"/>
        <v>0</v>
      </c>
      <c r="V17" s="981">
        <f t="shared" si="4"/>
        <v>0</v>
      </c>
      <c r="W17" s="981">
        <f t="shared" si="4"/>
        <v>0</v>
      </c>
      <c r="X17" s="981">
        <f t="shared" si="4"/>
        <v>0</v>
      </c>
      <c r="Y17" s="981">
        <f t="shared" si="4"/>
        <v>0</v>
      </c>
      <c r="Z17" s="981">
        <f t="shared" si="4"/>
        <v>0</v>
      </c>
      <c r="AA17" s="981">
        <f t="shared" si="4"/>
        <v>0</v>
      </c>
      <c r="AB17" s="981">
        <f t="shared" si="4"/>
        <v>0</v>
      </c>
      <c r="AC17" s="981">
        <f t="shared" si="4"/>
        <v>0</v>
      </c>
      <c r="AD17" s="981">
        <f t="shared" si="4"/>
        <v>0</v>
      </c>
      <c r="AE17" s="981">
        <f t="shared" si="4"/>
        <v>0</v>
      </c>
      <c r="AF17" s="981">
        <f t="shared" si="4"/>
        <v>0</v>
      </c>
      <c r="AG17" s="981">
        <f t="shared" si="4"/>
        <v>0</v>
      </c>
      <c r="AH17" s="981">
        <f t="shared" si="4"/>
        <v>0</v>
      </c>
      <c r="AI17" s="981">
        <f t="shared" si="4"/>
        <v>0</v>
      </c>
      <c r="AJ17" s="981">
        <f t="shared" si="4"/>
        <v>0</v>
      </c>
      <c r="AK17" s="981">
        <f t="shared" si="4"/>
        <v>0</v>
      </c>
      <c r="AL17" s="981">
        <f t="shared" si="4"/>
        <v>0</v>
      </c>
      <c r="AM17" s="981">
        <f t="shared" si="4"/>
        <v>0</v>
      </c>
      <c r="AN17" s="981">
        <f t="shared" si="4"/>
        <v>0</v>
      </c>
      <c r="AO17" s="981">
        <f t="shared" si="4"/>
        <v>0</v>
      </c>
      <c r="AP17" s="981">
        <f t="shared" si="4"/>
        <v>0</v>
      </c>
      <c r="AQ17" s="981">
        <f t="shared" si="4"/>
        <v>0</v>
      </c>
      <c r="AR17" s="981">
        <f t="shared" si="4"/>
        <v>0</v>
      </c>
      <c r="AS17" s="981">
        <f t="shared" si="4"/>
        <v>0</v>
      </c>
      <c r="AT17" s="981">
        <f t="shared" si="4"/>
        <v>0</v>
      </c>
      <c r="AU17" s="980">
        <f t="shared" si="4"/>
        <v>0</v>
      </c>
      <c r="AV17" s="993"/>
    </row>
    <row r="18" spans="1:48" s="992" customFormat="1" ht="16.2">
      <c r="A18" s="993"/>
      <c r="B18" s="1173" t="s">
        <v>1086</v>
      </c>
      <c r="C18" s="1172"/>
      <c r="D18" s="1172"/>
      <c r="E18" s="1172"/>
      <c r="F18" s="1172"/>
      <c r="G18" s="996"/>
      <c r="H18" s="973">
        <f t="shared" ref="H18:AU18" si="5">H16+H17</f>
        <v>0</v>
      </c>
      <c r="I18" s="967">
        <f t="shared" si="5"/>
        <v>0</v>
      </c>
      <c r="J18" s="967">
        <f t="shared" si="5"/>
        <v>0</v>
      </c>
      <c r="K18" s="967">
        <f t="shared" si="5"/>
        <v>0</v>
      </c>
      <c r="L18" s="967">
        <f t="shared" si="5"/>
        <v>0</v>
      </c>
      <c r="M18" s="967">
        <f t="shared" si="5"/>
        <v>0</v>
      </c>
      <c r="N18" s="967">
        <f t="shared" si="5"/>
        <v>0</v>
      </c>
      <c r="O18" s="967">
        <f t="shared" si="5"/>
        <v>0</v>
      </c>
      <c r="P18" s="967">
        <f t="shared" si="5"/>
        <v>0</v>
      </c>
      <c r="Q18" s="981">
        <f t="shared" si="5"/>
        <v>0</v>
      </c>
      <c r="R18" s="981">
        <f t="shared" si="5"/>
        <v>0</v>
      </c>
      <c r="S18" s="981">
        <f t="shared" si="5"/>
        <v>0</v>
      </c>
      <c r="T18" s="981">
        <f t="shared" si="5"/>
        <v>0</v>
      </c>
      <c r="U18" s="981">
        <f t="shared" si="5"/>
        <v>0</v>
      </c>
      <c r="V18" s="981">
        <f t="shared" si="5"/>
        <v>0</v>
      </c>
      <c r="W18" s="981">
        <f t="shared" si="5"/>
        <v>0</v>
      </c>
      <c r="X18" s="981">
        <f t="shared" si="5"/>
        <v>0</v>
      </c>
      <c r="Y18" s="981">
        <f t="shared" si="5"/>
        <v>0</v>
      </c>
      <c r="Z18" s="981">
        <f t="shared" si="5"/>
        <v>0</v>
      </c>
      <c r="AA18" s="981">
        <f t="shared" si="5"/>
        <v>0</v>
      </c>
      <c r="AB18" s="981">
        <f t="shared" si="5"/>
        <v>0</v>
      </c>
      <c r="AC18" s="981">
        <f t="shared" si="5"/>
        <v>0</v>
      </c>
      <c r="AD18" s="981">
        <f t="shared" si="5"/>
        <v>0</v>
      </c>
      <c r="AE18" s="981">
        <f t="shared" si="5"/>
        <v>0</v>
      </c>
      <c r="AF18" s="981">
        <f t="shared" si="5"/>
        <v>0</v>
      </c>
      <c r="AG18" s="981">
        <f t="shared" si="5"/>
        <v>0</v>
      </c>
      <c r="AH18" s="981">
        <f t="shared" si="5"/>
        <v>0</v>
      </c>
      <c r="AI18" s="981">
        <f t="shared" si="5"/>
        <v>0</v>
      </c>
      <c r="AJ18" s="981">
        <f t="shared" si="5"/>
        <v>0</v>
      </c>
      <c r="AK18" s="981">
        <f t="shared" si="5"/>
        <v>0</v>
      </c>
      <c r="AL18" s="981">
        <f t="shared" si="5"/>
        <v>0</v>
      </c>
      <c r="AM18" s="981">
        <f t="shared" si="5"/>
        <v>0</v>
      </c>
      <c r="AN18" s="981">
        <f t="shared" si="5"/>
        <v>0</v>
      </c>
      <c r="AO18" s="981">
        <f t="shared" si="5"/>
        <v>0</v>
      </c>
      <c r="AP18" s="981">
        <f t="shared" si="5"/>
        <v>0</v>
      </c>
      <c r="AQ18" s="981">
        <f t="shared" si="5"/>
        <v>0</v>
      </c>
      <c r="AR18" s="981">
        <f t="shared" si="5"/>
        <v>0</v>
      </c>
      <c r="AS18" s="981">
        <f t="shared" si="5"/>
        <v>0</v>
      </c>
      <c r="AT18" s="981">
        <f t="shared" si="5"/>
        <v>0</v>
      </c>
      <c r="AU18" s="980">
        <f t="shared" si="5"/>
        <v>0</v>
      </c>
      <c r="AV18" s="993"/>
    </row>
    <row r="19" spans="1:48" s="992" customFormat="1" ht="16.2">
      <c r="A19" s="993"/>
      <c r="B19" s="1171" t="s">
        <v>4388</v>
      </c>
      <c r="C19" s="1172"/>
      <c r="D19" s="1172"/>
      <c r="E19" s="1172"/>
      <c r="F19" s="1172"/>
      <c r="G19" s="995"/>
      <c r="H19" s="978">
        <f>SUM(Calculations!B382:B384)</f>
        <v>0</v>
      </c>
      <c r="I19" s="981">
        <f t="shared" ref="I19:AU19" si="6">$H19</f>
        <v>0</v>
      </c>
      <c r="J19" s="981">
        <f t="shared" si="6"/>
        <v>0</v>
      </c>
      <c r="K19" s="981">
        <f t="shared" si="6"/>
        <v>0</v>
      </c>
      <c r="L19" s="981">
        <f t="shared" si="6"/>
        <v>0</v>
      </c>
      <c r="M19" s="981">
        <f t="shared" si="6"/>
        <v>0</v>
      </c>
      <c r="N19" s="981">
        <f t="shared" si="6"/>
        <v>0</v>
      </c>
      <c r="O19" s="981">
        <f t="shared" si="6"/>
        <v>0</v>
      </c>
      <c r="P19" s="981">
        <f t="shared" si="6"/>
        <v>0</v>
      </c>
      <c r="Q19" s="981">
        <f t="shared" si="6"/>
        <v>0</v>
      </c>
      <c r="R19" s="981">
        <f t="shared" si="6"/>
        <v>0</v>
      </c>
      <c r="S19" s="981">
        <f t="shared" si="6"/>
        <v>0</v>
      </c>
      <c r="T19" s="981">
        <f t="shared" si="6"/>
        <v>0</v>
      </c>
      <c r="U19" s="981">
        <f t="shared" si="6"/>
        <v>0</v>
      </c>
      <c r="V19" s="981">
        <f t="shared" si="6"/>
        <v>0</v>
      </c>
      <c r="W19" s="981">
        <f t="shared" si="6"/>
        <v>0</v>
      </c>
      <c r="X19" s="981">
        <f t="shared" si="6"/>
        <v>0</v>
      </c>
      <c r="Y19" s="981">
        <f t="shared" si="6"/>
        <v>0</v>
      </c>
      <c r="Z19" s="981">
        <f t="shared" si="6"/>
        <v>0</v>
      </c>
      <c r="AA19" s="981">
        <f t="shared" si="6"/>
        <v>0</v>
      </c>
      <c r="AB19" s="981">
        <f t="shared" si="6"/>
        <v>0</v>
      </c>
      <c r="AC19" s="981">
        <f t="shared" si="6"/>
        <v>0</v>
      </c>
      <c r="AD19" s="981">
        <f t="shared" si="6"/>
        <v>0</v>
      </c>
      <c r="AE19" s="981">
        <f t="shared" si="6"/>
        <v>0</v>
      </c>
      <c r="AF19" s="981">
        <f t="shared" si="6"/>
        <v>0</v>
      </c>
      <c r="AG19" s="981">
        <f t="shared" si="6"/>
        <v>0</v>
      </c>
      <c r="AH19" s="981">
        <f t="shared" si="6"/>
        <v>0</v>
      </c>
      <c r="AI19" s="981">
        <f t="shared" si="6"/>
        <v>0</v>
      </c>
      <c r="AJ19" s="981">
        <f t="shared" si="6"/>
        <v>0</v>
      </c>
      <c r="AK19" s="981">
        <f t="shared" si="6"/>
        <v>0</v>
      </c>
      <c r="AL19" s="981">
        <f t="shared" si="6"/>
        <v>0</v>
      </c>
      <c r="AM19" s="981">
        <f t="shared" si="6"/>
        <v>0</v>
      </c>
      <c r="AN19" s="981">
        <f t="shared" si="6"/>
        <v>0</v>
      </c>
      <c r="AO19" s="981">
        <f t="shared" si="6"/>
        <v>0</v>
      </c>
      <c r="AP19" s="981">
        <f t="shared" si="6"/>
        <v>0</v>
      </c>
      <c r="AQ19" s="981">
        <f t="shared" si="6"/>
        <v>0</v>
      </c>
      <c r="AR19" s="981">
        <f t="shared" si="6"/>
        <v>0</v>
      </c>
      <c r="AS19" s="981">
        <f t="shared" si="6"/>
        <v>0</v>
      </c>
      <c r="AT19" s="981">
        <f t="shared" si="6"/>
        <v>0</v>
      </c>
      <c r="AU19" s="994">
        <f t="shared" si="6"/>
        <v>0</v>
      </c>
      <c r="AV19" s="993"/>
    </row>
    <row r="20" spans="1:48" ht="16.2">
      <c r="A20" s="672"/>
      <c r="B20" s="1183" t="s">
        <v>4387</v>
      </c>
      <c r="C20" s="1184"/>
      <c r="D20" s="1184"/>
      <c r="E20" s="1184"/>
      <c r="F20" s="1184"/>
      <c r="G20" s="839"/>
      <c r="H20" s="977">
        <v>0</v>
      </c>
      <c r="I20" s="989">
        <f t="shared" ref="I20:AU20" si="7">H20</f>
        <v>0</v>
      </c>
      <c r="J20" s="989">
        <f t="shared" si="7"/>
        <v>0</v>
      </c>
      <c r="K20" s="989">
        <f t="shared" si="7"/>
        <v>0</v>
      </c>
      <c r="L20" s="989">
        <f t="shared" si="7"/>
        <v>0</v>
      </c>
      <c r="M20" s="989">
        <f t="shared" si="7"/>
        <v>0</v>
      </c>
      <c r="N20" s="989">
        <f t="shared" si="7"/>
        <v>0</v>
      </c>
      <c r="O20" s="989">
        <f t="shared" si="7"/>
        <v>0</v>
      </c>
      <c r="P20" s="989">
        <f t="shared" si="7"/>
        <v>0</v>
      </c>
      <c r="Q20" s="991">
        <f t="shared" si="7"/>
        <v>0</v>
      </c>
      <c r="R20" s="991">
        <f t="shared" si="7"/>
        <v>0</v>
      </c>
      <c r="S20" s="991">
        <f t="shared" si="7"/>
        <v>0</v>
      </c>
      <c r="T20" s="991">
        <f t="shared" si="7"/>
        <v>0</v>
      </c>
      <c r="U20" s="991">
        <f t="shared" si="7"/>
        <v>0</v>
      </c>
      <c r="V20" s="991">
        <f t="shared" si="7"/>
        <v>0</v>
      </c>
      <c r="W20" s="991">
        <f t="shared" si="7"/>
        <v>0</v>
      </c>
      <c r="X20" s="991">
        <f t="shared" si="7"/>
        <v>0</v>
      </c>
      <c r="Y20" s="991">
        <f t="shared" si="7"/>
        <v>0</v>
      </c>
      <c r="Z20" s="991">
        <f t="shared" si="7"/>
        <v>0</v>
      </c>
      <c r="AA20" s="991">
        <f t="shared" si="7"/>
        <v>0</v>
      </c>
      <c r="AB20" s="991">
        <f t="shared" si="7"/>
        <v>0</v>
      </c>
      <c r="AC20" s="991">
        <f t="shared" si="7"/>
        <v>0</v>
      </c>
      <c r="AD20" s="991">
        <f t="shared" si="7"/>
        <v>0</v>
      </c>
      <c r="AE20" s="991">
        <f t="shared" si="7"/>
        <v>0</v>
      </c>
      <c r="AF20" s="991">
        <f t="shared" si="7"/>
        <v>0</v>
      </c>
      <c r="AG20" s="991">
        <f t="shared" si="7"/>
        <v>0</v>
      </c>
      <c r="AH20" s="991">
        <f t="shared" si="7"/>
        <v>0</v>
      </c>
      <c r="AI20" s="991">
        <f t="shared" si="7"/>
        <v>0</v>
      </c>
      <c r="AJ20" s="991">
        <f t="shared" si="7"/>
        <v>0</v>
      </c>
      <c r="AK20" s="991">
        <f t="shared" si="7"/>
        <v>0</v>
      </c>
      <c r="AL20" s="991">
        <f t="shared" si="7"/>
        <v>0</v>
      </c>
      <c r="AM20" s="991">
        <f t="shared" si="7"/>
        <v>0</v>
      </c>
      <c r="AN20" s="991">
        <f t="shared" si="7"/>
        <v>0</v>
      </c>
      <c r="AO20" s="991">
        <f t="shared" si="7"/>
        <v>0</v>
      </c>
      <c r="AP20" s="991">
        <f t="shared" si="7"/>
        <v>0</v>
      </c>
      <c r="AQ20" s="991">
        <f t="shared" si="7"/>
        <v>0</v>
      </c>
      <c r="AR20" s="991">
        <f t="shared" si="7"/>
        <v>0</v>
      </c>
      <c r="AS20" s="991">
        <f t="shared" si="7"/>
        <v>0</v>
      </c>
      <c r="AT20" s="991">
        <f t="shared" si="7"/>
        <v>0</v>
      </c>
      <c r="AU20" s="990">
        <f t="shared" si="7"/>
        <v>0</v>
      </c>
      <c r="AV20" s="672"/>
    </row>
    <row r="21" spans="1:48" ht="15.75" customHeight="1">
      <c r="A21" s="672"/>
      <c r="B21" s="1183" t="s">
        <v>4387</v>
      </c>
      <c r="C21" s="1184"/>
      <c r="D21" s="1184"/>
      <c r="E21" s="1184"/>
      <c r="F21" s="1184"/>
      <c r="G21" s="839"/>
      <c r="H21" s="977">
        <v>0</v>
      </c>
      <c r="I21" s="989">
        <f t="shared" ref="I21:AU21" si="8">H21</f>
        <v>0</v>
      </c>
      <c r="J21" s="989">
        <f t="shared" si="8"/>
        <v>0</v>
      </c>
      <c r="K21" s="989">
        <f t="shared" si="8"/>
        <v>0</v>
      </c>
      <c r="L21" s="989">
        <f t="shared" si="8"/>
        <v>0</v>
      </c>
      <c r="M21" s="989">
        <f t="shared" si="8"/>
        <v>0</v>
      </c>
      <c r="N21" s="989">
        <f t="shared" si="8"/>
        <v>0</v>
      </c>
      <c r="O21" s="989">
        <f t="shared" si="8"/>
        <v>0</v>
      </c>
      <c r="P21" s="989">
        <f t="shared" si="8"/>
        <v>0</v>
      </c>
      <c r="Q21" s="989">
        <f t="shared" si="8"/>
        <v>0</v>
      </c>
      <c r="R21" s="989">
        <f t="shared" si="8"/>
        <v>0</v>
      </c>
      <c r="S21" s="989">
        <f t="shared" si="8"/>
        <v>0</v>
      </c>
      <c r="T21" s="989">
        <f t="shared" si="8"/>
        <v>0</v>
      </c>
      <c r="U21" s="989">
        <f t="shared" si="8"/>
        <v>0</v>
      </c>
      <c r="V21" s="989">
        <f t="shared" si="8"/>
        <v>0</v>
      </c>
      <c r="W21" s="989">
        <f t="shared" si="8"/>
        <v>0</v>
      </c>
      <c r="X21" s="989">
        <f t="shared" si="8"/>
        <v>0</v>
      </c>
      <c r="Y21" s="989">
        <f t="shared" si="8"/>
        <v>0</v>
      </c>
      <c r="Z21" s="989">
        <f t="shared" si="8"/>
        <v>0</v>
      </c>
      <c r="AA21" s="989">
        <f t="shared" si="8"/>
        <v>0</v>
      </c>
      <c r="AB21" s="989">
        <f t="shared" si="8"/>
        <v>0</v>
      </c>
      <c r="AC21" s="989">
        <f t="shared" si="8"/>
        <v>0</v>
      </c>
      <c r="AD21" s="989">
        <f t="shared" si="8"/>
        <v>0</v>
      </c>
      <c r="AE21" s="989">
        <f t="shared" si="8"/>
        <v>0</v>
      </c>
      <c r="AF21" s="989">
        <f t="shared" si="8"/>
        <v>0</v>
      </c>
      <c r="AG21" s="989">
        <f t="shared" si="8"/>
        <v>0</v>
      </c>
      <c r="AH21" s="989">
        <f t="shared" si="8"/>
        <v>0</v>
      </c>
      <c r="AI21" s="989">
        <f t="shared" si="8"/>
        <v>0</v>
      </c>
      <c r="AJ21" s="989">
        <f t="shared" si="8"/>
        <v>0</v>
      </c>
      <c r="AK21" s="989">
        <f t="shared" si="8"/>
        <v>0</v>
      </c>
      <c r="AL21" s="989">
        <f t="shared" si="8"/>
        <v>0</v>
      </c>
      <c r="AM21" s="989">
        <f t="shared" si="8"/>
        <v>0</v>
      </c>
      <c r="AN21" s="989">
        <f t="shared" si="8"/>
        <v>0</v>
      </c>
      <c r="AO21" s="989">
        <f t="shared" si="8"/>
        <v>0</v>
      </c>
      <c r="AP21" s="989">
        <f t="shared" si="8"/>
        <v>0</v>
      </c>
      <c r="AQ21" s="989">
        <f t="shared" si="8"/>
        <v>0</v>
      </c>
      <c r="AR21" s="989">
        <f t="shared" si="8"/>
        <v>0</v>
      </c>
      <c r="AS21" s="989">
        <f t="shared" si="8"/>
        <v>0</v>
      </c>
      <c r="AT21" s="989">
        <f t="shared" si="8"/>
        <v>0</v>
      </c>
      <c r="AU21" s="988">
        <f t="shared" si="8"/>
        <v>0</v>
      </c>
      <c r="AV21" s="672"/>
    </row>
    <row r="22" spans="1:48" ht="15.75" customHeight="1">
      <c r="A22" s="672"/>
      <c r="B22" s="1185" t="s">
        <v>4386</v>
      </c>
      <c r="C22" s="1109"/>
      <c r="D22" s="1109"/>
      <c r="E22" s="1109"/>
      <c r="F22" s="1109"/>
      <c r="G22" s="809"/>
      <c r="H22" s="978">
        <f t="shared" ref="H22:AU22" si="9">H18+H19+H20+H21</f>
        <v>0</v>
      </c>
      <c r="I22" s="981">
        <f t="shared" si="9"/>
        <v>0</v>
      </c>
      <c r="J22" s="981">
        <f t="shared" si="9"/>
        <v>0</v>
      </c>
      <c r="K22" s="981">
        <f t="shared" si="9"/>
        <v>0</v>
      </c>
      <c r="L22" s="981">
        <f t="shared" si="9"/>
        <v>0</v>
      </c>
      <c r="M22" s="981">
        <f t="shared" si="9"/>
        <v>0</v>
      </c>
      <c r="N22" s="981">
        <f t="shared" si="9"/>
        <v>0</v>
      </c>
      <c r="O22" s="981">
        <f t="shared" si="9"/>
        <v>0</v>
      </c>
      <c r="P22" s="981">
        <f t="shared" si="9"/>
        <v>0</v>
      </c>
      <c r="Q22" s="981">
        <f t="shared" si="9"/>
        <v>0</v>
      </c>
      <c r="R22" s="981">
        <f t="shared" si="9"/>
        <v>0</v>
      </c>
      <c r="S22" s="981">
        <f t="shared" si="9"/>
        <v>0</v>
      </c>
      <c r="T22" s="981">
        <f t="shared" si="9"/>
        <v>0</v>
      </c>
      <c r="U22" s="981">
        <f t="shared" si="9"/>
        <v>0</v>
      </c>
      <c r="V22" s="981">
        <f t="shared" si="9"/>
        <v>0</v>
      </c>
      <c r="W22" s="981">
        <f t="shared" si="9"/>
        <v>0</v>
      </c>
      <c r="X22" s="981">
        <f t="shared" si="9"/>
        <v>0</v>
      </c>
      <c r="Y22" s="981">
        <f t="shared" si="9"/>
        <v>0</v>
      </c>
      <c r="Z22" s="981">
        <f t="shared" si="9"/>
        <v>0</v>
      </c>
      <c r="AA22" s="981">
        <f t="shared" si="9"/>
        <v>0</v>
      </c>
      <c r="AB22" s="981">
        <f t="shared" si="9"/>
        <v>0</v>
      </c>
      <c r="AC22" s="981">
        <f t="shared" si="9"/>
        <v>0</v>
      </c>
      <c r="AD22" s="981">
        <f t="shared" si="9"/>
        <v>0</v>
      </c>
      <c r="AE22" s="981">
        <f t="shared" si="9"/>
        <v>0</v>
      </c>
      <c r="AF22" s="981">
        <f t="shared" si="9"/>
        <v>0</v>
      </c>
      <c r="AG22" s="981">
        <f t="shared" si="9"/>
        <v>0</v>
      </c>
      <c r="AH22" s="981">
        <f t="shared" si="9"/>
        <v>0</v>
      </c>
      <c r="AI22" s="981">
        <f t="shared" si="9"/>
        <v>0</v>
      </c>
      <c r="AJ22" s="981">
        <f t="shared" si="9"/>
        <v>0</v>
      </c>
      <c r="AK22" s="981">
        <f t="shared" si="9"/>
        <v>0</v>
      </c>
      <c r="AL22" s="981">
        <f t="shared" si="9"/>
        <v>0</v>
      </c>
      <c r="AM22" s="981">
        <f t="shared" si="9"/>
        <v>0</v>
      </c>
      <c r="AN22" s="981">
        <f t="shared" si="9"/>
        <v>0</v>
      </c>
      <c r="AO22" s="981">
        <f t="shared" si="9"/>
        <v>0</v>
      </c>
      <c r="AP22" s="981">
        <f t="shared" si="9"/>
        <v>0</v>
      </c>
      <c r="AQ22" s="981">
        <f t="shared" si="9"/>
        <v>0</v>
      </c>
      <c r="AR22" s="981">
        <f t="shared" si="9"/>
        <v>0</v>
      </c>
      <c r="AS22" s="981">
        <f t="shared" si="9"/>
        <v>0</v>
      </c>
      <c r="AT22" s="981">
        <f t="shared" si="9"/>
        <v>0</v>
      </c>
      <c r="AU22" s="980">
        <f t="shared" si="9"/>
        <v>0</v>
      </c>
      <c r="AV22" s="672"/>
    </row>
    <row r="23" spans="1:48" ht="15.75" customHeight="1">
      <c r="A23" s="672"/>
      <c r="B23" s="1186" t="s">
        <v>1098</v>
      </c>
      <c r="C23" s="1109"/>
      <c r="D23" s="1109"/>
      <c r="E23" s="1109"/>
      <c r="F23" s="1109"/>
      <c r="G23" s="809"/>
      <c r="H23" s="987">
        <f t="shared" ref="H23:AU23" si="10">IFERROR((H18/-(H19+H20)),0)</f>
        <v>0</v>
      </c>
      <c r="I23" s="986">
        <f t="shared" si="10"/>
        <v>0</v>
      </c>
      <c r="J23" s="986">
        <f t="shared" si="10"/>
        <v>0</v>
      </c>
      <c r="K23" s="986">
        <f t="shared" si="10"/>
        <v>0</v>
      </c>
      <c r="L23" s="986">
        <f t="shared" si="10"/>
        <v>0</v>
      </c>
      <c r="M23" s="986">
        <f t="shared" si="10"/>
        <v>0</v>
      </c>
      <c r="N23" s="986">
        <f t="shared" si="10"/>
        <v>0</v>
      </c>
      <c r="O23" s="986">
        <f t="shared" si="10"/>
        <v>0</v>
      </c>
      <c r="P23" s="986">
        <f t="shared" si="10"/>
        <v>0</v>
      </c>
      <c r="Q23" s="986">
        <f t="shared" si="10"/>
        <v>0</v>
      </c>
      <c r="R23" s="986">
        <f t="shared" si="10"/>
        <v>0</v>
      </c>
      <c r="S23" s="986">
        <f t="shared" si="10"/>
        <v>0</v>
      </c>
      <c r="T23" s="986">
        <f t="shared" si="10"/>
        <v>0</v>
      </c>
      <c r="U23" s="986">
        <f t="shared" si="10"/>
        <v>0</v>
      </c>
      <c r="V23" s="986">
        <f t="shared" si="10"/>
        <v>0</v>
      </c>
      <c r="W23" s="986">
        <f t="shared" si="10"/>
        <v>0</v>
      </c>
      <c r="X23" s="986">
        <f t="shared" si="10"/>
        <v>0</v>
      </c>
      <c r="Y23" s="986">
        <f t="shared" si="10"/>
        <v>0</v>
      </c>
      <c r="Z23" s="986">
        <f t="shared" si="10"/>
        <v>0</v>
      </c>
      <c r="AA23" s="986">
        <f t="shared" si="10"/>
        <v>0</v>
      </c>
      <c r="AB23" s="986">
        <f t="shared" si="10"/>
        <v>0</v>
      </c>
      <c r="AC23" s="986">
        <f t="shared" si="10"/>
        <v>0</v>
      </c>
      <c r="AD23" s="986">
        <f t="shared" si="10"/>
        <v>0</v>
      </c>
      <c r="AE23" s="986">
        <f t="shared" si="10"/>
        <v>0</v>
      </c>
      <c r="AF23" s="986">
        <f t="shared" si="10"/>
        <v>0</v>
      </c>
      <c r="AG23" s="986">
        <f t="shared" si="10"/>
        <v>0</v>
      </c>
      <c r="AH23" s="986">
        <f t="shared" si="10"/>
        <v>0</v>
      </c>
      <c r="AI23" s="986">
        <f t="shared" si="10"/>
        <v>0</v>
      </c>
      <c r="AJ23" s="986">
        <f t="shared" si="10"/>
        <v>0</v>
      </c>
      <c r="AK23" s="986">
        <f t="shared" si="10"/>
        <v>0</v>
      </c>
      <c r="AL23" s="986">
        <f t="shared" si="10"/>
        <v>0</v>
      </c>
      <c r="AM23" s="986">
        <f t="shared" si="10"/>
        <v>0</v>
      </c>
      <c r="AN23" s="986">
        <f t="shared" si="10"/>
        <v>0</v>
      </c>
      <c r="AO23" s="986">
        <f t="shared" si="10"/>
        <v>0</v>
      </c>
      <c r="AP23" s="986">
        <f t="shared" si="10"/>
        <v>0</v>
      </c>
      <c r="AQ23" s="986">
        <f t="shared" si="10"/>
        <v>0</v>
      </c>
      <c r="AR23" s="986">
        <f t="shared" si="10"/>
        <v>0</v>
      </c>
      <c r="AS23" s="986">
        <f t="shared" si="10"/>
        <v>0</v>
      </c>
      <c r="AT23" s="986">
        <f t="shared" si="10"/>
        <v>0</v>
      </c>
      <c r="AU23" s="985">
        <f t="shared" si="10"/>
        <v>0</v>
      </c>
      <c r="AV23" s="672"/>
    </row>
    <row r="24" spans="1:48" ht="15.75" customHeight="1">
      <c r="A24" s="672"/>
      <c r="B24" s="1187"/>
      <c r="C24" s="1109"/>
      <c r="D24" s="1109"/>
      <c r="E24" s="1109"/>
      <c r="F24" s="1109"/>
      <c r="G24" s="809"/>
      <c r="H24" s="943"/>
      <c r="I24" s="943"/>
      <c r="J24" s="943"/>
      <c r="K24" s="943"/>
      <c r="L24" s="943"/>
      <c r="M24" s="943"/>
      <c r="N24" s="943"/>
      <c r="O24" s="943"/>
      <c r="P24" s="943"/>
      <c r="Q24" s="984"/>
      <c r="R24" s="984"/>
      <c r="S24" s="984"/>
      <c r="T24" s="984"/>
      <c r="U24" s="984"/>
      <c r="V24" s="984"/>
      <c r="W24" s="984"/>
      <c r="X24" s="984"/>
      <c r="Y24" s="984"/>
      <c r="Z24" s="984"/>
      <c r="AA24" s="984"/>
      <c r="AB24" s="984"/>
      <c r="AC24" s="984"/>
      <c r="AD24" s="984"/>
      <c r="AE24" s="984"/>
      <c r="AF24" s="984"/>
      <c r="AG24" s="984"/>
      <c r="AH24" s="984"/>
      <c r="AI24" s="984"/>
      <c r="AJ24" s="984"/>
      <c r="AK24" s="984"/>
      <c r="AL24" s="984"/>
      <c r="AM24" s="984"/>
      <c r="AN24" s="984"/>
      <c r="AO24" s="984"/>
      <c r="AP24" s="984"/>
      <c r="AQ24" s="984"/>
      <c r="AR24" s="984"/>
      <c r="AS24" s="984"/>
      <c r="AT24" s="984"/>
      <c r="AU24" s="983"/>
      <c r="AV24" s="672"/>
    </row>
    <row r="25" spans="1:48" ht="15.75" customHeight="1">
      <c r="A25" s="672"/>
      <c r="B25" s="1186" t="s">
        <v>4385</v>
      </c>
      <c r="C25" s="1109"/>
      <c r="D25" s="1109"/>
      <c r="E25" s="1109"/>
      <c r="F25" s="1109"/>
      <c r="G25" s="839"/>
      <c r="H25" s="982"/>
      <c r="I25" s="982"/>
      <c r="J25" s="982"/>
      <c r="K25" s="982"/>
      <c r="L25" s="982"/>
      <c r="M25" s="982"/>
      <c r="N25" s="982"/>
      <c r="O25" s="982"/>
      <c r="P25" s="982"/>
      <c r="Q25" s="982"/>
      <c r="R25" s="982"/>
      <c r="S25" s="982"/>
      <c r="T25" s="982"/>
      <c r="U25" s="982"/>
      <c r="V25" s="981"/>
      <c r="W25" s="981"/>
      <c r="X25" s="981"/>
      <c r="Y25" s="981"/>
      <c r="Z25" s="981"/>
      <c r="AA25" s="981"/>
      <c r="AB25" s="981"/>
      <c r="AC25" s="981"/>
      <c r="AD25" s="981"/>
      <c r="AE25" s="981"/>
      <c r="AF25" s="981"/>
      <c r="AG25" s="981"/>
      <c r="AH25" s="981"/>
      <c r="AI25" s="981"/>
      <c r="AJ25" s="981"/>
      <c r="AK25" s="981"/>
      <c r="AL25" s="981"/>
      <c r="AM25" s="981"/>
      <c r="AN25" s="981"/>
      <c r="AO25" s="981"/>
      <c r="AP25" s="981"/>
      <c r="AQ25" s="981"/>
      <c r="AR25" s="981"/>
      <c r="AS25" s="981"/>
      <c r="AT25" s="981"/>
      <c r="AU25" s="980"/>
      <c r="AV25" s="672"/>
    </row>
    <row r="26" spans="1:48" s="123" customFormat="1" ht="15.75" customHeight="1">
      <c r="A26" s="968"/>
      <c r="B26" s="1190" t="str">
        <f>"Asset Management Fees (escalating at "&amp;(TEXT($G$26,"0%"&amp;")"))</f>
        <v>Asset Management Fees (escalating at 3%)</v>
      </c>
      <c r="C26" s="1191"/>
      <c r="D26" s="1191"/>
      <c r="E26" s="1191"/>
      <c r="F26" s="1191"/>
      <c r="G26" s="979">
        <v>0.03</v>
      </c>
      <c r="H26" s="977">
        <f>ABS('Proforma, Income &amp; Expense'!B4)</f>
        <v>0</v>
      </c>
      <c r="I26" s="973">
        <f t="shared" ref="I26:AU26" si="11">H26*(1+$G$26)</f>
        <v>0</v>
      </c>
      <c r="J26" s="973">
        <f t="shared" si="11"/>
        <v>0</v>
      </c>
      <c r="K26" s="973">
        <f t="shared" si="11"/>
        <v>0</v>
      </c>
      <c r="L26" s="973">
        <f t="shared" si="11"/>
        <v>0</v>
      </c>
      <c r="M26" s="973">
        <f t="shared" si="11"/>
        <v>0</v>
      </c>
      <c r="N26" s="973">
        <f t="shared" si="11"/>
        <v>0</v>
      </c>
      <c r="O26" s="973">
        <f t="shared" si="11"/>
        <v>0</v>
      </c>
      <c r="P26" s="973">
        <f t="shared" si="11"/>
        <v>0</v>
      </c>
      <c r="Q26" s="978">
        <f t="shared" si="11"/>
        <v>0</v>
      </c>
      <c r="R26" s="978">
        <f t="shared" si="11"/>
        <v>0</v>
      </c>
      <c r="S26" s="978">
        <f t="shared" si="11"/>
        <v>0</v>
      </c>
      <c r="T26" s="978">
        <f t="shared" si="11"/>
        <v>0</v>
      </c>
      <c r="U26" s="978">
        <f t="shared" si="11"/>
        <v>0</v>
      </c>
      <c r="V26" s="978">
        <f t="shared" si="11"/>
        <v>0</v>
      </c>
      <c r="W26" s="978">
        <f t="shared" si="11"/>
        <v>0</v>
      </c>
      <c r="X26" s="978">
        <f t="shared" si="11"/>
        <v>0</v>
      </c>
      <c r="Y26" s="978">
        <f t="shared" si="11"/>
        <v>0</v>
      </c>
      <c r="Z26" s="978">
        <f t="shared" si="11"/>
        <v>0</v>
      </c>
      <c r="AA26" s="978">
        <f t="shared" si="11"/>
        <v>0</v>
      </c>
      <c r="AB26" s="978">
        <f t="shared" si="11"/>
        <v>0</v>
      </c>
      <c r="AC26" s="978">
        <f t="shared" si="11"/>
        <v>0</v>
      </c>
      <c r="AD26" s="978">
        <f t="shared" si="11"/>
        <v>0</v>
      </c>
      <c r="AE26" s="978">
        <f t="shared" si="11"/>
        <v>0</v>
      </c>
      <c r="AF26" s="978">
        <f t="shared" si="11"/>
        <v>0</v>
      </c>
      <c r="AG26" s="978">
        <f t="shared" si="11"/>
        <v>0</v>
      </c>
      <c r="AH26" s="978">
        <f t="shared" si="11"/>
        <v>0</v>
      </c>
      <c r="AI26" s="978">
        <f t="shared" si="11"/>
        <v>0</v>
      </c>
      <c r="AJ26" s="978">
        <f t="shared" si="11"/>
        <v>0</v>
      </c>
      <c r="AK26" s="978">
        <f t="shared" si="11"/>
        <v>0</v>
      </c>
      <c r="AL26" s="978">
        <f t="shared" si="11"/>
        <v>0</v>
      </c>
      <c r="AM26" s="978">
        <f t="shared" si="11"/>
        <v>0</v>
      </c>
      <c r="AN26" s="978">
        <f t="shared" si="11"/>
        <v>0</v>
      </c>
      <c r="AO26" s="978">
        <f t="shared" si="11"/>
        <v>0</v>
      </c>
      <c r="AP26" s="978">
        <f t="shared" si="11"/>
        <v>0</v>
      </c>
      <c r="AQ26" s="978">
        <f t="shared" si="11"/>
        <v>0</v>
      </c>
      <c r="AR26" s="978">
        <f t="shared" si="11"/>
        <v>0</v>
      </c>
      <c r="AS26" s="978">
        <f t="shared" si="11"/>
        <v>0</v>
      </c>
      <c r="AT26" s="978">
        <f t="shared" si="11"/>
        <v>0</v>
      </c>
      <c r="AU26" s="976">
        <f t="shared" si="11"/>
        <v>0</v>
      </c>
      <c r="AV26" s="968"/>
    </row>
    <row r="27" spans="1:48" s="123" customFormat="1" ht="15.75" customHeight="1">
      <c r="A27" s="968"/>
      <c r="B27" s="1174" t="s">
        <v>547</v>
      </c>
      <c r="C27" s="1175"/>
      <c r="D27" s="1175"/>
      <c r="E27" s="1175"/>
      <c r="F27" s="1175"/>
      <c r="G27" s="974"/>
      <c r="H27" s="977">
        <f>-ABS('Proforma, Income &amp; Expense'!B5)</f>
        <v>0</v>
      </c>
      <c r="I27" s="973">
        <f t="shared" ref="I27:AU27" si="12">$H27</f>
        <v>0</v>
      </c>
      <c r="J27" s="973">
        <f t="shared" si="12"/>
        <v>0</v>
      </c>
      <c r="K27" s="973">
        <f t="shared" si="12"/>
        <v>0</v>
      </c>
      <c r="L27" s="973">
        <f t="shared" si="12"/>
        <v>0</v>
      </c>
      <c r="M27" s="973">
        <f t="shared" si="12"/>
        <v>0</v>
      </c>
      <c r="N27" s="973">
        <f t="shared" si="12"/>
        <v>0</v>
      </c>
      <c r="O27" s="973">
        <f t="shared" si="12"/>
        <v>0</v>
      </c>
      <c r="P27" s="973">
        <f t="shared" si="12"/>
        <v>0</v>
      </c>
      <c r="Q27" s="973">
        <f t="shared" si="12"/>
        <v>0</v>
      </c>
      <c r="R27" s="973">
        <f t="shared" si="12"/>
        <v>0</v>
      </c>
      <c r="S27" s="973">
        <f t="shared" si="12"/>
        <v>0</v>
      </c>
      <c r="T27" s="973">
        <f t="shared" si="12"/>
        <v>0</v>
      </c>
      <c r="U27" s="973">
        <f t="shared" si="12"/>
        <v>0</v>
      </c>
      <c r="V27" s="973">
        <f t="shared" si="12"/>
        <v>0</v>
      </c>
      <c r="W27" s="973">
        <f t="shared" si="12"/>
        <v>0</v>
      </c>
      <c r="X27" s="973">
        <f t="shared" si="12"/>
        <v>0</v>
      </c>
      <c r="Y27" s="973">
        <f t="shared" si="12"/>
        <v>0</v>
      </c>
      <c r="Z27" s="973">
        <f t="shared" si="12"/>
        <v>0</v>
      </c>
      <c r="AA27" s="973">
        <f t="shared" si="12"/>
        <v>0</v>
      </c>
      <c r="AB27" s="973">
        <f t="shared" si="12"/>
        <v>0</v>
      </c>
      <c r="AC27" s="973">
        <f t="shared" si="12"/>
        <v>0</v>
      </c>
      <c r="AD27" s="973">
        <f t="shared" si="12"/>
        <v>0</v>
      </c>
      <c r="AE27" s="973">
        <f t="shared" si="12"/>
        <v>0</v>
      </c>
      <c r="AF27" s="973">
        <f t="shared" si="12"/>
        <v>0</v>
      </c>
      <c r="AG27" s="973">
        <f t="shared" si="12"/>
        <v>0</v>
      </c>
      <c r="AH27" s="973">
        <f t="shared" si="12"/>
        <v>0</v>
      </c>
      <c r="AI27" s="973">
        <f t="shared" si="12"/>
        <v>0</v>
      </c>
      <c r="AJ27" s="973">
        <f t="shared" si="12"/>
        <v>0</v>
      </c>
      <c r="AK27" s="973">
        <f t="shared" si="12"/>
        <v>0</v>
      </c>
      <c r="AL27" s="973">
        <f t="shared" si="12"/>
        <v>0</v>
      </c>
      <c r="AM27" s="973">
        <f t="shared" si="12"/>
        <v>0</v>
      </c>
      <c r="AN27" s="973">
        <f t="shared" si="12"/>
        <v>0</v>
      </c>
      <c r="AO27" s="973">
        <f t="shared" si="12"/>
        <v>0</v>
      </c>
      <c r="AP27" s="973">
        <f t="shared" si="12"/>
        <v>0</v>
      </c>
      <c r="AQ27" s="973">
        <f t="shared" si="12"/>
        <v>0</v>
      </c>
      <c r="AR27" s="973">
        <f t="shared" si="12"/>
        <v>0</v>
      </c>
      <c r="AS27" s="973">
        <f t="shared" si="12"/>
        <v>0</v>
      </c>
      <c r="AT27" s="973">
        <f t="shared" si="12"/>
        <v>0</v>
      </c>
      <c r="AU27" s="976">
        <f t="shared" si="12"/>
        <v>0</v>
      </c>
      <c r="AV27" s="968"/>
    </row>
    <row r="28" spans="1:48" s="123" customFormat="1" ht="16.5" customHeight="1">
      <c r="A28" s="968"/>
      <c r="B28" s="1174" t="s">
        <v>4384</v>
      </c>
      <c r="C28" s="1175"/>
      <c r="D28" s="1175"/>
      <c r="E28" s="1175"/>
      <c r="F28" s="1175"/>
      <c r="G28" s="974"/>
      <c r="H28" s="973">
        <f t="shared" ref="H28:AU28" si="13">IF(AND(H22&gt;0,$M$2&gt;0), (MIN(H69, IF(H22-H26-H27&lt;0,0, H22-H26-H27))), 0)</f>
        <v>0</v>
      </c>
      <c r="I28" s="973">
        <f t="shared" si="13"/>
        <v>0</v>
      </c>
      <c r="J28" s="973">
        <f t="shared" si="13"/>
        <v>0</v>
      </c>
      <c r="K28" s="973">
        <f t="shared" si="13"/>
        <v>0</v>
      </c>
      <c r="L28" s="973">
        <f t="shared" si="13"/>
        <v>0</v>
      </c>
      <c r="M28" s="973">
        <f t="shared" si="13"/>
        <v>0</v>
      </c>
      <c r="N28" s="973">
        <f t="shared" si="13"/>
        <v>0</v>
      </c>
      <c r="O28" s="973">
        <f t="shared" si="13"/>
        <v>0</v>
      </c>
      <c r="P28" s="973">
        <f t="shared" si="13"/>
        <v>0</v>
      </c>
      <c r="Q28" s="973">
        <f t="shared" si="13"/>
        <v>0</v>
      </c>
      <c r="R28" s="973">
        <f t="shared" si="13"/>
        <v>0</v>
      </c>
      <c r="S28" s="973">
        <f t="shared" si="13"/>
        <v>0</v>
      </c>
      <c r="T28" s="973">
        <f t="shared" si="13"/>
        <v>0</v>
      </c>
      <c r="U28" s="973">
        <f t="shared" si="13"/>
        <v>0</v>
      </c>
      <c r="V28" s="973">
        <f t="shared" si="13"/>
        <v>0</v>
      </c>
      <c r="W28" s="973">
        <f t="shared" si="13"/>
        <v>0</v>
      </c>
      <c r="X28" s="973">
        <f t="shared" si="13"/>
        <v>0</v>
      </c>
      <c r="Y28" s="973">
        <f t="shared" si="13"/>
        <v>0</v>
      </c>
      <c r="Z28" s="973">
        <f t="shared" si="13"/>
        <v>0</v>
      </c>
      <c r="AA28" s="973">
        <f t="shared" si="13"/>
        <v>0</v>
      </c>
      <c r="AB28" s="973">
        <f t="shared" si="13"/>
        <v>0</v>
      </c>
      <c r="AC28" s="973">
        <f t="shared" si="13"/>
        <v>0</v>
      </c>
      <c r="AD28" s="973">
        <f t="shared" si="13"/>
        <v>0</v>
      </c>
      <c r="AE28" s="973">
        <f t="shared" si="13"/>
        <v>0</v>
      </c>
      <c r="AF28" s="973">
        <f t="shared" si="13"/>
        <v>0</v>
      </c>
      <c r="AG28" s="973">
        <f t="shared" si="13"/>
        <v>0</v>
      </c>
      <c r="AH28" s="973">
        <f t="shared" si="13"/>
        <v>0</v>
      </c>
      <c r="AI28" s="973">
        <f t="shared" si="13"/>
        <v>0</v>
      </c>
      <c r="AJ28" s="973">
        <f t="shared" si="13"/>
        <v>0</v>
      </c>
      <c r="AK28" s="973">
        <f t="shared" si="13"/>
        <v>0</v>
      </c>
      <c r="AL28" s="973">
        <f t="shared" si="13"/>
        <v>0</v>
      </c>
      <c r="AM28" s="973">
        <f t="shared" si="13"/>
        <v>0</v>
      </c>
      <c r="AN28" s="973">
        <f t="shared" si="13"/>
        <v>0</v>
      </c>
      <c r="AO28" s="973">
        <f t="shared" si="13"/>
        <v>0</v>
      </c>
      <c r="AP28" s="973">
        <f t="shared" si="13"/>
        <v>0</v>
      </c>
      <c r="AQ28" s="973">
        <f t="shared" si="13"/>
        <v>0</v>
      </c>
      <c r="AR28" s="973">
        <f t="shared" si="13"/>
        <v>0</v>
      </c>
      <c r="AS28" s="973">
        <f t="shared" si="13"/>
        <v>0</v>
      </c>
      <c r="AT28" s="973">
        <f t="shared" si="13"/>
        <v>0</v>
      </c>
      <c r="AU28" s="975">
        <f t="shared" si="13"/>
        <v>0</v>
      </c>
      <c r="AV28" s="968"/>
    </row>
    <row r="29" spans="1:48" s="123" customFormat="1" ht="15.75" customHeight="1">
      <c r="A29" s="968"/>
      <c r="B29" s="1174" t="str">
        <f>"Payment to "&amp;H7</f>
        <v>Payment to 0</v>
      </c>
      <c r="C29" s="1175"/>
      <c r="D29" s="1175"/>
      <c r="E29" s="1175"/>
      <c r="F29" s="1175"/>
      <c r="G29" s="974"/>
      <c r="H29" s="973">
        <f t="shared" ref="H29:AU29" si="14">IFERROR(MIN(H74, IF(H22-H26-H27-H28&lt;0,0, H22-H26-H27-H28)*$M$9), 0)</f>
        <v>0</v>
      </c>
      <c r="I29" s="973">
        <f t="shared" si="14"/>
        <v>0</v>
      </c>
      <c r="J29" s="973">
        <f t="shared" si="14"/>
        <v>0</v>
      </c>
      <c r="K29" s="973">
        <f t="shared" si="14"/>
        <v>0</v>
      </c>
      <c r="L29" s="973">
        <f t="shared" si="14"/>
        <v>0</v>
      </c>
      <c r="M29" s="973">
        <f t="shared" si="14"/>
        <v>0</v>
      </c>
      <c r="N29" s="973">
        <f t="shared" si="14"/>
        <v>0</v>
      </c>
      <c r="O29" s="973">
        <f t="shared" si="14"/>
        <v>0</v>
      </c>
      <c r="P29" s="973">
        <f t="shared" si="14"/>
        <v>0</v>
      </c>
      <c r="Q29" s="973">
        <f t="shared" si="14"/>
        <v>0</v>
      </c>
      <c r="R29" s="973">
        <f t="shared" si="14"/>
        <v>0</v>
      </c>
      <c r="S29" s="973">
        <f t="shared" si="14"/>
        <v>0</v>
      </c>
      <c r="T29" s="973">
        <f t="shared" si="14"/>
        <v>0</v>
      </c>
      <c r="U29" s="973">
        <f t="shared" si="14"/>
        <v>0</v>
      </c>
      <c r="V29" s="973">
        <f t="shared" si="14"/>
        <v>0</v>
      </c>
      <c r="W29" s="973">
        <f t="shared" si="14"/>
        <v>0</v>
      </c>
      <c r="X29" s="973">
        <f t="shared" si="14"/>
        <v>0</v>
      </c>
      <c r="Y29" s="973">
        <f t="shared" si="14"/>
        <v>0</v>
      </c>
      <c r="Z29" s="973">
        <f t="shared" si="14"/>
        <v>0</v>
      </c>
      <c r="AA29" s="973">
        <f t="shared" si="14"/>
        <v>0</v>
      </c>
      <c r="AB29" s="973">
        <f t="shared" si="14"/>
        <v>0</v>
      </c>
      <c r="AC29" s="973">
        <f t="shared" si="14"/>
        <v>0</v>
      </c>
      <c r="AD29" s="973">
        <f t="shared" si="14"/>
        <v>0</v>
      </c>
      <c r="AE29" s="973">
        <f t="shared" si="14"/>
        <v>0</v>
      </c>
      <c r="AF29" s="973">
        <f t="shared" si="14"/>
        <v>0</v>
      </c>
      <c r="AG29" s="973">
        <f t="shared" si="14"/>
        <v>0</v>
      </c>
      <c r="AH29" s="973">
        <f t="shared" si="14"/>
        <v>0</v>
      </c>
      <c r="AI29" s="973">
        <f t="shared" si="14"/>
        <v>0</v>
      </c>
      <c r="AJ29" s="973">
        <f t="shared" si="14"/>
        <v>0</v>
      </c>
      <c r="AK29" s="973">
        <f t="shared" si="14"/>
        <v>0</v>
      </c>
      <c r="AL29" s="973">
        <f t="shared" si="14"/>
        <v>0</v>
      </c>
      <c r="AM29" s="973">
        <f t="shared" si="14"/>
        <v>0</v>
      </c>
      <c r="AN29" s="973">
        <f t="shared" si="14"/>
        <v>0</v>
      </c>
      <c r="AO29" s="973">
        <f t="shared" si="14"/>
        <v>0</v>
      </c>
      <c r="AP29" s="973">
        <f t="shared" si="14"/>
        <v>0</v>
      </c>
      <c r="AQ29" s="973">
        <f t="shared" si="14"/>
        <v>0</v>
      </c>
      <c r="AR29" s="973">
        <f t="shared" si="14"/>
        <v>0</v>
      </c>
      <c r="AS29" s="973">
        <f t="shared" si="14"/>
        <v>0</v>
      </c>
      <c r="AT29" s="973">
        <f t="shared" si="14"/>
        <v>0</v>
      </c>
      <c r="AU29" s="972">
        <f t="shared" si="14"/>
        <v>0</v>
      </c>
      <c r="AV29" s="968"/>
    </row>
    <row r="30" spans="1:48" s="123" customFormat="1" ht="15.75" customHeight="1">
      <c r="A30" s="968"/>
      <c r="B30" s="1174" t="str">
        <f>"Payment to "&amp;O2</f>
        <v>Payment to 0</v>
      </c>
      <c r="C30" s="1175"/>
      <c r="D30" s="1175"/>
      <c r="E30" s="1175"/>
      <c r="F30" s="1175"/>
      <c r="G30" s="974"/>
      <c r="H30" s="973">
        <f t="shared" ref="H30:AU30" si="15">IFERROR(MIN(H79, IF(H22-H26-H27-H28&lt;0,0, H22-H26-H27-H28)*$T$4), 0)</f>
        <v>0</v>
      </c>
      <c r="I30" s="973">
        <f t="shared" si="15"/>
        <v>0</v>
      </c>
      <c r="J30" s="973">
        <f t="shared" si="15"/>
        <v>0</v>
      </c>
      <c r="K30" s="973">
        <f t="shared" si="15"/>
        <v>0</v>
      </c>
      <c r="L30" s="973">
        <f t="shared" si="15"/>
        <v>0</v>
      </c>
      <c r="M30" s="973">
        <f t="shared" si="15"/>
        <v>0</v>
      </c>
      <c r="N30" s="973">
        <f t="shared" si="15"/>
        <v>0</v>
      </c>
      <c r="O30" s="973">
        <f t="shared" si="15"/>
        <v>0</v>
      </c>
      <c r="P30" s="973">
        <f t="shared" si="15"/>
        <v>0</v>
      </c>
      <c r="Q30" s="973">
        <f t="shared" si="15"/>
        <v>0</v>
      </c>
      <c r="R30" s="973">
        <f t="shared" si="15"/>
        <v>0</v>
      </c>
      <c r="S30" s="973">
        <f t="shared" si="15"/>
        <v>0</v>
      </c>
      <c r="T30" s="973">
        <f t="shared" si="15"/>
        <v>0</v>
      </c>
      <c r="U30" s="973">
        <f t="shared" si="15"/>
        <v>0</v>
      </c>
      <c r="V30" s="973">
        <f t="shared" si="15"/>
        <v>0</v>
      </c>
      <c r="W30" s="973">
        <f t="shared" si="15"/>
        <v>0</v>
      </c>
      <c r="X30" s="973">
        <f t="shared" si="15"/>
        <v>0</v>
      </c>
      <c r="Y30" s="973">
        <f t="shared" si="15"/>
        <v>0</v>
      </c>
      <c r="Z30" s="973">
        <f t="shared" si="15"/>
        <v>0</v>
      </c>
      <c r="AA30" s="973">
        <f t="shared" si="15"/>
        <v>0</v>
      </c>
      <c r="AB30" s="973">
        <f t="shared" si="15"/>
        <v>0</v>
      </c>
      <c r="AC30" s="973">
        <f t="shared" si="15"/>
        <v>0</v>
      </c>
      <c r="AD30" s="973">
        <f t="shared" si="15"/>
        <v>0</v>
      </c>
      <c r="AE30" s="973">
        <f t="shared" si="15"/>
        <v>0</v>
      </c>
      <c r="AF30" s="973">
        <f t="shared" si="15"/>
        <v>0</v>
      </c>
      <c r="AG30" s="973">
        <f t="shared" si="15"/>
        <v>0</v>
      </c>
      <c r="AH30" s="973">
        <f t="shared" si="15"/>
        <v>0</v>
      </c>
      <c r="AI30" s="973">
        <f t="shared" si="15"/>
        <v>0</v>
      </c>
      <c r="AJ30" s="973">
        <f t="shared" si="15"/>
        <v>0</v>
      </c>
      <c r="AK30" s="973">
        <f t="shared" si="15"/>
        <v>0</v>
      </c>
      <c r="AL30" s="973">
        <f t="shared" si="15"/>
        <v>0</v>
      </c>
      <c r="AM30" s="973">
        <f t="shared" si="15"/>
        <v>0</v>
      </c>
      <c r="AN30" s="973">
        <f t="shared" si="15"/>
        <v>0</v>
      </c>
      <c r="AO30" s="973">
        <f t="shared" si="15"/>
        <v>0</v>
      </c>
      <c r="AP30" s="973">
        <f t="shared" si="15"/>
        <v>0</v>
      </c>
      <c r="AQ30" s="973">
        <f t="shared" si="15"/>
        <v>0</v>
      </c>
      <c r="AR30" s="973">
        <f t="shared" si="15"/>
        <v>0</v>
      </c>
      <c r="AS30" s="973">
        <f t="shared" si="15"/>
        <v>0</v>
      </c>
      <c r="AT30" s="973">
        <f t="shared" si="15"/>
        <v>0</v>
      </c>
      <c r="AU30" s="972">
        <f t="shared" si="15"/>
        <v>0</v>
      </c>
      <c r="AV30" s="968"/>
    </row>
    <row r="31" spans="1:48" s="123" customFormat="1" ht="15.75" customHeight="1">
      <c r="A31" s="968"/>
      <c r="B31" s="1174" t="str">
        <f>"Payment to "&amp;O7</f>
        <v>Payment to 0</v>
      </c>
      <c r="C31" s="1175"/>
      <c r="D31" s="1175"/>
      <c r="E31" s="1175"/>
      <c r="F31" s="1175"/>
      <c r="G31" s="974"/>
      <c r="H31" s="973">
        <f t="shared" ref="H31:AU31" si="16">IFERROR(MIN(H84, IF(H22-H26-H27-H28&lt;0,0, H22-H26-H27-H28)*$T$9), 0)</f>
        <v>0</v>
      </c>
      <c r="I31" s="973">
        <f t="shared" si="16"/>
        <v>0</v>
      </c>
      <c r="J31" s="973">
        <f t="shared" si="16"/>
        <v>0</v>
      </c>
      <c r="K31" s="973">
        <f t="shared" si="16"/>
        <v>0</v>
      </c>
      <c r="L31" s="973">
        <f t="shared" si="16"/>
        <v>0</v>
      </c>
      <c r="M31" s="973">
        <f t="shared" si="16"/>
        <v>0</v>
      </c>
      <c r="N31" s="973">
        <f t="shared" si="16"/>
        <v>0</v>
      </c>
      <c r="O31" s="973">
        <f t="shared" si="16"/>
        <v>0</v>
      </c>
      <c r="P31" s="973">
        <f t="shared" si="16"/>
        <v>0</v>
      </c>
      <c r="Q31" s="973">
        <f t="shared" si="16"/>
        <v>0</v>
      </c>
      <c r="R31" s="973">
        <f t="shared" si="16"/>
        <v>0</v>
      </c>
      <c r="S31" s="973">
        <f t="shared" si="16"/>
        <v>0</v>
      </c>
      <c r="T31" s="973">
        <f t="shared" si="16"/>
        <v>0</v>
      </c>
      <c r="U31" s="973">
        <f t="shared" si="16"/>
        <v>0</v>
      </c>
      <c r="V31" s="973">
        <f t="shared" si="16"/>
        <v>0</v>
      </c>
      <c r="W31" s="973">
        <f t="shared" si="16"/>
        <v>0</v>
      </c>
      <c r="X31" s="973">
        <f t="shared" si="16"/>
        <v>0</v>
      </c>
      <c r="Y31" s="973">
        <f t="shared" si="16"/>
        <v>0</v>
      </c>
      <c r="Z31" s="973">
        <f t="shared" si="16"/>
        <v>0</v>
      </c>
      <c r="AA31" s="973">
        <f t="shared" si="16"/>
        <v>0</v>
      </c>
      <c r="AB31" s="973">
        <f t="shared" si="16"/>
        <v>0</v>
      </c>
      <c r="AC31" s="973">
        <f t="shared" si="16"/>
        <v>0</v>
      </c>
      <c r="AD31" s="973">
        <f t="shared" si="16"/>
        <v>0</v>
      </c>
      <c r="AE31" s="973">
        <f t="shared" si="16"/>
        <v>0</v>
      </c>
      <c r="AF31" s="973">
        <f t="shared" si="16"/>
        <v>0</v>
      </c>
      <c r="AG31" s="973">
        <f t="shared" si="16"/>
        <v>0</v>
      </c>
      <c r="AH31" s="973">
        <f t="shared" si="16"/>
        <v>0</v>
      </c>
      <c r="AI31" s="973">
        <f t="shared" si="16"/>
        <v>0</v>
      </c>
      <c r="AJ31" s="973">
        <f t="shared" si="16"/>
        <v>0</v>
      </c>
      <c r="AK31" s="973">
        <f t="shared" si="16"/>
        <v>0</v>
      </c>
      <c r="AL31" s="973">
        <f t="shared" si="16"/>
        <v>0</v>
      </c>
      <c r="AM31" s="973">
        <f t="shared" si="16"/>
        <v>0</v>
      </c>
      <c r="AN31" s="973">
        <f t="shared" si="16"/>
        <v>0</v>
      </c>
      <c r="AO31" s="973">
        <f t="shared" si="16"/>
        <v>0</v>
      </c>
      <c r="AP31" s="973">
        <f t="shared" si="16"/>
        <v>0</v>
      </c>
      <c r="AQ31" s="973">
        <f t="shared" si="16"/>
        <v>0</v>
      </c>
      <c r="AR31" s="973">
        <f t="shared" si="16"/>
        <v>0</v>
      </c>
      <c r="AS31" s="973">
        <f t="shared" si="16"/>
        <v>0</v>
      </c>
      <c r="AT31" s="973">
        <f t="shared" si="16"/>
        <v>0</v>
      </c>
      <c r="AU31" s="972">
        <f t="shared" si="16"/>
        <v>0</v>
      </c>
      <c r="AV31" s="968"/>
    </row>
    <row r="32" spans="1:48" s="123" customFormat="1" ht="15.75" customHeight="1">
      <c r="A32" s="968"/>
      <c r="B32" s="1174" t="str">
        <f>"Payment to "&amp;V2</f>
        <v>Payment to 0</v>
      </c>
      <c r="C32" s="1175"/>
      <c r="D32" s="1175"/>
      <c r="E32" s="1175"/>
      <c r="F32" s="1175"/>
      <c r="G32" s="974"/>
      <c r="H32" s="973">
        <f t="shared" ref="H32:AU32" si="17">IFERROR(MIN(H89, IF(H22-H26-H27-H28&lt;0,0, H22-H26-H27-H28)*$AA$4), 0)</f>
        <v>0</v>
      </c>
      <c r="I32" s="973">
        <f t="shared" si="17"/>
        <v>0</v>
      </c>
      <c r="J32" s="973">
        <f t="shared" si="17"/>
        <v>0</v>
      </c>
      <c r="K32" s="973">
        <f t="shared" si="17"/>
        <v>0</v>
      </c>
      <c r="L32" s="973">
        <f t="shared" si="17"/>
        <v>0</v>
      </c>
      <c r="M32" s="973">
        <f t="shared" si="17"/>
        <v>0</v>
      </c>
      <c r="N32" s="973">
        <f t="shared" si="17"/>
        <v>0</v>
      </c>
      <c r="O32" s="973">
        <f t="shared" si="17"/>
        <v>0</v>
      </c>
      <c r="P32" s="973">
        <f t="shared" si="17"/>
        <v>0</v>
      </c>
      <c r="Q32" s="973">
        <f t="shared" si="17"/>
        <v>0</v>
      </c>
      <c r="R32" s="973">
        <f t="shared" si="17"/>
        <v>0</v>
      </c>
      <c r="S32" s="973">
        <f t="shared" si="17"/>
        <v>0</v>
      </c>
      <c r="T32" s="973">
        <f t="shared" si="17"/>
        <v>0</v>
      </c>
      <c r="U32" s="973">
        <f t="shared" si="17"/>
        <v>0</v>
      </c>
      <c r="V32" s="973">
        <f t="shared" si="17"/>
        <v>0</v>
      </c>
      <c r="W32" s="973">
        <f t="shared" si="17"/>
        <v>0</v>
      </c>
      <c r="X32" s="973">
        <f t="shared" si="17"/>
        <v>0</v>
      </c>
      <c r="Y32" s="973">
        <f t="shared" si="17"/>
        <v>0</v>
      </c>
      <c r="Z32" s="973">
        <f t="shared" si="17"/>
        <v>0</v>
      </c>
      <c r="AA32" s="973">
        <f t="shared" si="17"/>
        <v>0</v>
      </c>
      <c r="AB32" s="973">
        <f t="shared" si="17"/>
        <v>0</v>
      </c>
      <c r="AC32" s="973">
        <f t="shared" si="17"/>
        <v>0</v>
      </c>
      <c r="AD32" s="973">
        <f t="shared" si="17"/>
        <v>0</v>
      </c>
      <c r="AE32" s="973">
        <f t="shared" si="17"/>
        <v>0</v>
      </c>
      <c r="AF32" s="973">
        <f t="shared" si="17"/>
        <v>0</v>
      </c>
      <c r="AG32" s="973">
        <f t="shared" si="17"/>
        <v>0</v>
      </c>
      <c r="AH32" s="973">
        <f t="shared" si="17"/>
        <v>0</v>
      </c>
      <c r="AI32" s="973">
        <f t="shared" si="17"/>
        <v>0</v>
      </c>
      <c r="AJ32" s="973">
        <f t="shared" si="17"/>
        <v>0</v>
      </c>
      <c r="AK32" s="973">
        <f t="shared" si="17"/>
        <v>0</v>
      </c>
      <c r="AL32" s="973">
        <f t="shared" si="17"/>
        <v>0</v>
      </c>
      <c r="AM32" s="973">
        <f t="shared" si="17"/>
        <v>0</v>
      </c>
      <c r="AN32" s="973">
        <f t="shared" si="17"/>
        <v>0</v>
      </c>
      <c r="AO32" s="973">
        <f t="shared" si="17"/>
        <v>0</v>
      </c>
      <c r="AP32" s="973">
        <f t="shared" si="17"/>
        <v>0</v>
      </c>
      <c r="AQ32" s="973">
        <f t="shared" si="17"/>
        <v>0</v>
      </c>
      <c r="AR32" s="973">
        <f t="shared" si="17"/>
        <v>0</v>
      </c>
      <c r="AS32" s="973">
        <f t="shared" si="17"/>
        <v>0</v>
      </c>
      <c r="AT32" s="973">
        <f t="shared" si="17"/>
        <v>0</v>
      </c>
      <c r="AU32" s="972">
        <f t="shared" si="17"/>
        <v>0</v>
      </c>
      <c r="AV32" s="968"/>
    </row>
    <row r="33" spans="1:48" s="123" customFormat="1" ht="15.75" customHeight="1">
      <c r="A33" s="968"/>
      <c r="B33" s="1174" t="str">
        <f>"Payment to "&amp;V7</f>
        <v>Payment to 0</v>
      </c>
      <c r="C33" s="1175"/>
      <c r="D33" s="1175"/>
      <c r="E33" s="1175"/>
      <c r="F33" s="1175"/>
      <c r="G33" s="974"/>
      <c r="H33" s="973">
        <f t="shared" ref="H33:AU33" si="18">IFERROR(MIN(H94, IF(H22-H26-H27-H28&lt;0,0, H22-H26-H27-H28)*$AA$9), 0)</f>
        <v>0</v>
      </c>
      <c r="I33" s="973">
        <f t="shared" si="18"/>
        <v>0</v>
      </c>
      <c r="J33" s="973">
        <f t="shared" si="18"/>
        <v>0</v>
      </c>
      <c r="K33" s="973">
        <f t="shared" si="18"/>
        <v>0</v>
      </c>
      <c r="L33" s="973">
        <f t="shared" si="18"/>
        <v>0</v>
      </c>
      <c r="M33" s="973">
        <f t="shared" si="18"/>
        <v>0</v>
      </c>
      <c r="N33" s="973">
        <f t="shared" si="18"/>
        <v>0</v>
      </c>
      <c r="O33" s="973">
        <f t="shared" si="18"/>
        <v>0</v>
      </c>
      <c r="P33" s="973">
        <f t="shared" si="18"/>
        <v>0</v>
      </c>
      <c r="Q33" s="973">
        <f t="shared" si="18"/>
        <v>0</v>
      </c>
      <c r="R33" s="973">
        <f t="shared" si="18"/>
        <v>0</v>
      </c>
      <c r="S33" s="973">
        <f t="shared" si="18"/>
        <v>0</v>
      </c>
      <c r="T33" s="973">
        <f t="shared" si="18"/>
        <v>0</v>
      </c>
      <c r="U33" s="973">
        <f t="shared" si="18"/>
        <v>0</v>
      </c>
      <c r="V33" s="973">
        <f t="shared" si="18"/>
        <v>0</v>
      </c>
      <c r="W33" s="973">
        <f t="shared" si="18"/>
        <v>0</v>
      </c>
      <c r="X33" s="973">
        <f t="shared" si="18"/>
        <v>0</v>
      </c>
      <c r="Y33" s="973">
        <f t="shared" si="18"/>
        <v>0</v>
      </c>
      <c r="Z33" s="973">
        <f t="shared" si="18"/>
        <v>0</v>
      </c>
      <c r="AA33" s="973">
        <f t="shared" si="18"/>
        <v>0</v>
      </c>
      <c r="AB33" s="973">
        <f t="shared" si="18"/>
        <v>0</v>
      </c>
      <c r="AC33" s="973">
        <f t="shared" si="18"/>
        <v>0</v>
      </c>
      <c r="AD33" s="973">
        <f t="shared" si="18"/>
        <v>0</v>
      </c>
      <c r="AE33" s="973">
        <f t="shared" si="18"/>
        <v>0</v>
      </c>
      <c r="AF33" s="973">
        <f t="shared" si="18"/>
        <v>0</v>
      </c>
      <c r="AG33" s="973">
        <f t="shared" si="18"/>
        <v>0</v>
      </c>
      <c r="AH33" s="973">
        <f t="shared" si="18"/>
        <v>0</v>
      </c>
      <c r="AI33" s="973">
        <f t="shared" si="18"/>
        <v>0</v>
      </c>
      <c r="AJ33" s="973">
        <f t="shared" si="18"/>
        <v>0</v>
      </c>
      <c r="AK33" s="973">
        <f t="shared" si="18"/>
        <v>0</v>
      </c>
      <c r="AL33" s="973">
        <f t="shared" si="18"/>
        <v>0</v>
      </c>
      <c r="AM33" s="973">
        <f t="shared" si="18"/>
        <v>0</v>
      </c>
      <c r="AN33" s="973">
        <f t="shared" si="18"/>
        <v>0</v>
      </c>
      <c r="AO33" s="973">
        <f t="shared" si="18"/>
        <v>0</v>
      </c>
      <c r="AP33" s="973">
        <f t="shared" si="18"/>
        <v>0</v>
      </c>
      <c r="AQ33" s="973">
        <f t="shared" si="18"/>
        <v>0</v>
      </c>
      <c r="AR33" s="973">
        <f t="shared" si="18"/>
        <v>0</v>
      </c>
      <c r="AS33" s="973">
        <f t="shared" si="18"/>
        <v>0</v>
      </c>
      <c r="AT33" s="973">
        <f t="shared" si="18"/>
        <v>0</v>
      </c>
      <c r="AU33" s="972">
        <f t="shared" si="18"/>
        <v>0</v>
      </c>
      <c r="AV33" s="968"/>
    </row>
    <row r="34" spans="1:48" s="123" customFormat="1" ht="15.75" customHeight="1" thickBot="1">
      <c r="A34" s="968"/>
      <c r="B34" s="1188" t="str">
        <f>"Payment to "&amp;AC2</f>
        <v>Payment to 0</v>
      </c>
      <c r="C34" s="1189"/>
      <c r="D34" s="1189"/>
      <c r="E34" s="1189"/>
      <c r="F34" s="1189"/>
      <c r="G34" s="971"/>
      <c r="H34" s="970">
        <f t="shared" ref="H34:AU34" si="19">IFERROR(MIN(H99, IF(H22-H26-H27-H28&lt;0,0, H22-H26-H27-H28)*$AH$4), 0)</f>
        <v>0</v>
      </c>
      <c r="I34" s="970">
        <f t="shared" si="19"/>
        <v>0</v>
      </c>
      <c r="J34" s="970">
        <f t="shared" si="19"/>
        <v>0</v>
      </c>
      <c r="K34" s="970">
        <f t="shared" si="19"/>
        <v>0</v>
      </c>
      <c r="L34" s="970">
        <f t="shared" si="19"/>
        <v>0</v>
      </c>
      <c r="M34" s="970">
        <f t="shared" si="19"/>
        <v>0</v>
      </c>
      <c r="N34" s="970">
        <f t="shared" si="19"/>
        <v>0</v>
      </c>
      <c r="O34" s="970">
        <f t="shared" si="19"/>
        <v>0</v>
      </c>
      <c r="P34" s="970">
        <f t="shared" si="19"/>
        <v>0</v>
      </c>
      <c r="Q34" s="970">
        <f t="shared" si="19"/>
        <v>0</v>
      </c>
      <c r="R34" s="970">
        <f t="shared" si="19"/>
        <v>0</v>
      </c>
      <c r="S34" s="970">
        <f t="shared" si="19"/>
        <v>0</v>
      </c>
      <c r="T34" s="970">
        <f t="shared" si="19"/>
        <v>0</v>
      </c>
      <c r="U34" s="970">
        <f t="shared" si="19"/>
        <v>0</v>
      </c>
      <c r="V34" s="970">
        <f t="shared" si="19"/>
        <v>0</v>
      </c>
      <c r="W34" s="970">
        <f t="shared" si="19"/>
        <v>0</v>
      </c>
      <c r="X34" s="970">
        <f t="shared" si="19"/>
        <v>0</v>
      </c>
      <c r="Y34" s="970">
        <f t="shared" si="19"/>
        <v>0</v>
      </c>
      <c r="Z34" s="970">
        <f t="shared" si="19"/>
        <v>0</v>
      </c>
      <c r="AA34" s="970">
        <f t="shared" si="19"/>
        <v>0</v>
      </c>
      <c r="AB34" s="970">
        <f t="shared" si="19"/>
        <v>0</v>
      </c>
      <c r="AC34" s="970">
        <f t="shared" si="19"/>
        <v>0</v>
      </c>
      <c r="AD34" s="970">
        <f t="shared" si="19"/>
        <v>0</v>
      </c>
      <c r="AE34" s="970">
        <f t="shared" si="19"/>
        <v>0</v>
      </c>
      <c r="AF34" s="970">
        <f t="shared" si="19"/>
        <v>0</v>
      </c>
      <c r="AG34" s="970">
        <f t="shared" si="19"/>
        <v>0</v>
      </c>
      <c r="AH34" s="970">
        <f t="shared" si="19"/>
        <v>0</v>
      </c>
      <c r="AI34" s="970">
        <f t="shared" si="19"/>
        <v>0</v>
      </c>
      <c r="AJ34" s="970">
        <f t="shared" si="19"/>
        <v>0</v>
      </c>
      <c r="AK34" s="970">
        <f t="shared" si="19"/>
        <v>0</v>
      </c>
      <c r="AL34" s="970">
        <f t="shared" si="19"/>
        <v>0</v>
      </c>
      <c r="AM34" s="970">
        <f t="shared" si="19"/>
        <v>0</v>
      </c>
      <c r="AN34" s="970">
        <f t="shared" si="19"/>
        <v>0</v>
      </c>
      <c r="AO34" s="970">
        <f t="shared" si="19"/>
        <v>0</v>
      </c>
      <c r="AP34" s="970">
        <f t="shared" si="19"/>
        <v>0</v>
      </c>
      <c r="AQ34" s="970">
        <f t="shared" si="19"/>
        <v>0</v>
      </c>
      <c r="AR34" s="970">
        <f t="shared" si="19"/>
        <v>0</v>
      </c>
      <c r="AS34" s="970">
        <f t="shared" si="19"/>
        <v>0</v>
      </c>
      <c r="AT34" s="970">
        <f t="shared" si="19"/>
        <v>0</v>
      </c>
      <c r="AU34" s="969">
        <f t="shared" si="19"/>
        <v>0</v>
      </c>
      <c r="AV34" s="968"/>
    </row>
    <row r="35" spans="1:48" ht="15.75" customHeight="1" thickTop="1">
      <c r="A35" s="672"/>
      <c r="B35" s="1176" t="s">
        <v>4383</v>
      </c>
      <c r="C35" s="1109"/>
      <c r="D35" s="1109"/>
      <c r="E35" s="1109"/>
      <c r="F35" s="1109"/>
      <c r="G35" s="809"/>
      <c r="H35" s="967">
        <f t="shared" ref="H35:AU35" si="20">H22-SUM(H26:H34)</f>
        <v>0</v>
      </c>
      <c r="I35" s="967">
        <f t="shared" si="20"/>
        <v>0</v>
      </c>
      <c r="J35" s="967">
        <f t="shared" si="20"/>
        <v>0</v>
      </c>
      <c r="K35" s="967">
        <f t="shared" si="20"/>
        <v>0</v>
      </c>
      <c r="L35" s="967">
        <f t="shared" si="20"/>
        <v>0</v>
      </c>
      <c r="M35" s="967">
        <f t="shared" si="20"/>
        <v>0</v>
      </c>
      <c r="N35" s="967">
        <f t="shared" si="20"/>
        <v>0</v>
      </c>
      <c r="O35" s="967">
        <f t="shared" si="20"/>
        <v>0</v>
      </c>
      <c r="P35" s="967">
        <f t="shared" si="20"/>
        <v>0</v>
      </c>
      <c r="Q35" s="967">
        <f t="shared" si="20"/>
        <v>0</v>
      </c>
      <c r="R35" s="967">
        <f t="shared" si="20"/>
        <v>0</v>
      </c>
      <c r="S35" s="967">
        <f t="shared" si="20"/>
        <v>0</v>
      </c>
      <c r="T35" s="967">
        <f t="shared" si="20"/>
        <v>0</v>
      </c>
      <c r="U35" s="967">
        <f t="shared" si="20"/>
        <v>0</v>
      </c>
      <c r="V35" s="967">
        <f t="shared" si="20"/>
        <v>0</v>
      </c>
      <c r="W35" s="967">
        <f t="shared" si="20"/>
        <v>0</v>
      </c>
      <c r="X35" s="967">
        <f t="shared" si="20"/>
        <v>0</v>
      </c>
      <c r="Y35" s="967">
        <f t="shared" si="20"/>
        <v>0</v>
      </c>
      <c r="Z35" s="967">
        <f t="shared" si="20"/>
        <v>0</v>
      </c>
      <c r="AA35" s="967">
        <f t="shared" si="20"/>
        <v>0</v>
      </c>
      <c r="AB35" s="967">
        <f t="shared" si="20"/>
        <v>0</v>
      </c>
      <c r="AC35" s="967">
        <f t="shared" si="20"/>
        <v>0</v>
      </c>
      <c r="AD35" s="967">
        <f t="shared" si="20"/>
        <v>0</v>
      </c>
      <c r="AE35" s="967">
        <f t="shared" si="20"/>
        <v>0</v>
      </c>
      <c r="AF35" s="967">
        <f t="shared" si="20"/>
        <v>0</v>
      </c>
      <c r="AG35" s="967">
        <f t="shared" si="20"/>
        <v>0</v>
      </c>
      <c r="AH35" s="967">
        <f t="shared" si="20"/>
        <v>0</v>
      </c>
      <c r="AI35" s="967">
        <f t="shared" si="20"/>
        <v>0</v>
      </c>
      <c r="AJ35" s="967">
        <f t="shared" si="20"/>
        <v>0</v>
      </c>
      <c r="AK35" s="967">
        <f t="shared" si="20"/>
        <v>0</v>
      </c>
      <c r="AL35" s="967">
        <f t="shared" si="20"/>
        <v>0</v>
      </c>
      <c r="AM35" s="967">
        <f t="shared" si="20"/>
        <v>0</v>
      </c>
      <c r="AN35" s="967">
        <f t="shared" si="20"/>
        <v>0</v>
      </c>
      <c r="AO35" s="967">
        <f t="shared" si="20"/>
        <v>0</v>
      </c>
      <c r="AP35" s="967">
        <f t="shared" si="20"/>
        <v>0</v>
      </c>
      <c r="AQ35" s="967">
        <f t="shared" si="20"/>
        <v>0</v>
      </c>
      <c r="AR35" s="967">
        <f t="shared" si="20"/>
        <v>0</v>
      </c>
      <c r="AS35" s="967">
        <f t="shared" si="20"/>
        <v>0</v>
      </c>
      <c r="AT35" s="967">
        <f t="shared" si="20"/>
        <v>0</v>
      </c>
      <c r="AU35" s="967">
        <f t="shared" si="20"/>
        <v>0</v>
      </c>
      <c r="AV35" s="672"/>
    </row>
    <row r="36" spans="1:48" ht="15.75" customHeight="1">
      <c r="A36" s="964"/>
      <c r="B36" s="965"/>
      <c r="C36" s="965"/>
      <c r="D36" s="965"/>
      <c r="E36" s="965"/>
      <c r="F36" s="965"/>
      <c r="G36" s="965"/>
      <c r="H36" s="965">
        <v>1</v>
      </c>
      <c r="I36" s="965">
        <v>2</v>
      </c>
      <c r="J36" s="965">
        <v>3</v>
      </c>
      <c r="K36" s="965">
        <v>4</v>
      </c>
      <c r="L36" s="965">
        <v>5</v>
      </c>
      <c r="M36" s="965">
        <v>6</v>
      </c>
      <c r="N36" s="965">
        <v>7</v>
      </c>
      <c r="O36" s="965">
        <v>8</v>
      </c>
      <c r="P36" s="965">
        <v>9</v>
      </c>
      <c r="Q36" s="965">
        <v>10</v>
      </c>
      <c r="R36" s="966">
        <v>11</v>
      </c>
      <c r="S36" s="965">
        <v>12</v>
      </c>
      <c r="T36" s="966">
        <v>13</v>
      </c>
      <c r="U36" s="965">
        <v>14</v>
      </c>
      <c r="V36" s="966">
        <v>15</v>
      </c>
      <c r="W36" s="965">
        <v>16</v>
      </c>
      <c r="X36" s="966">
        <v>17</v>
      </c>
      <c r="Y36" s="965">
        <v>18</v>
      </c>
      <c r="Z36" s="966">
        <v>19</v>
      </c>
      <c r="AA36" s="965">
        <v>20</v>
      </c>
      <c r="AB36" s="966">
        <v>21</v>
      </c>
      <c r="AC36" s="965">
        <v>22</v>
      </c>
      <c r="AD36" s="966">
        <v>23</v>
      </c>
      <c r="AE36" s="965">
        <v>24</v>
      </c>
      <c r="AF36" s="966">
        <v>25</v>
      </c>
      <c r="AG36" s="965">
        <v>26</v>
      </c>
      <c r="AH36" s="966">
        <v>27</v>
      </c>
      <c r="AI36" s="965">
        <v>28</v>
      </c>
      <c r="AJ36" s="966">
        <v>29</v>
      </c>
      <c r="AK36" s="965">
        <v>30</v>
      </c>
      <c r="AL36" s="966">
        <v>31</v>
      </c>
      <c r="AM36" s="965">
        <v>32</v>
      </c>
      <c r="AN36" s="966">
        <v>33</v>
      </c>
      <c r="AO36" s="965">
        <v>34</v>
      </c>
      <c r="AP36" s="966">
        <v>35</v>
      </c>
      <c r="AQ36" s="965">
        <v>36</v>
      </c>
      <c r="AR36" s="966">
        <v>37</v>
      </c>
      <c r="AS36" s="965">
        <v>38</v>
      </c>
      <c r="AT36" s="966">
        <v>39</v>
      </c>
      <c r="AU36" s="965">
        <v>40</v>
      </c>
      <c r="AV36" s="964"/>
    </row>
    <row r="37" spans="1:48" ht="15.75" customHeight="1">
      <c r="A37" s="672"/>
      <c r="B37" s="949" t="s">
        <v>4382</v>
      </c>
      <c r="C37" s="948"/>
      <c r="D37" s="948"/>
      <c r="E37" s="948"/>
      <c r="F37" s="948"/>
      <c r="G37" s="948"/>
      <c r="H37" s="963" t="s">
        <v>531</v>
      </c>
      <c r="I37" s="963" t="s">
        <v>532</v>
      </c>
      <c r="J37" s="963" t="s">
        <v>533</v>
      </c>
      <c r="K37" s="963" t="s">
        <v>534</v>
      </c>
      <c r="L37" s="963" t="s">
        <v>535</v>
      </c>
      <c r="M37" s="963" t="s">
        <v>536</v>
      </c>
      <c r="N37" s="963" t="s">
        <v>537</v>
      </c>
      <c r="O37" s="963" t="s">
        <v>538</v>
      </c>
      <c r="P37" s="963" t="s">
        <v>539</v>
      </c>
      <c r="Q37" s="963" t="s">
        <v>540</v>
      </c>
      <c r="R37" s="962" t="s">
        <v>541</v>
      </c>
      <c r="S37" s="962" t="s">
        <v>542</v>
      </c>
      <c r="T37" s="962" t="s">
        <v>543</v>
      </c>
      <c r="U37" s="962" t="s">
        <v>544</v>
      </c>
      <c r="V37" s="962" t="s">
        <v>545</v>
      </c>
      <c r="W37" s="962" t="s">
        <v>4381</v>
      </c>
      <c r="X37" s="962" t="s">
        <v>4380</v>
      </c>
      <c r="Y37" s="946" t="s">
        <v>4379</v>
      </c>
      <c r="Z37" s="946" t="s">
        <v>4378</v>
      </c>
      <c r="AA37" s="946" t="s">
        <v>4377</v>
      </c>
      <c r="AB37" s="946" t="s">
        <v>4376</v>
      </c>
      <c r="AC37" s="946" t="s">
        <v>4375</v>
      </c>
      <c r="AD37" s="946" t="s">
        <v>4374</v>
      </c>
      <c r="AE37" s="946" t="s">
        <v>4373</v>
      </c>
      <c r="AF37" s="946" t="s">
        <v>4372</v>
      </c>
      <c r="AG37" s="946" t="s">
        <v>4371</v>
      </c>
      <c r="AH37" s="946" t="s">
        <v>4370</v>
      </c>
      <c r="AI37" s="946" t="s">
        <v>4369</v>
      </c>
      <c r="AJ37" s="946" t="s">
        <v>4368</v>
      </c>
      <c r="AK37" s="946" t="s">
        <v>4367</v>
      </c>
      <c r="AL37" s="946" t="s">
        <v>4366</v>
      </c>
      <c r="AM37" s="946" t="s">
        <v>4365</v>
      </c>
      <c r="AN37" s="946" t="s">
        <v>4364</v>
      </c>
      <c r="AO37" s="946" t="s">
        <v>4363</v>
      </c>
      <c r="AP37" s="946" t="s">
        <v>4362</v>
      </c>
      <c r="AQ37" s="946" t="s">
        <v>4361</v>
      </c>
      <c r="AR37" s="946" t="s">
        <v>4360</v>
      </c>
      <c r="AS37" s="946" t="s">
        <v>4359</v>
      </c>
      <c r="AT37" s="946" t="s">
        <v>4358</v>
      </c>
      <c r="AU37" s="946" t="s">
        <v>4357</v>
      </c>
      <c r="AV37" s="943"/>
    </row>
    <row r="38" spans="1:48" ht="15.75" customHeight="1">
      <c r="A38" s="672"/>
      <c r="B38" s="1165" t="s">
        <v>4356</v>
      </c>
      <c r="C38" s="1109"/>
      <c r="D38" s="1109"/>
      <c r="E38" s="1109"/>
      <c r="F38" s="1109"/>
      <c r="G38" s="1109"/>
      <c r="H38" s="961">
        <f>IFERROR(IF(FV(Calculations!$C$123/12,12*'DOH Proforma'!H$36,ABS(Calculations!$E$123)/12,-1*Calculations!$B$123,0)&lt;0,0,FV(Calculations!$C$123/12,12*'DOH Proforma'!H$36,ABS(Calculations!$E$123)/12,-1*Calculations!$B$123,0)),0)</f>
        <v>0</v>
      </c>
      <c r="I38" s="961">
        <f>IFERROR(IF(FV(Calculations!$C$123/12,12*'DOH Proforma'!I$36,ABS(Calculations!$E$123)/12,-1*Calculations!$B$123,0)&lt;0,0,FV(Calculations!$C$123/12,12*'DOH Proforma'!I$36,ABS(Calculations!$E$123)/12,-1*Calculations!$B$123,0)),0)</f>
        <v>0</v>
      </c>
      <c r="J38" s="961">
        <f>IFERROR(IF(FV(Calculations!$C$123/12,12*'DOH Proforma'!J$36,ABS(Calculations!$E$123)/12,-1*Calculations!$B$123,0)&lt;0,0,FV(Calculations!$C$123/12,12*'DOH Proforma'!J$36,ABS(Calculations!$E$123)/12,-1*Calculations!$B$123,0)),0)</f>
        <v>0</v>
      </c>
      <c r="K38" s="961">
        <f>IFERROR(IF(FV(Calculations!$C$123/12,12*'DOH Proforma'!K$36,ABS(Calculations!$E$123)/12,-1*Calculations!$B$123,0)&lt;0,0,FV(Calculations!$C$123/12,12*'DOH Proforma'!K$36,ABS(Calculations!$E$123)/12,-1*Calculations!$B$123,0)),0)</f>
        <v>0</v>
      </c>
      <c r="L38" s="961">
        <f>IFERROR(IF(FV(Calculations!$C$123/12,12*'DOH Proforma'!L$36,ABS(Calculations!$E$123)/12,-1*Calculations!$B$123,0)&lt;0,0,FV(Calculations!$C$123/12,12*'DOH Proforma'!L$36,ABS(Calculations!$E$123)/12,-1*Calculations!$B$123,0)),0)</f>
        <v>0</v>
      </c>
      <c r="M38" s="961">
        <f>IFERROR(IF(FV(Calculations!$C$123/12,12*'DOH Proforma'!M$36,ABS(Calculations!$E$123)/12,-1*Calculations!$B$123,0)&lt;0,0,FV(Calculations!$C$123/12,12*'DOH Proforma'!M$36,ABS(Calculations!$E$123)/12,-1*Calculations!$B$123,0)),0)</f>
        <v>0</v>
      </c>
      <c r="N38" s="961">
        <f>IFERROR(IF(FV(Calculations!$C$123/12,12*'DOH Proforma'!N$36,ABS(Calculations!$E$123)/12,-1*Calculations!$B$123,0)&lt;0,0,FV(Calculations!$C$123/12,12*'DOH Proforma'!N$36,ABS(Calculations!$E$123)/12,-1*Calculations!$B$123,0)),0)</f>
        <v>0</v>
      </c>
      <c r="O38" s="961">
        <f>IFERROR(IF(FV(Calculations!$C$123/12,12*'DOH Proforma'!O$36,ABS(Calculations!$E$123)/12,-1*Calculations!$B$123,0)&lt;0,0,FV(Calculations!$C$123/12,12*'DOH Proforma'!O$36,ABS(Calculations!$E$123)/12,-1*Calculations!$B$123,0)),0)</f>
        <v>0</v>
      </c>
      <c r="P38" s="961">
        <f>IFERROR(IF(FV(Calculations!$C$123/12,12*'DOH Proforma'!P$36,ABS(Calculations!$E$123)/12,-1*Calculations!$B$123,0)&lt;0,0,FV(Calculations!$C$123/12,12*'DOH Proforma'!P$36,ABS(Calculations!$E$123)/12,-1*Calculations!$B$123,0)),0)</f>
        <v>0</v>
      </c>
      <c r="Q38" s="961">
        <f>IFERROR(IF(FV(Calculations!$C$123/12,12*'DOH Proforma'!Q$36,ABS(Calculations!$E$123)/12,-1*Calculations!$B$123,0)&lt;0,0,FV(Calculations!$C$123/12,12*'DOH Proforma'!Q$36,ABS(Calculations!$E$123)/12,-1*Calculations!$B$123,0)),0)</f>
        <v>0</v>
      </c>
      <c r="R38" s="961">
        <f>IFERROR(IF(FV(Calculations!$C$123/12,12*'DOH Proforma'!R$36,ABS(Calculations!$E$123)/12,-1*Calculations!$B$123,0)&lt;0,0,FV(Calculations!$C$123/12,12*'DOH Proforma'!R$36,ABS(Calculations!$E$123)/12,-1*Calculations!$B$123,0)),0)</f>
        <v>0</v>
      </c>
      <c r="S38" s="961">
        <f>IFERROR(IF(FV(Calculations!$C$123/12,12*'DOH Proforma'!S$36,ABS(Calculations!$E$123)/12,-1*Calculations!$B$123,0)&lt;0,0,FV(Calculations!$C$123/12,12*'DOH Proforma'!S$36,ABS(Calculations!$E$123)/12,-1*Calculations!$B$123,0)),0)</f>
        <v>0</v>
      </c>
      <c r="T38" s="961">
        <f>IFERROR(IF(FV(Calculations!$C$123/12,12*'DOH Proforma'!T$36,ABS(Calculations!$E$123)/12,-1*Calculations!$B$123,0)&lt;0,0,FV(Calculations!$C$123/12,12*'DOH Proforma'!T$36,ABS(Calculations!$E$123)/12,-1*Calculations!$B$123,0)),0)</f>
        <v>0</v>
      </c>
      <c r="U38" s="961">
        <f>IFERROR(IF(FV(Calculations!$C$123/12,12*'DOH Proforma'!U$36,ABS(Calculations!$E$123)/12,-1*Calculations!$B$123,0)&lt;0,0,FV(Calculations!$C$123/12,12*'DOH Proforma'!U$36,ABS(Calculations!$E$123)/12,-1*Calculations!$B$123,0)),0)</f>
        <v>0</v>
      </c>
      <c r="V38" s="961">
        <f>IFERROR(IF(FV(Calculations!$C$123/12,12*'DOH Proforma'!V$36,ABS(Calculations!$E$123)/12,-1*Calculations!$B$123,0)&lt;0,0,FV(Calculations!$C$123/12,12*'DOH Proforma'!V$36,ABS(Calculations!$E$123)/12,-1*Calculations!$B$123,0)),0)</f>
        <v>0</v>
      </c>
      <c r="W38" s="961">
        <f>IFERROR(IF(FV(Calculations!$C$123/12,12*'DOH Proforma'!W$36,ABS(Calculations!$E$123)/12,-1*Calculations!$B$123,0)&lt;0,0,FV(Calculations!$C$123/12,12*'DOH Proforma'!W$36,ABS(Calculations!$E$123)/12,-1*Calculations!$B$123,0)),0)</f>
        <v>0</v>
      </c>
      <c r="X38" s="961">
        <f>IFERROR(IF(FV(Calculations!$C$123/12,12*'DOH Proforma'!X$36,ABS(Calculations!$E$123)/12,-1*Calculations!$B$123,0)&lt;0,0,FV(Calculations!$C$123/12,12*'DOH Proforma'!X$36,ABS(Calculations!$E$123)/12,-1*Calculations!$B$123,0)),0)</f>
        <v>0</v>
      </c>
      <c r="Y38" s="961">
        <f>IFERROR(IF(FV(Calculations!$C$123/12,12*'DOH Proforma'!Y$36,ABS(Calculations!$E$123)/12,-1*Calculations!$B$123,0)&lt;0,0,FV(Calculations!$C$123/12,12*'DOH Proforma'!Y$36,ABS(Calculations!$E$123)/12,-1*Calculations!$B$123,0)),0)</f>
        <v>0</v>
      </c>
      <c r="Z38" s="961">
        <f>IFERROR(IF(FV(Calculations!$C$123/12,12*'DOH Proforma'!Z$36,ABS(Calculations!$E$123)/12,-1*Calculations!$B$123,0)&lt;0,0,FV(Calculations!$C$123/12,12*'DOH Proforma'!Z$36,ABS(Calculations!$E$123)/12,-1*Calculations!$B$123,0)),0)</f>
        <v>0</v>
      </c>
      <c r="AA38" s="961">
        <f>IFERROR(IF(FV(Calculations!$C$123/12,12*'DOH Proforma'!AA$36,ABS(Calculations!$E$123)/12,-1*Calculations!$B$123,0)&lt;0,0,FV(Calculations!$C$123/12,12*'DOH Proforma'!AA$36,ABS(Calculations!$E$123)/12,-1*Calculations!$B$123,0)),0)</f>
        <v>0</v>
      </c>
      <c r="AB38" s="961">
        <f>IFERROR(IF(FV(Calculations!$C$123/12,12*'DOH Proforma'!AB$36,ABS(Calculations!$E$123)/12,-1*Calculations!$B$123,0)&lt;0,0,FV(Calculations!$C$123/12,12*'DOH Proforma'!AB$36,ABS(Calculations!$E$123)/12,-1*Calculations!$B$123,0)),0)</f>
        <v>0</v>
      </c>
      <c r="AC38" s="961">
        <f>IFERROR(IF(FV(Calculations!$C$123/12,12*'DOH Proforma'!AC$36,ABS(Calculations!$E$123)/12,-1*Calculations!$B$123,0)&lt;0,0,FV(Calculations!$C$123/12,12*'DOH Proforma'!AC$36,ABS(Calculations!$E$123)/12,-1*Calculations!$B$123,0)),0)</f>
        <v>0</v>
      </c>
      <c r="AD38" s="961">
        <f>IFERROR(IF(FV(Calculations!$C$123/12,12*'DOH Proforma'!AD$36,ABS(Calculations!$E$123)/12,-1*Calculations!$B$123,0)&lt;0,0,FV(Calculations!$C$123/12,12*'DOH Proforma'!AD$36,ABS(Calculations!$E$123)/12,-1*Calculations!$B$123,0)),0)</f>
        <v>0</v>
      </c>
      <c r="AE38" s="961">
        <f>IFERROR(IF(FV(Calculations!$C$123/12,12*'DOH Proforma'!AE$36,ABS(Calculations!$E$123)/12,-1*Calculations!$B$123,0)&lt;0,0,FV(Calculations!$C$123/12,12*'DOH Proforma'!AE$36,ABS(Calculations!$E$123)/12,-1*Calculations!$B$123,0)),0)</f>
        <v>0</v>
      </c>
      <c r="AF38" s="961">
        <f>IFERROR(IF(FV(Calculations!$C$123/12,12*'DOH Proforma'!AF$36,ABS(Calculations!$E$123)/12,-1*Calculations!$B$123,0)&lt;0,0,FV(Calculations!$C$123/12,12*'DOH Proforma'!AF$36,ABS(Calculations!$E$123)/12,-1*Calculations!$B$123,0)),0)</f>
        <v>0</v>
      </c>
      <c r="AG38" s="961">
        <f>IFERROR(IF(FV(Calculations!$C$123/12,12*'DOH Proforma'!AG$36,ABS(Calculations!$E$123)/12,-1*Calculations!$B$123,0)&lt;0,0,FV(Calculations!$C$123/12,12*'DOH Proforma'!AG$36,ABS(Calculations!$E$123)/12,-1*Calculations!$B$123,0)),0)</f>
        <v>0</v>
      </c>
      <c r="AH38" s="961">
        <f>IFERROR(IF(FV(Calculations!$C$123/12,12*'DOH Proforma'!AH$36,ABS(Calculations!$E$123)/12,-1*Calculations!$B$123,0)&lt;0,0,FV(Calculations!$C$123/12,12*'DOH Proforma'!AH$36,ABS(Calculations!$E$123)/12,-1*Calculations!$B$123,0)),0)</f>
        <v>0</v>
      </c>
      <c r="AI38" s="961">
        <f>IFERROR(IF(FV(Calculations!$C$123/12,12*'DOH Proforma'!AI$36,ABS(Calculations!$E$123)/12,-1*Calculations!$B$123,0)&lt;0,0,FV(Calculations!$C$123/12,12*'DOH Proforma'!AI$36,ABS(Calculations!$E$123)/12,-1*Calculations!$B$123,0)),0)</f>
        <v>0</v>
      </c>
      <c r="AJ38" s="961">
        <f>IFERROR(IF(FV(Calculations!$C$123/12,12*'DOH Proforma'!AJ$36,ABS(Calculations!$E$123)/12,-1*Calculations!$B$123,0)&lt;0,0,FV(Calculations!$C$123/12,12*'DOH Proforma'!AJ$36,ABS(Calculations!$E$123)/12,-1*Calculations!$B$123,0)),0)</f>
        <v>0</v>
      </c>
      <c r="AK38" s="961">
        <f>IFERROR(IF(FV(Calculations!$C$123/12,12*'DOH Proforma'!AK$36,ABS(Calculations!$E$123)/12,-1*Calculations!$B$123,0)&lt;0,0,FV(Calculations!$C$123/12,12*'DOH Proforma'!AK$36,ABS(Calculations!$E$123)/12,-1*Calculations!$B$123,0)),0)</f>
        <v>0</v>
      </c>
      <c r="AL38" s="961">
        <f>IFERROR(IF(FV(Calculations!$C$123/12,12*'DOH Proforma'!AL$36,ABS(Calculations!$E$123)/12,-1*Calculations!$B$123,0)&lt;0,0,FV(Calculations!$C$123/12,12*'DOH Proforma'!AL$36,ABS(Calculations!$E$123)/12,-1*Calculations!$B$123,0)),0)</f>
        <v>0</v>
      </c>
      <c r="AM38" s="961">
        <f>IFERROR(IF(FV(Calculations!$C$123/12,12*'DOH Proforma'!AM$36,ABS(Calculations!$E$123)/12,-1*Calculations!$B$123,0)&lt;0,0,FV(Calculations!$C$123/12,12*'DOH Proforma'!AM$36,ABS(Calculations!$E$123)/12,-1*Calculations!$B$123,0)),0)</f>
        <v>0</v>
      </c>
      <c r="AN38" s="961">
        <f>IFERROR(IF(FV(Calculations!$C$123/12,12*'DOH Proforma'!AN$36,ABS(Calculations!$E$123)/12,-1*Calculations!$B$123,0)&lt;0,0,FV(Calculations!$C$123/12,12*'DOH Proforma'!AN$36,ABS(Calculations!$E$123)/12,-1*Calculations!$B$123,0)),0)</f>
        <v>0</v>
      </c>
      <c r="AO38" s="961">
        <f>IFERROR(IF(FV(Calculations!$C$123/12,12*'DOH Proforma'!AO$36,ABS(Calculations!$E$123)/12,-1*Calculations!$B$123,0)&lt;0,0,FV(Calculations!$C$123/12,12*'DOH Proforma'!AO$36,ABS(Calculations!$E$123)/12,-1*Calculations!$B$123,0)),0)</f>
        <v>0</v>
      </c>
      <c r="AP38" s="961">
        <f>IFERROR(IF(FV(Calculations!$C$123/12,12*'DOH Proforma'!AP$36,ABS(Calculations!$E$123)/12,-1*Calculations!$B$123,0)&lt;0,0,FV(Calculations!$C$123/12,12*'DOH Proforma'!AP$36,ABS(Calculations!$E$123)/12,-1*Calculations!$B$123,0)),0)</f>
        <v>0</v>
      </c>
      <c r="AQ38" s="961">
        <f>IFERROR(IF(FV(Calculations!$C$123/12,12*'DOH Proforma'!AQ$36,ABS(Calculations!$E$123)/12,-1*Calculations!$B$123,0)&lt;0,0,FV(Calculations!$C$123/12,12*'DOH Proforma'!AQ$36,ABS(Calculations!$E$123)/12,-1*Calculations!$B$123,0)),0)</f>
        <v>0</v>
      </c>
      <c r="AR38" s="961">
        <f>IFERROR(IF(FV(Calculations!$C$123/12,12*'DOH Proforma'!AR$36,ABS(Calculations!$E$123)/12,-1*Calculations!$B$123,0)&lt;0,0,FV(Calculations!$C$123/12,12*'DOH Proforma'!AR$36,ABS(Calculations!$E$123)/12,-1*Calculations!$B$123,0)),0)</f>
        <v>0</v>
      </c>
      <c r="AS38" s="961">
        <f>IFERROR(IF(FV(Calculations!$C$123/12,12*'DOH Proforma'!AS$36,ABS(Calculations!$E$123)/12,-1*Calculations!$B$123,0)&lt;0,0,FV(Calculations!$C$123/12,12*'DOH Proforma'!AS$36,ABS(Calculations!$E$123)/12,-1*Calculations!$B$123,0)),0)</f>
        <v>0</v>
      </c>
      <c r="AT38" s="961">
        <f>IFERROR(IF(FV(Calculations!$C$123/12,12*'DOH Proforma'!AT$36,ABS(Calculations!$E$123)/12,-1*Calculations!$B$123,0)&lt;0,0,FV(Calculations!$C$123/12,12*'DOH Proforma'!AT$36,ABS(Calculations!$E$123)/12,-1*Calculations!$B$123,0)),0)</f>
        <v>0</v>
      </c>
      <c r="AU38" s="961">
        <f>IFERROR(IF(FV(Calculations!$C$123/12,12*'DOH Proforma'!AU$36,ABS(Calculations!$E$123)/12,-1*Calculations!$B$123,0)&lt;0,0,FV(Calculations!$C$123/12,12*'DOH Proforma'!AU$36,ABS(Calculations!$E$123)/12,-1*Calculations!$B$123,0)),0)</f>
        <v>0</v>
      </c>
    </row>
    <row r="39" spans="1:48" ht="15.75" customHeight="1">
      <c r="A39" s="672"/>
      <c r="B39" s="1165" t="s">
        <v>4355</v>
      </c>
      <c r="C39" s="1109"/>
      <c r="D39" s="1109"/>
      <c r="E39" s="1109"/>
      <c r="F39" s="1109"/>
      <c r="G39" s="1109"/>
      <c r="H39" s="961">
        <f>IFERROR(IF(FV(Calculations!$C$124/12,12*'DOH Proforma'!H$36,ABS(Calculations!$E$124)/12,-1*Calculations!$B$124,0)&lt;0,0,FV(Calculations!$C$124/12,12*'DOH Proforma'!H$36,ABS(Calculations!$E$124)/12,-1*Calculations!$B$124,0)),0)</f>
        <v>0</v>
      </c>
      <c r="I39" s="961">
        <f>IFERROR(IF(FV(Calculations!$C$124/12,12*'DOH Proforma'!I$36,ABS(Calculations!$E$124)/12,-1*Calculations!$B$124,0)&lt;0,0,FV(Calculations!$C$124/12,12*'DOH Proforma'!I$36,ABS(Calculations!$E$124)/12,-1*Calculations!$B$124,0)),0)</f>
        <v>0</v>
      </c>
      <c r="J39" s="961">
        <f>IFERROR(IF(FV(Calculations!$C$124/12,12*'DOH Proforma'!J$36,ABS(Calculations!$E$124)/12,-1*Calculations!$B$124,0)&lt;0,0,FV(Calculations!$C$124/12,12*'DOH Proforma'!J$36,ABS(Calculations!$E$124)/12,-1*Calculations!$B$124,0)),0)</f>
        <v>0</v>
      </c>
      <c r="K39" s="961">
        <f>IFERROR(IF(FV(Calculations!$C$124/12,12*'DOH Proforma'!K$36,ABS(Calculations!$E$124)/12,-1*Calculations!$B$124,0)&lt;0,0,FV(Calculations!$C$124/12,12*'DOH Proforma'!K$36,ABS(Calculations!$E$124)/12,-1*Calculations!$B$124,0)),0)</f>
        <v>0</v>
      </c>
      <c r="L39" s="961">
        <f>IFERROR(IF(FV(Calculations!$C$124/12,12*'DOH Proforma'!L$36,ABS(Calculations!$E$124)/12,-1*Calculations!$B$124,0)&lt;0,0,FV(Calculations!$C$124/12,12*'DOH Proforma'!L$36,ABS(Calculations!$E$124)/12,-1*Calculations!$B$124,0)),0)</f>
        <v>0</v>
      </c>
      <c r="M39" s="961">
        <f>IFERROR(IF(FV(Calculations!$C$124/12,12*'DOH Proforma'!M$36,ABS(Calculations!$E$124)/12,-1*Calculations!$B$124,0)&lt;0,0,FV(Calculations!$C$124/12,12*'DOH Proforma'!M$36,ABS(Calculations!$E$124)/12,-1*Calculations!$B$124,0)),0)</f>
        <v>0</v>
      </c>
      <c r="N39" s="961">
        <f>IFERROR(IF(FV(Calculations!$C$124/12,12*'DOH Proforma'!N$36,ABS(Calculations!$E$124)/12,-1*Calculations!$B$124,0)&lt;0,0,FV(Calculations!$C$124/12,12*'DOH Proforma'!N$36,ABS(Calculations!$E$124)/12,-1*Calculations!$B$124,0)),0)</f>
        <v>0</v>
      </c>
      <c r="O39" s="961">
        <f>IFERROR(IF(FV(Calculations!$C$124/12,12*'DOH Proforma'!O$36,ABS(Calculations!$E$124)/12,-1*Calculations!$B$124,0)&lt;0,0,FV(Calculations!$C$124/12,12*'DOH Proforma'!O$36,ABS(Calculations!$E$124)/12,-1*Calculations!$B$124,0)),0)</f>
        <v>0</v>
      </c>
      <c r="P39" s="961">
        <f>IFERROR(IF(FV(Calculations!$C$124/12,12*'DOH Proforma'!P$36,ABS(Calculations!$E$124)/12,-1*Calculations!$B$124,0)&lt;0,0,FV(Calculations!$C$124/12,12*'DOH Proforma'!P$36,ABS(Calculations!$E$124)/12,-1*Calculations!$B$124,0)),0)</f>
        <v>0</v>
      </c>
      <c r="Q39" s="961">
        <f>IFERROR(IF(FV(Calculations!$C$124/12,12*'DOH Proforma'!Q$36,ABS(Calculations!$E$124)/12,-1*Calculations!$B$124,0)&lt;0,0,FV(Calculations!$C$124/12,12*'DOH Proforma'!Q$36,ABS(Calculations!$E$124)/12,-1*Calculations!$B$124,0)),0)</f>
        <v>0</v>
      </c>
      <c r="R39" s="961">
        <f>IFERROR(IF(FV(Calculations!$C$124/12,12*'DOH Proforma'!R$36,ABS(Calculations!$E$124)/12,-1*Calculations!$B$124,0)&lt;0,0,FV(Calculations!$C$124/12,12*'DOH Proforma'!R$36,ABS(Calculations!$E$124)/12,-1*Calculations!$B$124,0)),0)</f>
        <v>0</v>
      </c>
      <c r="S39" s="961">
        <f>IFERROR(IF(FV(Calculations!$C$124/12,12*'DOH Proforma'!S$36,ABS(Calculations!$E$124)/12,-1*Calculations!$B$124,0)&lt;0,0,FV(Calculations!$C$124/12,12*'DOH Proforma'!S$36,ABS(Calculations!$E$124)/12,-1*Calculations!$B$124,0)),0)</f>
        <v>0</v>
      </c>
      <c r="T39" s="961">
        <f>IFERROR(IF(FV(Calculations!$C$124/12,12*'DOH Proforma'!T$36,ABS(Calculations!$E$124)/12,-1*Calculations!$B$124,0)&lt;0,0,FV(Calculations!$C$124/12,12*'DOH Proforma'!T$36,ABS(Calculations!$E$124)/12,-1*Calculations!$B$124,0)),0)</f>
        <v>0</v>
      </c>
      <c r="U39" s="961">
        <f>IFERROR(IF(FV(Calculations!$C$124/12,12*'DOH Proforma'!U$36,ABS(Calculations!$E$124)/12,-1*Calculations!$B$124,0)&lt;0,0,FV(Calculations!$C$124/12,12*'DOH Proforma'!U$36,ABS(Calculations!$E$124)/12,-1*Calculations!$B$124,0)),0)</f>
        <v>0</v>
      </c>
      <c r="V39" s="961">
        <f>IFERROR(IF(FV(Calculations!$C$124/12,12*'DOH Proforma'!V$36,ABS(Calculations!$E$124)/12,-1*Calculations!$B$124,0)&lt;0,0,FV(Calculations!$C$124/12,12*'DOH Proforma'!V$36,ABS(Calculations!$E$124)/12,-1*Calculations!$B$124,0)),0)</f>
        <v>0</v>
      </c>
      <c r="W39" s="961">
        <f>IFERROR(IF(FV(Calculations!$C$124/12,12*'DOH Proforma'!W$36,ABS(Calculations!$E$124)/12,-1*Calculations!$B$124,0)&lt;0,0,FV(Calculations!$C$124/12,12*'DOH Proforma'!W$36,ABS(Calculations!$E$124)/12,-1*Calculations!$B$124,0)),0)</f>
        <v>0</v>
      </c>
      <c r="X39" s="961">
        <f>IFERROR(IF(FV(Calculations!$C$124/12,12*'DOH Proforma'!X$36,ABS(Calculations!$E$124)/12,-1*Calculations!$B$124,0)&lt;0,0,FV(Calculations!$C$124/12,12*'DOH Proforma'!X$36,ABS(Calculations!$E$124)/12,-1*Calculations!$B$124,0)),0)</f>
        <v>0</v>
      </c>
      <c r="Y39" s="961">
        <f>IFERROR(IF(FV(Calculations!$C$124/12,12*'DOH Proforma'!Y$36,ABS(Calculations!$E$124)/12,-1*Calculations!$B$124,0)&lt;0,0,FV(Calculations!$C$124/12,12*'DOH Proforma'!Y$36,ABS(Calculations!$E$124)/12,-1*Calculations!$B$124,0)),0)</f>
        <v>0</v>
      </c>
      <c r="Z39" s="961">
        <f>IFERROR(IF(FV(Calculations!$C$124/12,12*'DOH Proforma'!Z$36,ABS(Calculations!$E$124)/12,-1*Calculations!$B$124,0)&lt;0,0,FV(Calculations!$C$124/12,12*'DOH Proforma'!Z$36,ABS(Calculations!$E$124)/12,-1*Calculations!$B$124,0)),0)</f>
        <v>0</v>
      </c>
      <c r="AA39" s="961">
        <f>IFERROR(IF(FV(Calculations!$C$124/12,12*'DOH Proforma'!AA$36,ABS(Calculations!$E$124)/12,-1*Calculations!$B$124,0)&lt;0,0,FV(Calculations!$C$124/12,12*'DOH Proforma'!AA$36,ABS(Calculations!$E$124)/12,-1*Calculations!$B$124,0)),0)</f>
        <v>0</v>
      </c>
      <c r="AB39" s="961">
        <f>IFERROR(IF(FV(Calculations!$C$124/12,12*'DOH Proforma'!AB$36,ABS(Calculations!$E$124)/12,-1*Calculations!$B$124,0)&lt;0,0,FV(Calculations!$C$124/12,12*'DOH Proforma'!AB$36,ABS(Calculations!$E$124)/12,-1*Calculations!$B$124,0)),0)</f>
        <v>0</v>
      </c>
      <c r="AC39" s="961">
        <f>IFERROR(IF(FV(Calculations!$C$124/12,12*'DOH Proforma'!AC$36,ABS(Calculations!$E$124)/12,-1*Calculations!$B$124,0)&lt;0,0,FV(Calculations!$C$124/12,12*'DOH Proforma'!AC$36,ABS(Calculations!$E$124)/12,-1*Calculations!$B$124,0)),0)</f>
        <v>0</v>
      </c>
      <c r="AD39" s="961">
        <f>IFERROR(IF(FV(Calculations!$C$124/12,12*'DOH Proforma'!AD$36,ABS(Calculations!$E$124)/12,-1*Calculations!$B$124,0)&lt;0,0,FV(Calculations!$C$124/12,12*'DOH Proforma'!AD$36,ABS(Calculations!$E$124)/12,-1*Calculations!$B$124,0)),0)</f>
        <v>0</v>
      </c>
      <c r="AE39" s="961">
        <f>IFERROR(IF(FV(Calculations!$C$124/12,12*'DOH Proforma'!AE$36,ABS(Calculations!$E$124)/12,-1*Calculations!$B$124,0)&lt;0,0,FV(Calculations!$C$124/12,12*'DOH Proforma'!AE$36,ABS(Calculations!$E$124)/12,-1*Calculations!$B$124,0)),0)</f>
        <v>0</v>
      </c>
      <c r="AF39" s="961">
        <f>IFERROR(IF(FV(Calculations!$C$124/12,12*'DOH Proforma'!AF$36,ABS(Calculations!$E$124)/12,-1*Calculations!$B$124,0)&lt;0,0,FV(Calculations!$C$124/12,12*'DOH Proforma'!AF$36,ABS(Calculations!$E$124)/12,-1*Calculations!$B$124,0)),0)</f>
        <v>0</v>
      </c>
      <c r="AG39" s="961">
        <f>IFERROR(IF(FV(Calculations!$C$124/12,12*'DOH Proforma'!AG$36,ABS(Calculations!$E$124)/12,-1*Calculations!$B$124,0)&lt;0,0,FV(Calculations!$C$124/12,12*'DOH Proforma'!AG$36,ABS(Calculations!$E$124)/12,-1*Calculations!$B$124,0)),0)</f>
        <v>0</v>
      </c>
      <c r="AH39" s="961">
        <f>IFERROR(IF(FV(Calculations!$C$124/12,12*'DOH Proforma'!AH$36,ABS(Calculations!$E$124)/12,-1*Calculations!$B$124,0)&lt;0,0,FV(Calculations!$C$124/12,12*'DOH Proforma'!AH$36,ABS(Calculations!$E$124)/12,-1*Calculations!$B$124,0)),0)</f>
        <v>0</v>
      </c>
      <c r="AI39" s="961">
        <f>IFERROR(IF(FV(Calculations!$C$124/12,12*'DOH Proforma'!AI$36,ABS(Calculations!$E$124)/12,-1*Calculations!$B$124,0)&lt;0,0,FV(Calculations!$C$124/12,12*'DOH Proforma'!AI$36,ABS(Calculations!$E$124)/12,-1*Calculations!$B$124,0)),0)</f>
        <v>0</v>
      </c>
      <c r="AJ39" s="961">
        <f>IFERROR(IF(FV(Calculations!$C$124/12,12*'DOH Proforma'!AJ$36,ABS(Calculations!$E$124)/12,-1*Calculations!$B$124,0)&lt;0,0,FV(Calculations!$C$124/12,12*'DOH Proforma'!AJ$36,ABS(Calculations!$E$124)/12,-1*Calculations!$B$124,0)),0)</f>
        <v>0</v>
      </c>
      <c r="AK39" s="961">
        <f>IFERROR(IF(FV(Calculations!$C$124/12,12*'DOH Proforma'!AK$36,ABS(Calculations!$E$124)/12,-1*Calculations!$B$124,0)&lt;0,0,FV(Calculations!$C$124/12,12*'DOH Proforma'!AK$36,ABS(Calculations!$E$124)/12,-1*Calculations!$B$124,0)),0)</f>
        <v>0</v>
      </c>
      <c r="AL39" s="961">
        <f>IFERROR(IF(FV(Calculations!$C$124/12,12*'DOH Proforma'!AL$36,ABS(Calculations!$E$124)/12,-1*Calculations!$B$124,0)&lt;0,0,FV(Calculations!$C$124/12,12*'DOH Proforma'!AL$36,ABS(Calculations!$E$124)/12,-1*Calculations!$B$124,0)),0)</f>
        <v>0</v>
      </c>
      <c r="AM39" s="961">
        <f>IFERROR(IF(FV(Calculations!$C$124/12,12*'DOH Proforma'!AM$36,ABS(Calculations!$E$124)/12,-1*Calculations!$B$124,0)&lt;0,0,FV(Calculations!$C$124/12,12*'DOH Proforma'!AM$36,ABS(Calculations!$E$124)/12,-1*Calculations!$B$124,0)),0)</f>
        <v>0</v>
      </c>
      <c r="AN39" s="961">
        <f>IFERROR(IF(FV(Calculations!$C$124/12,12*'DOH Proforma'!AN$36,ABS(Calculations!$E$124)/12,-1*Calculations!$B$124,0)&lt;0,0,FV(Calculations!$C$124/12,12*'DOH Proforma'!AN$36,ABS(Calculations!$E$124)/12,-1*Calculations!$B$124,0)),0)</f>
        <v>0</v>
      </c>
      <c r="AO39" s="961">
        <f>IFERROR(IF(FV(Calculations!$C$124/12,12*'DOH Proforma'!AO$36,ABS(Calculations!$E$124)/12,-1*Calculations!$B$124,0)&lt;0,0,FV(Calculations!$C$124/12,12*'DOH Proforma'!AO$36,ABS(Calculations!$E$124)/12,-1*Calculations!$B$124,0)),0)</f>
        <v>0</v>
      </c>
      <c r="AP39" s="961">
        <f>IFERROR(IF(FV(Calculations!$C$124/12,12*'DOH Proforma'!AP$36,ABS(Calculations!$E$124)/12,-1*Calculations!$B$124,0)&lt;0,0,FV(Calculations!$C$124/12,12*'DOH Proforma'!AP$36,ABS(Calculations!$E$124)/12,-1*Calculations!$B$124,0)),0)</f>
        <v>0</v>
      </c>
      <c r="AQ39" s="961">
        <f>IFERROR(IF(FV(Calculations!$C$124/12,12*'DOH Proforma'!AQ$36,ABS(Calculations!$E$124)/12,-1*Calculations!$B$124,0)&lt;0,0,FV(Calculations!$C$124/12,12*'DOH Proforma'!AQ$36,ABS(Calculations!$E$124)/12,-1*Calculations!$B$124,0)),0)</f>
        <v>0</v>
      </c>
      <c r="AR39" s="961">
        <f>IFERROR(IF(FV(Calculations!$C$124/12,12*'DOH Proforma'!AR$36,ABS(Calculations!$E$124)/12,-1*Calculations!$B$124,0)&lt;0,0,FV(Calculations!$C$124/12,12*'DOH Proforma'!AR$36,ABS(Calculations!$E$124)/12,-1*Calculations!$B$124,0)),0)</f>
        <v>0</v>
      </c>
      <c r="AS39" s="961">
        <f>IFERROR(IF(FV(Calculations!$C$124/12,12*'DOH Proforma'!AS$36,ABS(Calculations!$E$124)/12,-1*Calculations!$B$124,0)&lt;0,0,FV(Calculations!$C$124/12,12*'DOH Proforma'!AS$36,ABS(Calculations!$E$124)/12,-1*Calculations!$B$124,0)),0)</f>
        <v>0</v>
      </c>
      <c r="AT39" s="961">
        <f>IFERROR(IF(FV(Calculations!$C$124/12,12*'DOH Proforma'!AT$36,ABS(Calculations!$E$124)/12,-1*Calculations!$B$124,0)&lt;0,0,FV(Calculations!$C$124/12,12*'DOH Proforma'!AT$36,ABS(Calculations!$E$124)/12,-1*Calculations!$B$124,0)),0)</f>
        <v>0</v>
      </c>
      <c r="AU39" s="961">
        <f>IFERROR(IF(FV(Calculations!$C$124/12,12*'DOH Proforma'!AU$36,ABS(Calculations!$E$124)/12,-1*Calculations!$B$124,0)&lt;0,0,FV(Calculations!$C$124/12,12*'DOH Proforma'!AU$36,ABS(Calculations!$E$124)/12,-1*Calculations!$B$124,0)),0)</f>
        <v>0</v>
      </c>
      <c r="AV39" s="549"/>
    </row>
    <row r="40" spans="1:48" ht="15.75" customHeight="1">
      <c r="A40" s="672"/>
      <c r="B40" s="1165" t="s">
        <v>4354</v>
      </c>
      <c r="C40" s="1109"/>
      <c r="D40" s="1109"/>
      <c r="E40" s="1109"/>
      <c r="F40" s="1109"/>
      <c r="G40" s="1109"/>
      <c r="H40" s="961">
        <f>IFERROR(IF(FV(Calculations!$C$125/12,12*'DOH Proforma'!H$36,ABS(Calculations!$E$125)/12,-1*Calculations!$B$125,0)&lt;0,0,FV(Calculations!$C$125/12,12*'DOH Proforma'!H$36,ABS(Calculations!$E$125)/12,-1*Calculations!$B$125,0)),0)</f>
        <v>0</v>
      </c>
      <c r="I40" s="961">
        <f>IFERROR(IF(FV(Calculations!$C$125/12,12*'DOH Proforma'!I$36,ABS(Calculations!$E$125)/12,-1*Calculations!$B$125,0)&lt;0,0,FV(Calculations!$C$125/12,12*'DOH Proforma'!I$36,ABS(Calculations!$E$125)/12,-1*Calculations!$B$125,0)),0)</f>
        <v>0</v>
      </c>
      <c r="J40" s="961">
        <f>IFERROR(IF(FV(Calculations!$C$125/12,12*'DOH Proforma'!J$36,ABS(Calculations!$E$125)/12,-1*Calculations!$B$125,0)&lt;0,0,FV(Calculations!$C$125/12,12*'DOH Proforma'!J$36,ABS(Calculations!$E$125)/12,-1*Calculations!$B$125,0)),0)</f>
        <v>0</v>
      </c>
      <c r="K40" s="961">
        <f>IFERROR(IF(FV(Calculations!$C$125/12,12*'DOH Proforma'!K$36,ABS(Calculations!$E$125)/12,-1*Calculations!$B$125,0)&lt;0,0,FV(Calculations!$C$125/12,12*'DOH Proforma'!K$36,ABS(Calculations!$E$125)/12,-1*Calculations!$B$125,0)),0)</f>
        <v>0</v>
      </c>
      <c r="L40" s="961">
        <f>IFERROR(IF(FV(Calculations!$C$125/12,12*'DOH Proforma'!L$36,ABS(Calculations!$E$125)/12,-1*Calculations!$B$125,0)&lt;0,0,FV(Calculations!$C$125/12,12*'DOH Proforma'!L$36,ABS(Calculations!$E$125)/12,-1*Calculations!$B$125,0)),0)</f>
        <v>0</v>
      </c>
      <c r="M40" s="961">
        <f>IFERROR(IF(FV(Calculations!$C$125/12,12*'DOH Proforma'!M$36,ABS(Calculations!$E$125)/12,-1*Calculations!$B$125,0)&lt;0,0,FV(Calculations!$C$125/12,12*'DOH Proforma'!M$36,ABS(Calculations!$E$125)/12,-1*Calculations!$B$125,0)),0)</f>
        <v>0</v>
      </c>
      <c r="N40" s="961">
        <f>IFERROR(IF(FV(Calculations!$C$125/12,12*'DOH Proforma'!N$36,ABS(Calculations!$E$125)/12,-1*Calculations!$B$125,0)&lt;0,0,FV(Calculations!$C$125/12,12*'DOH Proforma'!N$36,ABS(Calculations!$E$125)/12,-1*Calculations!$B$125,0)),0)</f>
        <v>0</v>
      </c>
      <c r="O40" s="961">
        <f>IFERROR(IF(FV(Calculations!$C$125/12,12*'DOH Proforma'!O$36,ABS(Calculations!$E$125)/12,-1*Calculations!$B$125,0)&lt;0,0,FV(Calculations!$C$125/12,12*'DOH Proforma'!O$36,ABS(Calculations!$E$125)/12,-1*Calculations!$B$125,0)),0)</f>
        <v>0</v>
      </c>
      <c r="P40" s="961">
        <f>IFERROR(IF(FV(Calculations!$C$125/12,12*'DOH Proforma'!P$36,ABS(Calculations!$E$125)/12,-1*Calculations!$B$125,0)&lt;0,0,FV(Calculations!$C$125/12,12*'DOH Proforma'!P$36,ABS(Calculations!$E$125)/12,-1*Calculations!$B$125,0)),0)</f>
        <v>0</v>
      </c>
      <c r="Q40" s="961">
        <f>IFERROR(IF(FV(Calculations!$C$125/12,12*'DOH Proforma'!Q$36,ABS(Calculations!$E$125)/12,-1*Calculations!$B$125,0)&lt;0,0,FV(Calculations!$C$125/12,12*'DOH Proforma'!Q$36,ABS(Calculations!$E$125)/12,-1*Calculations!$B$125,0)),0)</f>
        <v>0</v>
      </c>
      <c r="R40" s="961">
        <f>IFERROR(IF(FV(Calculations!$C$125/12,12*'DOH Proforma'!R$36,ABS(Calculations!$E$125)/12,-1*Calculations!$B$125,0)&lt;0,0,FV(Calculations!$C$125/12,12*'DOH Proforma'!R$36,ABS(Calculations!$E$125)/12,-1*Calculations!$B$125,0)),0)</f>
        <v>0</v>
      </c>
      <c r="S40" s="961">
        <f>IFERROR(IF(FV(Calculations!$C$125/12,12*'DOH Proforma'!S$36,ABS(Calculations!$E$125)/12,-1*Calculations!$B$125,0)&lt;0,0,FV(Calculations!$C$125/12,12*'DOH Proforma'!S$36,ABS(Calculations!$E$125)/12,-1*Calculations!$B$125,0)),0)</f>
        <v>0</v>
      </c>
      <c r="T40" s="961">
        <f>IFERROR(IF(FV(Calculations!$C$125/12,12*'DOH Proforma'!T$36,ABS(Calculations!$E$125)/12,-1*Calculations!$B$125,0)&lt;0,0,FV(Calculations!$C$125/12,12*'DOH Proforma'!T$36,ABS(Calculations!$E$125)/12,-1*Calculations!$B$125,0)),0)</f>
        <v>0</v>
      </c>
      <c r="U40" s="961">
        <f>IFERROR(IF(FV(Calculations!$C$125/12,12*'DOH Proforma'!U$36,ABS(Calculations!$E$125)/12,-1*Calculations!$B$125,0)&lt;0,0,FV(Calculations!$C$125/12,12*'DOH Proforma'!U$36,ABS(Calculations!$E$125)/12,-1*Calculations!$B$125,0)),0)</f>
        <v>0</v>
      </c>
      <c r="V40" s="961">
        <f>IFERROR(IF(FV(Calculations!$C$125/12,12*'DOH Proforma'!V$36,ABS(Calculations!$E$125)/12,-1*Calculations!$B$125,0)&lt;0,0,FV(Calculations!$C$125/12,12*'DOH Proforma'!V$36,ABS(Calculations!$E$125)/12,-1*Calculations!$B$125,0)),0)</f>
        <v>0</v>
      </c>
      <c r="W40" s="961">
        <f>IFERROR(IF(FV(Calculations!$C$125/12,12*'DOH Proforma'!W$36,ABS(Calculations!$E$125)/12,-1*Calculations!$B$125,0)&lt;0,0,FV(Calculations!$C$125/12,12*'DOH Proforma'!W$36,ABS(Calculations!$E$125)/12,-1*Calculations!$B$125,0)),0)</f>
        <v>0</v>
      </c>
      <c r="X40" s="961">
        <f>IFERROR(IF(FV(Calculations!$C$125/12,12*'DOH Proforma'!X$36,ABS(Calculations!$E$125)/12,-1*Calculations!$B$125,0)&lt;0,0,FV(Calculations!$C$125/12,12*'DOH Proforma'!X$36,ABS(Calculations!$E$125)/12,-1*Calculations!$B$125,0)),0)</f>
        <v>0</v>
      </c>
      <c r="Y40" s="961">
        <f>IFERROR(IF(FV(Calculations!$C$125/12,12*'DOH Proforma'!Y$36,ABS(Calculations!$E$125)/12,-1*Calculations!$B$125,0)&lt;0,0,FV(Calculations!$C$125/12,12*'DOH Proforma'!Y$36,ABS(Calculations!$E$125)/12,-1*Calculations!$B$125,0)),0)</f>
        <v>0</v>
      </c>
      <c r="Z40" s="961">
        <f>IFERROR(IF(FV(Calculations!$C$125/12,12*'DOH Proforma'!Z$36,ABS(Calculations!$E$125)/12,-1*Calculations!$B$125,0)&lt;0,0,FV(Calculations!$C$125/12,12*'DOH Proforma'!Z$36,ABS(Calculations!$E$125)/12,-1*Calculations!$B$125,0)),0)</f>
        <v>0</v>
      </c>
      <c r="AA40" s="961">
        <f>IFERROR(IF(FV(Calculations!$C$125/12,12*'DOH Proforma'!AA$36,ABS(Calculations!$E$125)/12,-1*Calculations!$B$125,0)&lt;0,0,FV(Calculations!$C$125/12,12*'DOH Proforma'!AA$36,ABS(Calculations!$E$125)/12,-1*Calculations!$B$125,0)),0)</f>
        <v>0</v>
      </c>
      <c r="AB40" s="961">
        <f>IFERROR(IF(FV(Calculations!$C$125/12,12*'DOH Proforma'!AB$36,ABS(Calculations!$E$125)/12,-1*Calculations!$B$125,0)&lt;0,0,FV(Calculations!$C$125/12,12*'DOH Proforma'!AB$36,ABS(Calculations!$E$125)/12,-1*Calculations!$B$125,0)),0)</f>
        <v>0</v>
      </c>
      <c r="AC40" s="961">
        <f>IFERROR(IF(FV(Calculations!$C$125/12,12*'DOH Proforma'!AC$36,ABS(Calculations!$E$125)/12,-1*Calculations!$B$125,0)&lt;0,0,FV(Calculations!$C$125/12,12*'DOH Proforma'!AC$36,ABS(Calculations!$E$125)/12,-1*Calculations!$B$125,0)),0)</f>
        <v>0</v>
      </c>
      <c r="AD40" s="961">
        <f>IFERROR(IF(FV(Calculations!$C$125/12,12*'DOH Proforma'!AD$36,ABS(Calculations!$E$125)/12,-1*Calculations!$B$125,0)&lt;0,0,FV(Calculations!$C$125/12,12*'DOH Proforma'!AD$36,ABS(Calculations!$E$125)/12,-1*Calculations!$B$125,0)),0)</f>
        <v>0</v>
      </c>
      <c r="AE40" s="961">
        <f>IFERROR(IF(FV(Calculations!$C$125/12,12*'DOH Proforma'!AE$36,ABS(Calculations!$E$125)/12,-1*Calculations!$B$125,0)&lt;0,0,FV(Calculations!$C$125/12,12*'DOH Proforma'!AE$36,ABS(Calculations!$E$125)/12,-1*Calculations!$B$125,0)),0)</f>
        <v>0</v>
      </c>
      <c r="AF40" s="961">
        <f>IFERROR(IF(FV(Calculations!$C$125/12,12*'DOH Proforma'!AF$36,ABS(Calculations!$E$125)/12,-1*Calculations!$B$125,0)&lt;0,0,FV(Calculations!$C$125/12,12*'DOH Proforma'!AF$36,ABS(Calculations!$E$125)/12,-1*Calculations!$B$125,0)),0)</f>
        <v>0</v>
      </c>
      <c r="AG40" s="961">
        <f>IFERROR(IF(FV(Calculations!$C$125/12,12*'DOH Proforma'!AG$36,ABS(Calculations!$E$125)/12,-1*Calculations!$B$125,0)&lt;0,0,FV(Calculations!$C$125/12,12*'DOH Proforma'!AG$36,ABS(Calculations!$E$125)/12,-1*Calculations!$B$125,0)),0)</f>
        <v>0</v>
      </c>
      <c r="AH40" s="961">
        <f>IFERROR(IF(FV(Calculations!$C$125/12,12*'DOH Proforma'!AH$36,ABS(Calculations!$E$125)/12,-1*Calculations!$B$125,0)&lt;0,0,FV(Calculations!$C$125/12,12*'DOH Proforma'!AH$36,ABS(Calculations!$E$125)/12,-1*Calculations!$B$125,0)),0)</f>
        <v>0</v>
      </c>
      <c r="AI40" s="961">
        <f>IFERROR(IF(FV(Calculations!$C$125/12,12*'DOH Proforma'!AI$36,ABS(Calculations!$E$125)/12,-1*Calculations!$B$125,0)&lt;0,0,FV(Calculations!$C$125/12,12*'DOH Proforma'!AI$36,ABS(Calculations!$E$125)/12,-1*Calculations!$B$125,0)),0)</f>
        <v>0</v>
      </c>
      <c r="AJ40" s="961">
        <f>IFERROR(IF(FV(Calculations!$C$125/12,12*'DOH Proforma'!AJ$36,ABS(Calculations!$E$125)/12,-1*Calculations!$B$125,0)&lt;0,0,FV(Calculations!$C$125/12,12*'DOH Proforma'!AJ$36,ABS(Calculations!$E$125)/12,-1*Calculations!$B$125,0)),0)</f>
        <v>0</v>
      </c>
      <c r="AK40" s="961">
        <f>IFERROR(IF(FV(Calculations!$C$125/12,12*'DOH Proforma'!AK$36,ABS(Calculations!$E$125)/12,-1*Calculations!$B$125,0)&lt;0,0,FV(Calculations!$C$125/12,12*'DOH Proforma'!AK$36,ABS(Calculations!$E$125)/12,-1*Calculations!$B$125,0)),0)</f>
        <v>0</v>
      </c>
      <c r="AL40" s="961">
        <f>IFERROR(IF(FV(Calculations!$C$125/12,12*'DOH Proforma'!AL$36,ABS(Calculations!$E$125)/12,-1*Calculations!$B$125,0)&lt;0,0,FV(Calculations!$C$125/12,12*'DOH Proforma'!AL$36,ABS(Calculations!$E$125)/12,-1*Calculations!$B$125,0)),0)</f>
        <v>0</v>
      </c>
      <c r="AM40" s="961">
        <f>IFERROR(IF(FV(Calculations!$C$125/12,12*'DOH Proforma'!AM$36,ABS(Calculations!$E$125)/12,-1*Calculations!$B$125,0)&lt;0,0,FV(Calculations!$C$125/12,12*'DOH Proforma'!AM$36,ABS(Calculations!$E$125)/12,-1*Calculations!$B$125,0)),0)</f>
        <v>0</v>
      </c>
      <c r="AN40" s="961">
        <f>IFERROR(IF(FV(Calculations!$C$125/12,12*'DOH Proforma'!AN$36,ABS(Calculations!$E$125)/12,-1*Calculations!$B$125,0)&lt;0,0,FV(Calculations!$C$125/12,12*'DOH Proforma'!AN$36,ABS(Calculations!$E$125)/12,-1*Calculations!$B$125,0)),0)</f>
        <v>0</v>
      </c>
      <c r="AO40" s="961">
        <f>IFERROR(IF(FV(Calculations!$C$125/12,12*'DOH Proforma'!AO$36,ABS(Calculations!$E$125)/12,-1*Calculations!$B$125,0)&lt;0,0,FV(Calculations!$C$125/12,12*'DOH Proforma'!AO$36,ABS(Calculations!$E$125)/12,-1*Calculations!$B$125,0)),0)</f>
        <v>0</v>
      </c>
      <c r="AP40" s="961">
        <f>IFERROR(IF(FV(Calculations!$C$125/12,12*'DOH Proforma'!AP$36,ABS(Calculations!$E$125)/12,-1*Calculations!$B$125,0)&lt;0,0,FV(Calculations!$C$125/12,12*'DOH Proforma'!AP$36,ABS(Calculations!$E$125)/12,-1*Calculations!$B$125,0)),0)</f>
        <v>0</v>
      </c>
      <c r="AQ40" s="961">
        <f>IFERROR(IF(FV(Calculations!$C$125/12,12*'DOH Proforma'!AQ$36,ABS(Calculations!$E$125)/12,-1*Calculations!$B$125,0)&lt;0,0,FV(Calculations!$C$125/12,12*'DOH Proforma'!AQ$36,ABS(Calculations!$E$125)/12,-1*Calculations!$B$125,0)),0)</f>
        <v>0</v>
      </c>
      <c r="AR40" s="961">
        <f>IFERROR(IF(FV(Calculations!$C$125/12,12*'DOH Proforma'!AR$36,ABS(Calculations!$E$125)/12,-1*Calculations!$B$125,0)&lt;0,0,FV(Calculations!$C$125/12,12*'DOH Proforma'!AR$36,ABS(Calculations!$E$125)/12,-1*Calculations!$B$125,0)),0)</f>
        <v>0</v>
      </c>
      <c r="AS40" s="961">
        <f>IFERROR(IF(FV(Calculations!$C$125/12,12*'DOH Proforma'!AS$36,ABS(Calculations!$E$125)/12,-1*Calculations!$B$125,0)&lt;0,0,FV(Calculations!$C$125/12,12*'DOH Proforma'!AS$36,ABS(Calculations!$E$125)/12,-1*Calculations!$B$125,0)),0)</f>
        <v>0</v>
      </c>
      <c r="AT40" s="961">
        <f>IFERROR(IF(FV(Calculations!$C$125/12,12*'DOH Proforma'!AT$36,ABS(Calculations!$E$125)/12,-1*Calculations!$B$125,0)&lt;0,0,FV(Calculations!$C$125/12,12*'DOH Proforma'!AT$36,ABS(Calculations!$E$125)/12,-1*Calculations!$B$125,0)),0)</f>
        <v>0</v>
      </c>
      <c r="AU40" s="961">
        <f>IFERROR(IF(FV(Calculations!$C$125/12,12*'DOH Proforma'!AU$36,ABS(Calculations!$E$125)/12,-1*Calculations!$B$125,0)&lt;0,0,FV(Calculations!$C$125/12,12*'DOH Proforma'!AU$36,ABS(Calculations!$E$125)/12,-1*Calculations!$B$125,0)),0)</f>
        <v>0</v>
      </c>
      <c r="AV40" s="549"/>
    </row>
    <row r="41" spans="1:48" ht="15.75" customHeight="1">
      <c r="A41" s="672"/>
      <c r="B41" s="1165" t="s">
        <v>4353</v>
      </c>
      <c r="C41" s="1109"/>
      <c r="D41" s="1109"/>
      <c r="E41" s="1109"/>
      <c r="F41" s="1109"/>
      <c r="G41" s="1109"/>
      <c r="H41" s="961">
        <f t="shared" ref="H41:AU41" si="21">H71</f>
        <v>0</v>
      </c>
      <c r="I41" s="961">
        <f t="shared" si="21"/>
        <v>0</v>
      </c>
      <c r="J41" s="961">
        <f t="shared" si="21"/>
        <v>0</v>
      </c>
      <c r="K41" s="961">
        <f t="shared" si="21"/>
        <v>0</v>
      </c>
      <c r="L41" s="961">
        <f t="shared" si="21"/>
        <v>0</v>
      </c>
      <c r="M41" s="961">
        <f t="shared" si="21"/>
        <v>0</v>
      </c>
      <c r="N41" s="961">
        <f t="shared" si="21"/>
        <v>0</v>
      </c>
      <c r="O41" s="961">
        <f t="shared" si="21"/>
        <v>0</v>
      </c>
      <c r="P41" s="961">
        <f t="shared" si="21"/>
        <v>0</v>
      </c>
      <c r="Q41" s="961">
        <f t="shared" si="21"/>
        <v>0</v>
      </c>
      <c r="R41" s="961">
        <f t="shared" si="21"/>
        <v>0</v>
      </c>
      <c r="S41" s="961">
        <f t="shared" si="21"/>
        <v>0</v>
      </c>
      <c r="T41" s="961">
        <f t="shared" si="21"/>
        <v>0</v>
      </c>
      <c r="U41" s="961">
        <f t="shared" si="21"/>
        <v>0</v>
      </c>
      <c r="V41" s="961">
        <f t="shared" si="21"/>
        <v>0</v>
      </c>
      <c r="W41" s="961">
        <f t="shared" si="21"/>
        <v>0</v>
      </c>
      <c r="X41" s="961">
        <f t="shared" si="21"/>
        <v>0</v>
      </c>
      <c r="Y41" s="961">
        <f t="shared" si="21"/>
        <v>0</v>
      </c>
      <c r="Z41" s="961">
        <f t="shared" si="21"/>
        <v>0</v>
      </c>
      <c r="AA41" s="961">
        <f t="shared" si="21"/>
        <v>0</v>
      </c>
      <c r="AB41" s="961">
        <f t="shared" si="21"/>
        <v>0</v>
      </c>
      <c r="AC41" s="961">
        <f t="shared" si="21"/>
        <v>0</v>
      </c>
      <c r="AD41" s="961">
        <f t="shared" si="21"/>
        <v>0</v>
      </c>
      <c r="AE41" s="961">
        <f t="shared" si="21"/>
        <v>0</v>
      </c>
      <c r="AF41" s="961">
        <f t="shared" si="21"/>
        <v>0</v>
      </c>
      <c r="AG41" s="961">
        <f t="shared" si="21"/>
        <v>0</v>
      </c>
      <c r="AH41" s="961">
        <f t="shared" si="21"/>
        <v>0</v>
      </c>
      <c r="AI41" s="961">
        <f t="shared" si="21"/>
        <v>0</v>
      </c>
      <c r="AJ41" s="961">
        <f t="shared" si="21"/>
        <v>0</v>
      </c>
      <c r="AK41" s="961">
        <f t="shared" si="21"/>
        <v>0</v>
      </c>
      <c r="AL41" s="961">
        <f t="shared" si="21"/>
        <v>0</v>
      </c>
      <c r="AM41" s="961">
        <f t="shared" si="21"/>
        <v>0</v>
      </c>
      <c r="AN41" s="961">
        <f t="shared" si="21"/>
        <v>0</v>
      </c>
      <c r="AO41" s="961">
        <f t="shared" si="21"/>
        <v>0</v>
      </c>
      <c r="AP41" s="961">
        <f t="shared" si="21"/>
        <v>0</v>
      </c>
      <c r="AQ41" s="961">
        <f t="shared" si="21"/>
        <v>0</v>
      </c>
      <c r="AR41" s="961">
        <f t="shared" si="21"/>
        <v>0</v>
      </c>
      <c r="AS41" s="961">
        <f t="shared" si="21"/>
        <v>0</v>
      </c>
      <c r="AT41" s="961">
        <f t="shared" si="21"/>
        <v>0</v>
      </c>
      <c r="AU41" s="961">
        <f t="shared" si="21"/>
        <v>0</v>
      </c>
      <c r="AV41" s="549"/>
    </row>
    <row r="42" spans="1:48" ht="15.75" customHeight="1">
      <c r="A42" s="672"/>
      <c r="B42" s="1165" t="s">
        <v>4352</v>
      </c>
      <c r="C42" s="1109"/>
      <c r="D42" s="1109"/>
      <c r="E42" s="1109"/>
      <c r="F42" s="1109"/>
      <c r="G42" s="1109"/>
      <c r="H42" s="961">
        <f t="shared" ref="H42:AU42" si="22">H76</f>
        <v>0</v>
      </c>
      <c r="I42" s="961">
        <f t="shared" si="22"/>
        <v>0</v>
      </c>
      <c r="J42" s="961">
        <f t="shared" si="22"/>
        <v>0</v>
      </c>
      <c r="K42" s="961">
        <f t="shared" si="22"/>
        <v>0</v>
      </c>
      <c r="L42" s="961">
        <f t="shared" si="22"/>
        <v>0</v>
      </c>
      <c r="M42" s="961">
        <f t="shared" si="22"/>
        <v>0</v>
      </c>
      <c r="N42" s="961">
        <f t="shared" si="22"/>
        <v>0</v>
      </c>
      <c r="O42" s="961">
        <f t="shared" si="22"/>
        <v>0</v>
      </c>
      <c r="P42" s="961">
        <f t="shared" si="22"/>
        <v>0</v>
      </c>
      <c r="Q42" s="961">
        <f t="shared" si="22"/>
        <v>0</v>
      </c>
      <c r="R42" s="961">
        <f t="shared" si="22"/>
        <v>0</v>
      </c>
      <c r="S42" s="961">
        <f t="shared" si="22"/>
        <v>0</v>
      </c>
      <c r="T42" s="961">
        <f t="shared" si="22"/>
        <v>0</v>
      </c>
      <c r="U42" s="961">
        <f t="shared" si="22"/>
        <v>0</v>
      </c>
      <c r="V42" s="961">
        <f t="shared" si="22"/>
        <v>0</v>
      </c>
      <c r="W42" s="961">
        <f t="shared" si="22"/>
        <v>0</v>
      </c>
      <c r="X42" s="961">
        <f t="shared" si="22"/>
        <v>0</v>
      </c>
      <c r="Y42" s="961">
        <f t="shared" si="22"/>
        <v>0</v>
      </c>
      <c r="Z42" s="961">
        <f t="shared" si="22"/>
        <v>0</v>
      </c>
      <c r="AA42" s="961">
        <f t="shared" si="22"/>
        <v>0</v>
      </c>
      <c r="AB42" s="961">
        <f t="shared" si="22"/>
        <v>0</v>
      </c>
      <c r="AC42" s="961">
        <f t="shared" si="22"/>
        <v>0</v>
      </c>
      <c r="AD42" s="961">
        <f t="shared" si="22"/>
        <v>0</v>
      </c>
      <c r="AE42" s="961">
        <f t="shared" si="22"/>
        <v>0</v>
      </c>
      <c r="AF42" s="961">
        <f t="shared" si="22"/>
        <v>0</v>
      </c>
      <c r="AG42" s="961">
        <f t="shared" si="22"/>
        <v>0</v>
      </c>
      <c r="AH42" s="961">
        <f t="shared" si="22"/>
        <v>0</v>
      </c>
      <c r="AI42" s="961">
        <f t="shared" si="22"/>
        <v>0</v>
      </c>
      <c r="AJ42" s="961">
        <f t="shared" si="22"/>
        <v>0</v>
      </c>
      <c r="AK42" s="961">
        <f t="shared" si="22"/>
        <v>0</v>
      </c>
      <c r="AL42" s="961">
        <f t="shared" si="22"/>
        <v>0</v>
      </c>
      <c r="AM42" s="961">
        <f t="shared" si="22"/>
        <v>0</v>
      </c>
      <c r="AN42" s="961">
        <f t="shared" si="22"/>
        <v>0</v>
      </c>
      <c r="AO42" s="961">
        <f t="shared" si="22"/>
        <v>0</v>
      </c>
      <c r="AP42" s="961">
        <f t="shared" si="22"/>
        <v>0</v>
      </c>
      <c r="AQ42" s="961">
        <f t="shared" si="22"/>
        <v>0</v>
      </c>
      <c r="AR42" s="961">
        <f t="shared" si="22"/>
        <v>0</v>
      </c>
      <c r="AS42" s="961">
        <f t="shared" si="22"/>
        <v>0</v>
      </c>
      <c r="AT42" s="961">
        <f t="shared" si="22"/>
        <v>0</v>
      </c>
      <c r="AU42" s="961">
        <f t="shared" si="22"/>
        <v>0</v>
      </c>
      <c r="AV42" s="549"/>
    </row>
    <row r="43" spans="1:48" ht="15.75" customHeight="1">
      <c r="A43" s="672"/>
      <c r="B43" s="1165" t="s">
        <v>4351</v>
      </c>
      <c r="C43" s="1109"/>
      <c r="D43" s="1109"/>
      <c r="E43" s="1109"/>
      <c r="F43" s="1109"/>
      <c r="G43" s="1109"/>
      <c r="H43" s="960">
        <f t="shared" ref="H43:AU43" si="23">H81</f>
        <v>0</v>
      </c>
      <c r="I43" s="960">
        <f t="shared" si="23"/>
        <v>0</v>
      </c>
      <c r="J43" s="960">
        <f t="shared" si="23"/>
        <v>0</v>
      </c>
      <c r="K43" s="960">
        <f t="shared" si="23"/>
        <v>0</v>
      </c>
      <c r="L43" s="960">
        <f t="shared" si="23"/>
        <v>0</v>
      </c>
      <c r="M43" s="960">
        <f t="shared" si="23"/>
        <v>0</v>
      </c>
      <c r="N43" s="960">
        <f t="shared" si="23"/>
        <v>0</v>
      </c>
      <c r="O43" s="960">
        <f t="shared" si="23"/>
        <v>0</v>
      </c>
      <c r="P43" s="960">
        <f t="shared" si="23"/>
        <v>0</v>
      </c>
      <c r="Q43" s="960">
        <f t="shared" si="23"/>
        <v>0</v>
      </c>
      <c r="R43" s="960">
        <f t="shared" si="23"/>
        <v>0</v>
      </c>
      <c r="S43" s="960">
        <f t="shared" si="23"/>
        <v>0</v>
      </c>
      <c r="T43" s="960">
        <f t="shared" si="23"/>
        <v>0</v>
      </c>
      <c r="U43" s="960">
        <f t="shared" si="23"/>
        <v>0</v>
      </c>
      <c r="V43" s="960">
        <f t="shared" si="23"/>
        <v>0</v>
      </c>
      <c r="W43" s="960">
        <f t="shared" si="23"/>
        <v>0</v>
      </c>
      <c r="X43" s="960">
        <f t="shared" si="23"/>
        <v>0</v>
      </c>
      <c r="Y43" s="960">
        <f t="shared" si="23"/>
        <v>0</v>
      </c>
      <c r="Z43" s="960">
        <f t="shared" si="23"/>
        <v>0</v>
      </c>
      <c r="AA43" s="960">
        <f t="shared" si="23"/>
        <v>0</v>
      </c>
      <c r="AB43" s="960">
        <f t="shared" si="23"/>
        <v>0</v>
      </c>
      <c r="AC43" s="960">
        <f t="shared" si="23"/>
        <v>0</v>
      </c>
      <c r="AD43" s="960">
        <f t="shared" si="23"/>
        <v>0</v>
      </c>
      <c r="AE43" s="960">
        <f t="shared" si="23"/>
        <v>0</v>
      </c>
      <c r="AF43" s="960">
        <f t="shared" si="23"/>
        <v>0</v>
      </c>
      <c r="AG43" s="960">
        <f t="shared" si="23"/>
        <v>0</v>
      </c>
      <c r="AH43" s="960">
        <f t="shared" si="23"/>
        <v>0</v>
      </c>
      <c r="AI43" s="960">
        <f t="shared" si="23"/>
        <v>0</v>
      </c>
      <c r="AJ43" s="960">
        <f t="shared" si="23"/>
        <v>0</v>
      </c>
      <c r="AK43" s="960">
        <f t="shared" si="23"/>
        <v>0</v>
      </c>
      <c r="AL43" s="960">
        <f t="shared" si="23"/>
        <v>0</v>
      </c>
      <c r="AM43" s="960">
        <f t="shared" si="23"/>
        <v>0</v>
      </c>
      <c r="AN43" s="960">
        <f t="shared" si="23"/>
        <v>0</v>
      </c>
      <c r="AO43" s="960">
        <f t="shared" si="23"/>
        <v>0</v>
      </c>
      <c r="AP43" s="960">
        <f t="shared" si="23"/>
        <v>0</v>
      </c>
      <c r="AQ43" s="960">
        <f t="shared" si="23"/>
        <v>0</v>
      </c>
      <c r="AR43" s="960">
        <f t="shared" si="23"/>
        <v>0</v>
      </c>
      <c r="AS43" s="960">
        <f t="shared" si="23"/>
        <v>0</v>
      </c>
      <c r="AT43" s="960">
        <f t="shared" si="23"/>
        <v>0</v>
      </c>
      <c r="AU43" s="959">
        <f t="shared" si="23"/>
        <v>0</v>
      </c>
    </row>
    <row r="44" spans="1:48" ht="15.75" customHeight="1">
      <c r="A44" s="672"/>
      <c r="B44" s="1165" t="s">
        <v>4350</v>
      </c>
      <c r="C44" s="1109"/>
      <c r="D44" s="1109"/>
      <c r="E44" s="1109"/>
      <c r="F44" s="1109"/>
      <c r="G44" s="1109"/>
      <c r="H44" s="960">
        <f t="shared" ref="H44:AU44" si="24">H86</f>
        <v>0</v>
      </c>
      <c r="I44" s="960">
        <f t="shared" si="24"/>
        <v>0</v>
      </c>
      <c r="J44" s="960">
        <f t="shared" si="24"/>
        <v>0</v>
      </c>
      <c r="K44" s="960">
        <f t="shared" si="24"/>
        <v>0</v>
      </c>
      <c r="L44" s="960">
        <f t="shared" si="24"/>
        <v>0</v>
      </c>
      <c r="M44" s="960">
        <f t="shared" si="24"/>
        <v>0</v>
      </c>
      <c r="N44" s="960">
        <f t="shared" si="24"/>
        <v>0</v>
      </c>
      <c r="O44" s="960">
        <f t="shared" si="24"/>
        <v>0</v>
      </c>
      <c r="P44" s="960">
        <f t="shared" si="24"/>
        <v>0</v>
      </c>
      <c r="Q44" s="960">
        <f t="shared" si="24"/>
        <v>0</v>
      </c>
      <c r="R44" s="960">
        <f t="shared" si="24"/>
        <v>0</v>
      </c>
      <c r="S44" s="960">
        <f t="shared" si="24"/>
        <v>0</v>
      </c>
      <c r="T44" s="960">
        <f t="shared" si="24"/>
        <v>0</v>
      </c>
      <c r="U44" s="960">
        <f t="shared" si="24"/>
        <v>0</v>
      </c>
      <c r="V44" s="960">
        <f t="shared" si="24"/>
        <v>0</v>
      </c>
      <c r="W44" s="960">
        <f t="shared" si="24"/>
        <v>0</v>
      </c>
      <c r="X44" s="960">
        <f t="shared" si="24"/>
        <v>0</v>
      </c>
      <c r="Y44" s="960">
        <f t="shared" si="24"/>
        <v>0</v>
      </c>
      <c r="Z44" s="960">
        <f t="shared" si="24"/>
        <v>0</v>
      </c>
      <c r="AA44" s="960">
        <f t="shared" si="24"/>
        <v>0</v>
      </c>
      <c r="AB44" s="960">
        <f t="shared" si="24"/>
        <v>0</v>
      </c>
      <c r="AC44" s="960">
        <f t="shared" si="24"/>
        <v>0</v>
      </c>
      <c r="AD44" s="960">
        <f t="shared" si="24"/>
        <v>0</v>
      </c>
      <c r="AE44" s="960">
        <f t="shared" si="24"/>
        <v>0</v>
      </c>
      <c r="AF44" s="960">
        <f t="shared" si="24"/>
        <v>0</v>
      </c>
      <c r="AG44" s="960">
        <f t="shared" si="24"/>
        <v>0</v>
      </c>
      <c r="AH44" s="960">
        <f t="shared" si="24"/>
        <v>0</v>
      </c>
      <c r="AI44" s="960">
        <f t="shared" si="24"/>
        <v>0</v>
      </c>
      <c r="AJ44" s="960">
        <f t="shared" si="24"/>
        <v>0</v>
      </c>
      <c r="AK44" s="960">
        <f t="shared" si="24"/>
        <v>0</v>
      </c>
      <c r="AL44" s="960">
        <f t="shared" si="24"/>
        <v>0</v>
      </c>
      <c r="AM44" s="960">
        <f t="shared" si="24"/>
        <v>0</v>
      </c>
      <c r="AN44" s="960">
        <f t="shared" si="24"/>
        <v>0</v>
      </c>
      <c r="AO44" s="960">
        <f t="shared" si="24"/>
        <v>0</v>
      </c>
      <c r="AP44" s="960">
        <f t="shared" si="24"/>
        <v>0</v>
      </c>
      <c r="AQ44" s="960">
        <f t="shared" si="24"/>
        <v>0</v>
      </c>
      <c r="AR44" s="960">
        <f t="shared" si="24"/>
        <v>0</v>
      </c>
      <c r="AS44" s="960">
        <f t="shared" si="24"/>
        <v>0</v>
      </c>
      <c r="AT44" s="960">
        <f t="shared" si="24"/>
        <v>0</v>
      </c>
      <c r="AU44" s="959">
        <f t="shared" si="24"/>
        <v>0</v>
      </c>
    </row>
    <row r="45" spans="1:48" ht="15.75" customHeight="1">
      <c r="A45" s="672"/>
      <c r="B45" s="1165" t="s">
        <v>4349</v>
      </c>
      <c r="C45" s="1109"/>
      <c r="D45" s="1109"/>
      <c r="E45" s="1109"/>
      <c r="F45" s="1109"/>
      <c r="G45" s="1109"/>
      <c r="H45" s="960">
        <f t="shared" ref="H45:AU45" si="25">H91</f>
        <v>0</v>
      </c>
      <c r="I45" s="960">
        <f t="shared" si="25"/>
        <v>0</v>
      </c>
      <c r="J45" s="960">
        <f t="shared" si="25"/>
        <v>0</v>
      </c>
      <c r="K45" s="960">
        <f t="shared" si="25"/>
        <v>0</v>
      </c>
      <c r="L45" s="960">
        <f t="shared" si="25"/>
        <v>0</v>
      </c>
      <c r="M45" s="960">
        <f t="shared" si="25"/>
        <v>0</v>
      </c>
      <c r="N45" s="960">
        <f t="shared" si="25"/>
        <v>0</v>
      </c>
      <c r="O45" s="960">
        <f t="shared" si="25"/>
        <v>0</v>
      </c>
      <c r="P45" s="960">
        <f t="shared" si="25"/>
        <v>0</v>
      </c>
      <c r="Q45" s="960">
        <f t="shared" si="25"/>
        <v>0</v>
      </c>
      <c r="R45" s="960">
        <f t="shared" si="25"/>
        <v>0</v>
      </c>
      <c r="S45" s="960">
        <f t="shared" si="25"/>
        <v>0</v>
      </c>
      <c r="T45" s="960">
        <f t="shared" si="25"/>
        <v>0</v>
      </c>
      <c r="U45" s="960">
        <f t="shared" si="25"/>
        <v>0</v>
      </c>
      <c r="V45" s="960">
        <f t="shared" si="25"/>
        <v>0</v>
      </c>
      <c r="W45" s="960">
        <f t="shared" si="25"/>
        <v>0</v>
      </c>
      <c r="X45" s="960">
        <f t="shared" si="25"/>
        <v>0</v>
      </c>
      <c r="Y45" s="960">
        <f t="shared" si="25"/>
        <v>0</v>
      </c>
      <c r="Z45" s="960">
        <f t="shared" si="25"/>
        <v>0</v>
      </c>
      <c r="AA45" s="960">
        <f t="shared" si="25"/>
        <v>0</v>
      </c>
      <c r="AB45" s="960">
        <f t="shared" si="25"/>
        <v>0</v>
      </c>
      <c r="AC45" s="960">
        <f t="shared" si="25"/>
        <v>0</v>
      </c>
      <c r="AD45" s="960">
        <f t="shared" si="25"/>
        <v>0</v>
      </c>
      <c r="AE45" s="960">
        <f t="shared" si="25"/>
        <v>0</v>
      </c>
      <c r="AF45" s="960">
        <f t="shared" si="25"/>
        <v>0</v>
      </c>
      <c r="AG45" s="960">
        <f t="shared" si="25"/>
        <v>0</v>
      </c>
      <c r="AH45" s="960">
        <f t="shared" si="25"/>
        <v>0</v>
      </c>
      <c r="AI45" s="960">
        <f t="shared" si="25"/>
        <v>0</v>
      </c>
      <c r="AJ45" s="960">
        <f t="shared" si="25"/>
        <v>0</v>
      </c>
      <c r="AK45" s="960">
        <f t="shared" si="25"/>
        <v>0</v>
      </c>
      <c r="AL45" s="960">
        <f t="shared" si="25"/>
        <v>0</v>
      </c>
      <c r="AM45" s="960">
        <f t="shared" si="25"/>
        <v>0</v>
      </c>
      <c r="AN45" s="960">
        <f t="shared" si="25"/>
        <v>0</v>
      </c>
      <c r="AO45" s="960">
        <f t="shared" si="25"/>
        <v>0</v>
      </c>
      <c r="AP45" s="960">
        <f t="shared" si="25"/>
        <v>0</v>
      </c>
      <c r="AQ45" s="960">
        <f t="shared" si="25"/>
        <v>0</v>
      </c>
      <c r="AR45" s="960">
        <f t="shared" si="25"/>
        <v>0</v>
      </c>
      <c r="AS45" s="960">
        <f t="shared" si="25"/>
        <v>0</v>
      </c>
      <c r="AT45" s="960">
        <f t="shared" si="25"/>
        <v>0</v>
      </c>
      <c r="AU45" s="959">
        <f t="shared" si="25"/>
        <v>0</v>
      </c>
    </row>
    <row r="46" spans="1:48" ht="15.75" customHeight="1">
      <c r="A46" s="672"/>
      <c r="B46" s="1165" t="s">
        <v>4348</v>
      </c>
      <c r="C46" s="1109"/>
      <c r="D46" s="1109"/>
      <c r="E46" s="1109"/>
      <c r="F46" s="1109"/>
      <c r="G46" s="1109"/>
      <c r="H46" s="960">
        <f t="shared" ref="H46:AU46" si="26">H96</f>
        <v>0</v>
      </c>
      <c r="I46" s="960">
        <f t="shared" si="26"/>
        <v>0</v>
      </c>
      <c r="J46" s="960">
        <f t="shared" si="26"/>
        <v>0</v>
      </c>
      <c r="K46" s="960">
        <f t="shared" si="26"/>
        <v>0</v>
      </c>
      <c r="L46" s="960">
        <f t="shared" si="26"/>
        <v>0</v>
      </c>
      <c r="M46" s="960">
        <f t="shared" si="26"/>
        <v>0</v>
      </c>
      <c r="N46" s="960">
        <f t="shared" si="26"/>
        <v>0</v>
      </c>
      <c r="O46" s="960">
        <f t="shared" si="26"/>
        <v>0</v>
      </c>
      <c r="P46" s="960">
        <f t="shared" si="26"/>
        <v>0</v>
      </c>
      <c r="Q46" s="960">
        <f t="shared" si="26"/>
        <v>0</v>
      </c>
      <c r="R46" s="960">
        <f t="shared" si="26"/>
        <v>0</v>
      </c>
      <c r="S46" s="960">
        <f t="shared" si="26"/>
        <v>0</v>
      </c>
      <c r="T46" s="960">
        <f t="shared" si="26"/>
        <v>0</v>
      </c>
      <c r="U46" s="960">
        <f t="shared" si="26"/>
        <v>0</v>
      </c>
      <c r="V46" s="960">
        <f t="shared" si="26"/>
        <v>0</v>
      </c>
      <c r="W46" s="960">
        <f t="shared" si="26"/>
        <v>0</v>
      </c>
      <c r="X46" s="960">
        <f t="shared" si="26"/>
        <v>0</v>
      </c>
      <c r="Y46" s="960">
        <f t="shared" si="26"/>
        <v>0</v>
      </c>
      <c r="Z46" s="960">
        <f t="shared" si="26"/>
        <v>0</v>
      </c>
      <c r="AA46" s="960">
        <f t="shared" si="26"/>
        <v>0</v>
      </c>
      <c r="AB46" s="960">
        <f t="shared" si="26"/>
        <v>0</v>
      </c>
      <c r="AC46" s="960">
        <f t="shared" si="26"/>
        <v>0</v>
      </c>
      <c r="AD46" s="960">
        <f t="shared" si="26"/>
        <v>0</v>
      </c>
      <c r="AE46" s="960">
        <f t="shared" si="26"/>
        <v>0</v>
      </c>
      <c r="AF46" s="960">
        <f t="shared" si="26"/>
        <v>0</v>
      </c>
      <c r="AG46" s="960">
        <f t="shared" si="26"/>
        <v>0</v>
      </c>
      <c r="AH46" s="960">
        <f t="shared" si="26"/>
        <v>0</v>
      </c>
      <c r="AI46" s="960">
        <f t="shared" si="26"/>
        <v>0</v>
      </c>
      <c r="AJ46" s="960">
        <f t="shared" si="26"/>
        <v>0</v>
      </c>
      <c r="AK46" s="960">
        <f t="shared" si="26"/>
        <v>0</v>
      </c>
      <c r="AL46" s="960">
        <f t="shared" si="26"/>
        <v>0</v>
      </c>
      <c r="AM46" s="960">
        <f t="shared" si="26"/>
        <v>0</v>
      </c>
      <c r="AN46" s="960">
        <f t="shared" si="26"/>
        <v>0</v>
      </c>
      <c r="AO46" s="960">
        <f t="shared" si="26"/>
        <v>0</v>
      </c>
      <c r="AP46" s="960">
        <f t="shared" si="26"/>
        <v>0</v>
      </c>
      <c r="AQ46" s="960">
        <f t="shared" si="26"/>
        <v>0</v>
      </c>
      <c r="AR46" s="960">
        <f t="shared" si="26"/>
        <v>0</v>
      </c>
      <c r="AS46" s="960">
        <f t="shared" si="26"/>
        <v>0</v>
      </c>
      <c r="AT46" s="960">
        <f t="shared" si="26"/>
        <v>0</v>
      </c>
      <c r="AU46" s="959">
        <f t="shared" si="26"/>
        <v>0</v>
      </c>
    </row>
    <row r="47" spans="1:48" ht="15.75" customHeight="1">
      <c r="A47" s="672"/>
      <c r="B47" s="1165" t="s">
        <v>4347</v>
      </c>
      <c r="C47" s="1109"/>
      <c r="D47" s="1109"/>
      <c r="E47" s="1109"/>
      <c r="F47" s="1109"/>
      <c r="G47" s="1109"/>
      <c r="H47" s="960">
        <f t="shared" ref="H47:AU47" si="27">H101</f>
        <v>0</v>
      </c>
      <c r="I47" s="960">
        <f t="shared" si="27"/>
        <v>0</v>
      </c>
      <c r="J47" s="960">
        <f t="shared" si="27"/>
        <v>0</v>
      </c>
      <c r="K47" s="960">
        <f t="shared" si="27"/>
        <v>0</v>
      </c>
      <c r="L47" s="960">
        <f t="shared" si="27"/>
        <v>0</v>
      </c>
      <c r="M47" s="960">
        <f t="shared" si="27"/>
        <v>0</v>
      </c>
      <c r="N47" s="960">
        <f t="shared" si="27"/>
        <v>0</v>
      </c>
      <c r="O47" s="960">
        <f t="shared" si="27"/>
        <v>0</v>
      </c>
      <c r="P47" s="960">
        <f t="shared" si="27"/>
        <v>0</v>
      </c>
      <c r="Q47" s="960">
        <f t="shared" si="27"/>
        <v>0</v>
      </c>
      <c r="R47" s="960">
        <f t="shared" si="27"/>
        <v>0</v>
      </c>
      <c r="S47" s="960">
        <f t="shared" si="27"/>
        <v>0</v>
      </c>
      <c r="T47" s="960">
        <f t="shared" si="27"/>
        <v>0</v>
      </c>
      <c r="U47" s="960">
        <f t="shared" si="27"/>
        <v>0</v>
      </c>
      <c r="V47" s="960">
        <f t="shared" si="27"/>
        <v>0</v>
      </c>
      <c r="W47" s="960">
        <f t="shared" si="27"/>
        <v>0</v>
      </c>
      <c r="X47" s="960">
        <f t="shared" si="27"/>
        <v>0</v>
      </c>
      <c r="Y47" s="960">
        <f t="shared" si="27"/>
        <v>0</v>
      </c>
      <c r="Z47" s="960">
        <f t="shared" si="27"/>
        <v>0</v>
      </c>
      <c r="AA47" s="960">
        <f t="shared" si="27"/>
        <v>0</v>
      </c>
      <c r="AB47" s="960">
        <f t="shared" si="27"/>
        <v>0</v>
      </c>
      <c r="AC47" s="960">
        <f t="shared" si="27"/>
        <v>0</v>
      </c>
      <c r="AD47" s="960">
        <f t="shared" si="27"/>
        <v>0</v>
      </c>
      <c r="AE47" s="960">
        <f t="shared" si="27"/>
        <v>0</v>
      </c>
      <c r="AF47" s="960">
        <f t="shared" si="27"/>
        <v>0</v>
      </c>
      <c r="AG47" s="960">
        <f t="shared" si="27"/>
        <v>0</v>
      </c>
      <c r="AH47" s="960">
        <f t="shared" si="27"/>
        <v>0</v>
      </c>
      <c r="AI47" s="960">
        <f t="shared" si="27"/>
        <v>0</v>
      </c>
      <c r="AJ47" s="960">
        <f t="shared" si="27"/>
        <v>0</v>
      </c>
      <c r="AK47" s="960">
        <f t="shared" si="27"/>
        <v>0</v>
      </c>
      <c r="AL47" s="960">
        <f t="shared" si="27"/>
        <v>0</v>
      </c>
      <c r="AM47" s="960">
        <f t="shared" si="27"/>
        <v>0</v>
      </c>
      <c r="AN47" s="960">
        <f t="shared" si="27"/>
        <v>0</v>
      </c>
      <c r="AO47" s="960">
        <f t="shared" si="27"/>
        <v>0</v>
      </c>
      <c r="AP47" s="960">
        <f t="shared" si="27"/>
        <v>0</v>
      </c>
      <c r="AQ47" s="960">
        <f t="shared" si="27"/>
        <v>0</v>
      </c>
      <c r="AR47" s="960">
        <f t="shared" si="27"/>
        <v>0</v>
      </c>
      <c r="AS47" s="960">
        <f t="shared" si="27"/>
        <v>0</v>
      </c>
      <c r="AT47" s="960">
        <f t="shared" si="27"/>
        <v>0</v>
      </c>
      <c r="AU47" s="959">
        <f t="shared" si="27"/>
        <v>0</v>
      </c>
    </row>
    <row r="48" spans="1:48" ht="15.75" customHeight="1">
      <c r="A48" s="672"/>
      <c r="B48" s="1170" t="s">
        <v>4346</v>
      </c>
      <c r="C48" s="1109"/>
      <c r="D48" s="1109"/>
      <c r="E48" s="1109"/>
      <c r="F48" s="1109"/>
      <c r="G48" s="1109"/>
      <c r="H48" s="958">
        <f t="shared" ref="H48:AU48" si="28">SUM(H38:H47)</f>
        <v>0</v>
      </c>
      <c r="I48" s="958">
        <f t="shared" si="28"/>
        <v>0</v>
      </c>
      <c r="J48" s="958">
        <f t="shared" si="28"/>
        <v>0</v>
      </c>
      <c r="K48" s="958">
        <f t="shared" si="28"/>
        <v>0</v>
      </c>
      <c r="L48" s="958">
        <f t="shared" si="28"/>
        <v>0</v>
      </c>
      <c r="M48" s="958">
        <f t="shared" si="28"/>
        <v>0</v>
      </c>
      <c r="N48" s="958">
        <f t="shared" si="28"/>
        <v>0</v>
      </c>
      <c r="O48" s="958">
        <f t="shared" si="28"/>
        <v>0</v>
      </c>
      <c r="P48" s="958">
        <f t="shared" si="28"/>
        <v>0</v>
      </c>
      <c r="Q48" s="958">
        <f t="shared" si="28"/>
        <v>0</v>
      </c>
      <c r="R48" s="958">
        <f t="shared" si="28"/>
        <v>0</v>
      </c>
      <c r="S48" s="958">
        <f t="shared" si="28"/>
        <v>0</v>
      </c>
      <c r="T48" s="958">
        <f t="shared" si="28"/>
        <v>0</v>
      </c>
      <c r="U48" s="958">
        <f t="shared" si="28"/>
        <v>0</v>
      </c>
      <c r="V48" s="958">
        <f t="shared" si="28"/>
        <v>0</v>
      </c>
      <c r="W48" s="958">
        <f t="shared" si="28"/>
        <v>0</v>
      </c>
      <c r="X48" s="958">
        <f t="shared" si="28"/>
        <v>0</v>
      </c>
      <c r="Y48" s="958">
        <f t="shared" si="28"/>
        <v>0</v>
      </c>
      <c r="Z48" s="958">
        <f t="shared" si="28"/>
        <v>0</v>
      </c>
      <c r="AA48" s="958">
        <f t="shared" si="28"/>
        <v>0</v>
      </c>
      <c r="AB48" s="958">
        <f t="shared" si="28"/>
        <v>0</v>
      </c>
      <c r="AC48" s="958">
        <f t="shared" si="28"/>
        <v>0</v>
      </c>
      <c r="AD48" s="958">
        <f t="shared" si="28"/>
        <v>0</v>
      </c>
      <c r="AE48" s="958">
        <f t="shared" si="28"/>
        <v>0</v>
      </c>
      <c r="AF48" s="958">
        <f t="shared" si="28"/>
        <v>0</v>
      </c>
      <c r="AG48" s="958">
        <f t="shared" si="28"/>
        <v>0</v>
      </c>
      <c r="AH48" s="958">
        <f t="shared" si="28"/>
        <v>0</v>
      </c>
      <c r="AI48" s="958">
        <f t="shared" si="28"/>
        <v>0</v>
      </c>
      <c r="AJ48" s="958">
        <f t="shared" si="28"/>
        <v>0</v>
      </c>
      <c r="AK48" s="958">
        <f t="shared" si="28"/>
        <v>0</v>
      </c>
      <c r="AL48" s="958">
        <f t="shared" si="28"/>
        <v>0</v>
      </c>
      <c r="AM48" s="958">
        <f t="shared" si="28"/>
        <v>0</v>
      </c>
      <c r="AN48" s="958">
        <f t="shared" si="28"/>
        <v>0</v>
      </c>
      <c r="AO48" s="958">
        <f t="shared" si="28"/>
        <v>0</v>
      </c>
      <c r="AP48" s="958">
        <f t="shared" si="28"/>
        <v>0</v>
      </c>
      <c r="AQ48" s="958">
        <f t="shared" si="28"/>
        <v>0</v>
      </c>
      <c r="AR48" s="958">
        <f t="shared" si="28"/>
        <v>0</v>
      </c>
      <c r="AS48" s="958">
        <f t="shared" si="28"/>
        <v>0</v>
      </c>
      <c r="AT48" s="958">
        <f t="shared" si="28"/>
        <v>0</v>
      </c>
      <c r="AU48" s="957">
        <f t="shared" si="28"/>
        <v>0</v>
      </c>
    </row>
    <row r="49" spans="1:48" ht="7.5" customHeight="1">
      <c r="A49" s="672"/>
      <c r="B49" s="949"/>
      <c r="C49" s="948"/>
      <c r="D49" s="948"/>
      <c r="E49" s="948"/>
      <c r="F49" s="948"/>
      <c r="G49" s="948"/>
      <c r="H49" s="947"/>
      <c r="I49" s="948"/>
      <c r="J49" s="948"/>
      <c r="K49" s="948"/>
      <c r="L49" s="948"/>
      <c r="M49" s="948"/>
      <c r="N49" s="948"/>
      <c r="O49" s="948"/>
      <c r="P49" s="948"/>
      <c r="Q49" s="947"/>
      <c r="R49" s="946"/>
      <c r="S49" s="946"/>
      <c r="T49" s="946"/>
      <c r="U49" s="946"/>
      <c r="V49" s="946"/>
      <c r="W49" s="946"/>
      <c r="X49" s="946"/>
      <c r="Y49" s="946"/>
      <c r="Z49" s="946"/>
      <c r="AA49" s="946"/>
      <c r="AB49" s="946"/>
      <c r="AC49" s="946"/>
      <c r="AD49" s="946"/>
      <c r="AE49" s="946"/>
      <c r="AF49" s="946"/>
      <c r="AG49" s="946"/>
      <c r="AH49" s="946"/>
      <c r="AI49" s="946"/>
      <c r="AJ49" s="946"/>
      <c r="AK49" s="946"/>
      <c r="AL49" s="946"/>
      <c r="AM49" s="946"/>
      <c r="AN49" s="946"/>
      <c r="AO49" s="946"/>
      <c r="AP49" s="946"/>
      <c r="AQ49" s="946"/>
      <c r="AR49" s="946"/>
      <c r="AS49" s="946"/>
      <c r="AT49" s="946"/>
      <c r="AU49" s="946"/>
    </row>
    <row r="50" spans="1:48" ht="15.75" customHeight="1">
      <c r="A50" s="672"/>
      <c r="B50" s="1165" t="s">
        <v>4345</v>
      </c>
      <c r="C50" s="1109"/>
      <c r="D50" s="1109"/>
      <c r="E50" s="1109"/>
      <c r="F50" s="1109"/>
      <c r="G50" s="1109"/>
      <c r="H50" s="953">
        <f t="shared" ref="H50:AU50" si="29">H18</f>
        <v>0</v>
      </c>
      <c r="I50" s="953">
        <f t="shared" si="29"/>
        <v>0</v>
      </c>
      <c r="J50" s="953">
        <f t="shared" si="29"/>
        <v>0</v>
      </c>
      <c r="K50" s="953">
        <f t="shared" si="29"/>
        <v>0</v>
      </c>
      <c r="L50" s="953">
        <f t="shared" si="29"/>
        <v>0</v>
      </c>
      <c r="M50" s="953">
        <f t="shared" si="29"/>
        <v>0</v>
      </c>
      <c r="N50" s="953">
        <f t="shared" si="29"/>
        <v>0</v>
      </c>
      <c r="O50" s="953">
        <f t="shared" si="29"/>
        <v>0</v>
      </c>
      <c r="P50" s="953">
        <f t="shared" si="29"/>
        <v>0</v>
      </c>
      <c r="Q50" s="953">
        <f t="shared" si="29"/>
        <v>0</v>
      </c>
      <c r="R50" s="953">
        <f t="shared" si="29"/>
        <v>0</v>
      </c>
      <c r="S50" s="953">
        <f t="shared" si="29"/>
        <v>0</v>
      </c>
      <c r="T50" s="953">
        <f t="shared" si="29"/>
        <v>0</v>
      </c>
      <c r="U50" s="953">
        <f t="shared" si="29"/>
        <v>0</v>
      </c>
      <c r="V50" s="953">
        <f t="shared" si="29"/>
        <v>0</v>
      </c>
      <c r="W50" s="953">
        <f t="shared" si="29"/>
        <v>0</v>
      </c>
      <c r="X50" s="953">
        <f t="shared" si="29"/>
        <v>0</v>
      </c>
      <c r="Y50" s="953">
        <f t="shared" si="29"/>
        <v>0</v>
      </c>
      <c r="Z50" s="953">
        <f t="shared" si="29"/>
        <v>0</v>
      </c>
      <c r="AA50" s="953">
        <f t="shared" si="29"/>
        <v>0</v>
      </c>
      <c r="AB50" s="953">
        <f t="shared" si="29"/>
        <v>0</v>
      </c>
      <c r="AC50" s="953">
        <f t="shared" si="29"/>
        <v>0</v>
      </c>
      <c r="AD50" s="953">
        <f t="shared" si="29"/>
        <v>0</v>
      </c>
      <c r="AE50" s="953">
        <f t="shared" si="29"/>
        <v>0</v>
      </c>
      <c r="AF50" s="953">
        <f t="shared" si="29"/>
        <v>0</v>
      </c>
      <c r="AG50" s="953">
        <f t="shared" si="29"/>
        <v>0</v>
      </c>
      <c r="AH50" s="953">
        <f t="shared" si="29"/>
        <v>0</v>
      </c>
      <c r="AI50" s="953">
        <f t="shared" si="29"/>
        <v>0</v>
      </c>
      <c r="AJ50" s="953">
        <f t="shared" si="29"/>
        <v>0</v>
      </c>
      <c r="AK50" s="953">
        <f t="shared" si="29"/>
        <v>0</v>
      </c>
      <c r="AL50" s="953">
        <f t="shared" si="29"/>
        <v>0</v>
      </c>
      <c r="AM50" s="953">
        <f t="shared" si="29"/>
        <v>0</v>
      </c>
      <c r="AN50" s="953">
        <f t="shared" si="29"/>
        <v>0</v>
      </c>
      <c r="AO50" s="953">
        <f t="shared" si="29"/>
        <v>0</v>
      </c>
      <c r="AP50" s="953">
        <f t="shared" si="29"/>
        <v>0</v>
      </c>
      <c r="AQ50" s="953">
        <f t="shared" si="29"/>
        <v>0</v>
      </c>
      <c r="AR50" s="953">
        <f t="shared" si="29"/>
        <v>0</v>
      </c>
      <c r="AS50" s="953">
        <f t="shared" si="29"/>
        <v>0</v>
      </c>
      <c r="AT50" s="953">
        <f t="shared" si="29"/>
        <v>0</v>
      </c>
      <c r="AU50" s="953">
        <f t="shared" si="29"/>
        <v>0</v>
      </c>
    </row>
    <row r="51" spans="1:48" ht="15.75" customHeight="1">
      <c r="A51" s="672"/>
      <c r="B51" s="1165" t="s">
        <v>4344</v>
      </c>
      <c r="C51" s="1109"/>
      <c r="D51" s="1109"/>
      <c r="E51" s="1109"/>
      <c r="F51" s="1109"/>
      <c r="G51" s="1109"/>
      <c r="H51" s="955">
        <v>1.1499999999999999</v>
      </c>
      <c r="I51" s="954">
        <f t="shared" ref="I51:AT51" si="30">$H$51</f>
        <v>1.1499999999999999</v>
      </c>
      <c r="J51" s="954">
        <f t="shared" si="30"/>
        <v>1.1499999999999999</v>
      </c>
      <c r="K51" s="954">
        <f t="shared" si="30"/>
        <v>1.1499999999999999</v>
      </c>
      <c r="L51" s="954">
        <f t="shared" si="30"/>
        <v>1.1499999999999999</v>
      </c>
      <c r="M51" s="954">
        <f t="shared" si="30"/>
        <v>1.1499999999999999</v>
      </c>
      <c r="N51" s="954">
        <f t="shared" si="30"/>
        <v>1.1499999999999999</v>
      </c>
      <c r="O51" s="954">
        <f t="shared" si="30"/>
        <v>1.1499999999999999</v>
      </c>
      <c r="P51" s="954">
        <f t="shared" si="30"/>
        <v>1.1499999999999999</v>
      </c>
      <c r="Q51" s="954">
        <f t="shared" si="30"/>
        <v>1.1499999999999999</v>
      </c>
      <c r="R51" s="954">
        <f t="shared" si="30"/>
        <v>1.1499999999999999</v>
      </c>
      <c r="S51" s="954">
        <f t="shared" si="30"/>
        <v>1.1499999999999999</v>
      </c>
      <c r="T51" s="954">
        <f t="shared" si="30"/>
        <v>1.1499999999999999</v>
      </c>
      <c r="U51" s="954">
        <f t="shared" si="30"/>
        <v>1.1499999999999999</v>
      </c>
      <c r="V51" s="954">
        <f t="shared" si="30"/>
        <v>1.1499999999999999</v>
      </c>
      <c r="W51" s="954">
        <f t="shared" si="30"/>
        <v>1.1499999999999999</v>
      </c>
      <c r="X51" s="954">
        <f t="shared" si="30"/>
        <v>1.1499999999999999</v>
      </c>
      <c r="Y51" s="954">
        <f t="shared" si="30"/>
        <v>1.1499999999999999</v>
      </c>
      <c r="Z51" s="954">
        <f t="shared" si="30"/>
        <v>1.1499999999999999</v>
      </c>
      <c r="AA51" s="954">
        <f t="shared" si="30"/>
        <v>1.1499999999999999</v>
      </c>
      <c r="AB51" s="954">
        <f t="shared" si="30"/>
        <v>1.1499999999999999</v>
      </c>
      <c r="AC51" s="954">
        <f t="shared" si="30"/>
        <v>1.1499999999999999</v>
      </c>
      <c r="AD51" s="954">
        <f t="shared" si="30"/>
        <v>1.1499999999999999</v>
      </c>
      <c r="AE51" s="954">
        <f t="shared" si="30"/>
        <v>1.1499999999999999</v>
      </c>
      <c r="AF51" s="954">
        <f t="shared" si="30"/>
        <v>1.1499999999999999</v>
      </c>
      <c r="AG51" s="954">
        <f t="shared" si="30"/>
        <v>1.1499999999999999</v>
      </c>
      <c r="AH51" s="954">
        <f t="shared" si="30"/>
        <v>1.1499999999999999</v>
      </c>
      <c r="AI51" s="954">
        <f t="shared" si="30"/>
        <v>1.1499999999999999</v>
      </c>
      <c r="AJ51" s="954">
        <f t="shared" si="30"/>
        <v>1.1499999999999999</v>
      </c>
      <c r="AK51" s="954">
        <f t="shared" si="30"/>
        <v>1.1499999999999999</v>
      </c>
      <c r="AL51" s="954">
        <f t="shared" si="30"/>
        <v>1.1499999999999999</v>
      </c>
      <c r="AM51" s="954">
        <f t="shared" si="30"/>
        <v>1.1499999999999999</v>
      </c>
      <c r="AN51" s="954">
        <f t="shared" si="30"/>
        <v>1.1499999999999999</v>
      </c>
      <c r="AO51" s="954">
        <f t="shared" si="30"/>
        <v>1.1499999999999999</v>
      </c>
      <c r="AP51" s="954">
        <f t="shared" si="30"/>
        <v>1.1499999999999999</v>
      </c>
      <c r="AQ51" s="954">
        <f t="shared" si="30"/>
        <v>1.1499999999999999</v>
      </c>
      <c r="AR51" s="954">
        <f t="shared" si="30"/>
        <v>1.1499999999999999</v>
      </c>
      <c r="AS51" s="954">
        <f t="shared" si="30"/>
        <v>1.1499999999999999</v>
      </c>
      <c r="AT51" s="954">
        <f t="shared" si="30"/>
        <v>1.1499999999999999</v>
      </c>
      <c r="AU51" s="956">
        <f>$Q$51</f>
        <v>1.1499999999999999</v>
      </c>
    </row>
    <row r="52" spans="1:48" ht="15.75" customHeight="1">
      <c r="A52" s="672"/>
      <c r="B52" s="1165" t="s">
        <v>1095</v>
      </c>
      <c r="C52" s="1109"/>
      <c r="D52" s="1109"/>
      <c r="E52" s="1109"/>
      <c r="F52" s="1109"/>
      <c r="G52" s="1109"/>
      <c r="H52" s="953">
        <f t="shared" ref="H52:AU52" si="31">H50/H51</f>
        <v>0</v>
      </c>
      <c r="I52" s="953">
        <f t="shared" si="31"/>
        <v>0</v>
      </c>
      <c r="J52" s="953">
        <f t="shared" si="31"/>
        <v>0</v>
      </c>
      <c r="K52" s="953">
        <f t="shared" si="31"/>
        <v>0</v>
      </c>
      <c r="L52" s="953">
        <f t="shared" si="31"/>
        <v>0</v>
      </c>
      <c r="M52" s="953">
        <f t="shared" si="31"/>
        <v>0</v>
      </c>
      <c r="N52" s="953">
        <f t="shared" si="31"/>
        <v>0</v>
      </c>
      <c r="O52" s="953">
        <f t="shared" si="31"/>
        <v>0</v>
      </c>
      <c r="P52" s="953">
        <f t="shared" si="31"/>
        <v>0</v>
      </c>
      <c r="Q52" s="953">
        <f t="shared" si="31"/>
        <v>0</v>
      </c>
      <c r="R52" s="953">
        <f t="shared" si="31"/>
        <v>0</v>
      </c>
      <c r="S52" s="953">
        <f t="shared" si="31"/>
        <v>0</v>
      </c>
      <c r="T52" s="953">
        <f t="shared" si="31"/>
        <v>0</v>
      </c>
      <c r="U52" s="953">
        <f t="shared" si="31"/>
        <v>0</v>
      </c>
      <c r="V52" s="953">
        <f t="shared" si="31"/>
        <v>0</v>
      </c>
      <c r="W52" s="953">
        <f t="shared" si="31"/>
        <v>0</v>
      </c>
      <c r="X52" s="953">
        <f t="shared" si="31"/>
        <v>0</v>
      </c>
      <c r="Y52" s="953">
        <f t="shared" si="31"/>
        <v>0</v>
      </c>
      <c r="Z52" s="953">
        <f t="shared" si="31"/>
        <v>0</v>
      </c>
      <c r="AA52" s="953">
        <f t="shared" si="31"/>
        <v>0</v>
      </c>
      <c r="AB52" s="953">
        <f t="shared" si="31"/>
        <v>0</v>
      </c>
      <c r="AC52" s="953">
        <f t="shared" si="31"/>
        <v>0</v>
      </c>
      <c r="AD52" s="953">
        <f t="shared" si="31"/>
        <v>0</v>
      </c>
      <c r="AE52" s="953">
        <f t="shared" si="31"/>
        <v>0</v>
      </c>
      <c r="AF52" s="953">
        <f t="shared" si="31"/>
        <v>0</v>
      </c>
      <c r="AG52" s="953">
        <f t="shared" si="31"/>
        <v>0</v>
      </c>
      <c r="AH52" s="953">
        <f t="shared" si="31"/>
        <v>0</v>
      </c>
      <c r="AI52" s="953">
        <f t="shared" si="31"/>
        <v>0</v>
      </c>
      <c r="AJ52" s="953">
        <f t="shared" si="31"/>
        <v>0</v>
      </c>
      <c r="AK52" s="953">
        <f t="shared" si="31"/>
        <v>0</v>
      </c>
      <c r="AL52" s="953">
        <f t="shared" si="31"/>
        <v>0</v>
      </c>
      <c r="AM52" s="953">
        <f t="shared" si="31"/>
        <v>0</v>
      </c>
      <c r="AN52" s="953">
        <f t="shared" si="31"/>
        <v>0</v>
      </c>
      <c r="AO52" s="953">
        <f t="shared" si="31"/>
        <v>0</v>
      </c>
      <c r="AP52" s="953">
        <f t="shared" si="31"/>
        <v>0</v>
      </c>
      <c r="AQ52" s="953">
        <f t="shared" si="31"/>
        <v>0</v>
      </c>
      <c r="AR52" s="953">
        <f t="shared" si="31"/>
        <v>0</v>
      </c>
      <c r="AS52" s="953">
        <f t="shared" si="31"/>
        <v>0</v>
      </c>
      <c r="AT52" s="953">
        <f t="shared" si="31"/>
        <v>0</v>
      </c>
      <c r="AU52" s="953">
        <f t="shared" si="31"/>
        <v>0</v>
      </c>
    </row>
    <row r="53" spans="1:48" ht="15.75" customHeight="1">
      <c r="A53" s="672"/>
      <c r="B53" s="1165" t="s">
        <v>368</v>
      </c>
      <c r="C53" s="1109"/>
      <c r="D53" s="1109"/>
      <c r="E53" s="1109"/>
      <c r="F53" s="1109"/>
      <c r="G53" s="1109"/>
      <c r="H53" s="952">
        <v>0.06</v>
      </c>
      <c r="I53" s="951">
        <f t="shared" ref="I53:AU53" si="32">$H$53</f>
        <v>0.06</v>
      </c>
      <c r="J53" s="951">
        <f t="shared" si="32"/>
        <v>0.06</v>
      </c>
      <c r="K53" s="951">
        <f t="shared" si="32"/>
        <v>0.06</v>
      </c>
      <c r="L53" s="951">
        <f t="shared" si="32"/>
        <v>0.06</v>
      </c>
      <c r="M53" s="951">
        <f t="shared" si="32"/>
        <v>0.06</v>
      </c>
      <c r="N53" s="951">
        <f t="shared" si="32"/>
        <v>0.06</v>
      </c>
      <c r="O53" s="951">
        <f t="shared" si="32"/>
        <v>0.06</v>
      </c>
      <c r="P53" s="951">
        <f t="shared" si="32"/>
        <v>0.06</v>
      </c>
      <c r="Q53" s="951">
        <f t="shared" si="32"/>
        <v>0.06</v>
      </c>
      <c r="R53" s="951">
        <f t="shared" si="32"/>
        <v>0.06</v>
      </c>
      <c r="S53" s="951">
        <f t="shared" si="32"/>
        <v>0.06</v>
      </c>
      <c r="T53" s="951">
        <f t="shared" si="32"/>
        <v>0.06</v>
      </c>
      <c r="U53" s="951">
        <f t="shared" si="32"/>
        <v>0.06</v>
      </c>
      <c r="V53" s="951">
        <f t="shared" si="32"/>
        <v>0.06</v>
      </c>
      <c r="W53" s="951">
        <f t="shared" si="32"/>
        <v>0.06</v>
      </c>
      <c r="X53" s="951">
        <f t="shared" si="32"/>
        <v>0.06</v>
      </c>
      <c r="Y53" s="951">
        <f t="shared" si="32"/>
        <v>0.06</v>
      </c>
      <c r="Z53" s="951">
        <f t="shared" si="32"/>
        <v>0.06</v>
      </c>
      <c r="AA53" s="951">
        <f t="shared" si="32"/>
        <v>0.06</v>
      </c>
      <c r="AB53" s="951">
        <f t="shared" si="32"/>
        <v>0.06</v>
      </c>
      <c r="AC53" s="951">
        <f t="shared" si="32"/>
        <v>0.06</v>
      </c>
      <c r="AD53" s="951">
        <f t="shared" si="32"/>
        <v>0.06</v>
      </c>
      <c r="AE53" s="951">
        <f t="shared" si="32"/>
        <v>0.06</v>
      </c>
      <c r="AF53" s="951">
        <f t="shared" si="32"/>
        <v>0.06</v>
      </c>
      <c r="AG53" s="951">
        <f t="shared" si="32"/>
        <v>0.06</v>
      </c>
      <c r="AH53" s="951">
        <f t="shared" si="32"/>
        <v>0.06</v>
      </c>
      <c r="AI53" s="951">
        <f t="shared" si="32"/>
        <v>0.06</v>
      </c>
      <c r="AJ53" s="951">
        <f t="shared" si="32"/>
        <v>0.06</v>
      </c>
      <c r="AK53" s="951">
        <f t="shared" si="32"/>
        <v>0.06</v>
      </c>
      <c r="AL53" s="951">
        <f t="shared" si="32"/>
        <v>0.06</v>
      </c>
      <c r="AM53" s="951">
        <f t="shared" si="32"/>
        <v>0.06</v>
      </c>
      <c r="AN53" s="951">
        <f t="shared" si="32"/>
        <v>0.06</v>
      </c>
      <c r="AO53" s="951">
        <f t="shared" si="32"/>
        <v>0.06</v>
      </c>
      <c r="AP53" s="951">
        <f t="shared" si="32"/>
        <v>0.06</v>
      </c>
      <c r="AQ53" s="951">
        <f t="shared" si="32"/>
        <v>0.06</v>
      </c>
      <c r="AR53" s="951">
        <f t="shared" si="32"/>
        <v>0.06</v>
      </c>
      <c r="AS53" s="951">
        <f t="shared" si="32"/>
        <v>0.06</v>
      </c>
      <c r="AT53" s="951">
        <f t="shared" si="32"/>
        <v>0.06</v>
      </c>
      <c r="AU53" s="951">
        <f t="shared" si="32"/>
        <v>0.06</v>
      </c>
    </row>
    <row r="54" spans="1:48" ht="15.75" customHeight="1">
      <c r="A54" s="672"/>
      <c r="B54" s="1165" t="s">
        <v>1094</v>
      </c>
      <c r="C54" s="1109"/>
      <c r="D54" s="1109"/>
      <c r="E54" s="1109"/>
      <c r="F54" s="1109"/>
      <c r="G54" s="1109"/>
      <c r="H54" s="955">
        <v>35</v>
      </c>
      <c r="I54" s="954">
        <f t="shared" ref="I54:AU54" si="33">$H$54</f>
        <v>35</v>
      </c>
      <c r="J54" s="954">
        <f t="shared" si="33"/>
        <v>35</v>
      </c>
      <c r="K54" s="954">
        <f t="shared" si="33"/>
        <v>35</v>
      </c>
      <c r="L54" s="954">
        <f t="shared" si="33"/>
        <v>35</v>
      </c>
      <c r="M54" s="954">
        <f t="shared" si="33"/>
        <v>35</v>
      </c>
      <c r="N54" s="954">
        <f t="shared" si="33"/>
        <v>35</v>
      </c>
      <c r="O54" s="954">
        <f t="shared" si="33"/>
        <v>35</v>
      </c>
      <c r="P54" s="954">
        <f t="shared" si="33"/>
        <v>35</v>
      </c>
      <c r="Q54" s="954">
        <f t="shared" si="33"/>
        <v>35</v>
      </c>
      <c r="R54" s="954">
        <f t="shared" si="33"/>
        <v>35</v>
      </c>
      <c r="S54" s="954">
        <f t="shared" si="33"/>
        <v>35</v>
      </c>
      <c r="T54" s="954">
        <f t="shared" si="33"/>
        <v>35</v>
      </c>
      <c r="U54" s="954">
        <f t="shared" si="33"/>
        <v>35</v>
      </c>
      <c r="V54" s="954">
        <f t="shared" si="33"/>
        <v>35</v>
      </c>
      <c r="W54" s="954">
        <f t="shared" si="33"/>
        <v>35</v>
      </c>
      <c r="X54" s="954">
        <f t="shared" si="33"/>
        <v>35</v>
      </c>
      <c r="Y54" s="954">
        <f t="shared" si="33"/>
        <v>35</v>
      </c>
      <c r="Z54" s="954">
        <f t="shared" si="33"/>
        <v>35</v>
      </c>
      <c r="AA54" s="954">
        <f t="shared" si="33"/>
        <v>35</v>
      </c>
      <c r="AB54" s="954">
        <f t="shared" si="33"/>
        <v>35</v>
      </c>
      <c r="AC54" s="954">
        <f t="shared" si="33"/>
        <v>35</v>
      </c>
      <c r="AD54" s="954">
        <f t="shared" si="33"/>
        <v>35</v>
      </c>
      <c r="AE54" s="954">
        <f t="shared" si="33"/>
        <v>35</v>
      </c>
      <c r="AF54" s="954">
        <f t="shared" si="33"/>
        <v>35</v>
      </c>
      <c r="AG54" s="954">
        <f t="shared" si="33"/>
        <v>35</v>
      </c>
      <c r="AH54" s="954">
        <f t="shared" si="33"/>
        <v>35</v>
      </c>
      <c r="AI54" s="954">
        <f t="shared" si="33"/>
        <v>35</v>
      </c>
      <c r="AJ54" s="954">
        <f t="shared" si="33"/>
        <v>35</v>
      </c>
      <c r="AK54" s="954">
        <f t="shared" si="33"/>
        <v>35</v>
      </c>
      <c r="AL54" s="954">
        <f t="shared" si="33"/>
        <v>35</v>
      </c>
      <c r="AM54" s="954">
        <f t="shared" si="33"/>
        <v>35</v>
      </c>
      <c r="AN54" s="954">
        <f t="shared" si="33"/>
        <v>35</v>
      </c>
      <c r="AO54" s="954">
        <f t="shared" si="33"/>
        <v>35</v>
      </c>
      <c r="AP54" s="954">
        <f t="shared" si="33"/>
        <v>35</v>
      </c>
      <c r="AQ54" s="954">
        <f t="shared" si="33"/>
        <v>35</v>
      </c>
      <c r="AR54" s="954">
        <f t="shared" si="33"/>
        <v>35</v>
      </c>
      <c r="AS54" s="954">
        <f t="shared" si="33"/>
        <v>35</v>
      </c>
      <c r="AT54" s="954">
        <f t="shared" si="33"/>
        <v>35</v>
      </c>
      <c r="AU54" s="954">
        <f t="shared" si="33"/>
        <v>35</v>
      </c>
    </row>
    <row r="55" spans="1:48" ht="15.75" customHeight="1">
      <c r="A55" s="672"/>
      <c r="B55" s="1165" t="s">
        <v>4343</v>
      </c>
      <c r="C55" s="1109"/>
      <c r="D55" s="1109"/>
      <c r="E55" s="1109"/>
      <c r="F55" s="1109"/>
      <c r="G55" s="1109"/>
      <c r="H55" s="950">
        <f t="shared" ref="H55:AU55" si="34">ABS(PV(H53,(H54),(H52)))</f>
        <v>0</v>
      </c>
      <c r="I55" s="950">
        <f t="shared" si="34"/>
        <v>0</v>
      </c>
      <c r="J55" s="950">
        <f t="shared" si="34"/>
        <v>0</v>
      </c>
      <c r="K55" s="950">
        <f t="shared" si="34"/>
        <v>0</v>
      </c>
      <c r="L55" s="950">
        <f t="shared" si="34"/>
        <v>0</v>
      </c>
      <c r="M55" s="950">
        <f t="shared" si="34"/>
        <v>0</v>
      </c>
      <c r="N55" s="950">
        <f t="shared" si="34"/>
        <v>0</v>
      </c>
      <c r="O55" s="950">
        <f t="shared" si="34"/>
        <v>0</v>
      </c>
      <c r="P55" s="950">
        <f t="shared" si="34"/>
        <v>0</v>
      </c>
      <c r="Q55" s="950">
        <f t="shared" si="34"/>
        <v>0</v>
      </c>
      <c r="R55" s="950">
        <f t="shared" si="34"/>
        <v>0</v>
      </c>
      <c r="S55" s="950">
        <f t="shared" si="34"/>
        <v>0</v>
      </c>
      <c r="T55" s="950">
        <f t="shared" si="34"/>
        <v>0</v>
      </c>
      <c r="U55" s="950">
        <f t="shared" si="34"/>
        <v>0</v>
      </c>
      <c r="V55" s="950">
        <f t="shared" si="34"/>
        <v>0</v>
      </c>
      <c r="W55" s="950">
        <f t="shared" si="34"/>
        <v>0</v>
      </c>
      <c r="X55" s="950">
        <f t="shared" si="34"/>
        <v>0</v>
      </c>
      <c r="Y55" s="950">
        <f t="shared" si="34"/>
        <v>0</v>
      </c>
      <c r="Z55" s="950">
        <f t="shared" si="34"/>
        <v>0</v>
      </c>
      <c r="AA55" s="950">
        <f t="shared" si="34"/>
        <v>0</v>
      </c>
      <c r="AB55" s="950">
        <f t="shared" si="34"/>
        <v>0</v>
      </c>
      <c r="AC55" s="950">
        <f t="shared" si="34"/>
        <v>0</v>
      </c>
      <c r="AD55" s="950">
        <f t="shared" si="34"/>
        <v>0</v>
      </c>
      <c r="AE55" s="950">
        <f t="shared" si="34"/>
        <v>0</v>
      </c>
      <c r="AF55" s="950">
        <f t="shared" si="34"/>
        <v>0</v>
      </c>
      <c r="AG55" s="950">
        <f t="shared" si="34"/>
        <v>0</v>
      </c>
      <c r="AH55" s="950">
        <f t="shared" si="34"/>
        <v>0</v>
      </c>
      <c r="AI55" s="950">
        <f t="shared" si="34"/>
        <v>0</v>
      </c>
      <c r="AJ55" s="950">
        <f t="shared" si="34"/>
        <v>0</v>
      </c>
      <c r="AK55" s="950">
        <f t="shared" si="34"/>
        <v>0</v>
      </c>
      <c r="AL55" s="950">
        <f t="shared" si="34"/>
        <v>0</v>
      </c>
      <c r="AM55" s="950">
        <f t="shared" si="34"/>
        <v>0</v>
      </c>
      <c r="AN55" s="950">
        <f t="shared" si="34"/>
        <v>0</v>
      </c>
      <c r="AO55" s="950">
        <f t="shared" si="34"/>
        <v>0</v>
      </c>
      <c r="AP55" s="950">
        <f t="shared" si="34"/>
        <v>0</v>
      </c>
      <c r="AQ55" s="950">
        <f t="shared" si="34"/>
        <v>0</v>
      </c>
      <c r="AR55" s="950">
        <f t="shared" si="34"/>
        <v>0</v>
      </c>
      <c r="AS55" s="950">
        <f t="shared" si="34"/>
        <v>0</v>
      </c>
      <c r="AT55" s="950">
        <f t="shared" si="34"/>
        <v>0</v>
      </c>
      <c r="AU55" s="950">
        <f t="shared" si="34"/>
        <v>0</v>
      </c>
    </row>
    <row r="56" spans="1:48" ht="7.5" customHeight="1">
      <c r="A56" s="672"/>
      <c r="B56" s="949"/>
      <c r="C56" s="948"/>
      <c r="D56" s="948"/>
      <c r="E56" s="948"/>
      <c r="F56" s="948"/>
      <c r="G56" s="948"/>
      <c r="H56" s="947"/>
      <c r="I56" s="948"/>
      <c r="J56" s="948"/>
      <c r="K56" s="948"/>
      <c r="L56" s="948"/>
      <c r="M56" s="948"/>
      <c r="N56" s="948"/>
      <c r="O56" s="948"/>
      <c r="P56" s="948"/>
      <c r="Q56" s="947"/>
      <c r="R56" s="946"/>
      <c r="S56" s="946"/>
      <c r="T56" s="946"/>
      <c r="U56" s="946"/>
      <c r="V56" s="946"/>
      <c r="W56" s="946"/>
      <c r="X56" s="946"/>
      <c r="Y56" s="946"/>
      <c r="Z56" s="946"/>
      <c r="AA56" s="946"/>
      <c r="AB56" s="946"/>
      <c r="AC56" s="946"/>
      <c r="AD56" s="946"/>
      <c r="AE56" s="946"/>
      <c r="AF56" s="946"/>
      <c r="AG56" s="946"/>
      <c r="AH56" s="946"/>
      <c r="AI56" s="946"/>
      <c r="AJ56" s="946"/>
      <c r="AK56" s="946"/>
      <c r="AL56" s="946"/>
      <c r="AM56" s="946"/>
      <c r="AN56" s="946"/>
      <c r="AO56" s="946"/>
      <c r="AP56" s="946"/>
      <c r="AQ56" s="946"/>
      <c r="AR56" s="946"/>
      <c r="AS56" s="946"/>
      <c r="AT56" s="946"/>
      <c r="AU56" s="946"/>
    </row>
    <row r="57" spans="1:48" ht="15.75" customHeight="1">
      <c r="A57" s="672"/>
      <c r="B57" s="1165" t="s">
        <v>4342</v>
      </c>
      <c r="C57" s="1109"/>
      <c r="D57" s="1109"/>
      <c r="E57" s="1109"/>
      <c r="F57" s="1109"/>
      <c r="G57" s="1109"/>
      <c r="H57" s="952">
        <v>0.06</v>
      </c>
      <c r="I57" s="951">
        <f t="shared" ref="I57:AU57" si="35">$H$57</f>
        <v>0.06</v>
      </c>
      <c r="J57" s="951">
        <f t="shared" si="35"/>
        <v>0.06</v>
      </c>
      <c r="K57" s="951">
        <f t="shared" si="35"/>
        <v>0.06</v>
      </c>
      <c r="L57" s="951">
        <f t="shared" si="35"/>
        <v>0.06</v>
      </c>
      <c r="M57" s="951">
        <f t="shared" si="35"/>
        <v>0.06</v>
      </c>
      <c r="N57" s="951">
        <f t="shared" si="35"/>
        <v>0.06</v>
      </c>
      <c r="O57" s="951">
        <f t="shared" si="35"/>
        <v>0.06</v>
      </c>
      <c r="P57" s="951">
        <f t="shared" si="35"/>
        <v>0.06</v>
      </c>
      <c r="Q57" s="951">
        <f t="shared" si="35"/>
        <v>0.06</v>
      </c>
      <c r="R57" s="951">
        <f t="shared" si="35"/>
        <v>0.06</v>
      </c>
      <c r="S57" s="951">
        <f t="shared" si="35"/>
        <v>0.06</v>
      </c>
      <c r="T57" s="951">
        <f t="shared" si="35"/>
        <v>0.06</v>
      </c>
      <c r="U57" s="951">
        <f t="shared" si="35"/>
        <v>0.06</v>
      </c>
      <c r="V57" s="951">
        <f t="shared" si="35"/>
        <v>0.06</v>
      </c>
      <c r="W57" s="951">
        <f t="shared" si="35"/>
        <v>0.06</v>
      </c>
      <c r="X57" s="951">
        <f t="shared" si="35"/>
        <v>0.06</v>
      </c>
      <c r="Y57" s="951">
        <f t="shared" si="35"/>
        <v>0.06</v>
      </c>
      <c r="Z57" s="951">
        <f t="shared" si="35"/>
        <v>0.06</v>
      </c>
      <c r="AA57" s="951">
        <f t="shared" si="35"/>
        <v>0.06</v>
      </c>
      <c r="AB57" s="951">
        <f t="shared" si="35"/>
        <v>0.06</v>
      </c>
      <c r="AC57" s="951">
        <f t="shared" si="35"/>
        <v>0.06</v>
      </c>
      <c r="AD57" s="951">
        <f t="shared" si="35"/>
        <v>0.06</v>
      </c>
      <c r="AE57" s="951">
        <f t="shared" si="35"/>
        <v>0.06</v>
      </c>
      <c r="AF57" s="951">
        <f t="shared" si="35"/>
        <v>0.06</v>
      </c>
      <c r="AG57" s="951">
        <f t="shared" si="35"/>
        <v>0.06</v>
      </c>
      <c r="AH57" s="951">
        <f t="shared" si="35"/>
        <v>0.06</v>
      </c>
      <c r="AI57" s="951">
        <f t="shared" si="35"/>
        <v>0.06</v>
      </c>
      <c r="AJ57" s="951">
        <f t="shared" si="35"/>
        <v>0.06</v>
      </c>
      <c r="AK57" s="951">
        <f t="shared" si="35"/>
        <v>0.06</v>
      </c>
      <c r="AL57" s="951">
        <f t="shared" si="35"/>
        <v>0.06</v>
      </c>
      <c r="AM57" s="951">
        <f t="shared" si="35"/>
        <v>0.06</v>
      </c>
      <c r="AN57" s="951">
        <f t="shared" si="35"/>
        <v>0.06</v>
      </c>
      <c r="AO57" s="951">
        <f t="shared" si="35"/>
        <v>0.06</v>
      </c>
      <c r="AP57" s="951">
        <f t="shared" si="35"/>
        <v>0.06</v>
      </c>
      <c r="AQ57" s="951">
        <f t="shared" si="35"/>
        <v>0.06</v>
      </c>
      <c r="AR57" s="951">
        <f t="shared" si="35"/>
        <v>0.06</v>
      </c>
      <c r="AS57" s="951">
        <f t="shared" si="35"/>
        <v>0.06</v>
      </c>
      <c r="AT57" s="951">
        <f t="shared" si="35"/>
        <v>0.06</v>
      </c>
      <c r="AU57" s="951">
        <f t="shared" si="35"/>
        <v>0.06</v>
      </c>
    </row>
    <row r="58" spans="1:48" ht="15.75" customHeight="1">
      <c r="A58" s="672"/>
      <c r="B58" s="1165" t="s">
        <v>1205</v>
      </c>
      <c r="C58" s="1109"/>
      <c r="D58" s="1109"/>
      <c r="E58" s="1109"/>
      <c r="F58" s="1109"/>
      <c r="G58" s="1109"/>
      <c r="H58" s="953">
        <f t="shared" ref="H58:AU58" si="36">H50/H57</f>
        <v>0</v>
      </c>
      <c r="I58" s="953">
        <f t="shared" si="36"/>
        <v>0</v>
      </c>
      <c r="J58" s="953">
        <f t="shared" si="36"/>
        <v>0</v>
      </c>
      <c r="K58" s="953">
        <f t="shared" si="36"/>
        <v>0</v>
      </c>
      <c r="L58" s="953">
        <f t="shared" si="36"/>
        <v>0</v>
      </c>
      <c r="M58" s="953">
        <f t="shared" si="36"/>
        <v>0</v>
      </c>
      <c r="N58" s="953">
        <f t="shared" si="36"/>
        <v>0</v>
      </c>
      <c r="O58" s="953">
        <f t="shared" si="36"/>
        <v>0</v>
      </c>
      <c r="P58" s="953">
        <f t="shared" si="36"/>
        <v>0</v>
      </c>
      <c r="Q58" s="953">
        <f t="shared" si="36"/>
        <v>0</v>
      </c>
      <c r="R58" s="953">
        <f t="shared" si="36"/>
        <v>0</v>
      </c>
      <c r="S58" s="953">
        <f t="shared" si="36"/>
        <v>0</v>
      </c>
      <c r="T58" s="953">
        <f t="shared" si="36"/>
        <v>0</v>
      </c>
      <c r="U58" s="953">
        <f t="shared" si="36"/>
        <v>0</v>
      </c>
      <c r="V58" s="953">
        <f t="shared" si="36"/>
        <v>0</v>
      </c>
      <c r="W58" s="953">
        <f t="shared" si="36"/>
        <v>0</v>
      </c>
      <c r="X58" s="953">
        <f t="shared" si="36"/>
        <v>0</v>
      </c>
      <c r="Y58" s="953">
        <f t="shared" si="36"/>
        <v>0</v>
      </c>
      <c r="Z58" s="953">
        <f t="shared" si="36"/>
        <v>0</v>
      </c>
      <c r="AA58" s="953">
        <f t="shared" si="36"/>
        <v>0</v>
      </c>
      <c r="AB58" s="953">
        <f t="shared" si="36"/>
        <v>0</v>
      </c>
      <c r="AC58" s="953">
        <f t="shared" si="36"/>
        <v>0</v>
      </c>
      <c r="AD58" s="953">
        <f t="shared" si="36"/>
        <v>0</v>
      </c>
      <c r="AE58" s="953">
        <f t="shared" si="36"/>
        <v>0</v>
      </c>
      <c r="AF58" s="953">
        <f t="shared" si="36"/>
        <v>0</v>
      </c>
      <c r="AG58" s="953">
        <f t="shared" si="36"/>
        <v>0</v>
      </c>
      <c r="AH58" s="953">
        <f t="shared" si="36"/>
        <v>0</v>
      </c>
      <c r="AI58" s="953">
        <f t="shared" si="36"/>
        <v>0</v>
      </c>
      <c r="AJ58" s="953">
        <f t="shared" si="36"/>
        <v>0</v>
      </c>
      <c r="AK58" s="953">
        <f t="shared" si="36"/>
        <v>0</v>
      </c>
      <c r="AL58" s="953">
        <f t="shared" si="36"/>
        <v>0</v>
      </c>
      <c r="AM58" s="953">
        <f t="shared" si="36"/>
        <v>0</v>
      </c>
      <c r="AN58" s="953">
        <f t="shared" si="36"/>
        <v>0</v>
      </c>
      <c r="AO58" s="953">
        <f t="shared" si="36"/>
        <v>0</v>
      </c>
      <c r="AP58" s="953">
        <f t="shared" si="36"/>
        <v>0</v>
      </c>
      <c r="AQ58" s="953">
        <f t="shared" si="36"/>
        <v>0</v>
      </c>
      <c r="AR58" s="953">
        <f t="shared" si="36"/>
        <v>0</v>
      </c>
      <c r="AS58" s="953">
        <f t="shared" si="36"/>
        <v>0</v>
      </c>
      <c r="AT58" s="953">
        <f t="shared" si="36"/>
        <v>0</v>
      </c>
      <c r="AU58" s="953">
        <f t="shared" si="36"/>
        <v>0</v>
      </c>
      <c r="AV58" s="943"/>
    </row>
    <row r="59" spans="1:48" ht="15.75" customHeight="1">
      <c r="A59" s="672"/>
      <c r="B59" s="1165" t="s">
        <v>4341</v>
      </c>
      <c r="C59" s="1109"/>
      <c r="D59" s="1109"/>
      <c r="E59" s="1109"/>
      <c r="F59" s="1109"/>
      <c r="G59" s="1109"/>
      <c r="H59" s="952">
        <v>0.85</v>
      </c>
      <c r="I59" s="951">
        <f t="shared" ref="I59:AU59" si="37">$H$59</f>
        <v>0.85</v>
      </c>
      <c r="J59" s="951">
        <f t="shared" si="37"/>
        <v>0.85</v>
      </c>
      <c r="K59" s="951">
        <f t="shared" si="37"/>
        <v>0.85</v>
      </c>
      <c r="L59" s="951">
        <f t="shared" si="37"/>
        <v>0.85</v>
      </c>
      <c r="M59" s="951">
        <f t="shared" si="37"/>
        <v>0.85</v>
      </c>
      <c r="N59" s="951">
        <f t="shared" si="37"/>
        <v>0.85</v>
      </c>
      <c r="O59" s="951">
        <f t="shared" si="37"/>
        <v>0.85</v>
      </c>
      <c r="P59" s="951">
        <f t="shared" si="37"/>
        <v>0.85</v>
      </c>
      <c r="Q59" s="951">
        <f t="shared" si="37"/>
        <v>0.85</v>
      </c>
      <c r="R59" s="951">
        <f t="shared" si="37"/>
        <v>0.85</v>
      </c>
      <c r="S59" s="951">
        <f t="shared" si="37"/>
        <v>0.85</v>
      </c>
      <c r="T59" s="951">
        <f t="shared" si="37"/>
        <v>0.85</v>
      </c>
      <c r="U59" s="951">
        <f t="shared" si="37"/>
        <v>0.85</v>
      </c>
      <c r="V59" s="951">
        <f t="shared" si="37"/>
        <v>0.85</v>
      </c>
      <c r="W59" s="951">
        <f t="shared" si="37"/>
        <v>0.85</v>
      </c>
      <c r="X59" s="951">
        <f t="shared" si="37"/>
        <v>0.85</v>
      </c>
      <c r="Y59" s="951">
        <f t="shared" si="37"/>
        <v>0.85</v>
      </c>
      <c r="Z59" s="951">
        <f t="shared" si="37"/>
        <v>0.85</v>
      </c>
      <c r="AA59" s="951">
        <f t="shared" si="37"/>
        <v>0.85</v>
      </c>
      <c r="AB59" s="951">
        <f t="shared" si="37"/>
        <v>0.85</v>
      </c>
      <c r="AC59" s="951">
        <f t="shared" si="37"/>
        <v>0.85</v>
      </c>
      <c r="AD59" s="951">
        <f t="shared" si="37"/>
        <v>0.85</v>
      </c>
      <c r="AE59" s="951">
        <f t="shared" si="37"/>
        <v>0.85</v>
      </c>
      <c r="AF59" s="951">
        <f t="shared" si="37"/>
        <v>0.85</v>
      </c>
      <c r="AG59" s="951">
        <f t="shared" si="37"/>
        <v>0.85</v>
      </c>
      <c r="AH59" s="951">
        <f t="shared" si="37"/>
        <v>0.85</v>
      </c>
      <c r="AI59" s="951">
        <f t="shared" si="37"/>
        <v>0.85</v>
      </c>
      <c r="AJ59" s="951">
        <f t="shared" si="37"/>
        <v>0.85</v>
      </c>
      <c r="AK59" s="951">
        <f t="shared" si="37"/>
        <v>0.85</v>
      </c>
      <c r="AL59" s="951">
        <f t="shared" si="37"/>
        <v>0.85</v>
      </c>
      <c r="AM59" s="951">
        <f t="shared" si="37"/>
        <v>0.85</v>
      </c>
      <c r="AN59" s="951">
        <f t="shared" si="37"/>
        <v>0.85</v>
      </c>
      <c r="AO59" s="951">
        <f t="shared" si="37"/>
        <v>0.85</v>
      </c>
      <c r="AP59" s="951">
        <f t="shared" si="37"/>
        <v>0.85</v>
      </c>
      <c r="AQ59" s="951">
        <f t="shared" si="37"/>
        <v>0.85</v>
      </c>
      <c r="AR59" s="951">
        <f t="shared" si="37"/>
        <v>0.85</v>
      </c>
      <c r="AS59" s="951">
        <f t="shared" si="37"/>
        <v>0.85</v>
      </c>
      <c r="AT59" s="951">
        <f t="shared" si="37"/>
        <v>0.85</v>
      </c>
      <c r="AU59" s="951">
        <f t="shared" si="37"/>
        <v>0.85</v>
      </c>
      <c r="AV59" s="943"/>
    </row>
    <row r="60" spans="1:48" ht="15.75" customHeight="1">
      <c r="A60" s="672"/>
      <c r="B60" s="1165" t="s">
        <v>4340</v>
      </c>
      <c r="C60" s="1109"/>
      <c r="D60" s="1109"/>
      <c r="E60" s="1109"/>
      <c r="F60" s="1109"/>
      <c r="G60" s="1109"/>
      <c r="H60" s="950">
        <f t="shared" ref="H60:AU60" si="38">ABS(H58*H59)</f>
        <v>0</v>
      </c>
      <c r="I60" s="950">
        <f t="shared" si="38"/>
        <v>0</v>
      </c>
      <c r="J60" s="950">
        <f t="shared" si="38"/>
        <v>0</v>
      </c>
      <c r="K60" s="950">
        <f t="shared" si="38"/>
        <v>0</v>
      </c>
      <c r="L60" s="950">
        <f t="shared" si="38"/>
        <v>0</v>
      </c>
      <c r="M60" s="950">
        <f t="shared" si="38"/>
        <v>0</v>
      </c>
      <c r="N60" s="950">
        <f t="shared" si="38"/>
        <v>0</v>
      </c>
      <c r="O60" s="950">
        <f t="shared" si="38"/>
        <v>0</v>
      </c>
      <c r="P60" s="950">
        <f t="shared" si="38"/>
        <v>0</v>
      </c>
      <c r="Q60" s="950">
        <f t="shared" si="38"/>
        <v>0</v>
      </c>
      <c r="R60" s="950">
        <f t="shared" si="38"/>
        <v>0</v>
      </c>
      <c r="S60" s="950">
        <f t="shared" si="38"/>
        <v>0</v>
      </c>
      <c r="T60" s="950">
        <f t="shared" si="38"/>
        <v>0</v>
      </c>
      <c r="U60" s="950">
        <f t="shared" si="38"/>
        <v>0</v>
      </c>
      <c r="V60" s="950">
        <f t="shared" si="38"/>
        <v>0</v>
      </c>
      <c r="W60" s="950">
        <f t="shared" si="38"/>
        <v>0</v>
      </c>
      <c r="X60" s="950">
        <f t="shared" si="38"/>
        <v>0</v>
      </c>
      <c r="Y60" s="950">
        <f t="shared" si="38"/>
        <v>0</v>
      </c>
      <c r="Z60" s="950">
        <f t="shared" si="38"/>
        <v>0</v>
      </c>
      <c r="AA60" s="950">
        <f t="shared" si="38"/>
        <v>0</v>
      </c>
      <c r="AB60" s="950">
        <f t="shared" si="38"/>
        <v>0</v>
      </c>
      <c r="AC60" s="950">
        <f t="shared" si="38"/>
        <v>0</v>
      </c>
      <c r="AD60" s="950">
        <f t="shared" si="38"/>
        <v>0</v>
      </c>
      <c r="AE60" s="950">
        <f t="shared" si="38"/>
        <v>0</v>
      </c>
      <c r="AF60" s="950">
        <f t="shared" si="38"/>
        <v>0</v>
      </c>
      <c r="AG60" s="950">
        <f t="shared" si="38"/>
        <v>0</v>
      </c>
      <c r="AH60" s="950">
        <f t="shared" si="38"/>
        <v>0</v>
      </c>
      <c r="AI60" s="950">
        <f t="shared" si="38"/>
        <v>0</v>
      </c>
      <c r="AJ60" s="950">
        <f t="shared" si="38"/>
        <v>0</v>
      </c>
      <c r="AK60" s="950">
        <f t="shared" si="38"/>
        <v>0</v>
      </c>
      <c r="AL60" s="950">
        <f t="shared" si="38"/>
        <v>0</v>
      </c>
      <c r="AM60" s="950">
        <f t="shared" si="38"/>
        <v>0</v>
      </c>
      <c r="AN60" s="950">
        <f t="shared" si="38"/>
        <v>0</v>
      </c>
      <c r="AO60" s="950">
        <f t="shared" si="38"/>
        <v>0</v>
      </c>
      <c r="AP60" s="950">
        <f t="shared" si="38"/>
        <v>0</v>
      </c>
      <c r="AQ60" s="950">
        <f t="shared" si="38"/>
        <v>0</v>
      </c>
      <c r="AR60" s="950">
        <f t="shared" si="38"/>
        <v>0</v>
      </c>
      <c r="AS60" s="950">
        <f t="shared" si="38"/>
        <v>0</v>
      </c>
      <c r="AT60" s="950">
        <f t="shared" si="38"/>
        <v>0</v>
      </c>
      <c r="AU60" s="950">
        <f t="shared" si="38"/>
        <v>0</v>
      </c>
      <c r="AV60" s="943"/>
    </row>
    <row r="61" spans="1:48" ht="7.5" customHeight="1">
      <c r="A61" s="672"/>
      <c r="B61" s="949"/>
      <c r="C61" s="948"/>
      <c r="D61" s="948"/>
      <c r="E61" s="948"/>
      <c r="F61" s="948"/>
      <c r="G61" s="948"/>
      <c r="H61" s="947"/>
      <c r="I61" s="948"/>
      <c r="J61" s="948"/>
      <c r="K61" s="948"/>
      <c r="L61" s="948"/>
      <c r="M61" s="948"/>
      <c r="N61" s="948"/>
      <c r="O61" s="948"/>
      <c r="P61" s="948"/>
      <c r="Q61" s="947"/>
      <c r="R61" s="946"/>
      <c r="S61" s="946"/>
      <c r="T61" s="946"/>
      <c r="U61" s="946"/>
      <c r="V61" s="946"/>
      <c r="W61" s="946"/>
      <c r="X61" s="946"/>
      <c r="Y61" s="946"/>
      <c r="Z61" s="946"/>
      <c r="AA61" s="946"/>
      <c r="AB61" s="946"/>
      <c r="AC61" s="946"/>
      <c r="AD61" s="946"/>
      <c r="AE61" s="946"/>
      <c r="AF61" s="946"/>
      <c r="AG61" s="946"/>
      <c r="AH61" s="946"/>
      <c r="AI61" s="946"/>
      <c r="AJ61" s="946"/>
      <c r="AK61" s="946"/>
      <c r="AL61" s="946"/>
      <c r="AM61" s="946"/>
      <c r="AN61" s="946"/>
      <c r="AO61" s="946"/>
      <c r="AP61" s="946"/>
      <c r="AQ61" s="946"/>
      <c r="AR61" s="946"/>
      <c r="AS61" s="946"/>
      <c r="AT61" s="946"/>
      <c r="AU61" s="946"/>
      <c r="AV61" s="943"/>
    </row>
    <row r="62" spans="1:48" ht="15.75" customHeight="1">
      <c r="A62" s="672"/>
      <c r="B62" s="1165" t="s">
        <v>4339</v>
      </c>
      <c r="C62" s="1109"/>
      <c r="D62" s="1109"/>
      <c r="E62" s="1109"/>
      <c r="F62" s="1109"/>
      <c r="G62" s="1109"/>
      <c r="H62" s="945">
        <f t="shared" ref="H62:AU62" si="39">MIN(H55,H60)</f>
        <v>0</v>
      </c>
      <c r="I62" s="945">
        <f t="shared" si="39"/>
        <v>0</v>
      </c>
      <c r="J62" s="945">
        <f t="shared" si="39"/>
        <v>0</v>
      </c>
      <c r="K62" s="945">
        <f t="shared" si="39"/>
        <v>0</v>
      </c>
      <c r="L62" s="945">
        <f t="shared" si="39"/>
        <v>0</v>
      </c>
      <c r="M62" s="945">
        <f t="shared" si="39"/>
        <v>0</v>
      </c>
      <c r="N62" s="945">
        <f t="shared" si="39"/>
        <v>0</v>
      </c>
      <c r="O62" s="945">
        <f t="shared" si="39"/>
        <v>0</v>
      </c>
      <c r="P62" s="945">
        <f t="shared" si="39"/>
        <v>0</v>
      </c>
      <c r="Q62" s="945">
        <f t="shared" si="39"/>
        <v>0</v>
      </c>
      <c r="R62" s="945">
        <f t="shared" si="39"/>
        <v>0</v>
      </c>
      <c r="S62" s="945">
        <f t="shared" si="39"/>
        <v>0</v>
      </c>
      <c r="T62" s="945">
        <f t="shared" si="39"/>
        <v>0</v>
      </c>
      <c r="U62" s="945">
        <f t="shared" si="39"/>
        <v>0</v>
      </c>
      <c r="V62" s="945">
        <f t="shared" si="39"/>
        <v>0</v>
      </c>
      <c r="W62" s="945">
        <f t="shared" si="39"/>
        <v>0</v>
      </c>
      <c r="X62" s="945">
        <f t="shared" si="39"/>
        <v>0</v>
      </c>
      <c r="Y62" s="945">
        <f t="shared" si="39"/>
        <v>0</v>
      </c>
      <c r="Z62" s="945">
        <f t="shared" si="39"/>
        <v>0</v>
      </c>
      <c r="AA62" s="945">
        <f t="shared" si="39"/>
        <v>0</v>
      </c>
      <c r="AB62" s="945">
        <f t="shared" si="39"/>
        <v>0</v>
      </c>
      <c r="AC62" s="945">
        <f t="shared" si="39"/>
        <v>0</v>
      </c>
      <c r="AD62" s="945">
        <f t="shared" si="39"/>
        <v>0</v>
      </c>
      <c r="AE62" s="945">
        <f t="shared" si="39"/>
        <v>0</v>
      </c>
      <c r="AF62" s="945">
        <f t="shared" si="39"/>
        <v>0</v>
      </c>
      <c r="AG62" s="945">
        <f t="shared" si="39"/>
        <v>0</v>
      </c>
      <c r="AH62" s="945">
        <f t="shared" si="39"/>
        <v>0</v>
      </c>
      <c r="AI62" s="945">
        <f t="shared" si="39"/>
        <v>0</v>
      </c>
      <c r="AJ62" s="945">
        <f t="shared" si="39"/>
        <v>0</v>
      </c>
      <c r="AK62" s="945">
        <f t="shared" si="39"/>
        <v>0</v>
      </c>
      <c r="AL62" s="945">
        <f t="shared" si="39"/>
        <v>0</v>
      </c>
      <c r="AM62" s="945">
        <f t="shared" si="39"/>
        <v>0</v>
      </c>
      <c r="AN62" s="945">
        <f t="shared" si="39"/>
        <v>0</v>
      </c>
      <c r="AO62" s="945">
        <f t="shared" si="39"/>
        <v>0</v>
      </c>
      <c r="AP62" s="945">
        <f t="shared" si="39"/>
        <v>0</v>
      </c>
      <c r="AQ62" s="945">
        <f t="shared" si="39"/>
        <v>0</v>
      </c>
      <c r="AR62" s="945">
        <f t="shared" si="39"/>
        <v>0</v>
      </c>
      <c r="AS62" s="945">
        <f t="shared" si="39"/>
        <v>0</v>
      </c>
      <c r="AT62" s="945">
        <f t="shared" si="39"/>
        <v>0</v>
      </c>
      <c r="AU62" s="944">
        <f t="shared" si="39"/>
        <v>0</v>
      </c>
      <c r="AV62" s="943"/>
    </row>
    <row r="63" spans="1:48" ht="7.5" customHeight="1">
      <c r="A63" s="672"/>
      <c r="B63" s="949"/>
      <c r="C63" s="948"/>
      <c r="D63" s="948"/>
      <c r="E63" s="948"/>
      <c r="F63" s="948"/>
      <c r="G63" s="948"/>
      <c r="H63" s="947"/>
      <c r="I63" s="948"/>
      <c r="J63" s="948"/>
      <c r="K63" s="948"/>
      <c r="L63" s="948"/>
      <c r="M63" s="948"/>
      <c r="N63" s="948"/>
      <c r="O63" s="948"/>
      <c r="P63" s="948"/>
      <c r="Q63" s="947"/>
      <c r="R63" s="946"/>
      <c r="S63" s="946"/>
      <c r="T63" s="946"/>
      <c r="U63" s="946"/>
      <c r="V63" s="946"/>
      <c r="W63" s="946"/>
      <c r="X63" s="946"/>
      <c r="Y63" s="946"/>
      <c r="Z63" s="946"/>
      <c r="AA63" s="946"/>
      <c r="AB63" s="946"/>
      <c r="AC63" s="946"/>
      <c r="AD63" s="946"/>
      <c r="AE63" s="946"/>
      <c r="AF63" s="946"/>
      <c r="AG63" s="946"/>
      <c r="AH63" s="946"/>
      <c r="AI63" s="946"/>
      <c r="AJ63" s="946"/>
      <c r="AK63" s="946"/>
      <c r="AL63" s="946"/>
      <c r="AM63" s="946"/>
      <c r="AN63" s="946"/>
      <c r="AO63" s="946"/>
      <c r="AP63" s="946"/>
      <c r="AQ63" s="946"/>
      <c r="AR63" s="946"/>
      <c r="AS63" s="946"/>
      <c r="AT63" s="946"/>
      <c r="AU63" s="946"/>
      <c r="AV63" s="943"/>
    </row>
    <row r="64" spans="1:48" ht="15.75" customHeight="1">
      <c r="A64" s="943"/>
      <c r="B64" s="1165" t="s">
        <v>4338</v>
      </c>
      <c r="C64" s="1109"/>
      <c r="D64" s="1109"/>
      <c r="E64" s="1109"/>
      <c r="F64" s="1109"/>
      <c r="G64" s="1109"/>
      <c r="H64" s="945">
        <f t="shared" ref="H64:AU64" si="40">H48-H62</f>
        <v>0</v>
      </c>
      <c r="I64" s="945">
        <f t="shared" si="40"/>
        <v>0</v>
      </c>
      <c r="J64" s="945">
        <f t="shared" si="40"/>
        <v>0</v>
      </c>
      <c r="K64" s="945">
        <f t="shared" si="40"/>
        <v>0</v>
      </c>
      <c r="L64" s="945">
        <f t="shared" si="40"/>
        <v>0</v>
      </c>
      <c r="M64" s="945">
        <f t="shared" si="40"/>
        <v>0</v>
      </c>
      <c r="N64" s="945">
        <f t="shared" si="40"/>
        <v>0</v>
      </c>
      <c r="O64" s="945">
        <f t="shared" si="40"/>
        <v>0</v>
      </c>
      <c r="P64" s="945">
        <f t="shared" si="40"/>
        <v>0</v>
      </c>
      <c r="Q64" s="945">
        <f t="shared" si="40"/>
        <v>0</v>
      </c>
      <c r="R64" s="945">
        <f t="shared" si="40"/>
        <v>0</v>
      </c>
      <c r="S64" s="945">
        <f t="shared" si="40"/>
        <v>0</v>
      </c>
      <c r="T64" s="945">
        <f t="shared" si="40"/>
        <v>0</v>
      </c>
      <c r="U64" s="945">
        <f t="shared" si="40"/>
        <v>0</v>
      </c>
      <c r="V64" s="945">
        <f t="shared" si="40"/>
        <v>0</v>
      </c>
      <c r="W64" s="945">
        <f t="shared" si="40"/>
        <v>0</v>
      </c>
      <c r="X64" s="945">
        <f t="shared" si="40"/>
        <v>0</v>
      </c>
      <c r="Y64" s="945">
        <f t="shared" si="40"/>
        <v>0</v>
      </c>
      <c r="Z64" s="945">
        <f t="shared" si="40"/>
        <v>0</v>
      </c>
      <c r="AA64" s="945">
        <f t="shared" si="40"/>
        <v>0</v>
      </c>
      <c r="AB64" s="945">
        <f t="shared" si="40"/>
        <v>0</v>
      </c>
      <c r="AC64" s="945">
        <f t="shared" si="40"/>
        <v>0</v>
      </c>
      <c r="AD64" s="945">
        <f t="shared" si="40"/>
        <v>0</v>
      </c>
      <c r="AE64" s="945">
        <f t="shared" si="40"/>
        <v>0</v>
      </c>
      <c r="AF64" s="945">
        <f t="shared" si="40"/>
        <v>0</v>
      </c>
      <c r="AG64" s="945">
        <f t="shared" si="40"/>
        <v>0</v>
      </c>
      <c r="AH64" s="945">
        <f t="shared" si="40"/>
        <v>0</v>
      </c>
      <c r="AI64" s="945">
        <f t="shared" si="40"/>
        <v>0</v>
      </c>
      <c r="AJ64" s="945">
        <f t="shared" si="40"/>
        <v>0</v>
      </c>
      <c r="AK64" s="945">
        <f t="shared" si="40"/>
        <v>0</v>
      </c>
      <c r="AL64" s="945">
        <f t="shared" si="40"/>
        <v>0</v>
      </c>
      <c r="AM64" s="945">
        <f t="shared" si="40"/>
        <v>0</v>
      </c>
      <c r="AN64" s="945">
        <f t="shared" si="40"/>
        <v>0</v>
      </c>
      <c r="AO64" s="945">
        <f t="shared" si="40"/>
        <v>0</v>
      </c>
      <c r="AP64" s="945">
        <f t="shared" si="40"/>
        <v>0</v>
      </c>
      <c r="AQ64" s="945">
        <f t="shared" si="40"/>
        <v>0</v>
      </c>
      <c r="AR64" s="945">
        <f t="shared" si="40"/>
        <v>0</v>
      </c>
      <c r="AS64" s="945">
        <f t="shared" si="40"/>
        <v>0</v>
      </c>
      <c r="AT64" s="945">
        <f t="shared" si="40"/>
        <v>0</v>
      </c>
      <c r="AU64" s="944">
        <f t="shared" si="40"/>
        <v>0</v>
      </c>
      <c r="AV64" s="943"/>
    </row>
    <row r="65" spans="1:48" ht="15.75" customHeight="1">
      <c r="A65" s="672"/>
      <c r="B65" s="1166" t="s">
        <v>4337</v>
      </c>
      <c r="C65" s="1167"/>
      <c r="D65" s="1167"/>
      <c r="E65" s="1167"/>
      <c r="F65" s="1167"/>
      <c r="G65" s="1167"/>
      <c r="H65" s="942"/>
      <c r="I65" s="1168"/>
      <c r="J65" s="1169"/>
      <c r="K65" s="1169"/>
      <c r="L65" s="1169"/>
      <c r="M65" s="1169"/>
      <c r="N65" s="1169"/>
      <c r="O65" s="941"/>
      <c r="P65" s="941"/>
      <c r="Q65" s="940"/>
      <c r="R65" s="939"/>
      <c r="S65" s="939"/>
      <c r="T65" s="939"/>
      <c r="U65" s="939"/>
      <c r="V65" s="939"/>
      <c r="W65" s="939"/>
      <c r="X65" s="938"/>
      <c r="Y65" s="939"/>
      <c r="Z65" s="939"/>
      <c r="AA65" s="939"/>
      <c r="AB65" s="938"/>
      <c r="AC65" s="938"/>
      <c r="AD65" s="938"/>
      <c r="AE65" s="938"/>
      <c r="AF65" s="938"/>
      <c r="AG65" s="938"/>
      <c r="AH65" s="938"/>
      <c r="AI65" s="938"/>
      <c r="AJ65" s="938"/>
      <c r="AK65" s="938"/>
      <c r="AL65" s="938"/>
      <c r="AM65" s="938"/>
      <c r="AN65" s="938"/>
      <c r="AO65" s="938"/>
      <c r="AP65" s="938"/>
      <c r="AQ65" s="938"/>
      <c r="AR65" s="938"/>
      <c r="AS65" s="938"/>
      <c r="AT65" s="938"/>
      <c r="AU65" s="938"/>
      <c r="AV65" s="839"/>
    </row>
    <row r="66" spans="1:48" ht="15.75" customHeight="1">
      <c r="A66" s="672"/>
      <c r="C66" s="839"/>
      <c r="D66" s="839"/>
      <c r="E66" s="839"/>
      <c r="F66" s="839"/>
      <c r="G66" s="839"/>
      <c r="H66" s="839"/>
      <c r="I66" s="839"/>
      <c r="J66" s="839"/>
      <c r="K66" s="839"/>
      <c r="L66" s="839"/>
      <c r="M66" s="839"/>
      <c r="N66" s="839"/>
      <c r="O66" s="839"/>
      <c r="P66" s="839"/>
      <c r="Q66" s="839"/>
      <c r="R66" s="839"/>
      <c r="S66" s="839"/>
      <c r="T66" s="839"/>
      <c r="U66" s="839"/>
      <c r="V66" s="672"/>
      <c r="W66" s="672"/>
      <c r="X66" s="672"/>
      <c r="Y66" s="672"/>
      <c r="Z66" s="672"/>
      <c r="AA66" s="672"/>
      <c r="AB66" s="672"/>
      <c r="AC66" s="672"/>
      <c r="AD66" s="672"/>
      <c r="AE66" s="672"/>
      <c r="AF66" s="672"/>
      <c r="AG66" s="672"/>
      <c r="AH66" s="672"/>
      <c r="AI66" s="672"/>
      <c r="AJ66" s="672"/>
      <c r="AK66" s="672"/>
      <c r="AL66" s="672"/>
      <c r="AM66" s="672"/>
      <c r="AN66" s="672"/>
      <c r="AO66" s="672"/>
      <c r="AP66" s="672"/>
      <c r="AQ66" s="672"/>
      <c r="AR66" s="672"/>
      <c r="AS66" s="672"/>
      <c r="AT66" s="672"/>
      <c r="AU66" s="672"/>
      <c r="AV66" s="672"/>
    </row>
    <row r="67" spans="1:48" ht="16.2" hidden="1">
      <c r="A67" s="672"/>
      <c r="B67" s="839" t="s">
        <v>4336</v>
      </c>
      <c r="C67" s="839"/>
      <c r="D67" s="839"/>
      <c r="E67" s="839"/>
      <c r="F67" s="839"/>
      <c r="G67" s="839"/>
      <c r="H67" s="839"/>
      <c r="I67" s="839"/>
      <c r="J67" s="839"/>
      <c r="K67" s="839"/>
      <c r="L67" s="839"/>
      <c r="M67" s="839"/>
      <c r="N67" s="839"/>
      <c r="O67" s="839"/>
      <c r="P67" s="839"/>
      <c r="Q67" s="839"/>
      <c r="R67" s="839"/>
      <c r="S67" s="839"/>
      <c r="T67" s="839"/>
      <c r="U67" s="839"/>
      <c r="V67" s="672"/>
      <c r="W67" s="672"/>
      <c r="X67" s="672"/>
      <c r="Y67" s="672"/>
      <c r="Z67" s="672"/>
      <c r="AA67" s="672"/>
      <c r="AB67" s="672"/>
      <c r="AC67" s="672"/>
      <c r="AD67" s="672"/>
      <c r="AE67" s="672"/>
      <c r="AF67" s="672"/>
      <c r="AG67" s="672"/>
      <c r="AH67" s="672"/>
      <c r="AI67" s="672"/>
      <c r="AJ67" s="672"/>
      <c r="AK67" s="672"/>
      <c r="AL67" s="672"/>
      <c r="AM67" s="672"/>
      <c r="AN67" s="672"/>
      <c r="AO67" s="672"/>
      <c r="AP67" s="672"/>
      <c r="AQ67" s="672"/>
      <c r="AR67" s="672"/>
      <c r="AS67" s="672"/>
      <c r="AT67" s="672"/>
      <c r="AU67" s="672"/>
      <c r="AV67" s="672"/>
    </row>
    <row r="68" spans="1:48" ht="15.6" hidden="1">
      <c r="A68" s="549"/>
      <c r="B68" s="932" t="s">
        <v>4330</v>
      </c>
      <c r="C68" s="932"/>
      <c r="D68" s="932"/>
      <c r="E68" s="932"/>
      <c r="F68" s="932"/>
      <c r="G68" s="932"/>
      <c r="H68" s="932" t="s">
        <v>4329</v>
      </c>
      <c r="I68" s="932" t="s">
        <v>4328</v>
      </c>
      <c r="J68" s="932" t="s">
        <v>4327</v>
      </c>
      <c r="K68" s="932" t="s">
        <v>4326</v>
      </c>
      <c r="L68" s="932" t="s">
        <v>4325</v>
      </c>
      <c r="M68" s="932" t="s">
        <v>4324</v>
      </c>
      <c r="N68" s="932" t="s">
        <v>4323</v>
      </c>
      <c r="O68" s="932" t="s">
        <v>4322</v>
      </c>
      <c r="P68" s="932" t="s">
        <v>4321</v>
      </c>
      <c r="Q68" s="932" t="s">
        <v>4320</v>
      </c>
      <c r="R68" s="932" t="s">
        <v>4319</v>
      </c>
      <c r="S68" s="932" t="s">
        <v>4318</v>
      </c>
      <c r="T68" s="932" t="s">
        <v>4317</v>
      </c>
      <c r="U68" s="932" t="s">
        <v>4316</v>
      </c>
      <c r="V68" s="932" t="s">
        <v>4315</v>
      </c>
      <c r="W68" s="932" t="s">
        <v>4314</v>
      </c>
      <c r="X68" s="932" t="s">
        <v>4313</v>
      </c>
      <c r="Y68" s="932" t="s">
        <v>4312</v>
      </c>
      <c r="Z68" s="932" t="s">
        <v>4311</v>
      </c>
      <c r="AA68" s="932" t="s">
        <v>4310</v>
      </c>
      <c r="AB68" s="932" t="s">
        <v>4309</v>
      </c>
      <c r="AC68" s="932" t="s">
        <v>4308</v>
      </c>
      <c r="AD68" s="932" t="s">
        <v>4307</v>
      </c>
      <c r="AE68" s="932" t="s">
        <v>4306</v>
      </c>
      <c r="AF68" s="932" t="s">
        <v>4305</v>
      </c>
      <c r="AG68" s="932" t="s">
        <v>4304</v>
      </c>
      <c r="AH68" s="932" t="s">
        <v>4303</v>
      </c>
      <c r="AI68" s="932" t="s">
        <v>4302</v>
      </c>
      <c r="AJ68" s="932" t="s">
        <v>4301</v>
      </c>
      <c r="AK68" s="932" t="s">
        <v>4300</v>
      </c>
      <c r="AL68" s="932" t="s">
        <v>4299</v>
      </c>
      <c r="AM68" s="932" t="s">
        <v>4298</v>
      </c>
      <c r="AN68" s="932" t="s">
        <v>4297</v>
      </c>
      <c r="AO68" s="932" t="s">
        <v>4296</v>
      </c>
      <c r="AP68" s="932" t="s">
        <v>4295</v>
      </c>
      <c r="AQ68" s="932" t="s">
        <v>4294</v>
      </c>
      <c r="AR68" s="932" t="s">
        <v>4293</v>
      </c>
      <c r="AS68" s="932" t="s">
        <v>4292</v>
      </c>
      <c r="AT68" s="932" t="s">
        <v>4291</v>
      </c>
      <c r="AU68" s="932" t="s">
        <v>4290</v>
      </c>
    </row>
    <row r="69" spans="1:48" hidden="1">
      <c r="E69" s="555"/>
      <c r="F69" t="s">
        <v>4335</v>
      </c>
      <c r="G69" s="929">
        <f>M2</f>
        <v>0</v>
      </c>
      <c r="H69" s="928">
        <f>G69</f>
        <v>0</v>
      </c>
      <c r="I69" s="928">
        <f t="shared" ref="I69:AU69" si="41">H71</f>
        <v>0</v>
      </c>
      <c r="J69" s="928">
        <f t="shared" si="41"/>
        <v>0</v>
      </c>
      <c r="K69" s="928">
        <f t="shared" si="41"/>
        <v>0</v>
      </c>
      <c r="L69" s="928">
        <f t="shared" si="41"/>
        <v>0</v>
      </c>
      <c r="M69" s="928">
        <f t="shared" si="41"/>
        <v>0</v>
      </c>
      <c r="N69" s="928">
        <f t="shared" si="41"/>
        <v>0</v>
      </c>
      <c r="O69" s="928">
        <f t="shared" si="41"/>
        <v>0</v>
      </c>
      <c r="P69" s="928">
        <f t="shared" si="41"/>
        <v>0</v>
      </c>
      <c r="Q69" s="928">
        <f t="shared" si="41"/>
        <v>0</v>
      </c>
      <c r="R69" s="928">
        <f t="shared" si="41"/>
        <v>0</v>
      </c>
      <c r="S69" s="928">
        <f t="shared" si="41"/>
        <v>0</v>
      </c>
      <c r="T69" s="928">
        <f t="shared" si="41"/>
        <v>0</v>
      </c>
      <c r="U69" s="928">
        <f t="shared" si="41"/>
        <v>0</v>
      </c>
      <c r="V69" s="928">
        <f t="shared" si="41"/>
        <v>0</v>
      </c>
      <c r="W69" s="928">
        <f t="shared" si="41"/>
        <v>0</v>
      </c>
      <c r="X69" s="928">
        <f t="shared" si="41"/>
        <v>0</v>
      </c>
      <c r="Y69" s="928">
        <f t="shared" si="41"/>
        <v>0</v>
      </c>
      <c r="Z69" s="928">
        <f t="shared" si="41"/>
        <v>0</v>
      </c>
      <c r="AA69" s="928">
        <f t="shared" si="41"/>
        <v>0</v>
      </c>
      <c r="AB69" s="928">
        <f t="shared" si="41"/>
        <v>0</v>
      </c>
      <c r="AC69" s="928">
        <f t="shared" si="41"/>
        <v>0</v>
      </c>
      <c r="AD69" s="928">
        <f t="shared" si="41"/>
        <v>0</v>
      </c>
      <c r="AE69" s="928">
        <f t="shared" si="41"/>
        <v>0</v>
      </c>
      <c r="AF69" s="928">
        <f t="shared" si="41"/>
        <v>0</v>
      </c>
      <c r="AG69" s="928">
        <f t="shared" si="41"/>
        <v>0</v>
      </c>
      <c r="AH69" s="928">
        <f t="shared" si="41"/>
        <v>0</v>
      </c>
      <c r="AI69" s="928">
        <f t="shared" si="41"/>
        <v>0</v>
      </c>
      <c r="AJ69" s="928">
        <f t="shared" si="41"/>
        <v>0</v>
      </c>
      <c r="AK69" s="928">
        <f t="shared" si="41"/>
        <v>0</v>
      </c>
      <c r="AL69" s="928">
        <f t="shared" si="41"/>
        <v>0</v>
      </c>
      <c r="AM69" s="928">
        <f t="shared" si="41"/>
        <v>0</v>
      </c>
      <c r="AN69" s="928">
        <f t="shared" si="41"/>
        <v>0</v>
      </c>
      <c r="AO69" s="928">
        <f t="shared" si="41"/>
        <v>0</v>
      </c>
      <c r="AP69" s="928">
        <f t="shared" si="41"/>
        <v>0</v>
      </c>
      <c r="AQ69" s="928">
        <f t="shared" si="41"/>
        <v>0</v>
      </c>
      <c r="AR69" s="928">
        <f t="shared" si="41"/>
        <v>0</v>
      </c>
      <c r="AS69" s="928">
        <f t="shared" si="41"/>
        <v>0</v>
      </c>
      <c r="AT69" s="928">
        <f t="shared" si="41"/>
        <v>0</v>
      </c>
      <c r="AU69" s="928">
        <f t="shared" si="41"/>
        <v>0</v>
      </c>
    </row>
    <row r="70" spans="1:48" hidden="1">
      <c r="F70" s="555" t="s">
        <v>4288</v>
      </c>
      <c r="G70" s="928"/>
      <c r="H70" s="928">
        <f t="shared" ref="H70:AU70" si="42">H28</f>
        <v>0</v>
      </c>
      <c r="I70" s="928">
        <f t="shared" si="42"/>
        <v>0</v>
      </c>
      <c r="J70" s="928">
        <f t="shared" si="42"/>
        <v>0</v>
      </c>
      <c r="K70" s="928">
        <f t="shared" si="42"/>
        <v>0</v>
      </c>
      <c r="L70" s="928">
        <f t="shared" si="42"/>
        <v>0</v>
      </c>
      <c r="M70" s="928">
        <f t="shared" si="42"/>
        <v>0</v>
      </c>
      <c r="N70" s="928">
        <f t="shared" si="42"/>
        <v>0</v>
      </c>
      <c r="O70" s="928">
        <f t="shared" si="42"/>
        <v>0</v>
      </c>
      <c r="P70" s="928">
        <f t="shared" si="42"/>
        <v>0</v>
      </c>
      <c r="Q70" s="928">
        <f t="shared" si="42"/>
        <v>0</v>
      </c>
      <c r="R70" s="928">
        <f t="shared" si="42"/>
        <v>0</v>
      </c>
      <c r="S70" s="928">
        <f t="shared" si="42"/>
        <v>0</v>
      </c>
      <c r="T70" s="928">
        <f t="shared" si="42"/>
        <v>0</v>
      </c>
      <c r="U70" s="928">
        <f t="shared" si="42"/>
        <v>0</v>
      </c>
      <c r="V70" s="928">
        <f t="shared" si="42"/>
        <v>0</v>
      </c>
      <c r="W70" s="928">
        <f t="shared" si="42"/>
        <v>0</v>
      </c>
      <c r="X70" s="928">
        <f t="shared" si="42"/>
        <v>0</v>
      </c>
      <c r="Y70" s="928">
        <f t="shared" si="42"/>
        <v>0</v>
      </c>
      <c r="Z70" s="928">
        <f t="shared" si="42"/>
        <v>0</v>
      </c>
      <c r="AA70" s="928">
        <f t="shared" si="42"/>
        <v>0</v>
      </c>
      <c r="AB70" s="928">
        <f t="shared" si="42"/>
        <v>0</v>
      </c>
      <c r="AC70" s="928">
        <f t="shared" si="42"/>
        <v>0</v>
      </c>
      <c r="AD70" s="928">
        <f t="shared" si="42"/>
        <v>0</v>
      </c>
      <c r="AE70" s="928">
        <f t="shared" si="42"/>
        <v>0</v>
      </c>
      <c r="AF70" s="928">
        <f t="shared" si="42"/>
        <v>0</v>
      </c>
      <c r="AG70" s="928">
        <f t="shared" si="42"/>
        <v>0</v>
      </c>
      <c r="AH70" s="928">
        <f t="shared" si="42"/>
        <v>0</v>
      </c>
      <c r="AI70" s="928">
        <f t="shared" si="42"/>
        <v>0</v>
      </c>
      <c r="AJ70" s="928">
        <f t="shared" si="42"/>
        <v>0</v>
      </c>
      <c r="AK70" s="928">
        <f t="shared" si="42"/>
        <v>0</v>
      </c>
      <c r="AL70" s="928">
        <f t="shared" si="42"/>
        <v>0</v>
      </c>
      <c r="AM70" s="928">
        <f t="shared" si="42"/>
        <v>0</v>
      </c>
      <c r="AN70" s="928">
        <f t="shared" si="42"/>
        <v>0</v>
      </c>
      <c r="AO70" s="928">
        <f t="shared" si="42"/>
        <v>0</v>
      </c>
      <c r="AP70" s="928">
        <f t="shared" si="42"/>
        <v>0</v>
      </c>
      <c r="AQ70" s="928">
        <f t="shared" si="42"/>
        <v>0</v>
      </c>
      <c r="AR70" s="928">
        <f t="shared" si="42"/>
        <v>0</v>
      </c>
      <c r="AS70" s="928">
        <f t="shared" si="42"/>
        <v>0</v>
      </c>
      <c r="AT70" s="928">
        <f t="shared" si="42"/>
        <v>0</v>
      </c>
      <c r="AU70" s="928">
        <f t="shared" si="42"/>
        <v>0</v>
      </c>
    </row>
    <row r="71" spans="1:48" hidden="1">
      <c r="F71" s="555" t="s">
        <v>2674</v>
      </c>
      <c r="G71" s="928"/>
      <c r="H71" s="928">
        <f t="shared" ref="H71:AU71" si="43">H69-H70</f>
        <v>0</v>
      </c>
      <c r="I71" s="928">
        <f t="shared" si="43"/>
        <v>0</v>
      </c>
      <c r="J71" s="928">
        <f t="shared" si="43"/>
        <v>0</v>
      </c>
      <c r="K71" s="928">
        <f t="shared" si="43"/>
        <v>0</v>
      </c>
      <c r="L71" s="928">
        <f t="shared" si="43"/>
        <v>0</v>
      </c>
      <c r="M71" s="928">
        <f t="shared" si="43"/>
        <v>0</v>
      </c>
      <c r="N71" s="928">
        <f t="shared" si="43"/>
        <v>0</v>
      </c>
      <c r="O71" s="928">
        <f t="shared" si="43"/>
        <v>0</v>
      </c>
      <c r="P71" s="928">
        <f t="shared" si="43"/>
        <v>0</v>
      </c>
      <c r="Q71" s="928">
        <f t="shared" si="43"/>
        <v>0</v>
      </c>
      <c r="R71" s="928">
        <f t="shared" si="43"/>
        <v>0</v>
      </c>
      <c r="S71" s="928">
        <f t="shared" si="43"/>
        <v>0</v>
      </c>
      <c r="T71" s="928">
        <f t="shared" si="43"/>
        <v>0</v>
      </c>
      <c r="U71" s="928">
        <f t="shared" si="43"/>
        <v>0</v>
      </c>
      <c r="V71" s="928">
        <f t="shared" si="43"/>
        <v>0</v>
      </c>
      <c r="W71" s="928">
        <f t="shared" si="43"/>
        <v>0</v>
      </c>
      <c r="X71" s="928">
        <f t="shared" si="43"/>
        <v>0</v>
      </c>
      <c r="Y71" s="928">
        <f t="shared" si="43"/>
        <v>0</v>
      </c>
      <c r="Z71" s="928">
        <f t="shared" si="43"/>
        <v>0</v>
      </c>
      <c r="AA71" s="928">
        <f t="shared" si="43"/>
        <v>0</v>
      </c>
      <c r="AB71" s="928">
        <f t="shared" si="43"/>
        <v>0</v>
      </c>
      <c r="AC71" s="928">
        <f t="shared" si="43"/>
        <v>0</v>
      </c>
      <c r="AD71" s="928">
        <f t="shared" si="43"/>
        <v>0</v>
      </c>
      <c r="AE71" s="928">
        <f t="shared" si="43"/>
        <v>0</v>
      </c>
      <c r="AF71" s="928">
        <f t="shared" si="43"/>
        <v>0</v>
      </c>
      <c r="AG71" s="928">
        <f t="shared" si="43"/>
        <v>0</v>
      </c>
      <c r="AH71" s="928">
        <f t="shared" si="43"/>
        <v>0</v>
      </c>
      <c r="AI71" s="928">
        <f t="shared" si="43"/>
        <v>0</v>
      </c>
      <c r="AJ71" s="928">
        <f t="shared" si="43"/>
        <v>0</v>
      </c>
      <c r="AK71" s="928">
        <f t="shared" si="43"/>
        <v>0</v>
      </c>
      <c r="AL71" s="928">
        <f t="shared" si="43"/>
        <v>0</v>
      </c>
      <c r="AM71" s="928">
        <f t="shared" si="43"/>
        <v>0</v>
      </c>
      <c r="AN71" s="928">
        <f t="shared" si="43"/>
        <v>0</v>
      </c>
      <c r="AO71" s="928">
        <f t="shared" si="43"/>
        <v>0</v>
      </c>
      <c r="AP71" s="928">
        <f t="shared" si="43"/>
        <v>0</v>
      </c>
      <c r="AQ71" s="928">
        <f t="shared" si="43"/>
        <v>0</v>
      </c>
      <c r="AR71" s="928">
        <f t="shared" si="43"/>
        <v>0</v>
      </c>
      <c r="AS71" s="928">
        <f t="shared" si="43"/>
        <v>0</v>
      </c>
      <c r="AT71" s="928">
        <f t="shared" si="43"/>
        <v>0</v>
      </c>
      <c r="AU71" s="928">
        <f t="shared" si="43"/>
        <v>0</v>
      </c>
    </row>
    <row r="72" spans="1:48" hidden="1">
      <c r="F72" s="555"/>
      <c r="G72" s="928"/>
      <c r="H72" s="928"/>
      <c r="I72" s="928"/>
      <c r="J72" s="928"/>
      <c r="K72" s="928"/>
      <c r="L72" s="928"/>
      <c r="M72" s="928"/>
      <c r="N72" s="928"/>
      <c r="O72" s="928"/>
      <c r="P72" s="928"/>
      <c r="Q72" s="928"/>
      <c r="R72" s="935"/>
      <c r="S72" s="935"/>
      <c r="T72" s="934"/>
      <c r="U72" s="934"/>
      <c r="V72" s="934"/>
      <c r="W72" s="934"/>
      <c r="X72" s="934"/>
      <c r="Y72" s="934"/>
      <c r="Z72" s="934"/>
      <c r="AA72" s="934"/>
      <c r="AB72" s="934"/>
      <c r="AC72" s="934"/>
      <c r="AD72" s="934"/>
      <c r="AE72" s="934"/>
    </row>
    <row r="73" spans="1:48" ht="15.6" hidden="1">
      <c r="B73" s="932" t="s">
        <v>4330</v>
      </c>
      <c r="C73" s="932"/>
      <c r="D73" s="932"/>
      <c r="E73" s="932"/>
      <c r="F73" s="932"/>
      <c r="G73" s="932"/>
      <c r="H73" s="930" t="s">
        <v>4329</v>
      </c>
      <c r="I73" s="930" t="s">
        <v>4328</v>
      </c>
      <c r="J73" s="930" t="s">
        <v>4327</v>
      </c>
      <c r="K73" s="930" t="s">
        <v>4326</v>
      </c>
      <c r="L73" s="930" t="s">
        <v>4325</v>
      </c>
      <c r="M73" s="930" t="s">
        <v>4324</v>
      </c>
      <c r="N73" s="930" t="s">
        <v>4323</v>
      </c>
      <c r="O73" s="930" t="s">
        <v>4322</v>
      </c>
      <c r="P73" s="930" t="s">
        <v>4321</v>
      </c>
      <c r="Q73" s="930" t="s">
        <v>4320</v>
      </c>
      <c r="R73" s="930" t="s">
        <v>4319</v>
      </c>
      <c r="S73" s="930" t="s">
        <v>4318</v>
      </c>
      <c r="T73" s="930" t="s">
        <v>4317</v>
      </c>
      <c r="U73" s="930" t="s">
        <v>4316</v>
      </c>
      <c r="V73" s="930" t="s">
        <v>4315</v>
      </c>
      <c r="W73" s="930" t="s">
        <v>4314</v>
      </c>
      <c r="X73" s="930" t="s">
        <v>4313</v>
      </c>
      <c r="Y73" s="930" t="s">
        <v>4312</v>
      </c>
      <c r="Z73" s="930" t="s">
        <v>4311</v>
      </c>
      <c r="AA73" s="930" t="s">
        <v>4310</v>
      </c>
      <c r="AB73" s="930" t="s">
        <v>4309</v>
      </c>
      <c r="AC73" s="930" t="s">
        <v>4308</v>
      </c>
      <c r="AD73" s="930" t="s">
        <v>4307</v>
      </c>
      <c r="AE73" s="930" t="s">
        <v>4306</v>
      </c>
      <c r="AF73" s="930" t="s">
        <v>4305</v>
      </c>
      <c r="AG73" s="930" t="s">
        <v>4304</v>
      </c>
      <c r="AH73" s="930" t="s">
        <v>4303</v>
      </c>
      <c r="AI73" s="930" t="s">
        <v>4302</v>
      </c>
      <c r="AJ73" s="930" t="s">
        <v>4301</v>
      </c>
      <c r="AK73" s="930" t="s">
        <v>4300</v>
      </c>
      <c r="AL73" s="930" t="s">
        <v>4299</v>
      </c>
      <c r="AM73" s="930" t="s">
        <v>4298</v>
      </c>
      <c r="AN73" s="930" t="s">
        <v>4297</v>
      </c>
      <c r="AO73" s="930" t="s">
        <v>4296</v>
      </c>
      <c r="AP73" s="930" t="s">
        <v>4295</v>
      </c>
      <c r="AQ73" s="930" t="s">
        <v>4294</v>
      </c>
      <c r="AR73" s="930" t="s">
        <v>4293</v>
      </c>
      <c r="AS73" s="930" t="s">
        <v>4292</v>
      </c>
      <c r="AT73" s="930" t="s">
        <v>4291</v>
      </c>
      <c r="AU73" s="930" t="s">
        <v>4290</v>
      </c>
    </row>
    <row r="74" spans="1:48" hidden="1">
      <c r="F74" s="555" t="s">
        <v>4334</v>
      </c>
      <c r="G74" s="929">
        <f>M7</f>
        <v>0</v>
      </c>
      <c r="H74" s="928">
        <f>G74</f>
        <v>0</v>
      </c>
      <c r="I74" s="928">
        <f>H76*(1+Financing!$C$16)</f>
        <v>0</v>
      </c>
      <c r="J74" s="928">
        <f>I76*(1+Financing!$C$16)</f>
        <v>0</v>
      </c>
      <c r="K74" s="928">
        <f>J76*(1+Financing!$C$16)</f>
        <v>0</v>
      </c>
      <c r="L74" s="928">
        <f>K76*(1+Financing!$C$16)</f>
        <v>0</v>
      </c>
      <c r="M74" s="928">
        <f>L76*(1+Financing!$C$16)</f>
        <v>0</v>
      </c>
      <c r="N74" s="928">
        <f>M76*(1+Financing!$C$16)</f>
        <v>0</v>
      </c>
      <c r="O74" s="928">
        <f>N76*(1+Financing!$C$16)</f>
        <v>0</v>
      </c>
      <c r="P74" s="928">
        <f>O76*(1+Financing!$C$16)</f>
        <v>0</v>
      </c>
      <c r="Q74" s="928">
        <f>P76*(1+Financing!$C$16)</f>
        <v>0</v>
      </c>
      <c r="R74" s="928">
        <f>Q76*(1+Financing!$C$16)</f>
        <v>0</v>
      </c>
      <c r="S74" s="928">
        <f>R76*(1+Financing!$C$16)</f>
        <v>0</v>
      </c>
      <c r="T74" s="928">
        <f>S76*(1+Financing!$C$16)</f>
        <v>0</v>
      </c>
      <c r="U74" s="928">
        <f>T76*(1+Financing!$C$16)</f>
        <v>0</v>
      </c>
      <c r="V74" s="928">
        <f>U76*(1+Financing!$C$16)</f>
        <v>0</v>
      </c>
      <c r="W74" s="928">
        <f>V76*(1+Financing!$C$16)</f>
        <v>0</v>
      </c>
      <c r="X74" s="928">
        <f>W76*(1+Financing!$C$16)</f>
        <v>0</v>
      </c>
      <c r="Y74" s="928">
        <f>X76*(1+Financing!$C$16)</f>
        <v>0</v>
      </c>
      <c r="Z74" s="928">
        <f>Y76*(1+Financing!$C$16)</f>
        <v>0</v>
      </c>
      <c r="AA74" s="928">
        <f>Z76*(1+Financing!$C$16)</f>
        <v>0</v>
      </c>
      <c r="AB74" s="928">
        <f>AA76*(1+Financing!$C$16)</f>
        <v>0</v>
      </c>
      <c r="AC74" s="928">
        <f>AB76*(1+Financing!$C$16)</f>
        <v>0</v>
      </c>
      <c r="AD74" s="928">
        <f>AC76*(1+Financing!$C$16)</f>
        <v>0</v>
      </c>
      <c r="AE74" s="928">
        <f>AD76*(1+Financing!$C$16)</f>
        <v>0</v>
      </c>
      <c r="AF74" s="928">
        <f>AE76*(1+Financing!$C$16)</f>
        <v>0</v>
      </c>
      <c r="AG74" s="928">
        <f>AF76*(1+Financing!$C$16)</f>
        <v>0</v>
      </c>
      <c r="AH74" s="928">
        <f>AG76*(1+Financing!$C$16)</f>
        <v>0</v>
      </c>
      <c r="AI74" s="928">
        <f>AH76*(1+Financing!$C$16)</f>
        <v>0</v>
      </c>
      <c r="AJ74" s="928">
        <f>AI76*(1+Financing!$C$16)</f>
        <v>0</v>
      </c>
      <c r="AK74" s="928">
        <f>AJ76*(1+Financing!$C$16)</f>
        <v>0</v>
      </c>
      <c r="AL74" s="928">
        <f>AK76*(1+Financing!$C$16)</f>
        <v>0</v>
      </c>
      <c r="AM74" s="928">
        <f>AL76*(1+Financing!$C$16)</f>
        <v>0</v>
      </c>
      <c r="AN74" s="928">
        <f>AM76*(1+Financing!$C$16)</f>
        <v>0</v>
      </c>
      <c r="AO74" s="928">
        <f>AN76*(1+Financing!$C$16)</f>
        <v>0</v>
      </c>
      <c r="AP74" s="928">
        <f>AO76*(1+Financing!$C$16)</f>
        <v>0</v>
      </c>
      <c r="AQ74" s="928">
        <f>AP76*(1+Financing!$C$16)</f>
        <v>0</v>
      </c>
      <c r="AR74" s="928">
        <f>AQ76*(1+Financing!$C$16)</f>
        <v>0</v>
      </c>
      <c r="AS74" s="928">
        <f>AR76*(1+Financing!$C$16)</f>
        <v>0</v>
      </c>
      <c r="AT74" s="928">
        <f>AS76*(1+Financing!$C$16)</f>
        <v>0</v>
      </c>
      <c r="AU74" s="928">
        <f>AT76*(1+Financing!$C$16)</f>
        <v>0</v>
      </c>
    </row>
    <row r="75" spans="1:48" hidden="1">
      <c r="F75" s="555" t="s">
        <v>4288</v>
      </c>
      <c r="G75" s="928"/>
      <c r="H75" s="928">
        <f t="shared" ref="H75:AU75" si="44">H29</f>
        <v>0</v>
      </c>
      <c r="I75" s="928">
        <f t="shared" si="44"/>
        <v>0</v>
      </c>
      <c r="J75" s="928">
        <f t="shared" si="44"/>
        <v>0</v>
      </c>
      <c r="K75" s="928">
        <f t="shared" si="44"/>
        <v>0</v>
      </c>
      <c r="L75" s="928">
        <f t="shared" si="44"/>
        <v>0</v>
      </c>
      <c r="M75" s="928">
        <f t="shared" si="44"/>
        <v>0</v>
      </c>
      <c r="N75" s="928">
        <f t="shared" si="44"/>
        <v>0</v>
      </c>
      <c r="O75" s="928">
        <f t="shared" si="44"/>
        <v>0</v>
      </c>
      <c r="P75" s="928">
        <f t="shared" si="44"/>
        <v>0</v>
      </c>
      <c r="Q75" s="928">
        <f t="shared" si="44"/>
        <v>0</v>
      </c>
      <c r="R75" s="928">
        <f t="shared" si="44"/>
        <v>0</v>
      </c>
      <c r="S75" s="928">
        <f t="shared" si="44"/>
        <v>0</v>
      </c>
      <c r="T75" s="928">
        <f t="shared" si="44"/>
        <v>0</v>
      </c>
      <c r="U75" s="928">
        <f t="shared" si="44"/>
        <v>0</v>
      </c>
      <c r="V75" s="928">
        <f t="shared" si="44"/>
        <v>0</v>
      </c>
      <c r="W75" s="928">
        <f t="shared" si="44"/>
        <v>0</v>
      </c>
      <c r="X75" s="928">
        <f t="shared" si="44"/>
        <v>0</v>
      </c>
      <c r="Y75" s="928">
        <f t="shared" si="44"/>
        <v>0</v>
      </c>
      <c r="Z75" s="928">
        <f t="shared" si="44"/>
        <v>0</v>
      </c>
      <c r="AA75" s="928">
        <f t="shared" si="44"/>
        <v>0</v>
      </c>
      <c r="AB75" s="928">
        <f t="shared" si="44"/>
        <v>0</v>
      </c>
      <c r="AC75" s="928">
        <f t="shared" si="44"/>
        <v>0</v>
      </c>
      <c r="AD75" s="928">
        <f t="shared" si="44"/>
        <v>0</v>
      </c>
      <c r="AE75" s="928">
        <f t="shared" si="44"/>
        <v>0</v>
      </c>
      <c r="AF75" s="928">
        <f t="shared" si="44"/>
        <v>0</v>
      </c>
      <c r="AG75" s="928">
        <f t="shared" si="44"/>
        <v>0</v>
      </c>
      <c r="AH75" s="928">
        <f t="shared" si="44"/>
        <v>0</v>
      </c>
      <c r="AI75" s="928">
        <f t="shared" si="44"/>
        <v>0</v>
      </c>
      <c r="AJ75" s="928">
        <f t="shared" si="44"/>
        <v>0</v>
      </c>
      <c r="AK75" s="928">
        <f t="shared" si="44"/>
        <v>0</v>
      </c>
      <c r="AL75" s="928">
        <f t="shared" si="44"/>
        <v>0</v>
      </c>
      <c r="AM75" s="928">
        <f t="shared" si="44"/>
        <v>0</v>
      </c>
      <c r="AN75" s="928">
        <f t="shared" si="44"/>
        <v>0</v>
      </c>
      <c r="AO75" s="928">
        <f t="shared" si="44"/>
        <v>0</v>
      </c>
      <c r="AP75" s="928">
        <f t="shared" si="44"/>
        <v>0</v>
      </c>
      <c r="AQ75" s="928">
        <f t="shared" si="44"/>
        <v>0</v>
      </c>
      <c r="AR75" s="928">
        <f t="shared" si="44"/>
        <v>0</v>
      </c>
      <c r="AS75" s="928">
        <f t="shared" si="44"/>
        <v>0</v>
      </c>
      <c r="AT75" s="928">
        <f t="shared" si="44"/>
        <v>0</v>
      </c>
      <c r="AU75" s="928">
        <f t="shared" si="44"/>
        <v>0</v>
      </c>
    </row>
    <row r="76" spans="1:48" hidden="1">
      <c r="F76" s="555" t="s">
        <v>2674</v>
      </c>
      <c r="G76" s="928"/>
      <c r="H76" s="928">
        <f t="shared" ref="H76:AU76" si="45">H74-H75</f>
        <v>0</v>
      </c>
      <c r="I76" s="928">
        <f t="shared" si="45"/>
        <v>0</v>
      </c>
      <c r="J76" s="928">
        <f t="shared" si="45"/>
        <v>0</v>
      </c>
      <c r="K76" s="928">
        <f t="shared" si="45"/>
        <v>0</v>
      </c>
      <c r="L76" s="928">
        <f t="shared" si="45"/>
        <v>0</v>
      </c>
      <c r="M76" s="928">
        <f t="shared" si="45"/>
        <v>0</v>
      </c>
      <c r="N76" s="928">
        <f t="shared" si="45"/>
        <v>0</v>
      </c>
      <c r="O76" s="928">
        <f t="shared" si="45"/>
        <v>0</v>
      </c>
      <c r="P76" s="928">
        <f t="shared" si="45"/>
        <v>0</v>
      </c>
      <c r="Q76" s="928">
        <f t="shared" si="45"/>
        <v>0</v>
      </c>
      <c r="R76" s="928">
        <f t="shared" si="45"/>
        <v>0</v>
      </c>
      <c r="S76" s="928">
        <f t="shared" si="45"/>
        <v>0</v>
      </c>
      <c r="T76" s="928">
        <f t="shared" si="45"/>
        <v>0</v>
      </c>
      <c r="U76" s="928">
        <f t="shared" si="45"/>
        <v>0</v>
      </c>
      <c r="V76" s="928">
        <f t="shared" si="45"/>
        <v>0</v>
      </c>
      <c r="W76" s="928">
        <f t="shared" si="45"/>
        <v>0</v>
      </c>
      <c r="X76" s="928">
        <f t="shared" si="45"/>
        <v>0</v>
      </c>
      <c r="Y76" s="928">
        <f t="shared" si="45"/>
        <v>0</v>
      </c>
      <c r="Z76" s="928">
        <f t="shared" si="45"/>
        <v>0</v>
      </c>
      <c r="AA76" s="928">
        <f t="shared" si="45"/>
        <v>0</v>
      </c>
      <c r="AB76" s="928">
        <f t="shared" si="45"/>
        <v>0</v>
      </c>
      <c r="AC76" s="928">
        <f t="shared" si="45"/>
        <v>0</v>
      </c>
      <c r="AD76" s="928">
        <f t="shared" si="45"/>
        <v>0</v>
      </c>
      <c r="AE76" s="928">
        <f t="shared" si="45"/>
        <v>0</v>
      </c>
      <c r="AF76" s="928">
        <f t="shared" si="45"/>
        <v>0</v>
      </c>
      <c r="AG76" s="928">
        <f t="shared" si="45"/>
        <v>0</v>
      </c>
      <c r="AH76" s="928">
        <f t="shared" si="45"/>
        <v>0</v>
      </c>
      <c r="AI76" s="928">
        <f t="shared" si="45"/>
        <v>0</v>
      </c>
      <c r="AJ76" s="928">
        <f t="shared" si="45"/>
        <v>0</v>
      </c>
      <c r="AK76" s="928">
        <f t="shared" si="45"/>
        <v>0</v>
      </c>
      <c r="AL76" s="928">
        <f t="shared" si="45"/>
        <v>0</v>
      </c>
      <c r="AM76" s="928">
        <f t="shared" si="45"/>
        <v>0</v>
      </c>
      <c r="AN76" s="928">
        <f t="shared" si="45"/>
        <v>0</v>
      </c>
      <c r="AO76" s="928">
        <f t="shared" si="45"/>
        <v>0</v>
      </c>
      <c r="AP76" s="928">
        <f t="shared" si="45"/>
        <v>0</v>
      </c>
      <c r="AQ76" s="928">
        <f t="shared" si="45"/>
        <v>0</v>
      </c>
      <c r="AR76" s="928">
        <f t="shared" si="45"/>
        <v>0</v>
      </c>
      <c r="AS76" s="928">
        <f t="shared" si="45"/>
        <v>0</v>
      </c>
      <c r="AT76" s="928">
        <f t="shared" si="45"/>
        <v>0</v>
      </c>
      <c r="AU76" s="928">
        <f t="shared" si="45"/>
        <v>0</v>
      </c>
    </row>
    <row r="77" spans="1:48" hidden="1">
      <c r="F77" s="555"/>
      <c r="G77" s="928"/>
      <c r="H77" s="928"/>
      <c r="I77" s="928"/>
      <c r="J77" s="928"/>
      <c r="K77" s="928"/>
      <c r="L77" s="928"/>
      <c r="M77" s="928"/>
      <c r="N77" s="928"/>
      <c r="O77" s="928"/>
      <c r="P77" s="928"/>
      <c r="Q77" s="928"/>
      <c r="R77" s="935"/>
      <c r="S77" s="935"/>
      <c r="T77" s="934"/>
      <c r="U77" s="934"/>
      <c r="V77" s="934"/>
      <c r="W77" s="934"/>
      <c r="X77" s="934"/>
      <c r="Y77" s="934"/>
      <c r="Z77" s="934"/>
      <c r="AA77" s="934"/>
      <c r="AB77" s="934"/>
      <c r="AC77" s="934"/>
      <c r="AD77" s="934"/>
      <c r="AE77" s="934"/>
    </row>
    <row r="78" spans="1:48" ht="15.6" hidden="1">
      <c r="B78" s="932" t="s">
        <v>4330</v>
      </c>
      <c r="C78" s="932"/>
      <c r="D78" s="932"/>
      <c r="E78" s="932"/>
      <c r="F78" s="933"/>
      <c r="G78" s="932"/>
      <c r="H78" s="930" t="s">
        <v>4329</v>
      </c>
      <c r="I78" s="931" t="s">
        <v>4328</v>
      </c>
      <c r="J78" s="930" t="s">
        <v>4327</v>
      </c>
      <c r="K78" s="930" t="s">
        <v>4326</v>
      </c>
      <c r="L78" s="930" t="s">
        <v>4325</v>
      </c>
      <c r="M78" s="930" t="s">
        <v>4324</v>
      </c>
      <c r="N78" s="930" t="s">
        <v>4323</v>
      </c>
      <c r="O78" s="930" t="s">
        <v>4322</v>
      </c>
      <c r="P78" s="930" t="s">
        <v>4321</v>
      </c>
      <c r="Q78" s="930" t="s">
        <v>4320</v>
      </c>
      <c r="R78" s="930" t="s">
        <v>4319</v>
      </c>
      <c r="S78" s="930" t="s">
        <v>4318</v>
      </c>
      <c r="T78" s="930" t="s">
        <v>4317</v>
      </c>
      <c r="U78" s="930" t="s">
        <v>4316</v>
      </c>
      <c r="V78" s="930" t="s">
        <v>4315</v>
      </c>
      <c r="W78" s="930" t="s">
        <v>4314</v>
      </c>
      <c r="X78" s="930" t="s">
        <v>4313</v>
      </c>
      <c r="Y78" s="930" t="s">
        <v>4312</v>
      </c>
      <c r="Z78" s="930" t="s">
        <v>4311</v>
      </c>
      <c r="AA78" s="930" t="s">
        <v>4310</v>
      </c>
      <c r="AB78" s="930" t="s">
        <v>4309</v>
      </c>
      <c r="AC78" s="930" t="s">
        <v>4308</v>
      </c>
      <c r="AD78" s="930" t="s">
        <v>4307</v>
      </c>
      <c r="AE78" s="930" t="s">
        <v>4306</v>
      </c>
      <c r="AF78" s="930" t="s">
        <v>4305</v>
      </c>
      <c r="AG78" s="930" t="s">
        <v>4304</v>
      </c>
      <c r="AH78" s="930" t="s">
        <v>4303</v>
      </c>
      <c r="AI78" s="930" t="s">
        <v>4302</v>
      </c>
      <c r="AJ78" s="930" t="s">
        <v>4301</v>
      </c>
      <c r="AK78" s="930" t="s">
        <v>4300</v>
      </c>
      <c r="AL78" s="930" t="s">
        <v>4299</v>
      </c>
      <c r="AM78" s="930" t="s">
        <v>4298</v>
      </c>
      <c r="AN78" s="930" t="s">
        <v>4297</v>
      </c>
      <c r="AO78" s="930" t="s">
        <v>4296</v>
      </c>
      <c r="AP78" s="930" t="s">
        <v>4295</v>
      </c>
      <c r="AQ78" s="930" t="s">
        <v>4294</v>
      </c>
      <c r="AR78" s="930" t="s">
        <v>4293</v>
      </c>
      <c r="AS78" s="930" t="s">
        <v>4292</v>
      </c>
      <c r="AT78" s="930" t="s">
        <v>4291</v>
      </c>
      <c r="AU78" s="930" t="s">
        <v>4290</v>
      </c>
    </row>
    <row r="79" spans="1:48" hidden="1">
      <c r="F79" s="555" t="s">
        <v>4333</v>
      </c>
      <c r="G79" s="929">
        <f>T2</f>
        <v>0</v>
      </c>
      <c r="H79" s="928">
        <f>G79</f>
        <v>0</v>
      </c>
      <c r="I79" s="928">
        <f>H81*(1+Financing!$C$17)</f>
        <v>0</v>
      </c>
      <c r="J79" s="928">
        <f>I81*(1+Financing!$C$17)</f>
        <v>0</v>
      </c>
      <c r="K79" s="928">
        <f>J81*(1+Financing!$C$17)</f>
        <v>0</v>
      </c>
      <c r="L79" s="928">
        <f>K81*(1+Financing!$C$17)</f>
        <v>0</v>
      </c>
      <c r="M79" s="928">
        <f>L81*(1+Financing!$C$17)</f>
        <v>0</v>
      </c>
      <c r="N79" s="928">
        <f>M81*(1+Financing!$C$17)</f>
        <v>0</v>
      </c>
      <c r="O79" s="928">
        <f>N81*(1+Financing!$C$17)</f>
        <v>0</v>
      </c>
      <c r="P79" s="928">
        <f>O81*(1+Financing!$C$17)</f>
        <v>0</v>
      </c>
      <c r="Q79" s="928">
        <f>P81*(1+Financing!$C$17)</f>
        <v>0</v>
      </c>
      <c r="R79" s="928">
        <f>Q81*(1+Financing!$C$17)</f>
        <v>0</v>
      </c>
      <c r="S79" s="928">
        <f>R81*(1+Financing!$C$17)</f>
        <v>0</v>
      </c>
      <c r="T79" s="928">
        <f>S81*(1+Financing!$C$17)</f>
        <v>0</v>
      </c>
      <c r="U79" s="928">
        <f>T81*(1+Financing!$C$17)</f>
        <v>0</v>
      </c>
      <c r="V79" s="928">
        <f>U81*(1+Financing!$C$17)</f>
        <v>0</v>
      </c>
      <c r="W79" s="928">
        <f>V81*(1+Financing!$C$17)</f>
        <v>0</v>
      </c>
      <c r="X79" s="928">
        <f>W81*(1+Financing!$C$17)</f>
        <v>0</v>
      </c>
      <c r="Y79" s="928">
        <f>X81*(1+Financing!$C$17)</f>
        <v>0</v>
      </c>
      <c r="Z79" s="928">
        <f>Y81*(1+Financing!$C$17)</f>
        <v>0</v>
      </c>
      <c r="AA79" s="928">
        <f>Z81*(1+Financing!$C$17)</f>
        <v>0</v>
      </c>
      <c r="AB79" s="928">
        <f>AA81*(1+Financing!$C$17)</f>
        <v>0</v>
      </c>
      <c r="AC79" s="928">
        <f>AB81*(1+Financing!$C$17)</f>
        <v>0</v>
      </c>
      <c r="AD79" s="928">
        <f>AC81*(1+Financing!$C$17)</f>
        <v>0</v>
      </c>
      <c r="AE79" s="928">
        <f>AD81*(1+Financing!$C$17)</f>
        <v>0</v>
      </c>
      <c r="AF79" s="928">
        <f>AE81*(1+Financing!$C$17)</f>
        <v>0</v>
      </c>
      <c r="AG79" s="928">
        <f>AF81*(1+Financing!$C$17)</f>
        <v>0</v>
      </c>
      <c r="AH79" s="928">
        <f>AG81*(1+Financing!$C$17)</f>
        <v>0</v>
      </c>
      <c r="AI79" s="928">
        <f>AH81*(1+Financing!$C$17)</f>
        <v>0</v>
      </c>
      <c r="AJ79" s="928">
        <f>AI81*(1+Financing!$C$17)</f>
        <v>0</v>
      </c>
      <c r="AK79" s="928">
        <f>AJ81*(1+Financing!$C$17)</f>
        <v>0</v>
      </c>
      <c r="AL79" s="928">
        <f>AK81*(1+Financing!$C$17)</f>
        <v>0</v>
      </c>
      <c r="AM79" s="928">
        <f>AL81*(1+Financing!$C$17)</f>
        <v>0</v>
      </c>
      <c r="AN79" s="928">
        <f>AM81*(1+Financing!$C$17)</f>
        <v>0</v>
      </c>
      <c r="AO79" s="928">
        <f>AN81*(1+Financing!$C$17)</f>
        <v>0</v>
      </c>
      <c r="AP79" s="928">
        <f>AO81*(1+Financing!$C$17)</f>
        <v>0</v>
      </c>
      <c r="AQ79" s="928">
        <f>AP81*(1+Financing!$C$17)</f>
        <v>0</v>
      </c>
      <c r="AR79" s="928">
        <f>AQ81*(1+Financing!$C$17)</f>
        <v>0</v>
      </c>
      <c r="AS79" s="928">
        <f>AR81*(1+Financing!$C$17)</f>
        <v>0</v>
      </c>
      <c r="AT79" s="928">
        <f>AS81*(1+Financing!$C$17)</f>
        <v>0</v>
      </c>
      <c r="AU79" s="928">
        <f>AT81*(1+Financing!$C$17)</f>
        <v>0</v>
      </c>
    </row>
    <row r="80" spans="1:48" hidden="1">
      <c r="F80" s="555" t="s">
        <v>4288</v>
      </c>
      <c r="G80" s="928"/>
      <c r="H80" s="928">
        <f t="shared" ref="H80:AU80" si="46">H30</f>
        <v>0</v>
      </c>
      <c r="I80" s="928">
        <f t="shared" si="46"/>
        <v>0</v>
      </c>
      <c r="J80" s="928">
        <f t="shared" si="46"/>
        <v>0</v>
      </c>
      <c r="K80" s="928">
        <f t="shared" si="46"/>
        <v>0</v>
      </c>
      <c r="L80" s="928">
        <f t="shared" si="46"/>
        <v>0</v>
      </c>
      <c r="M80" s="928">
        <f t="shared" si="46"/>
        <v>0</v>
      </c>
      <c r="N80" s="928">
        <f t="shared" si="46"/>
        <v>0</v>
      </c>
      <c r="O80" s="928">
        <f t="shared" si="46"/>
        <v>0</v>
      </c>
      <c r="P80" s="928">
        <f t="shared" si="46"/>
        <v>0</v>
      </c>
      <c r="Q80" s="928">
        <f t="shared" si="46"/>
        <v>0</v>
      </c>
      <c r="R80" s="928">
        <f t="shared" si="46"/>
        <v>0</v>
      </c>
      <c r="S80" s="928">
        <f t="shared" si="46"/>
        <v>0</v>
      </c>
      <c r="T80" s="928">
        <f t="shared" si="46"/>
        <v>0</v>
      </c>
      <c r="U80" s="928">
        <f t="shared" si="46"/>
        <v>0</v>
      </c>
      <c r="V80" s="928">
        <f t="shared" si="46"/>
        <v>0</v>
      </c>
      <c r="W80" s="928">
        <f t="shared" si="46"/>
        <v>0</v>
      </c>
      <c r="X80" s="928">
        <f t="shared" si="46"/>
        <v>0</v>
      </c>
      <c r="Y80" s="928">
        <f t="shared" si="46"/>
        <v>0</v>
      </c>
      <c r="Z80" s="928">
        <f t="shared" si="46"/>
        <v>0</v>
      </c>
      <c r="AA80" s="928">
        <f t="shared" si="46"/>
        <v>0</v>
      </c>
      <c r="AB80" s="928">
        <f t="shared" si="46"/>
        <v>0</v>
      </c>
      <c r="AC80" s="928">
        <f t="shared" si="46"/>
        <v>0</v>
      </c>
      <c r="AD80" s="928">
        <f t="shared" si="46"/>
        <v>0</v>
      </c>
      <c r="AE80" s="928">
        <f t="shared" si="46"/>
        <v>0</v>
      </c>
      <c r="AF80" s="928">
        <f t="shared" si="46"/>
        <v>0</v>
      </c>
      <c r="AG80" s="928">
        <f t="shared" si="46"/>
        <v>0</v>
      </c>
      <c r="AH80" s="928">
        <f t="shared" si="46"/>
        <v>0</v>
      </c>
      <c r="AI80" s="928">
        <f t="shared" si="46"/>
        <v>0</v>
      </c>
      <c r="AJ80" s="928">
        <f t="shared" si="46"/>
        <v>0</v>
      </c>
      <c r="AK80" s="928">
        <f t="shared" si="46"/>
        <v>0</v>
      </c>
      <c r="AL80" s="928">
        <f t="shared" si="46"/>
        <v>0</v>
      </c>
      <c r="AM80" s="928">
        <f t="shared" si="46"/>
        <v>0</v>
      </c>
      <c r="AN80" s="928">
        <f t="shared" si="46"/>
        <v>0</v>
      </c>
      <c r="AO80" s="928">
        <f t="shared" si="46"/>
        <v>0</v>
      </c>
      <c r="AP80" s="928">
        <f t="shared" si="46"/>
        <v>0</v>
      </c>
      <c r="AQ80" s="928">
        <f t="shared" si="46"/>
        <v>0</v>
      </c>
      <c r="AR80" s="928">
        <f t="shared" si="46"/>
        <v>0</v>
      </c>
      <c r="AS80" s="928">
        <f t="shared" si="46"/>
        <v>0</v>
      </c>
      <c r="AT80" s="928">
        <f t="shared" si="46"/>
        <v>0</v>
      </c>
      <c r="AU80" s="928">
        <f t="shared" si="46"/>
        <v>0</v>
      </c>
    </row>
    <row r="81" spans="1:52" hidden="1">
      <c r="F81" s="555" t="s">
        <v>2674</v>
      </c>
      <c r="G81" s="928"/>
      <c r="H81" s="928">
        <f t="shared" ref="H81:AU81" si="47">H79-H80</f>
        <v>0</v>
      </c>
      <c r="I81" s="928">
        <f t="shared" si="47"/>
        <v>0</v>
      </c>
      <c r="J81" s="928">
        <f t="shared" si="47"/>
        <v>0</v>
      </c>
      <c r="K81" s="928">
        <f t="shared" si="47"/>
        <v>0</v>
      </c>
      <c r="L81" s="928">
        <f t="shared" si="47"/>
        <v>0</v>
      </c>
      <c r="M81" s="928">
        <f t="shared" si="47"/>
        <v>0</v>
      </c>
      <c r="N81" s="928">
        <f t="shared" si="47"/>
        <v>0</v>
      </c>
      <c r="O81" s="928">
        <f t="shared" si="47"/>
        <v>0</v>
      </c>
      <c r="P81" s="928">
        <f t="shared" si="47"/>
        <v>0</v>
      </c>
      <c r="Q81" s="928">
        <f t="shared" si="47"/>
        <v>0</v>
      </c>
      <c r="R81" s="928">
        <f t="shared" si="47"/>
        <v>0</v>
      </c>
      <c r="S81" s="928">
        <f t="shared" si="47"/>
        <v>0</v>
      </c>
      <c r="T81" s="928">
        <f t="shared" si="47"/>
        <v>0</v>
      </c>
      <c r="U81" s="928">
        <f t="shared" si="47"/>
        <v>0</v>
      </c>
      <c r="V81" s="928">
        <f t="shared" si="47"/>
        <v>0</v>
      </c>
      <c r="W81" s="928">
        <f t="shared" si="47"/>
        <v>0</v>
      </c>
      <c r="X81" s="928">
        <f t="shared" si="47"/>
        <v>0</v>
      </c>
      <c r="Y81" s="928">
        <f t="shared" si="47"/>
        <v>0</v>
      </c>
      <c r="Z81" s="928">
        <f t="shared" si="47"/>
        <v>0</v>
      </c>
      <c r="AA81" s="928">
        <f t="shared" si="47"/>
        <v>0</v>
      </c>
      <c r="AB81" s="928">
        <f t="shared" si="47"/>
        <v>0</v>
      </c>
      <c r="AC81" s="928">
        <f t="shared" si="47"/>
        <v>0</v>
      </c>
      <c r="AD81" s="928">
        <f t="shared" si="47"/>
        <v>0</v>
      </c>
      <c r="AE81" s="928">
        <f t="shared" si="47"/>
        <v>0</v>
      </c>
      <c r="AF81" s="928">
        <f t="shared" si="47"/>
        <v>0</v>
      </c>
      <c r="AG81" s="928">
        <f t="shared" si="47"/>
        <v>0</v>
      </c>
      <c r="AH81" s="928">
        <f t="shared" si="47"/>
        <v>0</v>
      </c>
      <c r="AI81" s="928">
        <f t="shared" si="47"/>
        <v>0</v>
      </c>
      <c r="AJ81" s="928">
        <f t="shared" si="47"/>
        <v>0</v>
      </c>
      <c r="AK81" s="928">
        <f t="shared" si="47"/>
        <v>0</v>
      </c>
      <c r="AL81" s="928">
        <f t="shared" si="47"/>
        <v>0</v>
      </c>
      <c r="AM81" s="928">
        <f t="shared" si="47"/>
        <v>0</v>
      </c>
      <c r="AN81" s="928">
        <f t="shared" si="47"/>
        <v>0</v>
      </c>
      <c r="AO81" s="928">
        <f t="shared" si="47"/>
        <v>0</v>
      </c>
      <c r="AP81" s="928">
        <f t="shared" si="47"/>
        <v>0</v>
      </c>
      <c r="AQ81" s="928">
        <f t="shared" si="47"/>
        <v>0</v>
      </c>
      <c r="AR81" s="928">
        <f t="shared" si="47"/>
        <v>0</v>
      </c>
      <c r="AS81" s="928">
        <f t="shared" si="47"/>
        <v>0</v>
      </c>
      <c r="AT81" s="928">
        <f t="shared" si="47"/>
        <v>0</v>
      </c>
      <c r="AU81" s="928">
        <f t="shared" si="47"/>
        <v>0</v>
      </c>
    </row>
    <row r="82" spans="1:52" hidden="1">
      <c r="F82" s="937"/>
      <c r="G82" s="936"/>
      <c r="H82" s="936"/>
      <c r="I82" s="936"/>
      <c r="J82" s="936"/>
      <c r="K82" s="936"/>
      <c r="L82" s="936"/>
      <c r="M82" s="936"/>
      <c r="N82" s="936"/>
      <c r="O82" s="936"/>
      <c r="P82" s="936"/>
      <c r="Q82" s="936"/>
      <c r="R82" s="935"/>
      <c r="S82" s="935"/>
      <c r="T82" s="934"/>
      <c r="U82" s="934"/>
      <c r="V82" s="934"/>
      <c r="W82" s="934"/>
      <c r="X82" s="934"/>
      <c r="Y82" s="934"/>
      <c r="Z82" s="934"/>
      <c r="AA82" s="934"/>
      <c r="AB82" s="934"/>
      <c r="AC82" s="934"/>
      <c r="AD82" s="934"/>
      <c r="AE82" s="934"/>
    </row>
    <row r="83" spans="1:52" ht="15.6" hidden="1">
      <c r="B83" s="932" t="s">
        <v>4330</v>
      </c>
      <c r="C83" s="932"/>
      <c r="D83" s="932"/>
      <c r="E83" s="932"/>
      <c r="F83" s="933"/>
      <c r="G83" s="932"/>
      <c r="H83" s="930" t="s">
        <v>4329</v>
      </c>
      <c r="I83" s="931" t="s">
        <v>4328</v>
      </c>
      <c r="J83" s="930" t="s">
        <v>4327</v>
      </c>
      <c r="K83" s="930" t="s">
        <v>4326</v>
      </c>
      <c r="L83" s="930" t="s">
        <v>4325</v>
      </c>
      <c r="M83" s="930" t="s">
        <v>4324</v>
      </c>
      <c r="N83" s="930" t="s">
        <v>4323</v>
      </c>
      <c r="O83" s="930" t="s">
        <v>4322</v>
      </c>
      <c r="P83" s="930" t="s">
        <v>4321</v>
      </c>
      <c r="Q83" s="930" t="s">
        <v>4320</v>
      </c>
      <c r="R83" s="930" t="s">
        <v>4319</v>
      </c>
      <c r="S83" s="930" t="s">
        <v>4318</v>
      </c>
      <c r="T83" s="930" t="s">
        <v>4317</v>
      </c>
      <c r="U83" s="930" t="s">
        <v>4316</v>
      </c>
      <c r="V83" s="930" t="s">
        <v>4315</v>
      </c>
      <c r="W83" s="930" t="s">
        <v>4314</v>
      </c>
      <c r="X83" s="930" t="s">
        <v>4313</v>
      </c>
      <c r="Y83" s="930" t="s">
        <v>4312</v>
      </c>
      <c r="Z83" s="930" t="s">
        <v>4311</v>
      </c>
      <c r="AA83" s="930" t="s">
        <v>4310</v>
      </c>
      <c r="AB83" s="930" t="s">
        <v>4309</v>
      </c>
      <c r="AC83" s="930" t="s">
        <v>4308</v>
      </c>
      <c r="AD83" s="930" t="s">
        <v>4307</v>
      </c>
      <c r="AE83" s="930" t="s">
        <v>4306</v>
      </c>
      <c r="AF83" s="930" t="s">
        <v>4305</v>
      </c>
      <c r="AG83" s="930" t="s">
        <v>4304</v>
      </c>
      <c r="AH83" s="930" t="s">
        <v>4303</v>
      </c>
      <c r="AI83" s="930" t="s">
        <v>4302</v>
      </c>
      <c r="AJ83" s="930" t="s">
        <v>4301</v>
      </c>
      <c r="AK83" s="930" t="s">
        <v>4300</v>
      </c>
      <c r="AL83" s="930" t="s">
        <v>4299</v>
      </c>
      <c r="AM83" s="930" t="s">
        <v>4298</v>
      </c>
      <c r="AN83" s="930" t="s">
        <v>4297</v>
      </c>
      <c r="AO83" s="930" t="s">
        <v>4296</v>
      </c>
      <c r="AP83" s="930" t="s">
        <v>4295</v>
      </c>
      <c r="AQ83" s="930" t="s">
        <v>4294</v>
      </c>
      <c r="AR83" s="930" t="s">
        <v>4293</v>
      </c>
      <c r="AS83" s="930" t="s">
        <v>4292</v>
      </c>
      <c r="AT83" s="930" t="s">
        <v>4291</v>
      </c>
      <c r="AU83" s="930" t="s">
        <v>4290</v>
      </c>
    </row>
    <row r="84" spans="1:52" hidden="1">
      <c r="F84" s="555" t="s">
        <v>4332</v>
      </c>
      <c r="G84" s="929">
        <f>T7</f>
        <v>0</v>
      </c>
      <c r="H84" s="928">
        <f>G84</f>
        <v>0</v>
      </c>
      <c r="I84" s="928">
        <f>H86*(1+Financing!$C$18)</f>
        <v>0</v>
      </c>
      <c r="J84" s="928">
        <f>I86*(1+Financing!$C$18)</f>
        <v>0</v>
      </c>
      <c r="K84" s="928">
        <f>J86*(1+Financing!$C$18)</f>
        <v>0</v>
      </c>
      <c r="L84" s="928">
        <f>K86*(1+Financing!$C$18)</f>
        <v>0</v>
      </c>
      <c r="M84" s="928">
        <f>L86*(1+Financing!$C$18)</f>
        <v>0</v>
      </c>
      <c r="N84" s="928">
        <f>M86*(1+Financing!$C$18)</f>
        <v>0</v>
      </c>
      <c r="O84" s="928">
        <f>N86*(1+Financing!$C$18)</f>
        <v>0</v>
      </c>
      <c r="P84" s="928">
        <f>O86*(1+Financing!$C$18)</f>
        <v>0</v>
      </c>
      <c r="Q84" s="928">
        <f>P86*(1+Financing!$C$18)</f>
        <v>0</v>
      </c>
      <c r="R84" s="928">
        <f>Q86*(1+Financing!$C$18)</f>
        <v>0</v>
      </c>
      <c r="S84" s="928">
        <f>R86*(1+Financing!$C$18)</f>
        <v>0</v>
      </c>
      <c r="T84" s="928">
        <f>S86*(1+Financing!$C$18)</f>
        <v>0</v>
      </c>
      <c r="U84" s="928">
        <f>T86*(1+Financing!$C$18)</f>
        <v>0</v>
      </c>
      <c r="V84" s="928">
        <f>U86*(1+Financing!$C$18)</f>
        <v>0</v>
      </c>
      <c r="W84" s="928">
        <f>V86*(1+Financing!$C$18)</f>
        <v>0</v>
      </c>
      <c r="X84" s="928">
        <f>W86*(1+Financing!$C$18)</f>
        <v>0</v>
      </c>
      <c r="Y84" s="928">
        <f>X86*(1+Financing!$C$18)</f>
        <v>0</v>
      </c>
      <c r="Z84" s="928">
        <f>Y86*(1+Financing!$C$18)</f>
        <v>0</v>
      </c>
      <c r="AA84" s="928">
        <f>Z86*(1+Financing!$C$18)</f>
        <v>0</v>
      </c>
      <c r="AB84" s="928">
        <f>AA86*(1+Financing!$C$18)</f>
        <v>0</v>
      </c>
      <c r="AC84" s="928">
        <f>AB86*(1+Financing!$C$18)</f>
        <v>0</v>
      </c>
      <c r="AD84" s="928">
        <f>AC86*(1+Financing!$C$18)</f>
        <v>0</v>
      </c>
      <c r="AE84" s="928">
        <f>AD86*(1+Financing!$C$18)</f>
        <v>0</v>
      </c>
      <c r="AF84" s="928">
        <f>AE86*(1+Financing!$C$18)</f>
        <v>0</v>
      </c>
      <c r="AG84" s="928">
        <f>AF86*(1+Financing!$C$18)</f>
        <v>0</v>
      </c>
      <c r="AH84" s="928">
        <f>AG86*(1+Financing!$C$18)</f>
        <v>0</v>
      </c>
      <c r="AI84" s="928">
        <f>AH86*(1+Financing!$C$18)</f>
        <v>0</v>
      </c>
      <c r="AJ84" s="928">
        <f>AI86*(1+Financing!$C$18)</f>
        <v>0</v>
      </c>
      <c r="AK84" s="928">
        <f>AJ86*(1+Financing!$C$18)</f>
        <v>0</v>
      </c>
      <c r="AL84" s="928">
        <f>AK86*(1+Financing!$C$18)</f>
        <v>0</v>
      </c>
      <c r="AM84" s="928">
        <f>AL86*(1+Financing!$C$18)</f>
        <v>0</v>
      </c>
      <c r="AN84" s="928">
        <f>AM86*(1+Financing!$C$18)</f>
        <v>0</v>
      </c>
      <c r="AO84" s="928">
        <f>AN86*(1+Financing!$C$18)</f>
        <v>0</v>
      </c>
      <c r="AP84" s="928">
        <f>AO86*(1+Financing!$C$18)</f>
        <v>0</v>
      </c>
      <c r="AQ84" s="928">
        <f>AP86*(1+Financing!$C$18)</f>
        <v>0</v>
      </c>
      <c r="AR84" s="928">
        <f>AQ86*(1+Financing!$C$18)</f>
        <v>0</v>
      </c>
      <c r="AS84" s="928">
        <f>AR86*(1+Financing!$C$18)</f>
        <v>0</v>
      </c>
      <c r="AT84" s="928">
        <f>AS86*(1+Financing!$C$18)</f>
        <v>0</v>
      </c>
      <c r="AU84" s="928">
        <f>AT86*(1+Financing!$C$18)</f>
        <v>0</v>
      </c>
    </row>
    <row r="85" spans="1:52" hidden="1">
      <c r="F85" s="555" t="s">
        <v>4288</v>
      </c>
      <c r="G85" s="928"/>
      <c r="H85" s="928">
        <f t="shared" ref="H85:AU85" si="48">H31</f>
        <v>0</v>
      </c>
      <c r="I85" s="928">
        <f t="shared" si="48"/>
        <v>0</v>
      </c>
      <c r="J85" s="928">
        <f t="shared" si="48"/>
        <v>0</v>
      </c>
      <c r="K85" s="928">
        <f t="shared" si="48"/>
        <v>0</v>
      </c>
      <c r="L85" s="928">
        <f t="shared" si="48"/>
        <v>0</v>
      </c>
      <c r="M85" s="928">
        <f t="shared" si="48"/>
        <v>0</v>
      </c>
      <c r="N85" s="928">
        <f t="shared" si="48"/>
        <v>0</v>
      </c>
      <c r="O85" s="928">
        <f t="shared" si="48"/>
        <v>0</v>
      </c>
      <c r="P85" s="928">
        <f t="shared" si="48"/>
        <v>0</v>
      </c>
      <c r="Q85" s="928">
        <f t="shared" si="48"/>
        <v>0</v>
      </c>
      <c r="R85" s="928">
        <f t="shared" si="48"/>
        <v>0</v>
      </c>
      <c r="S85" s="928">
        <f t="shared" si="48"/>
        <v>0</v>
      </c>
      <c r="T85" s="928">
        <f t="shared" si="48"/>
        <v>0</v>
      </c>
      <c r="U85" s="928">
        <f t="shared" si="48"/>
        <v>0</v>
      </c>
      <c r="V85" s="928">
        <f t="shared" si="48"/>
        <v>0</v>
      </c>
      <c r="W85" s="928">
        <f t="shared" si="48"/>
        <v>0</v>
      </c>
      <c r="X85" s="928">
        <f t="shared" si="48"/>
        <v>0</v>
      </c>
      <c r="Y85" s="928">
        <f t="shared" si="48"/>
        <v>0</v>
      </c>
      <c r="Z85" s="928">
        <f t="shared" si="48"/>
        <v>0</v>
      </c>
      <c r="AA85" s="928">
        <f t="shared" si="48"/>
        <v>0</v>
      </c>
      <c r="AB85" s="928">
        <f t="shared" si="48"/>
        <v>0</v>
      </c>
      <c r="AC85" s="928">
        <f t="shared" si="48"/>
        <v>0</v>
      </c>
      <c r="AD85" s="928">
        <f t="shared" si="48"/>
        <v>0</v>
      </c>
      <c r="AE85" s="928">
        <f t="shared" si="48"/>
        <v>0</v>
      </c>
      <c r="AF85" s="928">
        <f t="shared" si="48"/>
        <v>0</v>
      </c>
      <c r="AG85" s="928">
        <f t="shared" si="48"/>
        <v>0</v>
      </c>
      <c r="AH85" s="928">
        <f t="shared" si="48"/>
        <v>0</v>
      </c>
      <c r="AI85" s="928">
        <f t="shared" si="48"/>
        <v>0</v>
      </c>
      <c r="AJ85" s="928">
        <f t="shared" si="48"/>
        <v>0</v>
      </c>
      <c r="AK85" s="928">
        <f t="shared" si="48"/>
        <v>0</v>
      </c>
      <c r="AL85" s="928">
        <f t="shared" si="48"/>
        <v>0</v>
      </c>
      <c r="AM85" s="928">
        <f t="shared" si="48"/>
        <v>0</v>
      </c>
      <c r="AN85" s="928">
        <f t="shared" si="48"/>
        <v>0</v>
      </c>
      <c r="AO85" s="928">
        <f t="shared" si="48"/>
        <v>0</v>
      </c>
      <c r="AP85" s="928">
        <f t="shared" si="48"/>
        <v>0</v>
      </c>
      <c r="AQ85" s="928">
        <f t="shared" si="48"/>
        <v>0</v>
      </c>
      <c r="AR85" s="928">
        <f t="shared" si="48"/>
        <v>0</v>
      </c>
      <c r="AS85" s="928">
        <f t="shared" si="48"/>
        <v>0</v>
      </c>
      <c r="AT85" s="928">
        <f t="shared" si="48"/>
        <v>0</v>
      </c>
      <c r="AU85" s="928">
        <f t="shared" si="48"/>
        <v>0</v>
      </c>
    </row>
    <row r="86" spans="1:52" hidden="1">
      <c r="F86" s="555" t="s">
        <v>2674</v>
      </c>
      <c r="G86" s="928"/>
      <c r="H86" s="928">
        <f t="shared" ref="H86:AU86" si="49">H84-H85</f>
        <v>0</v>
      </c>
      <c r="I86" s="928">
        <f t="shared" si="49"/>
        <v>0</v>
      </c>
      <c r="J86" s="928">
        <f t="shared" si="49"/>
        <v>0</v>
      </c>
      <c r="K86" s="928">
        <f t="shared" si="49"/>
        <v>0</v>
      </c>
      <c r="L86" s="928">
        <f t="shared" si="49"/>
        <v>0</v>
      </c>
      <c r="M86" s="928">
        <f t="shared" si="49"/>
        <v>0</v>
      </c>
      <c r="N86" s="928">
        <f t="shared" si="49"/>
        <v>0</v>
      </c>
      <c r="O86" s="928">
        <f t="shared" si="49"/>
        <v>0</v>
      </c>
      <c r="P86" s="928">
        <f t="shared" si="49"/>
        <v>0</v>
      </c>
      <c r="Q86" s="928">
        <f t="shared" si="49"/>
        <v>0</v>
      </c>
      <c r="R86" s="928">
        <f t="shared" si="49"/>
        <v>0</v>
      </c>
      <c r="S86" s="928">
        <f t="shared" si="49"/>
        <v>0</v>
      </c>
      <c r="T86" s="928">
        <f t="shared" si="49"/>
        <v>0</v>
      </c>
      <c r="U86" s="928">
        <f t="shared" si="49"/>
        <v>0</v>
      </c>
      <c r="V86" s="928">
        <f t="shared" si="49"/>
        <v>0</v>
      </c>
      <c r="W86" s="928">
        <f t="shared" si="49"/>
        <v>0</v>
      </c>
      <c r="X86" s="928">
        <f t="shared" si="49"/>
        <v>0</v>
      </c>
      <c r="Y86" s="928">
        <f t="shared" si="49"/>
        <v>0</v>
      </c>
      <c r="Z86" s="928">
        <f t="shared" si="49"/>
        <v>0</v>
      </c>
      <c r="AA86" s="928">
        <f t="shared" si="49"/>
        <v>0</v>
      </c>
      <c r="AB86" s="928">
        <f t="shared" si="49"/>
        <v>0</v>
      </c>
      <c r="AC86" s="928">
        <f t="shared" si="49"/>
        <v>0</v>
      </c>
      <c r="AD86" s="928">
        <f t="shared" si="49"/>
        <v>0</v>
      </c>
      <c r="AE86" s="928">
        <f t="shared" si="49"/>
        <v>0</v>
      </c>
      <c r="AF86" s="928">
        <f t="shared" si="49"/>
        <v>0</v>
      </c>
      <c r="AG86" s="928">
        <f t="shared" si="49"/>
        <v>0</v>
      </c>
      <c r="AH86" s="928">
        <f t="shared" si="49"/>
        <v>0</v>
      </c>
      <c r="AI86" s="928">
        <f t="shared" si="49"/>
        <v>0</v>
      </c>
      <c r="AJ86" s="928">
        <f t="shared" si="49"/>
        <v>0</v>
      </c>
      <c r="AK86" s="928">
        <f t="shared" si="49"/>
        <v>0</v>
      </c>
      <c r="AL86" s="928">
        <f t="shared" si="49"/>
        <v>0</v>
      </c>
      <c r="AM86" s="928">
        <f t="shared" si="49"/>
        <v>0</v>
      </c>
      <c r="AN86" s="928">
        <f t="shared" si="49"/>
        <v>0</v>
      </c>
      <c r="AO86" s="928">
        <f t="shared" si="49"/>
        <v>0</v>
      </c>
      <c r="AP86" s="928">
        <f t="shared" si="49"/>
        <v>0</v>
      </c>
      <c r="AQ86" s="928">
        <f t="shared" si="49"/>
        <v>0</v>
      </c>
      <c r="AR86" s="928">
        <f t="shared" si="49"/>
        <v>0</v>
      </c>
      <c r="AS86" s="928">
        <f t="shared" si="49"/>
        <v>0</v>
      </c>
      <c r="AT86" s="928">
        <f t="shared" si="49"/>
        <v>0</v>
      </c>
      <c r="AU86" s="928">
        <f t="shared" si="49"/>
        <v>0</v>
      </c>
    </row>
    <row r="87" spans="1:52" hidden="1">
      <c r="F87" s="555"/>
      <c r="G87" s="928"/>
      <c r="H87" s="928"/>
      <c r="I87" s="928"/>
      <c r="J87" s="928"/>
      <c r="K87" s="928"/>
      <c r="L87" s="928"/>
      <c r="M87" s="928"/>
      <c r="N87" s="928"/>
      <c r="O87" s="928"/>
      <c r="P87" s="928"/>
      <c r="Q87" s="928"/>
      <c r="R87" s="935"/>
      <c r="S87" s="935"/>
      <c r="T87" s="934"/>
      <c r="U87" s="934"/>
      <c r="V87" s="934"/>
      <c r="W87" s="934"/>
      <c r="X87" s="934"/>
      <c r="Y87" s="934"/>
      <c r="Z87" s="934"/>
      <c r="AA87" s="934"/>
      <c r="AB87" s="934"/>
      <c r="AC87" s="934"/>
      <c r="AD87" s="934"/>
      <c r="AE87" s="934"/>
    </row>
    <row r="88" spans="1:52" ht="15.6" hidden="1">
      <c r="B88" s="932" t="s">
        <v>4330</v>
      </c>
      <c r="C88" s="932"/>
      <c r="D88" s="932"/>
      <c r="E88" s="932"/>
      <c r="F88" s="933"/>
      <c r="G88" s="932"/>
      <c r="H88" s="930" t="s">
        <v>4329</v>
      </c>
      <c r="I88" s="931" t="s">
        <v>4328</v>
      </c>
      <c r="J88" s="930" t="s">
        <v>4327</v>
      </c>
      <c r="K88" s="930" t="s">
        <v>4326</v>
      </c>
      <c r="L88" s="930" t="s">
        <v>4325</v>
      </c>
      <c r="M88" s="930" t="s">
        <v>4324</v>
      </c>
      <c r="N88" s="930" t="s">
        <v>4323</v>
      </c>
      <c r="O88" s="930" t="s">
        <v>4322</v>
      </c>
      <c r="P88" s="930" t="s">
        <v>4321</v>
      </c>
      <c r="Q88" s="930" t="s">
        <v>4320</v>
      </c>
      <c r="R88" s="930" t="s">
        <v>4319</v>
      </c>
      <c r="S88" s="930" t="s">
        <v>4318</v>
      </c>
      <c r="T88" s="930" t="s">
        <v>4317</v>
      </c>
      <c r="U88" s="930" t="s">
        <v>4316</v>
      </c>
      <c r="V88" s="930" t="s">
        <v>4315</v>
      </c>
      <c r="W88" s="930" t="s">
        <v>4314</v>
      </c>
      <c r="X88" s="930" t="s">
        <v>4313</v>
      </c>
      <c r="Y88" s="930" t="s">
        <v>4312</v>
      </c>
      <c r="Z88" s="930" t="s">
        <v>4311</v>
      </c>
      <c r="AA88" s="930" t="s">
        <v>4310</v>
      </c>
      <c r="AB88" s="930" t="s">
        <v>4309</v>
      </c>
      <c r="AC88" s="930" t="s">
        <v>4308</v>
      </c>
      <c r="AD88" s="930" t="s">
        <v>4307</v>
      </c>
      <c r="AE88" s="930" t="s">
        <v>4306</v>
      </c>
      <c r="AF88" s="930" t="s">
        <v>4305</v>
      </c>
      <c r="AG88" s="930" t="s">
        <v>4304</v>
      </c>
      <c r="AH88" s="930" t="s">
        <v>4303</v>
      </c>
      <c r="AI88" s="930" t="s">
        <v>4302</v>
      </c>
      <c r="AJ88" s="930" t="s">
        <v>4301</v>
      </c>
      <c r="AK88" s="930" t="s">
        <v>4300</v>
      </c>
      <c r="AL88" s="930" t="s">
        <v>4299</v>
      </c>
      <c r="AM88" s="930" t="s">
        <v>4298</v>
      </c>
      <c r="AN88" s="930" t="s">
        <v>4297</v>
      </c>
      <c r="AO88" s="930" t="s">
        <v>4296</v>
      </c>
      <c r="AP88" s="930" t="s">
        <v>4295</v>
      </c>
      <c r="AQ88" s="930" t="s">
        <v>4294</v>
      </c>
      <c r="AR88" s="930" t="s">
        <v>4293</v>
      </c>
      <c r="AS88" s="930" t="s">
        <v>4292</v>
      </c>
      <c r="AT88" s="930" t="s">
        <v>4291</v>
      </c>
      <c r="AU88" s="930" t="s">
        <v>4290</v>
      </c>
    </row>
    <row r="89" spans="1:52" hidden="1">
      <c r="F89" s="555" t="s">
        <v>4331</v>
      </c>
      <c r="G89" s="929">
        <f>AA2</f>
        <v>0</v>
      </c>
      <c r="H89" s="928">
        <f>G89</f>
        <v>0</v>
      </c>
      <c r="I89" s="928">
        <f>H91*(1+Financing!$C$19)</f>
        <v>0</v>
      </c>
      <c r="J89" s="928">
        <f>I91*(1+Financing!$C$19)</f>
        <v>0</v>
      </c>
      <c r="K89" s="928">
        <f>J91*(1+Financing!$C$19)</f>
        <v>0</v>
      </c>
      <c r="L89" s="928">
        <f>K91*(1+Financing!$C$19)</f>
        <v>0</v>
      </c>
      <c r="M89" s="928">
        <f>L91*(1+Financing!$C$19)</f>
        <v>0</v>
      </c>
      <c r="N89" s="928">
        <f>M91*(1+Financing!$C$19)</f>
        <v>0</v>
      </c>
      <c r="O89" s="928">
        <f>N91*(1+Financing!$C$19)</f>
        <v>0</v>
      </c>
      <c r="P89" s="928">
        <f>O91*(1+Financing!$C$19)</f>
        <v>0</v>
      </c>
      <c r="Q89" s="928">
        <f>P91*(1+Financing!$C$19)</f>
        <v>0</v>
      </c>
      <c r="R89" s="928">
        <f>Q91*(1+Financing!$C$19)</f>
        <v>0</v>
      </c>
      <c r="S89" s="928">
        <f>R91*(1+Financing!$C$19)</f>
        <v>0</v>
      </c>
      <c r="T89" s="928">
        <f>S91*(1+Financing!$C$19)</f>
        <v>0</v>
      </c>
      <c r="U89" s="928">
        <f>T91*(1+Financing!$C$19)</f>
        <v>0</v>
      </c>
      <c r="V89" s="928">
        <f>U91*(1+Financing!$C$19)</f>
        <v>0</v>
      </c>
      <c r="W89" s="928">
        <f>V91*(1+Financing!$C$19)</f>
        <v>0</v>
      </c>
      <c r="X89" s="928">
        <f>W91*(1+Financing!$C$19)</f>
        <v>0</v>
      </c>
      <c r="Y89" s="928">
        <f>X91*(1+Financing!$C$19)</f>
        <v>0</v>
      </c>
      <c r="Z89" s="928">
        <f>Y91*(1+Financing!$C$19)</f>
        <v>0</v>
      </c>
      <c r="AA89" s="928">
        <f>Z91*(1+Financing!$C$19)</f>
        <v>0</v>
      </c>
      <c r="AB89" s="928">
        <f>AA91*(1+Financing!$C$19)</f>
        <v>0</v>
      </c>
      <c r="AC89" s="928">
        <f>AB91*(1+Financing!$C$19)</f>
        <v>0</v>
      </c>
      <c r="AD89" s="928">
        <f>AC91*(1+Financing!$C$19)</f>
        <v>0</v>
      </c>
      <c r="AE89" s="928">
        <f>AD91*(1+Financing!$C$19)</f>
        <v>0</v>
      </c>
      <c r="AF89" s="928">
        <f>AE91*(1+Financing!$C$19)</f>
        <v>0</v>
      </c>
      <c r="AG89" s="928">
        <f>AF91*(1+Financing!$C$19)</f>
        <v>0</v>
      </c>
      <c r="AH89" s="928">
        <f>AG91*(1+Financing!$C$19)</f>
        <v>0</v>
      </c>
      <c r="AI89" s="928">
        <f>AH91*(1+Financing!$C$19)</f>
        <v>0</v>
      </c>
      <c r="AJ89" s="928">
        <f>AI91*(1+Financing!$C$19)</f>
        <v>0</v>
      </c>
      <c r="AK89" s="928">
        <f>AJ91*(1+Financing!$C$19)</f>
        <v>0</v>
      </c>
      <c r="AL89" s="928">
        <f>AK91*(1+Financing!$C$19)</f>
        <v>0</v>
      </c>
      <c r="AM89" s="928">
        <f>AL91*(1+Financing!$C$19)</f>
        <v>0</v>
      </c>
      <c r="AN89" s="928">
        <f>AM91*(1+Financing!$C$19)</f>
        <v>0</v>
      </c>
      <c r="AO89" s="928">
        <f>AN91*(1+Financing!$C$19)</f>
        <v>0</v>
      </c>
      <c r="AP89" s="928">
        <f>AO91*(1+Financing!$C$19)</f>
        <v>0</v>
      </c>
      <c r="AQ89" s="928">
        <f>AP91*(1+Financing!$C$19)</f>
        <v>0</v>
      </c>
      <c r="AR89" s="928">
        <f>AQ91*(1+Financing!$C$19)</f>
        <v>0</v>
      </c>
      <c r="AS89" s="928">
        <f>AR91*(1+Financing!$C$19)</f>
        <v>0</v>
      </c>
      <c r="AT89" s="928">
        <f>AS91*(1+Financing!$C$19)</f>
        <v>0</v>
      </c>
      <c r="AU89" s="928">
        <f>AT91*(1+Financing!$C$19)</f>
        <v>0</v>
      </c>
    </row>
    <row r="90" spans="1:52" hidden="1">
      <c r="F90" s="555" t="s">
        <v>4288</v>
      </c>
      <c r="G90" s="928"/>
      <c r="H90" s="928">
        <f t="shared" ref="H90:AU90" si="50">H32</f>
        <v>0</v>
      </c>
      <c r="I90" s="928">
        <f t="shared" si="50"/>
        <v>0</v>
      </c>
      <c r="J90" s="928">
        <f t="shared" si="50"/>
        <v>0</v>
      </c>
      <c r="K90" s="928">
        <f t="shared" si="50"/>
        <v>0</v>
      </c>
      <c r="L90" s="928">
        <f t="shared" si="50"/>
        <v>0</v>
      </c>
      <c r="M90" s="928">
        <f t="shared" si="50"/>
        <v>0</v>
      </c>
      <c r="N90" s="928">
        <f t="shared" si="50"/>
        <v>0</v>
      </c>
      <c r="O90" s="928">
        <f t="shared" si="50"/>
        <v>0</v>
      </c>
      <c r="P90" s="928">
        <f t="shared" si="50"/>
        <v>0</v>
      </c>
      <c r="Q90" s="928">
        <f t="shared" si="50"/>
        <v>0</v>
      </c>
      <c r="R90" s="928">
        <f t="shared" si="50"/>
        <v>0</v>
      </c>
      <c r="S90" s="928">
        <f t="shared" si="50"/>
        <v>0</v>
      </c>
      <c r="T90" s="928">
        <f t="shared" si="50"/>
        <v>0</v>
      </c>
      <c r="U90" s="928">
        <f t="shared" si="50"/>
        <v>0</v>
      </c>
      <c r="V90" s="928">
        <f t="shared" si="50"/>
        <v>0</v>
      </c>
      <c r="W90" s="928">
        <f t="shared" si="50"/>
        <v>0</v>
      </c>
      <c r="X90" s="928">
        <f t="shared" si="50"/>
        <v>0</v>
      </c>
      <c r="Y90" s="928">
        <f t="shared" si="50"/>
        <v>0</v>
      </c>
      <c r="Z90" s="928">
        <f t="shared" si="50"/>
        <v>0</v>
      </c>
      <c r="AA90" s="928">
        <f t="shared" si="50"/>
        <v>0</v>
      </c>
      <c r="AB90" s="928">
        <f t="shared" si="50"/>
        <v>0</v>
      </c>
      <c r="AC90" s="928">
        <f t="shared" si="50"/>
        <v>0</v>
      </c>
      <c r="AD90" s="928">
        <f t="shared" si="50"/>
        <v>0</v>
      </c>
      <c r="AE90" s="928">
        <f t="shared" si="50"/>
        <v>0</v>
      </c>
      <c r="AF90" s="928">
        <f t="shared" si="50"/>
        <v>0</v>
      </c>
      <c r="AG90" s="928">
        <f t="shared" si="50"/>
        <v>0</v>
      </c>
      <c r="AH90" s="928">
        <f t="shared" si="50"/>
        <v>0</v>
      </c>
      <c r="AI90" s="928">
        <f t="shared" si="50"/>
        <v>0</v>
      </c>
      <c r="AJ90" s="928">
        <f t="shared" si="50"/>
        <v>0</v>
      </c>
      <c r="AK90" s="928">
        <f t="shared" si="50"/>
        <v>0</v>
      </c>
      <c r="AL90" s="928">
        <f t="shared" si="50"/>
        <v>0</v>
      </c>
      <c r="AM90" s="928">
        <f t="shared" si="50"/>
        <v>0</v>
      </c>
      <c r="AN90" s="928">
        <f t="shared" si="50"/>
        <v>0</v>
      </c>
      <c r="AO90" s="928">
        <f t="shared" si="50"/>
        <v>0</v>
      </c>
      <c r="AP90" s="928">
        <f t="shared" si="50"/>
        <v>0</v>
      </c>
      <c r="AQ90" s="928">
        <f t="shared" si="50"/>
        <v>0</v>
      </c>
      <c r="AR90" s="928">
        <f t="shared" si="50"/>
        <v>0</v>
      </c>
      <c r="AS90" s="928">
        <f t="shared" si="50"/>
        <v>0</v>
      </c>
      <c r="AT90" s="928">
        <f t="shared" si="50"/>
        <v>0</v>
      </c>
      <c r="AU90" s="928">
        <f t="shared" si="50"/>
        <v>0</v>
      </c>
    </row>
    <row r="91" spans="1:52" hidden="1">
      <c r="F91" s="555" t="s">
        <v>2674</v>
      </c>
      <c r="G91" s="928"/>
      <c r="H91" s="928">
        <f t="shared" ref="H91:AU91" si="51">H89-H90</f>
        <v>0</v>
      </c>
      <c r="I91" s="928">
        <f t="shared" si="51"/>
        <v>0</v>
      </c>
      <c r="J91" s="928">
        <f t="shared" si="51"/>
        <v>0</v>
      </c>
      <c r="K91" s="928">
        <f t="shared" si="51"/>
        <v>0</v>
      </c>
      <c r="L91" s="928">
        <f t="shared" si="51"/>
        <v>0</v>
      </c>
      <c r="M91" s="928">
        <f t="shared" si="51"/>
        <v>0</v>
      </c>
      <c r="N91" s="928">
        <f t="shared" si="51"/>
        <v>0</v>
      </c>
      <c r="O91" s="928">
        <f t="shared" si="51"/>
        <v>0</v>
      </c>
      <c r="P91" s="928">
        <f t="shared" si="51"/>
        <v>0</v>
      </c>
      <c r="Q91" s="928">
        <f t="shared" si="51"/>
        <v>0</v>
      </c>
      <c r="R91" s="928">
        <f t="shared" si="51"/>
        <v>0</v>
      </c>
      <c r="S91" s="928">
        <f t="shared" si="51"/>
        <v>0</v>
      </c>
      <c r="T91" s="928">
        <f t="shared" si="51"/>
        <v>0</v>
      </c>
      <c r="U91" s="928">
        <f t="shared" si="51"/>
        <v>0</v>
      </c>
      <c r="V91" s="928">
        <f t="shared" si="51"/>
        <v>0</v>
      </c>
      <c r="W91" s="928">
        <f t="shared" si="51"/>
        <v>0</v>
      </c>
      <c r="X91" s="928">
        <f t="shared" si="51"/>
        <v>0</v>
      </c>
      <c r="Y91" s="928">
        <f t="shared" si="51"/>
        <v>0</v>
      </c>
      <c r="Z91" s="928">
        <f t="shared" si="51"/>
        <v>0</v>
      </c>
      <c r="AA91" s="928">
        <f t="shared" si="51"/>
        <v>0</v>
      </c>
      <c r="AB91" s="928">
        <f t="shared" si="51"/>
        <v>0</v>
      </c>
      <c r="AC91" s="928">
        <f t="shared" si="51"/>
        <v>0</v>
      </c>
      <c r="AD91" s="928">
        <f t="shared" si="51"/>
        <v>0</v>
      </c>
      <c r="AE91" s="928">
        <f t="shared" si="51"/>
        <v>0</v>
      </c>
      <c r="AF91" s="928">
        <f t="shared" si="51"/>
        <v>0</v>
      </c>
      <c r="AG91" s="928">
        <f t="shared" si="51"/>
        <v>0</v>
      </c>
      <c r="AH91" s="928">
        <f t="shared" si="51"/>
        <v>0</v>
      </c>
      <c r="AI91" s="928">
        <f t="shared" si="51"/>
        <v>0</v>
      </c>
      <c r="AJ91" s="928">
        <f t="shared" si="51"/>
        <v>0</v>
      </c>
      <c r="AK91" s="928">
        <f t="shared" si="51"/>
        <v>0</v>
      </c>
      <c r="AL91" s="928">
        <f t="shared" si="51"/>
        <v>0</v>
      </c>
      <c r="AM91" s="928">
        <f t="shared" si="51"/>
        <v>0</v>
      </c>
      <c r="AN91" s="928">
        <f t="shared" si="51"/>
        <v>0</v>
      </c>
      <c r="AO91" s="928">
        <f t="shared" si="51"/>
        <v>0</v>
      </c>
      <c r="AP91" s="928">
        <f t="shared" si="51"/>
        <v>0</v>
      </c>
      <c r="AQ91" s="928">
        <f t="shared" si="51"/>
        <v>0</v>
      </c>
      <c r="AR91" s="928">
        <f t="shared" si="51"/>
        <v>0</v>
      </c>
      <c r="AS91" s="928">
        <f t="shared" si="51"/>
        <v>0</v>
      </c>
      <c r="AT91" s="928">
        <f t="shared" si="51"/>
        <v>0</v>
      </c>
      <c r="AU91" s="928">
        <f t="shared" si="51"/>
        <v>0</v>
      </c>
    </row>
    <row r="92" spans="1:52" ht="16.2" hidden="1">
      <c r="A92" s="672"/>
      <c r="B92" s="672"/>
      <c r="C92" s="672"/>
      <c r="D92" s="672"/>
      <c r="E92" s="672"/>
      <c r="F92" s="672"/>
      <c r="G92" s="672"/>
      <c r="H92" s="672"/>
      <c r="I92" s="672"/>
      <c r="J92" s="672"/>
      <c r="K92" s="672"/>
      <c r="L92" s="672"/>
      <c r="M92" s="672"/>
      <c r="N92" s="672"/>
      <c r="O92" s="672"/>
      <c r="P92" s="672"/>
      <c r="Q92" s="672"/>
      <c r="R92" s="672"/>
      <c r="S92" s="672"/>
      <c r="T92" s="672"/>
      <c r="U92" s="672"/>
      <c r="V92" s="672"/>
      <c r="W92" s="672"/>
      <c r="X92" s="672"/>
      <c r="Y92" s="672"/>
      <c r="Z92" s="672"/>
      <c r="AA92" s="672"/>
      <c r="AB92" s="672"/>
      <c r="AC92" s="672"/>
      <c r="AD92" s="672"/>
      <c r="AE92" s="672"/>
      <c r="AF92" s="672"/>
      <c r="AG92" s="672"/>
      <c r="AH92" s="672"/>
      <c r="AI92" s="672"/>
      <c r="AJ92" s="672"/>
      <c r="AK92" s="672"/>
      <c r="AL92" s="672"/>
      <c r="AM92" s="672"/>
      <c r="AN92" s="672"/>
      <c r="AO92" s="672"/>
      <c r="AP92" s="672"/>
      <c r="AQ92" s="672"/>
      <c r="AR92" s="672"/>
      <c r="AS92" s="672"/>
      <c r="AT92" s="672"/>
      <c r="AU92" s="672"/>
      <c r="AV92" s="672"/>
      <c r="AW92" s="672"/>
      <c r="AX92" s="672"/>
      <c r="AY92" s="672"/>
      <c r="AZ92" s="672"/>
    </row>
    <row r="93" spans="1:52" ht="15.6" hidden="1">
      <c r="B93" s="932" t="s">
        <v>4330</v>
      </c>
      <c r="C93" s="932"/>
      <c r="D93" s="932"/>
      <c r="E93" s="932"/>
      <c r="F93" s="933"/>
      <c r="G93" s="932"/>
      <c r="H93" s="930" t="s">
        <v>4329</v>
      </c>
      <c r="I93" s="931" t="s">
        <v>4328</v>
      </c>
      <c r="J93" s="930" t="s">
        <v>4327</v>
      </c>
      <c r="K93" s="930" t="s">
        <v>4326</v>
      </c>
      <c r="L93" s="930" t="s">
        <v>4325</v>
      </c>
      <c r="M93" s="930" t="s">
        <v>4324</v>
      </c>
      <c r="N93" s="930" t="s">
        <v>4323</v>
      </c>
      <c r="O93" s="930" t="s">
        <v>4322</v>
      </c>
      <c r="P93" s="930" t="s">
        <v>4321</v>
      </c>
      <c r="Q93" s="930" t="s">
        <v>4320</v>
      </c>
      <c r="R93" s="930" t="s">
        <v>4319</v>
      </c>
      <c r="S93" s="930" t="s">
        <v>4318</v>
      </c>
      <c r="T93" s="930" t="s">
        <v>4317</v>
      </c>
      <c r="U93" s="930" t="s">
        <v>4316</v>
      </c>
      <c r="V93" s="930" t="s">
        <v>4315</v>
      </c>
      <c r="W93" s="930" t="s">
        <v>4314</v>
      </c>
      <c r="X93" s="930" t="s">
        <v>4313</v>
      </c>
      <c r="Y93" s="930" t="s">
        <v>4312</v>
      </c>
      <c r="Z93" s="930" t="s">
        <v>4311</v>
      </c>
      <c r="AA93" s="930" t="s">
        <v>4310</v>
      </c>
      <c r="AB93" s="930" t="s">
        <v>4309</v>
      </c>
      <c r="AC93" s="930" t="s">
        <v>4308</v>
      </c>
      <c r="AD93" s="930" t="s">
        <v>4307</v>
      </c>
      <c r="AE93" s="930" t="s">
        <v>4306</v>
      </c>
      <c r="AF93" s="930" t="s">
        <v>4305</v>
      </c>
      <c r="AG93" s="930" t="s">
        <v>4304</v>
      </c>
      <c r="AH93" s="930" t="s">
        <v>4303</v>
      </c>
      <c r="AI93" s="930" t="s">
        <v>4302</v>
      </c>
      <c r="AJ93" s="930" t="s">
        <v>4301</v>
      </c>
      <c r="AK93" s="930" t="s">
        <v>4300</v>
      </c>
      <c r="AL93" s="930" t="s">
        <v>4299</v>
      </c>
      <c r="AM93" s="930" t="s">
        <v>4298</v>
      </c>
      <c r="AN93" s="930" t="s">
        <v>4297</v>
      </c>
      <c r="AO93" s="930" t="s">
        <v>4296</v>
      </c>
      <c r="AP93" s="930" t="s">
        <v>4295</v>
      </c>
      <c r="AQ93" s="930" t="s">
        <v>4294</v>
      </c>
      <c r="AR93" s="930" t="s">
        <v>4293</v>
      </c>
      <c r="AS93" s="930" t="s">
        <v>4292</v>
      </c>
      <c r="AT93" s="930" t="s">
        <v>4291</v>
      </c>
      <c r="AU93" s="930" t="s">
        <v>4290</v>
      </c>
    </row>
    <row r="94" spans="1:52" hidden="1">
      <c r="F94" s="555" t="s">
        <v>4289</v>
      </c>
      <c r="G94" s="929">
        <f>AA7</f>
        <v>0</v>
      </c>
      <c r="H94" s="928">
        <f>G94</f>
        <v>0</v>
      </c>
      <c r="I94" s="928">
        <f>H96*(1+Financing!$C$20)</f>
        <v>0</v>
      </c>
      <c r="J94" s="928">
        <f>I96*(1+Financing!$C$20)</f>
        <v>0</v>
      </c>
      <c r="K94" s="928">
        <f>J96*(1+Financing!$C$20)</f>
        <v>0</v>
      </c>
      <c r="L94" s="928">
        <f>K96*(1+Financing!$C$20)</f>
        <v>0</v>
      </c>
      <c r="M94" s="928">
        <f>L96*(1+Financing!$C$20)</f>
        <v>0</v>
      </c>
      <c r="N94" s="928">
        <f>M96*(1+Financing!$C$20)</f>
        <v>0</v>
      </c>
      <c r="O94" s="928">
        <f>N96*(1+Financing!$C$20)</f>
        <v>0</v>
      </c>
      <c r="P94" s="928">
        <f>O96*(1+Financing!$C$20)</f>
        <v>0</v>
      </c>
      <c r="Q94" s="928">
        <f>P96*(1+Financing!$C$20)</f>
        <v>0</v>
      </c>
      <c r="R94" s="928">
        <f>Q96*(1+Financing!$C$20)</f>
        <v>0</v>
      </c>
      <c r="S94" s="928">
        <f>R96*(1+Financing!$C$20)</f>
        <v>0</v>
      </c>
      <c r="T94" s="928">
        <f>S96*(1+Financing!$C$20)</f>
        <v>0</v>
      </c>
      <c r="U94" s="928">
        <f>T96*(1+Financing!$C$20)</f>
        <v>0</v>
      </c>
      <c r="V94" s="928">
        <f>U96*(1+Financing!$C$20)</f>
        <v>0</v>
      </c>
      <c r="W94" s="928">
        <f>V96*(1+Financing!$C$20)</f>
        <v>0</v>
      </c>
      <c r="X94" s="928">
        <f>W96*(1+Financing!$C$20)</f>
        <v>0</v>
      </c>
      <c r="Y94" s="928">
        <f>X96*(1+Financing!$C$20)</f>
        <v>0</v>
      </c>
      <c r="Z94" s="928">
        <f>Y96*(1+Financing!$C$20)</f>
        <v>0</v>
      </c>
      <c r="AA94" s="928">
        <f>Z96*(1+Financing!$C$20)</f>
        <v>0</v>
      </c>
      <c r="AB94" s="928">
        <f>AA96*(1+Financing!$C$20)</f>
        <v>0</v>
      </c>
      <c r="AC94" s="928">
        <f>AB96*(1+Financing!$C$20)</f>
        <v>0</v>
      </c>
      <c r="AD94" s="928">
        <f>AC96*(1+Financing!$C$20)</f>
        <v>0</v>
      </c>
      <c r="AE94" s="928">
        <f>AD96*(1+Financing!$C$20)</f>
        <v>0</v>
      </c>
      <c r="AF94" s="928">
        <f>AE96*(1+Financing!$C$20)</f>
        <v>0</v>
      </c>
      <c r="AG94" s="928">
        <f>AF96*(1+Financing!$C$20)</f>
        <v>0</v>
      </c>
      <c r="AH94" s="928">
        <f>AG96*(1+Financing!$C$20)</f>
        <v>0</v>
      </c>
      <c r="AI94" s="928">
        <f>AH96*(1+Financing!$C$20)</f>
        <v>0</v>
      </c>
      <c r="AJ94" s="928">
        <f>AI96*(1+Financing!$C$20)</f>
        <v>0</v>
      </c>
      <c r="AK94" s="928">
        <f>AJ96*(1+Financing!$C$20)</f>
        <v>0</v>
      </c>
      <c r="AL94" s="928">
        <f>AK96*(1+Financing!$C$20)</f>
        <v>0</v>
      </c>
      <c r="AM94" s="928">
        <f>AL96*(1+Financing!$C$20)</f>
        <v>0</v>
      </c>
      <c r="AN94" s="928">
        <f>AM96*(1+Financing!$C$20)</f>
        <v>0</v>
      </c>
      <c r="AO94" s="928">
        <f>AN96*(1+Financing!$C$20)</f>
        <v>0</v>
      </c>
      <c r="AP94" s="928">
        <f>AO96*(1+Financing!$C$20)</f>
        <v>0</v>
      </c>
      <c r="AQ94" s="928">
        <f>AP96*(1+Financing!$C$20)</f>
        <v>0</v>
      </c>
      <c r="AR94" s="928">
        <f>AQ96*(1+Financing!$C$20)</f>
        <v>0</v>
      </c>
      <c r="AS94" s="928">
        <f>AR96*(1+Financing!$C$20)</f>
        <v>0</v>
      </c>
      <c r="AT94" s="928">
        <f>AS96*(1+Financing!$C$20)</f>
        <v>0</v>
      </c>
      <c r="AU94" s="928">
        <f>AT96*(1+Financing!$C$20)</f>
        <v>0</v>
      </c>
    </row>
    <row r="95" spans="1:52" hidden="1">
      <c r="F95" s="555" t="s">
        <v>4288</v>
      </c>
      <c r="G95" s="928"/>
      <c r="H95" s="928">
        <f t="shared" ref="H95:AU95" si="52">H33</f>
        <v>0</v>
      </c>
      <c r="I95" s="928">
        <f t="shared" si="52"/>
        <v>0</v>
      </c>
      <c r="J95" s="928">
        <f t="shared" si="52"/>
        <v>0</v>
      </c>
      <c r="K95" s="928">
        <f t="shared" si="52"/>
        <v>0</v>
      </c>
      <c r="L95" s="928">
        <f t="shared" si="52"/>
        <v>0</v>
      </c>
      <c r="M95" s="928">
        <f t="shared" si="52"/>
        <v>0</v>
      </c>
      <c r="N95" s="928">
        <f t="shared" si="52"/>
        <v>0</v>
      </c>
      <c r="O95" s="928">
        <f t="shared" si="52"/>
        <v>0</v>
      </c>
      <c r="P95" s="928">
        <f t="shared" si="52"/>
        <v>0</v>
      </c>
      <c r="Q95" s="928">
        <f t="shared" si="52"/>
        <v>0</v>
      </c>
      <c r="R95" s="928">
        <f t="shared" si="52"/>
        <v>0</v>
      </c>
      <c r="S95" s="928">
        <f t="shared" si="52"/>
        <v>0</v>
      </c>
      <c r="T95" s="928">
        <f t="shared" si="52"/>
        <v>0</v>
      </c>
      <c r="U95" s="928">
        <f t="shared" si="52"/>
        <v>0</v>
      </c>
      <c r="V95" s="928">
        <f t="shared" si="52"/>
        <v>0</v>
      </c>
      <c r="W95" s="928">
        <f t="shared" si="52"/>
        <v>0</v>
      </c>
      <c r="X95" s="928">
        <f t="shared" si="52"/>
        <v>0</v>
      </c>
      <c r="Y95" s="928">
        <f t="shared" si="52"/>
        <v>0</v>
      </c>
      <c r="Z95" s="928">
        <f t="shared" si="52"/>
        <v>0</v>
      </c>
      <c r="AA95" s="928">
        <f t="shared" si="52"/>
        <v>0</v>
      </c>
      <c r="AB95" s="928">
        <f t="shared" si="52"/>
        <v>0</v>
      </c>
      <c r="AC95" s="928">
        <f t="shared" si="52"/>
        <v>0</v>
      </c>
      <c r="AD95" s="928">
        <f t="shared" si="52"/>
        <v>0</v>
      </c>
      <c r="AE95" s="928">
        <f t="shared" si="52"/>
        <v>0</v>
      </c>
      <c r="AF95" s="928">
        <f t="shared" si="52"/>
        <v>0</v>
      </c>
      <c r="AG95" s="928">
        <f t="shared" si="52"/>
        <v>0</v>
      </c>
      <c r="AH95" s="928">
        <f t="shared" si="52"/>
        <v>0</v>
      </c>
      <c r="AI95" s="928">
        <f t="shared" si="52"/>
        <v>0</v>
      </c>
      <c r="AJ95" s="928">
        <f t="shared" si="52"/>
        <v>0</v>
      </c>
      <c r="AK95" s="928">
        <f t="shared" si="52"/>
        <v>0</v>
      </c>
      <c r="AL95" s="928">
        <f t="shared" si="52"/>
        <v>0</v>
      </c>
      <c r="AM95" s="928">
        <f t="shared" si="52"/>
        <v>0</v>
      </c>
      <c r="AN95" s="928">
        <f t="shared" si="52"/>
        <v>0</v>
      </c>
      <c r="AO95" s="928">
        <f t="shared" si="52"/>
        <v>0</v>
      </c>
      <c r="AP95" s="928">
        <f t="shared" si="52"/>
        <v>0</v>
      </c>
      <c r="AQ95" s="928">
        <f t="shared" si="52"/>
        <v>0</v>
      </c>
      <c r="AR95" s="928">
        <f t="shared" si="52"/>
        <v>0</v>
      </c>
      <c r="AS95" s="928">
        <f t="shared" si="52"/>
        <v>0</v>
      </c>
      <c r="AT95" s="928">
        <f t="shared" si="52"/>
        <v>0</v>
      </c>
      <c r="AU95" s="928">
        <f t="shared" si="52"/>
        <v>0</v>
      </c>
    </row>
    <row r="96" spans="1:52" hidden="1">
      <c r="F96" s="555" t="s">
        <v>2674</v>
      </c>
      <c r="G96" s="928"/>
      <c r="H96" s="928">
        <f t="shared" ref="H96:AU96" si="53">H94-H95</f>
        <v>0</v>
      </c>
      <c r="I96" s="928">
        <f t="shared" si="53"/>
        <v>0</v>
      </c>
      <c r="J96" s="928">
        <f t="shared" si="53"/>
        <v>0</v>
      </c>
      <c r="K96" s="928">
        <f t="shared" si="53"/>
        <v>0</v>
      </c>
      <c r="L96" s="928">
        <f t="shared" si="53"/>
        <v>0</v>
      </c>
      <c r="M96" s="928">
        <f t="shared" si="53"/>
        <v>0</v>
      </c>
      <c r="N96" s="928">
        <f t="shared" si="53"/>
        <v>0</v>
      </c>
      <c r="O96" s="928">
        <f t="shared" si="53"/>
        <v>0</v>
      </c>
      <c r="P96" s="928">
        <f t="shared" si="53"/>
        <v>0</v>
      </c>
      <c r="Q96" s="928">
        <f t="shared" si="53"/>
        <v>0</v>
      </c>
      <c r="R96" s="928">
        <f t="shared" si="53"/>
        <v>0</v>
      </c>
      <c r="S96" s="928">
        <f t="shared" si="53"/>
        <v>0</v>
      </c>
      <c r="T96" s="928">
        <f t="shared" si="53"/>
        <v>0</v>
      </c>
      <c r="U96" s="928">
        <f t="shared" si="53"/>
        <v>0</v>
      </c>
      <c r="V96" s="928">
        <f t="shared" si="53"/>
        <v>0</v>
      </c>
      <c r="W96" s="928">
        <f t="shared" si="53"/>
        <v>0</v>
      </c>
      <c r="X96" s="928">
        <f t="shared" si="53"/>
        <v>0</v>
      </c>
      <c r="Y96" s="928">
        <f t="shared" si="53"/>
        <v>0</v>
      </c>
      <c r="Z96" s="928">
        <f t="shared" si="53"/>
        <v>0</v>
      </c>
      <c r="AA96" s="928">
        <f t="shared" si="53"/>
        <v>0</v>
      </c>
      <c r="AB96" s="928">
        <f t="shared" si="53"/>
        <v>0</v>
      </c>
      <c r="AC96" s="928">
        <f t="shared" si="53"/>
        <v>0</v>
      </c>
      <c r="AD96" s="928">
        <f t="shared" si="53"/>
        <v>0</v>
      </c>
      <c r="AE96" s="928">
        <f t="shared" si="53"/>
        <v>0</v>
      </c>
      <c r="AF96" s="928">
        <f t="shared" si="53"/>
        <v>0</v>
      </c>
      <c r="AG96" s="928">
        <f t="shared" si="53"/>
        <v>0</v>
      </c>
      <c r="AH96" s="928">
        <f t="shared" si="53"/>
        <v>0</v>
      </c>
      <c r="AI96" s="928">
        <f t="shared" si="53"/>
        <v>0</v>
      </c>
      <c r="AJ96" s="928">
        <f t="shared" si="53"/>
        <v>0</v>
      </c>
      <c r="AK96" s="928">
        <f t="shared" si="53"/>
        <v>0</v>
      </c>
      <c r="AL96" s="928">
        <f t="shared" si="53"/>
        <v>0</v>
      </c>
      <c r="AM96" s="928">
        <f t="shared" si="53"/>
        <v>0</v>
      </c>
      <c r="AN96" s="928">
        <f t="shared" si="53"/>
        <v>0</v>
      </c>
      <c r="AO96" s="928">
        <f t="shared" si="53"/>
        <v>0</v>
      </c>
      <c r="AP96" s="928">
        <f t="shared" si="53"/>
        <v>0</v>
      </c>
      <c r="AQ96" s="928">
        <f t="shared" si="53"/>
        <v>0</v>
      </c>
      <c r="AR96" s="928">
        <f t="shared" si="53"/>
        <v>0</v>
      </c>
      <c r="AS96" s="928">
        <f t="shared" si="53"/>
        <v>0</v>
      </c>
      <c r="AT96" s="928">
        <f t="shared" si="53"/>
        <v>0</v>
      </c>
      <c r="AU96" s="928">
        <f t="shared" si="53"/>
        <v>0</v>
      </c>
    </row>
    <row r="97" spans="1:52" ht="16.2" hidden="1">
      <c r="A97" s="672"/>
      <c r="B97" s="672"/>
      <c r="C97" s="672"/>
      <c r="D97" s="672"/>
      <c r="E97" s="672"/>
      <c r="F97" s="672"/>
      <c r="G97" s="672"/>
      <c r="H97" s="672"/>
      <c r="I97" s="672"/>
      <c r="J97" s="672"/>
      <c r="K97" s="672"/>
      <c r="L97" s="672"/>
      <c r="M97" s="672"/>
      <c r="N97" s="672"/>
      <c r="O97" s="672"/>
      <c r="P97" s="672"/>
      <c r="Q97" s="672"/>
      <c r="R97" s="672"/>
      <c r="S97" s="672"/>
      <c r="T97" s="672"/>
      <c r="U97" s="672"/>
      <c r="V97" s="672"/>
      <c r="W97" s="672"/>
      <c r="X97" s="672"/>
      <c r="Y97" s="672"/>
      <c r="Z97" s="672"/>
      <c r="AA97" s="672"/>
      <c r="AB97" s="672"/>
      <c r="AC97" s="672"/>
      <c r="AD97" s="672"/>
      <c r="AE97" s="672"/>
      <c r="AF97" s="672"/>
      <c r="AG97" s="672"/>
      <c r="AH97" s="672"/>
      <c r="AI97" s="672"/>
      <c r="AJ97" s="672"/>
      <c r="AK97" s="672"/>
      <c r="AL97" s="672"/>
      <c r="AM97" s="672"/>
      <c r="AN97" s="672"/>
      <c r="AO97" s="672"/>
      <c r="AP97" s="672"/>
      <c r="AQ97" s="672"/>
      <c r="AR97" s="672"/>
      <c r="AS97" s="672"/>
      <c r="AT97" s="672"/>
      <c r="AU97" s="672"/>
      <c r="AV97" s="672"/>
      <c r="AW97" s="672"/>
      <c r="AX97" s="672"/>
      <c r="AY97" s="672"/>
      <c r="AZ97" s="672"/>
    </row>
    <row r="98" spans="1:52" ht="15.6" hidden="1">
      <c r="B98" s="932" t="s">
        <v>4330</v>
      </c>
      <c r="C98" s="932"/>
      <c r="D98" s="932"/>
      <c r="E98" s="932"/>
      <c r="F98" s="933"/>
      <c r="G98" s="932"/>
      <c r="H98" s="930" t="s">
        <v>4329</v>
      </c>
      <c r="I98" s="931" t="s">
        <v>4328</v>
      </c>
      <c r="J98" s="930" t="s">
        <v>4327</v>
      </c>
      <c r="K98" s="930" t="s">
        <v>4326</v>
      </c>
      <c r="L98" s="930" t="s">
        <v>4325</v>
      </c>
      <c r="M98" s="930" t="s">
        <v>4324</v>
      </c>
      <c r="N98" s="930" t="s">
        <v>4323</v>
      </c>
      <c r="O98" s="930" t="s">
        <v>4322</v>
      </c>
      <c r="P98" s="930" t="s">
        <v>4321</v>
      </c>
      <c r="Q98" s="930" t="s">
        <v>4320</v>
      </c>
      <c r="R98" s="930" t="s">
        <v>4319</v>
      </c>
      <c r="S98" s="930" t="s">
        <v>4318</v>
      </c>
      <c r="T98" s="930" t="s">
        <v>4317</v>
      </c>
      <c r="U98" s="930" t="s">
        <v>4316</v>
      </c>
      <c r="V98" s="930" t="s">
        <v>4315</v>
      </c>
      <c r="W98" s="930" t="s">
        <v>4314</v>
      </c>
      <c r="X98" s="930" t="s">
        <v>4313</v>
      </c>
      <c r="Y98" s="930" t="s">
        <v>4312</v>
      </c>
      <c r="Z98" s="930" t="s">
        <v>4311</v>
      </c>
      <c r="AA98" s="930" t="s">
        <v>4310</v>
      </c>
      <c r="AB98" s="930" t="s">
        <v>4309</v>
      </c>
      <c r="AC98" s="930" t="s">
        <v>4308</v>
      </c>
      <c r="AD98" s="930" t="s">
        <v>4307</v>
      </c>
      <c r="AE98" s="930" t="s">
        <v>4306</v>
      </c>
      <c r="AF98" s="930" t="s">
        <v>4305</v>
      </c>
      <c r="AG98" s="930" t="s">
        <v>4304</v>
      </c>
      <c r="AH98" s="930" t="s">
        <v>4303</v>
      </c>
      <c r="AI98" s="930" t="s">
        <v>4302</v>
      </c>
      <c r="AJ98" s="930" t="s">
        <v>4301</v>
      </c>
      <c r="AK98" s="930" t="s">
        <v>4300</v>
      </c>
      <c r="AL98" s="930" t="s">
        <v>4299</v>
      </c>
      <c r="AM98" s="930" t="s">
        <v>4298</v>
      </c>
      <c r="AN98" s="930" t="s">
        <v>4297</v>
      </c>
      <c r="AO98" s="930" t="s">
        <v>4296</v>
      </c>
      <c r="AP98" s="930" t="s">
        <v>4295</v>
      </c>
      <c r="AQ98" s="930" t="s">
        <v>4294</v>
      </c>
      <c r="AR98" s="930" t="s">
        <v>4293</v>
      </c>
      <c r="AS98" s="930" t="s">
        <v>4292</v>
      </c>
      <c r="AT98" s="930" t="s">
        <v>4291</v>
      </c>
      <c r="AU98" s="930" t="s">
        <v>4290</v>
      </c>
    </row>
    <row r="99" spans="1:52" hidden="1">
      <c r="F99" s="555" t="s">
        <v>4289</v>
      </c>
      <c r="G99" s="929">
        <f>AH2</f>
        <v>0</v>
      </c>
      <c r="H99" s="928">
        <f>G99</f>
        <v>0</v>
      </c>
      <c r="I99" s="928">
        <f>H101*(1+Financing!$C$21)</f>
        <v>0</v>
      </c>
      <c r="J99" s="928">
        <f>I101*(1+Financing!$C$21)</f>
        <v>0</v>
      </c>
      <c r="K99" s="928">
        <f>J101*(1+Financing!$C$21)</f>
        <v>0</v>
      </c>
      <c r="L99" s="928">
        <f>K101*(1+Financing!$C$21)</f>
        <v>0</v>
      </c>
      <c r="M99" s="928">
        <f>L101*(1+Financing!$C$21)</f>
        <v>0</v>
      </c>
      <c r="N99" s="928">
        <f>M101*(1+Financing!$C$21)</f>
        <v>0</v>
      </c>
      <c r="O99" s="928">
        <f>N101*(1+Financing!$C$21)</f>
        <v>0</v>
      </c>
      <c r="P99" s="928">
        <f>O101*(1+Financing!$C$21)</f>
        <v>0</v>
      </c>
      <c r="Q99" s="928">
        <f>P101*(1+Financing!$C$21)</f>
        <v>0</v>
      </c>
      <c r="R99" s="928">
        <f>Q101*(1+Financing!$C$21)</f>
        <v>0</v>
      </c>
      <c r="S99" s="928">
        <f>R101*(1+Financing!$C$21)</f>
        <v>0</v>
      </c>
      <c r="T99" s="928">
        <f>S101*(1+Financing!$C$21)</f>
        <v>0</v>
      </c>
      <c r="U99" s="928">
        <f>T101*(1+Financing!$C$21)</f>
        <v>0</v>
      </c>
      <c r="V99" s="928">
        <f>U101*(1+Financing!$C$21)</f>
        <v>0</v>
      </c>
      <c r="W99" s="928">
        <f>V101*(1+Financing!$C$21)</f>
        <v>0</v>
      </c>
      <c r="X99" s="928">
        <f>W101*(1+Financing!$C$21)</f>
        <v>0</v>
      </c>
      <c r="Y99" s="928">
        <f>X101*(1+Financing!$C$21)</f>
        <v>0</v>
      </c>
      <c r="Z99" s="928">
        <f>Y101*(1+Financing!$C$21)</f>
        <v>0</v>
      </c>
      <c r="AA99" s="928">
        <f>Z101*(1+Financing!$C$21)</f>
        <v>0</v>
      </c>
      <c r="AB99" s="928">
        <f>AA101*(1+Financing!$C$21)</f>
        <v>0</v>
      </c>
      <c r="AC99" s="928">
        <f>AB101*(1+Financing!$C$21)</f>
        <v>0</v>
      </c>
      <c r="AD99" s="928">
        <f>AC101*(1+Financing!$C$21)</f>
        <v>0</v>
      </c>
      <c r="AE99" s="928">
        <f>AD101*(1+Financing!$C$21)</f>
        <v>0</v>
      </c>
      <c r="AF99" s="928">
        <f>AE101*(1+Financing!$C$21)</f>
        <v>0</v>
      </c>
      <c r="AG99" s="928">
        <f>AF101*(1+Financing!$C$21)</f>
        <v>0</v>
      </c>
      <c r="AH99" s="928">
        <f>AG101*(1+Financing!$C$21)</f>
        <v>0</v>
      </c>
      <c r="AI99" s="928">
        <f>AH101*(1+Financing!$C$21)</f>
        <v>0</v>
      </c>
      <c r="AJ99" s="928">
        <f>AI101*(1+Financing!$C$21)</f>
        <v>0</v>
      </c>
      <c r="AK99" s="928">
        <f>AJ101*(1+Financing!$C$21)</f>
        <v>0</v>
      </c>
      <c r="AL99" s="928">
        <f>AK101*(1+Financing!$C$21)</f>
        <v>0</v>
      </c>
      <c r="AM99" s="928">
        <f>AL101*(1+Financing!$C$21)</f>
        <v>0</v>
      </c>
      <c r="AN99" s="928">
        <f>AM101*(1+Financing!$C$21)</f>
        <v>0</v>
      </c>
      <c r="AO99" s="928">
        <f>AN101*(1+Financing!$C$21)</f>
        <v>0</v>
      </c>
      <c r="AP99" s="928">
        <f>AO101*(1+Financing!$C$21)</f>
        <v>0</v>
      </c>
      <c r="AQ99" s="928">
        <f>AP101*(1+Financing!$C$21)</f>
        <v>0</v>
      </c>
      <c r="AR99" s="928">
        <f>AQ101*(1+Financing!$C$21)</f>
        <v>0</v>
      </c>
      <c r="AS99" s="928">
        <f>AR101*(1+Financing!$C$21)</f>
        <v>0</v>
      </c>
      <c r="AT99" s="928">
        <f>AS101*(1+Financing!$C$21)</f>
        <v>0</v>
      </c>
      <c r="AU99" s="928">
        <f>AT101*(1+Financing!$C$21)</f>
        <v>0</v>
      </c>
    </row>
    <row r="100" spans="1:52" hidden="1">
      <c r="F100" s="555" t="s">
        <v>4288</v>
      </c>
      <c r="G100" s="928"/>
      <c r="H100" s="928">
        <f t="shared" ref="H100:AU100" si="54">H34</f>
        <v>0</v>
      </c>
      <c r="I100" s="928">
        <f t="shared" si="54"/>
        <v>0</v>
      </c>
      <c r="J100" s="928">
        <f t="shared" si="54"/>
        <v>0</v>
      </c>
      <c r="K100" s="928">
        <f t="shared" si="54"/>
        <v>0</v>
      </c>
      <c r="L100" s="928">
        <f t="shared" si="54"/>
        <v>0</v>
      </c>
      <c r="M100" s="928">
        <f t="shared" si="54"/>
        <v>0</v>
      </c>
      <c r="N100" s="928">
        <f t="shared" si="54"/>
        <v>0</v>
      </c>
      <c r="O100" s="928">
        <f t="shared" si="54"/>
        <v>0</v>
      </c>
      <c r="P100" s="928">
        <f t="shared" si="54"/>
        <v>0</v>
      </c>
      <c r="Q100" s="928">
        <f t="shared" si="54"/>
        <v>0</v>
      </c>
      <c r="R100" s="928">
        <f t="shared" si="54"/>
        <v>0</v>
      </c>
      <c r="S100" s="928">
        <f t="shared" si="54"/>
        <v>0</v>
      </c>
      <c r="T100" s="928">
        <f t="shared" si="54"/>
        <v>0</v>
      </c>
      <c r="U100" s="928">
        <f t="shared" si="54"/>
        <v>0</v>
      </c>
      <c r="V100" s="928">
        <f t="shared" si="54"/>
        <v>0</v>
      </c>
      <c r="W100" s="928">
        <f t="shared" si="54"/>
        <v>0</v>
      </c>
      <c r="X100" s="928">
        <f t="shared" si="54"/>
        <v>0</v>
      </c>
      <c r="Y100" s="928">
        <f t="shared" si="54"/>
        <v>0</v>
      </c>
      <c r="Z100" s="928">
        <f t="shared" si="54"/>
        <v>0</v>
      </c>
      <c r="AA100" s="928">
        <f t="shared" si="54"/>
        <v>0</v>
      </c>
      <c r="AB100" s="928">
        <f t="shared" si="54"/>
        <v>0</v>
      </c>
      <c r="AC100" s="928">
        <f t="shared" si="54"/>
        <v>0</v>
      </c>
      <c r="AD100" s="928">
        <f t="shared" si="54"/>
        <v>0</v>
      </c>
      <c r="AE100" s="928">
        <f t="shared" si="54"/>
        <v>0</v>
      </c>
      <c r="AF100" s="928">
        <f t="shared" si="54"/>
        <v>0</v>
      </c>
      <c r="AG100" s="928">
        <f t="shared" si="54"/>
        <v>0</v>
      </c>
      <c r="AH100" s="928">
        <f t="shared" si="54"/>
        <v>0</v>
      </c>
      <c r="AI100" s="928">
        <f t="shared" si="54"/>
        <v>0</v>
      </c>
      <c r="AJ100" s="928">
        <f t="shared" si="54"/>
        <v>0</v>
      </c>
      <c r="AK100" s="928">
        <f t="shared" si="54"/>
        <v>0</v>
      </c>
      <c r="AL100" s="928">
        <f t="shared" si="54"/>
        <v>0</v>
      </c>
      <c r="AM100" s="928">
        <f t="shared" si="54"/>
        <v>0</v>
      </c>
      <c r="AN100" s="928">
        <f t="shared" si="54"/>
        <v>0</v>
      </c>
      <c r="AO100" s="928">
        <f t="shared" si="54"/>
        <v>0</v>
      </c>
      <c r="AP100" s="928">
        <f t="shared" si="54"/>
        <v>0</v>
      </c>
      <c r="AQ100" s="928">
        <f t="shared" si="54"/>
        <v>0</v>
      </c>
      <c r="AR100" s="928">
        <f t="shared" si="54"/>
        <v>0</v>
      </c>
      <c r="AS100" s="928">
        <f t="shared" si="54"/>
        <v>0</v>
      </c>
      <c r="AT100" s="928">
        <f t="shared" si="54"/>
        <v>0</v>
      </c>
      <c r="AU100" s="928">
        <f t="shared" si="54"/>
        <v>0</v>
      </c>
    </row>
    <row r="101" spans="1:52" hidden="1">
      <c r="F101" s="555" t="s">
        <v>2674</v>
      </c>
      <c r="G101" s="928"/>
      <c r="H101" s="928">
        <f t="shared" ref="H101:AU101" si="55">H99-H100</f>
        <v>0</v>
      </c>
      <c r="I101" s="928">
        <f t="shared" si="55"/>
        <v>0</v>
      </c>
      <c r="J101" s="928">
        <f t="shared" si="55"/>
        <v>0</v>
      </c>
      <c r="K101" s="928">
        <f t="shared" si="55"/>
        <v>0</v>
      </c>
      <c r="L101" s="928">
        <f t="shared" si="55"/>
        <v>0</v>
      </c>
      <c r="M101" s="928">
        <f t="shared" si="55"/>
        <v>0</v>
      </c>
      <c r="N101" s="928">
        <f t="shared" si="55"/>
        <v>0</v>
      </c>
      <c r="O101" s="928">
        <f t="shared" si="55"/>
        <v>0</v>
      </c>
      <c r="P101" s="928">
        <f t="shared" si="55"/>
        <v>0</v>
      </c>
      <c r="Q101" s="928">
        <f t="shared" si="55"/>
        <v>0</v>
      </c>
      <c r="R101" s="928">
        <f t="shared" si="55"/>
        <v>0</v>
      </c>
      <c r="S101" s="928">
        <f t="shared" si="55"/>
        <v>0</v>
      </c>
      <c r="T101" s="928">
        <f t="shared" si="55"/>
        <v>0</v>
      </c>
      <c r="U101" s="928">
        <f t="shared" si="55"/>
        <v>0</v>
      </c>
      <c r="V101" s="928">
        <f t="shared" si="55"/>
        <v>0</v>
      </c>
      <c r="W101" s="928">
        <f t="shared" si="55"/>
        <v>0</v>
      </c>
      <c r="X101" s="928">
        <f t="shared" si="55"/>
        <v>0</v>
      </c>
      <c r="Y101" s="928">
        <f t="shared" si="55"/>
        <v>0</v>
      </c>
      <c r="Z101" s="928">
        <f t="shared" si="55"/>
        <v>0</v>
      </c>
      <c r="AA101" s="928">
        <f t="shared" si="55"/>
        <v>0</v>
      </c>
      <c r="AB101" s="928">
        <f t="shared" si="55"/>
        <v>0</v>
      </c>
      <c r="AC101" s="928">
        <f t="shared" si="55"/>
        <v>0</v>
      </c>
      <c r="AD101" s="928">
        <f t="shared" si="55"/>
        <v>0</v>
      </c>
      <c r="AE101" s="928">
        <f t="shared" si="55"/>
        <v>0</v>
      </c>
      <c r="AF101" s="928">
        <f t="shared" si="55"/>
        <v>0</v>
      </c>
      <c r="AG101" s="928">
        <f t="shared" si="55"/>
        <v>0</v>
      </c>
      <c r="AH101" s="928">
        <f t="shared" si="55"/>
        <v>0</v>
      </c>
      <c r="AI101" s="928">
        <f t="shared" si="55"/>
        <v>0</v>
      </c>
      <c r="AJ101" s="928">
        <f t="shared" si="55"/>
        <v>0</v>
      </c>
      <c r="AK101" s="928">
        <f t="shared" si="55"/>
        <v>0</v>
      </c>
      <c r="AL101" s="928">
        <f t="shared" si="55"/>
        <v>0</v>
      </c>
      <c r="AM101" s="928">
        <f t="shared" si="55"/>
        <v>0</v>
      </c>
      <c r="AN101" s="928">
        <f t="shared" si="55"/>
        <v>0</v>
      </c>
      <c r="AO101" s="928">
        <f t="shared" si="55"/>
        <v>0</v>
      </c>
      <c r="AP101" s="928">
        <f t="shared" si="55"/>
        <v>0</v>
      </c>
      <c r="AQ101" s="928">
        <f t="shared" si="55"/>
        <v>0</v>
      </c>
      <c r="AR101" s="928">
        <f t="shared" si="55"/>
        <v>0</v>
      </c>
      <c r="AS101" s="928">
        <f t="shared" si="55"/>
        <v>0</v>
      </c>
      <c r="AT101" s="928">
        <f t="shared" si="55"/>
        <v>0</v>
      </c>
      <c r="AU101" s="928">
        <f t="shared" si="55"/>
        <v>0</v>
      </c>
    </row>
    <row r="102" spans="1:52" ht="15.75" customHeight="1">
      <c r="A102" s="672"/>
      <c r="B102" s="672"/>
      <c r="C102" s="672"/>
      <c r="D102" s="672"/>
      <c r="E102" s="672"/>
      <c r="F102" s="672"/>
      <c r="G102" s="672"/>
      <c r="H102" s="672"/>
      <c r="I102" s="672"/>
      <c r="J102" s="672"/>
      <c r="K102" s="672"/>
      <c r="L102" s="672"/>
      <c r="M102" s="672"/>
      <c r="N102" s="672"/>
      <c r="O102" s="672"/>
      <c r="P102" s="672"/>
      <c r="Q102" s="672"/>
      <c r="R102" s="672"/>
      <c r="S102" s="672"/>
      <c r="T102" s="672"/>
      <c r="U102" s="672"/>
      <c r="V102" s="672"/>
      <c r="W102" s="672"/>
      <c r="X102" s="672"/>
      <c r="Y102" s="672"/>
      <c r="Z102" s="672"/>
      <c r="AA102" s="672"/>
      <c r="AB102" s="672"/>
      <c r="AC102" s="672"/>
      <c r="AD102" s="672"/>
      <c r="AE102" s="672"/>
      <c r="AF102" s="672"/>
      <c r="AG102" s="672"/>
      <c r="AH102" s="672"/>
      <c r="AI102" s="672"/>
      <c r="AJ102" s="672"/>
      <c r="AK102" s="672"/>
      <c r="AL102" s="672"/>
      <c r="AM102" s="672"/>
      <c r="AN102" s="672"/>
      <c r="AO102" s="672"/>
      <c r="AP102" s="672"/>
      <c r="AQ102" s="672"/>
      <c r="AR102" s="672"/>
      <c r="AS102" s="672"/>
      <c r="AT102" s="672"/>
      <c r="AU102" s="672"/>
      <c r="AV102" s="672"/>
    </row>
    <row r="103" spans="1:52" ht="15.75" customHeight="1">
      <c r="A103" s="672"/>
      <c r="B103" s="672"/>
      <c r="C103" s="672"/>
      <c r="D103" s="672"/>
      <c r="E103" s="672"/>
      <c r="F103" s="672"/>
      <c r="G103" s="672"/>
      <c r="H103" s="672"/>
      <c r="I103" s="672"/>
      <c r="J103" s="672"/>
      <c r="K103" s="672"/>
      <c r="L103" s="672"/>
      <c r="M103" s="672"/>
      <c r="N103" s="672"/>
      <c r="O103" s="672"/>
      <c r="P103" s="672"/>
      <c r="Q103" s="672"/>
      <c r="R103" s="672"/>
      <c r="S103" s="672"/>
      <c r="T103" s="672"/>
      <c r="U103" s="672"/>
      <c r="V103" s="672"/>
      <c r="W103" s="672"/>
      <c r="X103" s="672"/>
      <c r="Y103" s="672"/>
      <c r="Z103" s="672"/>
      <c r="AA103" s="672"/>
      <c r="AB103" s="672"/>
      <c r="AC103" s="672"/>
      <c r="AD103" s="672"/>
      <c r="AE103" s="672"/>
      <c r="AF103" s="672"/>
      <c r="AG103" s="672"/>
      <c r="AH103" s="672"/>
      <c r="AI103" s="672"/>
      <c r="AJ103" s="672"/>
      <c r="AK103" s="672"/>
      <c r="AL103" s="672"/>
      <c r="AM103" s="672"/>
      <c r="AN103" s="672"/>
      <c r="AO103" s="672"/>
      <c r="AP103" s="672"/>
      <c r="AQ103" s="672"/>
      <c r="AR103" s="672"/>
      <c r="AS103" s="672"/>
      <c r="AT103" s="672"/>
      <c r="AU103" s="672"/>
      <c r="AV103" s="672"/>
    </row>
    <row r="104" spans="1:52" ht="15.75" customHeight="1">
      <c r="A104" s="672"/>
      <c r="B104" s="672"/>
      <c r="C104" s="672"/>
      <c r="D104" s="672"/>
      <c r="E104" s="672"/>
      <c r="F104" s="672"/>
      <c r="G104" s="672"/>
      <c r="H104" s="672"/>
      <c r="I104" s="672"/>
      <c r="J104" s="672"/>
      <c r="K104" s="672"/>
      <c r="L104" s="672"/>
      <c r="M104" s="672"/>
      <c r="N104" s="672"/>
      <c r="O104" s="672"/>
      <c r="P104" s="672"/>
      <c r="Q104" s="672"/>
      <c r="R104" s="672"/>
      <c r="S104" s="672"/>
      <c r="T104" s="672"/>
      <c r="U104" s="672"/>
      <c r="V104" s="672"/>
      <c r="W104" s="672"/>
      <c r="X104" s="672"/>
      <c r="Y104" s="672"/>
      <c r="Z104" s="672"/>
      <c r="AA104" s="672"/>
      <c r="AB104" s="672"/>
      <c r="AC104" s="672"/>
      <c r="AD104" s="672"/>
      <c r="AE104" s="672"/>
      <c r="AF104" s="672"/>
      <c r="AG104" s="672"/>
      <c r="AH104" s="672"/>
      <c r="AI104" s="672"/>
      <c r="AJ104" s="672"/>
      <c r="AK104" s="672"/>
      <c r="AL104" s="672"/>
      <c r="AM104" s="672"/>
      <c r="AN104" s="672"/>
      <c r="AO104" s="672"/>
      <c r="AP104" s="672"/>
      <c r="AQ104" s="672"/>
      <c r="AR104" s="672"/>
      <c r="AS104" s="672"/>
      <c r="AT104" s="672"/>
      <c r="AU104" s="672"/>
      <c r="AV104" s="672"/>
    </row>
    <row r="105" spans="1:52" ht="15.75" customHeight="1">
      <c r="A105" s="672"/>
      <c r="B105" s="672"/>
      <c r="C105" s="672"/>
      <c r="D105" s="672"/>
      <c r="E105" s="672"/>
      <c r="F105" s="672"/>
      <c r="G105" s="672"/>
      <c r="H105" s="672"/>
      <c r="I105" s="672"/>
      <c r="J105" s="672"/>
      <c r="K105" s="672"/>
      <c r="L105" s="672"/>
      <c r="M105" s="672"/>
      <c r="N105" s="672"/>
      <c r="O105" s="672"/>
      <c r="P105" s="672"/>
      <c r="Q105" s="672"/>
      <c r="R105" s="672"/>
      <c r="S105" s="672"/>
      <c r="T105" s="672"/>
      <c r="U105" s="672"/>
      <c r="V105" s="672"/>
      <c r="W105" s="672"/>
      <c r="X105" s="672"/>
      <c r="Y105" s="672"/>
      <c r="Z105" s="672"/>
      <c r="AA105" s="672"/>
      <c r="AB105" s="672"/>
      <c r="AC105" s="672"/>
      <c r="AD105" s="672"/>
      <c r="AE105" s="672"/>
      <c r="AF105" s="672"/>
      <c r="AG105" s="672"/>
      <c r="AH105" s="672"/>
      <c r="AI105" s="672"/>
      <c r="AJ105" s="672"/>
      <c r="AK105" s="672"/>
      <c r="AL105" s="672"/>
      <c r="AM105" s="672"/>
      <c r="AN105" s="672"/>
      <c r="AO105" s="672"/>
      <c r="AP105" s="672"/>
      <c r="AQ105" s="672"/>
      <c r="AR105" s="672"/>
      <c r="AS105" s="672"/>
      <c r="AT105" s="672"/>
      <c r="AU105" s="672"/>
      <c r="AV105" s="672"/>
    </row>
    <row r="106" spans="1:52" ht="15.75" customHeight="1">
      <c r="A106" s="672"/>
      <c r="B106" s="672"/>
      <c r="C106" s="672"/>
      <c r="D106" s="672"/>
      <c r="E106" s="672"/>
      <c r="F106" s="672"/>
      <c r="G106" s="672"/>
      <c r="H106" s="672"/>
      <c r="I106" s="672"/>
      <c r="J106" s="672"/>
      <c r="K106" s="672"/>
      <c r="L106" s="672"/>
      <c r="M106" s="672"/>
      <c r="N106" s="672"/>
      <c r="O106" s="672"/>
      <c r="P106" s="672"/>
      <c r="Q106" s="672"/>
      <c r="R106" s="672"/>
      <c r="S106" s="672"/>
      <c r="T106" s="672"/>
      <c r="U106" s="672"/>
      <c r="V106" s="672"/>
      <c r="W106" s="672"/>
      <c r="X106" s="672"/>
      <c r="Y106" s="672"/>
      <c r="Z106" s="672"/>
      <c r="AA106" s="672"/>
      <c r="AB106" s="672"/>
      <c r="AC106" s="672"/>
      <c r="AD106" s="672"/>
      <c r="AE106" s="672"/>
      <c r="AF106" s="672"/>
      <c r="AG106" s="672"/>
      <c r="AH106" s="672"/>
      <c r="AI106" s="672"/>
      <c r="AJ106" s="672"/>
      <c r="AK106" s="672"/>
      <c r="AL106" s="672"/>
      <c r="AM106" s="672"/>
      <c r="AN106" s="672"/>
      <c r="AO106" s="672"/>
      <c r="AP106" s="672"/>
      <c r="AQ106" s="672"/>
      <c r="AR106" s="672"/>
      <c r="AS106" s="672"/>
      <c r="AT106" s="672"/>
      <c r="AU106" s="672"/>
      <c r="AV106" s="672"/>
    </row>
    <row r="107" spans="1:52" ht="15.75" customHeight="1">
      <c r="A107" s="672"/>
      <c r="B107" s="672"/>
      <c r="C107" s="672"/>
      <c r="D107" s="672"/>
      <c r="E107" s="672"/>
      <c r="F107" s="672"/>
      <c r="G107" s="672"/>
      <c r="H107" s="672"/>
      <c r="I107" s="672"/>
      <c r="J107" s="672"/>
      <c r="K107" s="672"/>
      <c r="L107" s="672"/>
      <c r="M107" s="672"/>
      <c r="N107" s="672"/>
      <c r="O107" s="672"/>
      <c r="P107" s="672"/>
      <c r="Q107" s="672"/>
      <c r="R107" s="672"/>
      <c r="S107" s="672"/>
      <c r="T107" s="672"/>
      <c r="U107" s="672"/>
      <c r="V107" s="672"/>
      <c r="W107" s="672"/>
      <c r="X107" s="672"/>
      <c r="Y107" s="672"/>
      <c r="Z107" s="672"/>
      <c r="AA107" s="672"/>
      <c r="AB107" s="672"/>
      <c r="AC107" s="672"/>
      <c r="AD107" s="672"/>
      <c r="AE107" s="672"/>
      <c r="AF107" s="672"/>
      <c r="AG107" s="672"/>
      <c r="AH107" s="672"/>
      <c r="AI107" s="672"/>
      <c r="AJ107" s="672"/>
      <c r="AK107" s="672"/>
      <c r="AL107" s="672"/>
      <c r="AM107" s="672"/>
      <c r="AN107" s="672"/>
      <c r="AO107" s="672"/>
      <c r="AP107" s="672"/>
      <c r="AQ107" s="672"/>
      <c r="AR107" s="672"/>
      <c r="AS107" s="672"/>
      <c r="AT107" s="672"/>
      <c r="AU107" s="672"/>
      <c r="AV107" s="672"/>
    </row>
    <row r="108" spans="1:52" ht="15.75" customHeight="1">
      <c r="A108" s="672"/>
      <c r="B108" s="672"/>
      <c r="C108" s="672"/>
      <c r="D108" s="672"/>
      <c r="E108" s="672"/>
      <c r="F108" s="672"/>
      <c r="G108" s="672"/>
      <c r="H108" s="672"/>
      <c r="I108" s="672"/>
      <c r="J108" s="672"/>
      <c r="K108" s="672"/>
      <c r="L108" s="672"/>
      <c r="M108" s="672"/>
      <c r="N108" s="672"/>
      <c r="O108" s="672"/>
      <c r="P108" s="672"/>
      <c r="Q108" s="672"/>
      <c r="R108" s="672"/>
      <c r="S108" s="672"/>
      <c r="T108" s="672"/>
      <c r="U108" s="672"/>
      <c r="V108" s="672"/>
      <c r="W108" s="672"/>
      <c r="X108" s="672"/>
      <c r="Y108" s="672"/>
      <c r="Z108" s="672"/>
      <c r="AA108" s="672"/>
      <c r="AB108" s="672"/>
      <c r="AC108" s="672"/>
      <c r="AD108" s="672"/>
      <c r="AE108" s="672"/>
      <c r="AF108" s="672"/>
      <c r="AG108" s="672"/>
      <c r="AH108" s="672"/>
      <c r="AI108" s="672"/>
      <c r="AJ108" s="672"/>
      <c r="AK108" s="672"/>
      <c r="AL108" s="672"/>
      <c r="AM108" s="672"/>
      <c r="AN108" s="672"/>
      <c r="AO108" s="672"/>
      <c r="AP108" s="672"/>
      <c r="AQ108" s="672"/>
      <c r="AR108" s="672"/>
      <c r="AS108" s="672"/>
      <c r="AT108" s="672"/>
      <c r="AU108" s="672"/>
      <c r="AV108" s="672"/>
    </row>
    <row r="109" spans="1:52" ht="15.75" customHeight="1">
      <c r="A109" s="672"/>
      <c r="B109" s="672"/>
      <c r="C109" s="672"/>
      <c r="D109" s="672"/>
      <c r="E109" s="672"/>
      <c r="F109" s="672"/>
      <c r="G109" s="672"/>
      <c r="H109" s="672"/>
      <c r="I109" s="672"/>
      <c r="J109" s="672"/>
      <c r="K109" s="672"/>
      <c r="L109" s="672"/>
      <c r="M109" s="672"/>
      <c r="N109" s="672"/>
      <c r="O109" s="672"/>
      <c r="P109" s="672"/>
      <c r="Q109" s="672"/>
      <c r="R109" s="672"/>
      <c r="S109" s="672"/>
      <c r="T109" s="672"/>
      <c r="U109" s="672"/>
      <c r="V109" s="672"/>
      <c r="W109" s="672"/>
      <c r="X109" s="672"/>
      <c r="Y109" s="672"/>
      <c r="Z109" s="672"/>
      <c r="AA109" s="672"/>
      <c r="AB109" s="672"/>
      <c r="AC109" s="672"/>
      <c r="AD109" s="672"/>
      <c r="AE109" s="672"/>
      <c r="AF109" s="672"/>
      <c r="AG109" s="672"/>
      <c r="AH109" s="672"/>
      <c r="AI109" s="672"/>
      <c r="AJ109" s="672"/>
      <c r="AK109" s="672"/>
      <c r="AL109" s="672"/>
      <c r="AM109" s="672"/>
      <c r="AN109" s="672"/>
      <c r="AO109" s="672"/>
      <c r="AP109" s="672"/>
      <c r="AQ109" s="672"/>
      <c r="AR109" s="672"/>
      <c r="AS109" s="672"/>
      <c r="AT109" s="672"/>
      <c r="AU109" s="672"/>
      <c r="AV109" s="672"/>
    </row>
    <row r="110" spans="1:52" ht="15.75" customHeight="1">
      <c r="A110" s="672"/>
      <c r="B110" s="672"/>
      <c r="C110" s="672"/>
      <c r="D110" s="672"/>
      <c r="E110" s="672"/>
      <c r="F110" s="672"/>
      <c r="G110" s="672"/>
      <c r="H110" s="672"/>
      <c r="I110" s="672"/>
      <c r="J110" s="672"/>
      <c r="K110" s="672"/>
      <c r="L110" s="672"/>
      <c r="M110" s="672"/>
      <c r="N110" s="672"/>
      <c r="O110" s="672"/>
      <c r="P110" s="672"/>
      <c r="Q110" s="672"/>
      <c r="R110" s="672"/>
      <c r="S110" s="672"/>
      <c r="T110" s="672"/>
      <c r="U110" s="672"/>
      <c r="V110" s="672"/>
      <c r="W110" s="672"/>
      <c r="X110" s="672"/>
      <c r="Y110" s="672"/>
      <c r="Z110" s="672"/>
      <c r="AA110" s="672"/>
      <c r="AB110" s="672"/>
      <c r="AC110" s="672"/>
      <c r="AD110" s="672"/>
      <c r="AE110" s="672"/>
      <c r="AF110" s="672"/>
      <c r="AG110" s="672"/>
      <c r="AH110" s="672"/>
      <c r="AI110" s="672"/>
      <c r="AJ110" s="672"/>
      <c r="AK110" s="672"/>
      <c r="AL110" s="672"/>
      <c r="AM110" s="672"/>
      <c r="AN110" s="672"/>
      <c r="AO110" s="672"/>
      <c r="AP110" s="672"/>
      <c r="AQ110" s="672"/>
      <c r="AR110" s="672"/>
      <c r="AS110" s="672"/>
      <c r="AT110" s="672"/>
      <c r="AU110" s="672"/>
      <c r="AV110" s="672"/>
    </row>
    <row r="111" spans="1:52" ht="15.75" customHeight="1">
      <c r="A111" s="672"/>
      <c r="B111" s="672"/>
      <c r="C111" s="672"/>
      <c r="D111" s="672"/>
      <c r="E111" s="672"/>
      <c r="F111" s="672"/>
      <c r="G111" s="672"/>
      <c r="H111" s="672"/>
      <c r="I111" s="672"/>
      <c r="J111" s="672"/>
      <c r="K111" s="672"/>
      <c r="L111" s="672"/>
      <c r="M111" s="672"/>
      <c r="N111" s="672"/>
      <c r="O111" s="672"/>
      <c r="P111" s="672"/>
      <c r="Q111" s="672"/>
      <c r="R111" s="672"/>
      <c r="S111" s="672"/>
      <c r="T111" s="672"/>
      <c r="U111" s="672"/>
      <c r="V111" s="672"/>
      <c r="W111" s="672"/>
      <c r="X111" s="672"/>
      <c r="Y111" s="672"/>
      <c r="Z111" s="672"/>
      <c r="AA111" s="672"/>
      <c r="AB111" s="672"/>
      <c r="AC111" s="672"/>
      <c r="AD111" s="672"/>
      <c r="AE111" s="672"/>
      <c r="AF111" s="672"/>
      <c r="AG111" s="672"/>
      <c r="AH111" s="672"/>
      <c r="AI111" s="672"/>
      <c r="AJ111" s="672"/>
      <c r="AK111" s="672"/>
      <c r="AL111" s="672"/>
      <c r="AM111" s="672"/>
      <c r="AN111" s="672"/>
      <c r="AO111" s="672"/>
      <c r="AP111" s="672"/>
      <c r="AQ111" s="672"/>
      <c r="AR111" s="672"/>
      <c r="AS111" s="672"/>
      <c r="AT111" s="672"/>
      <c r="AU111" s="672"/>
      <c r="AV111" s="672"/>
    </row>
    <row r="112" spans="1:52" ht="15.75" customHeight="1">
      <c r="A112" s="672"/>
      <c r="B112" s="672"/>
      <c r="C112" s="672"/>
      <c r="D112" s="672"/>
      <c r="E112" s="672"/>
      <c r="F112" s="672"/>
      <c r="G112" s="672"/>
      <c r="H112" s="672"/>
      <c r="I112" s="672"/>
      <c r="J112" s="672"/>
      <c r="K112" s="672"/>
      <c r="L112" s="672"/>
      <c r="M112" s="672"/>
      <c r="N112" s="672"/>
      <c r="O112" s="672"/>
      <c r="P112" s="672"/>
      <c r="Q112" s="672"/>
      <c r="R112" s="672"/>
      <c r="S112" s="672"/>
      <c r="T112" s="672"/>
      <c r="U112" s="672"/>
      <c r="V112" s="672"/>
      <c r="W112" s="672"/>
      <c r="X112" s="672"/>
      <c r="Y112" s="672"/>
      <c r="Z112" s="672"/>
      <c r="AA112" s="672"/>
      <c r="AB112" s="672"/>
      <c r="AC112" s="672"/>
      <c r="AD112" s="672"/>
      <c r="AE112" s="672"/>
      <c r="AF112" s="672"/>
      <c r="AG112" s="672"/>
      <c r="AH112" s="672"/>
      <c r="AI112" s="672"/>
      <c r="AJ112" s="672"/>
      <c r="AK112" s="672"/>
      <c r="AL112" s="672"/>
      <c r="AM112" s="672"/>
      <c r="AN112" s="672"/>
      <c r="AO112" s="672"/>
      <c r="AP112" s="672"/>
      <c r="AQ112" s="672"/>
      <c r="AR112" s="672"/>
      <c r="AS112" s="672"/>
      <c r="AT112" s="672"/>
      <c r="AU112" s="672"/>
      <c r="AV112" s="672"/>
    </row>
    <row r="113" spans="1:48" ht="15.75" customHeight="1">
      <c r="A113" s="672"/>
      <c r="B113" s="672"/>
      <c r="C113" s="672"/>
      <c r="D113" s="672"/>
      <c r="E113" s="672"/>
      <c r="F113" s="672"/>
      <c r="G113" s="672"/>
      <c r="H113" s="672"/>
      <c r="I113" s="672"/>
      <c r="J113" s="672"/>
      <c r="K113" s="672"/>
      <c r="L113" s="672"/>
      <c r="M113" s="672"/>
      <c r="N113" s="672"/>
      <c r="O113" s="672"/>
      <c r="P113" s="672"/>
      <c r="Q113" s="672"/>
      <c r="R113" s="672"/>
      <c r="S113" s="672"/>
      <c r="T113" s="672"/>
      <c r="U113" s="672"/>
      <c r="V113" s="672"/>
      <c r="W113" s="672"/>
      <c r="X113" s="672"/>
      <c r="Y113" s="672"/>
      <c r="Z113" s="672"/>
      <c r="AA113" s="672"/>
      <c r="AB113" s="672"/>
      <c r="AC113" s="672"/>
      <c r="AD113" s="672"/>
      <c r="AE113" s="672"/>
      <c r="AF113" s="672"/>
      <c r="AG113" s="672"/>
      <c r="AH113" s="672"/>
      <c r="AI113" s="672"/>
      <c r="AJ113" s="672"/>
      <c r="AK113" s="672"/>
      <c r="AL113" s="672"/>
      <c r="AM113" s="672"/>
      <c r="AN113" s="672"/>
      <c r="AO113" s="672"/>
      <c r="AP113" s="672"/>
      <c r="AQ113" s="672"/>
      <c r="AR113" s="672"/>
      <c r="AS113" s="672"/>
      <c r="AT113" s="672"/>
      <c r="AU113" s="672"/>
      <c r="AV113" s="672"/>
    </row>
    <row r="114" spans="1:48" ht="15.75" customHeight="1">
      <c r="A114" s="672"/>
      <c r="B114" s="672"/>
      <c r="C114" s="672"/>
      <c r="D114" s="672"/>
      <c r="E114" s="672"/>
      <c r="F114" s="672"/>
      <c r="G114" s="672"/>
      <c r="H114" s="672"/>
      <c r="I114" s="672"/>
      <c r="J114" s="672"/>
      <c r="K114" s="672"/>
      <c r="L114" s="672"/>
      <c r="M114" s="672"/>
      <c r="N114" s="672"/>
      <c r="O114" s="672"/>
      <c r="P114" s="672"/>
      <c r="Q114" s="672"/>
      <c r="R114" s="672"/>
      <c r="S114" s="672"/>
      <c r="T114" s="672"/>
      <c r="U114" s="672"/>
      <c r="V114" s="672"/>
      <c r="W114" s="672"/>
      <c r="X114" s="672"/>
      <c r="Y114" s="672"/>
      <c r="Z114" s="672"/>
      <c r="AA114" s="672"/>
      <c r="AB114" s="672"/>
      <c r="AC114" s="672"/>
      <c r="AD114" s="672"/>
      <c r="AE114" s="672"/>
      <c r="AF114" s="672"/>
      <c r="AG114" s="672"/>
      <c r="AH114" s="672"/>
      <c r="AI114" s="672"/>
      <c r="AJ114" s="672"/>
      <c r="AK114" s="672"/>
      <c r="AL114" s="672"/>
      <c r="AM114" s="672"/>
      <c r="AN114" s="672"/>
      <c r="AO114" s="672"/>
      <c r="AP114" s="672"/>
      <c r="AQ114" s="672"/>
      <c r="AR114" s="672"/>
      <c r="AS114" s="672"/>
      <c r="AT114" s="672"/>
      <c r="AU114" s="672"/>
      <c r="AV114" s="672"/>
    </row>
    <row r="115" spans="1:48" ht="15.75" customHeight="1">
      <c r="A115" s="672"/>
      <c r="B115" s="672"/>
      <c r="C115" s="672"/>
      <c r="D115" s="672"/>
      <c r="E115" s="672"/>
      <c r="F115" s="672"/>
      <c r="G115" s="672"/>
      <c r="H115" s="672"/>
      <c r="I115" s="672"/>
      <c r="J115" s="672"/>
      <c r="K115" s="672"/>
      <c r="L115" s="672"/>
      <c r="M115" s="672"/>
      <c r="N115" s="672"/>
      <c r="O115" s="672"/>
      <c r="P115" s="672"/>
      <c r="Q115" s="672"/>
      <c r="R115" s="672"/>
      <c r="S115" s="672"/>
      <c r="T115" s="672"/>
      <c r="U115" s="672"/>
      <c r="V115" s="672"/>
      <c r="W115" s="672"/>
      <c r="X115" s="672"/>
      <c r="Y115" s="672"/>
      <c r="Z115" s="672"/>
      <c r="AA115" s="672"/>
      <c r="AB115" s="672"/>
      <c r="AC115" s="672"/>
      <c r="AD115" s="672"/>
      <c r="AE115" s="672"/>
      <c r="AF115" s="672"/>
      <c r="AG115" s="672"/>
      <c r="AH115" s="672"/>
      <c r="AI115" s="672"/>
      <c r="AJ115" s="672"/>
      <c r="AK115" s="672"/>
      <c r="AL115" s="672"/>
      <c r="AM115" s="672"/>
      <c r="AN115" s="672"/>
      <c r="AO115" s="672"/>
      <c r="AP115" s="672"/>
      <c r="AQ115" s="672"/>
      <c r="AR115" s="672"/>
      <c r="AS115" s="672"/>
      <c r="AT115" s="672"/>
      <c r="AU115" s="672"/>
      <c r="AV115" s="672"/>
    </row>
    <row r="116" spans="1:48" ht="15.75" customHeight="1">
      <c r="A116" s="672"/>
      <c r="B116" s="672"/>
      <c r="C116" s="672"/>
      <c r="D116" s="672"/>
      <c r="E116" s="672"/>
      <c r="F116" s="672"/>
      <c r="G116" s="672"/>
      <c r="H116" s="672"/>
      <c r="I116" s="672"/>
      <c r="J116" s="672"/>
      <c r="K116" s="672"/>
      <c r="L116" s="672"/>
      <c r="M116" s="672"/>
      <c r="N116" s="672"/>
      <c r="O116" s="672"/>
      <c r="P116" s="672"/>
      <c r="Q116" s="672"/>
      <c r="R116" s="672"/>
      <c r="S116" s="672"/>
      <c r="T116" s="672"/>
      <c r="U116" s="672"/>
      <c r="V116" s="672"/>
      <c r="W116" s="672"/>
      <c r="X116" s="672"/>
      <c r="Y116" s="672"/>
      <c r="Z116" s="672"/>
      <c r="AA116" s="672"/>
      <c r="AB116" s="672"/>
      <c r="AC116" s="672"/>
      <c r="AD116" s="672"/>
      <c r="AE116" s="672"/>
      <c r="AF116" s="672"/>
      <c r="AG116" s="672"/>
      <c r="AH116" s="672"/>
      <c r="AI116" s="672"/>
      <c r="AJ116" s="672"/>
      <c r="AK116" s="672"/>
      <c r="AL116" s="672"/>
      <c r="AM116" s="672"/>
      <c r="AN116" s="672"/>
      <c r="AO116" s="672"/>
      <c r="AP116" s="672"/>
      <c r="AQ116" s="672"/>
      <c r="AR116" s="672"/>
      <c r="AS116" s="672"/>
      <c r="AT116" s="672"/>
      <c r="AU116" s="672"/>
      <c r="AV116" s="672"/>
    </row>
    <row r="117" spans="1:48" ht="15.75" customHeight="1">
      <c r="A117" s="672"/>
      <c r="B117" s="672"/>
      <c r="C117" s="672"/>
      <c r="D117" s="672"/>
      <c r="E117" s="672"/>
      <c r="F117" s="672"/>
      <c r="G117" s="672"/>
      <c r="H117" s="672"/>
      <c r="I117" s="672"/>
      <c r="J117" s="672"/>
      <c r="K117" s="672"/>
      <c r="L117" s="672"/>
      <c r="M117" s="672"/>
      <c r="N117" s="672"/>
      <c r="O117" s="672"/>
      <c r="P117" s="672"/>
      <c r="Q117" s="672"/>
      <c r="R117" s="672"/>
      <c r="S117" s="672"/>
      <c r="T117" s="672"/>
      <c r="U117" s="672"/>
      <c r="V117" s="672"/>
      <c r="W117" s="672"/>
      <c r="X117" s="672"/>
      <c r="Y117" s="672"/>
      <c r="Z117" s="672"/>
      <c r="AA117" s="672"/>
      <c r="AB117" s="672"/>
      <c r="AC117" s="672"/>
      <c r="AD117" s="672"/>
      <c r="AE117" s="672"/>
      <c r="AF117" s="672"/>
      <c r="AG117" s="672"/>
      <c r="AH117" s="672"/>
      <c r="AI117" s="672"/>
      <c r="AJ117" s="672"/>
      <c r="AK117" s="672"/>
      <c r="AL117" s="672"/>
      <c r="AM117" s="672"/>
      <c r="AN117" s="672"/>
      <c r="AO117" s="672"/>
      <c r="AP117" s="672"/>
      <c r="AQ117" s="672"/>
      <c r="AR117" s="672"/>
      <c r="AS117" s="672"/>
      <c r="AT117" s="672"/>
      <c r="AU117" s="672"/>
      <c r="AV117" s="672"/>
    </row>
    <row r="118" spans="1:48" ht="15.75" customHeight="1">
      <c r="A118" s="672"/>
      <c r="B118" s="672"/>
      <c r="C118" s="672"/>
      <c r="D118" s="672"/>
      <c r="E118" s="672"/>
      <c r="F118" s="672"/>
      <c r="G118" s="672"/>
      <c r="H118" s="672"/>
      <c r="I118" s="672"/>
      <c r="J118" s="672"/>
      <c r="K118" s="672"/>
      <c r="L118" s="672"/>
      <c r="M118" s="672"/>
      <c r="N118" s="672"/>
      <c r="O118" s="672"/>
      <c r="P118" s="672"/>
      <c r="Q118" s="672"/>
      <c r="R118" s="672"/>
      <c r="S118" s="672"/>
      <c r="T118" s="672"/>
      <c r="U118" s="672"/>
      <c r="V118" s="672"/>
      <c r="W118" s="672"/>
      <c r="X118" s="672"/>
      <c r="Y118" s="672"/>
      <c r="Z118" s="672"/>
      <c r="AA118" s="672"/>
      <c r="AB118" s="672"/>
      <c r="AC118" s="672"/>
      <c r="AD118" s="672"/>
      <c r="AE118" s="672"/>
      <c r="AF118" s="672"/>
      <c r="AG118" s="672"/>
      <c r="AH118" s="672"/>
      <c r="AI118" s="672"/>
      <c r="AJ118" s="672"/>
      <c r="AK118" s="672"/>
      <c r="AL118" s="672"/>
      <c r="AM118" s="672"/>
      <c r="AN118" s="672"/>
      <c r="AO118" s="672"/>
      <c r="AP118" s="672"/>
      <c r="AQ118" s="672"/>
      <c r="AR118" s="672"/>
      <c r="AS118" s="672"/>
      <c r="AT118" s="672"/>
      <c r="AU118" s="672"/>
      <c r="AV118" s="672"/>
    </row>
    <row r="119" spans="1:48" ht="15.75" customHeight="1">
      <c r="A119" s="672"/>
      <c r="B119" s="672"/>
      <c r="C119" s="672"/>
      <c r="D119" s="672"/>
      <c r="E119" s="672"/>
      <c r="F119" s="672"/>
      <c r="G119" s="672"/>
      <c r="H119" s="672"/>
      <c r="I119" s="672"/>
      <c r="J119" s="672"/>
      <c r="K119" s="672"/>
      <c r="L119" s="672"/>
      <c r="M119" s="672"/>
      <c r="N119" s="672"/>
      <c r="O119" s="672"/>
      <c r="P119" s="672"/>
      <c r="Q119" s="672"/>
      <c r="R119" s="672"/>
      <c r="S119" s="672"/>
      <c r="T119" s="672"/>
      <c r="U119" s="672"/>
      <c r="V119" s="672"/>
      <c r="W119" s="672"/>
      <c r="X119" s="672"/>
      <c r="Y119" s="672"/>
      <c r="Z119" s="672"/>
      <c r="AA119" s="672"/>
      <c r="AB119" s="672"/>
      <c r="AC119" s="672"/>
      <c r="AD119" s="672"/>
      <c r="AE119" s="672"/>
      <c r="AF119" s="672"/>
      <c r="AG119" s="672"/>
      <c r="AH119" s="672"/>
      <c r="AI119" s="672"/>
      <c r="AJ119" s="672"/>
      <c r="AK119" s="672"/>
      <c r="AL119" s="672"/>
      <c r="AM119" s="672"/>
      <c r="AN119" s="672"/>
      <c r="AO119" s="672"/>
      <c r="AP119" s="672"/>
      <c r="AQ119" s="672"/>
      <c r="AR119" s="672"/>
      <c r="AS119" s="672"/>
      <c r="AT119" s="672"/>
      <c r="AU119" s="672"/>
      <c r="AV119" s="672"/>
    </row>
    <row r="120" spans="1:48" ht="15.75" customHeight="1">
      <c r="A120" s="672"/>
      <c r="B120" s="672"/>
      <c r="C120" s="672"/>
      <c r="D120" s="672"/>
      <c r="E120" s="672"/>
      <c r="F120" s="672"/>
      <c r="G120" s="672"/>
      <c r="H120" s="672"/>
      <c r="I120" s="672"/>
      <c r="J120" s="672"/>
      <c r="K120" s="672"/>
      <c r="L120" s="672"/>
      <c r="M120" s="672"/>
      <c r="N120" s="672"/>
      <c r="O120" s="672"/>
      <c r="P120" s="672"/>
      <c r="Q120" s="672"/>
      <c r="R120" s="672"/>
      <c r="S120" s="672"/>
      <c r="T120" s="672"/>
      <c r="U120" s="672"/>
      <c r="V120" s="672"/>
      <c r="W120" s="672"/>
      <c r="X120" s="672"/>
      <c r="Y120" s="672"/>
      <c r="Z120" s="672"/>
      <c r="AA120" s="672"/>
      <c r="AB120" s="672"/>
      <c r="AC120" s="672"/>
      <c r="AD120" s="672"/>
      <c r="AE120" s="672"/>
      <c r="AF120" s="672"/>
      <c r="AG120" s="672"/>
      <c r="AH120" s="672"/>
      <c r="AI120" s="672"/>
      <c r="AJ120" s="672"/>
      <c r="AK120" s="672"/>
      <c r="AL120" s="672"/>
      <c r="AM120" s="672"/>
      <c r="AN120" s="672"/>
      <c r="AO120" s="672"/>
      <c r="AP120" s="672"/>
      <c r="AQ120" s="672"/>
      <c r="AR120" s="672"/>
      <c r="AS120" s="672"/>
      <c r="AT120" s="672"/>
      <c r="AU120" s="672"/>
      <c r="AV120" s="672"/>
    </row>
    <row r="121" spans="1:48" ht="15.75" customHeight="1">
      <c r="A121" s="672"/>
      <c r="B121" s="672"/>
      <c r="C121" s="672"/>
      <c r="D121" s="672"/>
      <c r="E121" s="672"/>
      <c r="F121" s="672"/>
      <c r="G121" s="672"/>
      <c r="H121" s="672"/>
      <c r="I121" s="672"/>
      <c r="J121" s="672"/>
      <c r="K121" s="672"/>
      <c r="L121" s="672"/>
      <c r="M121" s="672"/>
      <c r="N121" s="672"/>
      <c r="O121" s="672"/>
      <c r="P121" s="672"/>
      <c r="Q121" s="672"/>
      <c r="R121" s="672"/>
      <c r="S121" s="672"/>
      <c r="T121" s="672"/>
      <c r="U121" s="672"/>
      <c r="V121" s="672"/>
      <c r="W121" s="672"/>
      <c r="X121" s="672"/>
      <c r="Y121" s="672"/>
      <c r="Z121" s="672"/>
      <c r="AA121" s="672"/>
      <c r="AB121" s="672"/>
      <c r="AC121" s="672"/>
      <c r="AD121" s="672"/>
      <c r="AE121" s="672"/>
      <c r="AF121" s="672"/>
      <c r="AG121" s="672"/>
      <c r="AH121" s="672"/>
      <c r="AI121" s="672"/>
      <c r="AJ121" s="672"/>
      <c r="AK121" s="672"/>
      <c r="AL121" s="672"/>
      <c r="AM121" s="672"/>
      <c r="AN121" s="672"/>
      <c r="AO121" s="672"/>
      <c r="AP121" s="672"/>
      <c r="AQ121" s="672"/>
      <c r="AR121" s="672"/>
      <c r="AS121" s="672"/>
      <c r="AT121" s="672"/>
      <c r="AU121" s="672"/>
      <c r="AV121" s="672"/>
    </row>
    <row r="122" spans="1:48" ht="15.75" customHeight="1">
      <c r="A122" s="672"/>
      <c r="B122" s="672"/>
      <c r="C122" s="672"/>
      <c r="D122" s="672"/>
      <c r="E122" s="672"/>
      <c r="F122" s="672"/>
      <c r="G122" s="672"/>
      <c r="H122" s="672"/>
      <c r="I122" s="672"/>
      <c r="J122" s="672"/>
      <c r="K122" s="672"/>
      <c r="L122" s="672"/>
      <c r="M122" s="672"/>
      <c r="N122" s="672"/>
      <c r="O122" s="672"/>
      <c r="P122" s="672"/>
      <c r="Q122" s="672"/>
      <c r="R122" s="672"/>
      <c r="S122" s="672"/>
      <c r="T122" s="672"/>
      <c r="U122" s="672"/>
      <c r="V122" s="672"/>
      <c r="W122" s="672"/>
      <c r="X122" s="672"/>
      <c r="Y122" s="672"/>
      <c r="Z122" s="672"/>
      <c r="AA122" s="672"/>
      <c r="AB122" s="672"/>
      <c r="AC122" s="672"/>
      <c r="AD122" s="672"/>
      <c r="AE122" s="672"/>
      <c r="AF122" s="672"/>
      <c r="AG122" s="672"/>
      <c r="AH122" s="672"/>
      <c r="AI122" s="672"/>
      <c r="AJ122" s="672"/>
      <c r="AK122" s="672"/>
      <c r="AL122" s="672"/>
      <c r="AM122" s="672"/>
      <c r="AN122" s="672"/>
      <c r="AO122" s="672"/>
      <c r="AP122" s="672"/>
      <c r="AQ122" s="672"/>
      <c r="AR122" s="672"/>
      <c r="AS122" s="672"/>
      <c r="AT122" s="672"/>
      <c r="AU122" s="672"/>
      <c r="AV122" s="672"/>
    </row>
    <row r="123" spans="1:48" ht="15.75" customHeight="1">
      <c r="A123" s="672"/>
      <c r="B123" s="672"/>
      <c r="C123" s="672"/>
      <c r="D123" s="672"/>
      <c r="E123" s="672"/>
      <c r="F123" s="672"/>
      <c r="G123" s="672"/>
      <c r="H123" s="672"/>
      <c r="I123" s="672"/>
      <c r="J123" s="672"/>
      <c r="K123" s="672"/>
      <c r="L123" s="672"/>
      <c r="M123" s="672"/>
      <c r="N123" s="672"/>
      <c r="O123" s="672"/>
      <c r="P123" s="672"/>
      <c r="Q123" s="672"/>
      <c r="R123" s="672"/>
      <c r="S123" s="672"/>
      <c r="T123" s="672"/>
      <c r="U123" s="672"/>
      <c r="V123" s="672"/>
      <c r="W123" s="672"/>
      <c r="X123" s="672"/>
      <c r="Y123" s="672"/>
      <c r="Z123" s="672"/>
      <c r="AA123" s="672"/>
      <c r="AB123" s="672"/>
      <c r="AC123" s="672"/>
      <c r="AD123" s="672"/>
      <c r="AE123" s="672"/>
      <c r="AF123" s="672"/>
      <c r="AG123" s="672"/>
      <c r="AH123" s="672"/>
      <c r="AI123" s="672"/>
      <c r="AJ123" s="672"/>
      <c r="AK123" s="672"/>
      <c r="AL123" s="672"/>
      <c r="AM123" s="672"/>
      <c r="AN123" s="672"/>
      <c r="AO123" s="672"/>
      <c r="AP123" s="672"/>
      <c r="AQ123" s="672"/>
      <c r="AR123" s="672"/>
      <c r="AS123" s="672"/>
      <c r="AT123" s="672"/>
      <c r="AU123" s="672"/>
      <c r="AV123" s="672"/>
    </row>
    <row r="124" spans="1:48" ht="15.75" customHeight="1">
      <c r="A124" s="672"/>
      <c r="B124" s="672"/>
      <c r="C124" s="672"/>
      <c r="D124" s="672"/>
      <c r="E124" s="672"/>
      <c r="F124" s="672"/>
      <c r="G124" s="672"/>
      <c r="H124" s="672"/>
      <c r="I124" s="672"/>
      <c r="J124" s="672"/>
      <c r="K124" s="672"/>
      <c r="L124" s="672"/>
      <c r="M124" s="672"/>
      <c r="N124" s="672"/>
      <c r="O124" s="672"/>
      <c r="P124" s="672"/>
      <c r="Q124" s="672"/>
      <c r="R124" s="672"/>
      <c r="S124" s="672"/>
      <c r="T124" s="672"/>
      <c r="U124" s="672"/>
      <c r="V124" s="672"/>
      <c r="W124" s="672"/>
      <c r="X124" s="672"/>
      <c r="Y124" s="672"/>
      <c r="Z124" s="672"/>
      <c r="AA124" s="672"/>
      <c r="AB124" s="672"/>
      <c r="AC124" s="672"/>
      <c r="AD124" s="672"/>
      <c r="AE124" s="672"/>
      <c r="AF124" s="672"/>
      <c r="AG124" s="672"/>
      <c r="AH124" s="672"/>
      <c r="AI124" s="672"/>
      <c r="AJ124" s="672"/>
      <c r="AK124" s="672"/>
      <c r="AL124" s="672"/>
      <c r="AM124" s="672"/>
      <c r="AN124" s="672"/>
      <c r="AO124" s="672"/>
      <c r="AP124" s="672"/>
      <c r="AQ124" s="672"/>
      <c r="AR124" s="672"/>
      <c r="AS124" s="672"/>
      <c r="AT124" s="672"/>
      <c r="AU124" s="672"/>
      <c r="AV124" s="672"/>
    </row>
    <row r="125" spans="1:48" ht="15.75" customHeight="1">
      <c r="A125" s="672"/>
      <c r="B125" s="672"/>
      <c r="C125" s="672"/>
      <c r="D125" s="672"/>
      <c r="E125" s="672"/>
      <c r="F125" s="672"/>
      <c r="G125" s="672"/>
      <c r="H125" s="672"/>
      <c r="I125" s="672"/>
      <c r="J125" s="672"/>
      <c r="K125" s="672"/>
      <c r="L125" s="672"/>
      <c r="M125" s="672"/>
      <c r="N125" s="672"/>
      <c r="O125" s="672"/>
      <c r="P125" s="672"/>
      <c r="Q125" s="672"/>
      <c r="R125" s="672"/>
      <c r="S125" s="672"/>
      <c r="T125" s="672"/>
      <c r="U125" s="672"/>
      <c r="V125" s="672"/>
      <c r="W125" s="672"/>
      <c r="X125" s="672"/>
      <c r="Y125" s="672"/>
      <c r="Z125" s="672"/>
      <c r="AA125" s="672"/>
      <c r="AB125" s="672"/>
      <c r="AC125" s="672"/>
      <c r="AD125" s="672"/>
      <c r="AE125" s="672"/>
      <c r="AF125" s="672"/>
      <c r="AG125" s="672"/>
      <c r="AH125" s="672"/>
      <c r="AI125" s="672"/>
      <c r="AJ125" s="672"/>
      <c r="AK125" s="672"/>
      <c r="AL125" s="672"/>
      <c r="AM125" s="672"/>
      <c r="AN125" s="672"/>
      <c r="AO125" s="672"/>
      <c r="AP125" s="672"/>
      <c r="AQ125" s="672"/>
      <c r="AR125" s="672"/>
      <c r="AS125" s="672"/>
      <c r="AT125" s="672"/>
      <c r="AU125" s="672"/>
      <c r="AV125" s="672"/>
    </row>
    <row r="126" spans="1:48" ht="15.75" customHeight="1">
      <c r="A126" s="672"/>
      <c r="B126" s="672"/>
      <c r="C126" s="672"/>
      <c r="D126" s="672"/>
      <c r="E126" s="672"/>
      <c r="F126" s="672"/>
      <c r="G126" s="672"/>
      <c r="H126" s="672"/>
      <c r="I126" s="672"/>
      <c r="J126" s="672"/>
      <c r="K126" s="672"/>
      <c r="L126" s="672"/>
      <c r="M126" s="672"/>
      <c r="N126" s="672"/>
      <c r="O126" s="672"/>
      <c r="P126" s="672"/>
      <c r="Q126" s="672"/>
      <c r="R126" s="672"/>
      <c r="S126" s="672"/>
      <c r="T126" s="672"/>
      <c r="U126" s="672"/>
      <c r="V126" s="672"/>
      <c r="W126" s="672"/>
      <c r="X126" s="672"/>
      <c r="Y126" s="672"/>
      <c r="Z126" s="672"/>
      <c r="AA126" s="672"/>
      <c r="AB126" s="672"/>
      <c r="AC126" s="672"/>
      <c r="AD126" s="672"/>
      <c r="AE126" s="672"/>
      <c r="AF126" s="672"/>
      <c r="AG126" s="672"/>
      <c r="AH126" s="672"/>
      <c r="AI126" s="672"/>
      <c r="AJ126" s="672"/>
      <c r="AK126" s="672"/>
      <c r="AL126" s="672"/>
      <c r="AM126" s="672"/>
      <c r="AN126" s="672"/>
      <c r="AO126" s="672"/>
      <c r="AP126" s="672"/>
      <c r="AQ126" s="672"/>
      <c r="AR126" s="672"/>
      <c r="AS126" s="672"/>
      <c r="AT126" s="672"/>
      <c r="AU126" s="672"/>
      <c r="AV126" s="672"/>
    </row>
    <row r="127" spans="1:48" ht="15.75" customHeight="1">
      <c r="A127" s="672"/>
      <c r="B127" s="672"/>
      <c r="C127" s="672"/>
      <c r="D127" s="672"/>
      <c r="E127" s="672"/>
      <c r="F127" s="672"/>
      <c r="G127" s="672"/>
      <c r="H127" s="672"/>
      <c r="I127" s="672"/>
      <c r="J127" s="672"/>
      <c r="K127" s="672"/>
      <c r="L127" s="672"/>
      <c r="M127" s="672"/>
      <c r="N127" s="672"/>
      <c r="O127" s="672"/>
      <c r="P127" s="672"/>
      <c r="Q127" s="672"/>
      <c r="R127" s="672"/>
      <c r="S127" s="672"/>
      <c r="T127" s="672"/>
      <c r="U127" s="672"/>
      <c r="V127" s="672"/>
      <c r="W127" s="672"/>
      <c r="X127" s="672"/>
      <c r="Y127" s="672"/>
      <c r="Z127" s="672"/>
      <c r="AA127" s="672"/>
      <c r="AB127" s="672"/>
      <c r="AC127" s="672"/>
      <c r="AD127" s="672"/>
      <c r="AE127" s="672"/>
      <c r="AF127" s="672"/>
      <c r="AG127" s="672"/>
      <c r="AH127" s="672"/>
      <c r="AI127" s="672"/>
      <c r="AJ127" s="672"/>
      <c r="AK127" s="672"/>
      <c r="AL127" s="672"/>
      <c r="AM127" s="672"/>
      <c r="AN127" s="672"/>
      <c r="AO127" s="672"/>
      <c r="AP127" s="672"/>
      <c r="AQ127" s="672"/>
      <c r="AR127" s="672"/>
      <c r="AS127" s="672"/>
      <c r="AT127" s="672"/>
      <c r="AU127" s="672"/>
      <c r="AV127" s="672"/>
    </row>
    <row r="128" spans="1:48" ht="15.75" customHeight="1">
      <c r="A128" s="672"/>
      <c r="B128" s="672"/>
      <c r="C128" s="672"/>
      <c r="D128" s="672"/>
      <c r="E128" s="672"/>
      <c r="F128" s="672"/>
      <c r="G128" s="672"/>
      <c r="H128" s="672"/>
      <c r="I128" s="672"/>
      <c r="J128" s="672"/>
      <c r="K128" s="672"/>
      <c r="L128" s="672"/>
      <c r="M128" s="672"/>
      <c r="N128" s="672"/>
      <c r="O128" s="672"/>
      <c r="P128" s="672"/>
      <c r="Q128" s="672"/>
      <c r="R128" s="672"/>
      <c r="S128" s="672"/>
      <c r="T128" s="672"/>
      <c r="U128" s="672"/>
      <c r="V128" s="672"/>
      <c r="W128" s="672"/>
      <c r="X128" s="672"/>
      <c r="Y128" s="672"/>
      <c r="Z128" s="672"/>
      <c r="AA128" s="672"/>
      <c r="AB128" s="672"/>
      <c r="AC128" s="672"/>
      <c r="AD128" s="672"/>
      <c r="AE128" s="672"/>
      <c r="AF128" s="672"/>
      <c r="AG128" s="672"/>
      <c r="AH128" s="672"/>
      <c r="AI128" s="672"/>
      <c r="AJ128" s="672"/>
      <c r="AK128" s="672"/>
      <c r="AL128" s="672"/>
      <c r="AM128" s="672"/>
      <c r="AN128" s="672"/>
      <c r="AO128" s="672"/>
      <c r="AP128" s="672"/>
      <c r="AQ128" s="672"/>
      <c r="AR128" s="672"/>
      <c r="AS128" s="672"/>
      <c r="AT128" s="672"/>
      <c r="AU128" s="672"/>
      <c r="AV128" s="672"/>
    </row>
    <row r="129" spans="1:48" ht="15.75" customHeight="1">
      <c r="A129" s="672"/>
      <c r="B129" s="672"/>
      <c r="C129" s="672"/>
      <c r="D129" s="672"/>
      <c r="E129" s="672"/>
      <c r="F129" s="672"/>
      <c r="G129" s="672"/>
      <c r="H129" s="672"/>
      <c r="I129" s="672"/>
      <c r="J129" s="672"/>
      <c r="K129" s="672"/>
      <c r="L129" s="672"/>
      <c r="M129" s="672"/>
      <c r="N129" s="672"/>
      <c r="O129" s="672"/>
      <c r="P129" s="672"/>
      <c r="Q129" s="672"/>
      <c r="R129" s="672"/>
      <c r="S129" s="672"/>
      <c r="T129" s="672"/>
      <c r="U129" s="672"/>
      <c r="V129" s="672"/>
      <c r="W129" s="672"/>
      <c r="X129" s="672"/>
      <c r="Y129" s="672"/>
      <c r="Z129" s="672"/>
      <c r="AA129" s="672"/>
      <c r="AB129" s="672"/>
      <c r="AC129" s="672"/>
      <c r="AD129" s="672"/>
      <c r="AE129" s="672"/>
      <c r="AF129" s="672"/>
      <c r="AG129" s="672"/>
      <c r="AH129" s="672"/>
      <c r="AI129" s="672"/>
      <c r="AJ129" s="672"/>
      <c r="AK129" s="672"/>
      <c r="AL129" s="672"/>
      <c r="AM129" s="672"/>
      <c r="AN129" s="672"/>
      <c r="AO129" s="672"/>
      <c r="AP129" s="672"/>
      <c r="AQ129" s="672"/>
      <c r="AR129" s="672"/>
      <c r="AS129" s="672"/>
      <c r="AT129" s="672"/>
      <c r="AU129" s="672"/>
      <c r="AV129" s="672"/>
    </row>
    <row r="130" spans="1:48" ht="15.75" customHeight="1">
      <c r="A130" s="672"/>
      <c r="B130" s="672"/>
      <c r="C130" s="672"/>
      <c r="D130" s="672"/>
      <c r="E130" s="672"/>
      <c r="F130" s="672"/>
      <c r="G130" s="672"/>
      <c r="H130" s="672"/>
      <c r="I130" s="672"/>
      <c r="J130" s="672"/>
      <c r="K130" s="672"/>
      <c r="L130" s="672"/>
      <c r="M130" s="672"/>
      <c r="N130" s="672"/>
      <c r="O130" s="672"/>
      <c r="P130" s="672"/>
      <c r="Q130" s="672"/>
      <c r="R130" s="672"/>
      <c r="S130" s="672"/>
      <c r="T130" s="672"/>
      <c r="U130" s="672"/>
      <c r="V130" s="672"/>
      <c r="W130" s="672"/>
      <c r="X130" s="672"/>
      <c r="Y130" s="672"/>
      <c r="Z130" s="672"/>
      <c r="AA130" s="672"/>
      <c r="AB130" s="672"/>
      <c r="AC130" s="672"/>
      <c r="AD130" s="672"/>
      <c r="AE130" s="672"/>
      <c r="AF130" s="672"/>
      <c r="AG130" s="672"/>
      <c r="AH130" s="672"/>
      <c r="AI130" s="672"/>
      <c r="AJ130" s="672"/>
      <c r="AK130" s="672"/>
      <c r="AL130" s="672"/>
      <c r="AM130" s="672"/>
      <c r="AN130" s="672"/>
      <c r="AO130" s="672"/>
      <c r="AP130" s="672"/>
      <c r="AQ130" s="672"/>
      <c r="AR130" s="672"/>
      <c r="AS130" s="672"/>
      <c r="AT130" s="672"/>
      <c r="AU130" s="672"/>
      <c r="AV130" s="672"/>
    </row>
    <row r="131" spans="1:48" ht="15.75" customHeight="1">
      <c r="A131" s="672"/>
      <c r="B131" s="672"/>
      <c r="C131" s="672"/>
      <c r="D131" s="672"/>
      <c r="E131" s="672"/>
      <c r="F131" s="672"/>
      <c r="G131" s="672"/>
      <c r="H131" s="672"/>
      <c r="I131" s="672"/>
      <c r="J131" s="672"/>
      <c r="K131" s="672"/>
      <c r="L131" s="672"/>
      <c r="M131" s="672"/>
      <c r="N131" s="672"/>
      <c r="O131" s="672"/>
      <c r="P131" s="672"/>
      <c r="Q131" s="672"/>
      <c r="R131" s="672"/>
      <c r="S131" s="672"/>
      <c r="T131" s="672"/>
      <c r="U131" s="672"/>
      <c r="V131" s="672"/>
      <c r="W131" s="672"/>
      <c r="X131" s="672"/>
      <c r="Y131" s="672"/>
      <c r="Z131" s="672"/>
      <c r="AA131" s="672"/>
      <c r="AB131" s="672"/>
      <c r="AC131" s="672"/>
      <c r="AD131" s="672"/>
      <c r="AE131" s="672"/>
      <c r="AF131" s="672"/>
      <c r="AG131" s="672"/>
      <c r="AH131" s="672"/>
      <c r="AI131" s="672"/>
      <c r="AJ131" s="672"/>
      <c r="AK131" s="672"/>
      <c r="AL131" s="672"/>
      <c r="AM131" s="672"/>
      <c r="AN131" s="672"/>
      <c r="AO131" s="672"/>
      <c r="AP131" s="672"/>
      <c r="AQ131" s="672"/>
      <c r="AR131" s="672"/>
      <c r="AS131" s="672"/>
      <c r="AT131" s="672"/>
      <c r="AU131" s="672"/>
      <c r="AV131" s="672"/>
    </row>
    <row r="132" spans="1:48" ht="15.75" customHeight="1">
      <c r="A132" s="672"/>
      <c r="B132" s="672"/>
      <c r="C132" s="672"/>
      <c r="D132" s="672"/>
      <c r="E132" s="672"/>
      <c r="F132" s="672"/>
      <c r="G132" s="672"/>
      <c r="H132" s="672"/>
      <c r="I132" s="672"/>
      <c r="J132" s="672"/>
      <c r="K132" s="672"/>
      <c r="L132" s="672"/>
      <c r="M132" s="672"/>
      <c r="N132" s="672"/>
      <c r="O132" s="672"/>
      <c r="P132" s="672"/>
      <c r="Q132" s="672"/>
      <c r="R132" s="672"/>
      <c r="S132" s="672"/>
      <c r="T132" s="672"/>
      <c r="U132" s="672"/>
      <c r="V132" s="672"/>
      <c r="W132" s="672"/>
      <c r="X132" s="672"/>
      <c r="Y132" s="672"/>
      <c r="Z132" s="672"/>
      <c r="AA132" s="672"/>
      <c r="AB132" s="672"/>
      <c r="AC132" s="672"/>
      <c r="AD132" s="672"/>
      <c r="AE132" s="672"/>
      <c r="AF132" s="672"/>
      <c r="AG132" s="672"/>
      <c r="AH132" s="672"/>
      <c r="AI132" s="672"/>
      <c r="AJ132" s="672"/>
      <c r="AK132" s="672"/>
      <c r="AL132" s="672"/>
      <c r="AM132" s="672"/>
      <c r="AN132" s="672"/>
      <c r="AO132" s="672"/>
      <c r="AP132" s="672"/>
      <c r="AQ132" s="672"/>
      <c r="AR132" s="672"/>
      <c r="AS132" s="672"/>
      <c r="AT132" s="672"/>
      <c r="AU132" s="672"/>
      <c r="AV132" s="672"/>
    </row>
    <row r="133" spans="1:48" ht="15.75" customHeight="1">
      <c r="A133" s="672"/>
      <c r="B133" s="672"/>
      <c r="C133" s="672"/>
      <c r="D133" s="672"/>
      <c r="E133" s="672"/>
      <c r="F133" s="672"/>
      <c r="G133" s="672"/>
      <c r="H133" s="672"/>
      <c r="I133" s="672"/>
      <c r="J133" s="672"/>
      <c r="K133" s="672"/>
      <c r="L133" s="672"/>
      <c r="M133" s="672"/>
      <c r="N133" s="672"/>
      <c r="O133" s="672"/>
      <c r="P133" s="672"/>
      <c r="Q133" s="672"/>
      <c r="R133" s="672"/>
      <c r="S133" s="672"/>
      <c r="T133" s="672"/>
      <c r="U133" s="672"/>
      <c r="V133" s="672"/>
      <c r="W133" s="672"/>
      <c r="X133" s="672"/>
      <c r="Y133" s="672"/>
      <c r="Z133" s="672"/>
      <c r="AA133" s="672"/>
      <c r="AB133" s="672"/>
      <c r="AC133" s="672"/>
      <c r="AD133" s="672"/>
      <c r="AE133" s="672"/>
      <c r="AF133" s="672"/>
      <c r="AG133" s="672"/>
      <c r="AH133" s="672"/>
      <c r="AI133" s="672"/>
      <c r="AJ133" s="672"/>
      <c r="AK133" s="672"/>
      <c r="AL133" s="672"/>
      <c r="AM133" s="672"/>
      <c r="AN133" s="672"/>
      <c r="AO133" s="672"/>
      <c r="AP133" s="672"/>
      <c r="AQ133" s="672"/>
      <c r="AR133" s="672"/>
      <c r="AS133" s="672"/>
      <c r="AT133" s="672"/>
      <c r="AU133" s="672"/>
      <c r="AV133" s="672"/>
    </row>
    <row r="134" spans="1:48" ht="15.75" customHeight="1">
      <c r="A134" s="672"/>
      <c r="B134" s="672"/>
      <c r="C134" s="672"/>
      <c r="D134" s="672"/>
      <c r="E134" s="672"/>
      <c r="F134" s="672"/>
      <c r="G134" s="672"/>
      <c r="H134" s="672"/>
      <c r="I134" s="672"/>
      <c r="J134" s="672"/>
      <c r="K134" s="672"/>
      <c r="L134" s="672"/>
      <c r="M134" s="672"/>
      <c r="N134" s="672"/>
      <c r="O134" s="672"/>
      <c r="P134" s="672"/>
      <c r="Q134" s="672"/>
      <c r="R134" s="672"/>
      <c r="S134" s="672"/>
      <c r="T134" s="672"/>
      <c r="U134" s="672"/>
      <c r="V134" s="672"/>
      <c r="W134" s="672"/>
      <c r="X134" s="672"/>
      <c r="Y134" s="672"/>
      <c r="Z134" s="672"/>
      <c r="AA134" s="672"/>
      <c r="AB134" s="672"/>
      <c r="AC134" s="672"/>
      <c r="AD134" s="672"/>
      <c r="AE134" s="672"/>
      <c r="AF134" s="672"/>
      <c r="AG134" s="672"/>
      <c r="AH134" s="672"/>
      <c r="AI134" s="672"/>
      <c r="AJ134" s="672"/>
      <c r="AK134" s="672"/>
      <c r="AL134" s="672"/>
      <c r="AM134" s="672"/>
      <c r="AN134" s="672"/>
      <c r="AO134" s="672"/>
      <c r="AP134" s="672"/>
      <c r="AQ134" s="672"/>
      <c r="AR134" s="672"/>
      <c r="AS134" s="672"/>
      <c r="AT134" s="672"/>
      <c r="AU134" s="672"/>
      <c r="AV134" s="672"/>
    </row>
    <row r="135" spans="1:48" ht="15.75" customHeight="1">
      <c r="A135" s="672"/>
      <c r="B135" s="672"/>
      <c r="C135" s="672"/>
      <c r="D135" s="672"/>
      <c r="E135" s="672"/>
      <c r="F135" s="672"/>
      <c r="G135" s="672"/>
      <c r="H135" s="672"/>
      <c r="I135" s="672"/>
      <c r="J135" s="672"/>
      <c r="K135" s="672"/>
      <c r="L135" s="672"/>
      <c r="M135" s="672"/>
      <c r="N135" s="672"/>
      <c r="O135" s="672"/>
      <c r="P135" s="672"/>
      <c r="Q135" s="672"/>
      <c r="R135" s="672"/>
      <c r="S135" s="672"/>
      <c r="T135" s="672"/>
      <c r="U135" s="672"/>
      <c r="V135" s="672"/>
      <c r="W135" s="672"/>
      <c r="X135" s="672"/>
      <c r="Y135" s="672"/>
      <c r="Z135" s="672"/>
      <c r="AA135" s="672"/>
      <c r="AB135" s="672"/>
      <c r="AC135" s="672"/>
      <c r="AD135" s="672"/>
      <c r="AE135" s="672"/>
      <c r="AF135" s="672"/>
      <c r="AG135" s="672"/>
      <c r="AH135" s="672"/>
      <c r="AI135" s="672"/>
      <c r="AJ135" s="672"/>
      <c r="AK135" s="672"/>
      <c r="AL135" s="672"/>
      <c r="AM135" s="672"/>
      <c r="AN135" s="672"/>
      <c r="AO135" s="672"/>
      <c r="AP135" s="672"/>
      <c r="AQ135" s="672"/>
      <c r="AR135" s="672"/>
      <c r="AS135" s="672"/>
      <c r="AT135" s="672"/>
      <c r="AU135" s="672"/>
      <c r="AV135" s="672"/>
    </row>
    <row r="136" spans="1:48" ht="15.75" customHeight="1">
      <c r="A136" s="672"/>
      <c r="B136" s="672"/>
      <c r="C136" s="672"/>
      <c r="D136" s="672"/>
      <c r="E136" s="672"/>
      <c r="F136" s="672"/>
      <c r="G136" s="672"/>
      <c r="H136" s="672"/>
      <c r="I136" s="672"/>
      <c r="J136" s="672"/>
      <c r="K136" s="672"/>
      <c r="L136" s="672"/>
      <c r="M136" s="672"/>
      <c r="N136" s="672"/>
      <c r="O136" s="672"/>
      <c r="P136" s="672"/>
      <c r="Q136" s="672"/>
      <c r="R136" s="672"/>
      <c r="S136" s="672"/>
      <c r="T136" s="672"/>
      <c r="U136" s="672"/>
      <c r="V136" s="672"/>
      <c r="W136" s="672"/>
      <c r="X136" s="672"/>
      <c r="Y136" s="672"/>
      <c r="Z136" s="672"/>
      <c r="AA136" s="672"/>
      <c r="AB136" s="672"/>
      <c r="AC136" s="672"/>
      <c r="AD136" s="672"/>
      <c r="AE136" s="672"/>
      <c r="AF136" s="672"/>
      <c r="AG136" s="672"/>
      <c r="AH136" s="672"/>
      <c r="AI136" s="672"/>
      <c r="AJ136" s="672"/>
      <c r="AK136" s="672"/>
      <c r="AL136" s="672"/>
      <c r="AM136" s="672"/>
      <c r="AN136" s="672"/>
      <c r="AO136" s="672"/>
      <c r="AP136" s="672"/>
      <c r="AQ136" s="672"/>
      <c r="AR136" s="672"/>
      <c r="AS136" s="672"/>
      <c r="AT136" s="672"/>
      <c r="AU136" s="672"/>
      <c r="AV136" s="672"/>
    </row>
    <row r="137" spans="1:48" ht="15.75" customHeight="1">
      <c r="A137" s="672"/>
      <c r="B137" s="672"/>
      <c r="C137" s="672"/>
      <c r="D137" s="672"/>
      <c r="E137" s="672"/>
      <c r="F137" s="672"/>
      <c r="G137" s="672"/>
      <c r="H137" s="672"/>
      <c r="I137" s="672"/>
      <c r="J137" s="672"/>
      <c r="K137" s="672"/>
      <c r="L137" s="672"/>
      <c r="M137" s="672"/>
      <c r="N137" s="672"/>
      <c r="O137" s="672"/>
      <c r="P137" s="672"/>
      <c r="Q137" s="672"/>
      <c r="R137" s="672"/>
      <c r="S137" s="672"/>
      <c r="T137" s="672"/>
      <c r="U137" s="672"/>
      <c r="V137" s="672"/>
      <c r="W137" s="672"/>
      <c r="X137" s="672"/>
      <c r="Y137" s="672"/>
      <c r="Z137" s="672"/>
      <c r="AA137" s="672"/>
      <c r="AB137" s="672"/>
      <c r="AC137" s="672"/>
      <c r="AD137" s="672"/>
      <c r="AE137" s="672"/>
      <c r="AF137" s="672"/>
      <c r="AG137" s="672"/>
      <c r="AH137" s="672"/>
      <c r="AI137" s="672"/>
      <c r="AJ137" s="672"/>
      <c r="AK137" s="672"/>
      <c r="AL137" s="672"/>
      <c r="AM137" s="672"/>
      <c r="AN137" s="672"/>
      <c r="AO137" s="672"/>
      <c r="AP137" s="672"/>
      <c r="AQ137" s="672"/>
      <c r="AR137" s="672"/>
      <c r="AS137" s="672"/>
      <c r="AT137" s="672"/>
      <c r="AU137" s="672"/>
      <c r="AV137" s="672"/>
    </row>
    <row r="138" spans="1:48" ht="15.75" customHeight="1">
      <c r="A138" s="672"/>
      <c r="B138" s="672"/>
      <c r="C138" s="672"/>
      <c r="D138" s="672"/>
      <c r="E138" s="672"/>
      <c r="F138" s="672"/>
      <c r="G138" s="672"/>
      <c r="H138" s="672"/>
      <c r="I138" s="672"/>
      <c r="J138" s="672"/>
      <c r="K138" s="672"/>
      <c r="L138" s="672"/>
      <c r="M138" s="672"/>
      <c r="N138" s="672"/>
      <c r="O138" s="672"/>
      <c r="P138" s="672"/>
      <c r="Q138" s="672"/>
      <c r="R138" s="672"/>
      <c r="S138" s="672"/>
      <c r="T138" s="672"/>
      <c r="U138" s="672"/>
      <c r="V138" s="672"/>
      <c r="W138" s="672"/>
      <c r="X138" s="672"/>
      <c r="Y138" s="672"/>
      <c r="Z138" s="672"/>
      <c r="AA138" s="672"/>
      <c r="AB138" s="672"/>
      <c r="AC138" s="672"/>
      <c r="AD138" s="672"/>
      <c r="AE138" s="672"/>
      <c r="AF138" s="672"/>
      <c r="AG138" s="672"/>
      <c r="AH138" s="672"/>
      <c r="AI138" s="672"/>
      <c r="AJ138" s="672"/>
      <c r="AK138" s="672"/>
      <c r="AL138" s="672"/>
      <c r="AM138" s="672"/>
      <c r="AN138" s="672"/>
      <c r="AO138" s="672"/>
      <c r="AP138" s="672"/>
      <c r="AQ138" s="672"/>
      <c r="AR138" s="672"/>
      <c r="AS138" s="672"/>
      <c r="AT138" s="672"/>
      <c r="AU138" s="672"/>
      <c r="AV138" s="672"/>
    </row>
    <row r="139" spans="1:48" ht="15.75" customHeight="1">
      <c r="A139" s="672"/>
      <c r="B139" s="672"/>
      <c r="C139" s="672"/>
      <c r="D139" s="672"/>
      <c r="E139" s="672"/>
      <c r="F139" s="672"/>
      <c r="G139" s="672"/>
      <c r="H139" s="672"/>
      <c r="I139" s="672"/>
      <c r="J139" s="672"/>
      <c r="K139" s="672"/>
      <c r="L139" s="672"/>
      <c r="M139" s="672"/>
      <c r="N139" s="672"/>
      <c r="O139" s="672"/>
      <c r="P139" s="672"/>
      <c r="Q139" s="672"/>
      <c r="R139" s="672"/>
      <c r="S139" s="672"/>
      <c r="T139" s="672"/>
      <c r="U139" s="672"/>
      <c r="V139" s="672"/>
      <c r="W139" s="672"/>
      <c r="X139" s="672"/>
      <c r="Y139" s="672"/>
      <c r="Z139" s="672"/>
      <c r="AA139" s="672"/>
      <c r="AB139" s="672"/>
      <c r="AC139" s="672"/>
      <c r="AD139" s="672"/>
      <c r="AE139" s="672"/>
      <c r="AF139" s="672"/>
      <c r="AG139" s="672"/>
      <c r="AH139" s="672"/>
      <c r="AI139" s="672"/>
      <c r="AJ139" s="672"/>
      <c r="AK139" s="672"/>
      <c r="AL139" s="672"/>
      <c r="AM139" s="672"/>
      <c r="AN139" s="672"/>
      <c r="AO139" s="672"/>
      <c r="AP139" s="672"/>
      <c r="AQ139" s="672"/>
      <c r="AR139" s="672"/>
      <c r="AS139" s="672"/>
      <c r="AT139" s="672"/>
      <c r="AU139" s="672"/>
      <c r="AV139" s="672"/>
    </row>
    <row r="140" spans="1:48" ht="15.75" customHeight="1">
      <c r="A140" s="672"/>
      <c r="B140" s="672"/>
      <c r="C140" s="672"/>
      <c r="D140" s="672"/>
      <c r="E140" s="672"/>
      <c r="F140" s="672"/>
      <c r="G140" s="672"/>
      <c r="H140" s="672"/>
      <c r="I140" s="672"/>
      <c r="J140" s="672"/>
      <c r="K140" s="672"/>
      <c r="L140" s="672"/>
      <c r="M140" s="672"/>
      <c r="N140" s="672"/>
      <c r="O140" s="672"/>
      <c r="P140" s="672"/>
      <c r="Q140" s="672"/>
      <c r="R140" s="672"/>
      <c r="S140" s="672"/>
      <c r="T140" s="672"/>
      <c r="U140" s="672"/>
      <c r="V140" s="672"/>
      <c r="W140" s="672"/>
      <c r="X140" s="672"/>
      <c r="Y140" s="672"/>
      <c r="Z140" s="672"/>
      <c r="AA140" s="672"/>
      <c r="AB140" s="672"/>
      <c r="AC140" s="672"/>
      <c r="AD140" s="672"/>
      <c r="AE140" s="672"/>
      <c r="AF140" s="672"/>
      <c r="AG140" s="672"/>
      <c r="AH140" s="672"/>
      <c r="AI140" s="672"/>
      <c r="AJ140" s="672"/>
      <c r="AK140" s="672"/>
      <c r="AL140" s="672"/>
      <c r="AM140" s="672"/>
      <c r="AN140" s="672"/>
      <c r="AO140" s="672"/>
      <c r="AP140" s="672"/>
      <c r="AQ140" s="672"/>
      <c r="AR140" s="672"/>
      <c r="AS140" s="672"/>
      <c r="AT140" s="672"/>
      <c r="AU140" s="672"/>
      <c r="AV140" s="672"/>
    </row>
    <row r="141" spans="1:48" ht="15.75" customHeight="1">
      <c r="A141" s="672"/>
      <c r="B141" s="672"/>
      <c r="C141" s="672"/>
      <c r="D141" s="672"/>
      <c r="E141" s="672"/>
      <c r="F141" s="672"/>
      <c r="G141" s="672"/>
      <c r="H141" s="672"/>
      <c r="I141" s="672"/>
      <c r="J141" s="672"/>
      <c r="K141" s="672"/>
      <c r="L141" s="672"/>
      <c r="M141" s="672"/>
      <c r="N141" s="672"/>
      <c r="O141" s="672"/>
      <c r="P141" s="672"/>
      <c r="Q141" s="672"/>
      <c r="R141" s="672"/>
      <c r="S141" s="672"/>
      <c r="T141" s="672"/>
      <c r="U141" s="672"/>
      <c r="V141" s="672"/>
      <c r="W141" s="672"/>
      <c r="X141" s="672"/>
      <c r="Y141" s="672"/>
      <c r="Z141" s="672"/>
      <c r="AA141" s="672"/>
      <c r="AB141" s="672"/>
      <c r="AC141" s="672"/>
      <c r="AD141" s="672"/>
      <c r="AE141" s="672"/>
      <c r="AF141" s="672"/>
      <c r="AG141" s="672"/>
      <c r="AH141" s="672"/>
      <c r="AI141" s="672"/>
      <c r="AJ141" s="672"/>
      <c r="AK141" s="672"/>
      <c r="AL141" s="672"/>
      <c r="AM141" s="672"/>
      <c r="AN141" s="672"/>
      <c r="AO141" s="672"/>
      <c r="AP141" s="672"/>
      <c r="AQ141" s="672"/>
      <c r="AR141" s="672"/>
      <c r="AS141" s="672"/>
      <c r="AT141" s="672"/>
      <c r="AU141" s="672"/>
      <c r="AV141" s="672"/>
    </row>
    <row r="142" spans="1:48" ht="15.75" customHeight="1">
      <c r="A142" s="672"/>
      <c r="B142" s="672"/>
      <c r="C142" s="672"/>
      <c r="D142" s="672"/>
      <c r="E142" s="672"/>
      <c r="F142" s="672"/>
      <c r="G142" s="672"/>
      <c r="H142" s="672"/>
      <c r="I142" s="672"/>
      <c r="J142" s="672"/>
      <c r="K142" s="672"/>
      <c r="L142" s="672"/>
      <c r="M142" s="672"/>
      <c r="N142" s="672"/>
      <c r="O142" s="672"/>
      <c r="P142" s="672"/>
      <c r="Q142" s="672"/>
      <c r="R142" s="672"/>
      <c r="S142" s="672"/>
      <c r="T142" s="672"/>
      <c r="U142" s="672"/>
      <c r="V142" s="672"/>
      <c r="W142" s="672"/>
      <c r="X142" s="672"/>
      <c r="Y142" s="672"/>
      <c r="Z142" s="672"/>
      <c r="AA142" s="672"/>
      <c r="AB142" s="672"/>
      <c r="AC142" s="672"/>
      <c r="AD142" s="672"/>
      <c r="AE142" s="672"/>
      <c r="AF142" s="672"/>
      <c r="AG142" s="672"/>
      <c r="AH142" s="672"/>
      <c r="AI142" s="672"/>
      <c r="AJ142" s="672"/>
      <c r="AK142" s="672"/>
      <c r="AL142" s="672"/>
      <c r="AM142" s="672"/>
      <c r="AN142" s="672"/>
      <c r="AO142" s="672"/>
      <c r="AP142" s="672"/>
      <c r="AQ142" s="672"/>
      <c r="AR142" s="672"/>
      <c r="AS142" s="672"/>
      <c r="AT142" s="672"/>
      <c r="AU142" s="672"/>
      <c r="AV142" s="672"/>
    </row>
    <row r="143" spans="1:48" ht="15.75" customHeight="1">
      <c r="A143" s="672"/>
      <c r="B143" s="672"/>
      <c r="C143" s="672"/>
      <c r="D143" s="672"/>
      <c r="E143" s="672"/>
      <c r="F143" s="672"/>
      <c r="G143" s="672"/>
      <c r="H143" s="672"/>
      <c r="I143" s="672"/>
      <c r="J143" s="672"/>
      <c r="K143" s="672"/>
      <c r="L143" s="672"/>
      <c r="M143" s="672"/>
      <c r="N143" s="672"/>
      <c r="O143" s="672"/>
      <c r="P143" s="672"/>
      <c r="Q143" s="672"/>
      <c r="R143" s="672"/>
      <c r="S143" s="672"/>
      <c r="T143" s="672"/>
      <c r="U143" s="672"/>
      <c r="V143" s="672"/>
      <c r="W143" s="672"/>
      <c r="X143" s="672"/>
      <c r="Y143" s="672"/>
      <c r="Z143" s="672"/>
      <c r="AA143" s="672"/>
      <c r="AB143" s="672"/>
      <c r="AC143" s="672"/>
      <c r="AD143" s="672"/>
      <c r="AE143" s="672"/>
      <c r="AF143" s="672"/>
      <c r="AG143" s="672"/>
      <c r="AH143" s="672"/>
      <c r="AI143" s="672"/>
      <c r="AJ143" s="672"/>
      <c r="AK143" s="672"/>
      <c r="AL143" s="672"/>
      <c r="AM143" s="672"/>
      <c r="AN143" s="672"/>
      <c r="AO143" s="672"/>
      <c r="AP143" s="672"/>
      <c r="AQ143" s="672"/>
      <c r="AR143" s="672"/>
      <c r="AS143" s="672"/>
      <c r="AT143" s="672"/>
      <c r="AU143" s="672"/>
      <c r="AV143" s="672"/>
    </row>
    <row r="144" spans="1:48" ht="15.75" customHeight="1">
      <c r="A144" s="672"/>
      <c r="B144" s="672"/>
      <c r="C144" s="672"/>
      <c r="D144" s="672"/>
      <c r="E144" s="672"/>
      <c r="F144" s="672"/>
      <c r="G144" s="672"/>
      <c r="H144" s="672"/>
      <c r="I144" s="672"/>
      <c r="J144" s="672"/>
      <c r="K144" s="672"/>
      <c r="L144" s="672"/>
      <c r="M144" s="672"/>
      <c r="N144" s="672"/>
      <c r="O144" s="672"/>
      <c r="P144" s="672"/>
      <c r="Q144" s="672"/>
      <c r="R144" s="672"/>
      <c r="S144" s="672"/>
      <c r="T144" s="672"/>
      <c r="U144" s="672"/>
      <c r="V144" s="672"/>
      <c r="W144" s="672"/>
      <c r="X144" s="672"/>
      <c r="Y144" s="672"/>
      <c r="Z144" s="672"/>
      <c r="AA144" s="672"/>
      <c r="AB144" s="672"/>
      <c r="AC144" s="672"/>
      <c r="AD144" s="672"/>
      <c r="AE144" s="672"/>
      <c r="AF144" s="672"/>
      <c r="AG144" s="672"/>
      <c r="AH144" s="672"/>
      <c r="AI144" s="672"/>
      <c r="AJ144" s="672"/>
      <c r="AK144" s="672"/>
      <c r="AL144" s="672"/>
      <c r="AM144" s="672"/>
      <c r="AN144" s="672"/>
      <c r="AO144" s="672"/>
      <c r="AP144" s="672"/>
      <c r="AQ144" s="672"/>
      <c r="AR144" s="672"/>
      <c r="AS144" s="672"/>
      <c r="AT144" s="672"/>
      <c r="AU144" s="672"/>
      <c r="AV144" s="672"/>
    </row>
    <row r="145" spans="1:48" ht="15.75" customHeight="1">
      <c r="A145" s="672"/>
      <c r="B145" s="672"/>
      <c r="C145" s="672"/>
      <c r="D145" s="672"/>
      <c r="E145" s="672"/>
      <c r="F145" s="672"/>
      <c r="G145" s="672"/>
      <c r="H145" s="672"/>
      <c r="I145" s="672"/>
      <c r="J145" s="672"/>
      <c r="K145" s="672"/>
      <c r="L145" s="672"/>
      <c r="M145" s="672"/>
      <c r="N145" s="672"/>
      <c r="O145" s="672"/>
      <c r="P145" s="672"/>
      <c r="Q145" s="672"/>
      <c r="R145" s="672"/>
      <c r="S145" s="672"/>
      <c r="T145" s="672"/>
      <c r="U145" s="672"/>
      <c r="V145" s="672"/>
      <c r="W145" s="672"/>
      <c r="X145" s="672"/>
      <c r="Y145" s="672"/>
      <c r="Z145" s="672"/>
      <c r="AA145" s="672"/>
      <c r="AB145" s="672"/>
      <c r="AC145" s="672"/>
      <c r="AD145" s="672"/>
      <c r="AE145" s="672"/>
      <c r="AF145" s="672"/>
      <c r="AG145" s="672"/>
      <c r="AH145" s="672"/>
      <c r="AI145" s="672"/>
      <c r="AJ145" s="672"/>
      <c r="AK145" s="672"/>
      <c r="AL145" s="672"/>
      <c r="AM145" s="672"/>
      <c r="AN145" s="672"/>
      <c r="AO145" s="672"/>
      <c r="AP145" s="672"/>
      <c r="AQ145" s="672"/>
      <c r="AR145" s="672"/>
      <c r="AS145" s="672"/>
      <c r="AT145" s="672"/>
      <c r="AU145" s="672"/>
      <c r="AV145" s="672"/>
    </row>
    <row r="146" spans="1:48" ht="15.75" customHeight="1">
      <c r="A146" s="672"/>
      <c r="B146" s="672"/>
      <c r="C146" s="672"/>
      <c r="D146" s="672"/>
      <c r="E146" s="672"/>
      <c r="F146" s="672"/>
      <c r="G146" s="672"/>
      <c r="H146" s="672"/>
      <c r="I146" s="672"/>
      <c r="J146" s="672"/>
      <c r="K146" s="672"/>
      <c r="L146" s="672"/>
      <c r="M146" s="672"/>
      <c r="N146" s="672"/>
      <c r="O146" s="672"/>
      <c r="P146" s="672"/>
      <c r="Q146" s="672"/>
      <c r="R146" s="672"/>
      <c r="S146" s="672"/>
      <c r="T146" s="672"/>
      <c r="U146" s="672"/>
      <c r="V146" s="672"/>
      <c r="W146" s="672"/>
      <c r="X146" s="672"/>
      <c r="Y146" s="672"/>
      <c r="Z146" s="672"/>
      <c r="AA146" s="672"/>
      <c r="AB146" s="672"/>
      <c r="AC146" s="672"/>
      <c r="AD146" s="672"/>
      <c r="AE146" s="672"/>
      <c r="AF146" s="672"/>
      <c r="AG146" s="672"/>
      <c r="AH146" s="672"/>
      <c r="AI146" s="672"/>
      <c r="AJ146" s="672"/>
      <c r="AK146" s="672"/>
      <c r="AL146" s="672"/>
      <c r="AM146" s="672"/>
      <c r="AN146" s="672"/>
      <c r="AO146" s="672"/>
      <c r="AP146" s="672"/>
      <c r="AQ146" s="672"/>
      <c r="AR146" s="672"/>
      <c r="AS146" s="672"/>
      <c r="AT146" s="672"/>
      <c r="AU146" s="672"/>
      <c r="AV146" s="672"/>
    </row>
    <row r="147" spans="1:48" ht="15.75" customHeight="1">
      <c r="A147" s="672"/>
      <c r="B147" s="672"/>
      <c r="C147" s="672"/>
      <c r="D147" s="672"/>
      <c r="E147" s="672"/>
      <c r="F147" s="672"/>
      <c r="G147" s="672"/>
      <c r="H147" s="672"/>
      <c r="I147" s="672"/>
      <c r="J147" s="672"/>
      <c r="K147" s="672"/>
      <c r="L147" s="672"/>
      <c r="M147" s="672"/>
      <c r="N147" s="672"/>
      <c r="O147" s="672"/>
      <c r="P147" s="672"/>
      <c r="Q147" s="672"/>
      <c r="R147" s="672"/>
      <c r="S147" s="672"/>
      <c r="T147" s="672"/>
      <c r="U147" s="672"/>
      <c r="V147" s="672"/>
      <c r="W147" s="672"/>
      <c r="X147" s="672"/>
      <c r="Y147" s="672"/>
      <c r="Z147" s="672"/>
      <c r="AA147" s="672"/>
      <c r="AB147" s="672"/>
      <c r="AC147" s="672"/>
      <c r="AD147" s="672"/>
      <c r="AE147" s="672"/>
      <c r="AF147" s="672"/>
      <c r="AG147" s="672"/>
      <c r="AH147" s="672"/>
      <c r="AI147" s="672"/>
      <c r="AJ147" s="672"/>
      <c r="AK147" s="672"/>
      <c r="AL147" s="672"/>
      <c r="AM147" s="672"/>
      <c r="AN147" s="672"/>
      <c r="AO147" s="672"/>
      <c r="AP147" s="672"/>
      <c r="AQ147" s="672"/>
      <c r="AR147" s="672"/>
      <c r="AS147" s="672"/>
      <c r="AT147" s="672"/>
      <c r="AU147" s="672"/>
      <c r="AV147" s="672"/>
    </row>
    <row r="148" spans="1:48" ht="15.75" customHeight="1">
      <c r="A148" s="672"/>
      <c r="B148" s="672"/>
      <c r="C148" s="672"/>
      <c r="D148" s="672"/>
      <c r="E148" s="672"/>
      <c r="F148" s="672"/>
      <c r="G148" s="672"/>
      <c r="H148" s="672"/>
      <c r="I148" s="672"/>
      <c r="J148" s="672"/>
      <c r="K148" s="672"/>
      <c r="L148" s="672"/>
      <c r="M148" s="672"/>
      <c r="N148" s="672"/>
      <c r="O148" s="672"/>
      <c r="P148" s="672"/>
      <c r="Q148" s="672"/>
      <c r="R148" s="672"/>
      <c r="S148" s="672"/>
      <c r="T148" s="672"/>
      <c r="U148" s="672"/>
      <c r="V148" s="672"/>
      <c r="W148" s="672"/>
      <c r="X148" s="672"/>
      <c r="Y148" s="672"/>
      <c r="Z148" s="672"/>
      <c r="AA148" s="672"/>
      <c r="AB148" s="672"/>
      <c r="AC148" s="672"/>
      <c r="AD148" s="672"/>
      <c r="AE148" s="672"/>
      <c r="AF148" s="672"/>
      <c r="AG148" s="672"/>
      <c r="AH148" s="672"/>
      <c r="AI148" s="672"/>
      <c r="AJ148" s="672"/>
      <c r="AK148" s="672"/>
      <c r="AL148" s="672"/>
      <c r="AM148" s="672"/>
      <c r="AN148" s="672"/>
      <c r="AO148" s="672"/>
      <c r="AP148" s="672"/>
      <c r="AQ148" s="672"/>
      <c r="AR148" s="672"/>
      <c r="AS148" s="672"/>
      <c r="AT148" s="672"/>
      <c r="AU148" s="672"/>
      <c r="AV148" s="672"/>
    </row>
    <row r="149" spans="1:48" ht="15.75" customHeight="1">
      <c r="A149" s="672"/>
      <c r="B149" s="672"/>
      <c r="C149" s="672"/>
      <c r="D149" s="672"/>
      <c r="E149" s="672"/>
      <c r="F149" s="672"/>
      <c r="G149" s="672"/>
      <c r="H149" s="672"/>
      <c r="I149" s="672"/>
      <c r="J149" s="672"/>
      <c r="K149" s="672"/>
      <c r="L149" s="672"/>
      <c r="M149" s="672"/>
      <c r="N149" s="672"/>
      <c r="O149" s="672"/>
      <c r="P149" s="672"/>
      <c r="Q149" s="672"/>
      <c r="R149" s="672"/>
      <c r="S149" s="672"/>
      <c r="T149" s="672"/>
      <c r="U149" s="672"/>
      <c r="V149" s="672"/>
      <c r="W149" s="672"/>
      <c r="X149" s="672"/>
      <c r="Y149" s="672"/>
      <c r="Z149" s="672"/>
      <c r="AA149" s="672"/>
      <c r="AB149" s="672"/>
      <c r="AC149" s="672"/>
      <c r="AD149" s="672"/>
      <c r="AE149" s="672"/>
      <c r="AF149" s="672"/>
      <c r="AG149" s="672"/>
      <c r="AH149" s="672"/>
      <c r="AI149" s="672"/>
      <c r="AJ149" s="672"/>
      <c r="AK149" s="672"/>
      <c r="AL149" s="672"/>
      <c r="AM149" s="672"/>
      <c r="AN149" s="672"/>
      <c r="AO149" s="672"/>
      <c r="AP149" s="672"/>
      <c r="AQ149" s="672"/>
      <c r="AR149" s="672"/>
      <c r="AS149" s="672"/>
      <c r="AT149" s="672"/>
      <c r="AU149" s="672"/>
      <c r="AV149" s="672"/>
    </row>
    <row r="150" spans="1:48" ht="15.75" customHeight="1">
      <c r="A150" s="672"/>
      <c r="B150" s="672"/>
      <c r="C150" s="672"/>
      <c r="D150" s="672"/>
      <c r="E150" s="672"/>
      <c r="F150" s="672"/>
      <c r="G150" s="672"/>
      <c r="H150" s="672"/>
      <c r="I150" s="672"/>
      <c r="J150" s="672"/>
      <c r="K150" s="672"/>
      <c r="L150" s="672"/>
      <c r="M150" s="672"/>
      <c r="N150" s="672"/>
      <c r="O150" s="672"/>
      <c r="P150" s="672"/>
      <c r="Q150" s="672"/>
      <c r="R150" s="672"/>
      <c r="S150" s="672"/>
      <c r="T150" s="672"/>
      <c r="U150" s="672"/>
      <c r="V150" s="672"/>
      <c r="W150" s="672"/>
      <c r="X150" s="672"/>
      <c r="Y150" s="672"/>
      <c r="Z150" s="672"/>
      <c r="AA150" s="672"/>
      <c r="AB150" s="672"/>
      <c r="AC150" s="672"/>
      <c r="AD150" s="672"/>
      <c r="AE150" s="672"/>
      <c r="AF150" s="672"/>
      <c r="AG150" s="672"/>
      <c r="AH150" s="672"/>
      <c r="AI150" s="672"/>
      <c r="AJ150" s="672"/>
      <c r="AK150" s="672"/>
      <c r="AL150" s="672"/>
      <c r="AM150" s="672"/>
      <c r="AN150" s="672"/>
      <c r="AO150" s="672"/>
      <c r="AP150" s="672"/>
      <c r="AQ150" s="672"/>
      <c r="AR150" s="672"/>
      <c r="AS150" s="672"/>
      <c r="AT150" s="672"/>
      <c r="AU150" s="672"/>
      <c r="AV150" s="672"/>
    </row>
    <row r="151" spans="1:48" ht="15.75" customHeight="1">
      <c r="A151" s="672"/>
      <c r="B151" s="672"/>
      <c r="C151" s="672"/>
      <c r="D151" s="672"/>
      <c r="E151" s="672"/>
      <c r="F151" s="672"/>
      <c r="G151" s="672"/>
      <c r="H151" s="672"/>
      <c r="I151" s="672"/>
      <c r="J151" s="672"/>
      <c r="K151" s="672"/>
      <c r="L151" s="672"/>
      <c r="M151" s="672"/>
      <c r="N151" s="672"/>
      <c r="O151" s="672"/>
      <c r="P151" s="672"/>
      <c r="Q151" s="672"/>
      <c r="R151" s="672"/>
      <c r="S151" s="672"/>
      <c r="T151" s="672"/>
      <c r="U151" s="672"/>
      <c r="V151" s="672"/>
      <c r="W151" s="672"/>
      <c r="X151" s="672"/>
      <c r="Y151" s="672"/>
      <c r="Z151" s="672"/>
      <c r="AA151" s="672"/>
      <c r="AB151" s="672"/>
      <c r="AC151" s="672"/>
      <c r="AD151" s="672"/>
      <c r="AE151" s="672"/>
      <c r="AF151" s="672"/>
      <c r="AG151" s="672"/>
      <c r="AH151" s="672"/>
      <c r="AI151" s="672"/>
      <c r="AJ151" s="672"/>
      <c r="AK151" s="672"/>
      <c r="AL151" s="672"/>
      <c r="AM151" s="672"/>
      <c r="AN151" s="672"/>
      <c r="AO151" s="672"/>
      <c r="AP151" s="672"/>
      <c r="AQ151" s="672"/>
      <c r="AR151" s="672"/>
      <c r="AS151" s="672"/>
      <c r="AT151" s="672"/>
      <c r="AU151" s="672"/>
      <c r="AV151" s="672"/>
    </row>
    <row r="152" spans="1:48" ht="15.75" customHeight="1">
      <c r="A152" s="672"/>
      <c r="B152" s="672"/>
      <c r="C152" s="672"/>
      <c r="D152" s="672"/>
      <c r="E152" s="672"/>
      <c r="F152" s="672"/>
      <c r="G152" s="672"/>
      <c r="H152" s="672"/>
      <c r="I152" s="672"/>
      <c r="J152" s="672"/>
      <c r="K152" s="672"/>
      <c r="L152" s="672"/>
      <c r="M152" s="672"/>
      <c r="N152" s="672"/>
      <c r="O152" s="672"/>
      <c r="P152" s="672"/>
      <c r="Q152" s="672"/>
      <c r="R152" s="672"/>
      <c r="S152" s="672"/>
      <c r="T152" s="672"/>
      <c r="U152" s="672"/>
      <c r="V152" s="672"/>
      <c r="W152" s="672"/>
      <c r="X152" s="672"/>
      <c r="Y152" s="672"/>
      <c r="Z152" s="672"/>
      <c r="AA152" s="672"/>
      <c r="AB152" s="672"/>
      <c r="AC152" s="672"/>
      <c r="AD152" s="672"/>
      <c r="AE152" s="672"/>
      <c r="AF152" s="672"/>
      <c r="AG152" s="672"/>
      <c r="AH152" s="672"/>
      <c r="AI152" s="672"/>
      <c r="AJ152" s="672"/>
      <c r="AK152" s="672"/>
      <c r="AL152" s="672"/>
      <c r="AM152" s="672"/>
      <c r="AN152" s="672"/>
      <c r="AO152" s="672"/>
      <c r="AP152" s="672"/>
      <c r="AQ152" s="672"/>
      <c r="AR152" s="672"/>
      <c r="AS152" s="672"/>
      <c r="AT152" s="672"/>
      <c r="AU152" s="672"/>
      <c r="AV152" s="672"/>
    </row>
    <row r="153" spans="1:48" ht="15.75" customHeight="1">
      <c r="A153" s="672"/>
      <c r="B153" s="672"/>
      <c r="C153" s="672"/>
      <c r="D153" s="672"/>
      <c r="E153" s="672"/>
      <c r="F153" s="672"/>
      <c r="G153" s="672"/>
      <c r="H153" s="672"/>
      <c r="I153" s="672"/>
      <c r="J153" s="672"/>
      <c r="K153" s="672"/>
      <c r="L153" s="672"/>
      <c r="M153" s="672"/>
      <c r="N153" s="672"/>
      <c r="O153" s="672"/>
      <c r="P153" s="672"/>
      <c r="Q153" s="672"/>
      <c r="R153" s="672"/>
      <c r="S153" s="672"/>
      <c r="T153" s="672"/>
      <c r="U153" s="672"/>
      <c r="V153" s="672"/>
      <c r="W153" s="672"/>
      <c r="X153" s="672"/>
      <c r="Y153" s="672"/>
      <c r="Z153" s="672"/>
      <c r="AA153" s="672"/>
      <c r="AB153" s="672"/>
      <c r="AC153" s="672"/>
      <c r="AD153" s="672"/>
      <c r="AE153" s="672"/>
      <c r="AF153" s="672"/>
      <c r="AG153" s="672"/>
      <c r="AH153" s="672"/>
      <c r="AI153" s="672"/>
      <c r="AJ153" s="672"/>
      <c r="AK153" s="672"/>
      <c r="AL153" s="672"/>
      <c r="AM153" s="672"/>
      <c r="AN153" s="672"/>
      <c r="AO153" s="672"/>
      <c r="AP153" s="672"/>
      <c r="AQ153" s="672"/>
      <c r="AR153" s="672"/>
      <c r="AS153" s="672"/>
      <c r="AT153" s="672"/>
      <c r="AU153" s="672"/>
      <c r="AV153" s="672"/>
    </row>
    <row r="154" spans="1:48" ht="15.75" customHeight="1">
      <c r="A154" s="672"/>
      <c r="B154" s="672"/>
      <c r="C154" s="672"/>
      <c r="D154" s="672"/>
      <c r="E154" s="672"/>
      <c r="F154" s="672"/>
      <c r="G154" s="672"/>
      <c r="H154" s="672"/>
      <c r="I154" s="672"/>
      <c r="J154" s="672"/>
      <c r="K154" s="672"/>
      <c r="L154" s="672"/>
      <c r="M154" s="672"/>
      <c r="N154" s="672"/>
      <c r="O154" s="672"/>
      <c r="P154" s="672"/>
      <c r="Q154" s="672"/>
      <c r="R154" s="672"/>
      <c r="S154" s="672"/>
      <c r="T154" s="672"/>
      <c r="U154" s="672"/>
      <c r="V154" s="672"/>
      <c r="W154" s="672"/>
      <c r="X154" s="672"/>
      <c r="Y154" s="672"/>
      <c r="Z154" s="672"/>
      <c r="AA154" s="672"/>
      <c r="AB154" s="672"/>
      <c r="AC154" s="672"/>
      <c r="AD154" s="672"/>
      <c r="AE154" s="672"/>
      <c r="AF154" s="672"/>
      <c r="AG154" s="672"/>
      <c r="AH154" s="672"/>
      <c r="AI154" s="672"/>
      <c r="AJ154" s="672"/>
      <c r="AK154" s="672"/>
      <c r="AL154" s="672"/>
      <c r="AM154" s="672"/>
      <c r="AN154" s="672"/>
      <c r="AO154" s="672"/>
      <c r="AP154" s="672"/>
      <c r="AQ154" s="672"/>
      <c r="AR154" s="672"/>
      <c r="AS154" s="672"/>
      <c r="AT154" s="672"/>
      <c r="AU154" s="672"/>
      <c r="AV154" s="672"/>
    </row>
    <row r="155" spans="1:48" ht="15.75" customHeight="1">
      <c r="A155" s="672"/>
      <c r="B155" s="672"/>
      <c r="C155" s="672"/>
      <c r="D155" s="672"/>
      <c r="E155" s="672"/>
      <c r="F155" s="672"/>
      <c r="G155" s="672"/>
      <c r="H155" s="672"/>
      <c r="I155" s="672"/>
      <c r="J155" s="672"/>
      <c r="K155" s="672"/>
      <c r="L155" s="672"/>
      <c r="M155" s="672"/>
      <c r="N155" s="672"/>
      <c r="O155" s="672"/>
      <c r="P155" s="672"/>
      <c r="Q155" s="672"/>
      <c r="R155" s="672"/>
      <c r="S155" s="672"/>
      <c r="T155" s="672"/>
      <c r="U155" s="672"/>
      <c r="V155" s="672"/>
      <c r="W155" s="672"/>
      <c r="X155" s="672"/>
      <c r="Y155" s="672"/>
      <c r="Z155" s="672"/>
      <c r="AA155" s="672"/>
      <c r="AB155" s="672"/>
      <c r="AC155" s="672"/>
      <c r="AD155" s="672"/>
      <c r="AE155" s="672"/>
      <c r="AF155" s="672"/>
      <c r="AG155" s="672"/>
      <c r="AH155" s="672"/>
      <c r="AI155" s="672"/>
      <c r="AJ155" s="672"/>
      <c r="AK155" s="672"/>
      <c r="AL155" s="672"/>
      <c r="AM155" s="672"/>
      <c r="AN155" s="672"/>
      <c r="AO155" s="672"/>
      <c r="AP155" s="672"/>
      <c r="AQ155" s="672"/>
      <c r="AR155" s="672"/>
      <c r="AS155" s="672"/>
      <c r="AT155" s="672"/>
      <c r="AU155" s="672"/>
      <c r="AV155" s="672"/>
    </row>
    <row r="156" spans="1:48" ht="15.75" customHeight="1">
      <c r="A156" s="672"/>
      <c r="B156" s="672"/>
      <c r="C156" s="672"/>
      <c r="D156" s="672"/>
      <c r="E156" s="672"/>
      <c r="F156" s="672"/>
      <c r="G156" s="672"/>
      <c r="H156" s="672"/>
      <c r="I156" s="672"/>
      <c r="J156" s="672"/>
      <c r="K156" s="672"/>
      <c r="L156" s="672"/>
      <c r="M156" s="672"/>
      <c r="N156" s="672"/>
      <c r="O156" s="672"/>
      <c r="P156" s="672"/>
      <c r="Q156" s="672"/>
      <c r="R156" s="672"/>
      <c r="S156" s="672"/>
      <c r="T156" s="672"/>
      <c r="U156" s="672"/>
      <c r="V156" s="672"/>
      <c r="W156" s="672"/>
      <c r="X156" s="672"/>
      <c r="Y156" s="672"/>
      <c r="Z156" s="672"/>
      <c r="AA156" s="672"/>
      <c r="AB156" s="672"/>
      <c r="AC156" s="672"/>
      <c r="AD156" s="672"/>
      <c r="AE156" s="672"/>
      <c r="AF156" s="672"/>
      <c r="AG156" s="672"/>
      <c r="AH156" s="672"/>
      <c r="AI156" s="672"/>
      <c r="AJ156" s="672"/>
      <c r="AK156" s="672"/>
      <c r="AL156" s="672"/>
      <c r="AM156" s="672"/>
      <c r="AN156" s="672"/>
      <c r="AO156" s="672"/>
      <c r="AP156" s="672"/>
      <c r="AQ156" s="672"/>
      <c r="AR156" s="672"/>
      <c r="AS156" s="672"/>
      <c r="AT156" s="672"/>
      <c r="AU156" s="672"/>
      <c r="AV156" s="672"/>
    </row>
    <row r="157" spans="1:48" ht="15.75" customHeight="1">
      <c r="A157" s="672"/>
      <c r="B157" s="672"/>
      <c r="C157" s="672"/>
      <c r="D157" s="672"/>
      <c r="E157" s="672"/>
      <c r="F157" s="672"/>
      <c r="G157" s="672"/>
      <c r="H157" s="672"/>
      <c r="I157" s="672"/>
      <c r="J157" s="672"/>
      <c r="K157" s="672"/>
      <c r="L157" s="672"/>
      <c r="M157" s="672"/>
      <c r="N157" s="672"/>
      <c r="O157" s="672"/>
      <c r="P157" s="672"/>
      <c r="Q157" s="672"/>
      <c r="R157" s="672"/>
      <c r="S157" s="672"/>
      <c r="T157" s="672"/>
      <c r="U157" s="672"/>
      <c r="V157" s="672"/>
      <c r="W157" s="672"/>
      <c r="X157" s="672"/>
      <c r="Y157" s="672"/>
      <c r="Z157" s="672"/>
      <c r="AA157" s="672"/>
      <c r="AB157" s="672"/>
      <c r="AC157" s="672"/>
      <c r="AD157" s="672"/>
      <c r="AE157" s="672"/>
      <c r="AF157" s="672"/>
      <c r="AG157" s="672"/>
      <c r="AH157" s="672"/>
      <c r="AI157" s="672"/>
      <c r="AJ157" s="672"/>
      <c r="AK157" s="672"/>
      <c r="AL157" s="672"/>
      <c r="AM157" s="672"/>
      <c r="AN157" s="672"/>
      <c r="AO157" s="672"/>
      <c r="AP157" s="672"/>
      <c r="AQ157" s="672"/>
      <c r="AR157" s="672"/>
      <c r="AS157" s="672"/>
      <c r="AT157" s="672"/>
      <c r="AU157" s="672"/>
      <c r="AV157" s="672"/>
    </row>
    <row r="158" spans="1:48" ht="15.75" customHeight="1">
      <c r="A158" s="672"/>
      <c r="B158" s="672"/>
      <c r="C158" s="672"/>
      <c r="D158" s="672"/>
      <c r="E158" s="672"/>
      <c r="F158" s="672"/>
      <c r="G158" s="672"/>
      <c r="H158" s="672"/>
      <c r="I158" s="672"/>
      <c r="J158" s="672"/>
      <c r="K158" s="672"/>
      <c r="L158" s="672"/>
      <c r="M158" s="672"/>
      <c r="N158" s="672"/>
      <c r="O158" s="672"/>
      <c r="P158" s="672"/>
      <c r="Q158" s="672"/>
      <c r="R158" s="672"/>
      <c r="S158" s="672"/>
      <c r="T158" s="672"/>
      <c r="U158" s="672"/>
      <c r="V158" s="672"/>
      <c r="W158" s="672"/>
      <c r="X158" s="672"/>
      <c r="Y158" s="672"/>
      <c r="Z158" s="672"/>
      <c r="AA158" s="672"/>
      <c r="AB158" s="672"/>
      <c r="AC158" s="672"/>
      <c r="AD158" s="672"/>
      <c r="AE158" s="672"/>
      <c r="AF158" s="672"/>
      <c r="AG158" s="672"/>
      <c r="AH158" s="672"/>
      <c r="AI158" s="672"/>
      <c r="AJ158" s="672"/>
      <c r="AK158" s="672"/>
      <c r="AL158" s="672"/>
      <c r="AM158" s="672"/>
      <c r="AN158" s="672"/>
      <c r="AO158" s="672"/>
      <c r="AP158" s="672"/>
      <c r="AQ158" s="672"/>
      <c r="AR158" s="672"/>
      <c r="AS158" s="672"/>
      <c r="AT158" s="672"/>
      <c r="AU158" s="672"/>
      <c r="AV158" s="672"/>
    </row>
    <row r="159" spans="1:48" ht="15.75" customHeight="1">
      <c r="A159" s="672"/>
      <c r="B159" s="672"/>
      <c r="C159" s="672"/>
      <c r="D159" s="672"/>
      <c r="E159" s="672"/>
      <c r="F159" s="672"/>
      <c r="G159" s="672"/>
      <c r="H159" s="672"/>
      <c r="I159" s="672"/>
      <c r="J159" s="672"/>
      <c r="K159" s="672"/>
      <c r="L159" s="672"/>
      <c r="M159" s="672"/>
      <c r="N159" s="672"/>
      <c r="O159" s="672"/>
      <c r="P159" s="672"/>
      <c r="Q159" s="672"/>
      <c r="R159" s="672"/>
      <c r="S159" s="672"/>
      <c r="T159" s="672"/>
      <c r="U159" s="672"/>
      <c r="V159" s="672"/>
      <c r="W159" s="672"/>
      <c r="X159" s="672"/>
      <c r="Y159" s="672"/>
      <c r="Z159" s="672"/>
      <c r="AA159" s="672"/>
      <c r="AB159" s="672"/>
      <c r="AC159" s="672"/>
      <c r="AD159" s="672"/>
      <c r="AE159" s="672"/>
      <c r="AF159" s="672"/>
      <c r="AG159" s="672"/>
      <c r="AH159" s="672"/>
      <c r="AI159" s="672"/>
      <c r="AJ159" s="672"/>
      <c r="AK159" s="672"/>
      <c r="AL159" s="672"/>
      <c r="AM159" s="672"/>
      <c r="AN159" s="672"/>
      <c r="AO159" s="672"/>
      <c r="AP159" s="672"/>
      <c r="AQ159" s="672"/>
      <c r="AR159" s="672"/>
      <c r="AS159" s="672"/>
      <c r="AT159" s="672"/>
      <c r="AU159" s="672"/>
      <c r="AV159" s="672"/>
    </row>
    <row r="160" spans="1:48" ht="15.75" customHeight="1">
      <c r="A160" s="672"/>
      <c r="B160" s="672"/>
      <c r="C160" s="672"/>
      <c r="D160" s="672"/>
      <c r="E160" s="672"/>
      <c r="F160" s="672"/>
      <c r="G160" s="672"/>
      <c r="H160" s="672"/>
      <c r="I160" s="672"/>
      <c r="J160" s="672"/>
      <c r="K160" s="672"/>
      <c r="L160" s="672"/>
      <c r="M160" s="672"/>
      <c r="N160" s="672"/>
      <c r="O160" s="672"/>
      <c r="P160" s="672"/>
      <c r="Q160" s="672"/>
      <c r="R160" s="672"/>
      <c r="S160" s="672"/>
      <c r="T160" s="672"/>
      <c r="U160" s="672"/>
      <c r="V160" s="672"/>
      <c r="W160" s="672"/>
      <c r="X160" s="672"/>
      <c r="Y160" s="672"/>
      <c r="Z160" s="672"/>
      <c r="AA160" s="672"/>
      <c r="AB160" s="672"/>
      <c r="AC160" s="672"/>
      <c r="AD160" s="672"/>
      <c r="AE160" s="672"/>
      <c r="AF160" s="672"/>
      <c r="AG160" s="672"/>
      <c r="AH160" s="672"/>
      <c r="AI160" s="672"/>
      <c r="AJ160" s="672"/>
      <c r="AK160" s="672"/>
      <c r="AL160" s="672"/>
      <c r="AM160" s="672"/>
      <c r="AN160" s="672"/>
      <c r="AO160" s="672"/>
      <c r="AP160" s="672"/>
      <c r="AQ160" s="672"/>
      <c r="AR160" s="672"/>
      <c r="AS160" s="672"/>
      <c r="AT160" s="672"/>
      <c r="AU160" s="672"/>
      <c r="AV160" s="672"/>
    </row>
    <row r="161" spans="1:48" ht="15.75" customHeight="1">
      <c r="A161" s="672"/>
      <c r="B161" s="672"/>
      <c r="C161" s="672"/>
      <c r="D161" s="672"/>
      <c r="E161" s="672"/>
      <c r="F161" s="672"/>
      <c r="G161" s="672"/>
      <c r="H161" s="672"/>
      <c r="I161" s="672"/>
      <c r="J161" s="672"/>
      <c r="K161" s="672"/>
      <c r="L161" s="672"/>
      <c r="M161" s="672"/>
      <c r="N161" s="672"/>
      <c r="O161" s="672"/>
      <c r="P161" s="672"/>
      <c r="Q161" s="672"/>
      <c r="R161" s="672"/>
      <c r="S161" s="672"/>
      <c r="T161" s="672"/>
      <c r="U161" s="672"/>
      <c r="V161" s="672"/>
      <c r="W161" s="672"/>
      <c r="X161" s="672"/>
      <c r="Y161" s="672"/>
      <c r="Z161" s="672"/>
      <c r="AA161" s="672"/>
      <c r="AB161" s="672"/>
      <c r="AC161" s="672"/>
      <c r="AD161" s="672"/>
      <c r="AE161" s="672"/>
      <c r="AF161" s="672"/>
      <c r="AG161" s="672"/>
      <c r="AH161" s="672"/>
      <c r="AI161" s="672"/>
      <c r="AJ161" s="672"/>
      <c r="AK161" s="672"/>
      <c r="AL161" s="672"/>
      <c r="AM161" s="672"/>
      <c r="AN161" s="672"/>
      <c r="AO161" s="672"/>
      <c r="AP161" s="672"/>
      <c r="AQ161" s="672"/>
      <c r="AR161" s="672"/>
      <c r="AS161" s="672"/>
      <c r="AT161" s="672"/>
      <c r="AU161" s="672"/>
      <c r="AV161" s="672"/>
    </row>
    <row r="162" spans="1:48" ht="15.75" customHeight="1">
      <c r="A162" s="672"/>
      <c r="B162" s="672"/>
      <c r="C162" s="672"/>
      <c r="D162" s="672"/>
      <c r="E162" s="672"/>
      <c r="F162" s="672"/>
      <c r="G162" s="672"/>
      <c r="H162" s="672"/>
      <c r="I162" s="672"/>
      <c r="J162" s="672"/>
      <c r="K162" s="672"/>
      <c r="L162" s="672"/>
      <c r="M162" s="672"/>
      <c r="N162" s="672"/>
      <c r="O162" s="672"/>
      <c r="P162" s="672"/>
      <c r="Q162" s="672"/>
      <c r="R162" s="672"/>
      <c r="S162" s="672"/>
      <c r="T162" s="672"/>
      <c r="U162" s="672"/>
      <c r="V162" s="672"/>
      <c r="W162" s="672"/>
      <c r="X162" s="672"/>
      <c r="Y162" s="672"/>
      <c r="Z162" s="672"/>
      <c r="AA162" s="672"/>
      <c r="AB162" s="672"/>
      <c r="AC162" s="672"/>
      <c r="AD162" s="672"/>
      <c r="AE162" s="672"/>
      <c r="AF162" s="672"/>
      <c r="AG162" s="672"/>
      <c r="AH162" s="672"/>
      <c r="AI162" s="672"/>
      <c r="AJ162" s="672"/>
      <c r="AK162" s="672"/>
      <c r="AL162" s="672"/>
      <c r="AM162" s="672"/>
      <c r="AN162" s="672"/>
      <c r="AO162" s="672"/>
      <c r="AP162" s="672"/>
      <c r="AQ162" s="672"/>
      <c r="AR162" s="672"/>
      <c r="AS162" s="672"/>
      <c r="AT162" s="672"/>
      <c r="AU162" s="672"/>
      <c r="AV162" s="672"/>
    </row>
    <row r="163" spans="1:48" ht="15.75" customHeight="1">
      <c r="A163" s="672"/>
      <c r="B163" s="672"/>
      <c r="C163" s="672"/>
      <c r="D163" s="672"/>
      <c r="E163" s="672"/>
      <c r="F163" s="672"/>
      <c r="G163" s="672"/>
      <c r="H163" s="672"/>
      <c r="I163" s="672"/>
      <c r="J163" s="672"/>
      <c r="K163" s="672"/>
      <c r="L163" s="672"/>
      <c r="M163" s="672"/>
      <c r="N163" s="672"/>
      <c r="O163" s="672"/>
      <c r="P163" s="672"/>
      <c r="Q163" s="672"/>
      <c r="R163" s="672"/>
      <c r="S163" s="672"/>
      <c r="T163" s="672"/>
      <c r="U163" s="672"/>
      <c r="V163" s="672"/>
      <c r="W163" s="672"/>
      <c r="X163" s="672"/>
      <c r="Y163" s="672"/>
      <c r="Z163" s="672"/>
      <c r="AA163" s="672"/>
      <c r="AB163" s="672"/>
      <c r="AC163" s="672"/>
      <c r="AD163" s="672"/>
      <c r="AE163" s="672"/>
      <c r="AF163" s="672"/>
      <c r="AG163" s="672"/>
      <c r="AH163" s="672"/>
      <c r="AI163" s="672"/>
      <c r="AJ163" s="672"/>
      <c r="AK163" s="672"/>
      <c r="AL163" s="672"/>
      <c r="AM163" s="672"/>
      <c r="AN163" s="672"/>
      <c r="AO163" s="672"/>
      <c r="AP163" s="672"/>
      <c r="AQ163" s="672"/>
      <c r="AR163" s="672"/>
      <c r="AS163" s="672"/>
      <c r="AT163" s="672"/>
      <c r="AU163" s="672"/>
      <c r="AV163" s="672"/>
    </row>
    <row r="164" spans="1:48" ht="15.75" customHeight="1">
      <c r="A164" s="672"/>
      <c r="B164" s="672"/>
      <c r="C164" s="672"/>
      <c r="D164" s="672"/>
      <c r="E164" s="672"/>
      <c r="F164" s="672"/>
      <c r="G164" s="672"/>
      <c r="H164" s="672"/>
      <c r="I164" s="672"/>
      <c r="J164" s="672"/>
      <c r="K164" s="672"/>
      <c r="L164" s="672"/>
      <c r="M164" s="672"/>
      <c r="N164" s="672"/>
      <c r="O164" s="672"/>
      <c r="P164" s="672"/>
      <c r="Q164" s="672"/>
      <c r="R164" s="672"/>
      <c r="S164" s="672"/>
      <c r="T164" s="672"/>
      <c r="U164" s="672"/>
      <c r="V164" s="672"/>
      <c r="W164" s="672"/>
      <c r="X164" s="672"/>
      <c r="Y164" s="672"/>
      <c r="Z164" s="672"/>
      <c r="AA164" s="672"/>
      <c r="AB164" s="672"/>
      <c r="AC164" s="672"/>
      <c r="AD164" s="672"/>
      <c r="AE164" s="672"/>
      <c r="AF164" s="672"/>
      <c r="AG164" s="672"/>
      <c r="AH164" s="672"/>
      <c r="AI164" s="672"/>
      <c r="AJ164" s="672"/>
      <c r="AK164" s="672"/>
      <c r="AL164" s="672"/>
      <c r="AM164" s="672"/>
      <c r="AN164" s="672"/>
      <c r="AO164" s="672"/>
      <c r="AP164" s="672"/>
      <c r="AQ164" s="672"/>
      <c r="AR164" s="672"/>
      <c r="AS164" s="672"/>
      <c r="AT164" s="672"/>
      <c r="AU164" s="672"/>
      <c r="AV164" s="672"/>
    </row>
    <row r="165" spans="1:48" ht="15.75" customHeight="1">
      <c r="A165" s="672"/>
      <c r="B165" s="672"/>
      <c r="C165" s="672"/>
      <c r="D165" s="672"/>
      <c r="E165" s="672"/>
      <c r="F165" s="672"/>
      <c r="G165" s="672"/>
      <c r="H165" s="672"/>
      <c r="I165" s="672"/>
      <c r="J165" s="672"/>
      <c r="K165" s="672"/>
      <c r="L165" s="672"/>
      <c r="M165" s="672"/>
      <c r="N165" s="672"/>
      <c r="O165" s="672"/>
      <c r="P165" s="672"/>
      <c r="Q165" s="672"/>
      <c r="R165" s="672"/>
      <c r="S165" s="672"/>
      <c r="T165" s="672"/>
      <c r="U165" s="672"/>
      <c r="V165" s="672"/>
      <c r="W165" s="672"/>
      <c r="X165" s="672"/>
      <c r="Y165" s="672"/>
      <c r="Z165" s="672"/>
      <c r="AA165" s="672"/>
      <c r="AB165" s="672"/>
      <c r="AC165" s="672"/>
      <c r="AD165" s="672"/>
      <c r="AE165" s="672"/>
      <c r="AF165" s="672"/>
      <c r="AG165" s="672"/>
      <c r="AH165" s="672"/>
      <c r="AI165" s="672"/>
      <c r="AJ165" s="672"/>
      <c r="AK165" s="672"/>
      <c r="AL165" s="672"/>
      <c r="AM165" s="672"/>
      <c r="AN165" s="672"/>
      <c r="AO165" s="672"/>
      <c r="AP165" s="672"/>
      <c r="AQ165" s="672"/>
      <c r="AR165" s="672"/>
      <c r="AS165" s="672"/>
      <c r="AT165" s="672"/>
      <c r="AU165" s="672"/>
      <c r="AV165" s="672"/>
    </row>
    <row r="166" spans="1:48" ht="15.75" customHeight="1">
      <c r="A166" s="672"/>
      <c r="B166" s="672"/>
      <c r="C166" s="672"/>
      <c r="D166" s="672"/>
      <c r="E166" s="672"/>
      <c r="F166" s="672"/>
      <c r="G166" s="672"/>
      <c r="H166" s="672"/>
      <c r="I166" s="672"/>
      <c r="J166" s="672"/>
      <c r="K166" s="672"/>
      <c r="L166" s="672"/>
      <c r="M166" s="672"/>
      <c r="N166" s="672"/>
      <c r="O166" s="672"/>
      <c r="P166" s="672"/>
      <c r="Q166" s="672"/>
      <c r="R166" s="672"/>
      <c r="S166" s="672"/>
      <c r="T166" s="672"/>
      <c r="U166" s="672"/>
      <c r="V166" s="672"/>
      <c r="W166" s="672"/>
      <c r="X166" s="672"/>
      <c r="Y166" s="672"/>
      <c r="Z166" s="672"/>
      <c r="AA166" s="672"/>
      <c r="AB166" s="672"/>
      <c r="AC166" s="672"/>
      <c r="AD166" s="672"/>
      <c r="AE166" s="672"/>
      <c r="AF166" s="672"/>
      <c r="AG166" s="672"/>
      <c r="AH166" s="672"/>
      <c r="AI166" s="672"/>
      <c r="AJ166" s="672"/>
      <c r="AK166" s="672"/>
      <c r="AL166" s="672"/>
      <c r="AM166" s="672"/>
      <c r="AN166" s="672"/>
      <c r="AO166" s="672"/>
      <c r="AP166" s="672"/>
      <c r="AQ166" s="672"/>
      <c r="AR166" s="672"/>
      <c r="AS166" s="672"/>
      <c r="AT166" s="672"/>
      <c r="AU166" s="672"/>
      <c r="AV166" s="672"/>
    </row>
    <row r="167" spans="1:48" ht="15.75" customHeight="1">
      <c r="A167" s="672"/>
      <c r="B167" s="672"/>
      <c r="C167" s="672"/>
      <c r="D167" s="672"/>
      <c r="E167" s="672"/>
      <c r="F167" s="672"/>
      <c r="G167" s="672"/>
      <c r="H167" s="672"/>
      <c r="I167" s="672"/>
      <c r="J167" s="672"/>
      <c r="K167" s="672"/>
      <c r="L167" s="672"/>
      <c r="M167" s="672"/>
      <c r="N167" s="672"/>
      <c r="O167" s="672"/>
      <c r="P167" s="672"/>
      <c r="Q167" s="672"/>
      <c r="R167" s="672"/>
      <c r="S167" s="672"/>
      <c r="T167" s="672"/>
      <c r="U167" s="672"/>
      <c r="V167" s="672"/>
      <c r="W167" s="672"/>
      <c r="X167" s="672"/>
      <c r="Y167" s="672"/>
      <c r="Z167" s="672"/>
      <c r="AA167" s="672"/>
      <c r="AB167" s="672"/>
      <c r="AC167" s="672"/>
      <c r="AD167" s="672"/>
      <c r="AE167" s="672"/>
      <c r="AF167" s="672"/>
      <c r="AG167" s="672"/>
      <c r="AH167" s="672"/>
      <c r="AI167" s="672"/>
      <c r="AJ167" s="672"/>
      <c r="AK167" s="672"/>
      <c r="AL167" s="672"/>
      <c r="AM167" s="672"/>
      <c r="AN167" s="672"/>
      <c r="AO167" s="672"/>
      <c r="AP167" s="672"/>
      <c r="AQ167" s="672"/>
      <c r="AR167" s="672"/>
      <c r="AS167" s="672"/>
      <c r="AT167" s="672"/>
      <c r="AU167" s="672"/>
      <c r="AV167" s="672"/>
    </row>
    <row r="168" spans="1:48" ht="15.75" customHeight="1">
      <c r="A168" s="672"/>
      <c r="B168" s="672"/>
      <c r="C168" s="672"/>
      <c r="D168" s="672"/>
      <c r="E168" s="672"/>
      <c r="F168" s="672"/>
      <c r="G168" s="672"/>
      <c r="H168" s="672"/>
      <c r="I168" s="672"/>
      <c r="J168" s="672"/>
      <c r="K168" s="672"/>
      <c r="L168" s="672"/>
      <c r="M168" s="672"/>
      <c r="N168" s="672"/>
      <c r="O168" s="672"/>
      <c r="P168" s="672"/>
      <c r="Q168" s="672"/>
      <c r="R168" s="672"/>
      <c r="S168" s="672"/>
      <c r="T168" s="672"/>
      <c r="U168" s="672"/>
      <c r="V168" s="672"/>
      <c r="W168" s="672"/>
      <c r="X168" s="672"/>
      <c r="Y168" s="672"/>
      <c r="Z168" s="672"/>
      <c r="AA168" s="672"/>
      <c r="AB168" s="672"/>
      <c r="AC168" s="672"/>
      <c r="AD168" s="672"/>
      <c r="AE168" s="672"/>
      <c r="AF168" s="672"/>
      <c r="AG168" s="672"/>
      <c r="AH168" s="672"/>
      <c r="AI168" s="672"/>
      <c r="AJ168" s="672"/>
      <c r="AK168" s="672"/>
      <c r="AL168" s="672"/>
      <c r="AM168" s="672"/>
      <c r="AN168" s="672"/>
      <c r="AO168" s="672"/>
      <c r="AP168" s="672"/>
      <c r="AQ168" s="672"/>
      <c r="AR168" s="672"/>
      <c r="AS168" s="672"/>
      <c r="AT168" s="672"/>
      <c r="AU168" s="672"/>
      <c r="AV168" s="672"/>
    </row>
    <row r="169" spans="1:48" ht="15.75" customHeight="1">
      <c r="A169" s="672"/>
      <c r="B169" s="672"/>
      <c r="C169" s="672"/>
      <c r="D169" s="672"/>
      <c r="E169" s="672"/>
      <c r="F169" s="672"/>
      <c r="G169" s="672"/>
      <c r="H169" s="672"/>
      <c r="I169" s="672"/>
      <c r="J169" s="672"/>
      <c r="K169" s="672"/>
      <c r="L169" s="672"/>
      <c r="M169" s="672"/>
      <c r="N169" s="672"/>
      <c r="O169" s="672"/>
      <c r="P169" s="672"/>
      <c r="Q169" s="672"/>
      <c r="R169" s="672"/>
      <c r="S169" s="672"/>
      <c r="T169" s="672"/>
      <c r="U169" s="672"/>
      <c r="V169" s="672"/>
      <c r="W169" s="672"/>
      <c r="X169" s="672"/>
      <c r="Y169" s="672"/>
      <c r="Z169" s="672"/>
      <c r="AA169" s="672"/>
      <c r="AB169" s="672"/>
      <c r="AC169" s="672"/>
      <c r="AD169" s="672"/>
      <c r="AE169" s="672"/>
      <c r="AF169" s="672"/>
      <c r="AG169" s="672"/>
      <c r="AH169" s="672"/>
      <c r="AI169" s="672"/>
      <c r="AJ169" s="672"/>
      <c r="AK169" s="672"/>
      <c r="AL169" s="672"/>
      <c r="AM169" s="672"/>
      <c r="AN169" s="672"/>
      <c r="AO169" s="672"/>
      <c r="AP169" s="672"/>
      <c r="AQ169" s="672"/>
      <c r="AR169" s="672"/>
      <c r="AS169" s="672"/>
      <c r="AT169" s="672"/>
      <c r="AU169" s="672"/>
      <c r="AV169" s="672"/>
    </row>
    <row r="170" spans="1:48" ht="15.75" customHeight="1">
      <c r="A170" s="672"/>
      <c r="B170" s="672"/>
      <c r="C170" s="672"/>
      <c r="D170" s="672"/>
      <c r="E170" s="672"/>
      <c r="F170" s="672"/>
      <c r="G170" s="672"/>
      <c r="H170" s="672"/>
      <c r="I170" s="672"/>
      <c r="J170" s="672"/>
      <c r="K170" s="672"/>
      <c r="L170" s="672"/>
      <c r="M170" s="672"/>
      <c r="N170" s="672"/>
      <c r="O170" s="672"/>
      <c r="P170" s="672"/>
      <c r="Q170" s="672"/>
      <c r="R170" s="672"/>
      <c r="S170" s="672"/>
      <c r="T170" s="672"/>
      <c r="U170" s="672"/>
      <c r="V170" s="672"/>
      <c r="W170" s="672"/>
      <c r="X170" s="672"/>
      <c r="Y170" s="672"/>
      <c r="Z170" s="672"/>
      <c r="AA170" s="672"/>
      <c r="AB170" s="672"/>
      <c r="AC170" s="672"/>
      <c r="AD170" s="672"/>
      <c r="AE170" s="672"/>
      <c r="AF170" s="672"/>
      <c r="AG170" s="672"/>
      <c r="AH170" s="672"/>
      <c r="AI170" s="672"/>
      <c r="AJ170" s="672"/>
      <c r="AK170" s="672"/>
      <c r="AL170" s="672"/>
      <c r="AM170" s="672"/>
      <c r="AN170" s="672"/>
      <c r="AO170" s="672"/>
      <c r="AP170" s="672"/>
      <c r="AQ170" s="672"/>
      <c r="AR170" s="672"/>
      <c r="AS170" s="672"/>
      <c r="AT170" s="672"/>
      <c r="AU170" s="672"/>
      <c r="AV170" s="672"/>
    </row>
    <row r="171" spans="1:48" ht="15.75" customHeight="1">
      <c r="A171" s="672"/>
      <c r="B171" s="672"/>
      <c r="C171" s="672"/>
      <c r="D171" s="672"/>
      <c r="E171" s="672"/>
      <c r="F171" s="672"/>
      <c r="G171" s="672"/>
      <c r="H171" s="672"/>
      <c r="I171" s="672"/>
      <c r="J171" s="672"/>
      <c r="K171" s="672"/>
      <c r="L171" s="672"/>
      <c r="M171" s="672"/>
      <c r="N171" s="672"/>
      <c r="O171" s="672"/>
      <c r="P171" s="672"/>
      <c r="Q171" s="672"/>
      <c r="R171" s="672"/>
      <c r="S171" s="672"/>
      <c r="T171" s="672"/>
      <c r="U171" s="672"/>
      <c r="V171" s="672"/>
      <c r="W171" s="672"/>
      <c r="X171" s="672"/>
      <c r="Y171" s="672"/>
      <c r="Z171" s="672"/>
      <c r="AA171" s="672"/>
      <c r="AB171" s="672"/>
      <c r="AC171" s="672"/>
      <c r="AD171" s="672"/>
      <c r="AE171" s="672"/>
      <c r="AF171" s="672"/>
      <c r="AG171" s="672"/>
      <c r="AH171" s="672"/>
      <c r="AI171" s="672"/>
      <c r="AJ171" s="672"/>
      <c r="AK171" s="672"/>
      <c r="AL171" s="672"/>
      <c r="AM171" s="672"/>
      <c r="AN171" s="672"/>
      <c r="AO171" s="672"/>
      <c r="AP171" s="672"/>
      <c r="AQ171" s="672"/>
      <c r="AR171" s="672"/>
      <c r="AS171" s="672"/>
      <c r="AT171" s="672"/>
      <c r="AU171" s="672"/>
      <c r="AV171" s="672"/>
    </row>
    <row r="172" spans="1:48" ht="15.75" customHeight="1">
      <c r="A172" s="672"/>
      <c r="B172" s="672"/>
      <c r="C172" s="672"/>
      <c r="D172" s="672"/>
      <c r="E172" s="672"/>
      <c r="F172" s="672"/>
      <c r="G172" s="672"/>
      <c r="H172" s="672"/>
      <c r="I172" s="672"/>
      <c r="J172" s="672"/>
      <c r="K172" s="672"/>
      <c r="L172" s="672"/>
      <c r="M172" s="672"/>
      <c r="N172" s="672"/>
      <c r="O172" s="672"/>
      <c r="P172" s="672"/>
      <c r="Q172" s="672"/>
      <c r="R172" s="672"/>
      <c r="S172" s="672"/>
      <c r="T172" s="672"/>
      <c r="U172" s="672"/>
      <c r="V172" s="672"/>
      <c r="W172" s="672"/>
      <c r="X172" s="672"/>
      <c r="Y172" s="672"/>
      <c r="Z172" s="672"/>
      <c r="AA172" s="672"/>
      <c r="AB172" s="672"/>
      <c r="AC172" s="672"/>
      <c r="AD172" s="672"/>
      <c r="AE172" s="672"/>
      <c r="AF172" s="672"/>
      <c r="AG172" s="672"/>
      <c r="AH172" s="672"/>
      <c r="AI172" s="672"/>
      <c r="AJ172" s="672"/>
      <c r="AK172" s="672"/>
      <c r="AL172" s="672"/>
      <c r="AM172" s="672"/>
      <c r="AN172" s="672"/>
      <c r="AO172" s="672"/>
      <c r="AP172" s="672"/>
      <c r="AQ172" s="672"/>
      <c r="AR172" s="672"/>
      <c r="AS172" s="672"/>
      <c r="AT172" s="672"/>
      <c r="AU172" s="672"/>
      <c r="AV172" s="672"/>
    </row>
    <row r="173" spans="1:48" ht="15.75" customHeight="1">
      <c r="A173" s="672"/>
      <c r="B173" s="672"/>
      <c r="C173" s="672"/>
      <c r="D173" s="672"/>
      <c r="E173" s="672"/>
      <c r="F173" s="672"/>
      <c r="G173" s="672"/>
      <c r="H173" s="672"/>
      <c r="I173" s="672"/>
      <c r="J173" s="672"/>
      <c r="K173" s="672"/>
      <c r="L173" s="672"/>
      <c r="M173" s="672"/>
      <c r="N173" s="672"/>
      <c r="O173" s="672"/>
      <c r="P173" s="672"/>
      <c r="Q173" s="672"/>
      <c r="R173" s="672"/>
      <c r="S173" s="672"/>
      <c r="T173" s="672"/>
      <c r="U173" s="672"/>
      <c r="V173" s="672"/>
      <c r="W173" s="672"/>
      <c r="X173" s="672"/>
      <c r="Y173" s="672"/>
      <c r="Z173" s="672"/>
      <c r="AA173" s="672"/>
      <c r="AB173" s="672"/>
      <c r="AC173" s="672"/>
      <c r="AD173" s="672"/>
      <c r="AE173" s="672"/>
      <c r="AF173" s="672"/>
      <c r="AG173" s="672"/>
      <c r="AH173" s="672"/>
      <c r="AI173" s="672"/>
      <c r="AJ173" s="672"/>
      <c r="AK173" s="672"/>
      <c r="AL173" s="672"/>
      <c r="AM173" s="672"/>
      <c r="AN173" s="672"/>
      <c r="AO173" s="672"/>
      <c r="AP173" s="672"/>
      <c r="AQ173" s="672"/>
      <c r="AR173" s="672"/>
      <c r="AS173" s="672"/>
      <c r="AT173" s="672"/>
      <c r="AU173" s="672"/>
      <c r="AV173" s="672"/>
    </row>
    <row r="174" spans="1:48" ht="15.75" customHeight="1">
      <c r="A174" s="672"/>
      <c r="B174" s="672"/>
      <c r="C174" s="672"/>
      <c r="D174" s="672"/>
      <c r="E174" s="672"/>
      <c r="F174" s="672"/>
      <c r="G174" s="672"/>
      <c r="H174" s="672"/>
      <c r="I174" s="672"/>
      <c r="J174" s="672"/>
      <c r="K174" s="672"/>
      <c r="L174" s="672"/>
      <c r="M174" s="672"/>
      <c r="N174" s="672"/>
      <c r="O174" s="672"/>
      <c r="P174" s="672"/>
      <c r="Q174" s="672"/>
      <c r="R174" s="672"/>
      <c r="S174" s="672"/>
      <c r="T174" s="672"/>
      <c r="U174" s="672"/>
      <c r="V174" s="672"/>
      <c r="W174" s="672"/>
      <c r="X174" s="672"/>
      <c r="Y174" s="672"/>
      <c r="Z174" s="672"/>
      <c r="AA174" s="672"/>
      <c r="AB174" s="672"/>
      <c r="AC174" s="672"/>
      <c r="AD174" s="672"/>
      <c r="AE174" s="672"/>
      <c r="AF174" s="672"/>
      <c r="AG174" s="672"/>
      <c r="AH174" s="672"/>
      <c r="AI174" s="672"/>
      <c r="AJ174" s="672"/>
      <c r="AK174" s="672"/>
      <c r="AL174" s="672"/>
      <c r="AM174" s="672"/>
      <c r="AN174" s="672"/>
      <c r="AO174" s="672"/>
      <c r="AP174" s="672"/>
      <c r="AQ174" s="672"/>
      <c r="AR174" s="672"/>
      <c r="AS174" s="672"/>
      <c r="AT174" s="672"/>
      <c r="AU174" s="672"/>
      <c r="AV174" s="672"/>
    </row>
    <row r="175" spans="1:48" ht="15.75" customHeight="1">
      <c r="A175" s="672"/>
      <c r="B175" s="672"/>
      <c r="C175" s="672"/>
      <c r="D175" s="672"/>
      <c r="E175" s="672"/>
      <c r="F175" s="672"/>
      <c r="G175" s="672"/>
      <c r="H175" s="672"/>
      <c r="I175" s="672"/>
      <c r="J175" s="672"/>
      <c r="K175" s="672"/>
      <c r="L175" s="672"/>
      <c r="M175" s="672"/>
      <c r="N175" s="672"/>
      <c r="O175" s="672"/>
      <c r="P175" s="672"/>
      <c r="Q175" s="672"/>
      <c r="R175" s="672"/>
      <c r="S175" s="672"/>
      <c r="T175" s="672"/>
      <c r="U175" s="672"/>
      <c r="V175" s="672"/>
      <c r="W175" s="672"/>
      <c r="X175" s="672"/>
      <c r="Y175" s="672"/>
      <c r="Z175" s="672"/>
      <c r="AA175" s="672"/>
      <c r="AB175" s="672"/>
      <c r="AC175" s="672"/>
      <c r="AD175" s="672"/>
      <c r="AE175" s="672"/>
      <c r="AF175" s="672"/>
      <c r="AG175" s="672"/>
      <c r="AH175" s="672"/>
      <c r="AI175" s="672"/>
      <c r="AJ175" s="672"/>
      <c r="AK175" s="672"/>
      <c r="AL175" s="672"/>
      <c r="AM175" s="672"/>
      <c r="AN175" s="672"/>
      <c r="AO175" s="672"/>
      <c r="AP175" s="672"/>
      <c r="AQ175" s="672"/>
      <c r="AR175" s="672"/>
      <c r="AS175" s="672"/>
      <c r="AT175" s="672"/>
      <c r="AU175" s="672"/>
      <c r="AV175" s="672"/>
    </row>
    <row r="176" spans="1:48" ht="15.75" customHeight="1">
      <c r="A176" s="672"/>
      <c r="B176" s="672"/>
      <c r="C176" s="672"/>
      <c r="D176" s="672"/>
      <c r="E176" s="672"/>
      <c r="F176" s="672"/>
      <c r="G176" s="672"/>
      <c r="H176" s="672"/>
      <c r="I176" s="672"/>
      <c r="J176" s="672"/>
      <c r="K176" s="672"/>
      <c r="L176" s="672"/>
      <c r="M176" s="672"/>
      <c r="N176" s="672"/>
      <c r="O176" s="672"/>
      <c r="P176" s="672"/>
      <c r="Q176" s="672"/>
      <c r="R176" s="672"/>
      <c r="S176" s="672"/>
      <c r="T176" s="672"/>
      <c r="U176" s="672"/>
      <c r="V176" s="672"/>
      <c r="W176" s="672"/>
      <c r="X176" s="672"/>
      <c r="Y176" s="672"/>
      <c r="Z176" s="672"/>
      <c r="AA176" s="672"/>
      <c r="AB176" s="672"/>
      <c r="AC176" s="672"/>
      <c r="AD176" s="672"/>
      <c r="AE176" s="672"/>
      <c r="AF176" s="672"/>
      <c r="AG176" s="672"/>
      <c r="AH176" s="672"/>
      <c r="AI176" s="672"/>
      <c r="AJ176" s="672"/>
      <c r="AK176" s="672"/>
      <c r="AL176" s="672"/>
      <c r="AM176" s="672"/>
      <c r="AN176" s="672"/>
      <c r="AO176" s="672"/>
      <c r="AP176" s="672"/>
      <c r="AQ176" s="672"/>
      <c r="AR176" s="672"/>
      <c r="AS176" s="672"/>
      <c r="AT176" s="672"/>
      <c r="AU176" s="672"/>
      <c r="AV176" s="672"/>
    </row>
    <row r="177" spans="1:48" ht="15.75" customHeight="1">
      <c r="A177" s="672"/>
      <c r="B177" s="672"/>
      <c r="C177" s="672"/>
      <c r="D177" s="672"/>
      <c r="E177" s="672"/>
      <c r="F177" s="672"/>
      <c r="G177" s="672"/>
      <c r="H177" s="672"/>
      <c r="I177" s="672"/>
      <c r="J177" s="672"/>
      <c r="K177" s="672"/>
      <c r="L177" s="672"/>
      <c r="M177" s="672"/>
      <c r="N177" s="672"/>
      <c r="O177" s="672"/>
      <c r="P177" s="672"/>
      <c r="Q177" s="672"/>
      <c r="R177" s="672"/>
      <c r="S177" s="672"/>
      <c r="T177" s="672"/>
      <c r="U177" s="672"/>
      <c r="V177" s="672"/>
      <c r="W177" s="672"/>
      <c r="X177" s="672"/>
      <c r="Y177" s="672"/>
      <c r="Z177" s="672"/>
      <c r="AA177" s="672"/>
      <c r="AB177" s="672"/>
      <c r="AC177" s="672"/>
      <c r="AD177" s="672"/>
      <c r="AE177" s="672"/>
      <c r="AF177" s="672"/>
      <c r="AG177" s="672"/>
      <c r="AH177" s="672"/>
      <c r="AI177" s="672"/>
      <c r="AJ177" s="672"/>
      <c r="AK177" s="672"/>
      <c r="AL177" s="672"/>
      <c r="AM177" s="672"/>
      <c r="AN177" s="672"/>
      <c r="AO177" s="672"/>
      <c r="AP177" s="672"/>
      <c r="AQ177" s="672"/>
      <c r="AR177" s="672"/>
      <c r="AS177" s="672"/>
      <c r="AT177" s="672"/>
      <c r="AU177" s="672"/>
      <c r="AV177" s="672"/>
    </row>
    <row r="178" spans="1:48" ht="15.75" customHeight="1">
      <c r="A178" s="672"/>
      <c r="B178" s="672"/>
      <c r="C178" s="672"/>
      <c r="D178" s="672"/>
      <c r="E178" s="672"/>
      <c r="F178" s="672"/>
      <c r="G178" s="672"/>
      <c r="H178" s="672"/>
      <c r="I178" s="672"/>
      <c r="J178" s="672"/>
      <c r="K178" s="672"/>
      <c r="L178" s="672"/>
      <c r="M178" s="672"/>
      <c r="N178" s="672"/>
      <c r="O178" s="672"/>
      <c r="P178" s="672"/>
      <c r="Q178" s="672"/>
      <c r="R178" s="672"/>
      <c r="S178" s="672"/>
      <c r="T178" s="672"/>
      <c r="U178" s="672"/>
      <c r="V178" s="672"/>
      <c r="W178" s="672"/>
      <c r="X178" s="672"/>
      <c r="Y178" s="672"/>
      <c r="Z178" s="672"/>
      <c r="AA178" s="672"/>
      <c r="AB178" s="672"/>
      <c r="AC178" s="672"/>
      <c r="AD178" s="672"/>
      <c r="AE178" s="672"/>
      <c r="AF178" s="672"/>
      <c r="AG178" s="672"/>
      <c r="AH178" s="672"/>
      <c r="AI178" s="672"/>
      <c r="AJ178" s="672"/>
      <c r="AK178" s="672"/>
      <c r="AL178" s="672"/>
      <c r="AM178" s="672"/>
      <c r="AN178" s="672"/>
      <c r="AO178" s="672"/>
      <c r="AP178" s="672"/>
      <c r="AQ178" s="672"/>
      <c r="AR178" s="672"/>
      <c r="AS178" s="672"/>
      <c r="AT178" s="672"/>
      <c r="AU178" s="672"/>
      <c r="AV178" s="672"/>
    </row>
    <row r="179" spans="1:48" ht="15.75" customHeight="1">
      <c r="A179" s="672"/>
      <c r="B179" s="672"/>
      <c r="C179" s="672"/>
      <c r="D179" s="672"/>
      <c r="E179" s="672"/>
      <c r="F179" s="672"/>
      <c r="G179" s="672"/>
      <c r="H179" s="672"/>
      <c r="I179" s="672"/>
      <c r="J179" s="672"/>
      <c r="K179" s="672"/>
      <c r="L179" s="672"/>
      <c r="M179" s="672"/>
      <c r="N179" s="672"/>
      <c r="O179" s="672"/>
      <c r="P179" s="672"/>
      <c r="Q179" s="672"/>
      <c r="R179" s="672"/>
      <c r="S179" s="672"/>
      <c r="T179" s="672"/>
      <c r="U179" s="672"/>
      <c r="V179" s="672"/>
      <c r="W179" s="672"/>
      <c r="X179" s="672"/>
      <c r="Y179" s="672"/>
      <c r="Z179" s="672"/>
      <c r="AA179" s="672"/>
      <c r="AB179" s="672"/>
      <c r="AC179" s="672"/>
      <c r="AD179" s="672"/>
      <c r="AE179" s="672"/>
      <c r="AF179" s="672"/>
      <c r="AG179" s="672"/>
      <c r="AH179" s="672"/>
      <c r="AI179" s="672"/>
      <c r="AJ179" s="672"/>
      <c r="AK179" s="672"/>
      <c r="AL179" s="672"/>
      <c r="AM179" s="672"/>
      <c r="AN179" s="672"/>
      <c r="AO179" s="672"/>
      <c r="AP179" s="672"/>
      <c r="AQ179" s="672"/>
      <c r="AR179" s="672"/>
      <c r="AS179" s="672"/>
      <c r="AT179" s="672"/>
      <c r="AU179" s="672"/>
      <c r="AV179" s="672"/>
    </row>
    <row r="180" spans="1:48" ht="15.75" customHeight="1">
      <c r="A180" s="672"/>
      <c r="B180" s="672"/>
      <c r="C180" s="672"/>
      <c r="D180" s="672"/>
      <c r="E180" s="672"/>
      <c r="F180" s="672"/>
      <c r="G180" s="672"/>
      <c r="H180" s="672"/>
      <c r="I180" s="672"/>
      <c r="J180" s="672"/>
      <c r="K180" s="672"/>
      <c r="L180" s="672"/>
      <c r="M180" s="672"/>
      <c r="N180" s="672"/>
      <c r="O180" s="672"/>
      <c r="P180" s="672"/>
      <c r="Q180" s="672"/>
      <c r="R180" s="672"/>
      <c r="S180" s="672"/>
      <c r="T180" s="672"/>
      <c r="U180" s="672"/>
      <c r="V180" s="672"/>
      <c r="W180" s="672"/>
      <c r="X180" s="672"/>
      <c r="Y180" s="672"/>
      <c r="Z180" s="672"/>
      <c r="AA180" s="672"/>
      <c r="AB180" s="672"/>
      <c r="AC180" s="672"/>
      <c r="AD180" s="672"/>
      <c r="AE180" s="672"/>
      <c r="AF180" s="672"/>
      <c r="AG180" s="672"/>
      <c r="AH180" s="672"/>
      <c r="AI180" s="672"/>
      <c r="AJ180" s="672"/>
      <c r="AK180" s="672"/>
      <c r="AL180" s="672"/>
      <c r="AM180" s="672"/>
      <c r="AN180" s="672"/>
      <c r="AO180" s="672"/>
      <c r="AP180" s="672"/>
      <c r="AQ180" s="672"/>
      <c r="AR180" s="672"/>
      <c r="AS180" s="672"/>
      <c r="AT180" s="672"/>
      <c r="AU180" s="672"/>
      <c r="AV180" s="672"/>
    </row>
    <row r="181" spans="1:48" ht="15.75" customHeight="1">
      <c r="A181" s="672"/>
      <c r="B181" s="672"/>
      <c r="C181" s="672"/>
      <c r="D181" s="672"/>
      <c r="E181" s="672"/>
      <c r="F181" s="672"/>
      <c r="G181" s="672"/>
      <c r="H181" s="672"/>
      <c r="I181" s="672"/>
      <c r="J181" s="672"/>
      <c r="K181" s="672"/>
      <c r="L181" s="672"/>
      <c r="M181" s="672"/>
      <c r="N181" s="672"/>
      <c r="O181" s="672"/>
      <c r="P181" s="672"/>
      <c r="Q181" s="672"/>
      <c r="R181" s="672"/>
      <c r="S181" s="672"/>
      <c r="T181" s="672"/>
      <c r="U181" s="672"/>
      <c r="V181" s="672"/>
      <c r="W181" s="672"/>
      <c r="X181" s="672"/>
      <c r="Y181" s="672"/>
      <c r="Z181" s="672"/>
      <c r="AA181" s="672"/>
      <c r="AB181" s="672"/>
      <c r="AC181" s="672"/>
      <c r="AD181" s="672"/>
      <c r="AE181" s="672"/>
      <c r="AF181" s="672"/>
      <c r="AG181" s="672"/>
      <c r="AH181" s="672"/>
      <c r="AI181" s="672"/>
      <c r="AJ181" s="672"/>
      <c r="AK181" s="672"/>
      <c r="AL181" s="672"/>
      <c r="AM181" s="672"/>
      <c r="AN181" s="672"/>
      <c r="AO181" s="672"/>
      <c r="AP181" s="672"/>
      <c r="AQ181" s="672"/>
      <c r="AR181" s="672"/>
      <c r="AS181" s="672"/>
      <c r="AT181" s="672"/>
      <c r="AU181" s="672"/>
      <c r="AV181" s="672"/>
    </row>
    <row r="182" spans="1:48" ht="15.75" customHeight="1">
      <c r="A182" s="672"/>
      <c r="B182" s="672"/>
      <c r="C182" s="672"/>
      <c r="D182" s="672"/>
      <c r="E182" s="672"/>
      <c r="F182" s="672"/>
      <c r="G182" s="672"/>
      <c r="H182" s="672"/>
      <c r="I182" s="672"/>
      <c r="J182" s="672"/>
      <c r="K182" s="672"/>
      <c r="L182" s="672"/>
      <c r="M182" s="672"/>
      <c r="N182" s="672"/>
      <c r="O182" s="672"/>
      <c r="P182" s="672"/>
      <c r="Q182" s="672"/>
      <c r="R182" s="672"/>
      <c r="S182" s="672"/>
      <c r="T182" s="672"/>
      <c r="U182" s="672"/>
      <c r="V182" s="672"/>
      <c r="W182" s="672"/>
      <c r="X182" s="672"/>
      <c r="Y182" s="672"/>
      <c r="Z182" s="672"/>
      <c r="AA182" s="672"/>
      <c r="AB182" s="672"/>
      <c r="AC182" s="672"/>
      <c r="AD182" s="672"/>
      <c r="AE182" s="672"/>
      <c r="AF182" s="672"/>
      <c r="AG182" s="672"/>
      <c r="AH182" s="672"/>
      <c r="AI182" s="672"/>
      <c r="AJ182" s="672"/>
      <c r="AK182" s="672"/>
      <c r="AL182" s="672"/>
      <c r="AM182" s="672"/>
      <c r="AN182" s="672"/>
      <c r="AO182" s="672"/>
      <c r="AP182" s="672"/>
      <c r="AQ182" s="672"/>
      <c r="AR182" s="672"/>
      <c r="AS182" s="672"/>
      <c r="AT182" s="672"/>
      <c r="AU182" s="672"/>
      <c r="AV182" s="672"/>
    </row>
    <row r="183" spans="1:48" ht="15.75" customHeight="1">
      <c r="A183" s="672"/>
      <c r="B183" s="672"/>
      <c r="C183" s="672"/>
      <c r="D183" s="672"/>
      <c r="E183" s="672"/>
      <c r="F183" s="672"/>
      <c r="G183" s="672"/>
      <c r="H183" s="672"/>
      <c r="I183" s="672"/>
      <c r="J183" s="672"/>
      <c r="K183" s="672"/>
      <c r="L183" s="672"/>
      <c r="M183" s="672"/>
      <c r="N183" s="672"/>
      <c r="O183" s="672"/>
      <c r="P183" s="672"/>
      <c r="Q183" s="672"/>
      <c r="R183" s="672"/>
      <c r="S183" s="672"/>
      <c r="T183" s="672"/>
      <c r="U183" s="672"/>
      <c r="V183" s="672"/>
      <c r="W183" s="672"/>
      <c r="X183" s="672"/>
      <c r="Y183" s="672"/>
      <c r="Z183" s="672"/>
      <c r="AA183" s="672"/>
      <c r="AB183" s="672"/>
      <c r="AC183" s="672"/>
      <c r="AD183" s="672"/>
      <c r="AE183" s="672"/>
      <c r="AF183" s="672"/>
      <c r="AG183" s="672"/>
      <c r="AH183" s="672"/>
      <c r="AI183" s="672"/>
      <c r="AJ183" s="672"/>
      <c r="AK183" s="672"/>
      <c r="AL183" s="672"/>
      <c r="AM183" s="672"/>
      <c r="AN183" s="672"/>
      <c r="AO183" s="672"/>
      <c r="AP183" s="672"/>
      <c r="AQ183" s="672"/>
      <c r="AR183" s="672"/>
      <c r="AS183" s="672"/>
      <c r="AT183" s="672"/>
      <c r="AU183" s="672"/>
      <c r="AV183" s="672"/>
    </row>
    <row r="184" spans="1:48" ht="15.75" customHeight="1">
      <c r="A184" s="672"/>
      <c r="B184" s="672"/>
      <c r="C184" s="672"/>
      <c r="D184" s="672"/>
      <c r="E184" s="672"/>
      <c r="F184" s="672"/>
      <c r="G184" s="672"/>
      <c r="H184" s="672"/>
      <c r="I184" s="672"/>
      <c r="J184" s="672"/>
      <c r="K184" s="672"/>
      <c r="L184" s="672"/>
      <c r="M184" s="672"/>
      <c r="N184" s="672"/>
      <c r="O184" s="672"/>
      <c r="P184" s="672"/>
      <c r="Q184" s="672"/>
      <c r="R184" s="672"/>
      <c r="S184" s="672"/>
      <c r="T184" s="672"/>
      <c r="U184" s="672"/>
      <c r="V184" s="672"/>
      <c r="W184" s="672"/>
      <c r="X184" s="672"/>
      <c r="Y184" s="672"/>
      <c r="Z184" s="672"/>
      <c r="AA184" s="672"/>
      <c r="AB184" s="672"/>
      <c r="AC184" s="672"/>
      <c r="AD184" s="672"/>
      <c r="AE184" s="672"/>
      <c r="AF184" s="672"/>
      <c r="AG184" s="672"/>
      <c r="AH184" s="672"/>
      <c r="AI184" s="672"/>
      <c r="AJ184" s="672"/>
      <c r="AK184" s="672"/>
      <c r="AL184" s="672"/>
      <c r="AM184" s="672"/>
      <c r="AN184" s="672"/>
      <c r="AO184" s="672"/>
      <c r="AP184" s="672"/>
      <c r="AQ184" s="672"/>
      <c r="AR184" s="672"/>
      <c r="AS184" s="672"/>
      <c r="AT184" s="672"/>
      <c r="AU184" s="672"/>
      <c r="AV184" s="672"/>
    </row>
    <row r="185" spans="1:48" ht="15.75" customHeight="1">
      <c r="A185" s="672"/>
      <c r="B185" s="672"/>
      <c r="C185" s="672"/>
      <c r="D185" s="672"/>
      <c r="E185" s="672"/>
      <c r="F185" s="672"/>
      <c r="G185" s="672"/>
      <c r="H185" s="672"/>
      <c r="I185" s="672"/>
      <c r="J185" s="672"/>
      <c r="K185" s="672"/>
      <c r="L185" s="672"/>
      <c r="M185" s="672"/>
      <c r="N185" s="672"/>
      <c r="O185" s="672"/>
      <c r="P185" s="672"/>
      <c r="Q185" s="672"/>
      <c r="R185" s="672"/>
      <c r="S185" s="672"/>
      <c r="T185" s="672"/>
      <c r="U185" s="672"/>
      <c r="V185" s="672"/>
      <c r="W185" s="672"/>
      <c r="X185" s="672"/>
      <c r="Y185" s="672"/>
      <c r="Z185" s="672"/>
      <c r="AA185" s="672"/>
      <c r="AB185" s="672"/>
      <c r="AC185" s="672"/>
      <c r="AD185" s="672"/>
      <c r="AE185" s="672"/>
      <c r="AF185" s="672"/>
      <c r="AG185" s="672"/>
      <c r="AH185" s="672"/>
      <c r="AI185" s="672"/>
      <c r="AJ185" s="672"/>
      <c r="AK185" s="672"/>
      <c r="AL185" s="672"/>
      <c r="AM185" s="672"/>
      <c r="AN185" s="672"/>
      <c r="AO185" s="672"/>
      <c r="AP185" s="672"/>
      <c r="AQ185" s="672"/>
      <c r="AR185" s="672"/>
      <c r="AS185" s="672"/>
      <c r="AT185" s="672"/>
      <c r="AU185" s="672"/>
      <c r="AV185" s="672"/>
    </row>
    <row r="186" spans="1:48" ht="15.75" customHeight="1">
      <c r="A186" s="672"/>
      <c r="B186" s="672"/>
      <c r="C186" s="672"/>
      <c r="D186" s="672"/>
      <c r="E186" s="672"/>
      <c r="F186" s="672"/>
      <c r="G186" s="672"/>
      <c r="H186" s="672"/>
      <c r="I186" s="672"/>
      <c r="J186" s="672"/>
      <c r="K186" s="672"/>
      <c r="L186" s="672"/>
      <c r="M186" s="672"/>
      <c r="N186" s="672"/>
      <c r="O186" s="672"/>
      <c r="P186" s="672"/>
      <c r="Q186" s="672"/>
      <c r="R186" s="672"/>
      <c r="S186" s="672"/>
      <c r="T186" s="672"/>
      <c r="U186" s="672"/>
      <c r="V186" s="672"/>
      <c r="W186" s="672"/>
      <c r="X186" s="672"/>
      <c r="Y186" s="672"/>
      <c r="Z186" s="672"/>
      <c r="AA186" s="672"/>
      <c r="AB186" s="672"/>
      <c r="AC186" s="672"/>
      <c r="AD186" s="672"/>
      <c r="AE186" s="672"/>
      <c r="AF186" s="672"/>
      <c r="AG186" s="672"/>
      <c r="AH186" s="672"/>
      <c r="AI186" s="672"/>
      <c r="AJ186" s="672"/>
      <c r="AK186" s="672"/>
      <c r="AL186" s="672"/>
      <c r="AM186" s="672"/>
      <c r="AN186" s="672"/>
      <c r="AO186" s="672"/>
      <c r="AP186" s="672"/>
      <c r="AQ186" s="672"/>
      <c r="AR186" s="672"/>
      <c r="AS186" s="672"/>
      <c r="AT186" s="672"/>
      <c r="AU186" s="672"/>
      <c r="AV186" s="672"/>
    </row>
    <row r="187" spans="1:48" ht="15.75" customHeight="1">
      <c r="A187" s="672"/>
      <c r="B187" s="672"/>
      <c r="C187" s="672"/>
      <c r="D187" s="672"/>
      <c r="E187" s="672"/>
      <c r="F187" s="672"/>
      <c r="G187" s="672"/>
      <c r="H187" s="672"/>
      <c r="I187" s="672"/>
      <c r="J187" s="672"/>
      <c r="K187" s="672"/>
      <c r="L187" s="672"/>
      <c r="M187" s="672"/>
      <c r="N187" s="672"/>
      <c r="O187" s="672"/>
      <c r="P187" s="672"/>
      <c r="Q187" s="672"/>
      <c r="R187" s="672"/>
      <c r="S187" s="672"/>
      <c r="T187" s="672"/>
      <c r="U187" s="672"/>
      <c r="V187" s="672"/>
      <c r="W187" s="672"/>
      <c r="X187" s="672"/>
      <c r="Y187" s="672"/>
      <c r="Z187" s="672"/>
      <c r="AA187" s="672"/>
      <c r="AB187" s="672"/>
      <c r="AC187" s="672"/>
      <c r="AD187" s="672"/>
      <c r="AE187" s="672"/>
      <c r="AF187" s="672"/>
      <c r="AG187" s="672"/>
      <c r="AH187" s="672"/>
      <c r="AI187" s="672"/>
      <c r="AJ187" s="672"/>
      <c r="AK187" s="672"/>
      <c r="AL187" s="672"/>
      <c r="AM187" s="672"/>
      <c r="AN187" s="672"/>
      <c r="AO187" s="672"/>
      <c r="AP187" s="672"/>
      <c r="AQ187" s="672"/>
      <c r="AR187" s="672"/>
      <c r="AS187" s="672"/>
      <c r="AT187" s="672"/>
      <c r="AU187" s="672"/>
      <c r="AV187" s="672"/>
    </row>
    <row r="188" spans="1:48" ht="15.75" customHeight="1">
      <c r="A188" s="672"/>
      <c r="B188" s="672"/>
      <c r="C188" s="672"/>
      <c r="D188" s="672"/>
      <c r="E188" s="672"/>
      <c r="F188" s="672"/>
      <c r="G188" s="672"/>
      <c r="H188" s="672"/>
      <c r="I188" s="672"/>
      <c r="J188" s="672"/>
      <c r="K188" s="672"/>
      <c r="L188" s="672"/>
      <c r="M188" s="672"/>
      <c r="N188" s="672"/>
      <c r="O188" s="672"/>
      <c r="P188" s="672"/>
      <c r="Q188" s="672"/>
      <c r="R188" s="672"/>
      <c r="S188" s="672"/>
      <c r="T188" s="672"/>
      <c r="U188" s="672"/>
      <c r="V188" s="672"/>
      <c r="W188" s="672"/>
      <c r="X188" s="672"/>
      <c r="Y188" s="672"/>
      <c r="Z188" s="672"/>
      <c r="AA188" s="672"/>
      <c r="AB188" s="672"/>
      <c r="AC188" s="672"/>
      <c r="AD188" s="672"/>
      <c r="AE188" s="672"/>
      <c r="AF188" s="672"/>
      <c r="AG188" s="672"/>
      <c r="AH188" s="672"/>
      <c r="AI188" s="672"/>
      <c r="AJ188" s="672"/>
      <c r="AK188" s="672"/>
      <c r="AL188" s="672"/>
      <c r="AM188" s="672"/>
      <c r="AN188" s="672"/>
      <c r="AO188" s="672"/>
      <c r="AP188" s="672"/>
      <c r="AQ188" s="672"/>
      <c r="AR188" s="672"/>
      <c r="AS188" s="672"/>
      <c r="AT188" s="672"/>
      <c r="AU188" s="672"/>
      <c r="AV188" s="672"/>
    </row>
    <row r="189" spans="1:48" ht="15.75" customHeight="1">
      <c r="A189" s="672"/>
      <c r="B189" s="672"/>
      <c r="C189" s="672"/>
      <c r="D189" s="672"/>
      <c r="E189" s="672"/>
      <c r="F189" s="672"/>
      <c r="G189" s="672"/>
      <c r="H189" s="672"/>
      <c r="I189" s="672"/>
      <c r="J189" s="672"/>
      <c r="K189" s="672"/>
      <c r="L189" s="672"/>
      <c r="M189" s="672"/>
      <c r="N189" s="672"/>
      <c r="O189" s="672"/>
      <c r="P189" s="672"/>
      <c r="Q189" s="672"/>
      <c r="R189" s="672"/>
      <c r="S189" s="672"/>
      <c r="T189" s="672"/>
      <c r="U189" s="672"/>
      <c r="V189" s="672"/>
      <c r="W189" s="672"/>
      <c r="X189" s="672"/>
      <c r="Y189" s="672"/>
      <c r="Z189" s="672"/>
      <c r="AA189" s="672"/>
      <c r="AB189" s="672"/>
      <c r="AC189" s="672"/>
      <c r="AD189" s="672"/>
      <c r="AE189" s="672"/>
      <c r="AF189" s="672"/>
      <c r="AG189" s="672"/>
      <c r="AH189" s="672"/>
      <c r="AI189" s="672"/>
      <c r="AJ189" s="672"/>
      <c r="AK189" s="672"/>
      <c r="AL189" s="672"/>
      <c r="AM189" s="672"/>
      <c r="AN189" s="672"/>
      <c r="AO189" s="672"/>
      <c r="AP189" s="672"/>
      <c r="AQ189" s="672"/>
      <c r="AR189" s="672"/>
      <c r="AS189" s="672"/>
      <c r="AT189" s="672"/>
      <c r="AU189" s="672"/>
      <c r="AV189" s="672"/>
    </row>
    <row r="190" spans="1:48" ht="15.75" customHeight="1">
      <c r="A190" s="672"/>
      <c r="B190" s="672"/>
      <c r="C190" s="672"/>
      <c r="D190" s="672"/>
      <c r="E190" s="672"/>
      <c r="F190" s="672"/>
      <c r="G190" s="672"/>
      <c r="H190" s="672"/>
      <c r="I190" s="672"/>
      <c r="J190" s="672"/>
      <c r="K190" s="672"/>
      <c r="L190" s="672"/>
      <c r="M190" s="672"/>
      <c r="N190" s="672"/>
      <c r="O190" s="672"/>
      <c r="P190" s="672"/>
      <c r="Q190" s="672"/>
      <c r="R190" s="672"/>
      <c r="S190" s="672"/>
      <c r="T190" s="672"/>
      <c r="U190" s="672"/>
      <c r="V190" s="672"/>
      <c r="W190" s="672"/>
      <c r="X190" s="672"/>
      <c r="Y190" s="672"/>
      <c r="Z190" s="672"/>
      <c r="AA190" s="672"/>
      <c r="AB190" s="672"/>
      <c r="AC190" s="672"/>
      <c r="AD190" s="672"/>
      <c r="AE190" s="672"/>
      <c r="AF190" s="672"/>
      <c r="AG190" s="672"/>
      <c r="AH190" s="672"/>
      <c r="AI190" s="672"/>
      <c r="AJ190" s="672"/>
      <c r="AK190" s="672"/>
      <c r="AL190" s="672"/>
      <c r="AM190" s="672"/>
      <c r="AN190" s="672"/>
      <c r="AO190" s="672"/>
      <c r="AP190" s="672"/>
      <c r="AQ190" s="672"/>
      <c r="AR190" s="672"/>
      <c r="AS190" s="672"/>
      <c r="AT190" s="672"/>
      <c r="AU190" s="672"/>
      <c r="AV190" s="672"/>
    </row>
    <row r="191" spans="1:48" ht="15.75" customHeight="1">
      <c r="A191" s="672"/>
      <c r="B191" s="672"/>
      <c r="C191" s="672"/>
      <c r="D191" s="672"/>
      <c r="E191" s="672"/>
      <c r="F191" s="672"/>
      <c r="G191" s="672"/>
      <c r="H191" s="672"/>
      <c r="I191" s="672"/>
      <c r="J191" s="672"/>
      <c r="K191" s="672"/>
      <c r="L191" s="672"/>
      <c r="M191" s="672"/>
      <c r="N191" s="672"/>
      <c r="O191" s="672"/>
      <c r="P191" s="672"/>
      <c r="Q191" s="672"/>
      <c r="R191" s="672"/>
      <c r="S191" s="672"/>
      <c r="T191" s="672"/>
      <c r="U191" s="672"/>
      <c r="V191" s="672"/>
      <c r="W191" s="672"/>
      <c r="X191" s="672"/>
      <c r="Y191" s="672"/>
      <c r="Z191" s="672"/>
      <c r="AA191" s="672"/>
      <c r="AB191" s="672"/>
      <c r="AC191" s="672"/>
      <c r="AD191" s="672"/>
      <c r="AE191" s="672"/>
      <c r="AF191" s="672"/>
      <c r="AG191" s="672"/>
      <c r="AH191" s="672"/>
      <c r="AI191" s="672"/>
      <c r="AJ191" s="672"/>
      <c r="AK191" s="672"/>
      <c r="AL191" s="672"/>
      <c r="AM191" s="672"/>
      <c r="AN191" s="672"/>
      <c r="AO191" s="672"/>
      <c r="AP191" s="672"/>
      <c r="AQ191" s="672"/>
      <c r="AR191" s="672"/>
      <c r="AS191" s="672"/>
      <c r="AT191" s="672"/>
      <c r="AU191" s="672"/>
      <c r="AV191" s="672"/>
    </row>
    <row r="192" spans="1:48" ht="15.75" customHeight="1">
      <c r="A192" s="672"/>
      <c r="B192" s="672"/>
      <c r="C192" s="672"/>
      <c r="D192" s="672"/>
      <c r="E192" s="672"/>
      <c r="F192" s="672"/>
      <c r="G192" s="672"/>
      <c r="H192" s="672"/>
      <c r="I192" s="672"/>
      <c r="J192" s="672"/>
      <c r="K192" s="672"/>
      <c r="L192" s="672"/>
      <c r="M192" s="672"/>
      <c r="N192" s="672"/>
      <c r="O192" s="672"/>
      <c r="P192" s="672"/>
      <c r="Q192" s="672"/>
      <c r="R192" s="672"/>
      <c r="S192" s="672"/>
      <c r="T192" s="672"/>
      <c r="U192" s="672"/>
      <c r="V192" s="672"/>
      <c r="W192" s="672"/>
      <c r="X192" s="672"/>
      <c r="Y192" s="672"/>
      <c r="Z192" s="672"/>
      <c r="AA192" s="672"/>
      <c r="AB192" s="672"/>
      <c r="AC192" s="672"/>
      <c r="AD192" s="672"/>
      <c r="AE192" s="672"/>
      <c r="AF192" s="672"/>
      <c r="AG192" s="672"/>
      <c r="AH192" s="672"/>
      <c r="AI192" s="672"/>
      <c r="AJ192" s="672"/>
      <c r="AK192" s="672"/>
      <c r="AL192" s="672"/>
      <c r="AM192" s="672"/>
      <c r="AN192" s="672"/>
      <c r="AO192" s="672"/>
      <c r="AP192" s="672"/>
      <c r="AQ192" s="672"/>
      <c r="AR192" s="672"/>
      <c r="AS192" s="672"/>
      <c r="AT192" s="672"/>
      <c r="AU192" s="672"/>
      <c r="AV192" s="672"/>
    </row>
    <row r="193" spans="1:48" ht="15.75" customHeight="1">
      <c r="A193" s="672"/>
      <c r="B193" s="672"/>
      <c r="C193" s="672"/>
      <c r="D193" s="672"/>
      <c r="E193" s="672"/>
      <c r="F193" s="672"/>
      <c r="G193" s="672"/>
      <c r="H193" s="672"/>
      <c r="I193" s="672"/>
      <c r="J193" s="672"/>
      <c r="K193" s="672"/>
      <c r="L193" s="672"/>
      <c r="M193" s="672"/>
      <c r="N193" s="672"/>
      <c r="O193" s="672"/>
      <c r="P193" s="672"/>
      <c r="Q193" s="672"/>
      <c r="R193" s="672"/>
      <c r="S193" s="672"/>
      <c r="T193" s="672"/>
      <c r="U193" s="672"/>
      <c r="V193" s="672"/>
      <c r="W193" s="672"/>
      <c r="X193" s="672"/>
      <c r="Y193" s="672"/>
      <c r="Z193" s="672"/>
      <c r="AA193" s="672"/>
      <c r="AB193" s="672"/>
      <c r="AC193" s="672"/>
      <c r="AD193" s="672"/>
      <c r="AE193" s="672"/>
      <c r="AF193" s="672"/>
      <c r="AG193" s="672"/>
      <c r="AH193" s="672"/>
      <c r="AI193" s="672"/>
      <c r="AJ193" s="672"/>
      <c r="AK193" s="672"/>
      <c r="AL193" s="672"/>
      <c r="AM193" s="672"/>
      <c r="AN193" s="672"/>
      <c r="AO193" s="672"/>
      <c r="AP193" s="672"/>
      <c r="AQ193" s="672"/>
      <c r="AR193" s="672"/>
      <c r="AS193" s="672"/>
      <c r="AT193" s="672"/>
      <c r="AU193" s="672"/>
      <c r="AV193" s="672"/>
    </row>
    <row r="194" spans="1:48" ht="15.75" customHeight="1">
      <c r="A194" s="672"/>
      <c r="B194" s="672"/>
      <c r="C194" s="672"/>
      <c r="D194" s="672"/>
      <c r="E194" s="672"/>
      <c r="F194" s="672"/>
      <c r="G194" s="672"/>
      <c r="H194" s="672"/>
      <c r="I194" s="672"/>
      <c r="J194" s="672"/>
      <c r="K194" s="672"/>
      <c r="L194" s="672"/>
      <c r="M194" s="672"/>
      <c r="N194" s="672"/>
      <c r="O194" s="672"/>
      <c r="P194" s="672"/>
      <c r="Q194" s="672"/>
      <c r="R194" s="672"/>
      <c r="S194" s="672"/>
      <c r="T194" s="672"/>
      <c r="U194" s="672"/>
      <c r="V194" s="672"/>
      <c r="W194" s="672"/>
      <c r="X194" s="672"/>
      <c r="Y194" s="672"/>
      <c r="Z194" s="672"/>
      <c r="AA194" s="672"/>
      <c r="AB194" s="672"/>
      <c r="AC194" s="672"/>
      <c r="AD194" s="672"/>
      <c r="AE194" s="672"/>
      <c r="AF194" s="672"/>
      <c r="AG194" s="672"/>
      <c r="AH194" s="672"/>
      <c r="AI194" s="672"/>
      <c r="AJ194" s="672"/>
      <c r="AK194" s="672"/>
      <c r="AL194" s="672"/>
      <c r="AM194" s="672"/>
      <c r="AN194" s="672"/>
      <c r="AO194" s="672"/>
      <c r="AP194" s="672"/>
      <c r="AQ194" s="672"/>
      <c r="AR194" s="672"/>
      <c r="AS194" s="672"/>
      <c r="AT194" s="672"/>
      <c r="AU194" s="672"/>
      <c r="AV194" s="672"/>
    </row>
    <row r="195" spans="1:48" ht="15.75" customHeight="1">
      <c r="A195" s="672"/>
      <c r="B195" s="672"/>
      <c r="C195" s="672"/>
      <c r="D195" s="672"/>
      <c r="E195" s="672"/>
      <c r="F195" s="672"/>
      <c r="G195" s="672"/>
      <c r="H195" s="672"/>
      <c r="I195" s="672"/>
      <c r="J195" s="672"/>
      <c r="K195" s="672"/>
      <c r="L195" s="672"/>
      <c r="M195" s="672"/>
      <c r="N195" s="672"/>
      <c r="O195" s="672"/>
      <c r="P195" s="672"/>
      <c r="Q195" s="672"/>
      <c r="R195" s="672"/>
      <c r="S195" s="672"/>
      <c r="T195" s="672"/>
      <c r="U195" s="672"/>
      <c r="V195" s="672"/>
      <c r="W195" s="672"/>
      <c r="X195" s="672"/>
      <c r="Y195" s="672"/>
      <c r="Z195" s="672"/>
      <c r="AA195" s="672"/>
      <c r="AB195" s="672"/>
      <c r="AC195" s="672"/>
      <c r="AD195" s="672"/>
      <c r="AE195" s="672"/>
      <c r="AF195" s="672"/>
      <c r="AG195" s="672"/>
      <c r="AH195" s="672"/>
      <c r="AI195" s="672"/>
      <c r="AJ195" s="672"/>
      <c r="AK195" s="672"/>
      <c r="AL195" s="672"/>
      <c r="AM195" s="672"/>
      <c r="AN195" s="672"/>
      <c r="AO195" s="672"/>
      <c r="AP195" s="672"/>
      <c r="AQ195" s="672"/>
      <c r="AR195" s="672"/>
      <c r="AS195" s="672"/>
      <c r="AT195" s="672"/>
      <c r="AU195" s="672"/>
      <c r="AV195" s="672"/>
    </row>
    <row r="196" spans="1:48" ht="15.75" customHeight="1">
      <c r="A196" s="672"/>
      <c r="B196" s="672"/>
      <c r="C196" s="672"/>
      <c r="D196" s="672"/>
      <c r="E196" s="672"/>
      <c r="F196" s="672"/>
      <c r="G196" s="672"/>
      <c r="H196" s="672"/>
      <c r="I196" s="672"/>
      <c r="J196" s="672"/>
      <c r="K196" s="672"/>
      <c r="L196" s="672"/>
      <c r="M196" s="672"/>
      <c r="N196" s="672"/>
      <c r="O196" s="672"/>
      <c r="P196" s="672"/>
      <c r="Q196" s="672"/>
      <c r="R196" s="672"/>
      <c r="S196" s="672"/>
      <c r="T196" s="672"/>
      <c r="U196" s="672"/>
      <c r="V196" s="672"/>
      <c r="W196" s="672"/>
      <c r="X196" s="672"/>
      <c r="Y196" s="672"/>
      <c r="Z196" s="672"/>
      <c r="AA196" s="672"/>
      <c r="AB196" s="672"/>
      <c r="AC196" s="672"/>
      <c r="AD196" s="672"/>
      <c r="AE196" s="672"/>
      <c r="AF196" s="672"/>
      <c r="AG196" s="672"/>
      <c r="AH196" s="672"/>
      <c r="AI196" s="672"/>
      <c r="AJ196" s="672"/>
      <c r="AK196" s="672"/>
      <c r="AL196" s="672"/>
      <c r="AM196" s="672"/>
      <c r="AN196" s="672"/>
      <c r="AO196" s="672"/>
      <c r="AP196" s="672"/>
      <c r="AQ196" s="672"/>
      <c r="AR196" s="672"/>
      <c r="AS196" s="672"/>
      <c r="AT196" s="672"/>
      <c r="AU196" s="672"/>
      <c r="AV196" s="672"/>
    </row>
    <row r="197" spans="1:48" ht="15.75" customHeight="1">
      <c r="A197" s="672"/>
      <c r="B197" s="672"/>
      <c r="C197" s="672"/>
      <c r="D197" s="672"/>
      <c r="E197" s="672"/>
      <c r="F197" s="672"/>
      <c r="G197" s="672"/>
      <c r="H197" s="672"/>
      <c r="I197" s="672"/>
      <c r="J197" s="672"/>
      <c r="K197" s="672"/>
      <c r="L197" s="672"/>
      <c r="M197" s="672"/>
      <c r="N197" s="672"/>
      <c r="O197" s="672"/>
      <c r="P197" s="672"/>
      <c r="Q197" s="672"/>
      <c r="R197" s="672"/>
      <c r="S197" s="672"/>
      <c r="T197" s="672"/>
      <c r="U197" s="672"/>
      <c r="V197" s="672"/>
      <c r="W197" s="672"/>
      <c r="X197" s="672"/>
      <c r="Y197" s="672"/>
      <c r="Z197" s="672"/>
      <c r="AA197" s="672"/>
      <c r="AB197" s="672"/>
      <c r="AC197" s="672"/>
      <c r="AD197" s="672"/>
      <c r="AE197" s="672"/>
      <c r="AF197" s="672"/>
      <c r="AG197" s="672"/>
      <c r="AH197" s="672"/>
      <c r="AI197" s="672"/>
      <c r="AJ197" s="672"/>
      <c r="AK197" s="672"/>
      <c r="AL197" s="672"/>
      <c r="AM197" s="672"/>
      <c r="AN197" s="672"/>
      <c r="AO197" s="672"/>
      <c r="AP197" s="672"/>
      <c r="AQ197" s="672"/>
      <c r="AR197" s="672"/>
      <c r="AS197" s="672"/>
      <c r="AT197" s="672"/>
      <c r="AU197" s="672"/>
      <c r="AV197" s="672"/>
    </row>
    <row r="198" spans="1:48" ht="15.75" customHeight="1">
      <c r="A198" s="672"/>
      <c r="B198" s="672"/>
      <c r="C198" s="672"/>
      <c r="D198" s="672"/>
      <c r="E198" s="672"/>
      <c r="F198" s="672"/>
      <c r="G198" s="672"/>
      <c r="H198" s="672"/>
      <c r="I198" s="672"/>
      <c r="J198" s="672"/>
      <c r="K198" s="672"/>
      <c r="L198" s="672"/>
      <c r="M198" s="672"/>
      <c r="N198" s="672"/>
      <c r="O198" s="672"/>
      <c r="P198" s="672"/>
      <c r="Q198" s="672"/>
      <c r="R198" s="672"/>
      <c r="S198" s="672"/>
      <c r="T198" s="672"/>
      <c r="U198" s="672"/>
      <c r="V198" s="672"/>
      <c r="W198" s="672"/>
      <c r="X198" s="672"/>
      <c r="Y198" s="672"/>
      <c r="Z198" s="672"/>
      <c r="AA198" s="672"/>
      <c r="AB198" s="672"/>
      <c r="AC198" s="672"/>
      <c r="AD198" s="672"/>
      <c r="AE198" s="672"/>
      <c r="AF198" s="672"/>
      <c r="AG198" s="672"/>
      <c r="AH198" s="672"/>
      <c r="AI198" s="672"/>
      <c r="AJ198" s="672"/>
      <c r="AK198" s="672"/>
      <c r="AL198" s="672"/>
      <c r="AM198" s="672"/>
      <c r="AN198" s="672"/>
      <c r="AO198" s="672"/>
      <c r="AP198" s="672"/>
      <c r="AQ198" s="672"/>
      <c r="AR198" s="672"/>
      <c r="AS198" s="672"/>
      <c r="AT198" s="672"/>
      <c r="AU198" s="672"/>
      <c r="AV198" s="672"/>
    </row>
    <row r="199" spans="1:48" ht="15.75" customHeight="1">
      <c r="A199" s="672"/>
      <c r="B199" s="672"/>
      <c r="C199" s="672"/>
      <c r="D199" s="672"/>
      <c r="E199" s="672"/>
      <c r="F199" s="672"/>
      <c r="G199" s="672"/>
      <c r="H199" s="672"/>
      <c r="I199" s="672"/>
      <c r="J199" s="672"/>
      <c r="K199" s="672"/>
      <c r="L199" s="672"/>
      <c r="M199" s="672"/>
      <c r="N199" s="672"/>
      <c r="O199" s="672"/>
      <c r="P199" s="672"/>
      <c r="Q199" s="672"/>
      <c r="R199" s="672"/>
      <c r="S199" s="672"/>
      <c r="T199" s="672"/>
      <c r="U199" s="672"/>
      <c r="V199" s="672"/>
      <c r="W199" s="672"/>
      <c r="X199" s="672"/>
      <c r="Y199" s="672"/>
      <c r="Z199" s="672"/>
      <c r="AA199" s="672"/>
      <c r="AB199" s="672"/>
      <c r="AC199" s="672"/>
      <c r="AD199" s="672"/>
      <c r="AE199" s="672"/>
      <c r="AF199" s="672"/>
      <c r="AG199" s="672"/>
      <c r="AH199" s="672"/>
      <c r="AI199" s="672"/>
      <c r="AJ199" s="672"/>
      <c r="AK199" s="672"/>
      <c r="AL199" s="672"/>
      <c r="AM199" s="672"/>
      <c r="AN199" s="672"/>
      <c r="AO199" s="672"/>
      <c r="AP199" s="672"/>
      <c r="AQ199" s="672"/>
      <c r="AR199" s="672"/>
      <c r="AS199" s="672"/>
      <c r="AT199" s="672"/>
      <c r="AU199" s="672"/>
      <c r="AV199" s="672"/>
    </row>
    <row r="200" spans="1:48" ht="15.75" customHeight="1">
      <c r="A200" s="672"/>
      <c r="B200" s="672"/>
      <c r="C200" s="672"/>
      <c r="D200" s="672"/>
      <c r="E200" s="672"/>
      <c r="F200" s="672"/>
      <c r="G200" s="672"/>
      <c r="H200" s="672"/>
      <c r="I200" s="672"/>
      <c r="J200" s="672"/>
      <c r="K200" s="672"/>
      <c r="L200" s="672"/>
      <c r="M200" s="672"/>
      <c r="N200" s="672"/>
      <c r="O200" s="672"/>
      <c r="P200" s="672"/>
      <c r="Q200" s="672"/>
      <c r="R200" s="672"/>
      <c r="S200" s="672"/>
      <c r="T200" s="672"/>
      <c r="U200" s="672"/>
      <c r="V200" s="672"/>
      <c r="W200" s="672"/>
      <c r="X200" s="672"/>
      <c r="Y200" s="672"/>
      <c r="Z200" s="672"/>
      <c r="AA200" s="672"/>
      <c r="AB200" s="672"/>
      <c r="AC200" s="672"/>
      <c r="AD200" s="672"/>
      <c r="AE200" s="672"/>
      <c r="AF200" s="672"/>
      <c r="AG200" s="672"/>
      <c r="AH200" s="672"/>
      <c r="AI200" s="672"/>
      <c r="AJ200" s="672"/>
      <c r="AK200" s="672"/>
      <c r="AL200" s="672"/>
      <c r="AM200" s="672"/>
      <c r="AN200" s="672"/>
      <c r="AO200" s="672"/>
      <c r="AP200" s="672"/>
      <c r="AQ200" s="672"/>
      <c r="AR200" s="672"/>
      <c r="AS200" s="672"/>
      <c r="AT200" s="672"/>
      <c r="AU200" s="672"/>
      <c r="AV200" s="672"/>
    </row>
    <row r="201" spans="1:48" ht="15.75" customHeight="1">
      <c r="A201" s="672"/>
      <c r="B201" s="672"/>
      <c r="C201" s="672"/>
      <c r="D201" s="672"/>
      <c r="E201" s="672"/>
      <c r="F201" s="672"/>
      <c r="G201" s="672"/>
      <c r="H201" s="672"/>
      <c r="I201" s="672"/>
      <c r="J201" s="672"/>
      <c r="K201" s="672"/>
      <c r="L201" s="672"/>
      <c r="M201" s="672"/>
      <c r="N201" s="672"/>
      <c r="O201" s="672"/>
      <c r="P201" s="672"/>
      <c r="Q201" s="672"/>
      <c r="R201" s="672"/>
      <c r="S201" s="672"/>
      <c r="T201" s="672"/>
      <c r="U201" s="672"/>
      <c r="V201" s="672"/>
      <c r="W201" s="672"/>
      <c r="X201" s="672"/>
      <c r="Y201" s="672"/>
      <c r="Z201" s="672"/>
      <c r="AA201" s="672"/>
      <c r="AB201" s="672"/>
      <c r="AC201" s="672"/>
      <c r="AD201" s="672"/>
      <c r="AE201" s="672"/>
      <c r="AF201" s="672"/>
      <c r="AG201" s="672"/>
      <c r="AH201" s="672"/>
      <c r="AI201" s="672"/>
      <c r="AJ201" s="672"/>
      <c r="AK201" s="672"/>
      <c r="AL201" s="672"/>
      <c r="AM201" s="672"/>
      <c r="AN201" s="672"/>
      <c r="AO201" s="672"/>
      <c r="AP201" s="672"/>
      <c r="AQ201" s="672"/>
      <c r="AR201" s="672"/>
      <c r="AS201" s="672"/>
      <c r="AT201" s="672"/>
      <c r="AU201" s="672"/>
      <c r="AV201" s="672"/>
    </row>
    <row r="202" spans="1:48" ht="15.75" customHeight="1">
      <c r="A202" s="672"/>
      <c r="B202" s="672"/>
      <c r="C202" s="672"/>
      <c r="D202" s="672"/>
      <c r="E202" s="672"/>
      <c r="F202" s="672"/>
      <c r="G202" s="672"/>
      <c r="H202" s="672"/>
      <c r="I202" s="672"/>
      <c r="J202" s="672"/>
      <c r="K202" s="672"/>
      <c r="L202" s="672"/>
      <c r="M202" s="672"/>
      <c r="N202" s="672"/>
      <c r="O202" s="672"/>
      <c r="P202" s="672"/>
      <c r="Q202" s="672"/>
      <c r="R202" s="672"/>
      <c r="S202" s="672"/>
      <c r="T202" s="672"/>
      <c r="U202" s="672"/>
      <c r="V202" s="672"/>
      <c r="W202" s="672"/>
      <c r="X202" s="672"/>
      <c r="Y202" s="672"/>
      <c r="Z202" s="672"/>
      <c r="AA202" s="672"/>
      <c r="AB202" s="672"/>
      <c r="AC202" s="672"/>
      <c r="AD202" s="672"/>
      <c r="AE202" s="672"/>
      <c r="AF202" s="672"/>
      <c r="AG202" s="672"/>
      <c r="AH202" s="672"/>
      <c r="AI202" s="672"/>
      <c r="AJ202" s="672"/>
      <c r="AK202" s="672"/>
      <c r="AL202" s="672"/>
      <c r="AM202" s="672"/>
      <c r="AN202" s="672"/>
      <c r="AO202" s="672"/>
      <c r="AP202" s="672"/>
      <c r="AQ202" s="672"/>
      <c r="AR202" s="672"/>
      <c r="AS202" s="672"/>
      <c r="AT202" s="672"/>
      <c r="AU202" s="672"/>
      <c r="AV202" s="672"/>
    </row>
    <row r="203" spans="1:48" ht="15.75" customHeight="1">
      <c r="A203" s="672"/>
      <c r="B203" s="672"/>
      <c r="C203" s="672"/>
      <c r="D203" s="672"/>
      <c r="E203" s="672"/>
      <c r="F203" s="672"/>
      <c r="G203" s="672"/>
      <c r="H203" s="672"/>
      <c r="I203" s="672"/>
      <c r="J203" s="672"/>
      <c r="K203" s="672"/>
      <c r="L203" s="672"/>
      <c r="M203" s="672"/>
      <c r="N203" s="672"/>
      <c r="O203" s="672"/>
      <c r="P203" s="672"/>
      <c r="Q203" s="672"/>
      <c r="R203" s="672"/>
      <c r="S203" s="672"/>
      <c r="T203" s="672"/>
      <c r="U203" s="672"/>
      <c r="V203" s="672"/>
      <c r="W203" s="672"/>
      <c r="X203" s="672"/>
      <c r="Y203" s="672"/>
      <c r="Z203" s="672"/>
      <c r="AA203" s="672"/>
      <c r="AB203" s="672"/>
      <c r="AC203" s="672"/>
      <c r="AD203" s="672"/>
      <c r="AE203" s="672"/>
      <c r="AF203" s="672"/>
      <c r="AG203" s="672"/>
      <c r="AH203" s="672"/>
      <c r="AI203" s="672"/>
      <c r="AJ203" s="672"/>
      <c r="AK203" s="672"/>
      <c r="AL203" s="672"/>
      <c r="AM203" s="672"/>
      <c r="AN203" s="672"/>
      <c r="AO203" s="672"/>
      <c r="AP203" s="672"/>
      <c r="AQ203" s="672"/>
      <c r="AR203" s="672"/>
      <c r="AS203" s="672"/>
      <c r="AT203" s="672"/>
      <c r="AU203" s="672"/>
      <c r="AV203" s="672"/>
    </row>
    <row r="204" spans="1:48" ht="15.75" customHeight="1">
      <c r="A204" s="672"/>
      <c r="B204" s="672"/>
      <c r="C204" s="672"/>
      <c r="D204" s="672"/>
      <c r="E204" s="672"/>
      <c r="F204" s="672"/>
      <c r="G204" s="672"/>
      <c r="H204" s="672"/>
      <c r="I204" s="672"/>
      <c r="J204" s="672"/>
      <c r="K204" s="672"/>
      <c r="L204" s="672"/>
      <c r="M204" s="672"/>
      <c r="N204" s="672"/>
      <c r="O204" s="672"/>
      <c r="P204" s="672"/>
      <c r="Q204" s="672"/>
      <c r="R204" s="672"/>
      <c r="S204" s="672"/>
      <c r="T204" s="672"/>
      <c r="U204" s="672"/>
      <c r="V204" s="672"/>
      <c r="W204" s="672"/>
      <c r="X204" s="672"/>
      <c r="Y204" s="672"/>
      <c r="Z204" s="672"/>
      <c r="AA204" s="672"/>
      <c r="AB204" s="672"/>
      <c r="AC204" s="672"/>
      <c r="AD204" s="672"/>
      <c r="AE204" s="672"/>
      <c r="AF204" s="672"/>
      <c r="AG204" s="672"/>
      <c r="AH204" s="672"/>
      <c r="AI204" s="672"/>
      <c r="AJ204" s="672"/>
      <c r="AK204" s="672"/>
      <c r="AL204" s="672"/>
      <c r="AM204" s="672"/>
      <c r="AN204" s="672"/>
      <c r="AO204" s="672"/>
      <c r="AP204" s="672"/>
      <c r="AQ204" s="672"/>
      <c r="AR204" s="672"/>
      <c r="AS204" s="672"/>
      <c r="AT204" s="672"/>
      <c r="AU204" s="672"/>
      <c r="AV204" s="672"/>
    </row>
    <row r="205" spans="1:48" ht="15.75" customHeight="1">
      <c r="A205" s="672"/>
      <c r="B205" s="672"/>
      <c r="C205" s="672"/>
      <c r="D205" s="672"/>
      <c r="E205" s="672"/>
      <c r="F205" s="672"/>
      <c r="G205" s="672"/>
      <c r="H205" s="672"/>
      <c r="I205" s="672"/>
      <c r="J205" s="672"/>
      <c r="K205" s="672"/>
      <c r="L205" s="672"/>
      <c r="M205" s="672"/>
      <c r="N205" s="672"/>
      <c r="O205" s="672"/>
      <c r="P205" s="672"/>
      <c r="Q205" s="672"/>
      <c r="R205" s="672"/>
      <c r="S205" s="672"/>
      <c r="T205" s="672"/>
      <c r="U205" s="672"/>
      <c r="V205" s="672"/>
      <c r="W205" s="672"/>
      <c r="X205" s="672"/>
      <c r="Y205" s="672"/>
      <c r="Z205" s="672"/>
      <c r="AA205" s="672"/>
      <c r="AB205" s="672"/>
      <c r="AC205" s="672"/>
      <c r="AD205" s="672"/>
      <c r="AE205" s="672"/>
      <c r="AF205" s="672"/>
      <c r="AG205" s="672"/>
      <c r="AH205" s="672"/>
      <c r="AI205" s="672"/>
      <c r="AJ205" s="672"/>
      <c r="AK205" s="672"/>
      <c r="AL205" s="672"/>
      <c r="AM205" s="672"/>
      <c r="AN205" s="672"/>
      <c r="AO205" s="672"/>
      <c r="AP205" s="672"/>
      <c r="AQ205" s="672"/>
      <c r="AR205" s="672"/>
      <c r="AS205" s="672"/>
      <c r="AT205" s="672"/>
      <c r="AU205" s="672"/>
      <c r="AV205" s="672"/>
    </row>
    <row r="206" spans="1:48" ht="15.75" customHeight="1">
      <c r="A206" s="672"/>
      <c r="B206" s="672"/>
      <c r="C206" s="672"/>
      <c r="D206" s="672"/>
      <c r="E206" s="672"/>
      <c r="F206" s="672"/>
      <c r="G206" s="672"/>
      <c r="H206" s="672"/>
      <c r="I206" s="672"/>
      <c r="J206" s="672"/>
      <c r="K206" s="672"/>
      <c r="L206" s="672"/>
      <c r="M206" s="672"/>
      <c r="N206" s="672"/>
      <c r="O206" s="672"/>
      <c r="P206" s="672"/>
      <c r="Q206" s="672"/>
      <c r="R206" s="672"/>
      <c r="S206" s="672"/>
      <c r="T206" s="672"/>
      <c r="U206" s="672"/>
      <c r="V206" s="672"/>
      <c r="W206" s="672"/>
      <c r="X206" s="672"/>
      <c r="Y206" s="672"/>
      <c r="Z206" s="672"/>
      <c r="AA206" s="672"/>
      <c r="AB206" s="672"/>
      <c r="AC206" s="672"/>
      <c r="AD206" s="672"/>
      <c r="AE206" s="672"/>
      <c r="AF206" s="672"/>
      <c r="AG206" s="672"/>
      <c r="AH206" s="672"/>
      <c r="AI206" s="672"/>
      <c r="AJ206" s="672"/>
      <c r="AK206" s="672"/>
      <c r="AL206" s="672"/>
      <c r="AM206" s="672"/>
      <c r="AN206" s="672"/>
      <c r="AO206" s="672"/>
      <c r="AP206" s="672"/>
      <c r="AQ206" s="672"/>
      <c r="AR206" s="672"/>
      <c r="AS206" s="672"/>
      <c r="AT206" s="672"/>
      <c r="AU206" s="672"/>
      <c r="AV206" s="672"/>
    </row>
    <row r="207" spans="1:48" ht="15.75" customHeight="1">
      <c r="A207" s="672"/>
      <c r="B207" s="672"/>
      <c r="C207" s="672"/>
      <c r="D207" s="672"/>
      <c r="E207" s="672"/>
      <c r="F207" s="672"/>
      <c r="G207" s="672"/>
      <c r="H207" s="672"/>
      <c r="I207" s="672"/>
      <c r="J207" s="672"/>
      <c r="K207" s="672"/>
      <c r="L207" s="672"/>
      <c r="M207" s="672"/>
      <c r="N207" s="672"/>
      <c r="O207" s="672"/>
      <c r="P207" s="672"/>
      <c r="Q207" s="672"/>
      <c r="R207" s="672"/>
      <c r="S207" s="672"/>
      <c r="T207" s="672"/>
      <c r="U207" s="672"/>
      <c r="V207" s="672"/>
      <c r="W207" s="672"/>
      <c r="X207" s="672"/>
      <c r="Y207" s="672"/>
      <c r="Z207" s="672"/>
      <c r="AA207" s="672"/>
      <c r="AB207" s="672"/>
      <c r="AC207" s="672"/>
      <c r="AD207" s="672"/>
      <c r="AE207" s="672"/>
      <c r="AF207" s="672"/>
      <c r="AG207" s="672"/>
      <c r="AH207" s="672"/>
      <c r="AI207" s="672"/>
      <c r="AJ207" s="672"/>
      <c r="AK207" s="672"/>
      <c r="AL207" s="672"/>
      <c r="AM207" s="672"/>
      <c r="AN207" s="672"/>
      <c r="AO207" s="672"/>
      <c r="AP207" s="672"/>
      <c r="AQ207" s="672"/>
      <c r="AR207" s="672"/>
      <c r="AS207" s="672"/>
      <c r="AT207" s="672"/>
      <c r="AU207" s="672"/>
      <c r="AV207" s="672"/>
    </row>
    <row r="208" spans="1:48" ht="15.75" customHeight="1">
      <c r="A208" s="672"/>
      <c r="B208" s="672"/>
      <c r="C208" s="672"/>
      <c r="D208" s="672"/>
      <c r="E208" s="672"/>
      <c r="F208" s="672"/>
      <c r="G208" s="672"/>
      <c r="H208" s="672"/>
      <c r="I208" s="672"/>
      <c r="J208" s="672"/>
      <c r="K208" s="672"/>
      <c r="L208" s="672"/>
      <c r="M208" s="672"/>
      <c r="N208" s="672"/>
      <c r="O208" s="672"/>
      <c r="P208" s="672"/>
      <c r="Q208" s="672"/>
      <c r="R208" s="672"/>
      <c r="S208" s="672"/>
      <c r="T208" s="672"/>
      <c r="U208" s="672"/>
      <c r="V208" s="672"/>
      <c r="W208" s="672"/>
      <c r="X208" s="672"/>
      <c r="Y208" s="672"/>
      <c r="Z208" s="672"/>
      <c r="AA208" s="672"/>
      <c r="AB208" s="672"/>
      <c r="AC208" s="672"/>
      <c r="AD208" s="672"/>
      <c r="AE208" s="672"/>
      <c r="AF208" s="672"/>
      <c r="AG208" s="672"/>
      <c r="AH208" s="672"/>
      <c r="AI208" s="672"/>
      <c r="AJ208" s="672"/>
      <c r="AK208" s="672"/>
      <c r="AL208" s="672"/>
      <c r="AM208" s="672"/>
      <c r="AN208" s="672"/>
      <c r="AO208" s="672"/>
      <c r="AP208" s="672"/>
      <c r="AQ208" s="672"/>
      <c r="AR208" s="672"/>
      <c r="AS208" s="672"/>
      <c r="AT208" s="672"/>
      <c r="AU208" s="672"/>
      <c r="AV208" s="672"/>
    </row>
    <row r="209" spans="1:48" ht="15.75" customHeight="1">
      <c r="A209" s="672"/>
      <c r="B209" s="672"/>
      <c r="C209" s="672"/>
      <c r="D209" s="672"/>
      <c r="E209" s="672"/>
      <c r="F209" s="672"/>
      <c r="G209" s="672"/>
      <c r="H209" s="672"/>
      <c r="I209" s="672"/>
      <c r="J209" s="672"/>
      <c r="K209" s="672"/>
      <c r="L209" s="672"/>
      <c r="M209" s="672"/>
      <c r="N209" s="672"/>
      <c r="O209" s="672"/>
      <c r="P209" s="672"/>
      <c r="Q209" s="672"/>
      <c r="R209" s="672"/>
      <c r="S209" s="672"/>
      <c r="T209" s="672"/>
      <c r="U209" s="672"/>
      <c r="V209" s="672"/>
      <c r="W209" s="672"/>
      <c r="X209" s="672"/>
      <c r="Y209" s="672"/>
      <c r="Z209" s="672"/>
      <c r="AA209" s="672"/>
      <c r="AB209" s="672"/>
      <c r="AC209" s="672"/>
      <c r="AD209" s="672"/>
      <c r="AE209" s="672"/>
      <c r="AF209" s="672"/>
      <c r="AG209" s="672"/>
      <c r="AH209" s="672"/>
      <c r="AI209" s="672"/>
      <c r="AJ209" s="672"/>
      <c r="AK209" s="672"/>
      <c r="AL209" s="672"/>
      <c r="AM209" s="672"/>
      <c r="AN209" s="672"/>
      <c r="AO209" s="672"/>
      <c r="AP209" s="672"/>
      <c r="AQ209" s="672"/>
      <c r="AR209" s="672"/>
      <c r="AS209" s="672"/>
      <c r="AT209" s="672"/>
      <c r="AU209" s="672"/>
      <c r="AV209" s="672"/>
    </row>
    <row r="210" spans="1:48" ht="15.75" customHeight="1">
      <c r="A210" s="672"/>
      <c r="B210" s="672"/>
      <c r="C210" s="672"/>
      <c r="D210" s="672"/>
      <c r="E210" s="672"/>
      <c r="F210" s="672"/>
      <c r="G210" s="672"/>
      <c r="H210" s="672"/>
      <c r="I210" s="672"/>
      <c r="J210" s="672"/>
      <c r="K210" s="672"/>
      <c r="L210" s="672"/>
      <c r="M210" s="672"/>
      <c r="N210" s="672"/>
      <c r="O210" s="672"/>
      <c r="P210" s="672"/>
      <c r="Q210" s="672"/>
      <c r="R210" s="672"/>
      <c r="S210" s="672"/>
      <c r="T210" s="672"/>
      <c r="U210" s="672"/>
      <c r="V210" s="672"/>
      <c r="W210" s="672"/>
      <c r="X210" s="672"/>
      <c r="Y210" s="672"/>
      <c r="Z210" s="672"/>
      <c r="AA210" s="672"/>
      <c r="AB210" s="672"/>
      <c r="AC210" s="672"/>
      <c r="AD210" s="672"/>
      <c r="AE210" s="672"/>
      <c r="AF210" s="672"/>
      <c r="AG210" s="672"/>
      <c r="AH210" s="672"/>
      <c r="AI210" s="672"/>
      <c r="AJ210" s="672"/>
      <c r="AK210" s="672"/>
      <c r="AL210" s="672"/>
      <c r="AM210" s="672"/>
      <c r="AN210" s="672"/>
      <c r="AO210" s="672"/>
      <c r="AP210" s="672"/>
      <c r="AQ210" s="672"/>
      <c r="AR210" s="672"/>
      <c r="AS210" s="672"/>
      <c r="AT210" s="672"/>
      <c r="AU210" s="672"/>
      <c r="AV210" s="672"/>
    </row>
    <row r="211" spans="1:48" ht="15.75" customHeight="1">
      <c r="A211" s="672"/>
      <c r="B211" s="672"/>
      <c r="C211" s="672"/>
      <c r="D211" s="672"/>
      <c r="E211" s="672"/>
      <c r="F211" s="672"/>
      <c r="G211" s="672"/>
      <c r="H211" s="672"/>
      <c r="I211" s="672"/>
      <c r="J211" s="672"/>
      <c r="K211" s="672"/>
      <c r="L211" s="672"/>
      <c r="M211" s="672"/>
      <c r="N211" s="672"/>
      <c r="O211" s="672"/>
      <c r="P211" s="672"/>
      <c r="Q211" s="672"/>
      <c r="R211" s="672"/>
      <c r="S211" s="672"/>
      <c r="T211" s="672"/>
      <c r="U211" s="672"/>
      <c r="V211" s="672"/>
      <c r="W211" s="672"/>
      <c r="X211" s="672"/>
      <c r="Y211" s="672"/>
      <c r="Z211" s="672"/>
      <c r="AA211" s="672"/>
      <c r="AB211" s="672"/>
      <c r="AC211" s="672"/>
      <c r="AD211" s="672"/>
      <c r="AE211" s="672"/>
      <c r="AF211" s="672"/>
      <c r="AG211" s="672"/>
      <c r="AH211" s="672"/>
      <c r="AI211" s="672"/>
      <c r="AJ211" s="672"/>
      <c r="AK211" s="672"/>
      <c r="AL211" s="672"/>
      <c r="AM211" s="672"/>
      <c r="AN211" s="672"/>
      <c r="AO211" s="672"/>
      <c r="AP211" s="672"/>
      <c r="AQ211" s="672"/>
      <c r="AR211" s="672"/>
      <c r="AS211" s="672"/>
      <c r="AT211" s="672"/>
      <c r="AU211" s="672"/>
      <c r="AV211" s="672"/>
    </row>
    <row r="212" spans="1:48" ht="15.75" customHeight="1">
      <c r="A212" s="672"/>
      <c r="B212" s="672"/>
      <c r="C212" s="672"/>
      <c r="D212" s="672"/>
      <c r="E212" s="672"/>
      <c r="F212" s="672"/>
      <c r="G212" s="672"/>
      <c r="H212" s="672"/>
      <c r="I212" s="672"/>
      <c r="J212" s="672"/>
      <c r="K212" s="672"/>
      <c r="L212" s="672"/>
      <c r="M212" s="672"/>
      <c r="N212" s="672"/>
      <c r="O212" s="672"/>
      <c r="P212" s="672"/>
      <c r="Q212" s="672"/>
      <c r="R212" s="672"/>
      <c r="S212" s="672"/>
      <c r="T212" s="672"/>
      <c r="U212" s="672"/>
      <c r="V212" s="672"/>
      <c r="W212" s="672"/>
      <c r="X212" s="672"/>
      <c r="Y212" s="672"/>
      <c r="Z212" s="672"/>
      <c r="AA212" s="672"/>
      <c r="AB212" s="672"/>
      <c r="AC212" s="672"/>
      <c r="AD212" s="672"/>
      <c r="AE212" s="672"/>
      <c r="AF212" s="672"/>
      <c r="AG212" s="672"/>
      <c r="AH212" s="672"/>
      <c r="AI212" s="672"/>
      <c r="AJ212" s="672"/>
      <c r="AK212" s="672"/>
      <c r="AL212" s="672"/>
      <c r="AM212" s="672"/>
      <c r="AN212" s="672"/>
      <c r="AO212" s="672"/>
      <c r="AP212" s="672"/>
      <c r="AQ212" s="672"/>
      <c r="AR212" s="672"/>
      <c r="AS212" s="672"/>
      <c r="AT212" s="672"/>
      <c r="AU212" s="672"/>
      <c r="AV212" s="672"/>
    </row>
    <row r="213" spans="1:48" ht="15.75" customHeight="1">
      <c r="A213" s="672"/>
      <c r="B213" s="672"/>
      <c r="C213" s="672"/>
      <c r="D213" s="672"/>
      <c r="E213" s="672"/>
      <c r="F213" s="672"/>
      <c r="G213" s="672"/>
      <c r="H213" s="672"/>
      <c r="I213" s="672"/>
      <c r="J213" s="672"/>
      <c r="K213" s="672"/>
      <c r="L213" s="672"/>
      <c r="M213" s="672"/>
      <c r="N213" s="672"/>
      <c r="O213" s="672"/>
      <c r="P213" s="672"/>
      <c r="Q213" s="672"/>
      <c r="R213" s="672"/>
      <c r="S213" s="672"/>
      <c r="T213" s="672"/>
      <c r="U213" s="672"/>
      <c r="V213" s="672"/>
      <c r="W213" s="672"/>
      <c r="X213" s="672"/>
      <c r="Y213" s="672"/>
      <c r="Z213" s="672"/>
      <c r="AA213" s="672"/>
      <c r="AB213" s="672"/>
      <c r="AC213" s="672"/>
      <c r="AD213" s="672"/>
      <c r="AE213" s="672"/>
      <c r="AF213" s="672"/>
      <c r="AG213" s="672"/>
      <c r="AH213" s="672"/>
      <c r="AI213" s="672"/>
      <c r="AJ213" s="672"/>
      <c r="AK213" s="672"/>
      <c r="AL213" s="672"/>
      <c r="AM213" s="672"/>
      <c r="AN213" s="672"/>
      <c r="AO213" s="672"/>
      <c r="AP213" s="672"/>
      <c r="AQ213" s="672"/>
      <c r="AR213" s="672"/>
      <c r="AS213" s="672"/>
      <c r="AT213" s="672"/>
      <c r="AU213" s="672"/>
      <c r="AV213" s="672"/>
    </row>
    <row r="214" spans="1:48" ht="15.75" customHeight="1">
      <c r="A214" s="672"/>
      <c r="B214" s="672"/>
      <c r="C214" s="672"/>
      <c r="D214" s="672"/>
      <c r="E214" s="672"/>
      <c r="F214" s="672"/>
      <c r="G214" s="672"/>
      <c r="H214" s="672"/>
      <c r="I214" s="672"/>
      <c r="J214" s="672"/>
      <c r="K214" s="672"/>
      <c r="L214" s="672"/>
      <c r="M214" s="672"/>
      <c r="N214" s="672"/>
      <c r="O214" s="672"/>
      <c r="P214" s="672"/>
      <c r="Q214" s="672"/>
      <c r="R214" s="672"/>
      <c r="S214" s="672"/>
      <c r="T214" s="672"/>
      <c r="U214" s="672"/>
      <c r="V214" s="672"/>
      <c r="W214" s="672"/>
      <c r="X214" s="672"/>
      <c r="Y214" s="672"/>
      <c r="Z214" s="672"/>
      <c r="AA214" s="672"/>
      <c r="AB214" s="672"/>
      <c r="AC214" s="672"/>
      <c r="AD214" s="672"/>
      <c r="AE214" s="672"/>
      <c r="AF214" s="672"/>
      <c r="AG214" s="672"/>
      <c r="AH214" s="672"/>
      <c r="AI214" s="672"/>
      <c r="AJ214" s="672"/>
      <c r="AK214" s="672"/>
      <c r="AL214" s="672"/>
      <c r="AM214" s="672"/>
      <c r="AN214" s="672"/>
      <c r="AO214" s="672"/>
      <c r="AP214" s="672"/>
      <c r="AQ214" s="672"/>
      <c r="AR214" s="672"/>
      <c r="AS214" s="672"/>
      <c r="AT214" s="672"/>
      <c r="AU214" s="672"/>
      <c r="AV214" s="672"/>
    </row>
    <row r="215" spans="1:48" ht="15.75" customHeight="1">
      <c r="A215" s="672"/>
      <c r="B215" s="672"/>
      <c r="C215" s="672"/>
      <c r="D215" s="672"/>
      <c r="E215" s="672"/>
      <c r="F215" s="672"/>
      <c r="G215" s="672"/>
      <c r="H215" s="672"/>
      <c r="I215" s="672"/>
      <c r="J215" s="672"/>
      <c r="K215" s="672"/>
      <c r="L215" s="672"/>
      <c r="M215" s="672"/>
      <c r="N215" s="672"/>
      <c r="O215" s="672"/>
      <c r="P215" s="672"/>
      <c r="Q215" s="672"/>
      <c r="R215" s="672"/>
      <c r="S215" s="672"/>
      <c r="T215" s="672"/>
      <c r="U215" s="672"/>
      <c r="V215" s="672"/>
      <c r="W215" s="672"/>
      <c r="X215" s="672"/>
      <c r="Y215" s="672"/>
      <c r="Z215" s="672"/>
      <c r="AA215" s="672"/>
      <c r="AB215" s="672"/>
      <c r="AC215" s="672"/>
      <c r="AD215" s="672"/>
      <c r="AE215" s="672"/>
      <c r="AF215" s="672"/>
      <c r="AG215" s="672"/>
      <c r="AH215" s="672"/>
      <c r="AI215" s="672"/>
      <c r="AJ215" s="672"/>
      <c r="AK215" s="672"/>
      <c r="AL215" s="672"/>
      <c r="AM215" s="672"/>
      <c r="AN215" s="672"/>
      <c r="AO215" s="672"/>
      <c r="AP215" s="672"/>
      <c r="AQ215" s="672"/>
      <c r="AR215" s="672"/>
      <c r="AS215" s="672"/>
      <c r="AT215" s="672"/>
      <c r="AU215" s="672"/>
      <c r="AV215" s="672"/>
    </row>
    <row r="216" spans="1:48" ht="15.75" customHeight="1">
      <c r="A216" s="672"/>
      <c r="B216" s="672"/>
      <c r="C216" s="672"/>
      <c r="D216" s="672"/>
      <c r="E216" s="672"/>
      <c r="F216" s="672"/>
      <c r="G216" s="672"/>
      <c r="H216" s="672"/>
      <c r="I216" s="672"/>
      <c r="J216" s="672"/>
      <c r="K216" s="672"/>
      <c r="L216" s="672"/>
      <c r="M216" s="672"/>
      <c r="N216" s="672"/>
      <c r="O216" s="672"/>
      <c r="P216" s="672"/>
      <c r="Q216" s="672"/>
      <c r="R216" s="672"/>
      <c r="S216" s="672"/>
      <c r="T216" s="672"/>
      <c r="U216" s="672"/>
      <c r="V216" s="672"/>
      <c r="W216" s="672"/>
      <c r="X216" s="672"/>
      <c r="Y216" s="672"/>
      <c r="Z216" s="672"/>
      <c r="AA216" s="672"/>
      <c r="AB216" s="672"/>
      <c r="AC216" s="672"/>
      <c r="AD216" s="672"/>
      <c r="AE216" s="672"/>
      <c r="AF216" s="672"/>
      <c r="AG216" s="672"/>
      <c r="AH216" s="672"/>
      <c r="AI216" s="672"/>
      <c r="AJ216" s="672"/>
      <c r="AK216" s="672"/>
      <c r="AL216" s="672"/>
      <c r="AM216" s="672"/>
      <c r="AN216" s="672"/>
      <c r="AO216" s="672"/>
      <c r="AP216" s="672"/>
      <c r="AQ216" s="672"/>
      <c r="AR216" s="672"/>
      <c r="AS216" s="672"/>
      <c r="AT216" s="672"/>
      <c r="AU216" s="672"/>
      <c r="AV216" s="672"/>
    </row>
    <row r="217" spans="1:48" ht="15.75" customHeight="1">
      <c r="A217" s="672"/>
      <c r="B217" s="672"/>
      <c r="C217" s="672"/>
      <c r="D217" s="672"/>
      <c r="E217" s="672"/>
      <c r="F217" s="672"/>
      <c r="G217" s="672"/>
      <c r="H217" s="672"/>
      <c r="I217" s="672"/>
      <c r="J217" s="672"/>
      <c r="K217" s="672"/>
      <c r="L217" s="672"/>
      <c r="M217" s="672"/>
      <c r="N217" s="672"/>
      <c r="O217" s="672"/>
      <c r="P217" s="672"/>
      <c r="Q217" s="672"/>
      <c r="R217" s="672"/>
      <c r="S217" s="672"/>
      <c r="T217" s="672"/>
      <c r="U217" s="672"/>
      <c r="V217" s="672"/>
      <c r="W217" s="672"/>
      <c r="X217" s="672"/>
      <c r="Y217" s="672"/>
      <c r="Z217" s="672"/>
      <c r="AA217" s="672"/>
      <c r="AB217" s="672"/>
      <c r="AC217" s="672"/>
      <c r="AD217" s="672"/>
      <c r="AE217" s="672"/>
      <c r="AF217" s="672"/>
      <c r="AG217" s="672"/>
      <c r="AH217" s="672"/>
      <c r="AI217" s="672"/>
      <c r="AJ217" s="672"/>
      <c r="AK217" s="672"/>
      <c r="AL217" s="672"/>
      <c r="AM217" s="672"/>
      <c r="AN217" s="672"/>
      <c r="AO217" s="672"/>
      <c r="AP217" s="672"/>
      <c r="AQ217" s="672"/>
      <c r="AR217" s="672"/>
      <c r="AS217" s="672"/>
      <c r="AT217" s="672"/>
      <c r="AU217" s="672"/>
      <c r="AV217" s="672"/>
    </row>
    <row r="218" spans="1:48" ht="15.75" customHeight="1">
      <c r="A218" s="672"/>
      <c r="B218" s="672"/>
      <c r="C218" s="672"/>
      <c r="D218" s="672"/>
      <c r="E218" s="672"/>
      <c r="F218" s="672"/>
      <c r="G218" s="672"/>
      <c r="H218" s="672"/>
      <c r="I218" s="672"/>
      <c r="J218" s="672"/>
      <c r="K218" s="672"/>
      <c r="L218" s="672"/>
      <c r="M218" s="672"/>
      <c r="N218" s="672"/>
      <c r="O218" s="672"/>
      <c r="P218" s="672"/>
      <c r="Q218" s="672"/>
      <c r="R218" s="672"/>
      <c r="S218" s="672"/>
      <c r="T218" s="672"/>
      <c r="U218" s="672"/>
      <c r="V218" s="672"/>
      <c r="W218" s="672"/>
      <c r="X218" s="672"/>
      <c r="Y218" s="672"/>
      <c r="Z218" s="672"/>
      <c r="AA218" s="672"/>
      <c r="AB218" s="672"/>
      <c r="AC218" s="672"/>
      <c r="AD218" s="672"/>
      <c r="AE218" s="672"/>
      <c r="AF218" s="672"/>
      <c r="AG218" s="672"/>
      <c r="AH218" s="672"/>
      <c r="AI218" s="672"/>
      <c r="AJ218" s="672"/>
      <c r="AK218" s="672"/>
      <c r="AL218" s="672"/>
      <c r="AM218" s="672"/>
      <c r="AN218" s="672"/>
      <c r="AO218" s="672"/>
      <c r="AP218" s="672"/>
      <c r="AQ218" s="672"/>
      <c r="AR218" s="672"/>
      <c r="AS218" s="672"/>
      <c r="AT218" s="672"/>
      <c r="AU218" s="672"/>
      <c r="AV218" s="672"/>
    </row>
    <row r="219" spans="1:48" ht="15.75" customHeight="1">
      <c r="A219" s="672"/>
      <c r="B219" s="672"/>
      <c r="C219" s="672"/>
      <c r="D219" s="672"/>
      <c r="E219" s="672"/>
      <c r="F219" s="672"/>
      <c r="G219" s="672"/>
      <c r="H219" s="672"/>
      <c r="I219" s="672"/>
      <c r="J219" s="672"/>
      <c r="K219" s="672"/>
      <c r="L219" s="672"/>
      <c r="M219" s="672"/>
      <c r="N219" s="672"/>
      <c r="O219" s="672"/>
      <c r="P219" s="672"/>
      <c r="Q219" s="672"/>
      <c r="R219" s="672"/>
      <c r="S219" s="672"/>
      <c r="T219" s="672"/>
      <c r="U219" s="672"/>
      <c r="V219" s="672"/>
      <c r="W219" s="672"/>
      <c r="X219" s="672"/>
      <c r="Y219" s="672"/>
      <c r="Z219" s="672"/>
      <c r="AA219" s="672"/>
      <c r="AB219" s="672"/>
      <c r="AC219" s="672"/>
      <c r="AD219" s="672"/>
      <c r="AE219" s="672"/>
      <c r="AF219" s="672"/>
      <c r="AG219" s="672"/>
      <c r="AH219" s="672"/>
      <c r="AI219" s="672"/>
      <c r="AJ219" s="672"/>
      <c r="AK219" s="672"/>
      <c r="AL219" s="672"/>
      <c r="AM219" s="672"/>
      <c r="AN219" s="672"/>
      <c r="AO219" s="672"/>
      <c r="AP219" s="672"/>
      <c r="AQ219" s="672"/>
      <c r="AR219" s="672"/>
      <c r="AS219" s="672"/>
      <c r="AT219" s="672"/>
      <c r="AU219" s="672"/>
      <c r="AV219" s="672"/>
    </row>
    <row r="220" spans="1:48" ht="15.75" customHeight="1">
      <c r="A220" s="672"/>
      <c r="B220" s="672"/>
      <c r="C220" s="672"/>
      <c r="D220" s="672"/>
      <c r="E220" s="672"/>
      <c r="F220" s="672"/>
      <c r="G220" s="672"/>
      <c r="H220" s="672"/>
      <c r="I220" s="672"/>
      <c r="J220" s="672"/>
      <c r="K220" s="672"/>
      <c r="L220" s="672"/>
      <c r="M220" s="672"/>
      <c r="N220" s="672"/>
      <c r="O220" s="672"/>
      <c r="P220" s="672"/>
      <c r="Q220" s="672"/>
      <c r="R220" s="672"/>
      <c r="S220" s="672"/>
      <c r="T220" s="672"/>
      <c r="U220" s="672"/>
      <c r="V220" s="672"/>
      <c r="W220" s="672"/>
      <c r="X220" s="672"/>
      <c r="Y220" s="672"/>
      <c r="Z220" s="672"/>
      <c r="AA220" s="672"/>
      <c r="AB220" s="672"/>
      <c r="AC220" s="672"/>
      <c r="AD220" s="672"/>
      <c r="AE220" s="672"/>
      <c r="AF220" s="672"/>
      <c r="AG220" s="672"/>
      <c r="AH220" s="672"/>
      <c r="AI220" s="672"/>
      <c r="AJ220" s="672"/>
      <c r="AK220" s="672"/>
      <c r="AL220" s="672"/>
      <c r="AM220" s="672"/>
      <c r="AN220" s="672"/>
      <c r="AO220" s="672"/>
      <c r="AP220" s="672"/>
      <c r="AQ220" s="672"/>
      <c r="AR220" s="672"/>
      <c r="AS220" s="672"/>
      <c r="AT220" s="672"/>
      <c r="AU220" s="672"/>
      <c r="AV220" s="672"/>
    </row>
    <row r="221" spans="1:48" ht="15.75" customHeight="1">
      <c r="A221" s="672"/>
      <c r="B221" s="672"/>
      <c r="C221" s="672"/>
      <c r="D221" s="672"/>
      <c r="E221" s="672"/>
      <c r="F221" s="672"/>
      <c r="G221" s="672"/>
      <c r="H221" s="672"/>
      <c r="I221" s="672"/>
      <c r="J221" s="672"/>
      <c r="K221" s="672"/>
      <c r="L221" s="672"/>
      <c r="M221" s="672"/>
      <c r="N221" s="672"/>
      <c r="O221" s="672"/>
      <c r="P221" s="672"/>
      <c r="Q221" s="672"/>
      <c r="R221" s="672"/>
      <c r="S221" s="672"/>
      <c r="T221" s="672"/>
      <c r="U221" s="672"/>
      <c r="V221" s="672"/>
      <c r="W221" s="672"/>
      <c r="X221" s="672"/>
      <c r="Y221" s="672"/>
      <c r="Z221" s="672"/>
      <c r="AA221" s="672"/>
      <c r="AB221" s="672"/>
      <c r="AC221" s="672"/>
      <c r="AD221" s="672"/>
      <c r="AE221" s="672"/>
      <c r="AF221" s="672"/>
      <c r="AG221" s="672"/>
      <c r="AH221" s="672"/>
      <c r="AI221" s="672"/>
      <c r="AJ221" s="672"/>
      <c r="AK221" s="672"/>
      <c r="AL221" s="672"/>
      <c r="AM221" s="672"/>
      <c r="AN221" s="672"/>
      <c r="AO221" s="672"/>
      <c r="AP221" s="672"/>
      <c r="AQ221" s="672"/>
      <c r="AR221" s="672"/>
      <c r="AS221" s="672"/>
      <c r="AT221" s="672"/>
      <c r="AU221" s="672"/>
      <c r="AV221" s="672"/>
    </row>
    <row r="222" spans="1:48" ht="15.75" customHeight="1">
      <c r="A222" s="672"/>
      <c r="B222" s="672"/>
      <c r="C222" s="672"/>
      <c r="D222" s="672"/>
      <c r="E222" s="672"/>
      <c r="F222" s="672"/>
      <c r="G222" s="672"/>
      <c r="H222" s="672"/>
      <c r="I222" s="672"/>
      <c r="J222" s="672"/>
      <c r="K222" s="672"/>
      <c r="L222" s="672"/>
      <c r="M222" s="672"/>
      <c r="N222" s="672"/>
      <c r="O222" s="672"/>
      <c r="P222" s="672"/>
      <c r="Q222" s="672"/>
      <c r="R222" s="672"/>
      <c r="S222" s="672"/>
      <c r="T222" s="672"/>
      <c r="U222" s="672"/>
      <c r="V222" s="672"/>
      <c r="W222" s="672"/>
      <c r="X222" s="672"/>
      <c r="Y222" s="672"/>
      <c r="Z222" s="672"/>
      <c r="AA222" s="672"/>
      <c r="AB222" s="672"/>
      <c r="AC222" s="672"/>
      <c r="AD222" s="672"/>
      <c r="AE222" s="672"/>
      <c r="AF222" s="672"/>
      <c r="AG222" s="672"/>
      <c r="AH222" s="672"/>
      <c r="AI222" s="672"/>
      <c r="AJ222" s="672"/>
      <c r="AK222" s="672"/>
      <c r="AL222" s="672"/>
      <c r="AM222" s="672"/>
      <c r="AN222" s="672"/>
      <c r="AO222" s="672"/>
      <c r="AP222" s="672"/>
      <c r="AQ222" s="672"/>
      <c r="AR222" s="672"/>
      <c r="AS222" s="672"/>
      <c r="AT222" s="672"/>
      <c r="AU222" s="672"/>
      <c r="AV222" s="672"/>
    </row>
    <row r="223" spans="1:48" ht="15.75" customHeight="1">
      <c r="A223" s="672"/>
      <c r="B223" s="672"/>
      <c r="C223" s="672"/>
      <c r="D223" s="672"/>
      <c r="E223" s="672"/>
      <c r="F223" s="672"/>
      <c r="G223" s="672"/>
      <c r="H223" s="672"/>
      <c r="I223" s="672"/>
      <c r="J223" s="672"/>
      <c r="K223" s="672"/>
      <c r="L223" s="672"/>
      <c r="M223" s="672"/>
      <c r="N223" s="672"/>
      <c r="O223" s="672"/>
      <c r="P223" s="672"/>
      <c r="Q223" s="672"/>
      <c r="R223" s="672"/>
      <c r="S223" s="672"/>
      <c r="T223" s="672"/>
      <c r="U223" s="672"/>
      <c r="V223" s="672"/>
      <c r="W223" s="672"/>
      <c r="X223" s="672"/>
      <c r="Y223" s="672"/>
      <c r="Z223" s="672"/>
      <c r="AA223" s="672"/>
      <c r="AB223" s="672"/>
      <c r="AC223" s="672"/>
      <c r="AD223" s="672"/>
      <c r="AE223" s="672"/>
      <c r="AF223" s="672"/>
      <c r="AG223" s="672"/>
      <c r="AH223" s="672"/>
      <c r="AI223" s="672"/>
      <c r="AJ223" s="672"/>
      <c r="AK223" s="672"/>
      <c r="AL223" s="672"/>
      <c r="AM223" s="672"/>
      <c r="AN223" s="672"/>
      <c r="AO223" s="672"/>
      <c r="AP223" s="672"/>
      <c r="AQ223" s="672"/>
      <c r="AR223" s="672"/>
      <c r="AS223" s="672"/>
      <c r="AT223" s="672"/>
      <c r="AU223" s="672"/>
      <c r="AV223" s="672"/>
    </row>
    <row r="224" spans="1:48" ht="15.75" customHeight="1">
      <c r="A224" s="672"/>
      <c r="B224" s="672"/>
      <c r="C224" s="672"/>
      <c r="D224" s="672"/>
      <c r="E224" s="672"/>
      <c r="F224" s="672"/>
      <c r="G224" s="672"/>
      <c r="H224" s="672"/>
      <c r="I224" s="672"/>
      <c r="J224" s="672"/>
      <c r="K224" s="672"/>
      <c r="L224" s="672"/>
      <c r="M224" s="672"/>
      <c r="N224" s="672"/>
      <c r="O224" s="672"/>
      <c r="P224" s="672"/>
      <c r="Q224" s="672"/>
      <c r="R224" s="672"/>
      <c r="S224" s="672"/>
      <c r="T224" s="672"/>
      <c r="U224" s="672"/>
      <c r="V224" s="672"/>
      <c r="W224" s="672"/>
      <c r="X224" s="672"/>
      <c r="Y224" s="672"/>
      <c r="Z224" s="672"/>
      <c r="AA224" s="672"/>
      <c r="AB224" s="672"/>
      <c r="AC224" s="672"/>
      <c r="AD224" s="672"/>
      <c r="AE224" s="672"/>
      <c r="AF224" s="672"/>
      <c r="AG224" s="672"/>
      <c r="AH224" s="672"/>
      <c r="AI224" s="672"/>
      <c r="AJ224" s="672"/>
      <c r="AK224" s="672"/>
      <c r="AL224" s="672"/>
      <c r="AM224" s="672"/>
      <c r="AN224" s="672"/>
      <c r="AO224" s="672"/>
      <c r="AP224" s="672"/>
      <c r="AQ224" s="672"/>
      <c r="AR224" s="672"/>
      <c r="AS224" s="672"/>
      <c r="AT224" s="672"/>
      <c r="AU224" s="672"/>
      <c r="AV224" s="672"/>
    </row>
    <row r="225" spans="1:48" ht="15.75" customHeight="1">
      <c r="A225" s="672"/>
      <c r="B225" s="672"/>
      <c r="C225" s="672"/>
      <c r="D225" s="672"/>
      <c r="E225" s="672"/>
      <c r="F225" s="672"/>
      <c r="G225" s="672"/>
      <c r="H225" s="672"/>
      <c r="I225" s="672"/>
      <c r="J225" s="672"/>
      <c r="K225" s="672"/>
      <c r="L225" s="672"/>
      <c r="M225" s="672"/>
      <c r="N225" s="672"/>
      <c r="O225" s="672"/>
      <c r="P225" s="672"/>
      <c r="Q225" s="672"/>
      <c r="R225" s="672"/>
      <c r="S225" s="672"/>
      <c r="T225" s="672"/>
      <c r="U225" s="672"/>
      <c r="V225" s="672"/>
      <c r="W225" s="672"/>
      <c r="X225" s="672"/>
      <c r="Y225" s="672"/>
      <c r="Z225" s="672"/>
      <c r="AA225" s="672"/>
      <c r="AB225" s="672"/>
      <c r="AC225" s="672"/>
      <c r="AD225" s="672"/>
      <c r="AE225" s="672"/>
      <c r="AF225" s="672"/>
      <c r="AG225" s="672"/>
      <c r="AH225" s="672"/>
      <c r="AI225" s="672"/>
      <c r="AJ225" s="672"/>
      <c r="AK225" s="672"/>
      <c r="AL225" s="672"/>
      <c r="AM225" s="672"/>
      <c r="AN225" s="672"/>
      <c r="AO225" s="672"/>
      <c r="AP225" s="672"/>
      <c r="AQ225" s="672"/>
      <c r="AR225" s="672"/>
      <c r="AS225" s="672"/>
      <c r="AT225" s="672"/>
      <c r="AU225" s="672"/>
      <c r="AV225" s="672"/>
    </row>
    <row r="226" spans="1:48" ht="15.75" customHeight="1">
      <c r="A226" s="672"/>
      <c r="B226" s="672"/>
      <c r="C226" s="672"/>
      <c r="D226" s="672"/>
      <c r="E226" s="672"/>
      <c r="F226" s="672"/>
      <c r="G226" s="672"/>
      <c r="H226" s="672"/>
      <c r="I226" s="672"/>
      <c r="J226" s="672"/>
      <c r="K226" s="672"/>
      <c r="L226" s="672"/>
      <c r="M226" s="672"/>
      <c r="N226" s="672"/>
      <c r="O226" s="672"/>
      <c r="P226" s="672"/>
      <c r="Q226" s="672"/>
      <c r="R226" s="672"/>
      <c r="S226" s="672"/>
      <c r="T226" s="672"/>
      <c r="U226" s="672"/>
      <c r="V226" s="672"/>
      <c r="W226" s="672"/>
      <c r="X226" s="672"/>
      <c r="Y226" s="672"/>
      <c r="Z226" s="672"/>
      <c r="AA226" s="672"/>
      <c r="AB226" s="672"/>
      <c r="AC226" s="672"/>
      <c r="AD226" s="672"/>
      <c r="AE226" s="672"/>
      <c r="AF226" s="672"/>
      <c r="AG226" s="672"/>
      <c r="AH226" s="672"/>
      <c r="AI226" s="672"/>
      <c r="AJ226" s="672"/>
      <c r="AK226" s="672"/>
      <c r="AL226" s="672"/>
      <c r="AM226" s="672"/>
      <c r="AN226" s="672"/>
      <c r="AO226" s="672"/>
      <c r="AP226" s="672"/>
      <c r="AQ226" s="672"/>
      <c r="AR226" s="672"/>
      <c r="AS226" s="672"/>
      <c r="AT226" s="672"/>
      <c r="AU226" s="672"/>
      <c r="AV226" s="672"/>
    </row>
    <row r="227" spans="1:48" ht="15.75" customHeight="1">
      <c r="A227" s="672"/>
      <c r="B227" s="672"/>
      <c r="C227" s="672"/>
      <c r="D227" s="672"/>
      <c r="E227" s="672"/>
      <c r="F227" s="672"/>
      <c r="G227" s="672"/>
      <c r="H227" s="672"/>
      <c r="I227" s="672"/>
      <c r="J227" s="672"/>
      <c r="K227" s="672"/>
      <c r="L227" s="672"/>
      <c r="M227" s="672"/>
      <c r="N227" s="672"/>
      <c r="O227" s="672"/>
      <c r="P227" s="672"/>
      <c r="Q227" s="672"/>
      <c r="R227" s="672"/>
      <c r="S227" s="672"/>
      <c r="T227" s="672"/>
      <c r="U227" s="672"/>
      <c r="V227" s="672"/>
      <c r="W227" s="672"/>
      <c r="X227" s="672"/>
      <c r="Y227" s="672"/>
      <c r="Z227" s="672"/>
      <c r="AA227" s="672"/>
      <c r="AB227" s="672"/>
      <c r="AC227" s="672"/>
      <c r="AD227" s="672"/>
      <c r="AE227" s="672"/>
      <c r="AF227" s="672"/>
      <c r="AG227" s="672"/>
      <c r="AH227" s="672"/>
      <c r="AI227" s="672"/>
      <c r="AJ227" s="672"/>
      <c r="AK227" s="672"/>
      <c r="AL227" s="672"/>
      <c r="AM227" s="672"/>
      <c r="AN227" s="672"/>
      <c r="AO227" s="672"/>
      <c r="AP227" s="672"/>
      <c r="AQ227" s="672"/>
      <c r="AR227" s="672"/>
      <c r="AS227" s="672"/>
      <c r="AT227" s="672"/>
      <c r="AU227" s="672"/>
      <c r="AV227" s="672"/>
    </row>
    <row r="228" spans="1:48" ht="15.75" customHeight="1">
      <c r="A228" s="672"/>
      <c r="B228" s="672"/>
      <c r="C228" s="672"/>
      <c r="D228" s="672"/>
      <c r="E228" s="672"/>
      <c r="F228" s="672"/>
      <c r="G228" s="672"/>
      <c r="H228" s="672"/>
      <c r="I228" s="672"/>
      <c r="J228" s="672"/>
      <c r="K228" s="672"/>
      <c r="L228" s="672"/>
      <c r="M228" s="672"/>
      <c r="N228" s="672"/>
      <c r="O228" s="672"/>
      <c r="P228" s="672"/>
      <c r="Q228" s="672"/>
      <c r="R228" s="672"/>
      <c r="S228" s="672"/>
      <c r="T228" s="672"/>
      <c r="U228" s="672"/>
      <c r="V228" s="672"/>
      <c r="W228" s="672"/>
      <c r="X228" s="672"/>
      <c r="Y228" s="672"/>
      <c r="Z228" s="672"/>
      <c r="AA228" s="672"/>
      <c r="AB228" s="672"/>
      <c r="AC228" s="672"/>
      <c r="AD228" s="672"/>
      <c r="AE228" s="672"/>
      <c r="AF228" s="672"/>
      <c r="AG228" s="672"/>
      <c r="AH228" s="672"/>
      <c r="AI228" s="672"/>
      <c r="AJ228" s="672"/>
      <c r="AK228" s="672"/>
      <c r="AL228" s="672"/>
      <c r="AM228" s="672"/>
      <c r="AN228" s="672"/>
      <c r="AO228" s="672"/>
      <c r="AP228" s="672"/>
      <c r="AQ228" s="672"/>
      <c r="AR228" s="672"/>
      <c r="AS228" s="672"/>
      <c r="AT228" s="672"/>
      <c r="AU228" s="672"/>
      <c r="AV228" s="672"/>
    </row>
    <row r="229" spans="1:48" ht="15.75" customHeight="1">
      <c r="A229" s="672"/>
      <c r="B229" s="672"/>
      <c r="C229" s="672"/>
      <c r="D229" s="672"/>
      <c r="E229" s="672"/>
      <c r="F229" s="672"/>
      <c r="G229" s="672"/>
      <c r="H229" s="672"/>
      <c r="I229" s="672"/>
      <c r="J229" s="672"/>
      <c r="K229" s="672"/>
      <c r="L229" s="672"/>
      <c r="M229" s="672"/>
      <c r="N229" s="672"/>
      <c r="O229" s="672"/>
      <c r="P229" s="672"/>
      <c r="Q229" s="672"/>
      <c r="R229" s="672"/>
      <c r="S229" s="672"/>
      <c r="T229" s="672"/>
      <c r="U229" s="672"/>
      <c r="V229" s="672"/>
      <c r="W229" s="672"/>
      <c r="X229" s="672"/>
      <c r="Y229" s="672"/>
      <c r="Z229" s="672"/>
      <c r="AA229" s="672"/>
      <c r="AB229" s="672"/>
      <c r="AC229" s="672"/>
      <c r="AD229" s="672"/>
      <c r="AE229" s="672"/>
      <c r="AF229" s="672"/>
      <c r="AG229" s="672"/>
      <c r="AH229" s="672"/>
      <c r="AI229" s="672"/>
      <c r="AJ229" s="672"/>
      <c r="AK229" s="672"/>
      <c r="AL229" s="672"/>
      <c r="AM229" s="672"/>
      <c r="AN229" s="672"/>
      <c r="AO229" s="672"/>
      <c r="AP229" s="672"/>
      <c r="AQ229" s="672"/>
      <c r="AR229" s="672"/>
      <c r="AS229" s="672"/>
      <c r="AT229" s="672"/>
      <c r="AU229" s="672"/>
      <c r="AV229" s="672"/>
    </row>
    <row r="230" spans="1:48" ht="15.75" customHeight="1">
      <c r="A230" s="672"/>
      <c r="B230" s="672"/>
      <c r="C230" s="672"/>
      <c r="D230" s="672"/>
      <c r="E230" s="672"/>
      <c r="F230" s="672"/>
      <c r="G230" s="672"/>
      <c r="H230" s="672"/>
      <c r="I230" s="672"/>
      <c r="J230" s="672"/>
      <c r="K230" s="672"/>
      <c r="L230" s="672"/>
      <c r="M230" s="672"/>
      <c r="N230" s="672"/>
      <c r="O230" s="672"/>
      <c r="P230" s="672"/>
      <c r="Q230" s="672"/>
      <c r="R230" s="672"/>
      <c r="S230" s="672"/>
      <c r="T230" s="672"/>
      <c r="U230" s="672"/>
      <c r="V230" s="672"/>
      <c r="W230" s="672"/>
      <c r="X230" s="672"/>
      <c r="Y230" s="672"/>
      <c r="Z230" s="672"/>
      <c r="AA230" s="672"/>
      <c r="AB230" s="672"/>
      <c r="AC230" s="672"/>
      <c r="AD230" s="672"/>
      <c r="AE230" s="672"/>
      <c r="AF230" s="672"/>
      <c r="AG230" s="672"/>
      <c r="AH230" s="672"/>
      <c r="AI230" s="672"/>
      <c r="AJ230" s="672"/>
      <c r="AK230" s="672"/>
      <c r="AL230" s="672"/>
      <c r="AM230" s="672"/>
      <c r="AN230" s="672"/>
      <c r="AO230" s="672"/>
      <c r="AP230" s="672"/>
      <c r="AQ230" s="672"/>
      <c r="AR230" s="672"/>
      <c r="AS230" s="672"/>
      <c r="AT230" s="672"/>
      <c r="AU230" s="672"/>
      <c r="AV230" s="672"/>
    </row>
    <row r="231" spans="1:48" ht="15.75" customHeight="1">
      <c r="A231" s="672"/>
      <c r="B231" s="672"/>
      <c r="C231" s="672"/>
      <c r="D231" s="672"/>
      <c r="E231" s="672"/>
      <c r="F231" s="672"/>
      <c r="G231" s="672"/>
      <c r="H231" s="672"/>
      <c r="I231" s="672"/>
      <c r="J231" s="672"/>
      <c r="K231" s="672"/>
      <c r="L231" s="672"/>
      <c r="M231" s="672"/>
      <c r="N231" s="672"/>
      <c r="O231" s="672"/>
      <c r="P231" s="672"/>
      <c r="Q231" s="672"/>
      <c r="R231" s="672"/>
      <c r="S231" s="672"/>
      <c r="T231" s="672"/>
      <c r="U231" s="672"/>
      <c r="V231" s="672"/>
      <c r="W231" s="672"/>
      <c r="X231" s="672"/>
      <c r="Y231" s="672"/>
      <c r="Z231" s="672"/>
      <c r="AA231" s="672"/>
      <c r="AB231" s="672"/>
      <c r="AC231" s="672"/>
      <c r="AD231" s="672"/>
      <c r="AE231" s="672"/>
      <c r="AF231" s="672"/>
      <c r="AG231" s="672"/>
      <c r="AH231" s="672"/>
      <c r="AI231" s="672"/>
      <c r="AJ231" s="672"/>
      <c r="AK231" s="672"/>
      <c r="AL231" s="672"/>
      <c r="AM231" s="672"/>
      <c r="AN231" s="672"/>
      <c r="AO231" s="672"/>
      <c r="AP231" s="672"/>
      <c r="AQ231" s="672"/>
      <c r="AR231" s="672"/>
      <c r="AS231" s="672"/>
      <c r="AT231" s="672"/>
      <c r="AU231" s="672"/>
      <c r="AV231" s="672"/>
    </row>
    <row r="232" spans="1:48" ht="15.75" customHeight="1">
      <c r="A232" s="672"/>
      <c r="B232" s="672"/>
      <c r="C232" s="672"/>
      <c r="D232" s="672"/>
      <c r="E232" s="672"/>
      <c r="F232" s="672"/>
      <c r="G232" s="672"/>
      <c r="H232" s="672"/>
      <c r="I232" s="672"/>
      <c r="J232" s="672"/>
      <c r="K232" s="672"/>
      <c r="L232" s="672"/>
      <c r="M232" s="672"/>
      <c r="N232" s="672"/>
      <c r="O232" s="672"/>
      <c r="P232" s="672"/>
      <c r="Q232" s="672"/>
      <c r="R232" s="672"/>
      <c r="S232" s="672"/>
      <c r="T232" s="672"/>
      <c r="U232" s="672"/>
      <c r="V232" s="672"/>
      <c r="W232" s="672"/>
      <c r="X232" s="672"/>
      <c r="Y232" s="672"/>
      <c r="Z232" s="672"/>
      <c r="AA232" s="672"/>
      <c r="AB232" s="672"/>
      <c r="AC232" s="672"/>
      <c r="AD232" s="672"/>
      <c r="AE232" s="672"/>
      <c r="AF232" s="672"/>
      <c r="AG232" s="672"/>
      <c r="AH232" s="672"/>
      <c r="AI232" s="672"/>
      <c r="AJ232" s="672"/>
      <c r="AK232" s="672"/>
      <c r="AL232" s="672"/>
      <c r="AM232" s="672"/>
      <c r="AN232" s="672"/>
      <c r="AO232" s="672"/>
      <c r="AP232" s="672"/>
      <c r="AQ232" s="672"/>
      <c r="AR232" s="672"/>
      <c r="AS232" s="672"/>
      <c r="AT232" s="672"/>
      <c r="AU232" s="672"/>
      <c r="AV232" s="672"/>
    </row>
    <row r="233" spans="1:48" ht="15.75" customHeight="1">
      <c r="A233" s="672"/>
      <c r="B233" s="672"/>
      <c r="C233" s="672"/>
      <c r="D233" s="672"/>
      <c r="E233" s="672"/>
      <c r="F233" s="672"/>
      <c r="G233" s="672"/>
      <c r="H233" s="672"/>
      <c r="I233" s="672"/>
      <c r="J233" s="672"/>
      <c r="K233" s="672"/>
      <c r="L233" s="672"/>
      <c r="M233" s="672"/>
      <c r="N233" s="672"/>
      <c r="O233" s="672"/>
      <c r="P233" s="672"/>
      <c r="Q233" s="672"/>
      <c r="R233" s="672"/>
      <c r="S233" s="672"/>
      <c r="T233" s="672"/>
      <c r="U233" s="672"/>
      <c r="V233" s="672"/>
      <c r="W233" s="672"/>
      <c r="X233" s="672"/>
      <c r="Y233" s="672"/>
      <c r="Z233" s="672"/>
      <c r="AA233" s="672"/>
      <c r="AB233" s="672"/>
      <c r="AC233" s="672"/>
      <c r="AD233" s="672"/>
      <c r="AE233" s="672"/>
      <c r="AF233" s="672"/>
      <c r="AG233" s="672"/>
      <c r="AH233" s="672"/>
      <c r="AI233" s="672"/>
      <c r="AJ233" s="672"/>
      <c r="AK233" s="672"/>
      <c r="AL233" s="672"/>
      <c r="AM233" s="672"/>
      <c r="AN233" s="672"/>
      <c r="AO233" s="672"/>
      <c r="AP233" s="672"/>
      <c r="AQ233" s="672"/>
      <c r="AR233" s="672"/>
      <c r="AS233" s="672"/>
      <c r="AT233" s="672"/>
      <c r="AU233" s="672"/>
      <c r="AV233" s="672"/>
    </row>
    <row r="234" spans="1:48" ht="15.75" customHeight="1">
      <c r="A234" s="672"/>
      <c r="B234" s="672"/>
      <c r="C234" s="672"/>
      <c r="D234" s="672"/>
      <c r="E234" s="672"/>
      <c r="F234" s="672"/>
      <c r="G234" s="672"/>
      <c r="H234" s="672"/>
      <c r="I234" s="672"/>
      <c r="J234" s="672"/>
      <c r="K234" s="672"/>
      <c r="L234" s="672"/>
      <c r="M234" s="672"/>
      <c r="N234" s="672"/>
      <c r="O234" s="672"/>
      <c r="P234" s="672"/>
      <c r="Q234" s="672"/>
      <c r="R234" s="672"/>
      <c r="S234" s="672"/>
      <c r="T234" s="672"/>
      <c r="U234" s="672"/>
      <c r="V234" s="672"/>
      <c r="W234" s="672"/>
      <c r="X234" s="672"/>
      <c r="Y234" s="672"/>
      <c r="Z234" s="672"/>
      <c r="AA234" s="672"/>
      <c r="AB234" s="672"/>
      <c r="AC234" s="672"/>
      <c r="AD234" s="672"/>
      <c r="AE234" s="672"/>
      <c r="AF234" s="672"/>
      <c r="AG234" s="672"/>
      <c r="AH234" s="672"/>
      <c r="AI234" s="672"/>
      <c r="AJ234" s="672"/>
      <c r="AK234" s="672"/>
      <c r="AL234" s="672"/>
      <c r="AM234" s="672"/>
      <c r="AN234" s="672"/>
      <c r="AO234" s="672"/>
      <c r="AP234" s="672"/>
      <c r="AQ234" s="672"/>
      <c r="AR234" s="672"/>
      <c r="AS234" s="672"/>
      <c r="AT234" s="672"/>
      <c r="AU234" s="672"/>
      <c r="AV234" s="672"/>
    </row>
    <row r="235" spans="1:48" ht="15.75" customHeight="1">
      <c r="A235" s="672"/>
      <c r="B235" s="672"/>
      <c r="C235" s="672"/>
      <c r="D235" s="672"/>
      <c r="E235" s="672"/>
      <c r="F235" s="672"/>
      <c r="G235" s="672"/>
      <c r="H235" s="672"/>
      <c r="I235" s="672"/>
      <c r="J235" s="672"/>
      <c r="K235" s="672"/>
      <c r="L235" s="672"/>
      <c r="M235" s="672"/>
      <c r="N235" s="672"/>
      <c r="O235" s="672"/>
      <c r="P235" s="672"/>
      <c r="Q235" s="672"/>
      <c r="R235" s="672"/>
      <c r="S235" s="672"/>
      <c r="T235" s="672"/>
      <c r="U235" s="672"/>
      <c r="V235" s="672"/>
      <c r="W235" s="672"/>
      <c r="X235" s="672"/>
      <c r="Y235" s="672"/>
      <c r="Z235" s="672"/>
      <c r="AA235" s="672"/>
      <c r="AB235" s="672"/>
      <c r="AC235" s="672"/>
      <c r="AD235" s="672"/>
      <c r="AE235" s="672"/>
      <c r="AF235" s="672"/>
      <c r="AG235" s="672"/>
      <c r="AH235" s="672"/>
      <c r="AI235" s="672"/>
      <c r="AJ235" s="672"/>
      <c r="AK235" s="672"/>
      <c r="AL235" s="672"/>
      <c r="AM235" s="672"/>
      <c r="AN235" s="672"/>
      <c r="AO235" s="672"/>
      <c r="AP235" s="672"/>
      <c r="AQ235" s="672"/>
      <c r="AR235" s="672"/>
      <c r="AS235" s="672"/>
      <c r="AT235" s="672"/>
      <c r="AU235" s="672"/>
      <c r="AV235" s="672"/>
    </row>
    <row r="236" spans="1:48" ht="15.75" customHeight="1">
      <c r="A236" s="672"/>
      <c r="B236" s="672"/>
      <c r="C236" s="672"/>
      <c r="D236" s="672"/>
      <c r="E236" s="672"/>
      <c r="F236" s="672"/>
      <c r="G236" s="672"/>
      <c r="H236" s="672"/>
      <c r="I236" s="672"/>
      <c r="J236" s="672"/>
      <c r="K236" s="672"/>
      <c r="L236" s="672"/>
      <c r="M236" s="672"/>
      <c r="N236" s="672"/>
      <c r="O236" s="672"/>
      <c r="P236" s="672"/>
      <c r="Q236" s="672"/>
      <c r="R236" s="672"/>
      <c r="S236" s="672"/>
      <c r="T236" s="672"/>
      <c r="U236" s="672"/>
      <c r="V236" s="672"/>
      <c r="W236" s="672"/>
      <c r="X236" s="672"/>
      <c r="Y236" s="672"/>
      <c r="Z236" s="672"/>
      <c r="AA236" s="672"/>
      <c r="AB236" s="672"/>
      <c r="AC236" s="672"/>
      <c r="AD236" s="672"/>
      <c r="AE236" s="672"/>
      <c r="AF236" s="672"/>
      <c r="AG236" s="672"/>
      <c r="AH236" s="672"/>
      <c r="AI236" s="672"/>
      <c r="AJ236" s="672"/>
      <c r="AK236" s="672"/>
      <c r="AL236" s="672"/>
      <c r="AM236" s="672"/>
      <c r="AN236" s="672"/>
      <c r="AO236" s="672"/>
      <c r="AP236" s="672"/>
      <c r="AQ236" s="672"/>
      <c r="AR236" s="672"/>
      <c r="AS236" s="672"/>
      <c r="AT236" s="672"/>
      <c r="AU236" s="672"/>
      <c r="AV236" s="672"/>
    </row>
    <row r="237" spans="1:48" ht="15.75" customHeight="1">
      <c r="A237" s="672"/>
      <c r="B237" s="672"/>
      <c r="C237" s="672"/>
      <c r="D237" s="672"/>
      <c r="E237" s="672"/>
      <c r="F237" s="672"/>
      <c r="G237" s="672"/>
      <c r="H237" s="672"/>
      <c r="I237" s="672"/>
      <c r="J237" s="672"/>
      <c r="K237" s="672"/>
      <c r="L237" s="672"/>
      <c r="M237" s="672"/>
      <c r="N237" s="672"/>
      <c r="O237" s="672"/>
      <c r="P237" s="672"/>
      <c r="Q237" s="672"/>
      <c r="R237" s="672"/>
      <c r="S237" s="672"/>
      <c r="T237" s="672"/>
      <c r="U237" s="672"/>
      <c r="V237" s="672"/>
      <c r="W237" s="672"/>
      <c r="X237" s="672"/>
      <c r="Y237" s="672"/>
      <c r="Z237" s="672"/>
      <c r="AA237" s="672"/>
      <c r="AB237" s="672"/>
      <c r="AC237" s="672"/>
      <c r="AD237" s="672"/>
      <c r="AE237" s="672"/>
      <c r="AF237" s="672"/>
      <c r="AG237" s="672"/>
      <c r="AH237" s="672"/>
      <c r="AI237" s="672"/>
      <c r="AJ237" s="672"/>
      <c r="AK237" s="672"/>
      <c r="AL237" s="672"/>
      <c r="AM237" s="672"/>
      <c r="AN237" s="672"/>
      <c r="AO237" s="672"/>
      <c r="AP237" s="672"/>
      <c r="AQ237" s="672"/>
      <c r="AR237" s="672"/>
      <c r="AS237" s="672"/>
      <c r="AT237" s="672"/>
      <c r="AU237" s="672"/>
      <c r="AV237" s="672"/>
    </row>
    <row r="238" spans="1:48" ht="15.75" customHeight="1">
      <c r="A238" s="672"/>
      <c r="B238" s="672"/>
      <c r="C238" s="672"/>
      <c r="D238" s="672"/>
      <c r="E238" s="672"/>
      <c r="F238" s="672"/>
      <c r="G238" s="672"/>
      <c r="H238" s="672"/>
      <c r="I238" s="672"/>
      <c r="J238" s="672"/>
      <c r="K238" s="672"/>
      <c r="L238" s="672"/>
      <c r="M238" s="672"/>
      <c r="N238" s="672"/>
      <c r="O238" s="672"/>
      <c r="P238" s="672"/>
      <c r="Q238" s="672"/>
      <c r="R238" s="672"/>
      <c r="S238" s="672"/>
      <c r="T238" s="672"/>
      <c r="U238" s="672"/>
      <c r="V238" s="672"/>
      <c r="W238" s="672"/>
      <c r="X238" s="672"/>
      <c r="Y238" s="672"/>
      <c r="Z238" s="672"/>
      <c r="AA238" s="672"/>
      <c r="AB238" s="672"/>
      <c r="AC238" s="672"/>
      <c r="AD238" s="672"/>
      <c r="AE238" s="672"/>
      <c r="AF238" s="672"/>
      <c r="AG238" s="672"/>
      <c r="AH238" s="672"/>
      <c r="AI238" s="672"/>
      <c r="AJ238" s="672"/>
      <c r="AK238" s="672"/>
      <c r="AL238" s="672"/>
      <c r="AM238" s="672"/>
      <c r="AN238" s="672"/>
      <c r="AO238" s="672"/>
      <c r="AP238" s="672"/>
      <c r="AQ238" s="672"/>
      <c r="AR238" s="672"/>
      <c r="AS238" s="672"/>
      <c r="AT238" s="672"/>
      <c r="AU238" s="672"/>
      <c r="AV238" s="672"/>
    </row>
    <row r="239" spans="1:48" ht="15.75" customHeight="1">
      <c r="A239" s="672"/>
      <c r="B239" s="672"/>
      <c r="C239" s="672"/>
      <c r="D239" s="672"/>
      <c r="E239" s="672"/>
      <c r="F239" s="672"/>
      <c r="G239" s="672"/>
      <c r="H239" s="672"/>
      <c r="I239" s="672"/>
      <c r="J239" s="672"/>
      <c r="K239" s="672"/>
      <c r="L239" s="672"/>
      <c r="M239" s="672"/>
      <c r="N239" s="672"/>
      <c r="O239" s="672"/>
      <c r="P239" s="672"/>
      <c r="Q239" s="672"/>
      <c r="R239" s="672"/>
      <c r="S239" s="672"/>
      <c r="T239" s="672"/>
      <c r="U239" s="672"/>
      <c r="V239" s="672"/>
      <c r="W239" s="672"/>
      <c r="X239" s="672"/>
      <c r="Y239" s="672"/>
      <c r="Z239" s="672"/>
      <c r="AA239" s="672"/>
      <c r="AB239" s="672"/>
      <c r="AC239" s="672"/>
      <c r="AD239" s="672"/>
      <c r="AE239" s="672"/>
      <c r="AF239" s="672"/>
      <c r="AG239" s="672"/>
      <c r="AH239" s="672"/>
      <c r="AI239" s="672"/>
      <c r="AJ239" s="672"/>
      <c r="AK239" s="672"/>
      <c r="AL239" s="672"/>
      <c r="AM239" s="672"/>
      <c r="AN239" s="672"/>
      <c r="AO239" s="672"/>
      <c r="AP239" s="672"/>
      <c r="AQ239" s="672"/>
      <c r="AR239" s="672"/>
      <c r="AS239" s="672"/>
      <c r="AT239" s="672"/>
      <c r="AU239" s="672"/>
      <c r="AV239" s="672"/>
    </row>
    <row r="240" spans="1:48" ht="15.75" customHeight="1">
      <c r="A240" s="672"/>
      <c r="B240" s="672"/>
      <c r="C240" s="672"/>
      <c r="D240" s="672"/>
      <c r="E240" s="672"/>
      <c r="F240" s="672"/>
      <c r="G240" s="672"/>
      <c r="H240" s="672"/>
      <c r="I240" s="672"/>
      <c r="J240" s="672"/>
      <c r="K240" s="672"/>
      <c r="L240" s="672"/>
      <c r="M240" s="672"/>
      <c r="N240" s="672"/>
      <c r="O240" s="672"/>
      <c r="P240" s="672"/>
      <c r="Q240" s="672"/>
      <c r="R240" s="672"/>
      <c r="S240" s="672"/>
      <c r="T240" s="672"/>
      <c r="U240" s="672"/>
      <c r="V240" s="672"/>
      <c r="W240" s="672"/>
      <c r="X240" s="672"/>
      <c r="Y240" s="672"/>
      <c r="Z240" s="672"/>
      <c r="AA240" s="672"/>
      <c r="AB240" s="672"/>
      <c r="AC240" s="672"/>
      <c r="AD240" s="672"/>
      <c r="AE240" s="672"/>
      <c r="AF240" s="672"/>
      <c r="AG240" s="672"/>
      <c r="AH240" s="672"/>
      <c r="AI240" s="672"/>
      <c r="AJ240" s="672"/>
      <c r="AK240" s="672"/>
      <c r="AL240" s="672"/>
      <c r="AM240" s="672"/>
      <c r="AN240" s="672"/>
      <c r="AO240" s="672"/>
      <c r="AP240" s="672"/>
      <c r="AQ240" s="672"/>
      <c r="AR240" s="672"/>
      <c r="AS240" s="672"/>
      <c r="AT240" s="672"/>
      <c r="AU240" s="672"/>
      <c r="AV240" s="672"/>
    </row>
    <row r="241" spans="1:48" ht="15.75" customHeight="1">
      <c r="A241" s="672"/>
      <c r="B241" s="672"/>
      <c r="C241" s="672"/>
      <c r="D241" s="672"/>
      <c r="E241" s="672"/>
      <c r="F241" s="672"/>
      <c r="G241" s="672"/>
      <c r="H241" s="672"/>
      <c r="I241" s="672"/>
      <c r="J241" s="672"/>
      <c r="K241" s="672"/>
      <c r="L241" s="672"/>
      <c r="M241" s="672"/>
      <c r="N241" s="672"/>
      <c r="O241" s="672"/>
      <c r="P241" s="672"/>
      <c r="Q241" s="672"/>
      <c r="R241" s="672"/>
      <c r="S241" s="672"/>
      <c r="T241" s="672"/>
      <c r="U241" s="672"/>
      <c r="V241" s="672"/>
      <c r="W241" s="672"/>
      <c r="X241" s="672"/>
      <c r="Y241" s="672"/>
      <c r="Z241" s="672"/>
      <c r="AA241" s="672"/>
      <c r="AB241" s="672"/>
      <c r="AC241" s="672"/>
      <c r="AD241" s="672"/>
      <c r="AE241" s="672"/>
      <c r="AF241" s="672"/>
      <c r="AG241" s="672"/>
      <c r="AH241" s="672"/>
      <c r="AI241" s="672"/>
      <c r="AJ241" s="672"/>
      <c r="AK241" s="672"/>
      <c r="AL241" s="672"/>
      <c r="AM241" s="672"/>
      <c r="AN241" s="672"/>
      <c r="AO241" s="672"/>
      <c r="AP241" s="672"/>
      <c r="AQ241" s="672"/>
      <c r="AR241" s="672"/>
      <c r="AS241" s="672"/>
      <c r="AT241" s="672"/>
      <c r="AU241" s="672"/>
      <c r="AV241" s="672"/>
    </row>
    <row r="242" spans="1:48" ht="15.75" customHeight="1">
      <c r="A242" s="672"/>
      <c r="B242" s="672"/>
      <c r="C242" s="672"/>
      <c r="D242" s="672"/>
      <c r="E242" s="672"/>
      <c r="F242" s="672"/>
      <c r="G242" s="672"/>
      <c r="H242" s="672"/>
      <c r="I242" s="672"/>
      <c r="J242" s="672"/>
      <c r="K242" s="672"/>
      <c r="L242" s="672"/>
      <c r="M242" s="672"/>
      <c r="N242" s="672"/>
      <c r="O242" s="672"/>
      <c r="P242" s="672"/>
      <c r="Q242" s="672"/>
      <c r="R242" s="672"/>
      <c r="S242" s="672"/>
      <c r="T242" s="672"/>
      <c r="U242" s="672"/>
      <c r="V242" s="672"/>
      <c r="W242" s="672"/>
      <c r="X242" s="672"/>
      <c r="Y242" s="672"/>
      <c r="Z242" s="672"/>
      <c r="AA242" s="672"/>
      <c r="AB242" s="672"/>
      <c r="AC242" s="672"/>
      <c r="AD242" s="672"/>
      <c r="AE242" s="672"/>
      <c r="AF242" s="672"/>
      <c r="AG242" s="672"/>
      <c r="AH242" s="672"/>
      <c r="AI242" s="672"/>
      <c r="AJ242" s="672"/>
      <c r="AK242" s="672"/>
      <c r="AL242" s="672"/>
      <c r="AM242" s="672"/>
      <c r="AN242" s="672"/>
      <c r="AO242" s="672"/>
      <c r="AP242" s="672"/>
      <c r="AQ242" s="672"/>
      <c r="AR242" s="672"/>
      <c r="AS242" s="672"/>
      <c r="AT242" s="672"/>
      <c r="AU242" s="672"/>
      <c r="AV242" s="672"/>
    </row>
    <row r="243" spans="1:48" ht="15.75" customHeight="1">
      <c r="A243" s="672"/>
      <c r="B243" s="672"/>
      <c r="C243" s="672"/>
      <c r="D243" s="672"/>
      <c r="E243" s="672"/>
      <c r="F243" s="672"/>
      <c r="G243" s="672"/>
      <c r="H243" s="672"/>
      <c r="I243" s="672"/>
      <c r="J243" s="672"/>
      <c r="K243" s="672"/>
      <c r="L243" s="672"/>
      <c r="M243" s="672"/>
      <c r="N243" s="672"/>
      <c r="O243" s="672"/>
      <c r="P243" s="672"/>
      <c r="Q243" s="672"/>
      <c r="R243" s="672"/>
      <c r="S243" s="672"/>
      <c r="T243" s="672"/>
      <c r="U243" s="672"/>
      <c r="V243" s="672"/>
      <c r="W243" s="672"/>
      <c r="X243" s="672"/>
      <c r="Y243" s="672"/>
      <c r="Z243" s="672"/>
      <c r="AA243" s="672"/>
      <c r="AB243" s="672"/>
      <c r="AC243" s="672"/>
      <c r="AD243" s="672"/>
      <c r="AE243" s="672"/>
      <c r="AF243" s="672"/>
      <c r="AG243" s="672"/>
      <c r="AH243" s="672"/>
      <c r="AI243" s="672"/>
      <c r="AJ243" s="672"/>
      <c r="AK243" s="672"/>
      <c r="AL243" s="672"/>
      <c r="AM243" s="672"/>
      <c r="AN243" s="672"/>
      <c r="AO243" s="672"/>
      <c r="AP243" s="672"/>
      <c r="AQ243" s="672"/>
      <c r="AR243" s="672"/>
      <c r="AS243" s="672"/>
      <c r="AT243" s="672"/>
      <c r="AU243" s="672"/>
      <c r="AV243" s="672"/>
    </row>
    <row r="244" spans="1:48" ht="15.75" customHeight="1">
      <c r="A244" s="672"/>
      <c r="B244" s="672"/>
      <c r="C244" s="672"/>
      <c r="D244" s="672"/>
      <c r="E244" s="672"/>
      <c r="F244" s="672"/>
      <c r="G244" s="672"/>
      <c r="H244" s="672"/>
      <c r="I244" s="672"/>
      <c r="J244" s="672"/>
      <c r="K244" s="672"/>
      <c r="L244" s="672"/>
      <c r="M244" s="672"/>
      <c r="N244" s="672"/>
      <c r="O244" s="672"/>
      <c r="P244" s="672"/>
      <c r="Q244" s="672"/>
      <c r="R244" s="672"/>
      <c r="S244" s="672"/>
      <c r="T244" s="672"/>
      <c r="U244" s="672"/>
      <c r="V244" s="672"/>
      <c r="W244" s="672"/>
      <c r="X244" s="672"/>
      <c r="Y244" s="672"/>
      <c r="Z244" s="672"/>
      <c r="AA244" s="672"/>
      <c r="AB244" s="672"/>
      <c r="AC244" s="672"/>
      <c r="AD244" s="672"/>
      <c r="AE244" s="672"/>
      <c r="AF244" s="672"/>
      <c r="AG244" s="672"/>
      <c r="AH244" s="672"/>
      <c r="AI244" s="672"/>
      <c r="AJ244" s="672"/>
      <c r="AK244" s="672"/>
      <c r="AL244" s="672"/>
      <c r="AM244" s="672"/>
      <c r="AN244" s="672"/>
      <c r="AO244" s="672"/>
      <c r="AP244" s="672"/>
      <c r="AQ244" s="672"/>
      <c r="AR244" s="672"/>
      <c r="AS244" s="672"/>
      <c r="AT244" s="672"/>
      <c r="AU244" s="672"/>
      <c r="AV244" s="672"/>
    </row>
    <row r="245" spans="1:48" ht="15.75" customHeight="1">
      <c r="A245" s="672"/>
      <c r="B245" s="672"/>
      <c r="C245" s="672"/>
      <c r="D245" s="672"/>
      <c r="E245" s="672"/>
      <c r="F245" s="672"/>
      <c r="G245" s="672"/>
      <c r="H245" s="672"/>
      <c r="I245" s="672"/>
      <c r="J245" s="672"/>
      <c r="K245" s="672"/>
      <c r="L245" s="672"/>
      <c r="M245" s="672"/>
      <c r="N245" s="672"/>
      <c r="O245" s="672"/>
      <c r="P245" s="672"/>
      <c r="Q245" s="672"/>
      <c r="R245" s="672"/>
      <c r="S245" s="672"/>
      <c r="T245" s="672"/>
      <c r="U245" s="672"/>
      <c r="V245" s="672"/>
      <c r="W245" s="672"/>
      <c r="X245" s="672"/>
      <c r="Y245" s="672"/>
      <c r="Z245" s="672"/>
      <c r="AA245" s="672"/>
      <c r="AB245" s="672"/>
      <c r="AC245" s="672"/>
      <c r="AD245" s="672"/>
      <c r="AE245" s="672"/>
      <c r="AF245" s="672"/>
      <c r="AG245" s="672"/>
      <c r="AH245" s="672"/>
      <c r="AI245" s="672"/>
      <c r="AJ245" s="672"/>
      <c r="AK245" s="672"/>
      <c r="AL245" s="672"/>
      <c r="AM245" s="672"/>
      <c r="AN245" s="672"/>
      <c r="AO245" s="672"/>
      <c r="AP245" s="672"/>
      <c r="AQ245" s="672"/>
      <c r="AR245" s="672"/>
      <c r="AS245" s="672"/>
      <c r="AT245" s="672"/>
      <c r="AU245" s="672"/>
      <c r="AV245" s="672"/>
    </row>
    <row r="246" spans="1:48" ht="15.75" customHeight="1">
      <c r="A246" s="672"/>
      <c r="B246" s="672"/>
      <c r="C246" s="672"/>
      <c r="D246" s="672"/>
      <c r="E246" s="672"/>
      <c r="F246" s="672"/>
      <c r="G246" s="672"/>
      <c r="H246" s="672"/>
      <c r="I246" s="672"/>
      <c r="J246" s="672"/>
      <c r="K246" s="672"/>
      <c r="L246" s="672"/>
      <c r="M246" s="672"/>
      <c r="N246" s="672"/>
      <c r="O246" s="672"/>
      <c r="P246" s="672"/>
      <c r="Q246" s="672"/>
      <c r="R246" s="672"/>
      <c r="S246" s="672"/>
      <c r="T246" s="672"/>
      <c r="U246" s="672"/>
      <c r="V246" s="672"/>
      <c r="W246" s="672"/>
      <c r="X246" s="672"/>
      <c r="Y246" s="672"/>
      <c r="Z246" s="672"/>
      <c r="AA246" s="672"/>
      <c r="AB246" s="672"/>
      <c r="AC246" s="672"/>
      <c r="AD246" s="672"/>
      <c r="AE246" s="672"/>
      <c r="AF246" s="672"/>
      <c r="AG246" s="672"/>
      <c r="AH246" s="672"/>
      <c r="AI246" s="672"/>
      <c r="AJ246" s="672"/>
      <c r="AK246" s="672"/>
      <c r="AL246" s="672"/>
      <c r="AM246" s="672"/>
      <c r="AN246" s="672"/>
      <c r="AO246" s="672"/>
      <c r="AP246" s="672"/>
      <c r="AQ246" s="672"/>
      <c r="AR246" s="672"/>
      <c r="AS246" s="672"/>
      <c r="AT246" s="672"/>
      <c r="AU246" s="672"/>
      <c r="AV246" s="672"/>
    </row>
    <row r="247" spans="1:48" ht="15.75" customHeight="1">
      <c r="A247" s="672"/>
      <c r="B247" s="672"/>
      <c r="C247" s="672"/>
      <c r="D247" s="672"/>
      <c r="E247" s="672"/>
      <c r="F247" s="672"/>
      <c r="G247" s="672"/>
      <c r="H247" s="672"/>
      <c r="I247" s="672"/>
      <c r="J247" s="672"/>
      <c r="K247" s="672"/>
      <c r="L247" s="672"/>
      <c r="M247" s="672"/>
      <c r="N247" s="672"/>
      <c r="O247" s="672"/>
      <c r="P247" s="672"/>
      <c r="Q247" s="672"/>
      <c r="R247" s="672"/>
      <c r="S247" s="672"/>
      <c r="T247" s="672"/>
      <c r="U247" s="672"/>
      <c r="V247" s="672"/>
      <c r="W247" s="672"/>
      <c r="X247" s="672"/>
      <c r="Y247" s="672"/>
      <c r="Z247" s="672"/>
      <c r="AA247" s="672"/>
      <c r="AB247" s="672"/>
      <c r="AC247" s="672"/>
      <c r="AD247" s="672"/>
      <c r="AE247" s="672"/>
      <c r="AF247" s="672"/>
      <c r="AG247" s="672"/>
      <c r="AH247" s="672"/>
      <c r="AI247" s="672"/>
      <c r="AJ247" s="672"/>
      <c r="AK247" s="672"/>
      <c r="AL247" s="672"/>
      <c r="AM247" s="672"/>
      <c r="AN247" s="672"/>
      <c r="AO247" s="672"/>
      <c r="AP247" s="672"/>
      <c r="AQ247" s="672"/>
      <c r="AR247" s="672"/>
      <c r="AS247" s="672"/>
      <c r="AT247" s="672"/>
      <c r="AU247" s="672"/>
      <c r="AV247" s="672"/>
    </row>
    <row r="248" spans="1:48" ht="15.75" customHeight="1"/>
    <row r="249" spans="1:48" ht="15.75" customHeight="1"/>
    <row r="250" spans="1:48" ht="15.75" customHeight="1"/>
    <row r="251" spans="1:48" ht="15.75" customHeight="1"/>
    <row r="252" spans="1:48" ht="15.75" customHeight="1"/>
    <row r="253" spans="1:48" ht="15.75" customHeight="1"/>
    <row r="254" spans="1:48" ht="15.75" customHeight="1"/>
    <row r="255" spans="1:48" ht="15.75" customHeight="1"/>
    <row r="256" spans="1:48" ht="15.75" customHeight="1"/>
    <row r="257" customFormat="1" ht="15.75" customHeight="1"/>
    <row r="258" customFormat="1" ht="15.75" customHeight="1"/>
    <row r="259" customFormat="1" ht="15.75" customHeight="1"/>
    <row r="260" customFormat="1" ht="15.75" customHeight="1"/>
    <row r="261" customFormat="1" ht="15.75" customHeight="1"/>
    <row r="262" customFormat="1" ht="15.75" customHeight="1"/>
    <row r="263" customFormat="1" ht="15.75" customHeight="1"/>
    <row r="264" customFormat="1" ht="15.75" customHeight="1"/>
    <row r="265" customFormat="1" ht="15.75" customHeight="1"/>
    <row r="266" customFormat="1" ht="15.75" customHeight="1"/>
    <row r="267" customFormat="1" ht="15.75" customHeight="1"/>
    <row r="268" customFormat="1" ht="15.75" customHeight="1"/>
    <row r="269" customFormat="1" ht="15.75" customHeight="1"/>
    <row r="270" customFormat="1" ht="15.75" customHeight="1"/>
    <row r="271" customFormat="1" ht="15.75" customHeight="1"/>
    <row r="272" customFormat="1" ht="15.75" customHeight="1"/>
    <row r="273" customFormat="1" ht="15.75" customHeight="1"/>
    <row r="274" customFormat="1" ht="15.75" customHeight="1"/>
    <row r="275" customFormat="1" ht="15.75" customHeight="1"/>
    <row r="276" customFormat="1" ht="15.75" customHeight="1"/>
    <row r="277" customFormat="1" ht="15.75" customHeight="1"/>
    <row r="278" customFormat="1" ht="15.75" customHeight="1"/>
    <row r="279" customFormat="1" ht="15.75" customHeight="1"/>
    <row r="280" customFormat="1" ht="15.75" customHeight="1"/>
    <row r="281" customFormat="1" ht="15.75" customHeight="1"/>
    <row r="282" customFormat="1" ht="15.75" customHeight="1"/>
    <row r="283" customFormat="1" ht="15.75" customHeight="1"/>
    <row r="284" customFormat="1" ht="15.75" customHeight="1"/>
    <row r="285" customFormat="1" ht="15.75" customHeight="1"/>
    <row r="286" customFormat="1" ht="15.75" customHeight="1"/>
    <row r="287" customFormat="1" ht="15.75" customHeight="1"/>
    <row r="288" customFormat="1" ht="15.75" customHeight="1"/>
    <row r="289" customFormat="1" ht="15.75" customHeight="1"/>
    <row r="290" customFormat="1" ht="15.75" customHeight="1"/>
    <row r="291" customFormat="1" ht="15.75" customHeight="1"/>
    <row r="292" customFormat="1" ht="15.75" customHeight="1"/>
    <row r="293" customFormat="1" ht="15.75" customHeight="1"/>
    <row r="294" customFormat="1" ht="15.75" customHeight="1"/>
    <row r="295" customFormat="1" ht="15.75" customHeight="1"/>
    <row r="296" customFormat="1" ht="15.75" customHeight="1"/>
    <row r="297" customFormat="1" ht="15.75" customHeight="1"/>
    <row r="298" customFormat="1" ht="15.75" customHeight="1"/>
    <row r="299" customFormat="1" ht="15.75" customHeight="1"/>
    <row r="300" customFormat="1" ht="15.75" customHeight="1"/>
    <row r="301" customFormat="1" ht="15.75" customHeight="1"/>
    <row r="302" customFormat="1" ht="15.75" customHeight="1"/>
    <row r="303" customFormat="1" ht="15.75" customHeight="1"/>
    <row r="304" customFormat="1" ht="15.75" customHeight="1"/>
    <row r="305" customFormat="1" ht="15.75" customHeight="1"/>
    <row r="306" customFormat="1" ht="15.75" customHeight="1"/>
    <row r="307" customFormat="1" ht="15.75" customHeight="1"/>
    <row r="308" customFormat="1" ht="15.75" customHeight="1"/>
    <row r="309" customFormat="1" ht="15.75" customHeight="1"/>
    <row r="310" customFormat="1" ht="15.75" customHeight="1"/>
    <row r="311" customFormat="1" ht="15.75" customHeight="1"/>
    <row r="312" customFormat="1" ht="15.75" customHeight="1"/>
    <row r="313" customFormat="1" ht="15.75" customHeight="1"/>
    <row r="314" customFormat="1" ht="15.75" customHeight="1"/>
    <row r="315" customFormat="1" ht="15.75" customHeight="1"/>
    <row r="316" customFormat="1" ht="15.75" customHeight="1"/>
    <row r="317" customFormat="1" ht="15.75" customHeight="1"/>
    <row r="318" customFormat="1" ht="15.75" customHeight="1"/>
    <row r="319" customFormat="1" ht="15.75" customHeight="1"/>
    <row r="320" customFormat="1" ht="15.75" customHeight="1"/>
    <row r="321" customFormat="1" ht="15.75" customHeight="1"/>
    <row r="322" customFormat="1" ht="15.75" customHeight="1"/>
    <row r="323" customFormat="1" ht="15.75" customHeight="1"/>
    <row r="324" customFormat="1" ht="15.75" customHeight="1"/>
    <row r="325" customFormat="1" ht="15.75" customHeight="1"/>
    <row r="326" customFormat="1" ht="15.75" customHeight="1"/>
    <row r="327" customFormat="1" ht="15.75" customHeight="1"/>
    <row r="328" customFormat="1" ht="15.75" customHeight="1"/>
    <row r="329" customFormat="1" ht="15.75" customHeight="1"/>
    <row r="330" customFormat="1" ht="15.75" customHeight="1"/>
    <row r="331" customFormat="1" ht="15.75" customHeight="1"/>
    <row r="332" customFormat="1" ht="15.75" customHeight="1"/>
    <row r="333" customFormat="1" ht="15.75" customHeight="1"/>
    <row r="334" customFormat="1" ht="15.75" customHeight="1"/>
    <row r="335" customFormat="1" ht="15.75" customHeight="1"/>
    <row r="336" customFormat="1" ht="15.75" customHeight="1"/>
    <row r="337" customFormat="1" ht="15.75" customHeight="1"/>
    <row r="338" customFormat="1" ht="15.75" customHeight="1"/>
    <row r="339" customFormat="1" ht="15.75" customHeight="1"/>
    <row r="340" customFormat="1" ht="15.75" customHeight="1"/>
    <row r="341" customFormat="1" ht="15.75" customHeight="1"/>
    <row r="342" customFormat="1" ht="15.75" customHeight="1"/>
    <row r="343" customFormat="1" ht="15.75" customHeight="1"/>
    <row r="344" customFormat="1" ht="15.75" customHeight="1"/>
    <row r="345" customFormat="1" ht="15.75" customHeight="1"/>
    <row r="346" customFormat="1" ht="15.75" customHeight="1"/>
    <row r="347" customFormat="1" ht="15.75" customHeight="1"/>
    <row r="348" customFormat="1" ht="15.75" customHeight="1"/>
    <row r="349" customFormat="1" ht="15.75" customHeight="1"/>
    <row r="350" customFormat="1" ht="15.75" customHeight="1"/>
    <row r="351" customFormat="1" ht="15.75" customHeight="1"/>
    <row r="352" customFormat="1" ht="15.75" customHeight="1"/>
    <row r="353" customFormat="1" ht="15.75" customHeight="1"/>
    <row r="354" customFormat="1" ht="15.75" customHeight="1"/>
    <row r="355" customFormat="1" ht="15.75" customHeight="1"/>
    <row r="356" customFormat="1" ht="15.75" customHeight="1"/>
    <row r="357" customFormat="1" ht="15.75" customHeight="1"/>
    <row r="358" customFormat="1" ht="15.75" customHeight="1"/>
    <row r="359" customFormat="1" ht="15.75" customHeight="1"/>
    <row r="360" customFormat="1" ht="15.75" customHeight="1"/>
    <row r="361" customFormat="1" ht="15.75" customHeight="1"/>
    <row r="362" customFormat="1" ht="15.75" customHeight="1"/>
    <row r="363" customFormat="1" ht="15.75" customHeight="1"/>
    <row r="364" customFormat="1" ht="15.75" customHeight="1"/>
    <row r="365" customFormat="1" ht="15.75" customHeight="1"/>
    <row r="366" customFormat="1" ht="15.75" customHeight="1"/>
    <row r="367" customFormat="1" ht="15.75" customHeight="1"/>
    <row r="368" customFormat="1" ht="15.75" customHeight="1"/>
    <row r="369" customFormat="1" ht="15.75" customHeight="1"/>
    <row r="370" customFormat="1" ht="15.75" customHeight="1"/>
    <row r="371" customFormat="1" ht="15.75" customHeight="1"/>
    <row r="372" customFormat="1" ht="15.75" customHeight="1"/>
    <row r="373" customFormat="1" ht="15.75" customHeight="1"/>
    <row r="374" customFormat="1" ht="15.75" customHeight="1"/>
    <row r="375" customFormat="1" ht="15.75" customHeight="1"/>
    <row r="376" customFormat="1" ht="15.75" customHeight="1"/>
    <row r="377" customFormat="1" ht="15.75" customHeight="1"/>
    <row r="378" customFormat="1" ht="15.75" customHeight="1"/>
    <row r="379" customFormat="1" ht="15.75" customHeight="1"/>
    <row r="380" customFormat="1" ht="15.75" customHeight="1"/>
    <row r="381" customFormat="1" ht="15.75" customHeight="1"/>
    <row r="382" customFormat="1" ht="15.75" customHeight="1"/>
    <row r="383" customFormat="1" ht="15.75" customHeight="1"/>
    <row r="384" customFormat="1" ht="15.75" customHeight="1"/>
    <row r="385" customFormat="1" ht="15.75" customHeight="1"/>
    <row r="386" customFormat="1" ht="15.75" customHeight="1"/>
    <row r="387" customFormat="1" ht="15.75" customHeight="1"/>
    <row r="388" customFormat="1" ht="15.75" customHeight="1"/>
    <row r="389" customFormat="1" ht="15.75" customHeight="1"/>
    <row r="390" customFormat="1" ht="15.75" customHeight="1"/>
    <row r="391" customFormat="1" ht="15.75" customHeight="1"/>
    <row r="392" customFormat="1" ht="15.75" customHeight="1"/>
    <row r="393" customFormat="1" ht="15.75" customHeight="1"/>
    <row r="394" customFormat="1" ht="15.75" customHeight="1"/>
    <row r="395" customFormat="1" ht="15.75" customHeight="1"/>
    <row r="396" customFormat="1" ht="15.75" customHeight="1"/>
    <row r="397" customFormat="1" ht="15.75" customHeight="1"/>
    <row r="398" customFormat="1" ht="15.75" customHeight="1"/>
    <row r="399" customFormat="1" ht="15.75" customHeight="1"/>
    <row r="400" customFormat="1" ht="15.75" customHeight="1"/>
    <row r="401" customFormat="1" ht="15.75" customHeight="1"/>
    <row r="402" customFormat="1" ht="15.75" customHeight="1"/>
    <row r="403" customFormat="1" ht="15.75" customHeight="1"/>
    <row r="404" customFormat="1" ht="15.75" customHeight="1"/>
    <row r="405" customFormat="1" ht="15.75" customHeight="1"/>
    <row r="406" customFormat="1" ht="15.75" customHeight="1"/>
    <row r="407" customFormat="1" ht="15.75" customHeight="1"/>
    <row r="408" customFormat="1" ht="15.75" customHeight="1"/>
    <row r="409" customFormat="1" ht="15.75" customHeight="1"/>
    <row r="410" customFormat="1" ht="15.75" customHeight="1"/>
    <row r="411" customFormat="1" ht="15.75" customHeight="1"/>
    <row r="412" customFormat="1" ht="15.75" customHeight="1"/>
    <row r="413" customFormat="1" ht="15.75" customHeight="1"/>
    <row r="414" customFormat="1" ht="15.75" customHeight="1"/>
    <row r="415" customFormat="1" ht="15.75" customHeight="1"/>
    <row r="416" customFormat="1" ht="15.75" customHeight="1"/>
    <row r="417" customFormat="1" ht="15.75" customHeight="1"/>
    <row r="418" customFormat="1" ht="15.75" customHeight="1"/>
    <row r="419" customFormat="1" ht="15.75" customHeight="1"/>
    <row r="420" customFormat="1" ht="15.75" customHeight="1"/>
    <row r="421" customFormat="1" ht="15.75" customHeight="1"/>
    <row r="422" customFormat="1" ht="15.75" customHeight="1"/>
    <row r="423" customFormat="1" ht="15.75" customHeight="1"/>
    <row r="424" customFormat="1" ht="15.75" customHeight="1"/>
    <row r="425" customFormat="1" ht="15.75" customHeight="1"/>
    <row r="426" customFormat="1" ht="15.75" customHeight="1"/>
    <row r="427" customFormat="1" ht="15.75" customHeight="1"/>
    <row r="428" customFormat="1" ht="15.75" customHeight="1"/>
    <row r="429" customFormat="1" ht="15.75" customHeight="1"/>
    <row r="430" customFormat="1" ht="15.75" customHeight="1"/>
    <row r="431" customFormat="1" ht="15.75" customHeight="1"/>
    <row r="432" customFormat="1" ht="15.75" customHeight="1"/>
    <row r="433" customFormat="1" ht="15.75" customHeight="1"/>
    <row r="434" customFormat="1" ht="15.75" customHeight="1"/>
    <row r="435" customFormat="1" ht="15.75" customHeight="1"/>
    <row r="436" customFormat="1" ht="15.75" customHeight="1"/>
    <row r="437" customFormat="1" ht="15.75" customHeight="1"/>
    <row r="438" customFormat="1" ht="15.75" customHeight="1"/>
    <row r="439" customFormat="1" ht="15.75" customHeight="1"/>
    <row r="440" customFormat="1" ht="15.75" customHeight="1"/>
    <row r="441" customFormat="1" ht="15.75" customHeight="1"/>
    <row r="442" customFormat="1" ht="15.75" customHeight="1"/>
    <row r="443" customFormat="1" ht="15.75" customHeight="1"/>
    <row r="444" customFormat="1" ht="15.75" customHeight="1"/>
    <row r="445" customFormat="1" ht="15.75" customHeight="1"/>
    <row r="446" customFormat="1" ht="15.75" customHeight="1"/>
    <row r="447" customFormat="1" ht="15.75" customHeight="1"/>
    <row r="448" customFormat="1" ht="15.75" customHeight="1"/>
    <row r="449" customFormat="1" ht="15.75" customHeight="1"/>
    <row r="450" customFormat="1" ht="15.75" customHeight="1"/>
    <row r="451" customFormat="1" ht="15.75" customHeight="1"/>
    <row r="452" customFormat="1" ht="15.75" customHeight="1"/>
    <row r="453" customFormat="1" ht="15.75" customHeight="1"/>
    <row r="454" customFormat="1" ht="15.75" customHeight="1"/>
    <row r="455" customFormat="1" ht="15.75" customHeight="1"/>
    <row r="456" customFormat="1" ht="15.75" customHeight="1"/>
    <row r="457" customFormat="1" ht="15.75" customHeight="1"/>
    <row r="458" customFormat="1" ht="15.75" customHeight="1"/>
    <row r="459" customFormat="1" ht="15.75" customHeight="1"/>
    <row r="460" customFormat="1" ht="15.75" customHeight="1"/>
    <row r="461" customFormat="1" ht="15.75" customHeight="1"/>
    <row r="462" customFormat="1" ht="15.75" customHeight="1"/>
    <row r="463" customFormat="1" ht="15.75" customHeight="1"/>
    <row r="464" customFormat="1" ht="15.75" customHeight="1"/>
    <row r="465" customFormat="1" ht="15.75" customHeight="1"/>
    <row r="466" customFormat="1" ht="15.75" customHeight="1"/>
    <row r="467" customFormat="1" ht="15.75" customHeight="1"/>
    <row r="468" customFormat="1" ht="15.75" customHeight="1"/>
    <row r="469" customFormat="1" ht="15.75" customHeight="1"/>
    <row r="470" customFormat="1" ht="15.75" customHeight="1"/>
    <row r="471" customFormat="1" ht="15.75" customHeight="1"/>
    <row r="472" customFormat="1" ht="15.75" customHeight="1"/>
    <row r="473" customFormat="1" ht="15.75" customHeight="1"/>
    <row r="474" customFormat="1" ht="15.75" customHeight="1"/>
    <row r="475" customFormat="1" ht="15.75" customHeight="1"/>
    <row r="476" customFormat="1" ht="15.75" customHeight="1"/>
    <row r="477" customFormat="1" ht="15.75" customHeight="1"/>
    <row r="478" customFormat="1" ht="15.75" customHeight="1"/>
    <row r="479" customFormat="1" ht="15.75" customHeight="1"/>
    <row r="480" customFormat="1" ht="15.75" customHeight="1"/>
    <row r="481" customFormat="1" ht="15.75" customHeight="1"/>
    <row r="482" customFormat="1" ht="15.75" customHeight="1"/>
    <row r="483" customFormat="1" ht="15.75" customHeight="1"/>
    <row r="484" customFormat="1" ht="15.75" customHeight="1"/>
    <row r="485" customFormat="1" ht="15.75" customHeight="1"/>
    <row r="486" customFormat="1" ht="15.75" customHeight="1"/>
    <row r="487" customFormat="1" ht="15.75" customHeight="1"/>
    <row r="488" customFormat="1" ht="15.75" customHeight="1"/>
    <row r="489" customFormat="1" ht="15.75" customHeight="1"/>
    <row r="490" customFormat="1" ht="15.75" customHeight="1"/>
    <row r="491" customFormat="1" ht="15.75" customHeight="1"/>
    <row r="492" customFormat="1" ht="15.75" customHeight="1"/>
    <row r="493" customFormat="1" ht="15.75" customHeight="1"/>
    <row r="494" customFormat="1" ht="15.75" customHeight="1"/>
    <row r="495" customFormat="1" ht="15.75" customHeight="1"/>
    <row r="496" customFormat="1" ht="15.75" customHeight="1"/>
    <row r="497" customFormat="1" ht="15.75" customHeight="1"/>
    <row r="498" customFormat="1" ht="15.75" customHeight="1"/>
    <row r="499" customFormat="1" ht="15.75" customHeight="1"/>
    <row r="500" customFormat="1" ht="15.75" customHeight="1"/>
    <row r="501" customFormat="1" ht="15.75" customHeight="1"/>
    <row r="502" customFormat="1" ht="15.75" customHeight="1"/>
    <row r="503" customFormat="1" ht="15.75" customHeight="1"/>
    <row r="504" customFormat="1" ht="15.75" customHeight="1"/>
    <row r="505" customFormat="1" ht="15.75" customHeight="1"/>
    <row r="506" customFormat="1" ht="15.75" customHeight="1"/>
    <row r="507" customFormat="1" ht="15.75" customHeight="1"/>
    <row r="508" customFormat="1" ht="15.75" customHeight="1"/>
    <row r="509" customFormat="1" ht="15.75" customHeight="1"/>
    <row r="510" customFormat="1" ht="15.75" customHeight="1"/>
    <row r="511" customFormat="1" ht="15.75" customHeight="1"/>
    <row r="512" customFormat="1" ht="15.75" customHeight="1"/>
    <row r="513" customFormat="1" ht="15.75" customHeight="1"/>
    <row r="514" customFormat="1" ht="15.75" customHeight="1"/>
    <row r="515" customFormat="1" ht="15.75" customHeight="1"/>
    <row r="516" customFormat="1" ht="15.75" customHeight="1"/>
    <row r="517" customFormat="1" ht="15.75" customHeight="1"/>
    <row r="518" customFormat="1" ht="15.75" customHeight="1"/>
    <row r="519" customFormat="1" ht="15.75" customHeight="1"/>
    <row r="520" customFormat="1" ht="15.75" customHeight="1"/>
    <row r="521" customFormat="1" ht="15.75" customHeight="1"/>
    <row r="522" customFormat="1" ht="15.75" customHeight="1"/>
    <row r="523" customFormat="1" ht="15.75" customHeight="1"/>
    <row r="524" customFormat="1" ht="15.75" customHeight="1"/>
    <row r="525" customFormat="1" ht="15.75" customHeight="1"/>
    <row r="526" customFormat="1" ht="15.75" customHeight="1"/>
    <row r="527" customFormat="1" ht="15.75" customHeight="1"/>
    <row r="528" customFormat="1" ht="15.75" customHeight="1"/>
    <row r="529" customFormat="1" ht="15.75" customHeight="1"/>
    <row r="530" customFormat="1" ht="15.75" customHeight="1"/>
    <row r="531" customFormat="1" ht="15.75" customHeight="1"/>
    <row r="532" customFormat="1" ht="15.75" customHeight="1"/>
    <row r="533" customFormat="1" ht="15.75" customHeight="1"/>
    <row r="534" customFormat="1" ht="15.75" customHeight="1"/>
    <row r="535" customFormat="1" ht="15.75" customHeight="1"/>
    <row r="536" customFormat="1" ht="15.75" customHeight="1"/>
    <row r="537" customFormat="1" ht="15.75" customHeight="1"/>
    <row r="538" customFormat="1" ht="15.75" customHeight="1"/>
    <row r="539" customFormat="1" ht="15.75" customHeight="1"/>
    <row r="540" customFormat="1" ht="15.75" customHeight="1"/>
    <row r="541" customFormat="1" ht="15.75" customHeight="1"/>
    <row r="542" customFormat="1" ht="15.75" customHeight="1"/>
    <row r="543" customFormat="1" ht="15.75" customHeight="1"/>
    <row r="544" customFormat="1" ht="15.75" customHeight="1"/>
    <row r="545" customFormat="1" ht="15.75" customHeight="1"/>
    <row r="546" customFormat="1" ht="15.75" customHeight="1"/>
    <row r="547" customFormat="1" ht="15.75" customHeight="1"/>
    <row r="548" customFormat="1" ht="15.75" customHeight="1"/>
    <row r="549" customFormat="1" ht="15.75" customHeight="1"/>
    <row r="550" customFormat="1" ht="15.75" customHeight="1"/>
    <row r="551" customFormat="1" ht="15.75" customHeight="1"/>
    <row r="552" customFormat="1" ht="15.75" customHeight="1"/>
    <row r="553" customFormat="1" ht="15.75" customHeight="1"/>
    <row r="554" customFormat="1" ht="15.75" customHeight="1"/>
    <row r="555" customFormat="1" ht="15.75" customHeight="1"/>
    <row r="556" customFormat="1" ht="15.75" customHeight="1"/>
    <row r="557" customFormat="1" ht="15.75" customHeight="1"/>
    <row r="558" customFormat="1" ht="15.75" customHeight="1"/>
    <row r="559" customFormat="1" ht="15.75" customHeight="1"/>
    <row r="560" customFormat="1" ht="15.75" customHeight="1"/>
    <row r="561" customFormat="1" ht="15.75" customHeight="1"/>
    <row r="562" customFormat="1" ht="15.75" customHeight="1"/>
    <row r="563" customFormat="1" ht="15.75" customHeight="1"/>
    <row r="564" customFormat="1" ht="15.75" customHeight="1"/>
    <row r="565" customFormat="1" ht="15.75" customHeight="1"/>
    <row r="566" customFormat="1" ht="15.75" customHeight="1"/>
    <row r="567" customFormat="1" ht="15.75" customHeight="1"/>
    <row r="568" customFormat="1" ht="15.75" customHeight="1"/>
    <row r="569" customFormat="1" ht="15.75" customHeight="1"/>
    <row r="570" customFormat="1" ht="15.75" customHeight="1"/>
    <row r="571" customFormat="1" ht="15.75" customHeight="1"/>
    <row r="572" customFormat="1" ht="15.75" customHeight="1"/>
    <row r="573" customFormat="1" ht="15.75" customHeight="1"/>
    <row r="574" customFormat="1" ht="15.75" customHeight="1"/>
    <row r="575" customFormat="1" ht="15.75" customHeight="1"/>
    <row r="576" customFormat="1" ht="15.75" customHeight="1"/>
    <row r="577" customFormat="1" ht="15.75" customHeight="1"/>
    <row r="578" customFormat="1" ht="15.75" customHeight="1"/>
    <row r="579" customFormat="1" ht="15.75" customHeight="1"/>
    <row r="580" customFormat="1" ht="15.75" customHeight="1"/>
    <row r="581" customFormat="1" ht="15.75" customHeight="1"/>
    <row r="582" customFormat="1" ht="15.75" customHeight="1"/>
    <row r="583" customFormat="1" ht="15.75" customHeight="1"/>
    <row r="584" customFormat="1" ht="15.75" customHeight="1"/>
    <row r="585" customFormat="1" ht="15.75" customHeight="1"/>
    <row r="586" customFormat="1" ht="15.75" customHeight="1"/>
    <row r="587" customFormat="1" ht="15.75" customHeight="1"/>
    <row r="588" customFormat="1" ht="15.75" customHeight="1"/>
    <row r="589" customFormat="1" ht="15.75" customHeight="1"/>
    <row r="590" customFormat="1" ht="15.75" customHeight="1"/>
    <row r="591" customFormat="1" ht="15.75" customHeight="1"/>
    <row r="592" customFormat="1" ht="15.75" customHeight="1"/>
    <row r="593" customFormat="1" ht="15.75" customHeight="1"/>
    <row r="594" customFormat="1" ht="15.75" customHeight="1"/>
    <row r="595" customFormat="1" ht="15.75" customHeight="1"/>
    <row r="596" customFormat="1" ht="15.75" customHeight="1"/>
    <row r="597" customFormat="1" ht="15.75" customHeight="1"/>
    <row r="598" customFormat="1" ht="15.75" customHeight="1"/>
    <row r="599" customFormat="1" ht="15.75" customHeight="1"/>
    <row r="600" customFormat="1" ht="15.75" customHeight="1"/>
    <row r="601" customFormat="1" ht="15.75" customHeight="1"/>
    <row r="602" customFormat="1" ht="15.75" customHeight="1"/>
    <row r="603" customFormat="1" ht="15.75" customHeight="1"/>
    <row r="604" customFormat="1" ht="15.75" customHeight="1"/>
    <row r="605" customFormat="1" ht="15.75" customHeight="1"/>
    <row r="606" customFormat="1" ht="15.75" customHeight="1"/>
    <row r="607" customFormat="1" ht="15.75" customHeight="1"/>
    <row r="608" customFormat="1" ht="15.75" customHeight="1"/>
    <row r="609" customFormat="1" ht="15.75" customHeight="1"/>
    <row r="610" customFormat="1" ht="15.75" customHeight="1"/>
    <row r="611" customFormat="1" ht="15.75" customHeight="1"/>
    <row r="612" customFormat="1" ht="15.75" customHeight="1"/>
    <row r="613" customFormat="1" ht="15.75" customHeight="1"/>
    <row r="614" customFormat="1" ht="15.75" customHeight="1"/>
    <row r="615" customFormat="1" ht="15.75" customHeight="1"/>
    <row r="616" customFormat="1" ht="15.75" customHeight="1"/>
    <row r="617" customFormat="1" ht="15.75" customHeight="1"/>
    <row r="618" customFormat="1" ht="15.75" customHeight="1"/>
    <row r="619" customFormat="1" ht="15.75" customHeight="1"/>
    <row r="620" customFormat="1" ht="15.75" customHeight="1"/>
    <row r="621" customFormat="1" ht="15.75" customHeight="1"/>
    <row r="622" customFormat="1" ht="15.75" customHeight="1"/>
    <row r="623" customFormat="1" ht="15.75" customHeight="1"/>
    <row r="624" customFormat="1" ht="15.75" customHeight="1"/>
    <row r="625" customFormat="1" ht="15.75" customHeight="1"/>
    <row r="626" customFormat="1" ht="15.75" customHeight="1"/>
    <row r="627" customFormat="1" ht="15.75" customHeight="1"/>
    <row r="628" customFormat="1" ht="15.75" customHeight="1"/>
    <row r="629" customFormat="1" ht="15.75" customHeight="1"/>
    <row r="630" customFormat="1" ht="15.75" customHeight="1"/>
    <row r="631" customFormat="1" ht="15.75" customHeight="1"/>
    <row r="632" customFormat="1" ht="15.75" customHeight="1"/>
    <row r="633" customFormat="1" ht="15.75" customHeight="1"/>
    <row r="634" customFormat="1" ht="15.75" customHeight="1"/>
    <row r="635" customFormat="1" ht="15.75" customHeight="1"/>
    <row r="636" customFormat="1" ht="15.75" customHeight="1"/>
    <row r="637" customFormat="1" ht="15.75" customHeight="1"/>
    <row r="638" customFormat="1" ht="15.75" customHeight="1"/>
    <row r="639" customFormat="1" ht="15.75" customHeight="1"/>
    <row r="640" customFormat="1" ht="15.75" customHeight="1"/>
    <row r="641" customFormat="1" ht="15.75" customHeight="1"/>
    <row r="642" customFormat="1" ht="15.75" customHeight="1"/>
    <row r="643" customFormat="1" ht="15.75" customHeight="1"/>
    <row r="644" customFormat="1" ht="15.75" customHeight="1"/>
    <row r="645" customFormat="1" ht="15.75" customHeight="1"/>
    <row r="646" customFormat="1" ht="15.75" customHeight="1"/>
    <row r="647" customFormat="1" ht="15.75" customHeight="1"/>
    <row r="648" customFormat="1" ht="15.75" customHeight="1"/>
    <row r="649" customFormat="1" ht="15.75" customHeight="1"/>
    <row r="650" customFormat="1" ht="15.75" customHeight="1"/>
    <row r="651" customFormat="1" ht="15.75" customHeight="1"/>
    <row r="652" customFormat="1" ht="15.75" customHeight="1"/>
    <row r="653" customFormat="1" ht="15.75" customHeight="1"/>
    <row r="654" customFormat="1" ht="15.75" customHeight="1"/>
    <row r="655" customFormat="1" ht="15.75" customHeight="1"/>
    <row r="656" customFormat="1" ht="15.75" customHeight="1"/>
    <row r="657" customFormat="1" ht="15.75" customHeight="1"/>
    <row r="658" customFormat="1" ht="15.75" customHeight="1"/>
    <row r="659" customFormat="1" ht="15.75" customHeight="1"/>
    <row r="660" customFormat="1" ht="15.75" customHeight="1"/>
    <row r="661" customFormat="1" ht="15.75" customHeight="1"/>
    <row r="662" customFormat="1" ht="15.75" customHeight="1"/>
    <row r="663" customFormat="1" ht="15.75" customHeight="1"/>
    <row r="664" customFormat="1" ht="15.75" customHeight="1"/>
    <row r="665" customFormat="1" ht="15.75" customHeight="1"/>
    <row r="666" customFormat="1" ht="15.75" customHeight="1"/>
    <row r="667" customFormat="1" ht="15.75" customHeight="1"/>
    <row r="668" customFormat="1" ht="15.75" customHeight="1"/>
    <row r="669" customFormat="1" ht="15.75" customHeight="1"/>
    <row r="670" customFormat="1" ht="15.75" customHeight="1"/>
    <row r="671" customFormat="1" ht="15.75" customHeight="1"/>
    <row r="672" customFormat="1" ht="15.75" customHeight="1"/>
    <row r="673" customFormat="1" ht="15.75" customHeight="1"/>
    <row r="674" customFormat="1" ht="15.75" customHeight="1"/>
    <row r="675" customFormat="1" ht="15.75" customHeight="1"/>
    <row r="676" customFormat="1" ht="15.75" customHeight="1"/>
    <row r="677" customFormat="1" ht="15.75" customHeight="1"/>
    <row r="678" customFormat="1" ht="15.75" customHeight="1"/>
    <row r="679" customFormat="1" ht="15.75" customHeight="1"/>
    <row r="680" customFormat="1" ht="15.75" customHeight="1"/>
    <row r="681" customFormat="1" ht="15.75" customHeight="1"/>
    <row r="682" customFormat="1" ht="15.75" customHeight="1"/>
    <row r="683" customFormat="1" ht="15.75" customHeight="1"/>
    <row r="684" customFormat="1" ht="15.75" customHeight="1"/>
    <row r="685" customFormat="1" ht="15.75" customHeight="1"/>
    <row r="686" customFormat="1" ht="15.75" customHeight="1"/>
    <row r="687" customFormat="1" ht="15.75" customHeight="1"/>
    <row r="688" customFormat="1" ht="15.75" customHeight="1"/>
    <row r="689" customFormat="1" ht="15.75" customHeight="1"/>
    <row r="690" customFormat="1" ht="15.75" customHeight="1"/>
    <row r="691" customFormat="1" ht="15.75" customHeight="1"/>
    <row r="692" customFormat="1" ht="15.75" customHeight="1"/>
    <row r="693" customFormat="1" ht="15.75" customHeight="1"/>
    <row r="694" customFormat="1" ht="15.75" customHeight="1"/>
    <row r="695" customFormat="1" ht="15.75" customHeight="1"/>
    <row r="696" customFormat="1" ht="15.75" customHeight="1"/>
    <row r="697" customFormat="1" ht="15.75" customHeight="1"/>
    <row r="698" customFormat="1" ht="15.75" customHeight="1"/>
    <row r="699" customFormat="1" ht="15.75" customHeight="1"/>
    <row r="700" customFormat="1" ht="15.75" customHeight="1"/>
    <row r="701" customFormat="1" ht="15.75" customHeight="1"/>
    <row r="702" customFormat="1" ht="15.75" customHeight="1"/>
    <row r="703" customFormat="1" ht="15.75" customHeight="1"/>
    <row r="704" customFormat="1" ht="15.75" customHeight="1"/>
    <row r="705" customFormat="1" ht="15.75" customHeight="1"/>
    <row r="706" customFormat="1" ht="15.75" customHeight="1"/>
    <row r="707" customFormat="1" ht="15.75" customHeight="1"/>
    <row r="708" customFormat="1" ht="15.75" customHeight="1"/>
    <row r="709" customFormat="1" ht="15.75" customHeight="1"/>
    <row r="710" customFormat="1" ht="15.75" customHeight="1"/>
    <row r="711" customFormat="1" ht="15.75" customHeight="1"/>
    <row r="712" customFormat="1" ht="15.75" customHeight="1"/>
    <row r="713" customFormat="1" ht="15.75" customHeight="1"/>
    <row r="714" customFormat="1" ht="15.75" customHeight="1"/>
    <row r="715" customFormat="1" ht="15.75" customHeight="1"/>
    <row r="716" customFormat="1" ht="15.75" customHeight="1"/>
    <row r="717" customFormat="1" ht="15.75" customHeight="1"/>
    <row r="718" customFormat="1" ht="15.75" customHeight="1"/>
    <row r="719" customFormat="1" ht="15.75" customHeight="1"/>
    <row r="720" customFormat="1" ht="15.75" customHeight="1"/>
    <row r="721" customFormat="1" ht="15.75" customHeight="1"/>
    <row r="722" customFormat="1" ht="15.75" customHeight="1"/>
    <row r="723" customFormat="1" ht="15.75" customHeight="1"/>
    <row r="724" customFormat="1" ht="15.75" customHeight="1"/>
    <row r="725" customFormat="1" ht="15.75" customHeight="1"/>
    <row r="726" customFormat="1" ht="15.75" customHeight="1"/>
    <row r="727" customFormat="1" ht="15.75" customHeight="1"/>
    <row r="728" customFormat="1" ht="15.75" customHeight="1"/>
    <row r="729" customFormat="1" ht="15.75" customHeight="1"/>
    <row r="730" customFormat="1" ht="15.75" customHeight="1"/>
    <row r="731" customFormat="1" ht="15.75" customHeight="1"/>
    <row r="732" customFormat="1" ht="15.75" customHeight="1"/>
    <row r="733" customFormat="1" ht="15.75" customHeight="1"/>
    <row r="734" customFormat="1" ht="15.75" customHeight="1"/>
    <row r="735" customFormat="1" ht="15.75" customHeight="1"/>
    <row r="736" customFormat="1" ht="15.75" customHeight="1"/>
    <row r="737" customFormat="1" ht="15.75" customHeight="1"/>
    <row r="738" customFormat="1" ht="15.75" customHeight="1"/>
    <row r="739" customFormat="1" ht="15.75" customHeight="1"/>
    <row r="740" customFormat="1" ht="15.75" customHeight="1"/>
    <row r="741" customFormat="1" ht="15.75" customHeight="1"/>
    <row r="742" customFormat="1" ht="15.75" customHeight="1"/>
    <row r="743" customFormat="1" ht="15.75" customHeight="1"/>
    <row r="744" customFormat="1" ht="15.75" customHeight="1"/>
    <row r="745" customFormat="1" ht="15.75" customHeight="1"/>
    <row r="746" customFormat="1" ht="15.75" customHeight="1"/>
    <row r="747" customFormat="1" ht="15.75" customHeight="1"/>
    <row r="748" customFormat="1" ht="15.75" customHeight="1"/>
    <row r="749" customFormat="1" ht="15.75" customHeight="1"/>
    <row r="750" customFormat="1" ht="15.75" customHeight="1"/>
    <row r="751" customFormat="1" ht="15.75" customHeight="1"/>
    <row r="752" customFormat="1" ht="15.75" customHeight="1"/>
    <row r="753" customFormat="1" ht="15.75" customHeight="1"/>
    <row r="754" customFormat="1" ht="15.75" customHeight="1"/>
    <row r="755" customFormat="1" ht="15.75" customHeight="1"/>
    <row r="756" customFormat="1" ht="15.75" customHeight="1"/>
    <row r="757" customFormat="1" ht="15.75" customHeight="1"/>
    <row r="758" customFormat="1" ht="15.75" customHeight="1"/>
    <row r="759" customFormat="1" ht="15.75" customHeight="1"/>
    <row r="760" customFormat="1" ht="15.75" customHeight="1"/>
    <row r="761" customFormat="1" ht="15.75" customHeight="1"/>
    <row r="762" customFormat="1" ht="15.75" customHeight="1"/>
    <row r="763" customFormat="1" ht="15.75" customHeight="1"/>
    <row r="764" customFormat="1" ht="15.75" customHeight="1"/>
    <row r="765" customFormat="1" ht="15.75" customHeight="1"/>
    <row r="766" customFormat="1" ht="15.75" customHeight="1"/>
    <row r="767" customFormat="1" ht="15.75" customHeight="1"/>
    <row r="768" customFormat="1" ht="15.75" customHeight="1"/>
    <row r="769" customFormat="1" ht="15.75" customHeight="1"/>
    <row r="770" customFormat="1" ht="15.75" customHeight="1"/>
    <row r="771" customFormat="1" ht="15.75" customHeight="1"/>
    <row r="772" customFormat="1" ht="15.75" customHeight="1"/>
    <row r="773" customFormat="1" ht="15.75" customHeight="1"/>
    <row r="774" customFormat="1" ht="15.75" customHeight="1"/>
    <row r="775" customFormat="1" ht="15.75" customHeight="1"/>
    <row r="776" customFormat="1" ht="15.75" customHeight="1"/>
    <row r="777" customFormat="1" ht="15.75" customHeight="1"/>
    <row r="778" customFormat="1" ht="15.75" customHeight="1"/>
    <row r="779" customFormat="1" ht="15.75" customHeight="1"/>
    <row r="780" customFormat="1" ht="15.75" customHeight="1"/>
    <row r="781" customFormat="1" ht="15.75" customHeight="1"/>
    <row r="782" customFormat="1" ht="15.75" customHeight="1"/>
    <row r="783" customFormat="1" ht="15.75" customHeight="1"/>
    <row r="784" customFormat="1" ht="15.75" customHeight="1"/>
    <row r="785" customFormat="1" ht="15.75" customHeight="1"/>
    <row r="786" customFormat="1" ht="15.75" customHeight="1"/>
    <row r="787" customFormat="1" ht="15.75" customHeight="1"/>
    <row r="788" customFormat="1" ht="15.75" customHeight="1"/>
    <row r="789" customFormat="1" ht="15.75" customHeight="1"/>
    <row r="790" customFormat="1" ht="15.75" customHeight="1"/>
    <row r="791" customFormat="1" ht="15.75" customHeight="1"/>
    <row r="792" customFormat="1" ht="15.75" customHeight="1"/>
    <row r="793" customFormat="1" ht="15.75" customHeight="1"/>
    <row r="794" customFormat="1" ht="15.75" customHeight="1"/>
    <row r="795" customFormat="1" ht="15.75" customHeight="1"/>
    <row r="796" customFormat="1" ht="15.75" customHeight="1"/>
    <row r="797" customFormat="1" ht="15.75" customHeight="1"/>
    <row r="798" customFormat="1" ht="15.75" customHeight="1"/>
    <row r="799" customFormat="1" ht="15.75" customHeight="1"/>
    <row r="800" customFormat="1" ht="15.75" customHeight="1"/>
    <row r="801" customFormat="1" ht="15.75" customHeight="1"/>
    <row r="802" customFormat="1" ht="15.75" customHeight="1"/>
    <row r="803" customFormat="1" ht="15.75" customHeight="1"/>
    <row r="804" customFormat="1" ht="15.75" customHeight="1"/>
    <row r="805" customFormat="1" ht="15.75" customHeight="1"/>
    <row r="806" customFormat="1" ht="15.75" customHeight="1"/>
    <row r="807" customFormat="1" ht="15.75" customHeight="1"/>
    <row r="808" customFormat="1" ht="15.75" customHeight="1"/>
    <row r="809" customFormat="1" ht="15.75" customHeight="1"/>
    <row r="810" customFormat="1" ht="15.75" customHeight="1"/>
    <row r="811" customFormat="1" ht="15.75" customHeight="1"/>
    <row r="812" customFormat="1" ht="15.75" customHeight="1"/>
    <row r="813" customFormat="1" ht="15.75" customHeight="1"/>
    <row r="814" customFormat="1" ht="15.75" customHeight="1"/>
    <row r="815" customFormat="1" ht="15.75" customHeight="1"/>
    <row r="816" customFormat="1" ht="15.75" customHeight="1"/>
    <row r="817" customFormat="1" ht="15.75" customHeight="1"/>
    <row r="818" customFormat="1" ht="15.75" customHeight="1"/>
    <row r="819" customFormat="1" ht="15.75" customHeight="1"/>
    <row r="820" customFormat="1" ht="15.75" customHeight="1"/>
    <row r="821" customFormat="1" ht="15.75" customHeight="1"/>
    <row r="822" customFormat="1" ht="15.75" customHeight="1"/>
    <row r="823" customFormat="1" ht="15.75" customHeight="1"/>
    <row r="824" customFormat="1" ht="15.75" customHeight="1"/>
    <row r="825" customFormat="1" ht="15.75" customHeight="1"/>
    <row r="826" customFormat="1" ht="15.75" customHeight="1"/>
    <row r="827" customFormat="1" ht="15.75" customHeight="1"/>
    <row r="828" customFormat="1" ht="15.75" customHeight="1"/>
    <row r="829" customFormat="1" ht="15.75" customHeight="1"/>
    <row r="830" customFormat="1" ht="15.75" customHeight="1"/>
    <row r="831" customFormat="1" ht="15.75" customHeight="1"/>
    <row r="832" customFormat="1" ht="15.75" customHeight="1"/>
    <row r="833" customFormat="1" ht="15.75" customHeight="1"/>
    <row r="834" customFormat="1" ht="15.75" customHeight="1"/>
    <row r="835" customFormat="1" ht="15.75" customHeight="1"/>
    <row r="836" customFormat="1" ht="15.75" customHeight="1"/>
    <row r="837" customFormat="1" ht="15.75" customHeight="1"/>
    <row r="838" customFormat="1" ht="15.75" customHeight="1"/>
    <row r="839" customFormat="1" ht="15.75" customHeight="1"/>
    <row r="840" customFormat="1" ht="15.75" customHeight="1"/>
    <row r="841" customFormat="1" ht="15.75" customHeight="1"/>
    <row r="842" customFormat="1" ht="15.75" customHeight="1"/>
    <row r="843" customFormat="1" ht="15.75" customHeight="1"/>
    <row r="844" customFormat="1" ht="15.75" customHeight="1"/>
    <row r="845" customFormat="1" ht="15.75" customHeight="1"/>
    <row r="846" customFormat="1" ht="15.75" customHeight="1"/>
    <row r="847" customFormat="1" ht="15.75" customHeight="1"/>
    <row r="848" customFormat="1" ht="15.75" customHeight="1"/>
    <row r="849" customFormat="1" ht="15.75" customHeight="1"/>
    <row r="850" customFormat="1" ht="15.75" customHeight="1"/>
    <row r="851" customFormat="1" ht="15.75" customHeight="1"/>
    <row r="852" customFormat="1" ht="15.75" customHeight="1"/>
    <row r="853" customFormat="1" ht="15.75" customHeight="1"/>
    <row r="854" customFormat="1" ht="15.75" customHeight="1"/>
    <row r="855" customFormat="1" ht="15.75" customHeight="1"/>
    <row r="856" customFormat="1" ht="15.75" customHeight="1"/>
    <row r="857" customFormat="1" ht="15.75" customHeight="1"/>
    <row r="858" customFormat="1" ht="15.75" customHeight="1"/>
    <row r="859" customFormat="1" ht="15.75" customHeight="1"/>
    <row r="860" customFormat="1" ht="15.75" customHeight="1"/>
    <row r="861" customFormat="1" ht="15.75" customHeight="1"/>
    <row r="862" customFormat="1" ht="15.75" customHeight="1"/>
    <row r="863" customFormat="1" ht="15.75" customHeight="1"/>
    <row r="864" customFormat="1" ht="15.75" customHeight="1"/>
    <row r="865" customFormat="1" ht="15.75" customHeight="1"/>
    <row r="866" customFormat="1" ht="15.75" customHeight="1"/>
    <row r="867" customFormat="1" ht="15.75" customHeight="1"/>
    <row r="868" customFormat="1" ht="15.75" customHeight="1"/>
    <row r="869" customFormat="1" ht="15.75" customHeight="1"/>
    <row r="870" customFormat="1" ht="15.75" customHeight="1"/>
    <row r="871" customFormat="1" ht="15.75" customHeight="1"/>
    <row r="872" customFormat="1" ht="15.75" customHeight="1"/>
    <row r="873" customFormat="1" ht="15.75" customHeight="1"/>
    <row r="874" customFormat="1" ht="15.75" customHeight="1"/>
    <row r="875" customFormat="1" ht="15.75" customHeight="1"/>
    <row r="876" customFormat="1" ht="15.75" customHeight="1"/>
    <row r="877" customFormat="1" ht="15.75" customHeight="1"/>
    <row r="878" customFormat="1" ht="15.75" customHeight="1"/>
    <row r="879" customFormat="1" ht="15.75" customHeight="1"/>
    <row r="880" customFormat="1" ht="15.75" customHeight="1"/>
    <row r="881" customFormat="1" ht="15.75" customHeight="1"/>
    <row r="882" customFormat="1" ht="15.75" customHeight="1"/>
    <row r="883" customFormat="1" ht="15.75" customHeight="1"/>
    <row r="884" customFormat="1" ht="15.75" customHeight="1"/>
    <row r="885" customFormat="1" ht="15.75" customHeight="1"/>
    <row r="886" customFormat="1" ht="15.75" customHeight="1"/>
    <row r="887" customFormat="1" ht="15.75" customHeight="1"/>
    <row r="888" customFormat="1" ht="15.75" customHeight="1"/>
    <row r="889" customFormat="1" ht="15.75" customHeight="1"/>
    <row r="890" customFormat="1" ht="15.75" customHeight="1"/>
    <row r="891" customFormat="1" ht="15.75" customHeight="1"/>
    <row r="892" customFormat="1" ht="15.75" customHeight="1"/>
    <row r="893" customFormat="1" ht="15.75" customHeight="1"/>
    <row r="894" customFormat="1" ht="15.75" customHeight="1"/>
    <row r="895" customFormat="1" ht="15.75" customHeight="1"/>
    <row r="896" customFormat="1" ht="15.75" customHeight="1"/>
    <row r="897" customFormat="1" ht="15.75" customHeight="1"/>
    <row r="898" customFormat="1" ht="15.75" customHeight="1"/>
    <row r="899" customFormat="1" ht="15.75" customHeight="1"/>
    <row r="900" customFormat="1" ht="15.75" customHeight="1"/>
    <row r="901" customFormat="1" ht="15.75" customHeight="1"/>
    <row r="902" customFormat="1" ht="15.75" customHeight="1"/>
    <row r="903" customFormat="1" ht="15.75" customHeight="1"/>
    <row r="904" customFormat="1" ht="15.75" customHeight="1"/>
    <row r="905" customFormat="1" ht="15.75" customHeight="1"/>
    <row r="906" customFormat="1" ht="15.75" customHeight="1"/>
    <row r="907" customFormat="1" ht="15.75" customHeight="1"/>
    <row r="908" customFormat="1" ht="15.75" customHeight="1"/>
    <row r="909" customFormat="1" ht="15.75" customHeight="1"/>
    <row r="910" customFormat="1" ht="15.75" customHeight="1"/>
    <row r="911" customFormat="1" ht="15.75" customHeight="1"/>
    <row r="912" customFormat="1" ht="15.75" customHeight="1"/>
    <row r="913" customFormat="1" ht="15.75" customHeight="1"/>
    <row r="914" customFormat="1" ht="15.75" customHeight="1"/>
    <row r="915" customFormat="1" ht="15.75" customHeight="1"/>
    <row r="916" customFormat="1" ht="15.75" customHeight="1"/>
    <row r="917" customFormat="1" ht="15.75" customHeight="1"/>
    <row r="918" customFormat="1" ht="15.75" customHeight="1"/>
    <row r="919" customFormat="1" ht="15.75" customHeight="1"/>
    <row r="920" customFormat="1" ht="15.75" customHeight="1"/>
    <row r="921" customFormat="1" ht="15.75" customHeight="1"/>
    <row r="922" customFormat="1" ht="15.75" customHeight="1"/>
    <row r="923" customFormat="1" ht="15.75" customHeight="1"/>
    <row r="924" customFormat="1" ht="15.75" customHeight="1"/>
    <row r="925" customFormat="1" ht="15.75" customHeight="1"/>
    <row r="926" customFormat="1" ht="15.75" customHeight="1"/>
    <row r="927" customFormat="1" ht="15.75" customHeight="1"/>
    <row r="928" customFormat="1" ht="15.75" customHeight="1"/>
    <row r="929" customFormat="1" ht="15.75" customHeight="1"/>
    <row r="930" customFormat="1" ht="15.75" customHeight="1"/>
    <row r="931" customFormat="1" ht="15.75" customHeight="1"/>
    <row r="932" customFormat="1" ht="15.75" customHeight="1"/>
    <row r="933" customFormat="1" ht="15.75" customHeight="1"/>
    <row r="934" customFormat="1" ht="15.75" customHeight="1"/>
    <row r="935" customFormat="1" ht="15.75" customHeight="1"/>
    <row r="936" customFormat="1" ht="15.75" customHeight="1"/>
    <row r="937" customFormat="1" ht="15.75" customHeight="1"/>
    <row r="938" customFormat="1" ht="15.75" customHeight="1"/>
    <row r="939" customFormat="1" ht="15.75" customHeight="1"/>
    <row r="940" customFormat="1" ht="15.75" customHeight="1"/>
    <row r="941" customFormat="1" ht="15.75" customHeight="1"/>
    <row r="942" customFormat="1" ht="15.75" customHeight="1"/>
    <row r="943" customFormat="1" ht="15.75" customHeight="1"/>
    <row r="944" customFormat="1" ht="15.75" customHeight="1"/>
    <row r="945" customFormat="1" ht="15.75" customHeight="1"/>
    <row r="946" customFormat="1" ht="15.75" customHeight="1"/>
    <row r="947" customFormat="1" ht="15.75" customHeight="1"/>
    <row r="948" customFormat="1" ht="15.75" customHeight="1"/>
    <row r="949" customFormat="1" ht="15.75" customHeight="1"/>
    <row r="950" customFormat="1" ht="15.75" customHeight="1"/>
    <row r="951" customFormat="1" ht="15.75" customHeight="1"/>
    <row r="952" customFormat="1" ht="15.75" customHeight="1"/>
    <row r="953" customFormat="1" ht="15.75" customHeight="1"/>
    <row r="954" customFormat="1" ht="15.75" customHeight="1"/>
    <row r="955" customFormat="1" ht="15.75" customHeight="1"/>
    <row r="956" customFormat="1" ht="15.75" customHeight="1"/>
    <row r="957" customFormat="1" ht="15.75" customHeight="1"/>
    <row r="958" customFormat="1" ht="15.75" customHeight="1"/>
    <row r="959" customFormat="1" ht="15.75" customHeight="1"/>
    <row r="960" customFormat="1" ht="15.75" customHeight="1"/>
    <row r="961" customFormat="1" ht="15.75" customHeight="1"/>
    <row r="962" customFormat="1" ht="15.75" customHeight="1"/>
    <row r="963" customFormat="1" ht="15.75" customHeight="1"/>
    <row r="964" customFormat="1" ht="15.75" customHeight="1"/>
    <row r="965" customFormat="1" ht="15.75" customHeight="1"/>
    <row r="966" customFormat="1" ht="15.75" customHeight="1"/>
    <row r="967" customFormat="1" ht="15.75" customHeight="1"/>
    <row r="968" customFormat="1" ht="15.75" customHeight="1"/>
    <row r="969" customFormat="1" ht="15.75" customHeight="1"/>
    <row r="970" customFormat="1" ht="15.75" customHeight="1"/>
    <row r="971" customFormat="1" ht="15.75" customHeight="1"/>
    <row r="972" customFormat="1" ht="15.75" customHeight="1"/>
    <row r="973" customFormat="1" ht="15.75" customHeight="1"/>
    <row r="974" customFormat="1" ht="15.75" customHeight="1"/>
    <row r="975" customFormat="1" ht="15.75" customHeight="1"/>
    <row r="976" customFormat="1" ht="15.75" customHeight="1"/>
    <row r="977" customFormat="1" ht="15.75" customHeight="1"/>
    <row r="978" customFormat="1" ht="15.75" customHeight="1"/>
    <row r="979" customFormat="1" ht="15.75" customHeight="1"/>
    <row r="980" customFormat="1" ht="15.75" customHeight="1"/>
    <row r="981" customFormat="1" ht="15.75" customHeight="1"/>
  </sheetData>
  <sheetProtection algorithmName="SHA-512" hashValue="/I7tBHlLu7z4IU40/w6P1NOqGVonRj0cvmukDZBZD4h7MYIzkcKkzZUoGSnHEY2439x+QwZliNBwN+lBd/bn5A==" saltValue="f4roIIXGGgBHXW83InvYwQ==" spinCount="100000" sheet="1" objects="1" scenarios="1"/>
  <mergeCells count="58">
    <mergeCell ref="V7:Z7"/>
    <mergeCell ref="B34:F34"/>
    <mergeCell ref="B47:G47"/>
    <mergeCell ref="B17:F17"/>
    <mergeCell ref="H2:L2"/>
    <mergeCell ref="O2:S2"/>
    <mergeCell ref="B26:F26"/>
    <mergeCell ref="B27:F27"/>
    <mergeCell ref="B28:F28"/>
    <mergeCell ref="B43:G43"/>
    <mergeCell ref="B44:G44"/>
    <mergeCell ref="B41:G41"/>
    <mergeCell ref="B42:G42"/>
    <mergeCell ref="B46:G46"/>
    <mergeCell ref="B45:G45"/>
    <mergeCell ref="B30:F30"/>
    <mergeCell ref="AC2:AG2"/>
    <mergeCell ref="B33:F33"/>
    <mergeCell ref="E11:G11"/>
    <mergeCell ref="B13:F13"/>
    <mergeCell ref="B14:F14"/>
    <mergeCell ref="B20:F20"/>
    <mergeCell ref="B21:F21"/>
    <mergeCell ref="B22:F22"/>
    <mergeCell ref="B23:F23"/>
    <mergeCell ref="B24:F24"/>
    <mergeCell ref="B25:F25"/>
    <mergeCell ref="V2:Z2"/>
    <mergeCell ref="D3:F3"/>
    <mergeCell ref="D4:F4"/>
    <mergeCell ref="H7:L7"/>
    <mergeCell ref="O7:S7"/>
    <mergeCell ref="B40:G40"/>
    <mergeCell ref="B15:F15"/>
    <mergeCell ref="B16:F16"/>
    <mergeCell ref="B29:F29"/>
    <mergeCell ref="B18:F18"/>
    <mergeCell ref="B19:F19"/>
    <mergeCell ref="B31:F31"/>
    <mergeCell ref="B32:F32"/>
    <mergeCell ref="B35:F35"/>
    <mergeCell ref="B38:G38"/>
    <mergeCell ref="B39:G39"/>
    <mergeCell ref="B48:G48"/>
    <mergeCell ref="B50:G50"/>
    <mergeCell ref="B51:G51"/>
    <mergeCell ref="B52:G52"/>
    <mergeCell ref="B59:G59"/>
    <mergeCell ref="B57:G57"/>
    <mergeCell ref="B58:G58"/>
    <mergeCell ref="B53:G53"/>
    <mergeCell ref="B54:G54"/>
    <mergeCell ref="B55:G55"/>
    <mergeCell ref="B62:G62"/>
    <mergeCell ref="B64:G64"/>
    <mergeCell ref="B65:G65"/>
    <mergeCell ref="I65:N65"/>
    <mergeCell ref="B60:G60"/>
  </mergeCells>
  <conditionalFormatting sqref="A1">
    <cfRule type="notContainsBlanks" dxfId="7" priority="3">
      <formula>LEN(TRIM(A1))&gt;0</formula>
    </cfRule>
  </conditionalFormatting>
  <conditionalFormatting sqref="A64 C64:AV64">
    <cfRule type="cellIs" dxfId="6" priority="1" operator="lessThan">
      <formula>0</formula>
    </cfRule>
  </conditionalFormatting>
  <conditionalFormatting sqref="A35:AV35">
    <cfRule type="cellIs" dxfId="5" priority="4" operator="lessThan">
      <formula>0</formula>
    </cfRule>
  </conditionalFormatting>
  <conditionalFormatting sqref="B64:B65">
    <cfRule type="cellIs" dxfId="4" priority="2" operator="lessThan">
      <formula>0</formula>
    </cfRule>
  </conditionalFormatting>
  <dataValidations count="2">
    <dataValidation type="decimal" operator="lessThanOrEqual" allowBlank="1" showDropDown="1" sqref="H21:AV21" xr:uid="{34A6D449-FC16-4D28-ACC5-A157CA845EF4}">
      <formula1>0</formula1>
    </dataValidation>
    <dataValidation type="decimal" operator="lessThanOrEqual" allowBlank="1" showInputMessage="1" showErrorMessage="1" prompt="This number should be entered as a negative figure." sqref="H20:AU20" xr:uid="{18CD8AF3-FB2A-4229-A43C-8950CA926C23}">
      <formula1>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7A536-E718-47E2-A120-11C4D83CF67B}">
  <sheetPr>
    <tabColor rgb="FF66FFFF"/>
  </sheetPr>
  <dimension ref="A1:AA1000"/>
  <sheetViews>
    <sheetView showGridLines="0" workbookViewId="0"/>
  </sheetViews>
  <sheetFormatPr defaultColWidth="13" defaultRowHeight="14.4"/>
  <cols>
    <col min="1" max="1" width="4.44140625" customWidth="1"/>
    <col min="2" max="2" width="35.33203125" customWidth="1"/>
    <col min="3" max="3" width="16.6640625" customWidth="1"/>
    <col min="4" max="4" width="15.44140625" customWidth="1"/>
    <col min="5" max="5" width="14.6640625" customWidth="1"/>
    <col min="6" max="14" width="13.44140625" customWidth="1"/>
    <col min="15" max="18" width="15.33203125" customWidth="1"/>
    <col min="19" max="19" width="16" customWidth="1"/>
    <col min="20" max="20" width="12.6640625" customWidth="1"/>
    <col min="21" max="27" width="9.6640625" customWidth="1"/>
  </cols>
  <sheetData>
    <row r="1" spans="1:27" ht="16.2">
      <c r="A1" s="719"/>
      <c r="B1" s="672"/>
      <c r="C1" s="672"/>
      <c r="D1" s="672"/>
      <c r="E1" s="672"/>
      <c r="F1" s="672"/>
      <c r="G1" s="672"/>
      <c r="H1" s="672"/>
      <c r="I1" s="672"/>
      <c r="J1" s="672"/>
      <c r="K1" s="672"/>
      <c r="L1" s="672"/>
      <c r="M1" s="672"/>
      <c r="N1" s="672"/>
      <c r="O1" s="672"/>
      <c r="P1" s="672"/>
      <c r="Q1" s="672"/>
      <c r="R1" s="672"/>
      <c r="S1" s="672"/>
      <c r="T1" s="672"/>
      <c r="U1" s="672"/>
      <c r="V1" s="672"/>
      <c r="W1" s="672"/>
      <c r="X1" s="672"/>
      <c r="Y1" s="672"/>
      <c r="Z1" s="672"/>
      <c r="AA1" s="672"/>
    </row>
    <row r="2" spans="1:27" ht="18">
      <c r="A2" s="719"/>
      <c r="B2" s="871" t="s">
        <v>4415</v>
      </c>
      <c r="C2" s="809"/>
      <c r="D2" s="809"/>
      <c r="E2" s="809"/>
      <c r="F2" s="809"/>
      <c r="G2" s="809"/>
      <c r="H2" s="809"/>
      <c r="I2" s="809"/>
      <c r="J2" s="809"/>
      <c r="K2" s="809"/>
      <c r="L2" s="809"/>
      <c r="M2" s="809"/>
      <c r="N2" s="809"/>
      <c r="O2" s="809"/>
      <c r="P2" s="809"/>
      <c r="Q2" s="809"/>
      <c r="R2" s="809"/>
      <c r="S2" s="809"/>
      <c r="T2" s="809"/>
      <c r="U2" s="809"/>
      <c r="V2" s="809"/>
      <c r="W2" s="809"/>
      <c r="X2" s="809"/>
      <c r="Y2" s="809"/>
      <c r="Z2" s="809"/>
      <c r="AA2" s="809"/>
    </row>
    <row r="3" spans="1:27" ht="16.2">
      <c r="A3" s="719"/>
      <c r="B3" s="1048" t="s">
        <v>1019</v>
      </c>
      <c r="C3" s="1192">
        <f>Application!B29</f>
        <v>0</v>
      </c>
      <c r="D3" s="1109"/>
      <c r="E3" s="809"/>
      <c r="F3" s="809"/>
      <c r="G3" s="809"/>
      <c r="H3" s="809"/>
      <c r="I3" s="809"/>
      <c r="J3" s="809"/>
      <c r="K3" s="809"/>
      <c r="L3" s="809"/>
      <c r="M3" s="809"/>
      <c r="N3" s="809"/>
      <c r="O3" s="809"/>
      <c r="P3" s="809"/>
      <c r="Q3" s="809"/>
      <c r="R3" s="809"/>
      <c r="S3" s="809"/>
      <c r="T3" s="809"/>
      <c r="U3" s="809"/>
      <c r="V3" s="809"/>
      <c r="W3" s="809"/>
      <c r="X3" s="809"/>
      <c r="Y3" s="809"/>
      <c r="Z3" s="809"/>
      <c r="AA3" s="809"/>
    </row>
    <row r="4" spans="1:27" ht="16.2">
      <c r="A4" s="719"/>
      <c r="B4" s="1048" t="s">
        <v>1020</v>
      </c>
      <c r="C4" s="1192">
        <f>'Contact Information'!B6</f>
        <v>0</v>
      </c>
      <c r="D4" s="1109"/>
      <c r="E4" s="809"/>
      <c r="F4" s="809"/>
      <c r="G4" s="809"/>
      <c r="H4" s="809"/>
      <c r="I4" s="809"/>
      <c r="J4" s="809"/>
      <c r="K4" s="809"/>
      <c r="L4" s="809"/>
      <c r="M4" s="809"/>
      <c r="N4" s="809"/>
      <c r="O4" s="809"/>
      <c r="P4" s="809"/>
      <c r="Q4" s="809"/>
      <c r="R4" s="809"/>
      <c r="S4" s="809"/>
      <c r="T4" s="809"/>
      <c r="U4" s="809"/>
      <c r="V4" s="809"/>
      <c r="W4" s="809"/>
      <c r="X4" s="809"/>
      <c r="Y4" s="809"/>
      <c r="Z4" s="809"/>
      <c r="AA4" s="809"/>
    </row>
    <row r="5" spans="1:27" ht="16.2">
      <c r="A5" s="719"/>
      <c r="B5" s="1048" t="s">
        <v>1021</v>
      </c>
      <c r="C5" s="1192">
        <f>Calculations!B14</f>
        <v>0</v>
      </c>
      <c r="D5" s="1109"/>
      <c r="E5" s="809"/>
      <c r="F5" s="809"/>
      <c r="G5" s="809"/>
      <c r="H5" s="809"/>
      <c r="I5" s="809"/>
      <c r="J5" s="809"/>
      <c r="K5" s="809"/>
      <c r="L5" s="809"/>
      <c r="M5" s="809"/>
      <c r="N5" s="809"/>
      <c r="O5" s="809"/>
      <c r="P5" s="809"/>
      <c r="Q5" s="809"/>
      <c r="R5" s="809"/>
      <c r="S5" s="809"/>
      <c r="T5" s="809"/>
      <c r="U5" s="809"/>
      <c r="V5" s="809"/>
      <c r="W5" s="809"/>
      <c r="X5" s="809"/>
      <c r="Y5" s="809"/>
      <c r="Z5" s="809"/>
      <c r="AA5" s="809"/>
    </row>
    <row r="6" spans="1:27" ht="16.2">
      <c r="A6" s="719"/>
      <c r="B6" s="701"/>
      <c r="C6" s="779"/>
      <c r="D6" s="779"/>
      <c r="E6" s="809"/>
      <c r="F6" s="809"/>
      <c r="G6" s="809"/>
      <c r="H6" s="809"/>
      <c r="I6" s="1048"/>
      <c r="J6" s="809"/>
      <c r="K6" s="809"/>
      <c r="L6" s="809"/>
      <c r="M6" s="809"/>
      <c r="N6" s="809"/>
      <c r="O6" s="809"/>
      <c r="P6" s="809"/>
      <c r="Q6" s="809"/>
      <c r="R6" s="809"/>
      <c r="S6" s="809"/>
      <c r="T6" s="809"/>
      <c r="U6" s="809"/>
      <c r="V6" s="809"/>
      <c r="W6" s="809"/>
      <c r="X6" s="809"/>
      <c r="Y6" s="809"/>
      <c r="Z6" s="809"/>
      <c r="AA6" s="809"/>
    </row>
    <row r="7" spans="1:27" ht="16.2">
      <c r="A7" s="719"/>
      <c r="B7" s="1053"/>
      <c r="C7" s="809"/>
      <c r="D7" s="809"/>
      <c r="E7" s="809"/>
      <c r="F7" s="809"/>
      <c r="G7" s="809"/>
      <c r="H7" s="809"/>
      <c r="I7" s="809"/>
      <c r="J7" s="809"/>
      <c r="K7" s="809"/>
      <c r="L7" s="809"/>
      <c r="M7" s="809"/>
      <c r="N7" s="809"/>
      <c r="O7" s="809"/>
      <c r="P7" s="809"/>
      <c r="Q7" s="809"/>
      <c r="R7" s="809"/>
      <c r="S7" s="809"/>
      <c r="T7" s="809"/>
      <c r="U7" s="809"/>
      <c r="V7" s="809"/>
      <c r="W7" s="809"/>
      <c r="X7" s="809"/>
      <c r="Y7" s="809"/>
      <c r="Z7" s="809"/>
      <c r="AA7" s="809"/>
    </row>
    <row r="8" spans="1:27" ht="29.25" customHeight="1">
      <c r="A8" s="719"/>
      <c r="B8" s="1193" t="s">
        <v>4414</v>
      </c>
      <c r="C8" s="1194"/>
      <c r="D8" s="1052" t="s">
        <v>531</v>
      </c>
      <c r="E8" s="1052" t="s">
        <v>532</v>
      </c>
      <c r="F8" s="1052" t="s">
        <v>533</v>
      </c>
      <c r="G8" s="1052" t="s">
        <v>534</v>
      </c>
      <c r="H8" s="1052" t="s">
        <v>535</v>
      </c>
      <c r="I8" s="1052" t="s">
        <v>536</v>
      </c>
      <c r="J8" s="1052" t="s">
        <v>537</v>
      </c>
      <c r="K8" s="1052" t="s">
        <v>538</v>
      </c>
      <c r="L8" s="1052" t="s">
        <v>539</v>
      </c>
      <c r="M8" s="1052" t="s">
        <v>540</v>
      </c>
      <c r="N8" s="1052" t="s">
        <v>541</v>
      </c>
      <c r="O8" s="1052" t="s">
        <v>542</v>
      </c>
      <c r="P8" s="1052" t="s">
        <v>543</v>
      </c>
      <c r="Q8" s="1052" t="s">
        <v>544</v>
      </c>
      <c r="R8" s="1052" t="s">
        <v>545</v>
      </c>
      <c r="S8" s="1052" t="s">
        <v>4195</v>
      </c>
      <c r="T8" s="809"/>
      <c r="U8" s="809"/>
      <c r="V8" s="809"/>
      <c r="W8" s="809"/>
      <c r="X8" s="809"/>
      <c r="Y8" s="809"/>
      <c r="Z8" s="809"/>
      <c r="AA8" s="809"/>
    </row>
    <row r="9" spans="1:27" ht="33" customHeight="1">
      <c r="A9" s="719"/>
      <c r="B9" s="1195" t="s">
        <v>4413</v>
      </c>
      <c r="C9" s="1194"/>
      <c r="D9" s="1051">
        <v>1</v>
      </c>
      <c r="E9" s="1039">
        <f t="shared" ref="E9:R9" si="0">ROUND(D9*1.03,0)</f>
        <v>1</v>
      </c>
      <c r="F9" s="1039">
        <f t="shared" si="0"/>
        <v>1</v>
      </c>
      <c r="G9" s="1039">
        <f t="shared" si="0"/>
        <v>1</v>
      </c>
      <c r="H9" s="1039">
        <f t="shared" si="0"/>
        <v>1</v>
      </c>
      <c r="I9" s="1039">
        <f t="shared" si="0"/>
        <v>1</v>
      </c>
      <c r="J9" s="1039">
        <f t="shared" si="0"/>
        <v>1</v>
      </c>
      <c r="K9" s="1039">
        <f t="shared" si="0"/>
        <v>1</v>
      </c>
      <c r="L9" s="1039">
        <f t="shared" si="0"/>
        <v>1</v>
      </c>
      <c r="M9" s="1039">
        <f t="shared" si="0"/>
        <v>1</v>
      </c>
      <c r="N9" s="1039">
        <f t="shared" si="0"/>
        <v>1</v>
      </c>
      <c r="O9" s="1039">
        <f t="shared" si="0"/>
        <v>1</v>
      </c>
      <c r="P9" s="1039">
        <f t="shared" si="0"/>
        <v>1</v>
      </c>
      <c r="Q9" s="1039">
        <f t="shared" si="0"/>
        <v>1</v>
      </c>
      <c r="R9" s="1039">
        <f t="shared" si="0"/>
        <v>1</v>
      </c>
      <c r="S9" s="1026">
        <f>SUM(D9:R9)</f>
        <v>15</v>
      </c>
      <c r="T9" s="809"/>
      <c r="U9" s="809"/>
      <c r="V9" s="809"/>
      <c r="W9" s="809"/>
      <c r="X9" s="809"/>
      <c r="Y9" s="809"/>
      <c r="Z9" s="809"/>
      <c r="AA9" s="809"/>
    </row>
    <row r="10" spans="1:27" ht="16.2">
      <c r="A10" s="719"/>
      <c r="B10" s="809"/>
      <c r="C10" s="809"/>
      <c r="D10" s="1050">
        <f t="shared" ref="D10:R10" si="1">D9/27</f>
        <v>3.7037037037037035E-2</v>
      </c>
      <c r="E10" s="1050">
        <f t="shared" si="1"/>
        <v>3.7037037037037035E-2</v>
      </c>
      <c r="F10" s="1050">
        <f t="shared" si="1"/>
        <v>3.7037037037037035E-2</v>
      </c>
      <c r="G10" s="1050">
        <f t="shared" si="1"/>
        <v>3.7037037037037035E-2</v>
      </c>
      <c r="H10" s="1050">
        <f t="shared" si="1"/>
        <v>3.7037037037037035E-2</v>
      </c>
      <c r="I10" s="1050">
        <f t="shared" si="1"/>
        <v>3.7037037037037035E-2</v>
      </c>
      <c r="J10" s="1050">
        <f t="shared" si="1"/>
        <v>3.7037037037037035E-2</v>
      </c>
      <c r="K10" s="1050">
        <f t="shared" si="1"/>
        <v>3.7037037037037035E-2</v>
      </c>
      <c r="L10" s="1050">
        <f t="shared" si="1"/>
        <v>3.7037037037037035E-2</v>
      </c>
      <c r="M10" s="1050">
        <f t="shared" si="1"/>
        <v>3.7037037037037035E-2</v>
      </c>
      <c r="N10" s="1050">
        <f t="shared" si="1"/>
        <v>3.7037037037037035E-2</v>
      </c>
      <c r="O10" s="1050">
        <f t="shared" si="1"/>
        <v>3.7037037037037035E-2</v>
      </c>
      <c r="P10" s="1050">
        <f t="shared" si="1"/>
        <v>3.7037037037037035E-2</v>
      </c>
      <c r="Q10" s="1050">
        <f t="shared" si="1"/>
        <v>3.7037037037037035E-2</v>
      </c>
      <c r="R10" s="1050">
        <f t="shared" si="1"/>
        <v>3.7037037037037035E-2</v>
      </c>
      <c r="S10" s="809"/>
      <c r="T10" s="809"/>
      <c r="U10" s="809"/>
      <c r="V10" s="809"/>
      <c r="W10" s="809"/>
      <c r="X10" s="809"/>
      <c r="Y10" s="809"/>
      <c r="Z10" s="809"/>
      <c r="AA10" s="809"/>
    </row>
    <row r="11" spans="1:27" ht="16.2">
      <c r="A11" s="719"/>
      <c r="B11" s="1049" t="s">
        <v>4412</v>
      </c>
      <c r="C11" s="809"/>
      <c r="D11" s="1048"/>
      <c r="E11" s="1048"/>
      <c r="F11" s="1048"/>
      <c r="G11" s="1048"/>
      <c r="H11" s="1048"/>
      <c r="I11" s="1048"/>
      <c r="J11" s="1048"/>
      <c r="K11" s="1048"/>
      <c r="L11" s="1048"/>
      <c r="M11" s="1048"/>
      <c r="N11" s="1048"/>
      <c r="O11" s="1048"/>
      <c r="P11" s="1048"/>
      <c r="Q11" s="1048"/>
      <c r="R11" s="1048"/>
      <c r="S11" s="809"/>
      <c r="T11" s="809"/>
      <c r="U11" s="809"/>
      <c r="V11" s="809"/>
      <c r="W11" s="809"/>
      <c r="X11" s="809"/>
      <c r="Y11" s="809"/>
      <c r="Z11" s="809"/>
      <c r="AA11" s="809"/>
    </row>
    <row r="12" spans="1:27" ht="24" customHeight="1">
      <c r="A12" s="719"/>
      <c r="B12" s="1047" t="s">
        <v>4411</v>
      </c>
      <c r="C12" s="1046" t="s">
        <v>4410</v>
      </c>
      <c r="D12" s="1045" t="s">
        <v>531</v>
      </c>
      <c r="E12" s="1045" t="s">
        <v>532</v>
      </c>
      <c r="F12" s="1045" t="s">
        <v>533</v>
      </c>
      <c r="G12" s="1045" t="s">
        <v>534</v>
      </c>
      <c r="H12" s="1045" t="s">
        <v>535</v>
      </c>
      <c r="I12" s="1045" t="s">
        <v>536</v>
      </c>
      <c r="J12" s="1045" t="s">
        <v>537</v>
      </c>
      <c r="K12" s="1045" t="s">
        <v>538</v>
      </c>
      <c r="L12" s="1045" t="s">
        <v>539</v>
      </c>
      <c r="M12" s="1045" t="s">
        <v>540</v>
      </c>
      <c r="N12" s="1045" t="s">
        <v>541</v>
      </c>
      <c r="O12" s="1045" t="s">
        <v>542</v>
      </c>
      <c r="P12" s="1045" t="s">
        <v>543</v>
      </c>
      <c r="Q12" s="1045" t="s">
        <v>544</v>
      </c>
      <c r="R12" s="1045" t="s">
        <v>545</v>
      </c>
      <c r="S12" s="1045" t="s">
        <v>4195</v>
      </c>
      <c r="T12" s="809"/>
      <c r="U12" s="809"/>
      <c r="V12" s="809"/>
      <c r="W12" s="809"/>
      <c r="X12" s="809"/>
      <c r="Y12" s="809"/>
      <c r="Z12" s="809"/>
      <c r="AA12" s="809"/>
    </row>
    <row r="13" spans="1:27" ht="43.8">
      <c r="A13" s="719"/>
      <c r="B13" s="1040" t="s">
        <v>4409</v>
      </c>
      <c r="C13" s="1044">
        <v>0</v>
      </c>
      <c r="D13" s="1039">
        <f t="shared" ref="D13:R13" si="2">$C13/15</f>
        <v>0</v>
      </c>
      <c r="E13" s="1039">
        <f t="shared" si="2"/>
        <v>0</v>
      </c>
      <c r="F13" s="1039">
        <f t="shared" si="2"/>
        <v>0</v>
      </c>
      <c r="G13" s="1039">
        <f t="shared" si="2"/>
        <v>0</v>
      </c>
      <c r="H13" s="1039">
        <f t="shared" si="2"/>
        <v>0</v>
      </c>
      <c r="I13" s="1039">
        <f t="shared" si="2"/>
        <v>0</v>
      </c>
      <c r="J13" s="1039">
        <f t="shared" si="2"/>
        <v>0</v>
      </c>
      <c r="K13" s="1039">
        <f t="shared" si="2"/>
        <v>0</v>
      </c>
      <c r="L13" s="1039">
        <f t="shared" si="2"/>
        <v>0</v>
      </c>
      <c r="M13" s="1039">
        <f t="shared" si="2"/>
        <v>0</v>
      </c>
      <c r="N13" s="1039">
        <f t="shared" si="2"/>
        <v>0</v>
      </c>
      <c r="O13" s="1039">
        <f t="shared" si="2"/>
        <v>0</v>
      </c>
      <c r="P13" s="1039">
        <f t="shared" si="2"/>
        <v>0</v>
      </c>
      <c r="Q13" s="1039">
        <f t="shared" si="2"/>
        <v>0</v>
      </c>
      <c r="R13" s="1039">
        <f t="shared" si="2"/>
        <v>0</v>
      </c>
      <c r="S13" s="1026">
        <f t="shared" ref="S13:S24" si="3">SUM(D13:R13)</f>
        <v>0</v>
      </c>
      <c r="T13" s="809"/>
      <c r="U13" s="809"/>
      <c r="V13" s="809"/>
      <c r="W13" s="809"/>
      <c r="X13" s="809"/>
      <c r="Y13" s="809"/>
      <c r="Z13" s="809"/>
      <c r="AA13" s="809"/>
    </row>
    <row r="14" spans="1:27" ht="16.2">
      <c r="A14" s="719"/>
      <c r="B14" s="808" t="s">
        <v>4408</v>
      </c>
      <c r="C14" s="1044"/>
      <c r="D14" s="1039"/>
      <c r="E14" s="1039"/>
      <c r="F14" s="1039"/>
      <c r="G14" s="1039"/>
      <c r="H14" s="1039"/>
      <c r="I14" s="1039"/>
      <c r="J14" s="1039"/>
      <c r="K14" s="1039"/>
      <c r="L14" s="1039"/>
      <c r="M14" s="1039"/>
      <c r="N14" s="1039"/>
      <c r="O14" s="1039"/>
      <c r="P14" s="1039"/>
      <c r="Q14" s="1039"/>
      <c r="R14" s="1039"/>
      <c r="S14" s="1026">
        <f t="shared" si="3"/>
        <v>0</v>
      </c>
      <c r="T14" s="1041" t="e">
        <f>AVERAGE(D14:R14)</f>
        <v>#DIV/0!</v>
      </c>
      <c r="U14" s="809"/>
      <c r="V14" s="809"/>
      <c r="W14" s="809"/>
      <c r="X14" s="809"/>
      <c r="Y14" s="809"/>
      <c r="Z14" s="809"/>
      <c r="AA14" s="809"/>
    </row>
    <row r="15" spans="1:27" ht="16.2">
      <c r="A15" s="719"/>
      <c r="B15" s="808" t="s">
        <v>4407</v>
      </c>
      <c r="C15" s="1043"/>
      <c r="D15" s="1042"/>
      <c r="E15" s="1042"/>
      <c r="F15" s="1042"/>
      <c r="G15" s="1042"/>
      <c r="H15" s="1042"/>
      <c r="I15" s="1042"/>
      <c r="J15" s="1042"/>
      <c r="K15" s="1042"/>
      <c r="L15" s="1042"/>
      <c r="M15" s="1042"/>
      <c r="N15" s="1042"/>
      <c r="O15" s="1042"/>
      <c r="P15" s="1042"/>
      <c r="Q15" s="1042"/>
      <c r="R15" s="1042"/>
      <c r="S15" s="1026">
        <f t="shared" si="3"/>
        <v>0</v>
      </c>
      <c r="T15" s="1041" t="e">
        <f>AVERAGE(D15:R15)</f>
        <v>#DIV/0!</v>
      </c>
      <c r="U15" s="809"/>
      <c r="V15" s="809"/>
      <c r="W15" s="809"/>
      <c r="X15" s="809"/>
      <c r="Y15" s="809"/>
      <c r="Z15" s="809"/>
      <c r="AA15" s="809"/>
    </row>
    <row r="16" spans="1:27" ht="16.2">
      <c r="A16" s="719"/>
      <c r="B16" s="808" t="s">
        <v>4406</v>
      </c>
      <c r="C16" s="1043"/>
      <c r="D16" s="1042"/>
      <c r="E16" s="1042"/>
      <c r="F16" s="1042"/>
      <c r="G16" s="1042"/>
      <c r="H16" s="1042"/>
      <c r="I16" s="1042"/>
      <c r="J16" s="1042"/>
      <c r="K16" s="1042"/>
      <c r="L16" s="1042"/>
      <c r="M16" s="1042"/>
      <c r="N16" s="1042"/>
      <c r="O16" s="1042"/>
      <c r="P16" s="1042"/>
      <c r="Q16" s="1042"/>
      <c r="R16" s="1042"/>
      <c r="S16" s="1026">
        <f t="shared" si="3"/>
        <v>0</v>
      </c>
      <c r="T16" s="1041"/>
      <c r="U16" s="809"/>
      <c r="V16" s="809"/>
      <c r="W16" s="809"/>
      <c r="X16" s="809"/>
      <c r="Y16" s="809"/>
      <c r="Z16" s="809"/>
      <c r="AA16" s="809"/>
    </row>
    <row r="17" spans="1:27" ht="16.2">
      <c r="A17" s="719"/>
      <c r="B17" s="808" t="s">
        <v>4405</v>
      </c>
      <c r="C17" s="1043"/>
      <c r="D17" s="1042"/>
      <c r="E17" s="1042"/>
      <c r="F17" s="1042"/>
      <c r="G17" s="1042"/>
      <c r="H17" s="1042"/>
      <c r="I17" s="1042"/>
      <c r="J17" s="1042"/>
      <c r="K17" s="1042"/>
      <c r="L17" s="1042"/>
      <c r="M17" s="1042"/>
      <c r="N17" s="1042"/>
      <c r="O17" s="1042"/>
      <c r="P17" s="1042"/>
      <c r="Q17" s="1042"/>
      <c r="R17" s="1042"/>
      <c r="S17" s="1026">
        <f t="shared" si="3"/>
        <v>0</v>
      </c>
      <c r="T17" s="1041"/>
      <c r="U17" s="809"/>
      <c r="V17" s="809"/>
      <c r="W17" s="809"/>
      <c r="X17" s="809"/>
      <c r="Y17" s="809"/>
      <c r="Z17" s="809"/>
      <c r="AA17" s="809"/>
    </row>
    <row r="18" spans="1:27" ht="16.2">
      <c r="A18" s="719"/>
      <c r="B18" s="808" t="s">
        <v>4404</v>
      </c>
      <c r="C18" s="1043"/>
      <c r="D18" s="1042"/>
      <c r="E18" s="1042"/>
      <c r="F18" s="1042"/>
      <c r="G18" s="1042"/>
      <c r="H18" s="1042"/>
      <c r="I18" s="1042"/>
      <c r="J18" s="1042"/>
      <c r="K18" s="1042"/>
      <c r="L18" s="1042"/>
      <c r="M18" s="1042"/>
      <c r="N18" s="1042"/>
      <c r="O18" s="1042"/>
      <c r="P18" s="1042"/>
      <c r="Q18" s="1042"/>
      <c r="R18" s="1042"/>
      <c r="S18" s="1026">
        <f t="shared" si="3"/>
        <v>0</v>
      </c>
      <c r="T18" s="1041"/>
      <c r="U18" s="809"/>
      <c r="V18" s="809"/>
      <c r="W18" s="809"/>
      <c r="X18" s="809"/>
      <c r="Y18" s="809"/>
      <c r="Z18" s="809"/>
      <c r="AA18" s="809"/>
    </row>
    <row r="19" spans="1:27" ht="16.2">
      <c r="A19" s="719"/>
      <c r="B19" s="808" t="s">
        <v>4403</v>
      </c>
      <c r="C19" s="1043"/>
      <c r="D19" s="1042"/>
      <c r="E19" s="1042"/>
      <c r="F19" s="1042"/>
      <c r="G19" s="1042"/>
      <c r="H19" s="1042"/>
      <c r="I19" s="1042"/>
      <c r="J19" s="1042"/>
      <c r="K19" s="1042"/>
      <c r="L19" s="1042"/>
      <c r="M19" s="1042"/>
      <c r="N19" s="1042"/>
      <c r="O19" s="1042"/>
      <c r="P19" s="1042"/>
      <c r="Q19" s="1042"/>
      <c r="R19" s="1042"/>
      <c r="S19" s="1026">
        <f t="shared" si="3"/>
        <v>0</v>
      </c>
      <c r="T19" s="1041"/>
      <c r="U19" s="809"/>
      <c r="V19" s="809"/>
      <c r="W19" s="809"/>
      <c r="X19" s="809"/>
      <c r="Y19" s="809"/>
      <c r="Z19" s="809"/>
      <c r="AA19" s="809"/>
    </row>
    <row r="20" spans="1:27" ht="15.75" customHeight="1">
      <c r="A20" s="719"/>
      <c r="B20" s="808"/>
      <c r="C20" s="1043"/>
      <c r="D20" s="1042"/>
      <c r="E20" s="1042"/>
      <c r="F20" s="1042"/>
      <c r="G20" s="1042"/>
      <c r="H20" s="1042"/>
      <c r="I20" s="1042"/>
      <c r="J20" s="1042"/>
      <c r="K20" s="1042"/>
      <c r="L20" s="1042"/>
      <c r="M20" s="1042"/>
      <c r="N20" s="1042"/>
      <c r="O20" s="1042"/>
      <c r="P20" s="1042"/>
      <c r="Q20" s="1042"/>
      <c r="R20" s="1042"/>
      <c r="S20" s="1026">
        <f t="shared" si="3"/>
        <v>0</v>
      </c>
      <c r="T20" s="1041"/>
      <c r="U20" s="809"/>
      <c r="V20" s="809"/>
      <c r="W20" s="809"/>
      <c r="X20" s="809"/>
      <c r="Y20" s="809"/>
      <c r="Z20" s="809"/>
      <c r="AA20" s="809"/>
    </row>
    <row r="21" spans="1:27" ht="15.75" customHeight="1">
      <c r="A21" s="719"/>
      <c r="B21" s="1040"/>
      <c r="C21" s="1040"/>
      <c r="D21" s="1039"/>
      <c r="E21" s="1039"/>
      <c r="F21" s="1039"/>
      <c r="G21" s="1039"/>
      <c r="H21" s="1039"/>
      <c r="I21" s="1039"/>
      <c r="J21" s="1039"/>
      <c r="K21" s="1039"/>
      <c r="L21" s="1039"/>
      <c r="M21" s="1039"/>
      <c r="N21" s="1039"/>
      <c r="O21" s="1039"/>
      <c r="P21" s="1039"/>
      <c r="Q21" s="1039"/>
      <c r="R21" s="1039"/>
      <c r="S21" s="1026">
        <f t="shared" si="3"/>
        <v>0</v>
      </c>
      <c r="T21" s="1041"/>
      <c r="U21" s="809"/>
      <c r="V21" s="809"/>
      <c r="W21" s="809"/>
      <c r="X21" s="809"/>
      <c r="Y21" s="809"/>
      <c r="Z21" s="809"/>
      <c r="AA21" s="809"/>
    </row>
    <row r="22" spans="1:27" ht="15.75" customHeight="1">
      <c r="A22" s="719"/>
      <c r="B22" s="1040"/>
      <c r="C22" s="1040"/>
      <c r="D22" s="1039"/>
      <c r="E22" s="1039"/>
      <c r="F22" s="1039"/>
      <c r="G22" s="1039"/>
      <c r="H22" s="1039"/>
      <c r="I22" s="1039"/>
      <c r="J22" s="1039"/>
      <c r="K22" s="1039"/>
      <c r="L22" s="1039"/>
      <c r="M22" s="1039"/>
      <c r="N22" s="1039"/>
      <c r="O22" s="1039"/>
      <c r="P22" s="1039"/>
      <c r="Q22" s="1039"/>
      <c r="R22" s="1039"/>
      <c r="S22" s="1026">
        <f t="shared" si="3"/>
        <v>0</v>
      </c>
      <c r="T22" s="809"/>
      <c r="U22" s="809"/>
      <c r="V22" s="809"/>
      <c r="W22" s="809"/>
      <c r="X22" s="809"/>
      <c r="Y22" s="809"/>
      <c r="Z22" s="809"/>
      <c r="AA22" s="809"/>
    </row>
    <row r="23" spans="1:27" ht="15.75" customHeight="1">
      <c r="A23" s="719"/>
      <c r="B23" s="1038" t="s">
        <v>4402</v>
      </c>
      <c r="C23" s="1037"/>
      <c r="D23" s="1036">
        <f t="shared" ref="D23:R23" si="4">ROUND(SUM(D13:D22),0)</f>
        <v>0</v>
      </c>
      <c r="E23" s="1036">
        <f t="shared" si="4"/>
        <v>0</v>
      </c>
      <c r="F23" s="1036">
        <f t="shared" si="4"/>
        <v>0</v>
      </c>
      <c r="G23" s="1036">
        <f t="shared" si="4"/>
        <v>0</v>
      </c>
      <c r="H23" s="1036">
        <f t="shared" si="4"/>
        <v>0</v>
      </c>
      <c r="I23" s="1036">
        <f t="shared" si="4"/>
        <v>0</v>
      </c>
      <c r="J23" s="1036">
        <f t="shared" si="4"/>
        <v>0</v>
      </c>
      <c r="K23" s="1036">
        <f t="shared" si="4"/>
        <v>0</v>
      </c>
      <c r="L23" s="1036">
        <f t="shared" si="4"/>
        <v>0</v>
      </c>
      <c r="M23" s="1036">
        <f t="shared" si="4"/>
        <v>0</v>
      </c>
      <c r="N23" s="1036">
        <f t="shared" si="4"/>
        <v>0</v>
      </c>
      <c r="O23" s="1036">
        <f t="shared" si="4"/>
        <v>0</v>
      </c>
      <c r="P23" s="1036">
        <f t="shared" si="4"/>
        <v>0</v>
      </c>
      <c r="Q23" s="1036">
        <f t="shared" si="4"/>
        <v>0</v>
      </c>
      <c r="R23" s="1036">
        <f t="shared" si="4"/>
        <v>0</v>
      </c>
      <c r="S23" s="1035">
        <f t="shared" si="3"/>
        <v>0</v>
      </c>
      <c r="T23" s="809"/>
      <c r="U23" s="809"/>
      <c r="V23" s="809"/>
      <c r="W23" s="809"/>
      <c r="X23" s="809"/>
      <c r="Y23" s="809"/>
      <c r="Z23" s="809"/>
      <c r="AA23" s="809"/>
    </row>
    <row r="24" spans="1:27" ht="29.4">
      <c r="A24" s="719"/>
      <c r="B24" s="1028" t="s">
        <v>4401</v>
      </c>
      <c r="C24" s="808"/>
      <c r="D24" s="1034">
        <f t="shared" ref="D24:R24" si="5">IF((D9-D23)&lt;0,0,D9-D23)</f>
        <v>1</v>
      </c>
      <c r="E24" s="1034">
        <f t="shared" si="5"/>
        <v>1</v>
      </c>
      <c r="F24" s="1034">
        <f t="shared" si="5"/>
        <v>1</v>
      </c>
      <c r="G24" s="1034">
        <f t="shared" si="5"/>
        <v>1</v>
      </c>
      <c r="H24" s="1034">
        <f t="shared" si="5"/>
        <v>1</v>
      </c>
      <c r="I24" s="1034">
        <f t="shared" si="5"/>
        <v>1</v>
      </c>
      <c r="J24" s="1034">
        <f t="shared" si="5"/>
        <v>1</v>
      </c>
      <c r="K24" s="1034">
        <f t="shared" si="5"/>
        <v>1</v>
      </c>
      <c r="L24" s="1034">
        <f t="shared" si="5"/>
        <v>1</v>
      </c>
      <c r="M24" s="1034">
        <f t="shared" si="5"/>
        <v>1</v>
      </c>
      <c r="N24" s="1034">
        <f t="shared" si="5"/>
        <v>1</v>
      </c>
      <c r="O24" s="1034">
        <f t="shared" si="5"/>
        <v>1</v>
      </c>
      <c r="P24" s="1034">
        <f t="shared" si="5"/>
        <v>1</v>
      </c>
      <c r="Q24" s="1034">
        <f t="shared" si="5"/>
        <v>1</v>
      </c>
      <c r="R24" s="1034">
        <f t="shared" si="5"/>
        <v>1</v>
      </c>
      <c r="S24" s="1030">
        <f t="shared" si="3"/>
        <v>15</v>
      </c>
      <c r="T24" s="809"/>
      <c r="U24" s="809"/>
      <c r="V24" s="809"/>
      <c r="W24" s="809"/>
      <c r="X24" s="809"/>
      <c r="Y24" s="809"/>
      <c r="Z24" s="809"/>
      <c r="AA24" s="809"/>
    </row>
    <row r="25" spans="1:27" ht="15.75" customHeight="1">
      <c r="A25" s="719"/>
      <c r="B25" s="1031" t="s">
        <v>4400</v>
      </c>
      <c r="C25" s="808"/>
      <c r="D25" s="1027">
        <f>'DOH Proforma'!H35</f>
        <v>0</v>
      </c>
      <c r="E25" s="1027">
        <f>'DOH Proforma'!I35</f>
        <v>0</v>
      </c>
      <c r="F25" s="1027">
        <f>'DOH Proforma'!J35</f>
        <v>0</v>
      </c>
      <c r="G25" s="1027">
        <f>'DOH Proforma'!K35</f>
        <v>0</v>
      </c>
      <c r="H25" s="1027">
        <f>'DOH Proforma'!L35</f>
        <v>0</v>
      </c>
      <c r="I25" s="1027">
        <f>'DOH Proforma'!M35</f>
        <v>0</v>
      </c>
      <c r="J25" s="1027">
        <f>'DOH Proforma'!N35</f>
        <v>0</v>
      </c>
      <c r="K25" s="1027">
        <f>'DOH Proforma'!O35</f>
        <v>0</v>
      </c>
      <c r="L25" s="1027">
        <f>'DOH Proforma'!P35</f>
        <v>0</v>
      </c>
      <c r="M25" s="1027">
        <f>'DOH Proforma'!Q35</f>
        <v>0</v>
      </c>
      <c r="N25" s="1027">
        <f>'DOH Proforma'!R35</f>
        <v>0</v>
      </c>
      <c r="O25" s="1027">
        <f>'DOH Proforma'!S35</f>
        <v>0</v>
      </c>
      <c r="P25" s="1027">
        <f>'DOH Proforma'!T35</f>
        <v>0</v>
      </c>
      <c r="Q25" s="1027">
        <f>'DOH Proforma'!U35</f>
        <v>0</v>
      </c>
      <c r="R25" s="1027">
        <f>'DOH Proforma'!V35</f>
        <v>0</v>
      </c>
      <c r="S25" s="1027">
        <f>'DOH Proforma'!W35</f>
        <v>0</v>
      </c>
      <c r="T25" s="809"/>
      <c r="U25" s="809"/>
      <c r="V25" s="809"/>
      <c r="W25" s="809"/>
      <c r="X25" s="809"/>
      <c r="Y25" s="809"/>
      <c r="Z25" s="809"/>
      <c r="AA25" s="809"/>
    </row>
    <row r="26" spans="1:27" ht="15.75" customHeight="1">
      <c r="A26" s="719"/>
      <c r="B26" s="1031" t="s">
        <v>4399</v>
      </c>
      <c r="C26" s="808"/>
      <c r="D26" s="1030">
        <f t="shared" ref="D26:R26" si="6">D23-D9+D25</f>
        <v>-1</v>
      </c>
      <c r="E26" s="1030">
        <f t="shared" si="6"/>
        <v>-1</v>
      </c>
      <c r="F26" s="1030">
        <f t="shared" si="6"/>
        <v>-1</v>
      </c>
      <c r="G26" s="1030">
        <f t="shared" si="6"/>
        <v>-1</v>
      </c>
      <c r="H26" s="1030">
        <f t="shared" si="6"/>
        <v>-1</v>
      </c>
      <c r="I26" s="1030">
        <f t="shared" si="6"/>
        <v>-1</v>
      </c>
      <c r="J26" s="1030">
        <f t="shared" si="6"/>
        <v>-1</v>
      </c>
      <c r="K26" s="1030">
        <f t="shared" si="6"/>
        <v>-1</v>
      </c>
      <c r="L26" s="1030">
        <f t="shared" si="6"/>
        <v>-1</v>
      </c>
      <c r="M26" s="1030">
        <f t="shared" si="6"/>
        <v>-1</v>
      </c>
      <c r="N26" s="1030">
        <f t="shared" si="6"/>
        <v>-1</v>
      </c>
      <c r="O26" s="1030">
        <f t="shared" si="6"/>
        <v>-1</v>
      </c>
      <c r="P26" s="1030">
        <f t="shared" si="6"/>
        <v>-1</v>
      </c>
      <c r="Q26" s="1030">
        <f t="shared" si="6"/>
        <v>-1</v>
      </c>
      <c r="R26" s="1030">
        <f t="shared" si="6"/>
        <v>-1</v>
      </c>
      <c r="S26" s="1026">
        <f>SUM(D26:R26)</f>
        <v>-15</v>
      </c>
      <c r="T26" s="809"/>
      <c r="U26" s="809"/>
      <c r="V26" s="809"/>
      <c r="W26" s="809"/>
      <c r="X26" s="809"/>
      <c r="Y26" s="809"/>
      <c r="Z26" s="809"/>
      <c r="AA26" s="809"/>
    </row>
    <row r="27" spans="1:27" ht="15.75" customHeight="1">
      <c r="A27" s="719"/>
      <c r="B27" s="1033" t="s">
        <v>4398</v>
      </c>
      <c r="C27" s="1032">
        <v>0</v>
      </c>
      <c r="D27" s="1032">
        <f t="shared" ref="D27:R27" si="7">C27+D26</f>
        <v>-1</v>
      </c>
      <c r="E27" s="1032">
        <f t="shared" si="7"/>
        <v>-2</v>
      </c>
      <c r="F27" s="1032">
        <f t="shared" si="7"/>
        <v>-3</v>
      </c>
      <c r="G27" s="1032">
        <f t="shared" si="7"/>
        <v>-4</v>
      </c>
      <c r="H27" s="1032">
        <f t="shared" si="7"/>
        <v>-5</v>
      </c>
      <c r="I27" s="1032">
        <f t="shared" si="7"/>
        <v>-6</v>
      </c>
      <c r="J27" s="1032">
        <f t="shared" si="7"/>
        <v>-7</v>
      </c>
      <c r="K27" s="1032">
        <f t="shared" si="7"/>
        <v>-8</v>
      </c>
      <c r="L27" s="1032">
        <f t="shared" si="7"/>
        <v>-9</v>
      </c>
      <c r="M27" s="1032">
        <f t="shared" si="7"/>
        <v>-10</v>
      </c>
      <c r="N27" s="1032">
        <f t="shared" si="7"/>
        <v>-11</v>
      </c>
      <c r="O27" s="1032">
        <f t="shared" si="7"/>
        <v>-12</v>
      </c>
      <c r="P27" s="1032">
        <f t="shared" si="7"/>
        <v>-13</v>
      </c>
      <c r="Q27" s="1032">
        <f t="shared" si="7"/>
        <v>-14</v>
      </c>
      <c r="R27" s="1032">
        <f t="shared" si="7"/>
        <v>-15</v>
      </c>
      <c r="S27" s="808"/>
      <c r="T27" s="809"/>
      <c r="U27" s="809"/>
      <c r="V27" s="809"/>
      <c r="W27" s="809"/>
      <c r="X27" s="809"/>
      <c r="Y27" s="809"/>
      <c r="Z27" s="809"/>
      <c r="AA27" s="809"/>
    </row>
    <row r="28" spans="1:27" ht="15.75" customHeight="1">
      <c r="A28" s="719"/>
      <c r="B28" s="1031"/>
      <c r="C28" s="808"/>
      <c r="D28" s="1030"/>
      <c r="E28" s="1030"/>
      <c r="F28" s="1030"/>
      <c r="G28" s="1030"/>
      <c r="H28" s="1030"/>
      <c r="I28" s="1030"/>
      <c r="J28" s="1030"/>
      <c r="K28" s="1030"/>
      <c r="L28" s="1030"/>
      <c r="M28" s="1030"/>
      <c r="N28" s="1030"/>
      <c r="O28" s="1030"/>
      <c r="P28" s="1030"/>
      <c r="Q28" s="1030"/>
      <c r="R28" s="1030"/>
      <c r="S28" s="1026">
        <f>SUM(D28:R28)</f>
        <v>0</v>
      </c>
      <c r="T28" s="809"/>
      <c r="U28" s="809"/>
      <c r="V28" s="809"/>
      <c r="W28" s="809"/>
      <c r="X28" s="809"/>
      <c r="Y28" s="809"/>
      <c r="Z28" s="809"/>
      <c r="AA28" s="809"/>
    </row>
    <row r="29" spans="1:27" ht="15.75" customHeight="1">
      <c r="A29" s="719"/>
      <c r="B29" s="1028" t="s">
        <v>4397</v>
      </c>
      <c r="C29" s="808"/>
      <c r="D29" s="1029">
        <f t="shared" ref="D29:R29" si="8">(D25+D22+D19)/D9</f>
        <v>0</v>
      </c>
      <c r="E29" s="1029">
        <f t="shared" si="8"/>
        <v>0</v>
      </c>
      <c r="F29" s="1029">
        <f t="shared" si="8"/>
        <v>0</v>
      </c>
      <c r="G29" s="1029">
        <f t="shared" si="8"/>
        <v>0</v>
      </c>
      <c r="H29" s="1029">
        <f t="shared" si="8"/>
        <v>0</v>
      </c>
      <c r="I29" s="1029">
        <f t="shared" si="8"/>
        <v>0</v>
      </c>
      <c r="J29" s="1029">
        <f t="shared" si="8"/>
        <v>0</v>
      </c>
      <c r="K29" s="1029">
        <f t="shared" si="8"/>
        <v>0</v>
      </c>
      <c r="L29" s="1029">
        <f t="shared" si="8"/>
        <v>0</v>
      </c>
      <c r="M29" s="1029">
        <f t="shared" si="8"/>
        <v>0</v>
      </c>
      <c r="N29" s="1029">
        <f t="shared" si="8"/>
        <v>0</v>
      </c>
      <c r="O29" s="1029">
        <f t="shared" si="8"/>
        <v>0</v>
      </c>
      <c r="P29" s="1029">
        <f t="shared" si="8"/>
        <v>0</v>
      </c>
      <c r="Q29" s="1029">
        <f t="shared" si="8"/>
        <v>0</v>
      </c>
      <c r="R29" s="1029">
        <f t="shared" si="8"/>
        <v>0</v>
      </c>
      <c r="S29" s="1026"/>
      <c r="T29" s="809"/>
      <c r="U29" s="809"/>
      <c r="V29" s="809"/>
      <c r="W29" s="809"/>
      <c r="X29" s="809"/>
      <c r="Y29" s="809"/>
      <c r="Z29" s="809"/>
      <c r="AA29" s="809"/>
    </row>
    <row r="30" spans="1:27" ht="15.75" customHeight="1">
      <c r="A30" s="719"/>
      <c r="B30" s="1028"/>
      <c r="C30" s="808"/>
      <c r="D30" s="1027"/>
      <c r="E30" s="1027"/>
      <c r="F30" s="1027"/>
      <c r="G30" s="1027"/>
      <c r="H30" s="1027"/>
      <c r="I30" s="1027"/>
      <c r="J30" s="1027"/>
      <c r="K30" s="1027"/>
      <c r="L30" s="1027"/>
      <c r="M30" s="1027"/>
      <c r="N30" s="1027"/>
      <c r="O30" s="1027"/>
      <c r="P30" s="1027"/>
      <c r="Q30" s="1027"/>
      <c r="R30" s="1027"/>
      <c r="S30" s="1026">
        <f>SUM(D30:R30)</f>
        <v>0</v>
      </c>
      <c r="T30" s="809"/>
      <c r="U30" s="809"/>
      <c r="V30" s="809"/>
      <c r="W30" s="809"/>
      <c r="X30" s="809"/>
      <c r="Y30" s="809"/>
      <c r="Z30" s="809"/>
      <c r="AA30" s="809"/>
    </row>
    <row r="31" spans="1:27" ht="15.75" customHeight="1">
      <c r="A31" s="719"/>
      <c r="B31" s="809"/>
      <c r="C31" s="809"/>
      <c r="D31" s="809"/>
      <c r="E31" s="809"/>
      <c r="F31" s="809"/>
      <c r="G31" s="809"/>
      <c r="H31" s="809"/>
      <c r="I31" s="809"/>
      <c r="J31" s="809"/>
      <c r="K31" s="809"/>
      <c r="L31" s="809"/>
      <c r="M31" s="809"/>
      <c r="N31" s="809"/>
      <c r="O31" s="809"/>
      <c r="P31" s="809"/>
      <c r="Q31" s="809"/>
      <c r="R31" s="809"/>
      <c r="S31" s="809"/>
      <c r="T31" s="809"/>
      <c r="U31" s="809"/>
      <c r="V31" s="809"/>
      <c r="W31" s="809"/>
      <c r="X31" s="809"/>
      <c r="Y31" s="809"/>
      <c r="Z31" s="809"/>
      <c r="AA31" s="809"/>
    </row>
    <row r="32" spans="1:27" ht="15.75" customHeight="1">
      <c r="A32" s="719"/>
      <c r="B32" s="809"/>
      <c r="C32" s="809"/>
      <c r="D32" s="809"/>
      <c r="E32" s="809"/>
      <c r="F32" s="809"/>
      <c r="G32" s="809"/>
      <c r="H32" s="809"/>
      <c r="I32" s="809"/>
      <c r="J32" s="809"/>
      <c r="K32" s="809"/>
      <c r="L32" s="809"/>
      <c r="M32" s="809"/>
      <c r="N32" s="809"/>
      <c r="O32" s="809"/>
      <c r="P32" s="809"/>
      <c r="Q32" s="809"/>
      <c r="R32" s="809"/>
      <c r="S32" s="809"/>
      <c r="T32" s="809"/>
      <c r="U32" s="809"/>
      <c r="V32" s="809"/>
      <c r="W32" s="809"/>
      <c r="X32" s="809"/>
      <c r="Y32" s="809"/>
      <c r="Z32" s="809"/>
      <c r="AA32" s="809"/>
    </row>
    <row r="33" spans="1:27" ht="15.75" customHeight="1">
      <c r="A33" s="719"/>
      <c r="B33" s="809"/>
      <c r="C33" s="809"/>
      <c r="D33" s="809"/>
      <c r="E33" s="809"/>
      <c r="F33" s="809"/>
      <c r="G33" s="809"/>
      <c r="H33" s="809"/>
      <c r="I33" s="809"/>
      <c r="J33" s="809"/>
      <c r="K33" s="809"/>
      <c r="L33" s="809"/>
      <c r="M33" s="809"/>
      <c r="N33" s="809"/>
      <c r="O33" s="809"/>
      <c r="P33" s="809"/>
      <c r="Q33" s="809"/>
      <c r="R33" s="809"/>
      <c r="S33" s="809"/>
      <c r="T33" s="809"/>
      <c r="U33" s="809"/>
      <c r="V33" s="809"/>
      <c r="W33" s="809"/>
      <c r="X33" s="809"/>
      <c r="Y33" s="809"/>
      <c r="Z33" s="809"/>
      <c r="AA33" s="809"/>
    </row>
    <row r="34" spans="1:27" ht="15.75" customHeight="1">
      <c r="A34" s="719"/>
      <c r="B34" s="809"/>
      <c r="C34" s="809"/>
      <c r="D34" s="809"/>
      <c r="E34" s="809"/>
      <c r="F34" s="809"/>
      <c r="G34" s="809"/>
      <c r="H34" s="809"/>
      <c r="I34" s="809"/>
      <c r="J34" s="809"/>
      <c r="K34" s="809"/>
      <c r="L34" s="809"/>
      <c r="M34" s="809"/>
      <c r="N34" s="809"/>
      <c r="O34" s="809"/>
      <c r="P34" s="809"/>
      <c r="Q34" s="809"/>
      <c r="R34" s="809"/>
      <c r="S34" s="809"/>
      <c r="T34" s="809"/>
      <c r="U34" s="809"/>
      <c r="V34" s="809"/>
      <c r="W34" s="809"/>
      <c r="X34" s="809"/>
      <c r="Y34" s="809"/>
      <c r="Z34" s="809"/>
      <c r="AA34" s="809"/>
    </row>
    <row r="35" spans="1:27" ht="15.75" customHeight="1">
      <c r="A35" s="719"/>
      <c r="B35" s="809"/>
      <c r="C35" s="809"/>
      <c r="D35" s="809"/>
      <c r="E35" s="809"/>
      <c r="F35" s="809"/>
      <c r="G35" s="809"/>
      <c r="H35" s="809"/>
      <c r="I35" s="809"/>
      <c r="J35" s="809"/>
      <c r="K35" s="809"/>
      <c r="L35" s="809"/>
      <c r="M35" s="809"/>
      <c r="N35" s="809"/>
      <c r="O35" s="809"/>
      <c r="P35" s="809"/>
      <c r="Q35" s="809"/>
      <c r="R35" s="809"/>
      <c r="S35" s="809"/>
      <c r="T35" s="809"/>
      <c r="U35" s="809"/>
      <c r="V35" s="809"/>
      <c r="W35" s="809"/>
      <c r="X35" s="809"/>
      <c r="Y35" s="809"/>
      <c r="Z35" s="809"/>
      <c r="AA35" s="809"/>
    </row>
    <row r="36" spans="1:27" ht="15.75" customHeight="1">
      <c r="A36" s="719"/>
      <c r="B36" s="809"/>
      <c r="C36" s="809"/>
      <c r="D36" s="809"/>
      <c r="E36" s="809"/>
      <c r="F36" s="809"/>
      <c r="G36" s="809"/>
      <c r="H36" s="809"/>
      <c r="I36" s="809"/>
      <c r="J36" s="809"/>
      <c r="K36" s="809"/>
      <c r="L36" s="809"/>
      <c r="M36" s="809"/>
      <c r="N36" s="809"/>
      <c r="O36" s="809"/>
      <c r="P36" s="809"/>
      <c r="Q36" s="809"/>
      <c r="R36" s="809"/>
      <c r="S36" s="809"/>
      <c r="T36" s="809"/>
      <c r="U36" s="809"/>
      <c r="V36" s="809"/>
      <c r="W36" s="809"/>
      <c r="X36" s="809"/>
      <c r="Y36" s="809"/>
      <c r="Z36" s="809"/>
      <c r="AA36" s="809"/>
    </row>
    <row r="37" spans="1:27" ht="15.75" customHeight="1">
      <c r="A37" s="719"/>
      <c r="B37" s="809"/>
      <c r="C37" s="809"/>
      <c r="D37" s="809"/>
      <c r="E37" s="809"/>
      <c r="F37" s="809"/>
      <c r="G37" s="809"/>
      <c r="H37" s="809"/>
      <c r="I37" s="809"/>
      <c r="J37" s="809"/>
      <c r="K37" s="809"/>
      <c r="L37" s="809"/>
      <c r="M37" s="809"/>
      <c r="N37" s="809"/>
      <c r="O37" s="809"/>
      <c r="P37" s="809"/>
      <c r="Q37" s="809"/>
      <c r="R37" s="809"/>
      <c r="S37" s="809"/>
      <c r="T37" s="809"/>
      <c r="U37" s="809"/>
      <c r="V37" s="809"/>
      <c r="W37" s="809"/>
      <c r="X37" s="809"/>
      <c r="Y37" s="809"/>
      <c r="Z37" s="809"/>
      <c r="AA37" s="809"/>
    </row>
    <row r="38" spans="1:27" ht="15.75" customHeight="1">
      <c r="A38" s="719"/>
      <c r="B38" s="809"/>
      <c r="C38" s="809"/>
      <c r="D38" s="809"/>
      <c r="E38" s="809"/>
      <c r="F38" s="809"/>
      <c r="G38" s="809"/>
      <c r="H38" s="809"/>
      <c r="I38" s="809"/>
      <c r="J38" s="809"/>
      <c r="K38" s="809"/>
      <c r="L38" s="809"/>
      <c r="M38" s="809"/>
      <c r="N38" s="809"/>
      <c r="O38" s="809"/>
      <c r="P38" s="809"/>
      <c r="Q38" s="809"/>
      <c r="R38" s="809"/>
      <c r="S38" s="809"/>
      <c r="T38" s="809"/>
      <c r="U38" s="809"/>
      <c r="V38" s="809"/>
      <c r="W38" s="809"/>
      <c r="X38" s="809"/>
      <c r="Y38" s="809"/>
      <c r="Z38" s="809"/>
      <c r="AA38" s="809"/>
    </row>
    <row r="39" spans="1:27" ht="15.75" customHeight="1">
      <c r="A39" s="719"/>
      <c r="B39" s="809"/>
      <c r="C39" s="809"/>
      <c r="D39" s="809"/>
      <c r="E39" s="809"/>
      <c r="F39" s="809"/>
      <c r="G39" s="809"/>
      <c r="H39" s="809"/>
      <c r="I39" s="809"/>
      <c r="J39" s="809"/>
      <c r="K39" s="809"/>
      <c r="L39" s="809"/>
      <c r="M39" s="809"/>
      <c r="N39" s="809"/>
      <c r="O39" s="809"/>
      <c r="P39" s="809"/>
      <c r="Q39" s="809"/>
      <c r="R39" s="809"/>
      <c r="S39" s="809"/>
      <c r="T39" s="809"/>
      <c r="U39" s="809"/>
      <c r="V39" s="809"/>
      <c r="W39" s="809"/>
      <c r="X39" s="809"/>
      <c r="Y39" s="809"/>
      <c r="Z39" s="809"/>
      <c r="AA39" s="809"/>
    </row>
    <row r="40" spans="1:27" ht="15.75" customHeight="1">
      <c r="A40" s="719"/>
      <c r="B40" s="809"/>
      <c r="C40" s="809"/>
      <c r="D40" s="809"/>
      <c r="E40" s="809"/>
      <c r="F40" s="809"/>
      <c r="G40" s="809"/>
      <c r="H40" s="809"/>
      <c r="I40" s="809"/>
      <c r="J40" s="809"/>
      <c r="K40" s="809"/>
      <c r="L40" s="809"/>
      <c r="M40" s="809"/>
      <c r="N40" s="809"/>
      <c r="O40" s="809"/>
      <c r="P40" s="809"/>
      <c r="Q40" s="809"/>
      <c r="R40" s="809"/>
      <c r="S40" s="809"/>
      <c r="T40" s="809"/>
      <c r="U40" s="809"/>
      <c r="V40" s="809"/>
      <c r="W40" s="809"/>
      <c r="X40" s="809"/>
      <c r="Y40" s="809"/>
      <c r="Z40" s="809"/>
      <c r="AA40" s="809"/>
    </row>
    <row r="41" spans="1:27" ht="15.75" customHeight="1">
      <c r="A41" s="719"/>
      <c r="B41" s="809"/>
      <c r="C41" s="809"/>
      <c r="D41" s="809"/>
      <c r="E41" s="809"/>
      <c r="F41" s="809"/>
      <c r="G41" s="809"/>
      <c r="H41" s="809"/>
      <c r="I41" s="809"/>
      <c r="J41" s="809"/>
      <c r="K41" s="809"/>
      <c r="L41" s="809"/>
      <c r="M41" s="809"/>
      <c r="N41" s="809"/>
      <c r="O41" s="809"/>
      <c r="P41" s="809"/>
      <c r="Q41" s="809"/>
      <c r="R41" s="809"/>
      <c r="S41" s="809"/>
      <c r="T41" s="809"/>
      <c r="U41" s="809"/>
      <c r="V41" s="809"/>
      <c r="W41" s="809"/>
      <c r="X41" s="809"/>
      <c r="Y41" s="809"/>
      <c r="Z41" s="809"/>
      <c r="AA41" s="809"/>
    </row>
    <row r="42" spans="1:27" ht="15.75" customHeight="1">
      <c r="A42" s="719"/>
      <c r="B42" s="809"/>
      <c r="C42" s="809"/>
      <c r="D42" s="809"/>
      <c r="E42" s="809"/>
      <c r="F42" s="809"/>
      <c r="G42" s="809"/>
      <c r="H42" s="809"/>
      <c r="I42" s="809"/>
      <c r="J42" s="809"/>
      <c r="K42" s="809"/>
      <c r="L42" s="809"/>
      <c r="M42" s="809"/>
      <c r="N42" s="809"/>
      <c r="O42" s="809"/>
      <c r="P42" s="809"/>
      <c r="Q42" s="809"/>
      <c r="R42" s="809"/>
      <c r="S42" s="809"/>
      <c r="T42" s="809"/>
      <c r="U42" s="809"/>
      <c r="V42" s="809"/>
      <c r="W42" s="809"/>
      <c r="X42" s="809"/>
      <c r="Y42" s="809"/>
      <c r="Z42" s="809"/>
      <c r="AA42" s="809"/>
    </row>
    <row r="43" spans="1:27" ht="15.75" customHeight="1">
      <c r="A43" s="719"/>
      <c r="B43" s="809"/>
      <c r="C43" s="809"/>
      <c r="D43" s="809"/>
      <c r="E43" s="809"/>
      <c r="F43" s="809"/>
      <c r="G43" s="809"/>
      <c r="H43" s="809"/>
      <c r="I43" s="809"/>
      <c r="J43" s="809"/>
      <c r="K43" s="809"/>
      <c r="L43" s="809"/>
      <c r="M43" s="809"/>
      <c r="N43" s="809"/>
      <c r="O43" s="809"/>
      <c r="P43" s="809"/>
      <c r="Q43" s="809"/>
      <c r="R43" s="809"/>
      <c r="S43" s="809"/>
      <c r="T43" s="809"/>
      <c r="U43" s="809"/>
      <c r="V43" s="809"/>
      <c r="W43" s="809"/>
      <c r="X43" s="809"/>
      <c r="Y43" s="809"/>
      <c r="Z43" s="809"/>
      <c r="AA43" s="809"/>
    </row>
    <row r="44" spans="1:27" ht="15.75" customHeight="1">
      <c r="A44" s="719"/>
      <c r="B44" s="809"/>
      <c r="C44" s="809"/>
      <c r="D44" s="809"/>
      <c r="E44" s="809"/>
      <c r="F44" s="809"/>
      <c r="G44" s="809"/>
      <c r="H44" s="809"/>
      <c r="I44" s="809"/>
      <c r="J44" s="809"/>
      <c r="K44" s="809"/>
      <c r="L44" s="809"/>
      <c r="M44" s="809"/>
      <c r="N44" s="809"/>
      <c r="O44" s="809"/>
      <c r="P44" s="809"/>
      <c r="Q44" s="809"/>
      <c r="R44" s="809"/>
      <c r="S44" s="809"/>
      <c r="T44" s="809"/>
      <c r="U44" s="809"/>
      <c r="V44" s="809"/>
      <c r="W44" s="809"/>
      <c r="X44" s="809"/>
      <c r="Y44" s="809"/>
      <c r="Z44" s="809"/>
      <c r="AA44" s="809"/>
    </row>
    <row r="45" spans="1:27" ht="15.75" customHeight="1">
      <c r="A45" s="719"/>
      <c r="B45" s="809"/>
      <c r="C45" s="809"/>
      <c r="D45" s="809"/>
      <c r="E45" s="809"/>
      <c r="F45" s="809"/>
      <c r="G45" s="809"/>
      <c r="H45" s="809"/>
      <c r="I45" s="809"/>
      <c r="J45" s="809"/>
      <c r="K45" s="809"/>
      <c r="L45" s="809"/>
      <c r="M45" s="809"/>
      <c r="N45" s="809"/>
      <c r="O45" s="809"/>
      <c r="P45" s="809"/>
      <c r="Q45" s="809"/>
      <c r="R45" s="809"/>
      <c r="S45" s="809"/>
      <c r="T45" s="809"/>
      <c r="U45" s="809"/>
      <c r="V45" s="809"/>
      <c r="W45" s="809"/>
      <c r="X45" s="809"/>
      <c r="Y45" s="809"/>
      <c r="Z45" s="809"/>
      <c r="AA45" s="809"/>
    </row>
    <row r="46" spans="1:27" ht="15.75" customHeight="1">
      <c r="A46" s="719"/>
      <c r="B46" s="809"/>
      <c r="C46" s="809"/>
      <c r="D46" s="809"/>
      <c r="E46" s="809"/>
      <c r="F46" s="809"/>
      <c r="G46" s="809"/>
      <c r="H46" s="809"/>
      <c r="I46" s="809"/>
      <c r="J46" s="809"/>
      <c r="K46" s="809"/>
      <c r="L46" s="809"/>
      <c r="M46" s="809"/>
      <c r="N46" s="809"/>
      <c r="O46" s="809"/>
      <c r="P46" s="809"/>
      <c r="Q46" s="809"/>
      <c r="R46" s="809"/>
      <c r="S46" s="809"/>
      <c r="T46" s="809"/>
      <c r="U46" s="809"/>
      <c r="V46" s="809"/>
      <c r="W46" s="809"/>
      <c r="X46" s="809"/>
      <c r="Y46" s="809"/>
      <c r="Z46" s="809"/>
      <c r="AA46" s="809"/>
    </row>
    <row r="47" spans="1:27" ht="15.75" customHeight="1">
      <c r="A47" s="719"/>
      <c r="B47" s="809"/>
      <c r="C47" s="809"/>
      <c r="D47" s="809"/>
      <c r="E47" s="809"/>
      <c r="F47" s="809"/>
      <c r="G47" s="809"/>
      <c r="H47" s="809"/>
      <c r="I47" s="809"/>
      <c r="J47" s="809"/>
      <c r="K47" s="809"/>
      <c r="L47" s="809"/>
      <c r="M47" s="809"/>
      <c r="N47" s="809"/>
      <c r="O47" s="809"/>
      <c r="P47" s="809"/>
      <c r="Q47" s="809"/>
      <c r="R47" s="809"/>
      <c r="S47" s="809"/>
      <c r="T47" s="809"/>
      <c r="U47" s="809"/>
      <c r="V47" s="809"/>
      <c r="W47" s="809"/>
      <c r="X47" s="809"/>
      <c r="Y47" s="809"/>
      <c r="Z47" s="809"/>
      <c r="AA47" s="809"/>
    </row>
    <row r="48" spans="1:27" ht="15.75" customHeight="1">
      <c r="A48" s="719"/>
      <c r="B48" s="809"/>
      <c r="C48" s="809"/>
      <c r="D48" s="809"/>
      <c r="E48" s="809"/>
      <c r="F48" s="809"/>
      <c r="G48" s="809"/>
      <c r="H48" s="809"/>
      <c r="I48" s="809"/>
      <c r="J48" s="809"/>
      <c r="K48" s="809"/>
      <c r="L48" s="809"/>
      <c r="M48" s="809"/>
      <c r="N48" s="809"/>
      <c r="O48" s="809"/>
      <c r="P48" s="809"/>
      <c r="Q48" s="809"/>
      <c r="R48" s="809"/>
      <c r="S48" s="809"/>
      <c r="T48" s="809"/>
      <c r="U48" s="809"/>
      <c r="V48" s="809"/>
      <c r="W48" s="809"/>
      <c r="X48" s="809"/>
      <c r="Y48" s="809"/>
      <c r="Z48" s="809"/>
      <c r="AA48" s="809"/>
    </row>
    <row r="49" spans="1:27" ht="15.75" customHeight="1">
      <c r="A49" s="719"/>
      <c r="B49" s="809"/>
      <c r="C49" s="809"/>
      <c r="D49" s="809"/>
      <c r="E49" s="809"/>
      <c r="F49" s="809"/>
      <c r="G49" s="809"/>
      <c r="H49" s="809"/>
      <c r="I49" s="809"/>
      <c r="J49" s="809"/>
      <c r="K49" s="809"/>
      <c r="L49" s="809"/>
      <c r="M49" s="809"/>
      <c r="N49" s="809"/>
      <c r="O49" s="809"/>
      <c r="P49" s="809"/>
      <c r="Q49" s="809"/>
      <c r="R49" s="809"/>
      <c r="S49" s="809"/>
      <c r="T49" s="809"/>
      <c r="U49" s="809"/>
      <c r="V49" s="809"/>
      <c r="W49" s="809"/>
      <c r="X49" s="809"/>
      <c r="Y49" s="809"/>
      <c r="Z49" s="809"/>
      <c r="AA49" s="809"/>
    </row>
    <row r="50" spans="1:27" ht="15.75" customHeight="1">
      <c r="A50" s="719"/>
      <c r="B50" s="809"/>
      <c r="C50" s="809"/>
      <c r="D50" s="809"/>
      <c r="E50" s="809"/>
      <c r="F50" s="809"/>
      <c r="G50" s="809"/>
      <c r="H50" s="809"/>
      <c r="I50" s="809"/>
      <c r="J50" s="809"/>
      <c r="K50" s="809"/>
      <c r="L50" s="809"/>
      <c r="M50" s="809"/>
      <c r="N50" s="809"/>
      <c r="O50" s="809"/>
      <c r="P50" s="809"/>
      <c r="Q50" s="809"/>
      <c r="R50" s="809"/>
      <c r="S50" s="809"/>
      <c r="T50" s="809"/>
      <c r="U50" s="809"/>
      <c r="V50" s="809"/>
      <c r="W50" s="809"/>
      <c r="X50" s="809"/>
      <c r="Y50" s="809"/>
      <c r="Z50" s="809"/>
      <c r="AA50" s="809"/>
    </row>
    <row r="51" spans="1:27" ht="15.75" customHeight="1">
      <c r="A51" s="719"/>
      <c r="B51" s="809"/>
      <c r="C51" s="809"/>
      <c r="D51" s="809"/>
      <c r="E51" s="809"/>
      <c r="F51" s="809"/>
      <c r="G51" s="809"/>
      <c r="H51" s="809"/>
      <c r="I51" s="809"/>
      <c r="J51" s="809"/>
      <c r="K51" s="809"/>
      <c r="L51" s="809"/>
      <c r="M51" s="809"/>
      <c r="N51" s="809"/>
      <c r="O51" s="809"/>
      <c r="P51" s="809"/>
      <c r="Q51" s="809"/>
      <c r="R51" s="809"/>
      <c r="S51" s="809"/>
      <c r="T51" s="809"/>
      <c r="U51" s="809"/>
      <c r="V51" s="809"/>
      <c r="W51" s="809"/>
      <c r="X51" s="809"/>
      <c r="Y51" s="809"/>
      <c r="Z51" s="809"/>
      <c r="AA51" s="809"/>
    </row>
    <row r="52" spans="1:27" ht="15.75" customHeight="1">
      <c r="A52" s="719"/>
      <c r="B52" s="809"/>
      <c r="C52" s="809"/>
      <c r="D52" s="809"/>
      <c r="E52" s="809"/>
      <c r="F52" s="809"/>
      <c r="G52" s="809"/>
      <c r="H52" s="809"/>
      <c r="I52" s="809"/>
      <c r="J52" s="809"/>
      <c r="K52" s="809"/>
      <c r="L52" s="809"/>
      <c r="M52" s="809"/>
      <c r="N52" s="809"/>
      <c r="O52" s="809"/>
      <c r="P52" s="809"/>
      <c r="Q52" s="809"/>
      <c r="R52" s="809"/>
      <c r="S52" s="809"/>
      <c r="T52" s="809"/>
      <c r="U52" s="809"/>
      <c r="V52" s="809"/>
      <c r="W52" s="809"/>
      <c r="X52" s="809"/>
      <c r="Y52" s="809"/>
      <c r="Z52" s="809"/>
      <c r="AA52" s="809"/>
    </row>
    <row r="53" spans="1:27" ht="15.75" customHeight="1">
      <c r="A53" s="719"/>
      <c r="B53" s="809"/>
      <c r="C53" s="809"/>
      <c r="D53" s="809"/>
      <c r="E53" s="809"/>
      <c r="F53" s="809"/>
      <c r="G53" s="809"/>
      <c r="H53" s="809"/>
      <c r="I53" s="809"/>
      <c r="J53" s="809"/>
      <c r="K53" s="809"/>
      <c r="L53" s="809"/>
      <c r="M53" s="809"/>
      <c r="N53" s="809"/>
      <c r="O53" s="809"/>
      <c r="P53" s="809"/>
      <c r="Q53" s="809"/>
      <c r="R53" s="809"/>
      <c r="S53" s="809"/>
      <c r="T53" s="809"/>
      <c r="U53" s="809"/>
      <c r="V53" s="809"/>
      <c r="W53" s="809"/>
      <c r="X53" s="809"/>
      <c r="Y53" s="809"/>
      <c r="Z53" s="809"/>
      <c r="AA53" s="809"/>
    </row>
    <row r="54" spans="1:27" ht="15.75" customHeight="1">
      <c r="A54" s="719"/>
      <c r="B54" s="809"/>
      <c r="C54" s="809"/>
      <c r="D54" s="809"/>
      <c r="E54" s="809"/>
      <c r="F54" s="809"/>
      <c r="G54" s="809"/>
      <c r="H54" s="809"/>
      <c r="I54" s="809"/>
      <c r="J54" s="809"/>
      <c r="K54" s="809"/>
      <c r="L54" s="809"/>
      <c r="M54" s="809"/>
      <c r="N54" s="809"/>
      <c r="O54" s="809"/>
      <c r="P54" s="809"/>
      <c r="Q54" s="809"/>
      <c r="R54" s="809"/>
      <c r="S54" s="809"/>
      <c r="T54" s="809"/>
      <c r="U54" s="809"/>
      <c r="V54" s="809"/>
      <c r="W54" s="809"/>
      <c r="X54" s="809"/>
      <c r="Y54" s="809"/>
      <c r="Z54" s="809"/>
      <c r="AA54" s="809"/>
    </row>
    <row r="55" spans="1:27" ht="15.75" customHeight="1">
      <c r="A55" s="719"/>
      <c r="B55" s="809"/>
      <c r="C55" s="809"/>
      <c r="D55" s="809"/>
      <c r="E55" s="809"/>
      <c r="F55" s="809"/>
      <c r="G55" s="809"/>
      <c r="H55" s="809"/>
      <c r="I55" s="809"/>
      <c r="J55" s="809"/>
      <c r="K55" s="809"/>
      <c r="L55" s="809"/>
      <c r="M55" s="809"/>
      <c r="N55" s="809"/>
      <c r="O55" s="809"/>
      <c r="P55" s="809"/>
      <c r="Q55" s="809"/>
      <c r="R55" s="809"/>
      <c r="S55" s="809"/>
      <c r="T55" s="809"/>
      <c r="U55" s="809"/>
      <c r="V55" s="809"/>
      <c r="W55" s="809"/>
      <c r="X55" s="809"/>
      <c r="Y55" s="809"/>
      <c r="Z55" s="809"/>
      <c r="AA55" s="809"/>
    </row>
    <row r="56" spans="1:27" ht="15.75" customHeight="1">
      <c r="A56" s="719"/>
      <c r="B56" s="809"/>
      <c r="C56" s="809"/>
      <c r="D56" s="809"/>
      <c r="E56" s="809"/>
      <c r="F56" s="809"/>
      <c r="G56" s="809"/>
      <c r="H56" s="809"/>
      <c r="I56" s="809"/>
      <c r="J56" s="809"/>
      <c r="K56" s="809"/>
      <c r="L56" s="809"/>
      <c r="M56" s="809"/>
      <c r="N56" s="809"/>
      <c r="O56" s="809"/>
      <c r="P56" s="809"/>
      <c r="Q56" s="809"/>
      <c r="R56" s="809"/>
      <c r="S56" s="809"/>
      <c r="T56" s="809"/>
      <c r="U56" s="809"/>
      <c r="V56" s="809"/>
      <c r="W56" s="809"/>
      <c r="X56" s="809"/>
      <c r="Y56" s="809"/>
      <c r="Z56" s="809"/>
      <c r="AA56" s="809"/>
    </row>
    <row r="57" spans="1:27" ht="15.75" customHeight="1">
      <c r="A57" s="719"/>
      <c r="B57" s="809"/>
      <c r="C57" s="809"/>
      <c r="D57" s="809"/>
      <c r="E57" s="809"/>
      <c r="F57" s="809"/>
      <c r="G57" s="809"/>
      <c r="H57" s="809"/>
      <c r="I57" s="809"/>
      <c r="J57" s="809"/>
      <c r="K57" s="809"/>
      <c r="L57" s="809"/>
      <c r="M57" s="809"/>
      <c r="N57" s="809"/>
      <c r="O57" s="809"/>
      <c r="P57" s="809"/>
      <c r="Q57" s="809"/>
      <c r="R57" s="809"/>
      <c r="S57" s="809"/>
      <c r="T57" s="809"/>
      <c r="U57" s="809"/>
      <c r="V57" s="809"/>
      <c r="W57" s="809"/>
      <c r="X57" s="809"/>
      <c r="Y57" s="809"/>
      <c r="Z57" s="809"/>
      <c r="AA57" s="809"/>
    </row>
    <row r="58" spans="1:27" ht="15.75" customHeight="1">
      <c r="A58" s="719"/>
      <c r="B58" s="809"/>
      <c r="C58" s="809"/>
      <c r="D58" s="809"/>
      <c r="E58" s="809"/>
      <c r="F58" s="809"/>
      <c r="G58" s="809"/>
      <c r="H58" s="809"/>
      <c r="I58" s="809"/>
      <c r="J58" s="809"/>
      <c r="K58" s="809"/>
      <c r="L58" s="809"/>
      <c r="M58" s="809"/>
      <c r="N58" s="809"/>
      <c r="O58" s="809"/>
      <c r="P58" s="809"/>
      <c r="Q58" s="809"/>
      <c r="R58" s="809"/>
      <c r="S58" s="809"/>
      <c r="T58" s="809"/>
      <c r="U58" s="809"/>
      <c r="V58" s="809"/>
      <c r="W58" s="809"/>
      <c r="X58" s="809"/>
      <c r="Y58" s="809"/>
      <c r="Z58" s="809"/>
      <c r="AA58" s="809"/>
    </row>
    <row r="59" spans="1:27" ht="15.75" customHeight="1">
      <c r="A59" s="719"/>
      <c r="B59" s="809"/>
      <c r="C59" s="809"/>
      <c r="D59" s="809"/>
      <c r="E59" s="809"/>
      <c r="F59" s="809"/>
      <c r="G59" s="809"/>
      <c r="H59" s="809"/>
      <c r="I59" s="809"/>
      <c r="J59" s="809"/>
      <c r="K59" s="809"/>
      <c r="L59" s="809"/>
      <c r="M59" s="809"/>
      <c r="N59" s="809"/>
      <c r="O59" s="809"/>
      <c r="P59" s="809"/>
      <c r="Q59" s="809"/>
      <c r="R59" s="809"/>
      <c r="S59" s="809"/>
      <c r="T59" s="809"/>
      <c r="U59" s="809"/>
      <c r="V59" s="809"/>
      <c r="W59" s="809"/>
      <c r="X59" s="809"/>
      <c r="Y59" s="809"/>
      <c r="Z59" s="809"/>
      <c r="AA59" s="809"/>
    </row>
    <row r="60" spans="1:27" ht="15.75" customHeight="1">
      <c r="A60" s="719"/>
      <c r="B60" s="809"/>
      <c r="C60" s="809"/>
      <c r="D60" s="809"/>
      <c r="E60" s="809"/>
      <c r="F60" s="809"/>
      <c r="G60" s="809"/>
      <c r="H60" s="809"/>
      <c r="I60" s="809"/>
      <c r="J60" s="809"/>
      <c r="K60" s="809"/>
      <c r="L60" s="809"/>
      <c r="M60" s="809"/>
      <c r="N60" s="809"/>
      <c r="O60" s="809"/>
      <c r="P60" s="809"/>
      <c r="Q60" s="809"/>
      <c r="R60" s="809"/>
      <c r="S60" s="809"/>
      <c r="T60" s="809"/>
      <c r="U60" s="809"/>
      <c r="V60" s="809"/>
      <c r="W60" s="809"/>
      <c r="X60" s="809"/>
      <c r="Y60" s="809"/>
      <c r="Z60" s="809"/>
      <c r="AA60" s="809"/>
    </row>
    <row r="61" spans="1:27" ht="15.75" customHeight="1">
      <c r="A61" s="719"/>
      <c r="B61" s="809"/>
      <c r="C61" s="809"/>
      <c r="D61" s="809"/>
      <c r="E61" s="809"/>
      <c r="F61" s="809"/>
      <c r="G61" s="809"/>
      <c r="H61" s="809"/>
      <c r="I61" s="809"/>
      <c r="J61" s="809"/>
      <c r="K61" s="809"/>
      <c r="L61" s="809"/>
      <c r="M61" s="809"/>
      <c r="N61" s="809"/>
      <c r="O61" s="809"/>
      <c r="P61" s="809"/>
      <c r="Q61" s="809"/>
      <c r="R61" s="809"/>
      <c r="S61" s="809"/>
      <c r="T61" s="809"/>
      <c r="U61" s="809"/>
      <c r="V61" s="809"/>
      <c r="W61" s="809"/>
      <c r="X61" s="809"/>
      <c r="Y61" s="809"/>
      <c r="Z61" s="809"/>
      <c r="AA61" s="809"/>
    </row>
    <row r="62" spans="1:27" ht="15.75" customHeight="1">
      <c r="A62" s="719"/>
      <c r="B62" s="809"/>
      <c r="C62" s="809"/>
      <c r="D62" s="809"/>
      <c r="E62" s="809"/>
      <c r="F62" s="809"/>
      <c r="G62" s="809"/>
      <c r="H62" s="809"/>
      <c r="I62" s="809"/>
      <c r="J62" s="809"/>
      <c r="K62" s="809"/>
      <c r="L62" s="809"/>
      <c r="M62" s="809"/>
      <c r="N62" s="809"/>
      <c r="O62" s="809"/>
      <c r="P62" s="809"/>
      <c r="Q62" s="809"/>
      <c r="R62" s="809"/>
      <c r="S62" s="809"/>
      <c r="T62" s="809"/>
      <c r="U62" s="809"/>
      <c r="V62" s="809"/>
      <c r="W62" s="809"/>
      <c r="X62" s="809"/>
      <c r="Y62" s="809"/>
      <c r="Z62" s="809"/>
      <c r="AA62" s="809"/>
    </row>
    <row r="63" spans="1:27" ht="15.75" customHeight="1">
      <c r="A63" s="719"/>
      <c r="B63" s="809"/>
      <c r="C63" s="809"/>
      <c r="D63" s="809"/>
      <c r="E63" s="809"/>
      <c r="F63" s="809"/>
      <c r="G63" s="809"/>
      <c r="H63" s="809"/>
      <c r="I63" s="809"/>
      <c r="J63" s="809"/>
      <c r="K63" s="809"/>
      <c r="L63" s="809"/>
      <c r="M63" s="809"/>
      <c r="N63" s="809"/>
      <c r="O63" s="809"/>
      <c r="P63" s="809"/>
      <c r="Q63" s="809"/>
      <c r="R63" s="809"/>
      <c r="S63" s="809"/>
      <c r="T63" s="809"/>
      <c r="U63" s="809"/>
      <c r="V63" s="809"/>
      <c r="W63" s="809"/>
      <c r="X63" s="809"/>
      <c r="Y63" s="809"/>
      <c r="Z63" s="809"/>
      <c r="AA63" s="809"/>
    </row>
    <row r="64" spans="1:27" ht="15.75" customHeight="1">
      <c r="A64" s="719"/>
      <c r="B64" s="809"/>
      <c r="C64" s="809"/>
      <c r="D64" s="809"/>
      <c r="E64" s="809"/>
      <c r="F64" s="809"/>
      <c r="G64" s="809"/>
      <c r="H64" s="809"/>
      <c r="I64" s="809"/>
      <c r="J64" s="809"/>
      <c r="K64" s="809"/>
      <c r="L64" s="809"/>
      <c r="M64" s="809"/>
      <c r="N64" s="809"/>
      <c r="O64" s="809"/>
      <c r="P64" s="809"/>
      <c r="Q64" s="809"/>
      <c r="R64" s="809"/>
      <c r="S64" s="809"/>
      <c r="T64" s="809"/>
      <c r="U64" s="809"/>
      <c r="V64" s="809"/>
      <c r="W64" s="809"/>
      <c r="X64" s="809"/>
      <c r="Y64" s="809"/>
      <c r="Z64" s="809"/>
      <c r="AA64" s="809"/>
    </row>
    <row r="65" spans="1:27" ht="15.75" customHeight="1">
      <c r="A65" s="719"/>
      <c r="B65" s="809"/>
      <c r="C65" s="809"/>
      <c r="D65" s="809"/>
      <c r="E65" s="809"/>
      <c r="F65" s="809"/>
      <c r="G65" s="809"/>
      <c r="H65" s="809"/>
      <c r="I65" s="809"/>
      <c r="J65" s="809"/>
      <c r="K65" s="809"/>
      <c r="L65" s="809"/>
      <c r="M65" s="809"/>
      <c r="N65" s="809"/>
      <c r="O65" s="809"/>
      <c r="P65" s="809"/>
      <c r="Q65" s="809"/>
      <c r="R65" s="809"/>
      <c r="S65" s="809"/>
      <c r="T65" s="809"/>
      <c r="U65" s="809"/>
      <c r="V65" s="809"/>
      <c r="W65" s="809"/>
      <c r="X65" s="809"/>
      <c r="Y65" s="809"/>
      <c r="Z65" s="809"/>
      <c r="AA65" s="809"/>
    </row>
    <row r="66" spans="1:27" ht="15.75" customHeight="1">
      <c r="A66" s="719"/>
      <c r="B66" s="809"/>
      <c r="C66" s="809"/>
      <c r="D66" s="809"/>
      <c r="E66" s="809"/>
      <c r="F66" s="809"/>
      <c r="G66" s="809"/>
      <c r="H66" s="809"/>
      <c r="I66" s="809"/>
      <c r="J66" s="809"/>
      <c r="K66" s="809"/>
      <c r="L66" s="809"/>
      <c r="M66" s="809"/>
      <c r="N66" s="809"/>
      <c r="O66" s="809"/>
      <c r="P66" s="809"/>
      <c r="Q66" s="809"/>
      <c r="R66" s="809"/>
      <c r="S66" s="809"/>
      <c r="T66" s="809"/>
      <c r="U66" s="809"/>
      <c r="V66" s="809"/>
      <c r="W66" s="809"/>
      <c r="X66" s="809"/>
      <c r="Y66" s="809"/>
      <c r="Z66" s="809"/>
      <c r="AA66" s="809"/>
    </row>
    <row r="67" spans="1:27" ht="15.75" customHeight="1">
      <c r="A67" s="719"/>
      <c r="B67" s="809"/>
      <c r="C67" s="809"/>
      <c r="D67" s="809"/>
      <c r="E67" s="809"/>
      <c r="F67" s="809"/>
      <c r="G67" s="809"/>
      <c r="H67" s="809"/>
      <c r="I67" s="809"/>
      <c r="J67" s="809"/>
      <c r="K67" s="809"/>
      <c r="L67" s="809"/>
      <c r="M67" s="809"/>
      <c r="N67" s="809"/>
      <c r="O67" s="809"/>
      <c r="P67" s="809"/>
      <c r="Q67" s="809"/>
      <c r="R67" s="809"/>
      <c r="S67" s="809"/>
      <c r="T67" s="809"/>
      <c r="U67" s="809"/>
      <c r="V67" s="809"/>
      <c r="W67" s="809"/>
      <c r="X67" s="809"/>
      <c r="Y67" s="809"/>
      <c r="Z67" s="809"/>
      <c r="AA67" s="809"/>
    </row>
    <row r="68" spans="1:27" ht="15.75" customHeight="1">
      <c r="A68" s="719"/>
      <c r="B68" s="809"/>
      <c r="C68" s="809"/>
      <c r="D68" s="809"/>
      <c r="E68" s="809"/>
      <c r="F68" s="809"/>
      <c r="G68" s="809"/>
      <c r="H68" s="809"/>
      <c r="I68" s="809"/>
      <c r="J68" s="809"/>
      <c r="K68" s="809"/>
      <c r="L68" s="809"/>
      <c r="M68" s="809"/>
      <c r="N68" s="809"/>
      <c r="O68" s="809"/>
      <c r="P68" s="809"/>
      <c r="Q68" s="809"/>
      <c r="R68" s="809"/>
      <c r="S68" s="809"/>
      <c r="T68" s="809"/>
      <c r="U68" s="809"/>
      <c r="V68" s="809"/>
      <c r="W68" s="809"/>
      <c r="X68" s="809"/>
      <c r="Y68" s="809"/>
      <c r="Z68" s="809"/>
      <c r="AA68" s="809"/>
    </row>
    <row r="69" spans="1:27" ht="15.75" customHeight="1">
      <c r="A69" s="719"/>
      <c r="B69" s="809"/>
      <c r="C69" s="809"/>
      <c r="D69" s="809"/>
      <c r="E69" s="809"/>
      <c r="F69" s="809"/>
      <c r="G69" s="809"/>
      <c r="H69" s="809"/>
      <c r="I69" s="809"/>
      <c r="J69" s="809"/>
      <c r="K69" s="809"/>
      <c r="L69" s="809"/>
      <c r="M69" s="809"/>
      <c r="N69" s="809"/>
      <c r="O69" s="809"/>
      <c r="P69" s="809"/>
      <c r="Q69" s="809"/>
      <c r="R69" s="809"/>
      <c r="S69" s="809"/>
      <c r="T69" s="809"/>
      <c r="U69" s="809"/>
      <c r="V69" s="809"/>
      <c r="W69" s="809"/>
      <c r="X69" s="809"/>
      <c r="Y69" s="809"/>
      <c r="Z69" s="809"/>
      <c r="AA69" s="809"/>
    </row>
    <row r="70" spans="1:27" ht="15.75" customHeight="1">
      <c r="A70" s="719"/>
      <c r="B70" s="809"/>
      <c r="C70" s="809"/>
      <c r="D70" s="809"/>
      <c r="E70" s="809"/>
      <c r="F70" s="809"/>
      <c r="G70" s="809"/>
      <c r="H70" s="809"/>
      <c r="I70" s="809"/>
      <c r="J70" s="809"/>
      <c r="K70" s="809"/>
      <c r="L70" s="809"/>
      <c r="M70" s="809"/>
      <c r="N70" s="809"/>
      <c r="O70" s="809"/>
      <c r="P70" s="809"/>
      <c r="Q70" s="809"/>
      <c r="R70" s="809"/>
      <c r="S70" s="809"/>
      <c r="T70" s="809"/>
      <c r="U70" s="809"/>
      <c r="V70" s="809"/>
      <c r="W70" s="809"/>
      <c r="X70" s="809"/>
      <c r="Y70" s="809"/>
      <c r="Z70" s="809"/>
      <c r="AA70" s="809"/>
    </row>
    <row r="71" spans="1:27" ht="15.75" customHeight="1">
      <c r="A71" s="719"/>
      <c r="B71" s="809"/>
      <c r="C71" s="809"/>
      <c r="D71" s="809"/>
      <c r="E71" s="809"/>
      <c r="F71" s="809"/>
      <c r="G71" s="809"/>
      <c r="H71" s="809"/>
      <c r="I71" s="809"/>
      <c r="J71" s="809"/>
      <c r="K71" s="809"/>
      <c r="L71" s="809"/>
      <c r="M71" s="809"/>
      <c r="N71" s="809"/>
      <c r="O71" s="809"/>
      <c r="P71" s="809"/>
      <c r="Q71" s="809"/>
      <c r="R71" s="809"/>
      <c r="S71" s="809"/>
      <c r="T71" s="809"/>
      <c r="U71" s="809"/>
      <c r="V71" s="809"/>
      <c r="W71" s="809"/>
      <c r="X71" s="809"/>
      <c r="Y71" s="809"/>
      <c r="Z71" s="809"/>
      <c r="AA71" s="809"/>
    </row>
    <row r="72" spans="1:27" ht="15.75" customHeight="1">
      <c r="A72" s="719"/>
      <c r="B72" s="809"/>
      <c r="C72" s="809"/>
      <c r="D72" s="809"/>
      <c r="E72" s="809"/>
      <c r="F72" s="809"/>
      <c r="G72" s="809"/>
      <c r="H72" s="809"/>
      <c r="I72" s="809"/>
      <c r="J72" s="809"/>
      <c r="K72" s="809"/>
      <c r="L72" s="809"/>
      <c r="M72" s="809"/>
      <c r="N72" s="809"/>
      <c r="O72" s="809"/>
      <c r="P72" s="809"/>
      <c r="Q72" s="809"/>
      <c r="R72" s="809"/>
      <c r="S72" s="809"/>
      <c r="T72" s="809"/>
      <c r="U72" s="809"/>
      <c r="V72" s="809"/>
      <c r="W72" s="809"/>
      <c r="X72" s="809"/>
      <c r="Y72" s="809"/>
      <c r="Z72" s="809"/>
      <c r="AA72" s="809"/>
    </row>
    <row r="73" spans="1:27" ht="15.75" customHeight="1">
      <c r="A73" s="719"/>
      <c r="B73" s="809"/>
      <c r="C73" s="809"/>
      <c r="D73" s="809"/>
      <c r="E73" s="809"/>
      <c r="F73" s="809"/>
      <c r="G73" s="809"/>
      <c r="H73" s="809"/>
      <c r="I73" s="809"/>
      <c r="J73" s="809"/>
      <c r="K73" s="809"/>
      <c r="L73" s="809"/>
      <c r="M73" s="809"/>
      <c r="N73" s="809"/>
      <c r="O73" s="809"/>
      <c r="P73" s="809"/>
      <c r="Q73" s="809"/>
      <c r="R73" s="809"/>
      <c r="S73" s="809"/>
      <c r="T73" s="809"/>
      <c r="U73" s="809"/>
      <c r="V73" s="809"/>
      <c r="W73" s="809"/>
      <c r="X73" s="809"/>
      <c r="Y73" s="809"/>
      <c r="Z73" s="809"/>
      <c r="AA73" s="809"/>
    </row>
    <row r="74" spans="1:27" ht="15.75" customHeight="1">
      <c r="A74" s="719"/>
      <c r="B74" s="809"/>
      <c r="C74" s="809"/>
      <c r="D74" s="809"/>
      <c r="E74" s="809"/>
      <c r="F74" s="809"/>
      <c r="G74" s="809"/>
      <c r="H74" s="809"/>
      <c r="I74" s="809"/>
      <c r="J74" s="809"/>
      <c r="K74" s="809"/>
      <c r="L74" s="809"/>
      <c r="M74" s="809"/>
      <c r="N74" s="809"/>
      <c r="O74" s="809"/>
      <c r="P74" s="809"/>
      <c r="Q74" s="809"/>
      <c r="R74" s="809"/>
      <c r="S74" s="809"/>
      <c r="T74" s="809"/>
      <c r="U74" s="809"/>
      <c r="V74" s="809"/>
      <c r="W74" s="809"/>
      <c r="X74" s="809"/>
      <c r="Y74" s="809"/>
      <c r="Z74" s="809"/>
      <c r="AA74" s="809"/>
    </row>
    <row r="75" spans="1:27" ht="15.75" customHeight="1">
      <c r="A75" s="719"/>
      <c r="B75" s="809"/>
      <c r="C75" s="809"/>
      <c r="D75" s="809"/>
      <c r="E75" s="809"/>
      <c r="F75" s="809"/>
      <c r="G75" s="809"/>
      <c r="H75" s="809"/>
      <c r="I75" s="809"/>
      <c r="J75" s="809"/>
      <c r="K75" s="809"/>
      <c r="L75" s="809"/>
      <c r="M75" s="809"/>
      <c r="N75" s="809"/>
      <c r="O75" s="809"/>
      <c r="P75" s="809"/>
      <c r="Q75" s="809"/>
      <c r="R75" s="809"/>
      <c r="S75" s="809"/>
      <c r="T75" s="809"/>
      <c r="U75" s="809"/>
      <c r="V75" s="809"/>
      <c r="W75" s="809"/>
      <c r="X75" s="809"/>
      <c r="Y75" s="809"/>
      <c r="Z75" s="809"/>
      <c r="AA75" s="809"/>
    </row>
    <row r="76" spans="1:27" ht="15.75" customHeight="1">
      <c r="A76" s="719"/>
      <c r="B76" s="809"/>
      <c r="C76" s="809"/>
      <c r="D76" s="809"/>
      <c r="E76" s="809"/>
      <c r="F76" s="809"/>
      <c r="G76" s="809"/>
      <c r="H76" s="809"/>
      <c r="I76" s="809"/>
      <c r="J76" s="809"/>
      <c r="K76" s="809"/>
      <c r="L76" s="809"/>
      <c r="M76" s="809"/>
      <c r="N76" s="809"/>
      <c r="O76" s="809"/>
      <c r="P76" s="809"/>
      <c r="Q76" s="809"/>
      <c r="R76" s="809"/>
      <c r="S76" s="809"/>
      <c r="T76" s="809"/>
      <c r="U76" s="809"/>
      <c r="V76" s="809"/>
      <c r="W76" s="809"/>
      <c r="X76" s="809"/>
      <c r="Y76" s="809"/>
      <c r="Z76" s="809"/>
      <c r="AA76" s="809"/>
    </row>
    <row r="77" spans="1:27" ht="15.75" customHeight="1">
      <c r="A77" s="719"/>
      <c r="B77" s="809"/>
      <c r="C77" s="809"/>
      <c r="D77" s="809"/>
      <c r="E77" s="809"/>
      <c r="F77" s="809"/>
      <c r="G77" s="809"/>
      <c r="H77" s="809"/>
      <c r="I77" s="809"/>
      <c r="J77" s="809"/>
      <c r="K77" s="809"/>
      <c r="L77" s="809"/>
      <c r="M77" s="809"/>
      <c r="N77" s="809"/>
      <c r="O77" s="809"/>
      <c r="P77" s="809"/>
      <c r="Q77" s="809"/>
      <c r="R77" s="809"/>
      <c r="S77" s="809"/>
      <c r="T77" s="809"/>
      <c r="U77" s="809"/>
      <c r="V77" s="809"/>
      <c r="W77" s="809"/>
      <c r="X77" s="809"/>
      <c r="Y77" s="809"/>
      <c r="Z77" s="809"/>
      <c r="AA77" s="809"/>
    </row>
    <row r="78" spans="1:27" ht="15.75" customHeight="1">
      <c r="A78" s="719"/>
      <c r="B78" s="809"/>
      <c r="C78" s="809"/>
      <c r="D78" s="809"/>
      <c r="E78" s="809"/>
      <c r="F78" s="809"/>
      <c r="G78" s="809"/>
      <c r="H78" s="809"/>
      <c r="I78" s="809"/>
      <c r="J78" s="809"/>
      <c r="K78" s="809"/>
      <c r="L78" s="809"/>
      <c r="M78" s="809"/>
      <c r="N78" s="809"/>
      <c r="O78" s="809"/>
      <c r="P78" s="809"/>
      <c r="Q78" s="809"/>
      <c r="R78" s="809"/>
      <c r="S78" s="809"/>
      <c r="T78" s="809"/>
      <c r="U78" s="809"/>
      <c r="V78" s="809"/>
      <c r="W78" s="809"/>
      <c r="X78" s="809"/>
      <c r="Y78" s="809"/>
      <c r="Z78" s="809"/>
      <c r="AA78" s="809"/>
    </row>
    <row r="79" spans="1:27" ht="15.75" customHeight="1">
      <c r="A79" s="719"/>
      <c r="B79" s="809"/>
      <c r="C79" s="809"/>
      <c r="D79" s="809"/>
      <c r="E79" s="809"/>
      <c r="F79" s="809"/>
      <c r="G79" s="809"/>
      <c r="H79" s="809"/>
      <c r="I79" s="809"/>
      <c r="J79" s="809"/>
      <c r="K79" s="809"/>
      <c r="L79" s="809"/>
      <c r="M79" s="809"/>
      <c r="N79" s="809"/>
      <c r="O79" s="809"/>
      <c r="P79" s="809"/>
      <c r="Q79" s="809"/>
      <c r="R79" s="809"/>
      <c r="S79" s="809"/>
      <c r="T79" s="809"/>
      <c r="U79" s="809"/>
      <c r="V79" s="809"/>
      <c r="W79" s="809"/>
      <c r="X79" s="809"/>
      <c r="Y79" s="809"/>
      <c r="Z79" s="809"/>
      <c r="AA79" s="809"/>
    </row>
    <row r="80" spans="1:27" ht="15.75" customHeight="1">
      <c r="A80" s="719"/>
      <c r="B80" s="809"/>
      <c r="C80" s="809"/>
      <c r="D80" s="809"/>
      <c r="E80" s="809"/>
      <c r="F80" s="809"/>
      <c r="G80" s="809"/>
      <c r="H80" s="809"/>
      <c r="I80" s="809"/>
      <c r="J80" s="809"/>
      <c r="K80" s="809"/>
      <c r="L80" s="809"/>
      <c r="M80" s="809"/>
      <c r="N80" s="809"/>
      <c r="O80" s="809"/>
      <c r="P80" s="809"/>
      <c r="Q80" s="809"/>
      <c r="R80" s="809"/>
      <c r="S80" s="809"/>
      <c r="T80" s="809"/>
      <c r="U80" s="809"/>
      <c r="V80" s="809"/>
      <c r="W80" s="809"/>
      <c r="X80" s="809"/>
      <c r="Y80" s="809"/>
      <c r="Z80" s="809"/>
      <c r="AA80" s="809"/>
    </row>
    <row r="81" spans="1:27" ht="15.75" customHeight="1">
      <c r="A81" s="719"/>
      <c r="B81" s="809"/>
      <c r="C81" s="809"/>
      <c r="D81" s="809"/>
      <c r="E81" s="809"/>
      <c r="F81" s="809"/>
      <c r="G81" s="809"/>
      <c r="H81" s="809"/>
      <c r="I81" s="809"/>
      <c r="J81" s="809"/>
      <c r="K81" s="809"/>
      <c r="L81" s="809"/>
      <c r="M81" s="809"/>
      <c r="N81" s="809"/>
      <c r="O81" s="809"/>
      <c r="P81" s="809"/>
      <c r="Q81" s="809"/>
      <c r="R81" s="809"/>
      <c r="S81" s="809"/>
      <c r="T81" s="809"/>
      <c r="U81" s="809"/>
      <c r="V81" s="809"/>
      <c r="W81" s="809"/>
      <c r="X81" s="809"/>
      <c r="Y81" s="809"/>
      <c r="Z81" s="809"/>
      <c r="AA81" s="809"/>
    </row>
    <row r="82" spans="1:27" ht="15.75" customHeight="1">
      <c r="A82" s="719"/>
      <c r="B82" s="809"/>
      <c r="C82" s="809"/>
      <c r="D82" s="809"/>
      <c r="E82" s="809"/>
      <c r="F82" s="809"/>
      <c r="G82" s="809"/>
      <c r="H82" s="809"/>
      <c r="I82" s="809"/>
      <c r="J82" s="809"/>
      <c r="K82" s="809"/>
      <c r="L82" s="809"/>
      <c r="M82" s="809"/>
      <c r="N82" s="809"/>
      <c r="O82" s="809"/>
      <c r="P82" s="809"/>
      <c r="Q82" s="809"/>
      <c r="R82" s="809"/>
      <c r="S82" s="809"/>
      <c r="T82" s="809"/>
      <c r="U82" s="809"/>
      <c r="V82" s="809"/>
      <c r="W82" s="809"/>
      <c r="X82" s="809"/>
      <c r="Y82" s="809"/>
      <c r="Z82" s="809"/>
      <c r="AA82" s="809"/>
    </row>
    <row r="83" spans="1:27" ht="15.75" customHeight="1">
      <c r="A83" s="719"/>
      <c r="B83" s="809"/>
      <c r="C83" s="809"/>
      <c r="D83" s="809"/>
      <c r="E83" s="809"/>
      <c r="F83" s="809"/>
      <c r="G83" s="809"/>
      <c r="H83" s="809"/>
      <c r="I83" s="809"/>
      <c r="J83" s="809"/>
      <c r="K83" s="809"/>
      <c r="L83" s="809"/>
      <c r="M83" s="809"/>
      <c r="N83" s="809"/>
      <c r="O83" s="809"/>
      <c r="P83" s="809"/>
      <c r="Q83" s="809"/>
      <c r="R83" s="809"/>
      <c r="S83" s="809"/>
      <c r="T83" s="809"/>
      <c r="U83" s="809"/>
      <c r="V83" s="809"/>
      <c r="W83" s="809"/>
      <c r="X83" s="809"/>
      <c r="Y83" s="809"/>
      <c r="Z83" s="809"/>
      <c r="AA83" s="809"/>
    </row>
    <row r="84" spans="1:27" ht="15.75" customHeight="1">
      <c r="A84" s="719"/>
      <c r="B84" s="809"/>
      <c r="C84" s="809"/>
      <c r="D84" s="809"/>
      <c r="E84" s="809"/>
      <c r="F84" s="809"/>
      <c r="G84" s="809"/>
      <c r="H84" s="809"/>
      <c r="I84" s="809"/>
      <c r="J84" s="809"/>
      <c r="K84" s="809"/>
      <c r="L84" s="809"/>
      <c r="M84" s="809"/>
      <c r="N84" s="809"/>
      <c r="O84" s="809"/>
      <c r="P84" s="809"/>
      <c r="Q84" s="809"/>
      <c r="R84" s="809"/>
      <c r="S84" s="809"/>
      <c r="T84" s="809"/>
      <c r="U84" s="809"/>
      <c r="V84" s="809"/>
      <c r="W84" s="809"/>
      <c r="X84" s="809"/>
      <c r="Y84" s="809"/>
      <c r="Z84" s="809"/>
      <c r="AA84" s="809"/>
    </row>
    <row r="85" spans="1:27" ht="15.75" customHeight="1">
      <c r="A85" s="719"/>
      <c r="B85" s="809"/>
      <c r="C85" s="809"/>
      <c r="D85" s="809"/>
      <c r="E85" s="809"/>
      <c r="F85" s="809"/>
      <c r="G85" s="809"/>
      <c r="H85" s="809"/>
      <c r="I85" s="809"/>
      <c r="J85" s="809"/>
      <c r="K85" s="809"/>
      <c r="L85" s="809"/>
      <c r="M85" s="809"/>
      <c r="N85" s="809"/>
      <c r="O85" s="809"/>
      <c r="P85" s="809"/>
      <c r="Q85" s="809"/>
      <c r="R85" s="809"/>
      <c r="S85" s="809"/>
      <c r="T85" s="809"/>
      <c r="U85" s="809"/>
      <c r="V85" s="809"/>
      <c r="W85" s="809"/>
      <c r="X85" s="809"/>
      <c r="Y85" s="809"/>
      <c r="Z85" s="809"/>
      <c r="AA85" s="809"/>
    </row>
    <row r="86" spans="1:27" ht="15.75" customHeight="1">
      <c r="A86" s="719"/>
      <c r="B86" s="809"/>
      <c r="C86" s="809"/>
      <c r="D86" s="809"/>
      <c r="E86" s="809"/>
      <c r="F86" s="809"/>
      <c r="G86" s="809"/>
      <c r="H86" s="809"/>
      <c r="I86" s="809"/>
      <c r="J86" s="809"/>
      <c r="K86" s="809"/>
      <c r="L86" s="809"/>
      <c r="M86" s="809"/>
      <c r="N86" s="809"/>
      <c r="O86" s="809"/>
      <c r="P86" s="809"/>
      <c r="Q86" s="809"/>
      <c r="R86" s="809"/>
      <c r="S86" s="809"/>
      <c r="T86" s="809"/>
      <c r="U86" s="809"/>
      <c r="V86" s="809"/>
      <c r="W86" s="809"/>
      <c r="X86" s="809"/>
      <c r="Y86" s="809"/>
      <c r="Z86" s="809"/>
      <c r="AA86" s="809"/>
    </row>
    <row r="87" spans="1:27" ht="15.75" customHeight="1">
      <c r="A87" s="719"/>
      <c r="B87" s="809"/>
      <c r="C87" s="809"/>
      <c r="D87" s="809"/>
      <c r="E87" s="809"/>
      <c r="F87" s="809"/>
      <c r="G87" s="809"/>
      <c r="H87" s="809"/>
      <c r="I87" s="809"/>
      <c r="J87" s="809"/>
      <c r="K87" s="809"/>
      <c r="L87" s="809"/>
      <c r="M87" s="809"/>
      <c r="N87" s="809"/>
      <c r="O87" s="809"/>
      <c r="P87" s="809"/>
      <c r="Q87" s="809"/>
      <c r="R87" s="809"/>
      <c r="S87" s="809"/>
      <c r="T87" s="809"/>
      <c r="U87" s="809"/>
      <c r="V87" s="809"/>
      <c r="W87" s="809"/>
      <c r="X87" s="809"/>
      <c r="Y87" s="809"/>
      <c r="Z87" s="809"/>
      <c r="AA87" s="809"/>
    </row>
    <row r="88" spans="1:27" ht="15.75" customHeight="1">
      <c r="A88" s="719"/>
      <c r="B88" s="809"/>
      <c r="C88" s="809"/>
      <c r="D88" s="809"/>
      <c r="E88" s="809"/>
      <c r="F88" s="809"/>
      <c r="G88" s="809"/>
      <c r="H88" s="809"/>
      <c r="I88" s="809"/>
      <c r="J88" s="809"/>
      <c r="K88" s="809"/>
      <c r="L88" s="809"/>
      <c r="M88" s="809"/>
      <c r="N88" s="809"/>
      <c r="O88" s="809"/>
      <c r="P88" s="809"/>
      <c r="Q88" s="809"/>
      <c r="R88" s="809"/>
      <c r="S88" s="809"/>
      <c r="T88" s="809"/>
      <c r="U88" s="809"/>
      <c r="V88" s="809"/>
      <c r="W88" s="809"/>
      <c r="X88" s="809"/>
      <c r="Y88" s="809"/>
      <c r="Z88" s="809"/>
      <c r="AA88" s="809"/>
    </row>
    <row r="89" spans="1:27" ht="15.75" customHeight="1">
      <c r="A89" s="719"/>
      <c r="B89" s="809"/>
      <c r="C89" s="809"/>
      <c r="D89" s="809"/>
      <c r="E89" s="809"/>
      <c r="F89" s="809"/>
      <c r="G89" s="809"/>
      <c r="H89" s="809"/>
      <c r="I89" s="809"/>
      <c r="J89" s="809"/>
      <c r="K89" s="809"/>
      <c r="L89" s="809"/>
      <c r="M89" s="809"/>
      <c r="N89" s="809"/>
      <c r="O89" s="809"/>
      <c r="P89" s="809"/>
      <c r="Q89" s="809"/>
      <c r="R89" s="809"/>
      <c r="S89" s="809"/>
      <c r="T89" s="809"/>
      <c r="U89" s="809"/>
      <c r="V89" s="809"/>
      <c r="W89" s="809"/>
      <c r="X89" s="809"/>
      <c r="Y89" s="809"/>
      <c r="Z89" s="809"/>
      <c r="AA89" s="809"/>
    </row>
    <row r="90" spans="1:27" ht="15.75" customHeight="1">
      <c r="A90" s="719"/>
      <c r="B90" s="809"/>
      <c r="C90" s="809"/>
      <c r="D90" s="809"/>
      <c r="E90" s="809"/>
      <c r="F90" s="809"/>
      <c r="G90" s="809"/>
      <c r="H90" s="809"/>
      <c r="I90" s="809"/>
      <c r="J90" s="809"/>
      <c r="K90" s="809"/>
      <c r="L90" s="809"/>
      <c r="M90" s="809"/>
      <c r="N90" s="809"/>
      <c r="O90" s="809"/>
      <c r="P90" s="809"/>
      <c r="Q90" s="809"/>
      <c r="R90" s="809"/>
      <c r="S90" s="809"/>
      <c r="T90" s="809"/>
      <c r="U90" s="809"/>
      <c r="V90" s="809"/>
      <c r="W90" s="809"/>
      <c r="X90" s="809"/>
      <c r="Y90" s="809"/>
      <c r="Z90" s="809"/>
      <c r="AA90" s="809"/>
    </row>
    <row r="91" spans="1:27" ht="15.75" customHeight="1">
      <c r="A91" s="719"/>
      <c r="B91" s="809"/>
      <c r="C91" s="809"/>
      <c r="D91" s="809"/>
      <c r="E91" s="809"/>
      <c r="F91" s="809"/>
      <c r="G91" s="809"/>
      <c r="H91" s="809"/>
      <c r="I91" s="809"/>
      <c r="J91" s="809"/>
      <c r="K91" s="809"/>
      <c r="L91" s="809"/>
      <c r="M91" s="809"/>
      <c r="N91" s="809"/>
      <c r="O91" s="809"/>
      <c r="P91" s="809"/>
      <c r="Q91" s="809"/>
      <c r="R91" s="809"/>
      <c r="S91" s="809"/>
      <c r="T91" s="809"/>
      <c r="U91" s="809"/>
      <c r="V91" s="809"/>
      <c r="W91" s="809"/>
      <c r="X91" s="809"/>
      <c r="Y91" s="809"/>
      <c r="Z91" s="809"/>
      <c r="AA91" s="809"/>
    </row>
    <row r="92" spans="1:27" ht="15.75" customHeight="1">
      <c r="A92" s="719"/>
      <c r="B92" s="809"/>
      <c r="C92" s="809"/>
      <c r="D92" s="809"/>
      <c r="E92" s="809"/>
      <c r="F92" s="809"/>
      <c r="G92" s="809"/>
      <c r="H92" s="809"/>
      <c r="I92" s="809"/>
      <c r="J92" s="809"/>
      <c r="K92" s="809"/>
      <c r="L92" s="809"/>
      <c r="M92" s="809"/>
      <c r="N92" s="809"/>
      <c r="O92" s="809"/>
      <c r="P92" s="809"/>
      <c r="Q92" s="809"/>
      <c r="R92" s="809"/>
      <c r="S92" s="809"/>
      <c r="T92" s="809"/>
      <c r="U92" s="809"/>
      <c r="V92" s="809"/>
      <c r="W92" s="809"/>
      <c r="X92" s="809"/>
      <c r="Y92" s="809"/>
      <c r="Z92" s="809"/>
      <c r="AA92" s="809"/>
    </row>
    <row r="93" spans="1:27" ht="15.75" customHeight="1">
      <c r="A93" s="719"/>
      <c r="B93" s="809"/>
      <c r="C93" s="809"/>
      <c r="D93" s="809"/>
      <c r="E93" s="809"/>
      <c r="F93" s="809"/>
      <c r="G93" s="809"/>
      <c r="H93" s="809"/>
      <c r="I93" s="809"/>
      <c r="J93" s="809"/>
      <c r="K93" s="809"/>
      <c r="L93" s="809"/>
      <c r="M93" s="809"/>
      <c r="N93" s="809"/>
      <c r="O93" s="809"/>
      <c r="P93" s="809"/>
      <c r="Q93" s="809"/>
      <c r="R93" s="809"/>
      <c r="S93" s="809"/>
      <c r="T93" s="809"/>
      <c r="U93" s="809"/>
      <c r="V93" s="809"/>
      <c r="W93" s="809"/>
      <c r="X93" s="809"/>
      <c r="Y93" s="809"/>
      <c r="Z93" s="809"/>
      <c r="AA93" s="809"/>
    </row>
    <row r="94" spans="1:27" ht="15.75" customHeight="1">
      <c r="A94" s="719"/>
      <c r="B94" s="809"/>
      <c r="C94" s="809"/>
      <c r="D94" s="809"/>
      <c r="E94" s="809"/>
      <c r="F94" s="809"/>
      <c r="G94" s="809"/>
      <c r="H94" s="809"/>
      <c r="I94" s="809"/>
      <c r="J94" s="809"/>
      <c r="K94" s="809"/>
      <c r="L94" s="809"/>
      <c r="M94" s="809"/>
      <c r="N94" s="809"/>
      <c r="O94" s="809"/>
      <c r="P94" s="809"/>
      <c r="Q94" s="809"/>
      <c r="R94" s="809"/>
      <c r="S94" s="809"/>
      <c r="T94" s="809"/>
      <c r="U94" s="809"/>
      <c r="V94" s="809"/>
      <c r="W94" s="809"/>
      <c r="X94" s="809"/>
      <c r="Y94" s="809"/>
      <c r="Z94" s="809"/>
      <c r="AA94" s="809"/>
    </row>
    <row r="95" spans="1:27" ht="15.75" customHeight="1">
      <c r="A95" s="719"/>
      <c r="B95" s="809"/>
      <c r="C95" s="809"/>
      <c r="D95" s="809"/>
      <c r="E95" s="809"/>
      <c r="F95" s="809"/>
      <c r="G95" s="809"/>
      <c r="H95" s="809"/>
      <c r="I95" s="809"/>
      <c r="J95" s="809"/>
      <c r="K95" s="809"/>
      <c r="L95" s="809"/>
      <c r="M95" s="809"/>
      <c r="N95" s="809"/>
      <c r="O95" s="809"/>
      <c r="P95" s="809"/>
      <c r="Q95" s="809"/>
      <c r="R95" s="809"/>
      <c r="S95" s="809"/>
      <c r="T95" s="809"/>
      <c r="U95" s="809"/>
      <c r="V95" s="809"/>
      <c r="W95" s="809"/>
      <c r="X95" s="809"/>
      <c r="Y95" s="809"/>
      <c r="Z95" s="809"/>
      <c r="AA95" s="809"/>
    </row>
    <row r="96" spans="1:27" ht="15.75" customHeight="1">
      <c r="A96" s="719"/>
      <c r="B96" s="809"/>
      <c r="C96" s="809"/>
      <c r="D96" s="809"/>
      <c r="E96" s="809"/>
      <c r="F96" s="809"/>
      <c r="G96" s="809"/>
      <c r="H96" s="809"/>
      <c r="I96" s="809"/>
      <c r="J96" s="809"/>
      <c r="K96" s="809"/>
      <c r="L96" s="809"/>
      <c r="M96" s="809"/>
      <c r="N96" s="809"/>
      <c r="O96" s="809"/>
      <c r="P96" s="809"/>
      <c r="Q96" s="809"/>
      <c r="R96" s="809"/>
      <c r="S96" s="809"/>
      <c r="T96" s="809"/>
      <c r="U96" s="809"/>
      <c r="V96" s="809"/>
      <c r="W96" s="809"/>
      <c r="X96" s="809"/>
      <c r="Y96" s="809"/>
      <c r="Z96" s="809"/>
      <c r="AA96" s="809"/>
    </row>
    <row r="97" spans="1:27" ht="15.75" customHeight="1">
      <c r="A97" s="719"/>
      <c r="B97" s="809"/>
      <c r="C97" s="809"/>
      <c r="D97" s="809"/>
      <c r="E97" s="809"/>
      <c r="F97" s="809"/>
      <c r="G97" s="809"/>
      <c r="H97" s="809"/>
      <c r="I97" s="809"/>
      <c r="J97" s="809"/>
      <c r="K97" s="809"/>
      <c r="L97" s="809"/>
      <c r="M97" s="809"/>
      <c r="N97" s="809"/>
      <c r="O97" s="809"/>
      <c r="P97" s="809"/>
      <c r="Q97" s="809"/>
      <c r="R97" s="809"/>
      <c r="S97" s="809"/>
      <c r="T97" s="809"/>
      <c r="U97" s="809"/>
      <c r="V97" s="809"/>
      <c r="W97" s="809"/>
      <c r="X97" s="809"/>
      <c r="Y97" s="809"/>
      <c r="Z97" s="809"/>
      <c r="AA97" s="809"/>
    </row>
    <row r="98" spans="1:27" ht="15.75" customHeight="1">
      <c r="A98" s="719"/>
      <c r="B98" s="809"/>
      <c r="C98" s="809"/>
      <c r="D98" s="809"/>
      <c r="E98" s="809"/>
      <c r="F98" s="809"/>
      <c r="G98" s="809"/>
      <c r="H98" s="809"/>
      <c r="I98" s="809"/>
      <c r="J98" s="809"/>
      <c r="K98" s="809"/>
      <c r="L98" s="809"/>
      <c r="M98" s="809"/>
      <c r="N98" s="809"/>
      <c r="O98" s="809"/>
      <c r="P98" s="809"/>
      <c r="Q98" s="809"/>
      <c r="R98" s="809"/>
      <c r="S98" s="809"/>
      <c r="T98" s="809"/>
      <c r="U98" s="809"/>
      <c r="V98" s="809"/>
      <c r="W98" s="809"/>
      <c r="X98" s="809"/>
      <c r="Y98" s="809"/>
      <c r="Z98" s="809"/>
      <c r="AA98" s="809"/>
    </row>
    <row r="99" spans="1:27" ht="15.75" customHeight="1">
      <c r="A99" s="719"/>
      <c r="B99" s="809"/>
      <c r="C99" s="809"/>
      <c r="D99" s="809"/>
      <c r="E99" s="809"/>
      <c r="F99" s="809"/>
      <c r="G99" s="809"/>
      <c r="H99" s="809"/>
      <c r="I99" s="809"/>
      <c r="J99" s="809"/>
      <c r="K99" s="809"/>
      <c r="L99" s="809"/>
      <c r="M99" s="809"/>
      <c r="N99" s="809"/>
      <c r="O99" s="809"/>
      <c r="P99" s="809"/>
      <c r="Q99" s="809"/>
      <c r="R99" s="809"/>
      <c r="S99" s="809"/>
      <c r="T99" s="809"/>
      <c r="U99" s="809"/>
      <c r="V99" s="809"/>
      <c r="W99" s="809"/>
      <c r="X99" s="809"/>
      <c r="Y99" s="809"/>
      <c r="Z99" s="809"/>
      <c r="AA99" s="809"/>
    </row>
    <row r="100" spans="1:27" ht="15.75" customHeight="1">
      <c r="A100" s="719"/>
      <c r="B100" s="809"/>
      <c r="C100" s="809"/>
      <c r="D100" s="809"/>
      <c r="E100" s="809"/>
      <c r="F100" s="809"/>
      <c r="G100" s="809"/>
      <c r="H100" s="809"/>
      <c r="I100" s="809"/>
      <c r="J100" s="809"/>
      <c r="K100" s="809"/>
      <c r="L100" s="809"/>
      <c r="M100" s="809"/>
      <c r="N100" s="809"/>
      <c r="O100" s="809"/>
      <c r="P100" s="809"/>
      <c r="Q100" s="809"/>
      <c r="R100" s="809"/>
      <c r="S100" s="809"/>
      <c r="T100" s="809"/>
      <c r="U100" s="809"/>
      <c r="V100" s="809"/>
      <c r="W100" s="809"/>
      <c r="X100" s="809"/>
      <c r="Y100" s="809"/>
      <c r="Z100" s="809"/>
      <c r="AA100" s="809"/>
    </row>
    <row r="101" spans="1:27" ht="15.75" customHeight="1">
      <c r="A101" s="719"/>
      <c r="B101" s="809"/>
      <c r="C101" s="809"/>
      <c r="D101" s="809"/>
      <c r="E101" s="809"/>
      <c r="F101" s="809"/>
      <c r="G101" s="809"/>
      <c r="H101" s="809"/>
      <c r="I101" s="809"/>
      <c r="J101" s="809"/>
      <c r="K101" s="809"/>
      <c r="L101" s="809"/>
      <c r="M101" s="809"/>
      <c r="N101" s="809"/>
      <c r="O101" s="809"/>
      <c r="P101" s="809"/>
      <c r="Q101" s="809"/>
      <c r="R101" s="809"/>
      <c r="S101" s="809"/>
      <c r="T101" s="809"/>
      <c r="U101" s="809"/>
      <c r="V101" s="809"/>
      <c r="W101" s="809"/>
      <c r="X101" s="809"/>
      <c r="Y101" s="809"/>
      <c r="Z101" s="809"/>
      <c r="AA101" s="809"/>
    </row>
    <row r="102" spans="1:27" ht="15.75" customHeight="1">
      <c r="A102" s="719"/>
      <c r="B102" s="809"/>
      <c r="C102" s="809"/>
      <c r="D102" s="809"/>
      <c r="E102" s="809"/>
      <c r="F102" s="809"/>
      <c r="G102" s="809"/>
      <c r="H102" s="809"/>
      <c r="I102" s="809"/>
      <c r="J102" s="809"/>
      <c r="K102" s="809"/>
      <c r="L102" s="809"/>
      <c r="M102" s="809"/>
      <c r="N102" s="809"/>
      <c r="O102" s="809"/>
      <c r="P102" s="809"/>
      <c r="Q102" s="809"/>
      <c r="R102" s="809"/>
      <c r="S102" s="809"/>
      <c r="T102" s="809"/>
      <c r="U102" s="809"/>
      <c r="V102" s="809"/>
      <c r="W102" s="809"/>
      <c r="X102" s="809"/>
      <c r="Y102" s="809"/>
      <c r="Z102" s="809"/>
      <c r="AA102" s="809"/>
    </row>
    <row r="103" spans="1:27" ht="15.75" customHeight="1">
      <c r="A103" s="719"/>
      <c r="B103" s="809"/>
      <c r="C103" s="809"/>
      <c r="D103" s="809"/>
      <c r="E103" s="809"/>
      <c r="F103" s="809"/>
      <c r="G103" s="809"/>
      <c r="H103" s="809"/>
      <c r="I103" s="809"/>
      <c r="J103" s="809"/>
      <c r="K103" s="809"/>
      <c r="L103" s="809"/>
      <c r="M103" s="809"/>
      <c r="N103" s="809"/>
      <c r="O103" s="809"/>
      <c r="P103" s="809"/>
      <c r="Q103" s="809"/>
      <c r="R103" s="809"/>
      <c r="S103" s="809"/>
      <c r="T103" s="809"/>
      <c r="U103" s="809"/>
      <c r="V103" s="809"/>
      <c r="W103" s="809"/>
      <c r="X103" s="809"/>
      <c r="Y103" s="809"/>
      <c r="Z103" s="809"/>
      <c r="AA103" s="809"/>
    </row>
    <row r="104" spans="1:27" ht="15.75" customHeight="1">
      <c r="A104" s="719"/>
      <c r="B104" s="809"/>
      <c r="C104" s="809"/>
      <c r="D104" s="809"/>
      <c r="E104" s="809"/>
      <c r="F104" s="809"/>
      <c r="G104" s="809"/>
      <c r="H104" s="809"/>
      <c r="I104" s="809"/>
      <c r="J104" s="809"/>
      <c r="K104" s="809"/>
      <c r="L104" s="809"/>
      <c r="M104" s="809"/>
      <c r="N104" s="809"/>
      <c r="O104" s="809"/>
      <c r="P104" s="809"/>
      <c r="Q104" s="809"/>
      <c r="R104" s="809"/>
      <c r="S104" s="809"/>
      <c r="T104" s="809"/>
      <c r="U104" s="809"/>
      <c r="V104" s="809"/>
      <c r="W104" s="809"/>
      <c r="X104" s="809"/>
      <c r="Y104" s="809"/>
      <c r="Z104" s="809"/>
      <c r="AA104" s="809"/>
    </row>
    <row r="105" spans="1:27" ht="15.75" customHeight="1">
      <c r="A105" s="719"/>
      <c r="B105" s="809"/>
      <c r="C105" s="809"/>
      <c r="D105" s="809"/>
      <c r="E105" s="809"/>
      <c r="F105" s="809"/>
      <c r="G105" s="809"/>
      <c r="H105" s="809"/>
      <c r="I105" s="809"/>
      <c r="J105" s="809"/>
      <c r="K105" s="809"/>
      <c r="L105" s="809"/>
      <c r="M105" s="809"/>
      <c r="N105" s="809"/>
      <c r="O105" s="809"/>
      <c r="P105" s="809"/>
      <c r="Q105" s="809"/>
      <c r="R105" s="809"/>
      <c r="S105" s="809"/>
      <c r="T105" s="809"/>
      <c r="U105" s="809"/>
      <c r="V105" s="809"/>
      <c r="W105" s="809"/>
      <c r="X105" s="809"/>
      <c r="Y105" s="809"/>
      <c r="Z105" s="809"/>
      <c r="AA105" s="809"/>
    </row>
    <row r="106" spans="1:27" ht="15.75" customHeight="1">
      <c r="A106" s="719"/>
      <c r="B106" s="809"/>
      <c r="C106" s="809"/>
      <c r="D106" s="809"/>
      <c r="E106" s="809"/>
      <c r="F106" s="809"/>
      <c r="G106" s="809"/>
      <c r="H106" s="809"/>
      <c r="I106" s="809"/>
      <c r="J106" s="809"/>
      <c r="K106" s="809"/>
      <c r="L106" s="809"/>
      <c r="M106" s="809"/>
      <c r="N106" s="809"/>
      <c r="O106" s="809"/>
      <c r="P106" s="809"/>
      <c r="Q106" s="809"/>
      <c r="R106" s="809"/>
      <c r="S106" s="809"/>
      <c r="T106" s="809"/>
      <c r="U106" s="809"/>
      <c r="V106" s="809"/>
      <c r="W106" s="809"/>
      <c r="X106" s="809"/>
      <c r="Y106" s="809"/>
      <c r="Z106" s="809"/>
      <c r="AA106" s="809"/>
    </row>
    <row r="107" spans="1:27" ht="15.75" customHeight="1">
      <c r="A107" s="719"/>
      <c r="B107" s="809"/>
      <c r="C107" s="809"/>
      <c r="D107" s="809"/>
      <c r="E107" s="809"/>
      <c r="F107" s="809"/>
      <c r="G107" s="809"/>
      <c r="H107" s="809"/>
      <c r="I107" s="809"/>
      <c r="J107" s="809"/>
      <c r="K107" s="809"/>
      <c r="L107" s="809"/>
      <c r="M107" s="809"/>
      <c r="N107" s="809"/>
      <c r="O107" s="809"/>
      <c r="P107" s="809"/>
      <c r="Q107" s="809"/>
      <c r="R107" s="809"/>
      <c r="S107" s="809"/>
      <c r="T107" s="809"/>
      <c r="U107" s="809"/>
      <c r="V107" s="809"/>
      <c r="W107" s="809"/>
      <c r="X107" s="809"/>
      <c r="Y107" s="809"/>
      <c r="Z107" s="809"/>
      <c r="AA107" s="809"/>
    </row>
    <row r="108" spans="1:27" ht="15.75" customHeight="1">
      <c r="A108" s="719"/>
      <c r="B108" s="809"/>
      <c r="C108" s="809"/>
      <c r="D108" s="809"/>
      <c r="E108" s="809"/>
      <c r="F108" s="809"/>
      <c r="G108" s="809"/>
      <c r="H108" s="809"/>
      <c r="I108" s="809"/>
      <c r="J108" s="809"/>
      <c r="K108" s="809"/>
      <c r="L108" s="809"/>
      <c r="M108" s="809"/>
      <c r="N108" s="809"/>
      <c r="O108" s="809"/>
      <c r="P108" s="809"/>
      <c r="Q108" s="809"/>
      <c r="R108" s="809"/>
      <c r="S108" s="809"/>
      <c r="T108" s="809"/>
      <c r="U108" s="809"/>
      <c r="V108" s="809"/>
      <c r="W108" s="809"/>
      <c r="X108" s="809"/>
      <c r="Y108" s="809"/>
      <c r="Z108" s="809"/>
      <c r="AA108" s="809"/>
    </row>
    <row r="109" spans="1:27" ht="15.75" customHeight="1">
      <c r="A109" s="719"/>
      <c r="B109" s="809"/>
      <c r="C109" s="809"/>
      <c r="D109" s="809"/>
      <c r="E109" s="809"/>
      <c r="F109" s="809"/>
      <c r="G109" s="809"/>
      <c r="H109" s="809"/>
      <c r="I109" s="809"/>
      <c r="J109" s="809"/>
      <c r="K109" s="809"/>
      <c r="L109" s="809"/>
      <c r="M109" s="809"/>
      <c r="N109" s="809"/>
      <c r="O109" s="809"/>
      <c r="P109" s="809"/>
      <c r="Q109" s="809"/>
      <c r="R109" s="809"/>
      <c r="S109" s="809"/>
      <c r="T109" s="809"/>
      <c r="U109" s="809"/>
      <c r="V109" s="809"/>
      <c r="W109" s="809"/>
      <c r="X109" s="809"/>
      <c r="Y109" s="809"/>
      <c r="Z109" s="809"/>
      <c r="AA109" s="809"/>
    </row>
    <row r="110" spans="1:27" ht="15.75" customHeight="1">
      <c r="A110" s="719"/>
      <c r="B110" s="809"/>
      <c r="C110" s="809"/>
      <c r="D110" s="809"/>
      <c r="E110" s="809"/>
      <c r="F110" s="809"/>
      <c r="G110" s="809"/>
      <c r="H110" s="809"/>
      <c r="I110" s="809"/>
      <c r="J110" s="809"/>
      <c r="K110" s="809"/>
      <c r="L110" s="809"/>
      <c r="M110" s="809"/>
      <c r="N110" s="809"/>
      <c r="O110" s="809"/>
      <c r="P110" s="809"/>
      <c r="Q110" s="809"/>
      <c r="R110" s="809"/>
      <c r="S110" s="809"/>
      <c r="T110" s="809"/>
      <c r="U110" s="809"/>
      <c r="V110" s="809"/>
      <c r="W110" s="809"/>
      <c r="X110" s="809"/>
      <c r="Y110" s="809"/>
      <c r="Z110" s="809"/>
      <c r="AA110" s="809"/>
    </row>
    <row r="111" spans="1:27" ht="15.75" customHeight="1">
      <c r="A111" s="719"/>
      <c r="B111" s="809"/>
      <c r="C111" s="809"/>
      <c r="D111" s="809"/>
      <c r="E111" s="809"/>
      <c r="F111" s="809"/>
      <c r="G111" s="809"/>
      <c r="H111" s="809"/>
      <c r="I111" s="809"/>
      <c r="J111" s="809"/>
      <c r="K111" s="809"/>
      <c r="L111" s="809"/>
      <c r="M111" s="809"/>
      <c r="N111" s="809"/>
      <c r="O111" s="809"/>
      <c r="P111" s="809"/>
      <c r="Q111" s="809"/>
      <c r="R111" s="809"/>
      <c r="S111" s="809"/>
      <c r="T111" s="809"/>
      <c r="U111" s="809"/>
      <c r="V111" s="809"/>
      <c r="W111" s="809"/>
      <c r="X111" s="809"/>
      <c r="Y111" s="809"/>
      <c r="Z111" s="809"/>
      <c r="AA111" s="809"/>
    </row>
    <row r="112" spans="1:27" ht="15.75" customHeight="1">
      <c r="A112" s="719"/>
      <c r="B112" s="809"/>
      <c r="C112" s="809"/>
      <c r="D112" s="809"/>
      <c r="E112" s="809"/>
      <c r="F112" s="809"/>
      <c r="G112" s="809"/>
      <c r="H112" s="809"/>
      <c r="I112" s="809"/>
      <c r="J112" s="809"/>
      <c r="K112" s="809"/>
      <c r="L112" s="809"/>
      <c r="M112" s="809"/>
      <c r="N112" s="809"/>
      <c r="O112" s="809"/>
      <c r="P112" s="809"/>
      <c r="Q112" s="809"/>
      <c r="R112" s="809"/>
      <c r="S112" s="809"/>
      <c r="T112" s="809"/>
      <c r="U112" s="809"/>
      <c r="V112" s="809"/>
      <c r="W112" s="809"/>
      <c r="X112" s="809"/>
      <c r="Y112" s="809"/>
      <c r="Z112" s="809"/>
      <c r="AA112" s="809"/>
    </row>
    <row r="113" spans="1:27" ht="15.75" customHeight="1">
      <c r="A113" s="719"/>
      <c r="B113" s="809"/>
      <c r="C113" s="809"/>
      <c r="D113" s="809"/>
      <c r="E113" s="809"/>
      <c r="F113" s="809"/>
      <c r="G113" s="809"/>
      <c r="H113" s="809"/>
      <c r="I113" s="809"/>
      <c r="J113" s="809"/>
      <c r="K113" s="809"/>
      <c r="L113" s="809"/>
      <c r="M113" s="809"/>
      <c r="N113" s="809"/>
      <c r="O113" s="809"/>
      <c r="P113" s="809"/>
      <c r="Q113" s="809"/>
      <c r="R113" s="809"/>
      <c r="S113" s="809"/>
      <c r="T113" s="809"/>
      <c r="U113" s="809"/>
      <c r="V113" s="809"/>
      <c r="W113" s="809"/>
      <c r="X113" s="809"/>
      <c r="Y113" s="809"/>
      <c r="Z113" s="809"/>
      <c r="AA113" s="809"/>
    </row>
    <row r="114" spans="1:27" ht="15.75" customHeight="1">
      <c r="A114" s="719"/>
      <c r="B114" s="809"/>
      <c r="C114" s="809"/>
      <c r="D114" s="809"/>
      <c r="E114" s="809"/>
      <c r="F114" s="809"/>
      <c r="G114" s="809"/>
      <c r="H114" s="809"/>
      <c r="I114" s="809"/>
      <c r="J114" s="809"/>
      <c r="K114" s="809"/>
      <c r="L114" s="809"/>
      <c r="M114" s="809"/>
      <c r="N114" s="809"/>
      <c r="O114" s="809"/>
      <c r="P114" s="809"/>
      <c r="Q114" s="809"/>
      <c r="R114" s="809"/>
      <c r="S114" s="809"/>
      <c r="T114" s="809"/>
      <c r="U114" s="809"/>
      <c r="V114" s="809"/>
      <c r="W114" s="809"/>
      <c r="X114" s="809"/>
      <c r="Y114" s="809"/>
      <c r="Z114" s="809"/>
      <c r="AA114" s="809"/>
    </row>
    <row r="115" spans="1:27" ht="15.75" customHeight="1">
      <c r="A115" s="719"/>
      <c r="B115" s="809"/>
      <c r="C115" s="809"/>
      <c r="D115" s="809"/>
      <c r="E115" s="809"/>
      <c r="F115" s="809"/>
      <c r="G115" s="809"/>
      <c r="H115" s="809"/>
      <c r="I115" s="809"/>
      <c r="J115" s="809"/>
      <c r="K115" s="809"/>
      <c r="L115" s="809"/>
      <c r="M115" s="809"/>
      <c r="N115" s="809"/>
      <c r="O115" s="809"/>
      <c r="P115" s="809"/>
      <c r="Q115" s="809"/>
      <c r="R115" s="809"/>
      <c r="S115" s="809"/>
      <c r="T115" s="809"/>
      <c r="U115" s="809"/>
      <c r="V115" s="809"/>
      <c r="W115" s="809"/>
      <c r="X115" s="809"/>
      <c r="Y115" s="809"/>
      <c r="Z115" s="809"/>
      <c r="AA115" s="809"/>
    </row>
    <row r="116" spans="1:27" ht="15.75" customHeight="1">
      <c r="A116" s="719"/>
      <c r="B116" s="809"/>
      <c r="C116" s="809"/>
      <c r="D116" s="809"/>
      <c r="E116" s="809"/>
      <c r="F116" s="809"/>
      <c r="G116" s="809"/>
      <c r="H116" s="809"/>
      <c r="I116" s="809"/>
      <c r="J116" s="809"/>
      <c r="K116" s="809"/>
      <c r="L116" s="809"/>
      <c r="M116" s="809"/>
      <c r="N116" s="809"/>
      <c r="O116" s="809"/>
      <c r="P116" s="809"/>
      <c r="Q116" s="809"/>
      <c r="R116" s="809"/>
      <c r="S116" s="809"/>
      <c r="T116" s="809"/>
      <c r="U116" s="809"/>
      <c r="V116" s="809"/>
      <c r="W116" s="809"/>
      <c r="X116" s="809"/>
      <c r="Y116" s="809"/>
      <c r="Z116" s="809"/>
      <c r="AA116" s="809"/>
    </row>
    <row r="117" spans="1:27" ht="15.75" customHeight="1">
      <c r="A117" s="719"/>
      <c r="B117" s="809"/>
      <c r="C117" s="809"/>
      <c r="D117" s="809"/>
      <c r="E117" s="809"/>
      <c r="F117" s="809"/>
      <c r="G117" s="809"/>
      <c r="H117" s="809"/>
      <c r="I117" s="809"/>
      <c r="J117" s="809"/>
      <c r="K117" s="809"/>
      <c r="L117" s="809"/>
      <c r="M117" s="809"/>
      <c r="N117" s="809"/>
      <c r="O117" s="809"/>
      <c r="P117" s="809"/>
      <c r="Q117" s="809"/>
      <c r="R117" s="809"/>
      <c r="S117" s="809"/>
      <c r="T117" s="809"/>
      <c r="U117" s="809"/>
      <c r="V117" s="809"/>
      <c r="W117" s="809"/>
      <c r="X117" s="809"/>
      <c r="Y117" s="809"/>
      <c r="Z117" s="809"/>
      <c r="AA117" s="809"/>
    </row>
    <row r="118" spans="1:27" ht="15.75" customHeight="1">
      <c r="A118" s="719"/>
      <c r="B118" s="809"/>
      <c r="C118" s="809"/>
      <c r="D118" s="809"/>
      <c r="E118" s="809"/>
      <c r="F118" s="809"/>
      <c r="G118" s="809"/>
      <c r="H118" s="809"/>
      <c r="I118" s="809"/>
      <c r="J118" s="809"/>
      <c r="K118" s="809"/>
      <c r="L118" s="809"/>
      <c r="M118" s="809"/>
      <c r="N118" s="809"/>
      <c r="O118" s="809"/>
      <c r="P118" s="809"/>
      <c r="Q118" s="809"/>
      <c r="R118" s="809"/>
      <c r="S118" s="809"/>
      <c r="T118" s="809"/>
      <c r="U118" s="809"/>
      <c r="V118" s="809"/>
      <c r="W118" s="809"/>
      <c r="X118" s="809"/>
      <c r="Y118" s="809"/>
      <c r="Z118" s="809"/>
      <c r="AA118" s="809"/>
    </row>
    <row r="119" spans="1:27" ht="15.75" customHeight="1">
      <c r="A119" s="719"/>
      <c r="B119" s="809"/>
      <c r="C119" s="809"/>
      <c r="D119" s="809"/>
      <c r="E119" s="809"/>
      <c r="F119" s="809"/>
      <c r="G119" s="809"/>
      <c r="H119" s="809"/>
      <c r="I119" s="809"/>
      <c r="J119" s="809"/>
      <c r="K119" s="809"/>
      <c r="L119" s="809"/>
      <c r="M119" s="809"/>
      <c r="N119" s="809"/>
      <c r="O119" s="809"/>
      <c r="P119" s="809"/>
      <c r="Q119" s="809"/>
      <c r="R119" s="809"/>
      <c r="S119" s="809"/>
      <c r="T119" s="809"/>
      <c r="U119" s="809"/>
      <c r="V119" s="809"/>
      <c r="W119" s="809"/>
      <c r="X119" s="809"/>
      <c r="Y119" s="809"/>
      <c r="Z119" s="809"/>
      <c r="AA119" s="809"/>
    </row>
    <row r="120" spans="1:27" ht="15.75" customHeight="1">
      <c r="A120" s="719"/>
      <c r="B120" s="809"/>
      <c r="C120" s="809"/>
      <c r="D120" s="809"/>
      <c r="E120" s="809"/>
      <c r="F120" s="809"/>
      <c r="G120" s="809"/>
      <c r="H120" s="809"/>
      <c r="I120" s="809"/>
      <c r="J120" s="809"/>
      <c r="K120" s="809"/>
      <c r="L120" s="809"/>
      <c r="M120" s="809"/>
      <c r="N120" s="809"/>
      <c r="O120" s="809"/>
      <c r="P120" s="809"/>
      <c r="Q120" s="809"/>
      <c r="R120" s="809"/>
      <c r="S120" s="809"/>
      <c r="T120" s="809"/>
      <c r="U120" s="809"/>
      <c r="V120" s="809"/>
      <c r="W120" s="809"/>
      <c r="X120" s="809"/>
      <c r="Y120" s="809"/>
      <c r="Z120" s="809"/>
      <c r="AA120" s="809"/>
    </row>
    <row r="121" spans="1:27" ht="15.75" customHeight="1">
      <c r="A121" s="719"/>
      <c r="B121" s="809"/>
      <c r="C121" s="809"/>
      <c r="D121" s="809"/>
      <c r="E121" s="809"/>
      <c r="F121" s="809"/>
      <c r="G121" s="809"/>
      <c r="H121" s="809"/>
      <c r="I121" s="809"/>
      <c r="J121" s="809"/>
      <c r="K121" s="809"/>
      <c r="L121" s="809"/>
      <c r="M121" s="809"/>
      <c r="N121" s="809"/>
      <c r="O121" s="809"/>
      <c r="P121" s="809"/>
      <c r="Q121" s="809"/>
      <c r="R121" s="809"/>
      <c r="S121" s="809"/>
      <c r="T121" s="809"/>
      <c r="U121" s="809"/>
      <c r="V121" s="809"/>
      <c r="W121" s="809"/>
      <c r="X121" s="809"/>
      <c r="Y121" s="809"/>
      <c r="Z121" s="809"/>
      <c r="AA121" s="809"/>
    </row>
    <row r="122" spans="1:27" ht="15.75" customHeight="1">
      <c r="A122" s="719"/>
      <c r="B122" s="809"/>
      <c r="C122" s="809"/>
      <c r="D122" s="809"/>
      <c r="E122" s="809"/>
      <c r="F122" s="809"/>
      <c r="G122" s="809"/>
      <c r="H122" s="809"/>
      <c r="I122" s="809"/>
      <c r="J122" s="809"/>
      <c r="K122" s="809"/>
      <c r="L122" s="809"/>
      <c r="M122" s="809"/>
      <c r="N122" s="809"/>
      <c r="O122" s="809"/>
      <c r="P122" s="809"/>
      <c r="Q122" s="809"/>
      <c r="R122" s="809"/>
      <c r="S122" s="809"/>
      <c r="T122" s="809"/>
      <c r="U122" s="809"/>
      <c r="V122" s="809"/>
      <c r="W122" s="809"/>
      <c r="X122" s="809"/>
      <c r="Y122" s="809"/>
      <c r="Z122" s="809"/>
      <c r="AA122" s="809"/>
    </row>
    <row r="123" spans="1:27" ht="15.75" customHeight="1">
      <c r="A123" s="719"/>
      <c r="B123" s="809"/>
      <c r="C123" s="809"/>
      <c r="D123" s="809"/>
      <c r="E123" s="809"/>
      <c r="F123" s="809"/>
      <c r="G123" s="809"/>
      <c r="H123" s="809"/>
      <c r="I123" s="809"/>
      <c r="J123" s="809"/>
      <c r="K123" s="809"/>
      <c r="L123" s="809"/>
      <c r="M123" s="809"/>
      <c r="N123" s="809"/>
      <c r="O123" s="809"/>
      <c r="P123" s="809"/>
      <c r="Q123" s="809"/>
      <c r="R123" s="809"/>
      <c r="S123" s="809"/>
      <c r="T123" s="809"/>
      <c r="U123" s="809"/>
      <c r="V123" s="809"/>
      <c r="W123" s="809"/>
      <c r="X123" s="809"/>
      <c r="Y123" s="809"/>
      <c r="Z123" s="809"/>
      <c r="AA123" s="809"/>
    </row>
    <row r="124" spans="1:27" ht="15.75" customHeight="1">
      <c r="A124" s="719"/>
      <c r="B124" s="809"/>
      <c r="C124" s="809"/>
      <c r="D124" s="809"/>
      <c r="E124" s="809"/>
      <c r="F124" s="809"/>
      <c r="G124" s="809"/>
      <c r="H124" s="809"/>
      <c r="I124" s="809"/>
      <c r="J124" s="809"/>
      <c r="K124" s="809"/>
      <c r="L124" s="809"/>
      <c r="M124" s="809"/>
      <c r="N124" s="809"/>
      <c r="O124" s="809"/>
      <c r="P124" s="809"/>
      <c r="Q124" s="809"/>
      <c r="R124" s="809"/>
      <c r="S124" s="809"/>
      <c r="T124" s="809"/>
      <c r="U124" s="809"/>
      <c r="V124" s="809"/>
      <c r="W124" s="809"/>
      <c r="X124" s="809"/>
      <c r="Y124" s="809"/>
      <c r="Z124" s="809"/>
      <c r="AA124" s="809"/>
    </row>
    <row r="125" spans="1:27" ht="15.75" customHeight="1">
      <c r="A125" s="719"/>
      <c r="B125" s="809"/>
      <c r="C125" s="809"/>
      <c r="D125" s="809"/>
      <c r="E125" s="809"/>
      <c r="F125" s="809"/>
      <c r="G125" s="809"/>
      <c r="H125" s="809"/>
      <c r="I125" s="809"/>
      <c r="J125" s="809"/>
      <c r="K125" s="809"/>
      <c r="L125" s="809"/>
      <c r="M125" s="809"/>
      <c r="N125" s="809"/>
      <c r="O125" s="809"/>
      <c r="P125" s="809"/>
      <c r="Q125" s="809"/>
      <c r="R125" s="809"/>
      <c r="S125" s="809"/>
      <c r="T125" s="809"/>
      <c r="U125" s="809"/>
      <c r="V125" s="809"/>
      <c r="W125" s="809"/>
      <c r="X125" s="809"/>
      <c r="Y125" s="809"/>
      <c r="Z125" s="809"/>
      <c r="AA125" s="809"/>
    </row>
    <row r="126" spans="1:27" ht="15.75" customHeight="1">
      <c r="A126" s="719"/>
      <c r="B126" s="809"/>
      <c r="C126" s="809"/>
      <c r="D126" s="809"/>
      <c r="E126" s="809"/>
      <c r="F126" s="809"/>
      <c r="G126" s="809"/>
      <c r="H126" s="809"/>
      <c r="I126" s="809"/>
      <c r="J126" s="809"/>
      <c r="K126" s="809"/>
      <c r="L126" s="809"/>
      <c r="M126" s="809"/>
      <c r="N126" s="809"/>
      <c r="O126" s="809"/>
      <c r="P126" s="809"/>
      <c r="Q126" s="809"/>
      <c r="R126" s="809"/>
      <c r="S126" s="809"/>
      <c r="T126" s="809"/>
      <c r="U126" s="809"/>
      <c r="V126" s="809"/>
      <c r="W126" s="809"/>
      <c r="X126" s="809"/>
      <c r="Y126" s="809"/>
      <c r="Z126" s="809"/>
      <c r="AA126" s="809"/>
    </row>
    <row r="127" spans="1:27" ht="15.75" customHeight="1">
      <c r="A127" s="719"/>
      <c r="B127" s="809"/>
      <c r="C127" s="809"/>
      <c r="D127" s="809"/>
      <c r="E127" s="809"/>
      <c r="F127" s="809"/>
      <c r="G127" s="809"/>
      <c r="H127" s="809"/>
      <c r="I127" s="809"/>
      <c r="J127" s="809"/>
      <c r="K127" s="809"/>
      <c r="L127" s="809"/>
      <c r="M127" s="809"/>
      <c r="N127" s="809"/>
      <c r="O127" s="809"/>
      <c r="P127" s="809"/>
      <c r="Q127" s="809"/>
      <c r="R127" s="809"/>
      <c r="S127" s="809"/>
      <c r="T127" s="809"/>
      <c r="U127" s="809"/>
      <c r="V127" s="809"/>
      <c r="W127" s="809"/>
      <c r="X127" s="809"/>
      <c r="Y127" s="809"/>
      <c r="Z127" s="809"/>
      <c r="AA127" s="809"/>
    </row>
    <row r="128" spans="1:27" ht="15.75" customHeight="1">
      <c r="A128" s="719"/>
      <c r="B128" s="809"/>
      <c r="C128" s="809"/>
      <c r="D128" s="809"/>
      <c r="E128" s="809"/>
      <c r="F128" s="809"/>
      <c r="G128" s="809"/>
      <c r="H128" s="809"/>
      <c r="I128" s="809"/>
      <c r="J128" s="809"/>
      <c r="K128" s="809"/>
      <c r="L128" s="809"/>
      <c r="M128" s="809"/>
      <c r="N128" s="809"/>
      <c r="O128" s="809"/>
      <c r="P128" s="809"/>
      <c r="Q128" s="809"/>
      <c r="R128" s="809"/>
      <c r="S128" s="809"/>
      <c r="T128" s="809"/>
      <c r="U128" s="809"/>
      <c r="V128" s="809"/>
      <c r="W128" s="809"/>
      <c r="X128" s="809"/>
      <c r="Y128" s="809"/>
      <c r="Z128" s="809"/>
      <c r="AA128" s="809"/>
    </row>
    <row r="129" spans="1:27" ht="15.75" customHeight="1">
      <c r="A129" s="719"/>
      <c r="B129" s="809"/>
      <c r="C129" s="809"/>
      <c r="D129" s="809"/>
      <c r="E129" s="809"/>
      <c r="F129" s="809"/>
      <c r="G129" s="809"/>
      <c r="H129" s="809"/>
      <c r="I129" s="809"/>
      <c r="J129" s="809"/>
      <c r="K129" s="809"/>
      <c r="L129" s="809"/>
      <c r="M129" s="809"/>
      <c r="N129" s="809"/>
      <c r="O129" s="809"/>
      <c r="P129" s="809"/>
      <c r="Q129" s="809"/>
      <c r="R129" s="809"/>
      <c r="S129" s="809"/>
      <c r="T129" s="809"/>
      <c r="U129" s="809"/>
      <c r="V129" s="809"/>
      <c r="W129" s="809"/>
      <c r="X129" s="809"/>
      <c r="Y129" s="809"/>
      <c r="Z129" s="809"/>
      <c r="AA129" s="809"/>
    </row>
    <row r="130" spans="1:27" ht="15.75" customHeight="1">
      <c r="A130" s="719"/>
      <c r="B130" s="809"/>
      <c r="C130" s="809"/>
      <c r="D130" s="809"/>
      <c r="E130" s="809"/>
      <c r="F130" s="809"/>
      <c r="G130" s="809"/>
      <c r="H130" s="809"/>
      <c r="I130" s="809"/>
      <c r="J130" s="809"/>
      <c r="K130" s="809"/>
      <c r="L130" s="809"/>
      <c r="M130" s="809"/>
      <c r="N130" s="809"/>
      <c r="O130" s="809"/>
      <c r="P130" s="809"/>
      <c r="Q130" s="809"/>
      <c r="R130" s="809"/>
      <c r="S130" s="809"/>
      <c r="T130" s="809"/>
      <c r="U130" s="809"/>
      <c r="V130" s="809"/>
      <c r="W130" s="809"/>
      <c r="X130" s="809"/>
      <c r="Y130" s="809"/>
      <c r="Z130" s="809"/>
      <c r="AA130" s="809"/>
    </row>
    <row r="131" spans="1:27" ht="15.75" customHeight="1">
      <c r="A131" s="719"/>
      <c r="B131" s="809"/>
      <c r="C131" s="809"/>
      <c r="D131" s="809"/>
      <c r="E131" s="809"/>
      <c r="F131" s="809"/>
      <c r="G131" s="809"/>
      <c r="H131" s="809"/>
      <c r="I131" s="809"/>
      <c r="J131" s="809"/>
      <c r="K131" s="809"/>
      <c r="L131" s="809"/>
      <c r="M131" s="809"/>
      <c r="N131" s="809"/>
      <c r="O131" s="809"/>
      <c r="P131" s="809"/>
      <c r="Q131" s="809"/>
      <c r="R131" s="809"/>
      <c r="S131" s="809"/>
      <c r="T131" s="809"/>
      <c r="U131" s="809"/>
      <c r="V131" s="809"/>
      <c r="W131" s="809"/>
      <c r="X131" s="809"/>
      <c r="Y131" s="809"/>
      <c r="Z131" s="809"/>
      <c r="AA131" s="809"/>
    </row>
    <row r="132" spans="1:27" ht="15.75" customHeight="1">
      <c r="A132" s="719"/>
      <c r="B132" s="809"/>
      <c r="C132" s="809"/>
      <c r="D132" s="809"/>
      <c r="E132" s="809"/>
      <c r="F132" s="809"/>
      <c r="G132" s="809"/>
      <c r="H132" s="809"/>
      <c r="I132" s="809"/>
      <c r="J132" s="809"/>
      <c r="K132" s="809"/>
      <c r="L132" s="809"/>
      <c r="M132" s="809"/>
      <c r="N132" s="809"/>
      <c r="O132" s="809"/>
      <c r="P132" s="809"/>
      <c r="Q132" s="809"/>
      <c r="R132" s="809"/>
      <c r="S132" s="809"/>
      <c r="T132" s="809"/>
      <c r="U132" s="809"/>
      <c r="V132" s="809"/>
      <c r="W132" s="809"/>
      <c r="X132" s="809"/>
      <c r="Y132" s="809"/>
      <c r="Z132" s="809"/>
      <c r="AA132" s="809"/>
    </row>
    <row r="133" spans="1:27" ht="15.75" customHeight="1">
      <c r="A133" s="719"/>
      <c r="B133" s="809"/>
      <c r="C133" s="809"/>
      <c r="D133" s="809"/>
      <c r="E133" s="809"/>
      <c r="F133" s="809"/>
      <c r="G133" s="809"/>
      <c r="H133" s="809"/>
      <c r="I133" s="809"/>
      <c r="J133" s="809"/>
      <c r="K133" s="809"/>
      <c r="L133" s="809"/>
      <c r="M133" s="809"/>
      <c r="N133" s="809"/>
      <c r="O133" s="809"/>
      <c r="P133" s="809"/>
      <c r="Q133" s="809"/>
      <c r="R133" s="809"/>
      <c r="S133" s="809"/>
      <c r="T133" s="809"/>
      <c r="U133" s="809"/>
      <c r="V133" s="809"/>
      <c r="W133" s="809"/>
      <c r="X133" s="809"/>
      <c r="Y133" s="809"/>
      <c r="Z133" s="809"/>
      <c r="AA133" s="809"/>
    </row>
    <row r="134" spans="1:27" ht="15.75" customHeight="1">
      <c r="A134" s="719"/>
      <c r="B134" s="809"/>
      <c r="C134" s="809"/>
      <c r="D134" s="809"/>
      <c r="E134" s="809"/>
      <c r="F134" s="809"/>
      <c r="G134" s="809"/>
      <c r="H134" s="809"/>
      <c r="I134" s="809"/>
      <c r="J134" s="809"/>
      <c r="K134" s="809"/>
      <c r="L134" s="809"/>
      <c r="M134" s="809"/>
      <c r="N134" s="809"/>
      <c r="O134" s="809"/>
      <c r="P134" s="809"/>
      <c r="Q134" s="809"/>
      <c r="R134" s="809"/>
      <c r="S134" s="809"/>
      <c r="T134" s="809"/>
      <c r="U134" s="809"/>
      <c r="V134" s="809"/>
      <c r="W134" s="809"/>
      <c r="X134" s="809"/>
      <c r="Y134" s="809"/>
      <c r="Z134" s="809"/>
      <c r="AA134" s="809"/>
    </row>
    <row r="135" spans="1:27" ht="15.75" customHeight="1">
      <c r="A135" s="719"/>
      <c r="B135" s="809"/>
      <c r="C135" s="809"/>
      <c r="D135" s="809"/>
      <c r="E135" s="809"/>
      <c r="F135" s="809"/>
      <c r="G135" s="809"/>
      <c r="H135" s="809"/>
      <c r="I135" s="809"/>
      <c r="J135" s="809"/>
      <c r="K135" s="809"/>
      <c r="L135" s="809"/>
      <c r="M135" s="809"/>
      <c r="N135" s="809"/>
      <c r="O135" s="809"/>
      <c r="P135" s="809"/>
      <c r="Q135" s="809"/>
      <c r="R135" s="809"/>
      <c r="S135" s="809"/>
      <c r="T135" s="809"/>
      <c r="U135" s="809"/>
      <c r="V135" s="809"/>
      <c r="W135" s="809"/>
      <c r="X135" s="809"/>
      <c r="Y135" s="809"/>
      <c r="Z135" s="809"/>
      <c r="AA135" s="809"/>
    </row>
    <row r="136" spans="1:27" ht="15.75" customHeight="1">
      <c r="A136" s="719"/>
      <c r="B136" s="809"/>
      <c r="C136" s="809"/>
      <c r="D136" s="809"/>
      <c r="E136" s="809"/>
      <c r="F136" s="809"/>
      <c r="G136" s="809"/>
      <c r="H136" s="809"/>
      <c r="I136" s="809"/>
      <c r="J136" s="809"/>
      <c r="K136" s="809"/>
      <c r="L136" s="809"/>
      <c r="M136" s="809"/>
      <c r="N136" s="809"/>
      <c r="O136" s="809"/>
      <c r="P136" s="809"/>
      <c r="Q136" s="809"/>
      <c r="R136" s="809"/>
      <c r="S136" s="809"/>
      <c r="T136" s="809"/>
      <c r="U136" s="809"/>
      <c r="V136" s="809"/>
      <c r="W136" s="809"/>
      <c r="X136" s="809"/>
      <c r="Y136" s="809"/>
      <c r="Z136" s="809"/>
      <c r="AA136" s="809"/>
    </row>
    <row r="137" spans="1:27" ht="15.75" customHeight="1">
      <c r="A137" s="719"/>
      <c r="B137" s="809"/>
      <c r="C137" s="809"/>
      <c r="D137" s="809"/>
      <c r="E137" s="809"/>
      <c r="F137" s="809"/>
      <c r="G137" s="809"/>
      <c r="H137" s="809"/>
      <c r="I137" s="809"/>
      <c r="J137" s="809"/>
      <c r="K137" s="809"/>
      <c r="L137" s="809"/>
      <c r="M137" s="809"/>
      <c r="N137" s="809"/>
      <c r="O137" s="809"/>
      <c r="P137" s="809"/>
      <c r="Q137" s="809"/>
      <c r="R137" s="809"/>
      <c r="S137" s="809"/>
      <c r="T137" s="809"/>
      <c r="U137" s="809"/>
      <c r="V137" s="809"/>
      <c r="W137" s="809"/>
      <c r="X137" s="809"/>
      <c r="Y137" s="809"/>
      <c r="Z137" s="809"/>
      <c r="AA137" s="809"/>
    </row>
    <row r="138" spans="1:27" ht="15.75" customHeight="1">
      <c r="A138" s="719"/>
      <c r="B138" s="809"/>
      <c r="C138" s="809"/>
      <c r="D138" s="809"/>
      <c r="E138" s="809"/>
      <c r="F138" s="809"/>
      <c r="G138" s="809"/>
      <c r="H138" s="809"/>
      <c r="I138" s="809"/>
      <c r="J138" s="809"/>
      <c r="K138" s="809"/>
      <c r="L138" s="809"/>
      <c r="M138" s="809"/>
      <c r="N138" s="809"/>
      <c r="O138" s="809"/>
      <c r="P138" s="809"/>
      <c r="Q138" s="809"/>
      <c r="R138" s="809"/>
      <c r="S138" s="809"/>
      <c r="T138" s="809"/>
      <c r="U138" s="809"/>
      <c r="V138" s="809"/>
      <c r="W138" s="809"/>
      <c r="X138" s="809"/>
      <c r="Y138" s="809"/>
      <c r="Z138" s="809"/>
      <c r="AA138" s="809"/>
    </row>
    <row r="139" spans="1:27" ht="15.75" customHeight="1">
      <c r="A139" s="719"/>
      <c r="B139" s="809"/>
      <c r="C139" s="809"/>
      <c r="D139" s="809"/>
      <c r="E139" s="809"/>
      <c r="F139" s="809"/>
      <c r="G139" s="809"/>
      <c r="H139" s="809"/>
      <c r="I139" s="809"/>
      <c r="J139" s="809"/>
      <c r="K139" s="809"/>
      <c r="L139" s="809"/>
      <c r="M139" s="809"/>
      <c r="N139" s="809"/>
      <c r="O139" s="809"/>
      <c r="P139" s="809"/>
      <c r="Q139" s="809"/>
      <c r="R139" s="809"/>
      <c r="S139" s="809"/>
      <c r="T139" s="809"/>
      <c r="U139" s="809"/>
      <c r="V139" s="809"/>
      <c r="W139" s="809"/>
      <c r="X139" s="809"/>
      <c r="Y139" s="809"/>
      <c r="Z139" s="809"/>
      <c r="AA139" s="809"/>
    </row>
    <row r="140" spans="1:27" ht="15.75" customHeight="1">
      <c r="A140" s="719"/>
      <c r="B140" s="809"/>
      <c r="C140" s="809"/>
      <c r="D140" s="809"/>
      <c r="E140" s="809"/>
      <c r="F140" s="809"/>
      <c r="G140" s="809"/>
      <c r="H140" s="809"/>
      <c r="I140" s="809"/>
      <c r="J140" s="809"/>
      <c r="K140" s="809"/>
      <c r="L140" s="809"/>
      <c r="M140" s="809"/>
      <c r="N140" s="809"/>
      <c r="O140" s="809"/>
      <c r="P140" s="809"/>
      <c r="Q140" s="809"/>
      <c r="R140" s="809"/>
      <c r="S140" s="809"/>
      <c r="T140" s="809"/>
      <c r="U140" s="809"/>
      <c r="V140" s="809"/>
      <c r="W140" s="809"/>
      <c r="X140" s="809"/>
      <c r="Y140" s="809"/>
      <c r="Z140" s="809"/>
      <c r="AA140" s="809"/>
    </row>
    <row r="141" spans="1:27" ht="15.75" customHeight="1">
      <c r="A141" s="719"/>
      <c r="B141" s="809"/>
      <c r="C141" s="809"/>
      <c r="D141" s="809"/>
      <c r="E141" s="809"/>
      <c r="F141" s="809"/>
      <c r="G141" s="809"/>
      <c r="H141" s="809"/>
      <c r="I141" s="809"/>
      <c r="J141" s="809"/>
      <c r="K141" s="809"/>
      <c r="L141" s="809"/>
      <c r="M141" s="809"/>
      <c r="N141" s="809"/>
      <c r="O141" s="809"/>
      <c r="P141" s="809"/>
      <c r="Q141" s="809"/>
      <c r="R141" s="809"/>
      <c r="S141" s="809"/>
      <c r="T141" s="809"/>
      <c r="U141" s="809"/>
      <c r="V141" s="809"/>
      <c r="W141" s="809"/>
      <c r="X141" s="809"/>
      <c r="Y141" s="809"/>
      <c r="Z141" s="809"/>
      <c r="AA141" s="809"/>
    </row>
    <row r="142" spans="1:27" ht="15.75" customHeight="1">
      <c r="A142" s="719"/>
      <c r="B142" s="809"/>
      <c r="C142" s="809"/>
      <c r="D142" s="809"/>
      <c r="E142" s="809"/>
      <c r="F142" s="809"/>
      <c r="G142" s="809"/>
      <c r="H142" s="809"/>
      <c r="I142" s="809"/>
      <c r="J142" s="809"/>
      <c r="K142" s="809"/>
      <c r="L142" s="809"/>
      <c r="M142" s="809"/>
      <c r="N142" s="809"/>
      <c r="O142" s="809"/>
      <c r="P142" s="809"/>
      <c r="Q142" s="809"/>
      <c r="R142" s="809"/>
      <c r="S142" s="809"/>
      <c r="T142" s="809"/>
      <c r="U142" s="809"/>
      <c r="V142" s="809"/>
      <c r="W142" s="809"/>
      <c r="X142" s="809"/>
      <c r="Y142" s="809"/>
      <c r="Z142" s="809"/>
      <c r="AA142" s="809"/>
    </row>
    <row r="143" spans="1:27" ht="15.75" customHeight="1">
      <c r="A143" s="719"/>
      <c r="B143" s="809"/>
      <c r="C143" s="809"/>
      <c r="D143" s="809"/>
      <c r="E143" s="809"/>
      <c r="F143" s="809"/>
      <c r="G143" s="809"/>
      <c r="H143" s="809"/>
      <c r="I143" s="809"/>
      <c r="J143" s="809"/>
      <c r="K143" s="809"/>
      <c r="L143" s="809"/>
      <c r="M143" s="809"/>
      <c r="N143" s="809"/>
      <c r="O143" s="809"/>
      <c r="P143" s="809"/>
      <c r="Q143" s="809"/>
      <c r="R143" s="809"/>
      <c r="S143" s="809"/>
      <c r="T143" s="809"/>
      <c r="U143" s="809"/>
      <c r="V143" s="809"/>
      <c r="W143" s="809"/>
      <c r="X143" s="809"/>
      <c r="Y143" s="809"/>
      <c r="Z143" s="809"/>
      <c r="AA143" s="809"/>
    </row>
    <row r="144" spans="1:27" ht="15.75" customHeight="1">
      <c r="A144" s="719"/>
      <c r="B144" s="809"/>
      <c r="C144" s="809"/>
      <c r="D144" s="809"/>
      <c r="E144" s="809"/>
      <c r="F144" s="809"/>
      <c r="G144" s="809"/>
      <c r="H144" s="809"/>
      <c r="I144" s="809"/>
      <c r="J144" s="809"/>
      <c r="K144" s="809"/>
      <c r="L144" s="809"/>
      <c r="M144" s="809"/>
      <c r="N144" s="809"/>
      <c r="O144" s="809"/>
      <c r="P144" s="809"/>
      <c r="Q144" s="809"/>
      <c r="R144" s="809"/>
      <c r="S144" s="809"/>
      <c r="T144" s="809"/>
      <c r="U144" s="809"/>
      <c r="V144" s="809"/>
      <c r="W144" s="809"/>
      <c r="X144" s="809"/>
      <c r="Y144" s="809"/>
      <c r="Z144" s="809"/>
      <c r="AA144" s="809"/>
    </row>
    <row r="145" spans="1:27" ht="15.75" customHeight="1">
      <c r="A145" s="719"/>
      <c r="B145" s="809"/>
      <c r="C145" s="809"/>
      <c r="D145" s="809"/>
      <c r="E145" s="809"/>
      <c r="F145" s="809"/>
      <c r="G145" s="809"/>
      <c r="H145" s="809"/>
      <c r="I145" s="809"/>
      <c r="J145" s="809"/>
      <c r="K145" s="809"/>
      <c r="L145" s="809"/>
      <c r="M145" s="809"/>
      <c r="N145" s="809"/>
      <c r="O145" s="809"/>
      <c r="P145" s="809"/>
      <c r="Q145" s="809"/>
      <c r="R145" s="809"/>
      <c r="S145" s="809"/>
      <c r="T145" s="809"/>
      <c r="U145" s="809"/>
      <c r="V145" s="809"/>
      <c r="W145" s="809"/>
      <c r="X145" s="809"/>
      <c r="Y145" s="809"/>
      <c r="Z145" s="809"/>
      <c r="AA145" s="809"/>
    </row>
    <row r="146" spans="1:27" ht="15.75" customHeight="1">
      <c r="A146" s="719"/>
      <c r="B146" s="809"/>
      <c r="C146" s="809"/>
      <c r="D146" s="809"/>
      <c r="E146" s="809"/>
      <c r="F146" s="809"/>
      <c r="G146" s="809"/>
      <c r="H146" s="809"/>
      <c r="I146" s="809"/>
      <c r="J146" s="809"/>
      <c r="K146" s="809"/>
      <c r="L146" s="809"/>
      <c r="M146" s="809"/>
      <c r="N146" s="809"/>
      <c r="O146" s="809"/>
      <c r="P146" s="809"/>
      <c r="Q146" s="809"/>
      <c r="R146" s="809"/>
      <c r="S146" s="809"/>
      <c r="T146" s="809"/>
      <c r="U146" s="809"/>
      <c r="V146" s="809"/>
      <c r="W146" s="809"/>
      <c r="X146" s="809"/>
      <c r="Y146" s="809"/>
      <c r="Z146" s="809"/>
      <c r="AA146" s="809"/>
    </row>
    <row r="147" spans="1:27" ht="15.75" customHeight="1">
      <c r="A147" s="719"/>
      <c r="B147" s="809"/>
      <c r="C147" s="809"/>
      <c r="D147" s="809"/>
      <c r="E147" s="809"/>
      <c r="F147" s="809"/>
      <c r="G147" s="809"/>
      <c r="H147" s="809"/>
      <c r="I147" s="809"/>
      <c r="J147" s="809"/>
      <c r="K147" s="809"/>
      <c r="L147" s="809"/>
      <c r="M147" s="809"/>
      <c r="N147" s="809"/>
      <c r="O147" s="809"/>
      <c r="P147" s="809"/>
      <c r="Q147" s="809"/>
      <c r="R147" s="809"/>
      <c r="S147" s="809"/>
      <c r="T147" s="809"/>
      <c r="U147" s="809"/>
      <c r="V147" s="809"/>
      <c r="W147" s="809"/>
      <c r="X147" s="809"/>
      <c r="Y147" s="809"/>
      <c r="Z147" s="809"/>
      <c r="AA147" s="809"/>
    </row>
    <row r="148" spans="1:27" ht="15.75" customHeight="1">
      <c r="A148" s="719"/>
      <c r="B148" s="809"/>
      <c r="C148" s="809"/>
      <c r="D148" s="809"/>
      <c r="E148" s="809"/>
      <c r="F148" s="809"/>
      <c r="G148" s="809"/>
      <c r="H148" s="809"/>
      <c r="I148" s="809"/>
      <c r="J148" s="809"/>
      <c r="K148" s="809"/>
      <c r="L148" s="809"/>
      <c r="M148" s="809"/>
      <c r="N148" s="809"/>
      <c r="O148" s="809"/>
      <c r="P148" s="809"/>
      <c r="Q148" s="809"/>
      <c r="R148" s="809"/>
      <c r="S148" s="809"/>
      <c r="T148" s="809"/>
      <c r="U148" s="809"/>
      <c r="V148" s="809"/>
      <c r="W148" s="809"/>
      <c r="X148" s="809"/>
      <c r="Y148" s="809"/>
      <c r="Z148" s="809"/>
      <c r="AA148" s="809"/>
    </row>
    <row r="149" spans="1:27" ht="15.75" customHeight="1">
      <c r="A149" s="719"/>
      <c r="B149" s="809"/>
      <c r="C149" s="809"/>
      <c r="D149" s="809"/>
      <c r="E149" s="809"/>
      <c r="F149" s="809"/>
      <c r="G149" s="809"/>
      <c r="H149" s="809"/>
      <c r="I149" s="809"/>
      <c r="J149" s="809"/>
      <c r="K149" s="809"/>
      <c r="L149" s="809"/>
      <c r="M149" s="809"/>
      <c r="N149" s="809"/>
      <c r="O149" s="809"/>
      <c r="P149" s="809"/>
      <c r="Q149" s="809"/>
      <c r="R149" s="809"/>
      <c r="S149" s="809"/>
      <c r="T149" s="809"/>
      <c r="U149" s="809"/>
      <c r="V149" s="809"/>
      <c r="W149" s="809"/>
      <c r="X149" s="809"/>
      <c r="Y149" s="809"/>
      <c r="Z149" s="809"/>
      <c r="AA149" s="809"/>
    </row>
    <row r="150" spans="1:27" ht="15.75" customHeight="1">
      <c r="A150" s="719"/>
      <c r="B150" s="809"/>
      <c r="C150" s="809"/>
      <c r="D150" s="809"/>
      <c r="E150" s="809"/>
      <c r="F150" s="809"/>
      <c r="G150" s="809"/>
      <c r="H150" s="809"/>
      <c r="I150" s="809"/>
      <c r="J150" s="809"/>
      <c r="K150" s="809"/>
      <c r="L150" s="809"/>
      <c r="M150" s="809"/>
      <c r="N150" s="809"/>
      <c r="O150" s="809"/>
      <c r="P150" s="809"/>
      <c r="Q150" s="809"/>
      <c r="R150" s="809"/>
      <c r="S150" s="809"/>
      <c r="T150" s="809"/>
      <c r="U150" s="809"/>
      <c r="V150" s="809"/>
      <c r="W150" s="809"/>
      <c r="X150" s="809"/>
      <c r="Y150" s="809"/>
      <c r="Z150" s="809"/>
      <c r="AA150" s="809"/>
    </row>
    <row r="151" spans="1:27" ht="15.75" customHeight="1">
      <c r="A151" s="719"/>
      <c r="B151" s="809"/>
      <c r="C151" s="809"/>
      <c r="D151" s="809"/>
      <c r="E151" s="809"/>
      <c r="F151" s="809"/>
      <c r="G151" s="809"/>
      <c r="H151" s="809"/>
      <c r="I151" s="809"/>
      <c r="J151" s="809"/>
      <c r="K151" s="809"/>
      <c r="L151" s="809"/>
      <c r="M151" s="809"/>
      <c r="N151" s="809"/>
      <c r="O151" s="809"/>
      <c r="P151" s="809"/>
      <c r="Q151" s="809"/>
      <c r="R151" s="809"/>
      <c r="S151" s="809"/>
      <c r="T151" s="809"/>
      <c r="U151" s="809"/>
      <c r="V151" s="809"/>
      <c r="W151" s="809"/>
      <c r="X151" s="809"/>
      <c r="Y151" s="809"/>
      <c r="Z151" s="809"/>
      <c r="AA151" s="809"/>
    </row>
    <row r="152" spans="1:27" ht="15.75" customHeight="1">
      <c r="A152" s="719"/>
      <c r="B152" s="809"/>
      <c r="C152" s="809"/>
      <c r="D152" s="809"/>
      <c r="E152" s="809"/>
      <c r="F152" s="809"/>
      <c r="G152" s="809"/>
      <c r="H152" s="809"/>
      <c r="I152" s="809"/>
      <c r="J152" s="809"/>
      <c r="K152" s="809"/>
      <c r="L152" s="809"/>
      <c r="M152" s="809"/>
      <c r="N152" s="809"/>
      <c r="O152" s="809"/>
      <c r="P152" s="809"/>
      <c r="Q152" s="809"/>
      <c r="R152" s="809"/>
      <c r="S152" s="809"/>
      <c r="T152" s="809"/>
      <c r="U152" s="809"/>
      <c r="V152" s="809"/>
      <c r="W152" s="809"/>
      <c r="X152" s="809"/>
      <c r="Y152" s="809"/>
      <c r="Z152" s="809"/>
      <c r="AA152" s="809"/>
    </row>
    <row r="153" spans="1:27" ht="15.75" customHeight="1">
      <c r="A153" s="719"/>
      <c r="B153" s="809"/>
      <c r="C153" s="809"/>
      <c r="D153" s="809"/>
      <c r="E153" s="809"/>
      <c r="F153" s="809"/>
      <c r="G153" s="809"/>
      <c r="H153" s="809"/>
      <c r="I153" s="809"/>
      <c r="J153" s="809"/>
      <c r="K153" s="809"/>
      <c r="L153" s="809"/>
      <c r="M153" s="809"/>
      <c r="N153" s="809"/>
      <c r="O153" s="809"/>
      <c r="P153" s="809"/>
      <c r="Q153" s="809"/>
      <c r="R153" s="809"/>
      <c r="S153" s="809"/>
      <c r="T153" s="809"/>
      <c r="U153" s="809"/>
      <c r="V153" s="809"/>
      <c r="W153" s="809"/>
      <c r="X153" s="809"/>
      <c r="Y153" s="809"/>
      <c r="Z153" s="809"/>
      <c r="AA153" s="809"/>
    </row>
    <row r="154" spans="1:27" ht="15.75" customHeight="1">
      <c r="A154" s="719"/>
      <c r="B154" s="809"/>
      <c r="C154" s="809"/>
      <c r="D154" s="809"/>
      <c r="E154" s="809"/>
      <c r="F154" s="809"/>
      <c r="G154" s="809"/>
      <c r="H154" s="809"/>
      <c r="I154" s="809"/>
      <c r="J154" s="809"/>
      <c r="K154" s="809"/>
      <c r="L154" s="809"/>
      <c r="M154" s="809"/>
      <c r="N154" s="809"/>
      <c r="O154" s="809"/>
      <c r="P154" s="809"/>
      <c r="Q154" s="809"/>
      <c r="R154" s="809"/>
      <c r="S154" s="809"/>
      <c r="T154" s="809"/>
      <c r="U154" s="809"/>
      <c r="V154" s="809"/>
      <c r="W154" s="809"/>
      <c r="X154" s="809"/>
      <c r="Y154" s="809"/>
      <c r="Z154" s="809"/>
      <c r="AA154" s="809"/>
    </row>
    <row r="155" spans="1:27" ht="15.75" customHeight="1">
      <c r="A155" s="719"/>
      <c r="B155" s="809"/>
      <c r="C155" s="809"/>
      <c r="D155" s="809"/>
      <c r="E155" s="809"/>
      <c r="F155" s="809"/>
      <c r="G155" s="809"/>
      <c r="H155" s="809"/>
      <c r="I155" s="809"/>
      <c r="J155" s="809"/>
      <c r="K155" s="809"/>
      <c r="L155" s="809"/>
      <c r="M155" s="809"/>
      <c r="N155" s="809"/>
      <c r="O155" s="809"/>
      <c r="P155" s="809"/>
      <c r="Q155" s="809"/>
      <c r="R155" s="809"/>
      <c r="S155" s="809"/>
      <c r="T155" s="809"/>
      <c r="U155" s="809"/>
      <c r="V155" s="809"/>
      <c r="W155" s="809"/>
      <c r="X155" s="809"/>
      <c r="Y155" s="809"/>
      <c r="Z155" s="809"/>
      <c r="AA155" s="809"/>
    </row>
    <row r="156" spans="1:27" ht="15.75" customHeight="1">
      <c r="A156" s="719"/>
      <c r="B156" s="809"/>
      <c r="C156" s="809"/>
      <c r="D156" s="809"/>
      <c r="E156" s="809"/>
      <c r="F156" s="809"/>
      <c r="G156" s="809"/>
      <c r="H156" s="809"/>
      <c r="I156" s="809"/>
      <c r="J156" s="809"/>
      <c r="K156" s="809"/>
      <c r="L156" s="809"/>
      <c r="M156" s="809"/>
      <c r="N156" s="809"/>
      <c r="O156" s="809"/>
      <c r="P156" s="809"/>
      <c r="Q156" s="809"/>
      <c r="R156" s="809"/>
      <c r="S156" s="809"/>
      <c r="T156" s="809"/>
      <c r="U156" s="809"/>
      <c r="V156" s="809"/>
      <c r="W156" s="809"/>
      <c r="X156" s="809"/>
      <c r="Y156" s="809"/>
      <c r="Z156" s="809"/>
      <c r="AA156" s="809"/>
    </row>
    <row r="157" spans="1:27" ht="15.75" customHeight="1">
      <c r="A157" s="719"/>
      <c r="B157" s="809"/>
      <c r="C157" s="809"/>
      <c r="D157" s="809"/>
      <c r="E157" s="809"/>
      <c r="F157" s="809"/>
      <c r="G157" s="809"/>
      <c r="H157" s="809"/>
      <c r="I157" s="809"/>
      <c r="J157" s="809"/>
      <c r="K157" s="809"/>
      <c r="L157" s="809"/>
      <c r="M157" s="809"/>
      <c r="N157" s="809"/>
      <c r="O157" s="809"/>
      <c r="P157" s="809"/>
      <c r="Q157" s="809"/>
      <c r="R157" s="809"/>
      <c r="S157" s="809"/>
      <c r="T157" s="809"/>
      <c r="U157" s="809"/>
      <c r="V157" s="809"/>
      <c r="W157" s="809"/>
      <c r="X157" s="809"/>
      <c r="Y157" s="809"/>
      <c r="Z157" s="809"/>
      <c r="AA157" s="809"/>
    </row>
    <row r="158" spans="1:27" ht="15.75" customHeight="1">
      <c r="A158" s="719"/>
      <c r="B158" s="809"/>
      <c r="C158" s="809"/>
      <c r="D158" s="809"/>
      <c r="E158" s="809"/>
      <c r="F158" s="809"/>
      <c r="G158" s="809"/>
      <c r="H158" s="809"/>
      <c r="I158" s="809"/>
      <c r="J158" s="809"/>
      <c r="K158" s="809"/>
      <c r="L158" s="809"/>
      <c r="M158" s="809"/>
      <c r="N158" s="809"/>
      <c r="O158" s="809"/>
      <c r="P158" s="809"/>
      <c r="Q158" s="809"/>
      <c r="R158" s="809"/>
      <c r="S158" s="809"/>
      <c r="T158" s="809"/>
      <c r="U158" s="809"/>
      <c r="V158" s="809"/>
      <c r="W158" s="809"/>
      <c r="X158" s="809"/>
      <c r="Y158" s="809"/>
      <c r="Z158" s="809"/>
      <c r="AA158" s="809"/>
    </row>
    <row r="159" spans="1:27" ht="15.75" customHeight="1">
      <c r="A159" s="719"/>
      <c r="B159" s="809"/>
      <c r="C159" s="809"/>
      <c r="D159" s="809"/>
      <c r="E159" s="809"/>
      <c r="F159" s="809"/>
      <c r="G159" s="809"/>
      <c r="H159" s="809"/>
      <c r="I159" s="809"/>
      <c r="J159" s="809"/>
      <c r="K159" s="809"/>
      <c r="L159" s="809"/>
      <c r="M159" s="809"/>
      <c r="N159" s="809"/>
      <c r="O159" s="809"/>
      <c r="P159" s="809"/>
      <c r="Q159" s="809"/>
      <c r="R159" s="809"/>
      <c r="S159" s="809"/>
      <c r="T159" s="809"/>
      <c r="U159" s="809"/>
      <c r="V159" s="809"/>
      <c r="W159" s="809"/>
      <c r="X159" s="809"/>
      <c r="Y159" s="809"/>
      <c r="Z159" s="809"/>
      <c r="AA159" s="809"/>
    </row>
    <row r="160" spans="1:27" ht="15.75" customHeight="1">
      <c r="A160" s="719"/>
      <c r="B160" s="809"/>
      <c r="C160" s="809"/>
      <c r="D160" s="809"/>
      <c r="E160" s="809"/>
      <c r="F160" s="809"/>
      <c r="G160" s="809"/>
      <c r="H160" s="809"/>
      <c r="I160" s="809"/>
      <c r="J160" s="809"/>
      <c r="K160" s="809"/>
      <c r="L160" s="809"/>
      <c r="M160" s="809"/>
      <c r="N160" s="809"/>
      <c r="O160" s="809"/>
      <c r="P160" s="809"/>
      <c r="Q160" s="809"/>
      <c r="R160" s="809"/>
      <c r="S160" s="809"/>
      <c r="T160" s="809"/>
      <c r="U160" s="809"/>
      <c r="V160" s="809"/>
      <c r="W160" s="809"/>
      <c r="X160" s="809"/>
      <c r="Y160" s="809"/>
      <c r="Z160" s="809"/>
      <c r="AA160" s="809"/>
    </row>
    <row r="161" spans="1:27" ht="15.75" customHeight="1">
      <c r="A161" s="719"/>
      <c r="B161" s="809"/>
      <c r="C161" s="809"/>
      <c r="D161" s="809"/>
      <c r="E161" s="809"/>
      <c r="F161" s="809"/>
      <c r="G161" s="809"/>
      <c r="H161" s="809"/>
      <c r="I161" s="809"/>
      <c r="J161" s="809"/>
      <c r="K161" s="809"/>
      <c r="L161" s="809"/>
      <c r="M161" s="809"/>
      <c r="N161" s="809"/>
      <c r="O161" s="809"/>
      <c r="P161" s="809"/>
      <c r="Q161" s="809"/>
      <c r="R161" s="809"/>
      <c r="S161" s="809"/>
      <c r="T161" s="809"/>
      <c r="U161" s="809"/>
      <c r="V161" s="809"/>
      <c r="W161" s="809"/>
      <c r="X161" s="809"/>
      <c r="Y161" s="809"/>
      <c r="Z161" s="809"/>
      <c r="AA161" s="809"/>
    </row>
    <row r="162" spans="1:27" ht="15.75" customHeight="1">
      <c r="A162" s="719"/>
      <c r="B162" s="809"/>
      <c r="C162" s="809"/>
      <c r="D162" s="809"/>
      <c r="E162" s="809"/>
      <c r="F162" s="809"/>
      <c r="G162" s="809"/>
      <c r="H162" s="809"/>
      <c r="I162" s="809"/>
      <c r="J162" s="809"/>
      <c r="K162" s="809"/>
      <c r="L162" s="809"/>
      <c r="M162" s="809"/>
      <c r="N162" s="809"/>
      <c r="O162" s="809"/>
      <c r="P162" s="809"/>
      <c r="Q162" s="809"/>
      <c r="R162" s="809"/>
      <c r="S162" s="809"/>
      <c r="T162" s="809"/>
      <c r="U162" s="809"/>
      <c r="V162" s="809"/>
      <c r="W162" s="809"/>
      <c r="X162" s="809"/>
      <c r="Y162" s="809"/>
      <c r="Z162" s="809"/>
      <c r="AA162" s="809"/>
    </row>
    <row r="163" spans="1:27" ht="15.75" customHeight="1">
      <c r="A163" s="719"/>
      <c r="B163" s="809"/>
      <c r="C163" s="809"/>
      <c r="D163" s="809"/>
      <c r="E163" s="809"/>
      <c r="F163" s="809"/>
      <c r="G163" s="809"/>
      <c r="H163" s="809"/>
      <c r="I163" s="809"/>
      <c r="J163" s="809"/>
      <c r="K163" s="809"/>
      <c r="L163" s="809"/>
      <c r="M163" s="809"/>
      <c r="N163" s="809"/>
      <c r="O163" s="809"/>
      <c r="P163" s="809"/>
      <c r="Q163" s="809"/>
      <c r="R163" s="809"/>
      <c r="S163" s="809"/>
      <c r="T163" s="809"/>
      <c r="U163" s="809"/>
      <c r="V163" s="809"/>
      <c r="W163" s="809"/>
      <c r="X163" s="809"/>
      <c r="Y163" s="809"/>
      <c r="Z163" s="809"/>
      <c r="AA163" s="809"/>
    </row>
    <row r="164" spans="1:27" ht="15.75" customHeight="1">
      <c r="A164" s="719"/>
      <c r="B164" s="809"/>
      <c r="C164" s="809"/>
      <c r="D164" s="809"/>
      <c r="E164" s="809"/>
      <c r="F164" s="809"/>
      <c r="G164" s="809"/>
      <c r="H164" s="809"/>
      <c r="I164" s="809"/>
      <c r="J164" s="809"/>
      <c r="K164" s="809"/>
      <c r="L164" s="809"/>
      <c r="M164" s="809"/>
      <c r="N164" s="809"/>
      <c r="O164" s="809"/>
      <c r="P164" s="809"/>
      <c r="Q164" s="809"/>
      <c r="R164" s="809"/>
      <c r="S164" s="809"/>
      <c r="T164" s="809"/>
      <c r="U164" s="809"/>
      <c r="V164" s="809"/>
      <c r="W164" s="809"/>
      <c r="X164" s="809"/>
      <c r="Y164" s="809"/>
      <c r="Z164" s="809"/>
      <c r="AA164" s="809"/>
    </row>
    <row r="165" spans="1:27" ht="15.75" customHeight="1">
      <c r="A165" s="719"/>
      <c r="B165" s="809"/>
      <c r="C165" s="809"/>
      <c r="D165" s="809"/>
      <c r="E165" s="809"/>
      <c r="F165" s="809"/>
      <c r="G165" s="809"/>
      <c r="H165" s="809"/>
      <c r="I165" s="809"/>
      <c r="J165" s="809"/>
      <c r="K165" s="809"/>
      <c r="L165" s="809"/>
      <c r="M165" s="809"/>
      <c r="N165" s="809"/>
      <c r="O165" s="809"/>
      <c r="P165" s="809"/>
      <c r="Q165" s="809"/>
      <c r="R165" s="809"/>
      <c r="S165" s="809"/>
      <c r="T165" s="809"/>
      <c r="U165" s="809"/>
      <c r="V165" s="809"/>
      <c r="W165" s="809"/>
      <c r="X165" s="809"/>
      <c r="Y165" s="809"/>
      <c r="Z165" s="809"/>
      <c r="AA165" s="809"/>
    </row>
    <row r="166" spans="1:27" ht="15.75" customHeight="1">
      <c r="A166" s="719"/>
      <c r="B166" s="809"/>
      <c r="C166" s="809"/>
      <c r="D166" s="809"/>
      <c r="E166" s="809"/>
      <c r="F166" s="809"/>
      <c r="G166" s="809"/>
      <c r="H166" s="809"/>
      <c r="I166" s="809"/>
      <c r="J166" s="809"/>
      <c r="K166" s="809"/>
      <c r="L166" s="809"/>
      <c r="M166" s="809"/>
      <c r="N166" s="809"/>
      <c r="O166" s="809"/>
      <c r="P166" s="809"/>
      <c r="Q166" s="809"/>
      <c r="R166" s="809"/>
      <c r="S166" s="809"/>
      <c r="T166" s="809"/>
      <c r="U166" s="809"/>
      <c r="V166" s="809"/>
      <c r="W166" s="809"/>
      <c r="X166" s="809"/>
      <c r="Y166" s="809"/>
      <c r="Z166" s="809"/>
      <c r="AA166" s="809"/>
    </row>
    <row r="167" spans="1:27" ht="15.75" customHeight="1">
      <c r="A167" s="719"/>
      <c r="B167" s="809"/>
      <c r="C167" s="809"/>
      <c r="D167" s="809"/>
      <c r="E167" s="809"/>
      <c r="F167" s="809"/>
      <c r="G167" s="809"/>
      <c r="H167" s="809"/>
      <c r="I167" s="809"/>
      <c r="J167" s="809"/>
      <c r="K167" s="809"/>
      <c r="L167" s="809"/>
      <c r="M167" s="809"/>
      <c r="N167" s="809"/>
      <c r="O167" s="809"/>
      <c r="P167" s="809"/>
      <c r="Q167" s="809"/>
      <c r="R167" s="809"/>
      <c r="S167" s="809"/>
      <c r="T167" s="809"/>
      <c r="U167" s="809"/>
      <c r="V167" s="809"/>
      <c r="W167" s="809"/>
      <c r="X167" s="809"/>
      <c r="Y167" s="809"/>
      <c r="Z167" s="809"/>
      <c r="AA167" s="809"/>
    </row>
    <row r="168" spans="1:27" ht="15.75" customHeight="1">
      <c r="A168" s="719"/>
      <c r="B168" s="809"/>
      <c r="C168" s="809"/>
      <c r="D168" s="809"/>
      <c r="E168" s="809"/>
      <c r="F168" s="809"/>
      <c r="G168" s="809"/>
      <c r="H168" s="809"/>
      <c r="I168" s="809"/>
      <c r="J168" s="809"/>
      <c r="K168" s="809"/>
      <c r="L168" s="809"/>
      <c r="M168" s="809"/>
      <c r="N168" s="809"/>
      <c r="O168" s="809"/>
      <c r="P168" s="809"/>
      <c r="Q168" s="809"/>
      <c r="R168" s="809"/>
      <c r="S168" s="809"/>
      <c r="T168" s="809"/>
      <c r="U168" s="809"/>
      <c r="V168" s="809"/>
      <c r="W168" s="809"/>
      <c r="X168" s="809"/>
      <c r="Y168" s="809"/>
      <c r="Z168" s="809"/>
      <c r="AA168" s="809"/>
    </row>
    <row r="169" spans="1:27" ht="15.75" customHeight="1">
      <c r="A169" s="719"/>
      <c r="B169" s="809"/>
      <c r="C169" s="809"/>
      <c r="D169" s="809"/>
      <c r="E169" s="809"/>
      <c r="F169" s="809"/>
      <c r="G169" s="809"/>
      <c r="H169" s="809"/>
      <c r="I169" s="809"/>
      <c r="J169" s="809"/>
      <c r="K169" s="809"/>
      <c r="L169" s="809"/>
      <c r="M169" s="809"/>
      <c r="N169" s="809"/>
      <c r="O169" s="809"/>
      <c r="P169" s="809"/>
      <c r="Q169" s="809"/>
      <c r="R169" s="809"/>
      <c r="S169" s="809"/>
      <c r="T169" s="809"/>
      <c r="U169" s="809"/>
      <c r="V169" s="809"/>
      <c r="W169" s="809"/>
      <c r="X169" s="809"/>
      <c r="Y169" s="809"/>
      <c r="Z169" s="809"/>
      <c r="AA169" s="809"/>
    </row>
    <row r="170" spans="1:27" ht="15.75" customHeight="1">
      <c r="A170" s="719"/>
      <c r="B170" s="809"/>
      <c r="C170" s="809"/>
      <c r="D170" s="809"/>
      <c r="E170" s="809"/>
      <c r="F170" s="809"/>
      <c r="G170" s="809"/>
      <c r="H170" s="809"/>
      <c r="I170" s="809"/>
      <c r="J170" s="809"/>
      <c r="K170" s="809"/>
      <c r="L170" s="809"/>
      <c r="M170" s="809"/>
      <c r="N170" s="809"/>
      <c r="O170" s="809"/>
      <c r="P170" s="809"/>
      <c r="Q170" s="809"/>
      <c r="R170" s="809"/>
      <c r="S170" s="809"/>
      <c r="T170" s="809"/>
      <c r="U170" s="809"/>
      <c r="V170" s="809"/>
      <c r="W170" s="809"/>
      <c r="X170" s="809"/>
      <c r="Y170" s="809"/>
      <c r="Z170" s="809"/>
      <c r="AA170" s="809"/>
    </row>
    <row r="171" spans="1:27" ht="15.75" customHeight="1">
      <c r="A171" s="719"/>
      <c r="B171" s="809"/>
      <c r="C171" s="809"/>
      <c r="D171" s="809"/>
      <c r="E171" s="809"/>
      <c r="F171" s="809"/>
      <c r="G171" s="809"/>
      <c r="H171" s="809"/>
      <c r="I171" s="809"/>
      <c r="J171" s="809"/>
      <c r="K171" s="809"/>
      <c r="L171" s="809"/>
      <c r="M171" s="809"/>
      <c r="N171" s="809"/>
      <c r="O171" s="809"/>
      <c r="P171" s="809"/>
      <c r="Q171" s="809"/>
      <c r="R171" s="809"/>
      <c r="S171" s="809"/>
      <c r="T171" s="809"/>
      <c r="U171" s="809"/>
      <c r="V171" s="809"/>
      <c r="W171" s="809"/>
      <c r="X171" s="809"/>
      <c r="Y171" s="809"/>
      <c r="Z171" s="809"/>
      <c r="AA171" s="809"/>
    </row>
    <row r="172" spans="1:27" ht="15.75" customHeight="1">
      <c r="A172" s="719"/>
      <c r="B172" s="809"/>
      <c r="C172" s="809"/>
      <c r="D172" s="809"/>
      <c r="E172" s="809"/>
      <c r="F172" s="809"/>
      <c r="G172" s="809"/>
      <c r="H172" s="809"/>
      <c r="I172" s="809"/>
      <c r="J172" s="809"/>
      <c r="K172" s="809"/>
      <c r="L172" s="809"/>
      <c r="M172" s="809"/>
      <c r="N172" s="809"/>
      <c r="O172" s="809"/>
      <c r="P172" s="809"/>
      <c r="Q172" s="809"/>
      <c r="R172" s="809"/>
      <c r="S172" s="809"/>
      <c r="T172" s="809"/>
      <c r="U172" s="809"/>
      <c r="V172" s="809"/>
      <c r="W172" s="809"/>
      <c r="X172" s="809"/>
      <c r="Y172" s="809"/>
      <c r="Z172" s="809"/>
      <c r="AA172" s="809"/>
    </row>
    <row r="173" spans="1:27" ht="15.75" customHeight="1">
      <c r="A173" s="719"/>
      <c r="B173" s="809"/>
      <c r="C173" s="809"/>
      <c r="D173" s="809"/>
      <c r="E173" s="809"/>
      <c r="F173" s="809"/>
      <c r="G173" s="809"/>
      <c r="H173" s="809"/>
      <c r="I173" s="809"/>
      <c r="J173" s="809"/>
      <c r="K173" s="809"/>
      <c r="L173" s="809"/>
      <c r="M173" s="809"/>
      <c r="N173" s="809"/>
      <c r="O173" s="809"/>
      <c r="P173" s="809"/>
      <c r="Q173" s="809"/>
      <c r="R173" s="809"/>
      <c r="S173" s="809"/>
      <c r="T173" s="809"/>
      <c r="U173" s="809"/>
      <c r="V173" s="809"/>
      <c r="W173" s="809"/>
      <c r="X173" s="809"/>
      <c r="Y173" s="809"/>
      <c r="Z173" s="809"/>
      <c r="AA173" s="809"/>
    </row>
    <row r="174" spans="1:27" ht="15.75" customHeight="1">
      <c r="A174" s="719"/>
      <c r="B174" s="809"/>
      <c r="C174" s="809"/>
      <c r="D174" s="809"/>
      <c r="E174" s="809"/>
      <c r="F174" s="809"/>
      <c r="G174" s="809"/>
      <c r="H174" s="809"/>
      <c r="I174" s="809"/>
      <c r="J174" s="809"/>
      <c r="K174" s="809"/>
      <c r="L174" s="809"/>
      <c r="M174" s="809"/>
      <c r="N174" s="809"/>
      <c r="O174" s="809"/>
      <c r="P174" s="809"/>
      <c r="Q174" s="809"/>
      <c r="R174" s="809"/>
      <c r="S174" s="809"/>
      <c r="T174" s="809"/>
      <c r="U174" s="809"/>
      <c r="V174" s="809"/>
      <c r="W174" s="809"/>
      <c r="X174" s="809"/>
      <c r="Y174" s="809"/>
      <c r="Z174" s="809"/>
      <c r="AA174" s="809"/>
    </row>
    <row r="175" spans="1:27" ht="15.75" customHeight="1">
      <c r="A175" s="719"/>
      <c r="B175" s="809"/>
      <c r="C175" s="809"/>
      <c r="D175" s="809"/>
      <c r="E175" s="809"/>
      <c r="F175" s="809"/>
      <c r="G175" s="809"/>
      <c r="H175" s="809"/>
      <c r="I175" s="809"/>
      <c r="J175" s="809"/>
      <c r="K175" s="809"/>
      <c r="L175" s="809"/>
      <c r="M175" s="809"/>
      <c r="N175" s="809"/>
      <c r="O175" s="809"/>
      <c r="P175" s="809"/>
      <c r="Q175" s="809"/>
      <c r="R175" s="809"/>
      <c r="S175" s="809"/>
      <c r="T175" s="809"/>
      <c r="U175" s="809"/>
      <c r="V175" s="809"/>
      <c r="W175" s="809"/>
      <c r="X175" s="809"/>
      <c r="Y175" s="809"/>
      <c r="Z175" s="809"/>
      <c r="AA175" s="809"/>
    </row>
    <row r="176" spans="1:27" ht="15.75" customHeight="1">
      <c r="A176" s="719"/>
      <c r="B176" s="809"/>
      <c r="C176" s="809"/>
      <c r="D176" s="809"/>
      <c r="E176" s="809"/>
      <c r="F176" s="809"/>
      <c r="G176" s="809"/>
      <c r="H176" s="809"/>
      <c r="I176" s="809"/>
      <c r="J176" s="809"/>
      <c r="K176" s="809"/>
      <c r="L176" s="809"/>
      <c r="M176" s="809"/>
      <c r="N176" s="809"/>
      <c r="O176" s="809"/>
      <c r="P176" s="809"/>
      <c r="Q176" s="809"/>
      <c r="R176" s="809"/>
      <c r="S176" s="809"/>
      <c r="T176" s="809"/>
      <c r="U176" s="809"/>
      <c r="V176" s="809"/>
      <c r="W176" s="809"/>
      <c r="X176" s="809"/>
      <c r="Y176" s="809"/>
      <c r="Z176" s="809"/>
      <c r="AA176" s="809"/>
    </row>
    <row r="177" spans="1:27" ht="15.75" customHeight="1">
      <c r="A177" s="719"/>
      <c r="B177" s="809"/>
      <c r="C177" s="809"/>
      <c r="D177" s="809"/>
      <c r="E177" s="809"/>
      <c r="F177" s="809"/>
      <c r="G177" s="809"/>
      <c r="H177" s="809"/>
      <c r="I177" s="809"/>
      <c r="J177" s="809"/>
      <c r="K177" s="809"/>
      <c r="L177" s="809"/>
      <c r="M177" s="809"/>
      <c r="N177" s="809"/>
      <c r="O177" s="809"/>
      <c r="P177" s="809"/>
      <c r="Q177" s="809"/>
      <c r="R177" s="809"/>
      <c r="S177" s="809"/>
      <c r="T177" s="809"/>
      <c r="U177" s="809"/>
      <c r="V177" s="809"/>
      <c r="W177" s="809"/>
      <c r="X177" s="809"/>
      <c r="Y177" s="809"/>
      <c r="Z177" s="809"/>
      <c r="AA177" s="809"/>
    </row>
    <row r="178" spans="1:27" ht="15.75" customHeight="1">
      <c r="A178" s="719"/>
      <c r="B178" s="809"/>
      <c r="C178" s="809"/>
      <c r="D178" s="809"/>
      <c r="E178" s="809"/>
      <c r="F178" s="809"/>
      <c r="G178" s="809"/>
      <c r="H178" s="809"/>
      <c r="I178" s="809"/>
      <c r="J178" s="809"/>
      <c r="K178" s="809"/>
      <c r="L178" s="809"/>
      <c r="M178" s="809"/>
      <c r="N178" s="809"/>
      <c r="O178" s="809"/>
      <c r="P178" s="809"/>
      <c r="Q178" s="809"/>
      <c r="R178" s="809"/>
      <c r="S178" s="809"/>
      <c r="T178" s="809"/>
      <c r="U178" s="809"/>
      <c r="V178" s="809"/>
      <c r="W178" s="809"/>
      <c r="X178" s="809"/>
      <c r="Y178" s="809"/>
      <c r="Z178" s="809"/>
      <c r="AA178" s="809"/>
    </row>
    <row r="179" spans="1:27" ht="15.75" customHeight="1">
      <c r="A179" s="719"/>
      <c r="B179" s="809"/>
      <c r="C179" s="809"/>
      <c r="D179" s="809"/>
      <c r="E179" s="809"/>
      <c r="F179" s="809"/>
      <c r="G179" s="809"/>
      <c r="H179" s="809"/>
      <c r="I179" s="809"/>
      <c r="J179" s="809"/>
      <c r="K179" s="809"/>
      <c r="L179" s="809"/>
      <c r="M179" s="809"/>
      <c r="N179" s="809"/>
      <c r="O179" s="809"/>
      <c r="P179" s="809"/>
      <c r="Q179" s="809"/>
      <c r="R179" s="809"/>
      <c r="S179" s="809"/>
      <c r="T179" s="809"/>
      <c r="U179" s="809"/>
      <c r="V179" s="809"/>
      <c r="W179" s="809"/>
      <c r="X179" s="809"/>
      <c r="Y179" s="809"/>
      <c r="Z179" s="809"/>
      <c r="AA179" s="809"/>
    </row>
    <row r="180" spans="1:27" ht="15.75" customHeight="1">
      <c r="A180" s="719"/>
      <c r="B180" s="809"/>
      <c r="C180" s="809"/>
      <c r="D180" s="809"/>
      <c r="E180" s="809"/>
      <c r="F180" s="809"/>
      <c r="G180" s="809"/>
      <c r="H180" s="809"/>
      <c r="I180" s="809"/>
      <c r="J180" s="809"/>
      <c r="K180" s="809"/>
      <c r="L180" s="809"/>
      <c r="M180" s="809"/>
      <c r="N180" s="809"/>
      <c r="O180" s="809"/>
      <c r="P180" s="809"/>
      <c r="Q180" s="809"/>
      <c r="R180" s="809"/>
      <c r="S180" s="809"/>
      <c r="T180" s="809"/>
      <c r="U180" s="809"/>
      <c r="V180" s="809"/>
      <c r="W180" s="809"/>
      <c r="X180" s="809"/>
      <c r="Y180" s="809"/>
      <c r="Z180" s="809"/>
      <c r="AA180" s="809"/>
    </row>
    <row r="181" spans="1:27" ht="15.75" customHeight="1">
      <c r="A181" s="719"/>
      <c r="B181" s="809"/>
      <c r="C181" s="809"/>
      <c r="D181" s="809"/>
      <c r="E181" s="809"/>
      <c r="F181" s="809"/>
      <c r="G181" s="809"/>
      <c r="H181" s="809"/>
      <c r="I181" s="809"/>
      <c r="J181" s="809"/>
      <c r="K181" s="809"/>
      <c r="L181" s="809"/>
      <c r="M181" s="809"/>
      <c r="N181" s="809"/>
      <c r="O181" s="809"/>
      <c r="P181" s="809"/>
      <c r="Q181" s="809"/>
      <c r="R181" s="809"/>
      <c r="S181" s="809"/>
      <c r="T181" s="809"/>
      <c r="U181" s="809"/>
      <c r="V181" s="809"/>
      <c r="W181" s="809"/>
      <c r="X181" s="809"/>
      <c r="Y181" s="809"/>
      <c r="Z181" s="809"/>
      <c r="AA181" s="809"/>
    </row>
    <row r="182" spans="1:27" ht="15.75" customHeight="1">
      <c r="A182" s="719"/>
      <c r="B182" s="809"/>
      <c r="C182" s="809"/>
      <c r="D182" s="809"/>
      <c r="E182" s="809"/>
      <c r="F182" s="809"/>
      <c r="G182" s="809"/>
      <c r="H182" s="809"/>
      <c r="I182" s="809"/>
      <c r="J182" s="809"/>
      <c r="K182" s="809"/>
      <c r="L182" s="809"/>
      <c r="M182" s="809"/>
      <c r="N182" s="809"/>
      <c r="O182" s="809"/>
      <c r="P182" s="809"/>
      <c r="Q182" s="809"/>
      <c r="R182" s="809"/>
      <c r="S182" s="809"/>
      <c r="T182" s="809"/>
      <c r="U182" s="809"/>
      <c r="V182" s="809"/>
      <c r="W182" s="809"/>
      <c r="X182" s="809"/>
      <c r="Y182" s="809"/>
      <c r="Z182" s="809"/>
      <c r="AA182" s="809"/>
    </row>
    <row r="183" spans="1:27" ht="15.75" customHeight="1">
      <c r="A183" s="719"/>
      <c r="B183" s="809"/>
      <c r="C183" s="809"/>
      <c r="D183" s="809"/>
      <c r="E183" s="809"/>
      <c r="F183" s="809"/>
      <c r="G183" s="809"/>
      <c r="H183" s="809"/>
      <c r="I183" s="809"/>
      <c r="J183" s="809"/>
      <c r="K183" s="809"/>
      <c r="L183" s="809"/>
      <c r="M183" s="809"/>
      <c r="N183" s="809"/>
      <c r="O183" s="809"/>
      <c r="P183" s="809"/>
      <c r="Q183" s="809"/>
      <c r="R183" s="809"/>
      <c r="S183" s="809"/>
      <c r="T183" s="809"/>
      <c r="U183" s="809"/>
      <c r="V183" s="809"/>
      <c r="W183" s="809"/>
      <c r="X183" s="809"/>
      <c r="Y183" s="809"/>
      <c r="Z183" s="809"/>
      <c r="AA183" s="809"/>
    </row>
    <row r="184" spans="1:27" ht="15.75" customHeight="1">
      <c r="A184" s="719"/>
      <c r="B184" s="809"/>
      <c r="C184" s="809"/>
      <c r="D184" s="809"/>
      <c r="E184" s="809"/>
      <c r="F184" s="809"/>
      <c r="G184" s="809"/>
      <c r="H184" s="809"/>
      <c r="I184" s="809"/>
      <c r="J184" s="809"/>
      <c r="K184" s="809"/>
      <c r="L184" s="809"/>
      <c r="M184" s="809"/>
      <c r="N184" s="809"/>
      <c r="O184" s="809"/>
      <c r="P184" s="809"/>
      <c r="Q184" s="809"/>
      <c r="R184" s="809"/>
      <c r="S184" s="809"/>
      <c r="T184" s="809"/>
      <c r="U184" s="809"/>
      <c r="V184" s="809"/>
      <c r="W184" s="809"/>
      <c r="X184" s="809"/>
      <c r="Y184" s="809"/>
      <c r="Z184" s="809"/>
      <c r="AA184" s="809"/>
    </row>
    <row r="185" spans="1:27" ht="15.75" customHeight="1">
      <c r="A185" s="719"/>
      <c r="B185" s="809"/>
      <c r="C185" s="809"/>
      <c r="D185" s="809"/>
      <c r="E185" s="809"/>
      <c r="F185" s="809"/>
      <c r="G185" s="809"/>
      <c r="H185" s="809"/>
      <c r="I185" s="809"/>
      <c r="J185" s="809"/>
      <c r="K185" s="809"/>
      <c r="L185" s="809"/>
      <c r="M185" s="809"/>
      <c r="N185" s="809"/>
      <c r="O185" s="809"/>
      <c r="P185" s="809"/>
      <c r="Q185" s="809"/>
      <c r="R185" s="809"/>
      <c r="S185" s="809"/>
      <c r="T185" s="809"/>
      <c r="U185" s="809"/>
      <c r="V185" s="809"/>
      <c r="W185" s="809"/>
      <c r="X185" s="809"/>
      <c r="Y185" s="809"/>
      <c r="Z185" s="809"/>
      <c r="AA185" s="809"/>
    </row>
    <row r="186" spans="1:27" ht="15.75" customHeight="1">
      <c r="A186" s="719"/>
      <c r="B186" s="809"/>
      <c r="C186" s="809"/>
      <c r="D186" s="809"/>
      <c r="E186" s="809"/>
      <c r="F186" s="809"/>
      <c r="G186" s="809"/>
      <c r="H186" s="809"/>
      <c r="I186" s="809"/>
      <c r="J186" s="809"/>
      <c r="K186" s="809"/>
      <c r="L186" s="809"/>
      <c r="M186" s="809"/>
      <c r="N186" s="809"/>
      <c r="O186" s="809"/>
      <c r="P186" s="809"/>
      <c r="Q186" s="809"/>
      <c r="R186" s="809"/>
      <c r="S186" s="809"/>
      <c r="T186" s="809"/>
      <c r="U186" s="809"/>
      <c r="V186" s="809"/>
      <c r="W186" s="809"/>
      <c r="X186" s="809"/>
      <c r="Y186" s="809"/>
      <c r="Z186" s="809"/>
      <c r="AA186" s="809"/>
    </row>
    <row r="187" spans="1:27" ht="15.75" customHeight="1">
      <c r="A187" s="719"/>
      <c r="B187" s="809"/>
      <c r="C187" s="809"/>
      <c r="D187" s="809"/>
      <c r="E187" s="809"/>
      <c r="F187" s="809"/>
      <c r="G187" s="809"/>
      <c r="H187" s="809"/>
      <c r="I187" s="809"/>
      <c r="J187" s="809"/>
      <c r="K187" s="809"/>
      <c r="L187" s="809"/>
      <c r="M187" s="809"/>
      <c r="N187" s="809"/>
      <c r="O187" s="809"/>
      <c r="P187" s="809"/>
      <c r="Q187" s="809"/>
      <c r="R187" s="809"/>
      <c r="S187" s="809"/>
      <c r="T187" s="809"/>
      <c r="U187" s="809"/>
      <c r="V187" s="809"/>
      <c r="W187" s="809"/>
      <c r="X187" s="809"/>
      <c r="Y187" s="809"/>
      <c r="Z187" s="809"/>
      <c r="AA187" s="809"/>
    </row>
    <row r="188" spans="1:27" ht="15.75" customHeight="1">
      <c r="A188" s="719"/>
      <c r="B188" s="809"/>
      <c r="C188" s="809"/>
      <c r="D188" s="809"/>
      <c r="E188" s="809"/>
      <c r="F188" s="809"/>
      <c r="G188" s="809"/>
      <c r="H188" s="809"/>
      <c r="I188" s="809"/>
      <c r="J188" s="809"/>
      <c r="K188" s="809"/>
      <c r="L188" s="809"/>
      <c r="M188" s="809"/>
      <c r="N188" s="809"/>
      <c r="O188" s="809"/>
      <c r="P188" s="809"/>
      <c r="Q188" s="809"/>
      <c r="R188" s="809"/>
      <c r="S188" s="809"/>
      <c r="T188" s="809"/>
      <c r="U188" s="809"/>
      <c r="V188" s="809"/>
      <c r="W188" s="809"/>
      <c r="X188" s="809"/>
      <c r="Y188" s="809"/>
      <c r="Z188" s="809"/>
      <c r="AA188" s="809"/>
    </row>
    <row r="189" spans="1:27" ht="15.75" customHeight="1">
      <c r="A189" s="719"/>
      <c r="B189" s="809"/>
      <c r="C189" s="809"/>
      <c r="D189" s="809"/>
      <c r="E189" s="809"/>
      <c r="F189" s="809"/>
      <c r="G189" s="809"/>
      <c r="H189" s="809"/>
      <c r="I189" s="809"/>
      <c r="J189" s="809"/>
      <c r="K189" s="809"/>
      <c r="L189" s="809"/>
      <c r="M189" s="809"/>
      <c r="N189" s="809"/>
      <c r="O189" s="809"/>
      <c r="P189" s="809"/>
      <c r="Q189" s="809"/>
      <c r="R189" s="809"/>
      <c r="S189" s="809"/>
      <c r="T189" s="809"/>
      <c r="U189" s="809"/>
      <c r="V189" s="809"/>
      <c r="W189" s="809"/>
      <c r="X189" s="809"/>
      <c r="Y189" s="809"/>
      <c r="Z189" s="809"/>
      <c r="AA189" s="809"/>
    </row>
    <row r="190" spans="1:27" ht="15.75" customHeight="1">
      <c r="A190" s="719"/>
      <c r="B190" s="809"/>
      <c r="C190" s="809"/>
      <c r="D190" s="809"/>
      <c r="E190" s="809"/>
      <c r="F190" s="809"/>
      <c r="G190" s="809"/>
      <c r="H190" s="809"/>
      <c r="I190" s="809"/>
      <c r="J190" s="809"/>
      <c r="K190" s="809"/>
      <c r="L190" s="809"/>
      <c r="M190" s="809"/>
      <c r="N190" s="809"/>
      <c r="O190" s="809"/>
      <c r="P190" s="809"/>
      <c r="Q190" s="809"/>
      <c r="R190" s="809"/>
      <c r="S190" s="809"/>
      <c r="T190" s="809"/>
      <c r="U190" s="809"/>
      <c r="V190" s="809"/>
      <c r="W190" s="809"/>
      <c r="X190" s="809"/>
      <c r="Y190" s="809"/>
      <c r="Z190" s="809"/>
      <c r="AA190" s="809"/>
    </row>
    <row r="191" spans="1:27" ht="15.75" customHeight="1">
      <c r="A191" s="719"/>
      <c r="B191" s="809"/>
      <c r="C191" s="809"/>
      <c r="D191" s="809"/>
      <c r="E191" s="809"/>
      <c r="F191" s="809"/>
      <c r="G191" s="809"/>
      <c r="H191" s="809"/>
      <c r="I191" s="809"/>
      <c r="J191" s="809"/>
      <c r="K191" s="809"/>
      <c r="L191" s="809"/>
      <c r="M191" s="809"/>
      <c r="N191" s="809"/>
      <c r="O191" s="809"/>
      <c r="P191" s="809"/>
      <c r="Q191" s="809"/>
      <c r="R191" s="809"/>
      <c r="S191" s="809"/>
      <c r="T191" s="809"/>
      <c r="U191" s="809"/>
      <c r="V191" s="809"/>
      <c r="W191" s="809"/>
      <c r="X191" s="809"/>
      <c r="Y191" s="809"/>
      <c r="Z191" s="809"/>
      <c r="AA191" s="809"/>
    </row>
    <row r="192" spans="1:27" ht="15.75" customHeight="1">
      <c r="A192" s="719"/>
      <c r="B192" s="809"/>
      <c r="C192" s="809"/>
      <c r="D192" s="809"/>
      <c r="E192" s="809"/>
      <c r="F192" s="809"/>
      <c r="G192" s="809"/>
      <c r="H192" s="809"/>
      <c r="I192" s="809"/>
      <c r="J192" s="809"/>
      <c r="K192" s="809"/>
      <c r="L192" s="809"/>
      <c r="M192" s="809"/>
      <c r="N192" s="809"/>
      <c r="O192" s="809"/>
      <c r="P192" s="809"/>
      <c r="Q192" s="809"/>
      <c r="R192" s="809"/>
      <c r="S192" s="809"/>
      <c r="T192" s="809"/>
      <c r="U192" s="809"/>
      <c r="V192" s="809"/>
      <c r="W192" s="809"/>
      <c r="X192" s="809"/>
      <c r="Y192" s="809"/>
      <c r="Z192" s="809"/>
      <c r="AA192" s="809"/>
    </row>
    <row r="193" spans="1:27" ht="15.75" customHeight="1">
      <c r="A193" s="719"/>
      <c r="B193" s="809"/>
      <c r="C193" s="809"/>
      <c r="D193" s="809"/>
      <c r="E193" s="809"/>
      <c r="F193" s="809"/>
      <c r="G193" s="809"/>
      <c r="H193" s="809"/>
      <c r="I193" s="809"/>
      <c r="J193" s="809"/>
      <c r="K193" s="809"/>
      <c r="L193" s="809"/>
      <c r="M193" s="809"/>
      <c r="N193" s="809"/>
      <c r="O193" s="809"/>
      <c r="P193" s="809"/>
      <c r="Q193" s="809"/>
      <c r="R193" s="809"/>
      <c r="S193" s="809"/>
      <c r="T193" s="809"/>
      <c r="U193" s="809"/>
      <c r="V193" s="809"/>
      <c r="W193" s="809"/>
      <c r="X193" s="809"/>
      <c r="Y193" s="809"/>
      <c r="Z193" s="809"/>
      <c r="AA193" s="809"/>
    </row>
    <row r="194" spans="1:27" ht="15.75" customHeight="1">
      <c r="A194" s="719"/>
      <c r="B194" s="809"/>
      <c r="C194" s="809"/>
      <c r="D194" s="809"/>
      <c r="E194" s="809"/>
      <c r="F194" s="809"/>
      <c r="G194" s="809"/>
      <c r="H194" s="809"/>
      <c r="I194" s="809"/>
      <c r="J194" s="809"/>
      <c r="K194" s="809"/>
      <c r="L194" s="809"/>
      <c r="M194" s="809"/>
      <c r="N194" s="809"/>
      <c r="O194" s="809"/>
      <c r="P194" s="809"/>
      <c r="Q194" s="809"/>
      <c r="R194" s="809"/>
      <c r="S194" s="809"/>
      <c r="T194" s="809"/>
      <c r="U194" s="809"/>
      <c r="V194" s="809"/>
      <c r="W194" s="809"/>
      <c r="X194" s="809"/>
      <c r="Y194" s="809"/>
      <c r="Z194" s="809"/>
      <c r="AA194" s="809"/>
    </row>
    <row r="195" spans="1:27" ht="15.75" customHeight="1">
      <c r="A195" s="719"/>
      <c r="B195" s="809"/>
      <c r="C195" s="809"/>
      <c r="D195" s="809"/>
      <c r="E195" s="809"/>
      <c r="F195" s="809"/>
      <c r="G195" s="809"/>
      <c r="H195" s="809"/>
      <c r="I195" s="809"/>
      <c r="J195" s="809"/>
      <c r="K195" s="809"/>
      <c r="L195" s="809"/>
      <c r="M195" s="809"/>
      <c r="N195" s="809"/>
      <c r="O195" s="809"/>
      <c r="P195" s="809"/>
      <c r="Q195" s="809"/>
      <c r="R195" s="809"/>
      <c r="S195" s="809"/>
      <c r="T195" s="809"/>
      <c r="U195" s="809"/>
      <c r="V195" s="809"/>
      <c r="W195" s="809"/>
      <c r="X195" s="809"/>
      <c r="Y195" s="809"/>
      <c r="Z195" s="809"/>
      <c r="AA195" s="809"/>
    </row>
    <row r="196" spans="1:27" ht="15.75" customHeight="1">
      <c r="A196" s="719"/>
      <c r="B196" s="809"/>
      <c r="C196" s="809"/>
      <c r="D196" s="809"/>
      <c r="E196" s="809"/>
      <c r="F196" s="809"/>
      <c r="G196" s="809"/>
      <c r="H196" s="809"/>
      <c r="I196" s="809"/>
      <c r="J196" s="809"/>
      <c r="K196" s="809"/>
      <c r="L196" s="809"/>
      <c r="M196" s="809"/>
      <c r="N196" s="809"/>
      <c r="O196" s="809"/>
      <c r="P196" s="809"/>
      <c r="Q196" s="809"/>
      <c r="R196" s="809"/>
      <c r="S196" s="809"/>
      <c r="T196" s="809"/>
      <c r="U196" s="809"/>
      <c r="V196" s="809"/>
      <c r="W196" s="809"/>
      <c r="X196" s="809"/>
      <c r="Y196" s="809"/>
      <c r="Z196" s="809"/>
      <c r="AA196" s="809"/>
    </row>
    <row r="197" spans="1:27" ht="15.75" customHeight="1">
      <c r="A197" s="719"/>
      <c r="B197" s="809"/>
      <c r="C197" s="809"/>
      <c r="D197" s="809"/>
      <c r="E197" s="809"/>
      <c r="F197" s="809"/>
      <c r="G197" s="809"/>
      <c r="H197" s="809"/>
      <c r="I197" s="809"/>
      <c r="J197" s="809"/>
      <c r="K197" s="809"/>
      <c r="L197" s="809"/>
      <c r="M197" s="809"/>
      <c r="N197" s="809"/>
      <c r="O197" s="809"/>
      <c r="P197" s="809"/>
      <c r="Q197" s="809"/>
      <c r="R197" s="809"/>
      <c r="S197" s="809"/>
      <c r="T197" s="809"/>
      <c r="U197" s="809"/>
      <c r="V197" s="809"/>
      <c r="W197" s="809"/>
      <c r="X197" s="809"/>
      <c r="Y197" s="809"/>
      <c r="Z197" s="809"/>
      <c r="AA197" s="809"/>
    </row>
    <row r="198" spans="1:27" ht="15.75" customHeight="1">
      <c r="A198" s="719"/>
      <c r="B198" s="809"/>
      <c r="C198" s="809"/>
      <c r="D198" s="809"/>
      <c r="E198" s="809"/>
      <c r="F198" s="809"/>
      <c r="G198" s="809"/>
      <c r="H198" s="809"/>
      <c r="I198" s="809"/>
      <c r="J198" s="809"/>
      <c r="K198" s="809"/>
      <c r="L198" s="809"/>
      <c r="M198" s="809"/>
      <c r="N198" s="809"/>
      <c r="O198" s="809"/>
      <c r="P198" s="809"/>
      <c r="Q198" s="809"/>
      <c r="R198" s="809"/>
      <c r="S198" s="809"/>
      <c r="T198" s="809"/>
      <c r="U198" s="809"/>
      <c r="V198" s="809"/>
      <c r="W198" s="809"/>
      <c r="X198" s="809"/>
      <c r="Y198" s="809"/>
      <c r="Z198" s="809"/>
      <c r="AA198" s="809"/>
    </row>
    <row r="199" spans="1:27" ht="15.75" customHeight="1">
      <c r="A199" s="719"/>
      <c r="B199" s="809"/>
      <c r="C199" s="809"/>
      <c r="D199" s="809"/>
      <c r="E199" s="809"/>
      <c r="F199" s="809"/>
      <c r="G199" s="809"/>
      <c r="H199" s="809"/>
      <c r="I199" s="809"/>
      <c r="J199" s="809"/>
      <c r="K199" s="809"/>
      <c r="L199" s="809"/>
      <c r="M199" s="809"/>
      <c r="N199" s="809"/>
      <c r="O199" s="809"/>
      <c r="P199" s="809"/>
      <c r="Q199" s="809"/>
      <c r="R199" s="809"/>
      <c r="S199" s="809"/>
      <c r="T199" s="809"/>
      <c r="U199" s="809"/>
      <c r="V199" s="809"/>
      <c r="W199" s="809"/>
      <c r="X199" s="809"/>
      <c r="Y199" s="809"/>
      <c r="Z199" s="809"/>
      <c r="AA199" s="809"/>
    </row>
    <row r="200" spans="1:27" ht="15.75" customHeight="1">
      <c r="A200" s="719"/>
      <c r="B200" s="809"/>
      <c r="C200" s="809"/>
      <c r="D200" s="809"/>
      <c r="E200" s="809"/>
      <c r="F200" s="809"/>
      <c r="G200" s="809"/>
      <c r="H200" s="809"/>
      <c r="I200" s="809"/>
      <c r="J200" s="809"/>
      <c r="K200" s="809"/>
      <c r="L200" s="809"/>
      <c r="M200" s="809"/>
      <c r="N200" s="809"/>
      <c r="O200" s="809"/>
      <c r="P200" s="809"/>
      <c r="Q200" s="809"/>
      <c r="R200" s="809"/>
      <c r="S200" s="809"/>
      <c r="T200" s="809"/>
      <c r="U200" s="809"/>
      <c r="V200" s="809"/>
      <c r="W200" s="809"/>
      <c r="X200" s="809"/>
      <c r="Y200" s="809"/>
      <c r="Z200" s="809"/>
      <c r="AA200" s="809"/>
    </row>
    <row r="201" spans="1:27" ht="15.75" customHeight="1">
      <c r="A201" s="719"/>
      <c r="B201" s="809"/>
      <c r="C201" s="809"/>
      <c r="D201" s="809"/>
      <c r="E201" s="809"/>
      <c r="F201" s="809"/>
      <c r="G201" s="809"/>
      <c r="H201" s="809"/>
      <c r="I201" s="809"/>
      <c r="J201" s="809"/>
      <c r="K201" s="809"/>
      <c r="L201" s="809"/>
      <c r="M201" s="809"/>
      <c r="N201" s="809"/>
      <c r="O201" s="809"/>
      <c r="P201" s="809"/>
      <c r="Q201" s="809"/>
      <c r="R201" s="809"/>
      <c r="S201" s="809"/>
      <c r="T201" s="809"/>
      <c r="U201" s="809"/>
      <c r="V201" s="809"/>
      <c r="W201" s="809"/>
      <c r="X201" s="809"/>
      <c r="Y201" s="809"/>
      <c r="Z201" s="809"/>
      <c r="AA201" s="809"/>
    </row>
    <row r="202" spans="1:27" ht="15.75" customHeight="1">
      <c r="A202" s="719"/>
      <c r="B202" s="809"/>
      <c r="C202" s="809"/>
      <c r="D202" s="809"/>
      <c r="E202" s="809"/>
      <c r="F202" s="809"/>
      <c r="G202" s="809"/>
      <c r="H202" s="809"/>
      <c r="I202" s="809"/>
      <c r="J202" s="809"/>
      <c r="K202" s="809"/>
      <c r="L202" s="809"/>
      <c r="M202" s="809"/>
      <c r="N202" s="809"/>
      <c r="O202" s="809"/>
      <c r="P202" s="809"/>
      <c r="Q202" s="809"/>
      <c r="R202" s="809"/>
      <c r="S202" s="809"/>
      <c r="T202" s="809"/>
      <c r="U202" s="809"/>
      <c r="V202" s="809"/>
      <c r="W202" s="809"/>
      <c r="X202" s="809"/>
      <c r="Y202" s="809"/>
      <c r="Z202" s="809"/>
      <c r="AA202" s="809"/>
    </row>
    <row r="203" spans="1:27" ht="15.75" customHeight="1">
      <c r="A203" s="719"/>
      <c r="B203" s="809"/>
      <c r="C203" s="809"/>
      <c r="D203" s="809"/>
      <c r="E203" s="809"/>
      <c r="F203" s="809"/>
      <c r="G203" s="809"/>
      <c r="H203" s="809"/>
      <c r="I203" s="809"/>
      <c r="J203" s="809"/>
      <c r="K203" s="809"/>
      <c r="L203" s="809"/>
      <c r="M203" s="809"/>
      <c r="N203" s="809"/>
      <c r="O203" s="809"/>
      <c r="P203" s="809"/>
      <c r="Q203" s="809"/>
      <c r="R203" s="809"/>
      <c r="S203" s="809"/>
      <c r="T203" s="809"/>
      <c r="U203" s="809"/>
      <c r="V203" s="809"/>
      <c r="W203" s="809"/>
      <c r="X203" s="809"/>
      <c r="Y203" s="809"/>
      <c r="Z203" s="809"/>
      <c r="AA203" s="809"/>
    </row>
    <row r="204" spans="1:27" ht="15.75" customHeight="1">
      <c r="A204" s="719"/>
      <c r="B204" s="809"/>
      <c r="C204" s="809"/>
      <c r="D204" s="809"/>
      <c r="E204" s="809"/>
      <c r="F204" s="809"/>
      <c r="G204" s="809"/>
      <c r="H204" s="809"/>
      <c r="I204" s="809"/>
      <c r="J204" s="809"/>
      <c r="K204" s="809"/>
      <c r="L204" s="809"/>
      <c r="M204" s="809"/>
      <c r="N204" s="809"/>
      <c r="O204" s="809"/>
      <c r="P204" s="809"/>
      <c r="Q204" s="809"/>
      <c r="R204" s="809"/>
      <c r="S204" s="809"/>
      <c r="T204" s="809"/>
      <c r="U204" s="809"/>
      <c r="V204" s="809"/>
      <c r="W204" s="809"/>
      <c r="X204" s="809"/>
      <c r="Y204" s="809"/>
      <c r="Z204" s="809"/>
      <c r="AA204" s="809"/>
    </row>
    <row r="205" spans="1:27" ht="15.75" customHeight="1">
      <c r="A205" s="719"/>
      <c r="B205" s="809"/>
      <c r="C205" s="809"/>
      <c r="D205" s="809"/>
      <c r="E205" s="809"/>
      <c r="F205" s="809"/>
      <c r="G205" s="809"/>
      <c r="H205" s="809"/>
      <c r="I205" s="809"/>
      <c r="J205" s="809"/>
      <c r="K205" s="809"/>
      <c r="L205" s="809"/>
      <c r="M205" s="809"/>
      <c r="N205" s="809"/>
      <c r="O205" s="809"/>
      <c r="P205" s="809"/>
      <c r="Q205" s="809"/>
      <c r="R205" s="809"/>
      <c r="S205" s="809"/>
      <c r="T205" s="809"/>
      <c r="U205" s="809"/>
      <c r="V205" s="809"/>
      <c r="W205" s="809"/>
      <c r="X205" s="809"/>
      <c r="Y205" s="809"/>
      <c r="Z205" s="809"/>
      <c r="AA205" s="809"/>
    </row>
    <row r="206" spans="1:27" ht="15.75" customHeight="1">
      <c r="A206" s="719"/>
      <c r="B206" s="809"/>
      <c r="C206" s="809"/>
      <c r="D206" s="809"/>
      <c r="E206" s="809"/>
      <c r="F206" s="809"/>
      <c r="G206" s="809"/>
      <c r="H206" s="809"/>
      <c r="I206" s="809"/>
      <c r="J206" s="809"/>
      <c r="K206" s="809"/>
      <c r="L206" s="809"/>
      <c r="M206" s="809"/>
      <c r="N206" s="809"/>
      <c r="O206" s="809"/>
      <c r="P206" s="809"/>
      <c r="Q206" s="809"/>
      <c r="R206" s="809"/>
      <c r="S206" s="809"/>
      <c r="T206" s="809"/>
      <c r="U206" s="809"/>
      <c r="V206" s="809"/>
      <c r="W206" s="809"/>
      <c r="X206" s="809"/>
      <c r="Y206" s="809"/>
      <c r="Z206" s="809"/>
      <c r="AA206" s="809"/>
    </row>
    <row r="207" spans="1:27" ht="15.75" customHeight="1">
      <c r="A207" s="719"/>
      <c r="B207" s="809"/>
      <c r="C207" s="809"/>
      <c r="D207" s="809"/>
      <c r="E207" s="809"/>
      <c r="F207" s="809"/>
      <c r="G207" s="809"/>
      <c r="H207" s="809"/>
      <c r="I207" s="809"/>
      <c r="J207" s="809"/>
      <c r="K207" s="809"/>
      <c r="L207" s="809"/>
      <c r="M207" s="809"/>
      <c r="N207" s="809"/>
      <c r="O207" s="809"/>
      <c r="P207" s="809"/>
      <c r="Q207" s="809"/>
      <c r="R207" s="809"/>
      <c r="S207" s="809"/>
      <c r="T207" s="809"/>
      <c r="U207" s="809"/>
      <c r="V207" s="809"/>
      <c r="W207" s="809"/>
      <c r="X207" s="809"/>
      <c r="Y207" s="809"/>
      <c r="Z207" s="809"/>
      <c r="AA207" s="809"/>
    </row>
    <row r="208" spans="1:27" ht="15.75" customHeight="1">
      <c r="A208" s="719"/>
      <c r="B208" s="809"/>
      <c r="C208" s="809"/>
      <c r="D208" s="809"/>
      <c r="E208" s="809"/>
      <c r="F208" s="809"/>
      <c r="G208" s="809"/>
      <c r="H208" s="809"/>
      <c r="I208" s="809"/>
      <c r="J208" s="809"/>
      <c r="K208" s="809"/>
      <c r="L208" s="809"/>
      <c r="M208" s="809"/>
      <c r="N208" s="809"/>
      <c r="O208" s="809"/>
      <c r="P208" s="809"/>
      <c r="Q208" s="809"/>
      <c r="R208" s="809"/>
      <c r="S208" s="809"/>
      <c r="T208" s="809"/>
      <c r="U208" s="809"/>
      <c r="V208" s="809"/>
      <c r="W208" s="809"/>
      <c r="X208" s="809"/>
      <c r="Y208" s="809"/>
      <c r="Z208" s="809"/>
      <c r="AA208" s="809"/>
    </row>
    <row r="209" spans="1:27" ht="15.75" customHeight="1">
      <c r="A209" s="719"/>
      <c r="B209" s="809"/>
      <c r="C209" s="809"/>
      <c r="D209" s="809"/>
      <c r="E209" s="809"/>
      <c r="F209" s="809"/>
      <c r="G209" s="809"/>
      <c r="H209" s="809"/>
      <c r="I209" s="809"/>
      <c r="J209" s="809"/>
      <c r="K209" s="809"/>
      <c r="L209" s="809"/>
      <c r="M209" s="809"/>
      <c r="N209" s="809"/>
      <c r="O209" s="809"/>
      <c r="P209" s="809"/>
      <c r="Q209" s="809"/>
      <c r="R209" s="809"/>
      <c r="S209" s="809"/>
      <c r="T209" s="809"/>
      <c r="U209" s="809"/>
      <c r="V209" s="809"/>
      <c r="W209" s="809"/>
      <c r="X209" s="809"/>
      <c r="Y209" s="809"/>
      <c r="Z209" s="809"/>
      <c r="AA209" s="809"/>
    </row>
    <row r="210" spans="1:27" ht="15.75" customHeight="1">
      <c r="A210" s="719"/>
      <c r="B210" s="809"/>
      <c r="C210" s="809"/>
      <c r="D210" s="809"/>
      <c r="E210" s="809"/>
      <c r="F210" s="809"/>
      <c r="G210" s="809"/>
      <c r="H210" s="809"/>
      <c r="I210" s="809"/>
      <c r="J210" s="809"/>
      <c r="K210" s="809"/>
      <c r="L210" s="809"/>
      <c r="M210" s="809"/>
      <c r="N210" s="809"/>
      <c r="O210" s="809"/>
      <c r="P210" s="809"/>
      <c r="Q210" s="809"/>
      <c r="R210" s="809"/>
      <c r="S210" s="809"/>
      <c r="T210" s="809"/>
      <c r="U210" s="809"/>
      <c r="V210" s="809"/>
      <c r="W210" s="809"/>
      <c r="X210" s="809"/>
      <c r="Y210" s="809"/>
      <c r="Z210" s="809"/>
      <c r="AA210" s="809"/>
    </row>
    <row r="211" spans="1:27" ht="15.75" customHeight="1">
      <c r="A211" s="719"/>
      <c r="B211" s="809"/>
      <c r="C211" s="809"/>
      <c r="D211" s="809"/>
      <c r="E211" s="809"/>
      <c r="F211" s="809"/>
      <c r="G211" s="809"/>
      <c r="H211" s="809"/>
      <c r="I211" s="809"/>
      <c r="J211" s="809"/>
      <c r="K211" s="809"/>
      <c r="L211" s="809"/>
      <c r="M211" s="809"/>
      <c r="N211" s="809"/>
      <c r="O211" s="809"/>
      <c r="P211" s="809"/>
      <c r="Q211" s="809"/>
      <c r="R211" s="809"/>
      <c r="S211" s="809"/>
      <c r="T211" s="809"/>
      <c r="U211" s="809"/>
      <c r="V211" s="809"/>
      <c r="W211" s="809"/>
      <c r="X211" s="809"/>
      <c r="Y211" s="809"/>
      <c r="Z211" s="809"/>
      <c r="AA211" s="809"/>
    </row>
    <row r="212" spans="1:27" ht="15.75" customHeight="1">
      <c r="A212" s="719"/>
      <c r="B212" s="809"/>
      <c r="C212" s="809"/>
      <c r="D212" s="809"/>
      <c r="E212" s="809"/>
      <c r="F212" s="809"/>
      <c r="G212" s="809"/>
      <c r="H212" s="809"/>
      <c r="I212" s="809"/>
      <c r="J212" s="809"/>
      <c r="K212" s="809"/>
      <c r="L212" s="809"/>
      <c r="M212" s="809"/>
      <c r="N212" s="809"/>
      <c r="O212" s="809"/>
      <c r="P212" s="809"/>
      <c r="Q212" s="809"/>
      <c r="R212" s="809"/>
      <c r="S212" s="809"/>
      <c r="T212" s="809"/>
      <c r="U212" s="809"/>
      <c r="V212" s="809"/>
      <c r="W212" s="809"/>
      <c r="X212" s="809"/>
      <c r="Y212" s="809"/>
      <c r="Z212" s="809"/>
      <c r="AA212" s="809"/>
    </row>
    <row r="213" spans="1:27" ht="15.75" customHeight="1">
      <c r="A213" s="719"/>
      <c r="B213" s="809"/>
      <c r="C213" s="809"/>
      <c r="D213" s="809"/>
      <c r="E213" s="809"/>
      <c r="F213" s="809"/>
      <c r="G213" s="809"/>
      <c r="H213" s="809"/>
      <c r="I213" s="809"/>
      <c r="J213" s="809"/>
      <c r="K213" s="809"/>
      <c r="L213" s="809"/>
      <c r="M213" s="809"/>
      <c r="N213" s="809"/>
      <c r="O213" s="809"/>
      <c r="P213" s="809"/>
      <c r="Q213" s="809"/>
      <c r="R213" s="809"/>
      <c r="S213" s="809"/>
      <c r="T213" s="809"/>
      <c r="U213" s="809"/>
      <c r="V213" s="809"/>
      <c r="W213" s="809"/>
      <c r="X213" s="809"/>
      <c r="Y213" s="809"/>
      <c r="Z213" s="809"/>
      <c r="AA213" s="809"/>
    </row>
    <row r="214" spans="1:27" ht="15.75" customHeight="1">
      <c r="A214" s="719"/>
      <c r="B214" s="809"/>
      <c r="C214" s="809"/>
      <c r="D214" s="809"/>
      <c r="E214" s="809"/>
      <c r="F214" s="809"/>
      <c r="G214" s="809"/>
      <c r="H214" s="809"/>
      <c r="I214" s="809"/>
      <c r="J214" s="809"/>
      <c r="K214" s="809"/>
      <c r="L214" s="809"/>
      <c r="M214" s="809"/>
      <c r="N214" s="809"/>
      <c r="O214" s="809"/>
      <c r="P214" s="809"/>
      <c r="Q214" s="809"/>
      <c r="R214" s="809"/>
      <c r="S214" s="809"/>
      <c r="T214" s="809"/>
      <c r="U214" s="809"/>
      <c r="V214" s="809"/>
      <c r="W214" s="809"/>
      <c r="X214" s="809"/>
      <c r="Y214" s="809"/>
      <c r="Z214" s="809"/>
      <c r="AA214" s="809"/>
    </row>
    <row r="215" spans="1:27" ht="15.75" customHeight="1">
      <c r="A215" s="719"/>
      <c r="B215" s="809"/>
      <c r="C215" s="809"/>
      <c r="D215" s="809"/>
      <c r="E215" s="809"/>
      <c r="F215" s="809"/>
      <c r="G215" s="809"/>
      <c r="H215" s="809"/>
      <c r="I215" s="809"/>
      <c r="J215" s="809"/>
      <c r="K215" s="809"/>
      <c r="L215" s="809"/>
      <c r="M215" s="809"/>
      <c r="N215" s="809"/>
      <c r="O215" s="809"/>
      <c r="P215" s="809"/>
      <c r="Q215" s="809"/>
      <c r="R215" s="809"/>
      <c r="S215" s="809"/>
      <c r="T215" s="809"/>
      <c r="U215" s="809"/>
      <c r="V215" s="809"/>
      <c r="W215" s="809"/>
      <c r="X215" s="809"/>
      <c r="Y215" s="809"/>
      <c r="Z215" s="809"/>
      <c r="AA215" s="809"/>
    </row>
    <row r="216" spans="1:27" ht="15.75" customHeight="1">
      <c r="A216" s="719"/>
      <c r="B216" s="809"/>
      <c r="C216" s="809"/>
      <c r="D216" s="809"/>
      <c r="E216" s="809"/>
      <c r="F216" s="809"/>
      <c r="G216" s="809"/>
      <c r="H216" s="809"/>
      <c r="I216" s="809"/>
      <c r="J216" s="809"/>
      <c r="K216" s="809"/>
      <c r="L216" s="809"/>
      <c r="M216" s="809"/>
      <c r="N216" s="809"/>
      <c r="O216" s="809"/>
      <c r="P216" s="809"/>
      <c r="Q216" s="809"/>
      <c r="R216" s="809"/>
      <c r="S216" s="809"/>
      <c r="T216" s="809"/>
      <c r="U216" s="809"/>
      <c r="V216" s="809"/>
      <c r="W216" s="809"/>
      <c r="X216" s="809"/>
      <c r="Y216" s="809"/>
      <c r="Z216" s="809"/>
      <c r="AA216" s="809"/>
    </row>
    <row r="217" spans="1:27" ht="15.75" customHeight="1">
      <c r="A217" s="719"/>
      <c r="B217" s="809"/>
      <c r="C217" s="809"/>
      <c r="D217" s="809"/>
      <c r="E217" s="809"/>
      <c r="F217" s="809"/>
      <c r="G217" s="809"/>
      <c r="H217" s="809"/>
      <c r="I217" s="809"/>
      <c r="J217" s="809"/>
      <c r="K217" s="809"/>
      <c r="L217" s="809"/>
      <c r="M217" s="809"/>
      <c r="N217" s="809"/>
      <c r="O217" s="809"/>
      <c r="P217" s="809"/>
      <c r="Q217" s="809"/>
      <c r="R217" s="809"/>
      <c r="S217" s="809"/>
      <c r="T217" s="809"/>
      <c r="U217" s="809"/>
      <c r="V217" s="809"/>
      <c r="W217" s="809"/>
      <c r="X217" s="809"/>
      <c r="Y217" s="809"/>
      <c r="Z217" s="809"/>
      <c r="AA217" s="809"/>
    </row>
    <row r="218" spans="1:27" ht="15.75" customHeight="1">
      <c r="A218" s="719"/>
      <c r="B218" s="809"/>
      <c r="C218" s="809"/>
      <c r="D218" s="809"/>
      <c r="E218" s="809"/>
      <c r="F218" s="809"/>
      <c r="G218" s="809"/>
      <c r="H218" s="809"/>
      <c r="I218" s="809"/>
      <c r="J218" s="809"/>
      <c r="K218" s="809"/>
      <c r="L218" s="809"/>
      <c r="M218" s="809"/>
      <c r="N218" s="809"/>
      <c r="O218" s="809"/>
      <c r="P218" s="809"/>
      <c r="Q218" s="809"/>
      <c r="R218" s="809"/>
      <c r="S218" s="809"/>
      <c r="T218" s="809"/>
      <c r="U218" s="809"/>
      <c r="V218" s="809"/>
      <c r="W218" s="809"/>
      <c r="X218" s="809"/>
      <c r="Y218" s="809"/>
      <c r="Z218" s="809"/>
      <c r="AA218" s="809"/>
    </row>
    <row r="219" spans="1:27" ht="15.75" customHeight="1">
      <c r="A219" s="719"/>
      <c r="B219" s="809"/>
      <c r="C219" s="809"/>
      <c r="D219" s="809"/>
      <c r="E219" s="809"/>
      <c r="F219" s="809"/>
      <c r="G219" s="809"/>
      <c r="H219" s="809"/>
      <c r="I219" s="809"/>
      <c r="J219" s="809"/>
      <c r="K219" s="809"/>
      <c r="L219" s="809"/>
      <c r="M219" s="809"/>
      <c r="N219" s="809"/>
      <c r="O219" s="809"/>
      <c r="P219" s="809"/>
      <c r="Q219" s="809"/>
      <c r="R219" s="809"/>
      <c r="S219" s="809"/>
      <c r="T219" s="809"/>
      <c r="U219" s="809"/>
      <c r="V219" s="809"/>
      <c r="W219" s="809"/>
      <c r="X219" s="809"/>
      <c r="Y219" s="809"/>
      <c r="Z219" s="809"/>
      <c r="AA219" s="809"/>
    </row>
    <row r="220" spans="1:27" ht="15.75" customHeight="1">
      <c r="A220" s="719"/>
      <c r="B220" s="809"/>
      <c r="C220" s="809"/>
      <c r="D220" s="809"/>
      <c r="E220" s="809"/>
      <c r="F220" s="809"/>
      <c r="G220" s="809"/>
      <c r="H220" s="809"/>
      <c r="I220" s="809"/>
      <c r="J220" s="809"/>
      <c r="K220" s="809"/>
      <c r="L220" s="809"/>
      <c r="M220" s="809"/>
      <c r="N220" s="809"/>
      <c r="O220" s="809"/>
      <c r="P220" s="809"/>
      <c r="Q220" s="809"/>
      <c r="R220" s="809"/>
      <c r="S220" s="809"/>
      <c r="T220" s="809"/>
      <c r="U220" s="809"/>
      <c r="V220" s="809"/>
      <c r="W220" s="809"/>
      <c r="X220" s="809"/>
      <c r="Y220" s="809"/>
      <c r="Z220" s="809"/>
      <c r="AA220" s="809"/>
    </row>
    <row r="221" spans="1:27" ht="15.75" customHeight="1">
      <c r="A221" s="719"/>
      <c r="B221" s="809"/>
      <c r="C221" s="809"/>
      <c r="D221" s="809"/>
      <c r="E221" s="809"/>
      <c r="F221" s="809"/>
      <c r="G221" s="809"/>
      <c r="H221" s="809"/>
      <c r="I221" s="809"/>
      <c r="J221" s="809"/>
      <c r="K221" s="809"/>
      <c r="L221" s="809"/>
      <c r="M221" s="809"/>
      <c r="N221" s="809"/>
      <c r="O221" s="809"/>
      <c r="P221" s="809"/>
      <c r="Q221" s="809"/>
      <c r="R221" s="809"/>
      <c r="S221" s="809"/>
      <c r="T221" s="809"/>
      <c r="U221" s="809"/>
      <c r="V221" s="809"/>
      <c r="W221" s="809"/>
      <c r="X221" s="809"/>
      <c r="Y221" s="809"/>
      <c r="Z221" s="809"/>
      <c r="AA221" s="809"/>
    </row>
    <row r="222" spans="1:27" ht="15.75" customHeight="1">
      <c r="A222" s="719"/>
      <c r="B222" s="809"/>
      <c r="C222" s="809"/>
      <c r="D222" s="809"/>
      <c r="E222" s="809"/>
      <c r="F222" s="809"/>
      <c r="G222" s="809"/>
      <c r="H222" s="809"/>
      <c r="I222" s="809"/>
      <c r="J222" s="809"/>
      <c r="K222" s="809"/>
      <c r="L222" s="809"/>
      <c r="M222" s="809"/>
      <c r="N222" s="809"/>
      <c r="O222" s="809"/>
      <c r="P222" s="809"/>
      <c r="Q222" s="809"/>
      <c r="R222" s="809"/>
      <c r="S222" s="809"/>
      <c r="T222" s="809"/>
      <c r="U222" s="809"/>
      <c r="V222" s="809"/>
      <c r="W222" s="809"/>
      <c r="X222" s="809"/>
      <c r="Y222" s="809"/>
      <c r="Z222" s="809"/>
      <c r="AA222" s="809"/>
    </row>
    <row r="223" spans="1:27" ht="15.75" customHeight="1">
      <c r="A223" s="719"/>
      <c r="B223" s="809"/>
      <c r="C223" s="809"/>
      <c r="D223" s="809"/>
      <c r="E223" s="809"/>
      <c r="F223" s="809"/>
      <c r="G223" s="809"/>
      <c r="H223" s="809"/>
      <c r="I223" s="809"/>
      <c r="J223" s="809"/>
      <c r="K223" s="809"/>
      <c r="L223" s="809"/>
      <c r="M223" s="809"/>
      <c r="N223" s="809"/>
      <c r="O223" s="809"/>
      <c r="P223" s="809"/>
      <c r="Q223" s="809"/>
      <c r="R223" s="809"/>
      <c r="S223" s="809"/>
      <c r="T223" s="809"/>
      <c r="U223" s="809"/>
      <c r="V223" s="809"/>
      <c r="W223" s="809"/>
      <c r="X223" s="809"/>
      <c r="Y223" s="809"/>
      <c r="Z223" s="809"/>
      <c r="AA223" s="809"/>
    </row>
    <row r="224" spans="1:27" ht="15.75" customHeight="1">
      <c r="A224" s="719"/>
      <c r="B224" s="809"/>
      <c r="C224" s="809"/>
      <c r="D224" s="809"/>
      <c r="E224" s="809"/>
      <c r="F224" s="809"/>
      <c r="G224" s="809"/>
      <c r="H224" s="809"/>
      <c r="I224" s="809"/>
      <c r="J224" s="809"/>
      <c r="K224" s="809"/>
      <c r="L224" s="809"/>
      <c r="M224" s="809"/>
      <c r="N224" s="809"/>
      <c r="O224" s="809"/>
      <c r="P224" s="809"/>
      <c r="Q224" s="809"/>
      <c r="R224" s="809"/>
      <c r="S224" s="809"/>
      <c r="T224" s="809"/>
      <c r="U224" s="809"/>
      <c r="V224" s="809"/>
      <c r="W224" s="809"/>
      <c r="X224" s="809"/>
      <c r="Y224" s="809"/>
      <c r="Z224" s="809"/>
      <c r="AA224" s="809"/>
    </row>
    <row r="225" spans="1:27" ht="15.75" customHeight="1">
      <c r="A225" s="719"/>
      <c r="B225" s="809"/>
      <c r="C225" s="809"/>
      <c r="D225" s="809"/>
      <c r="E225" s="809"/>
      <c r="F225" s="809"/>
      <c r="G225" s="809"/>
      <c r="H225" s="809"/>
      <c r="I225" s="809"/>
      <c r="J225" s="809"/>
      <c r="K225" s="809"/>
      <c r="L225" s="809"/>
      <c r="M225" s="809"/>
      <c r="N225" s="809"/>
      <c r="O225" s="809"/>
      <c r="P225" s="809"/>
      <c r="Q225" s="809"/>
      <c r="R225" s="809"/>
      <c r="S225" s="809"/>
      <c r="T225" s="809"/>
      <c r="U225" s="809"/>
      <c r="V225" s="809"/>
      <c r="W225" s="809"/>
      <c r="X225" s="809"/>
      <c r="Y225" s="809"/>
      <c r="Z225" s="809"/>
      <c r="AA225" s="809"/>
    </row>
    <row r="226" spans="1:27" ht="15.75" customHeight="1">
      <c r="A226" s="719"/>
      <c r="B226" s="809"/>
      <c r="C226" s="809"/>
      <c r="D226" s="809"/>
      <c r="E226" s="809"/>
      <c r="F226" s="809"/>
      <c r="G226" s="809"/>
      <c r="H226" s="809"/>
      <c r="I226" s="809"/>
      <c r="J226" s="809"/>
      <c r="K226" s="809"/>
      <c r="L226" s="809"/>
      <c r="M226" s="809"/>
      <c r="N226" s="809"/>
      <c r="O226" s="809"/>
      <c r="P226" s="809"/>
      <c r="Q226" s="809"/>
      <c r="R226" s="809"/>
      <c r="S226" s="809"/>
      <c r="T226" s="809"/>
      <c r="U226" s="809"/>
      <c r="V226" s="809"/>
      <c r="W226" s="809"/>
      <c r="X226" s="809"/>
      <c r="Y226" s="809"/>
      <c r="Z226" s="809"/>
      <c r="AA226" s="809"/>
    </row>
    <row r="227" spans="1:27" ht="15.75" customHeight="1">
      <c r="A227" s="719"/>
      <c r="B227" s="809"/>
      <c r="C227" s="809"/>
      <c r="D227" s="809"/>
      <c r="E227" s="809"/>
      <c r="F227" s="809"/>
      <c r="G227" s="809"/>
      <c r="H227" s="809"/>
      <c r="I227" s="809"/>
      <c r="J227" s="809"/>
      <c r="K227" s="809"/>
      <c r="L227" s="809"/>
      <c r="M227" s="809"/>
      <c r="N227" s="809"/>
      <c r="O227" s="809"/>
      <c r="P227" s="809"/>
      <c r="Q227" s="809"/>
      <c r="R227" s="809"/>
      <c r="S227" s="809"/>
      <c r="T227" s="809"/>
      <c r="U227" s="809"/>
      <c r="V227" s="809"/>
      <c r="W227" s="809"/>
      <c r="X227" s="809"/>
      <c r="Y227" s="809"/>
      <c r="Z227" s="809"/>
      <c r="AA227" s="809"/>
    </row>
    <row r="228" spans="1:27" ht="15.75" customHeight="1">
      <c r="A228" s="719"/>
      <c r="B228" s="809"/>
      <c r="C228" s="809"/>
      <c r="D228" s="809"/>
      <c r="E228" s="809"/>
      <c r="F228" s="809"/>
      <c r="G228" s="809"/>
      <c r="H228" s="809"/>
      <c r="I228" s="809"/>
      <c r="J228" s="809"/>
      <c r="K228" s="809"/>
      <c r="L228" s="809"/>
      <c r="M228" s="809"/>
      <c r="N228" s="809"/>
      <c r="O228" s="809"/>
      <c r="P228" s="809"/>
      <c r="Q228" s="809"/>
      <c r="R228" s="809"/>
      <c r="S228" s="809"/>
      <c r="T228" s="809"/>
      <c r="U228" s="809"/>
      <c r="V228" s="809"/>
      <c r="W228" s="809"/>
      <c r="X228" s="809"/>
      <c r="Y228" s="809"/>
      <c r="Z228" s="809"/>
      <c r="AA228" s="809"/>
    </row>
    <row r="229" spans="1:27" ht="15.75" customHeight="1">
      <c r="A229" s="719"/>
      <c r="B229" s="809"/>
      <c r="C229" s="809"/>
      <c r="D229" s="809"/>
      <c r="E229" s="809"/>
      <c r="F229" s="809"/>
      <c r="G229" s="809"/>
      <c r="H229" s="809"/>
      <c r="I229" s="809"/>
      <c r="J229" s="809"/>
      <c r="K229" s="809"/>
      <c r="L229" s="809"/>
      <c r="M229" s="809"/>
      <c r="N229" s="809"/>
      <c r="O229" s="809"/>
      <c r="P229" s="809"/>
      <c r="Q229" s="809"/>
      <c r="R229" s="809"/>
      <c r="S229" s="809"/>
      <c r="T229" s="809"/>
      <c r="U229" s="809"/>
      <c r="V229" s="809"/>
      <c r="W229" s="809"/>
      <c r="X229" s="809"/>
      <c r="Y229" s="809"/>
      <c r="Z229" s="809"/>
      <c r="AA229" s="809"/>
    </row>
    <row r="230" spans="1:27" ht="15.75" customHeight="1">
      <c r="A230" s="719"/>
      <c r="B230" s="809"/>
      <c r="C230" s="809"/>
      <c r="D230" s="809"/>
      <c r="E230" s="809"/>
      <c r="F230" s="809"/>
      <c r="G230" s="809"/>
      <c r="H230" s="809"/>
      <c r="I230" s="809"/>
      <c r="J230" s="809"/>
      <c r="K230" s="809"/>
      <c r="L230" s="809"/>
      <c r="M230" s="809"/>
      <c r="N230" s="809"/>
      <c r="O230" s="809"/>
      <c r="P230" s="809"/>
      <c r="Q230" s="809"/>
      <c r="R230" s="809"/>
      <c r="S230" s="809"/>
      <c r="T230" s="809"/>
      <c r="U230" s="809"/>
      <c r="V230" s="809"/>
      <c r="W230" s="809"/>
      <c r="X230" s="809"/>
      <c r="Y230" s="809"/>
      <c r="Z230" s="809"/>
      <c r="AA230" s="809"/>
    </row>
    <row r="231" spans="1:27" ht="15.75" customHeight="1"/>
    <row r="232" spans="1:27" ht="15.75" customHeight="1"/>
    <row r="233" spans="1:27" ht="15.75" customHeight="1"/>
    <row r="234" spans="1:27" ht="15.75" customHeight="1"/>
    <row r="235" spans="1:27" ht="15.75" customHeight="1"/>
    <row r="236" spans="1:27" ht="15.75" customHeight="1"/>
    <row r="237" spans="1:27" ht="15.75" customHeight="1"/>
    <row r="238" spans="1:27" ht="15.75" customHeight="1"/>
    <row r="239" spans="1:27" ht="15.75" customHeight="1"/>
    <row r="240" spans="1:27" ht="15.75" customHeight="1"/>
    <row r="241" customFormat="1" ht="15.75" customHeight="1"/>
    <row r="242" customFormat="1" ht="15.75" customHeight="1"/>
    <row r="243" customFormat="1" ht="15.75" customHeight="1"/>
    <row r="244" customFormat="1" ht="15.75" customHeight="1"/>
    <row r="245" customFormat="1" ht="15.75" customHeight="1"/>
    <row r="246" customFormat="1" ht="15.75" customHeight="1"/>
    <row r="247" customFormat="1" ht="15.75" customHeight="1"/>
    <row r="248" customFormat="1" ht="15.75" customHeight="1"/>
    <row r="249" customFormat="1" ht="15.75" customHeight="1"/>
    <row r="250" customFormat="1" ht="15.75" customHeight="1"/>
    <row r="251" customFormat="1" ht="15.75" customHeight="1"/>
    <row r="252" customFormat="1" ht="15.75" customHeight="1"/>
    <row r="253" customFormat="1" ht="15.75" customHeight="1"/>
    <row r="254" customFormat="1" ht="15.75" customHeight="1"/>
    <row r="255" customFormat="1" ht="15.75" customHeight="1"/>
    <row r="256" customFormat="1" ht="15.75" customHeight="1"/>
    <row r="257" customFormat="1" ht="15.75" customHeight="1"/>
    <row r="258" customFormat="1" ht="15.75" customHeight="1"/>
    <row r="259" customFormat="1" ht="15.75" customHeight="1"/>
    <row r="260" customFormat="1" ht="15.75" customHeight="1"/>
    <row r="261" customFormat="1" ht="15.75" customHeight="1"/>
    <row r="262" customFormat="1" ht="15.75" customHeight="1"/>
    <row r="263" customFormat="1" ht="15.75" customHeight="1"/>
    <row r="264" customFormat="1" ht="15.75" customHeight="1"/>
    <row r="265" customFormat="1" ht="15.75" customHeight="1"/>
    <row r="266" customFormat="1" ht="15.75" customHeight="1"/>
    <row r="267" customFormat="1" ht="15.75" customHeight="1"/>
    <row r="268" customFormat="1" ht="15.75" customHeight="1"/>
    <row r="269" customFormat="1" ht="15.75" customHeight="1"/>
    <row r="270" customFormat="1" ht="15.75" customHeight="1"/>
    <row r="271" customFormat="1" ht="15.75" customHeight="1"/>
    <row r="272" customFormat="1" ht="15.75" customHeight="1"/>
    <row r="273" customFormat="1" ht="15.75" customHeight="1"/>
    <row r="274" customFormat="1" ht="15.75" customHeight="1"/>
    <row r="275" customFormat="1" ht="15.75" customHeight="1"/>
    <row r="276" customFormat="1" ht="15.75" customHeight="1"/>
    <row r="277" customFormat="1" ht="15.75" customHeight="1"/>
    <row r="278" customFormat="1" ht="15.75" customHeight="1"/>
    <row r="279" customFormat="1" ht="15.75" customHeight="1"/>
    <row r="280" customFormat="1" ht="15.75" customHeight="1"/>
    <row r="281" customFormat="1" ht="15.75" customHeight="1"/>
    <row r="282" customFormat="1" ht="15.75" customHeight="1"/>
    <row r="283" customFormat="1" ht="15.75" customHeight="1"/>
    <row r="284" customFormat="1" ht="15.75" customHeight="1"/>
    <row r="285" customFormat="1" ht="15.75" customHeight="1"/>
    <row r="286" customFormat="1" ht="15.75" customHeight="1"/>
    <row r="287" customFormat="1" ht="15.75" customHeight="1"/>
    <row r="288" customFormat="1" ht="15.75" customHeight="1"/>
    <row r="289" customFormat="1" ht="15.75" customHeight="1"/>
    <row r="290" customFormat="1" ht="15.75" customHeight="1"/>
    <row r="291" customFormat="1" ht="15.75" customHeight="1"/>
    <row r="292" customFormat="1" ht="15.75" customHeight="1"/>
    <row r="293" customFormat="1" ht="15.75" customHeight="1"/>
    <row r="294" customFormat="1" ht="15.75" customHeight="1"/>
    <row r="295" customFormat="1" ht="15.75" customHeight="1"/>
    <row r="296" customFormat="1" ht="15.75" customHeight="1"/>
    <row r="297" customFormat="1" ht="15.75" customHeight="1"/>
    <row r="298" customFormat="1" ht="15.75" customHeight="1"/>
    <row r="299" customFormat="1" ht="15.75" customHeight="1"/>
    <row r="300" customFormat="1" ht="15.75" customHeight="1"/>
    <row r="301" customFormat="1" ht="15.75" customHeight="1"/>
    <row r="302" customFormat="1" ht="15.75" customHeight="1"/>
    <row r="303" customFormat="1" ht="15.75" customHeight="1"/>
    <row r="304" customFormat="1" ht="15.75" customHeight="1"/>
    <row r="305" customFormat="1" ht="15.75" customHeight="1"/>
    <row r="306" customFormat="1" ht="15.75" customHeight="1"/>
    <row r="307" customFormat="1" ht="15.75" customHeight="1"/>
    <row r="308" customFormat="1" ht="15.75" customHeight="1"/>
    <row r="309" customFormat="1" ht="15.75" customHeight="1"/>
    <row r="310" customFormat="1" ht="15.75" customHeight="1"/>
    <row r="311" customFormat="1" ht="15.75" customHeight="1"/>
    <row r="312" customFormat="1" ht="15.75" customHeight="1"/>
    <row r="313" customFormat="1" ht="15.75" customHeight="1"/>
    <row r="314" customFormat="1" ht="15.75" customHeight="1"/>
    <row r="315" customFormat="1" ht="15.75" customHeight="1"/>
    <row r="316" customFormat="1" ht="15.75" customHeight="1"/>
    <row r="317" customFormat="1" ht="15.75" customHeight="1"/>
    <row r="318" customFormat="1" ht="15.75" customHeight="1"/>
    <row r="319" customFormat="1" ht="15.75" customHeight="1"/>
    <row r="320" customFormat="1" ht="15.75" customHeight="1"/>
    <row r="321" customFormat="1" ht="15.75" customHeight="1"/>
    <row r="322" customFormat="1" ht="15.75" customHeight="1"/>
    <row r="323" customFormat="1" ht="15.75" customHeight="1"/>
    <row r="324" customFormat="1" ht="15.75" customHeight="1"/>
    <row r="325" customFormat="1" ht="15.75" customHeight="1"/>
    <row r="326" customFormat="1" ht="15.75" customHeight="1"/>
    <row r="327" customFormat="1" ht="15.75" customHeight="1"/>
    <row r="328" customFormat="1" ht="15.75" customHeight="1"/>
    <row r="329" customFormat="1" ht="15.75" customHeight="1"/>
    <row r="330" customFormat="1" ht="15.75" customHeight="1"/>
    <row r="331" customFormat="1" ht="15.75" customHeight="1"/>
    <row r="332" customFormat="1" ht="15.75" customHeight="1"/>
    <row r="333" customFormat="1" ht="15.75" customHeight="1"/>
    <row r="334" customFormat="1" ht="15.75" customHeight="1"/>
    <row r="335" customFormat="1" ht="15.75" customHeight="1"/>
    <row r="336" customFormat="1" ht="15.75" customHeight="1"/>
    <row r="337" customFormat="1" ht="15.75" customHeight="1"/>
    <row r="338" customFormat="1" ht="15.75" customHeight="1"/>
    <row r="339" customFormat="1" ht="15.75" customHeight="1"/>
    <row r="340" customFormat="1" ht="15.75" customHeight="1"/>
    <row r="341" customFormat="1" ht="15.75" customHeight="1"/>
    <row r="342" customFormat="1" ht="15.75" customHeight="1"/>
    <row r="343" customFormat="1" ht="15.75" customHeight="1"/>
    <row r="344" customFormat="1" ht="15.75" customHeight="1"/>
    <row r="345" customFormat="1" ht="15.75" customHeight="1"/>
    <row r="346" customFormat="1" ht="15.75" customHeight="1"/>
    <row r="347" customFormat="1" ht="15.75" customHeight="1"/>
    <row r="348" customFormat="1" ht="15.75" customHeight="1"/>
    <row r="349" customFormat="1" ht="15.75" customHeight="1"/>
    <row r="350" customFormat="1" ht="15.75" customHeight="1"/>
    <row r="351" customFormat="1" ht="15.75" customHeight="1"/>
    <row r="352" customFormat="1" ht="15.75" customHeight="1"/>
    <row r="353" customFormat="1" ht="15.75" customHeight="1"/>
    <row r="354" customFormat="1" ht="15.75" customHeight="1"/>
    <row r="355" customFormat="1" ht="15.75" customHeight="1"/>
    <row r="356" customFormat="1" ht="15.75" customHeight="1"/>
    <row r="357" customFormat="1" ht="15.75" customHeight="1"/>
    <row r="358" customFormat="1" ht="15.75" customHeight="1"/>
    <row r="359" customFormat="1" ht="15.75" customHeight="1"/>
    <row r="360" customFormat="1" ht="15.75" customHeight="1"/>
    <row r="361" customFormat="1" ht="15.75" customHeight="1"/>
    <row r="362" customFormat="1" ht="15.75" customHeight="1"/>
    <row r="363" customFormat="1" ht="15.75" customHeight="1"/>
    <row r="364" customFormat="1" ht="15.75" customHeight="1"/>
    <row r="365" customFormat="1" ht="15.75" customHeight="1"/>
    <row r="366" customFormat="1" ht="15.75" customHeight="1"/>
    <row r="367" customFormat="1" ht="15.75" customHeight="1"/>
    <row r="368" customFormat="1" ht="15.75" customHeight="1"/>
    <row r="369" customFormat="1" ht="15.75" customHeight="1"/>
    <row r="370" customFormat="1" ht="15.75" customHeight="1"/>
    <row r="371" customFormat="1" ht="15.75" customHeight="1"/>
    <row r="372" customFormat="1" ht="15.75" customHeight="1"/>
    <row r="373" customFormat="1" ht="15.75" customHeight="1"/>
    <row r="374" customFormat="1" ht="15.75" customHeight="1"/>
    <row r="375" customFormat="1" ht="15.75" customHeight="1"/>
    <row r="376" customFormat="1" ht="15.75" customHeight="1"/>
    <row r="377" customFormat="1" ht="15.75" customHeight="1"/>
    <row r="378" customFormat="1" ht="15.75" customHeight="1"/>
    <row r="379" customFormat="1" ht="15.75" customHeight="1"/>
    <row r="380" customFormat="1" ht="15.75" customHeight="1"/>
    <row r="381" customFormat="1" ht="15.75" customHeight="1"/>
    <row r="382" customFormat="1" ht="15.75" customHeight="1"/>
    <row r="383" customFormat="1" ht="15.75" customHeight="1"/>
    <row r="384" customFormat="1" ht="15.75" customHeight="1"/>
    <row r="385" customFormat="1" ht="15.75" customHeight="1"/>
    <row r="386" customFormat="1" ht="15.75" customHeight="1"/>
    <row r="387" customFormat="1" ht="15.75" customHeight="1"/>
    <row r="388" customFormat="1" ht="15.75" customHeight="1"/>
    <row r="389" customFormat="1" ht="15.75" customHeight="1"/>
    <row r="390" customFormat="1" ht="15.75" customHeight="1"/>
    <row r="391" customFormat="1" ht="15.75" customHeight="1"/>
    <row r="392" customFormat="1" ht="15.75" customHeight="1"/>
    <row r="393" customFormat="1" ht="15.75" customHeight="1"/>
    <row r="394" customFormat="1" ht="15.75" customHeight="1"/>
    <row r="395" customFormat="1" ht="15.75" customHeight="1"/>
    <row r="396" customFormat="1" ht="15.75" customHeight="1"/>
    <row r="397" customFormat="1" ht="15.75" customHeight="1"/>
    <row r="398" customFormat="1" ht="15.75" customHeight="1"/>
    <row r="399" customFormat="1" ht="15.75" customHeight="1"/>
    <row r="400" customFormat="1" ht="15.75" customHeight="1"/>
    <row r="401" customFormat="1" ht="15.75" customHeight="1"/>
    <row r="402" customFormat="1" ht="15.75" customHeight="1"/>
    <row r="403" customFormat="1" ht="15.75" customHeight="1"/>
    <row r="404" customFormat="1" ht="15.75" customHeight="1"/>
    <row r="405" customFormat="1" ht="15.75" customHeight="1"/>
    <row r="406" customFormat="1" ht="15.75" customHeight="1"/>
    <row r="407" customFormat="1" ht="15.75" customHeight="1"/>
    <row r="408" customFormat="1" ht="15.75" customHeight="1"/>
    <row r="409" customFormat="1" ht="15.75" customHeight="1"/>
    <row r="410" customFormat="1" ht="15.75" customHeight="1"/>
    <row r="411" customFormat="1" ht="15.75" customHeight="1"/>
    <row r="412" customFormat="1" ht="15.75" customHeight="1"/>
    <row r="413" customFormat="1" ht="15.75" customHeight="1"/>
    <row r="414" customFormat="1" ht="15.75" customHeight="1"/>
    <row r="415" customFormat="1" ht="15.75" customHeight="1"/>
    <row r="416" customFormat="1" ht="15.75" customHeight="1"/>
    <row r="417" customFormat="1" ht="15.75" customHeight="1"/>
    <row r="418" customFormat="1" ht="15.75" customHeight="1"/>
    <row r="419" customFormat="1" ht="15.75" customHeight="1"/>
    <row r="420" customFormat="1" ht="15.75" customHeight="1"/>
    <row r="421" customFormat="1" ht="15.75" customHeight="1"/>
    <row r="422" customFormat="1" ht="15.75" customHeight="1"/>
    <row r="423" customFormat="1" ht="15.75" customHeight="1"/>
    <row r="424" customFormat="1" ht="15.75" customHeight="1"/>
    <row r="425" customFormat="1" ht="15.75" customHeight="1"/>
    <row r="426" customFormat="1" ht="15.75" customHeight="1"/>
    <row r="427" customFormat="1" ht="15.75" customHeight="1"/>
    <row r="428" customFormat="1" ht="15.75" customHeight="1"/>
    <row r="429" customFormat="1" ht="15.75" customHeight="1"/>
    <row r="430" customFormat="1" ht="15.75" customHeight="1"/>
    <row r="431" customFormat="1" ht="15.75" customHeight="1"/>
    <row r="432" customFormat="1" ht="15.75" customHeight="1"/>
    <row r="433" customFormat="1" ht="15.75" customHeight="1"/>
    <row r="434" customFormat="1" ht="15.75" customHeight="1"/>
    <row r="435" customFormat="1" ht="15.75" customHeight="1"/>
    <row r="436" customFormat="1" ht="15.75" customHeight="1"/>
    <row r="437" customFormat="1" ht="15.75" customHeight="1"/>
    <row r="438" customFormat="1" ht="15.75" customHeight="1"/>
    <row r="439" customFormat="1" ht="15.75" customHeight="1"/>
    <row r="440" customFormat="1" ht="15.75" customHeight="1"/>
    <row r="441" customFormat="1" ht="15.75" customHeight="1"/>
    <row r="442" customFormat="1" ht="15.75" customHeight="1"/>
    <row r="443" customFormat="1" ht="15.75" customHeight="1"/>
    <row r="444" customFormat="1" ht="15.75" customHeight="1"/>
    <row r="445" customFormat="1" ht="15.75" customHeight="1"/>
    <row r="446" customFormat="1" ht="15.75" customHeight="1"/>
    <row r="447" customFormat="1" ht="15.75" customHeight="1"/>
    <row r="448" customFormat="1" ht="15.75" customHeight="1"/>
    <row r="449" customFormat="1" ht="15.75" customHeight="1"/>
    <row r="450" customFormat="1" ht="15.75" customHeight="1"/>
    <row r="451" customFormat="1" ht="15.75" customHeight="1"/>
    <row r="452" customFormat="1" ht="15.75" customHeight="1"/>
    <row r="453" customFormat="1" ht="15.75" customHeight="1"/>
    <row r="454" customFormat="1" ht="15.75" customHeight="1"/>
    <row r="455" customFormat="1" ht="15.75" customHeight="1"/>
    <row r="456" customFormat="1" ht="15.75" customHeight="1"/>
    <row r="457" customFormat="1" ht="15.75" customHeight="1"/>
    <row r="458" customFormat="1" ht="15.75" customHeight="1"/>
    <row r="459" customFormat="1" ht="15.75" customHeight="1"/>
    <row r="460" customFormat="1" ht="15.75" customHeight="1"/>
    <row r="461" customFormat="1" ht="15.75" customHeight="1"/>
    <row r="462" customFormat="1" ht="15.75" customHeight="1"/>
    <row r="463" customFormat="1" ht="15.75" customHeight="1"/>
    <row r="464" customFormat="1" ht="15.75" customHeight="1"/>
    <row r="465" customFormat="1" ht="15.75" customHeight="1"/>
    <row r="466" customFormat="1" ht="15.75" customHeight="1"/>
    <row r="467" customFormat="1" ht="15.75" customHeight="1"/>
    <row r="468" customFormat="1" ht="15.75" customHeight="1"/>
    <row r="469" customFormat="1" ht="15.75" customHeight="1"/>
    <row r="470" customFormat="1" ht="15.75" customHeight="1"/>
    <row r="471" customFormat="1" ht="15.75" customHeight="1"/>
    <row r="472" customFormat="1" ht="15.75" customHeight="1"/>
    <row r="473" customFormat="1" ht="15.75" customHeight="1"/>
    <row r="474" customFormat="1" ht="15.75" customHeight="1"/>
    <row r="475" customFormat="1" ht="15.75" customHeight="1"/>
    <row r="476" customFormat="1" ht="15.75" customHeight="1"/>
    <row r="477" customFormat="1" ht="15.75" customHeight="1"/>
    <row r="478" customFormat="1" ht="15.75" customHeight="1"/>
    <row r="479" customFormat="1" ht="15.75" customHeight="1"/>
    <row r="480" customFormat="1" ht="15.75" customHeight="1"/>
    <row r="481" customFormat="1" ht="15.75" customHeight="1"/>
    <row r="482" customFormat="1" ht="15.75" customHeight="1"/>
    <row r="483" customFormat="1" ht="15.75" customHeight="1"/>
    <row r="484" customFormat="1" ht="15.75" customHeight="1"/>
    <row r="485" customFormat="1" ht="15.75" customHeight="1"/>
    <row r="486" customFormat="1" ht="15.75" customHeight="1"/>
    <row r="487" customFormat="1" ht="15.75" customHeight="1"/>
    <row r="488" customFormat="1" ht="15.75" customHeight="1"/>
    <row r="489" customFormat="1" ht="15.75" customHeight="1"/>
    <row r="490" customFormat="1" ht="15.75" customHeight="1"/>
    <row r="491" customFormat="1" ht="15.75" customHeight="1"/>
    <row r="492" customFormat="1" ht="15.75" customHeight="1"/>
    <row r="493" customFormat="1" ht="15.75" customHeight="1"/>
    <row r="494" customFormat="1" ht="15.75" customHeight="1"/>
    <row r="495" customFormat="1" ht="15.75" customHeight="1"/>
    <row r="496" customFormat="1" ht="15.75" customHeight="1"/>
    <row r="497" customFormat="1" ht="15.75" customHeight="1"/>
    <row r="498" customFormat="1" ht="15.75" customHeight="1"/>
    <row r="499" customFormat="1" ht="15.75" customHeight="1"/>
    <row r="500" customFormat="1" ht="15.75" customHeight="1"/>
    <row r="501" customFormat="1" ht="15.75" customHeight="1"/>
    <row r="502" customFormat="1" ht="15.75" customHeight="1"/>
    <row r="503" customFormat="1" ht="15.75" customHeight="1"/>
    <row r="504" customFormat="1" ht="15.75" customHeight="1"/>
    <row r="505" customFormat="1" ht="15.75" customHeight="1"/>
    <row r="506" customFormat="1" ht="15.75" customHeight="1"/>
    <row r="507" customFormat="1" ht="15.75" customHeight="1"/>
    <row r="508" customFormat="1" ht="15.75" customHeight="1"/>
    <row r="509" customFormat="1" ht="15.75" customHeight="1"/>
    <row r="510" customFormat="1" ht="15.75" customHeight="1"/>
    <row r="511" customFormat="1" ht="15.75" customHeight="1"/>
    <row r="512" customFormat="1" ht="15.75" customHeight="1"/>
    <row r="513" customFormat="1" ht="15.75" customHeight="1"/>
    <row r="514" customFormat="1" ht="15.75" customHeight="1"/>
    <row r="515" customFormat="1" ht="15.75" customHeight="1"/>
    <row r="516" customFormat="1" ht="15.75" customHeight="1"/>
    <row r="517" customFormat="1" ht="15.75" customHeight="1"/>
    <row r="518" customFormat="1" ht="15.75" customHeight="1"/>
    <row r="519" customFormat="1" ht="15.75" customHeight="1"/>
    <row r="520" customFormat="1" ht="15.75" customHeight="1"/>
    <row r="521" customFormat="1" ht="15.75" customHeight="1"/>
    <row r="522" customFormat="1" ht="15.75" customHeight="1"/>
    <row r="523" customFormat="1" ht="15.75" customHeight="1"/>
    <row r="524" customFormat="1" ht="15.75" customHeight="1"/>
    <row r="525" customFormat="1" ht="15.75" customHeight="1"/>
    <row r="526" customFormat="1" ht="15.75" customHeight="1"/>
    <row r="527" customFormat="1" ht="15.75" customHeight="1"/>
    <row r="528" customFormat="1" ht="15.75" customHeight="1"/>
    <row r="529" customFormat="1" ht="15.75" customHeight="1"/>
    <row r="530" customFormat="1" ht="15.75" customHeight="1"/>
    <row r="531" customFormat="1" ht="15.75" customHeight="1"/>
    <row r="532" customFormat="1" ht="15.75" customHeight="1"/>
    <row r="533" customFormat="1" ht="15.75" customHeight="1"/>
    <row r="534" customFormat="1" ht="15.75" customHeight="1"/>
    <row r="535" customFormat="1" ht="15.75" customHeight="1"/>
    <row r="536" customFormat="1" ht="15.75" customHeight="1"/>
    <row r="537" customFormat="1" ht="15.75" customHeight="1"/>
    <row r="538" customFormat="1" ht="15.75" customHeight="1"/>
    <row r="539" customFormat="1" ht="15.75" customHeight="1"/>
    <row r="540" customFormat="1" ht="15.75" customHeight="1"/>
    <row r="541" customFormat="1" ht="15.75" customHeight="1"/>
    <row r="542" customFormat="1" ht="15.75" customHeight="1"/>
    <row r="543" customFormat="1" ht="15.75" customHeight="1"/>
    <row r="544" customFormat="1" ht="15.75" customHeight="1"/>
    <row r="545" customFormat="1" ht="15.75" customHeight="1"/>
    <row r="546" customFormat="1" ht="15.75" customHeight="1"/>
    <row r="547" customFormat="1" ht="15.75" customHeight="1"/>
    <row r="548" customFormat="1" ht="15.75" customHeight="1"/>
    <row r="549" customFormat="1" ht="15.75" customHeight="1"/>
    <row r="550" customFormat="1" ht="15.75" customHeight="1"/>
    <row r="551" customFormat="1" ht="15.75" customHeight="1"/>
    <row r="552" customFormat="1" ht="15.75" customHeight="1"/>
    <row r="553" customFormat="1" ht="15.75" customHeight="1"/>
    <row r="554" customFormat="1" ht="15.75" customHeight="1"/>
    <row r="555" customFormat="1" ht="15.75" customHeight="1"/>
    <row r="556" customFormat="1" ht="15.75" customHeight="1"/>
    <row r="557" customFormat="1" ht="15.75" customHeight="1"/>
    <row r="558" customFormat="1" ht="15.75" customHeight="1"/>
    <row r="559" customFormat="1" ht="15.75" customHeight="1"/>
    <row r="560" customFormat="1" ht="15.75" customHeight="1"/>
    <row r="561" customFormat="1" ht="15.75" customHeight="1"/>
    <row r="562" customFormat="1" ht="15.75" customHeight="1"/>
    <row r="563" customFormat="1" ht="15.75" customHeight="1"/>
    <row r="564" customFormat="1" ht="15.75" customHeight="1"/>
    <row r="565" customFormat="1" ht="15.75" customHeight="1"/>
    <row r="566" customFormat="1" ht="15.75" customHeight="1"/>
    <row r="567" customFormat="1" ht="15.75" customHeight="1"/>
    <row r="568" customFormat="1" ht="15.75" customHeight="1"/>
    <row r="569" customFormat="1" ht="15.75" customHeight="1"/>
    <row r="570" customFormat="1" ht="15.75" customHeight="1"/>
    <row r="571" customFormat="1" ht="15.75" customHeight="1"/>
    <row r="572" customFormat="1" ht="15.75" customHeight="1"/>
    <row r="573" customFormat="1" ht="15.75" customHeight="1"/>
    <row r="574" customFormat="1" ht="15.75" customHeight="1"/>
    <row r="575" customFormat="1" ht="15.75" customHeight="1"/>
    <row r="576" customFormat="1" ht="15.75" customHeight="1"/>
    <row r="577" customFormat="1" ht="15.75" customHeight="1"/>
    <row r="578" customFormat="1" ht="15.75" customHeight="1"/>
    <row r="579" customFormat="1" ht="15.75" customHeight="1"/>
    <row r="580" customFormat="1" ht="15.75" customHeight="1"/>
    <row r="581" customFormat="1" ht="15.75" customHeight="1"/>
    <row r="582" customFormat="1" ht="15.75" customHeight="1"/>
    <row r="583" customFormat="1" ht="15.75" customHeight="1"/>
    <row r="584" customFormat="1" ht="15.75" customHeight="1"/>
    <row r="585" customFormat="1" ht="15.75" customHeight="1"/>
    <row r="586" customFormat="1" ht="15.75" customHeight="1"/>
    <row r="587" customFormat="1" ht="15.75" customHeight="1"/>
    <row r="588" customFormat="1" ht="15.75" customHeight="1"/>
    <row r="589" customFormat="1" ht="15.75" customHeight="1"/>
    <row r="590" customFormat="1" ht="15.75" customHeight="1"/>
    <row r="591" customFormat="1" ht="15.75" customHeight="1"/>
    <row r="592" customFormat="1" ht="15.75" customHeight="1"/>
    <row r="593" customFormat="1" ht="15.75" customHeight="1"/>
    <row r="594" customFormat="1" ht="15.75" customHeight="1"/>
    <row r="595" customFormat="1" ht="15.75" customHeight="1"/>
    <row r="596" customFormat="1" ht="15.75" customHeight="1"/>
    <row r="597" customFormat="1" ht="15.75" customHeight="1"/>
    <row r="598" customFormat="1" ht="15.75" customHeight="1"/>
    <row r="599" customFormat="1" ht="15.75" customHeight="1"/>
    <row r="600" customFormat="1" ht="15.75" customHeight="1"/>
    <row r="601" customFormat="1" ht="15.75" customHeight="1"/>
    <row r="602" customFormat="1" ht="15.75" customHeight="1"/>
    <row r="603" customFormat="1" ht="15.75" customHeight="1"/>
    <row r="604" customFormat="1" ht="15.75" customHeight="1"/>
    <row r="605" customFormat="1" ht="15.75" customHeight="1"/>
    <row r="606" customFormat="1" ht="15.75" customHeight="1"/>
    <row r="607" customFormat="1" ht="15.75" customHeight="1"/>
    <row r="608" customFormat="1" ht="15.75" customHeight="1"/>
    <row r="609" customFormat="1" ht="15.75" customHeight="1"/>
    <row r="610" customFormat="1" ht="15.75" customHeight="1"/>
    <row r="611" customFormat="1" ht="15.75" customHeight="1"/>
    <row r="612" customFormat="1" ht="15.75" customHeight="1"/>
    <row r="613" customFormat="1" ht="15.75" customHeight="1"/>
    <row r="614" customFormat="1" ht="15.75" customHeight="1"/>
    <row r="615" customFormat="1" ht="15.75" customHeight="1"/>
    <row r="616" customFormat="1" ht="15.75" customHeight="1"/>
    <row r="617" customFormat="1" ht="15.75" customHeight="1"/>
    <row r="618" customFormat="1" ht="15.75" customHeight="1"/>
    <row r="619" customFormat="1" ht="15.75" customHeight="1"/>
    <row r="620" customFormat="1" ht="15.75" customHeight="1"/>
    <row r="621" customFormat="1" ht="15.75" customHeight="1"/>
    <row r="622" customFormat="1" ht="15.75" customHeight="1"/>
    <row r="623" customFormat="1" ht="15.75" customHeight="1"/>
    <row r="624" customFormat="1" ht="15.75" customHeight="1"/>
    <row r="625" customFormat="1" ht="15.75" customHeight="1"/>
    <row r="626" customFormat="1" ht="15.75" customHeight="1"/>
    <row r="627" customFormat="1" ht="15.75" customHeight="1"/>
    <row r="628" customFormat="1" ht="15.75" customHeight="1"/>
    <row r="629" customFormat="1" ht="15.75" customHeight="1"/>
    <row r="630" customFormat="1" ht="15.75" customHeight="1"/>
    <row r="631" customFormat="1" ht="15.75" customHeight="1"/>
    <row r="632" customFormat="1" ht="15.75" customHeight="1"/>
    <row r="633" customFormat="1" ht="15.75" customHeight="1"/>
    <row r="634" customFormat="1" ht="15.75" customHeight="1"/>
    <row r="635" customFormat="1" ht="15.75" customHeight="1"/>
    <row r="636" customFormat="1" ht="15.75" customHeight="1"/>
    <row r="637" customFormat="1" ht="15.75" customHeight="1"/>
    <row r="638" customFormat="1" ht="15.75" customHeight="1"/>
    <row r="639" customFormat="1" ht="15.75" customHeight="1"/>
    <row r="640" customFormat="1" ht="15.75" customHeight="1"/>
    <row r="641" customFormat="1" ht="15.75" customHeight="1"/>
    <row r="642" customFormat="1" ht="15.75" customHeight="1"/>
    <row r="643" customFormat="1" ht="15.75" customHeight="1"/>
    <row r="644" customFormat="1" ht="15.75" customHeight="1"/>
    <row r="645" customFormat="1" ht="15.75" customHeight="1"/>
    <row r="646" customFormat="1" ht="15.75" customHeight="1"/>
    <row r="647" customFormat="1" ht="15.75" customHeight="1"/>
    <row r="648" customFormat="1" ht="15.75" customHeight="1"/>
    <row r="649" customFormat="1" ht="15.75" customHeight="1"/>
    <row r="650" customFormat="1" ht="15.75" customHeight="1"/>
    <row r="651" customFormat="1" ht="15.75" customHeight="1"/>
    <row r="652" customFormat="1" ht="15.75" customHeight="1"/>
    <row r="653" customFormat="1" ht="15.75" customHeight="1"/>
    <row r="654" customFormat="1" ht="15.75" customHeight="1"/>
    <row r="655" customFormat="1" ht="15.75" customHeight="1"/>
    <row r="656" customFormat="1" ht="15.75" customHeight="1"/>
    <row r="657" customFormat="1" ht="15.75" customHeight="1"/>
    <row r="658" customFormat="1" ht="15.75" customHeight="1"/>
    <row r="659" customFormat="1" ht="15.75" customHeight="1"/>
    <row r="660" customFormat="1" ht="15.75" customHeight="1"/>
    <row r="661" customFormat="1" ht="15.75" customHeight="1"/>
    <row r="662" customFormat="1" ht="15.75" customHeight="1"/>
    <row r="663" customFormat="1" ht="15.75" customHeight="1"/>
    <row r="664" customFormat="1" ht="15.75" customHeight="1"/>
    <row r="665" customFormat="1" ht="15.75" customHeight="1"/>
    <row r="666" customFormat="1" ht="15.75" customHeight="1"/>
    <row r="667" customFormat="1" ht="15.75" customHeight="1"/>
    <row r="668" customFormat="1" ht="15.75" customHeight="1"/>
    <row r="669" customFormat="1" ht="15.75" customHeight="1"/>
    <row r="670" customFormat="1" ht="15.75" customHeight="1"/>
    <row r="671" customFormat="1" ht="15.75" customHeight="1"/>
    <row r="672" customFormat="1" ht="15.75" customHeight="1"/>
    <row r="673" customFormat="1" ht="15.75" customHeight="1"/>
    <row r="674" customFormat="1" ht="15.75" customHeight="1"/>
    <row r="675" customFormat="1" ht="15.75" customHeight="1"/>
    <row r="676" customFormat="1" ht="15.75" customHeight="1"/>
    <row r="677" customFormat="1" ht="15.75" customHeight="1"/>
    <row r="678" customFormat="1" ht="15.75" customHeight="1"/>
    <row r="679" customFormat="1" ht="15.75" customHeight="1"/>
    <row r="680" customFormat="1" ht="15.75" customHeight="1"/>
    <row r="681" customFormat="1" ht="15.75" customHeight="1"/>
    <row r="682" customFormat="1" ht="15.75" customHeight="1"/>
    <row r="683" customFormat="1" ht="15.75" customHeight="1"/>
    <row r="684" customFormat="1" ht="15.75" customHeight="1"/>
    <row r="685" customFormat="1" ht="15.75" customHeight="1"/>
    <row r="686" customFormat="1" ht="15.75" customHeight="1"/>
    <row r="687" customFormat="1" ht="15.75" customHeight="1"/>
    <row r="688" customFormat="1" ht="15.75" customHeight="1"/>
    <row r="689" customFormat="1" ht="15.75" customHeight="1"/>
    <row r="690" customFormat="1" ht="15.75" customHeight="1"/>
    <row r="691" customFormat="1" ht="15.75" customHeight="1"/>
    <row r="692" customFormat="1" ht="15.75" customHeight="1"/>
    <row r="693" customFormat="1" ht="15.75" customHeight="1"/>
    <row r="694" customFormat="1" ht="15.75" customHeight="1"/>
    <row r="695" customFormat="1" ht="15.75" customHeight="1"/>
    <row r="696" customFormat="1" ht="15.75" customHeight="1"/>
    <row r="697" customFormat="1" ht="15.75" customHeight="1"/>
    <row r="698" customFormat="1" ht="15.75" customHeight="1"/>
    <row r="699" customFormat="1" ht="15.75" customHeight="1"/>
    <row r="700" customFormat="1" ht="15.75" customHeight="1"/>
    <row r="701" customFormat="1" ht="15.75" customHeight="1"/>
    <row r="702" customFormat="1" ht="15.75" customHeight="1"/>
    <row r="703" customFormat="1" ht="15.75" customHeight="1"/>
    <row r="704" customFormat="1" ht="15.75" customHeight="1"/>
    <row r="705" customFormat="1" ht="15.75" customHeight="1"/>
    <row r="706" customFormat="1" ht="15.75" customHeight="1"/>
    <row r="707" customFormat="1" ht="15.75" customHeight="1"/>
    <row r="708" customFormat="1" ht="15.75" customHeight="1"/>
    <row r="709" customFormat="1" ht="15.75" customHeight="1"/>
    <row r="710" customFormat="1" ht="15.75" customHeight="1"/>
    <row r="711" customFormat="1" ht="15.75" customHeight="1"/>
    <row r="712" customFormat="1" ht="15.75" customHeight="1"/>
    <row r="713" customFormat="1" ht="15.75" customHeight="1"/>
    <row r="714" customFormat="1" ht="15.75" customHeight="1"/>
    <row r="715" customFormat="1" ht="15.75" customHeight="1"/>
    <row r="716" customFormat="1" ht="15.75" customHeight="1"/>
    <row r="717" customFormat="1" ht="15.75" customHeight="1"/>
    <row r="718" customFormat="1" ht="15.75" customHeight="1"/>
    <row r="719" customFormat="1" ht="15.75" customHeight="1"/>
    <row r="720" customFormat="1" ht="15.75" customHeight="1"/>
    <row r="721" customFormat="1" ht="15.75" customHeight="1"/>
    <row r="722" customFormat="1" ht="15.75" customHeight="1"/>
    <row r="723" customFormat="1" ht="15.75" customHeight="1"/>
    <row r="724" customFormat="1" ht="15.75" customHeight="1"/>
    <row r="725" customFormat="1" ht="15.75" customHeight="1"/>
    <row r="726" customFormat="1" ht="15.75" customHeight="1"/>
    <row r="727" customFormat="1" ht="15.75" customHeight="1"/>
    <row r="728" customFormat="1" ht="15.75" customHeight="1"/>
    <row r="729" customFormat="1" ht="15.75" customHeight="1"/>
    <row r="730" customFormat="1" ht="15.75" customHeight="1"/>
    <row r="731" customFormat="1" ht="15.75" customHeight="1"/>
    <row r="732" customFormat="1" ht="15.75" customHeight="1"/>
    <row r="733" customFormat="1" ht="15.75" customHeight="1"/>
    <row r="734" customFormat="1" ht="15.75" customHeight="1"/>
    <row r="735" customFormat="1" ht="15.75" customHeight="1"/>
    <row r="736" customFormat="1" ht="15.75" customHeight="1"/>
    <row r="737" customFormat="1" ht="15.75" customHeight="1"/>
    <row r="738" customFormat="1" ht="15.75" customHeight="1"/>
    <row r="739" customFormat="1" ht="15.75" customHeight="1"/>
    <row r="740" customFormat="1" ht="15.75" customHeight="1"/>
    <row r="741" customFormat="1" ht="15.75" customHeight="1"/>
    <row r="742" customFormat="1" ht="15.75" customHeight="1"/>
    <row r="743" customFormat="1" ht="15.75" customHeight="1"/>
    <row r="744" customFormat="1" ht="15.75" customHeight="1"/>
    <row r="745" customFormat="1" ht="15.75" customHeight="1"/>
    <row r="746" customFormat="1" ht="15.75" customHeight="1"/>
    <row r="747" customFormat="1" ht="15.75" customHeight="1"/>
    <row r="748" customFormat="1" ht="15.75" customHeight="1"/>
    <row r="749" customFormat="1" ht="15.75" customHeight="1"/>
    <row r="750" customFormat="1" ht="15.75" customHeight="1"/>
    <row r="751" customFormat="1" ht="15.75" customHeight="1"/>
    <row r="752" customFormat="1" ht="15.75" customHeight="1"/>
    <row r="753" customFormat="1" ht="15.75" customHeight="1"/>
    <row r="754" customFormat="1" ht="15.75" customHeight="1"/>
    <row r="755" customFormat="1" ht="15.75" customHeight="1"/>
    <row r="756" customFormat="1" ht="15.75" customHeight="1"/>
    <row r="757" customFormat="1" ht="15.75" customHeight="1"/>
    <row r="758" customFormat="1" ht="15.75" customHeight="1"/>
    <row r="759" customFormat="1" ht="15.75" customHeight="1"/>
    <row r="760" customFormat="1" ht="15.75" customHeight="1"/>
    <row r="761" customFormat="1" ht="15.75" customHeight="1"/>
    <row r="762" customFormat="1" ht="15.75" customHeight="1"/>
    <row r="763" customFormat="1" ht="15.75" customHeight="1"/>
    <row r="764" customFormat="1" ht="15.75" customHeight="1"/>
    <row r="765" customFormat="1" ht="15.75" customHeight="1"/>
    <row r="766" customFormat="1" ht="15.75" customHeight="1"/>
    <row r="767" customFormat="1" ht="15.75" customHeight="1"/>
    <row r="768" customFormat="1" ht="15.75" customHeight="1"/>
    <row r="769" customFormat="1" ht="15.75" customHeight="1"/>
    <row r="770" customFormat="1" ht="15.75" customHeight="1"/>
    <row r="771" customFormat="1" ht="15.75" customHeight="1"/>
    <row r="772" customFormat="1" ht="15.75" customHeight="1"/>
    <row r="773" customFormat="1" ht="15.75" customHeight="1"/>
    <row r="774" customFormat="1" ht="15.75" customHeight="1"/>
    <row r="775" customFormat="1" ht="15.75" customHeight="1"/>
    <row r="776" customFormat="1" ht="15.75" customHeight="1"/>
    <row r="777" customFormat="1" ht="15.75" customHeight="1"/>
    <row r="778" customFormat="1" ht="15.75" customHeight="1"/>
    <row r="779" customFormat="1" ht="15.75" customHeight="1"/>
    <row r="780" customFormat="1" ht="15.75" customHeight="1"/>
    <row r="781" customFormat="1" ht="15.75" customHeight="1"/>
    <row r="782" customFormat="1" ht="15.75" customHeight="1"/>
    <row r="783" customFormat="1" ht="15.75" customHeight="1"/>
    <row r="784" customFormat="1" ht="15.75" customHeight="1"/>
    <row r="785" customFormat="1" ht="15.75" customHeight="1"/>
    <row r="786" customFormat="1" ht="15.75" customHeight="1"/>
    <row r="787" customFormat="1" ht="15.75" customHeight="1"/>
    <row r="788" customFormat="1" ht="15.75" customHeight="1"/>
    <row r="789" customFormat="1" ht="15.75" customHeight="1"/>
    <row r="790" customFormat="1" ht="15.75" customHeight="1"/>
    <row r="791" customFormat="1" ht="15.75" customHeight="1"/>
    <row r="792" customFormat="1" ht="15.75" customHeight="1"/>
    <row r="793" customFormat="1" ht="15.75" customHeight="1"/>
    <row r="794" customFormat="1" ht="15.75" customHeight="1"/>
    <row r="795" customFormat="1" ht="15.75" customHeight="1"/>
    <row r="796" customFormat="1" ht="15.75" customHeight="1"/>
    <row r="797" customFormat="1" ht="15.75" customHeight="1"/>
    <row r="798" customFormat="1" ht="15.75" customHeight="1"/>
    <row r="799" customFormat="1" ht="15.75" customHeight="1"/>
    <row r="800" customFormat="1" ht="15.75" customHeight="1"/>
    <row r="801" customFormat="1" ht="15.75" customHeight="1"/>
    <row r="802" customFormat="1" ht="15.75" customHeight="1"/>
    <row r="803" customFormat="1" ht="15.75" customHeight="1"/>
    <row r="804" customFormat="1" ht="15.75" customHeight="1"/>
    <row r="805" customFormat="1" ht="15.75" customHeight="1"/>
    <row r="806" customFormat="1" ht="15.75" customHeight="1"/>
    <row r="807" customFormat="1" ht="15.75" customHeight="1"/>
    <row r="808" customFormat="1" ht="15.75" customHeight="1"/>
    <row r="809" customFormat="1" ht="15.75" customHeight="1"/>
    <row r="810" customFormat="1" ht="15.75" customHeight="1"/>
    <row r="811" customFormat="1" ht="15.75" customHeight="1"/>
    <row r="812" customFormat="1" ht="15.75" customHeight="1"/>
    <row r="813" customFormat="1" ht="15.75" customHeight="1"/>
    <row r="814" customFormat="1" ht="15.75" customHeight="1"/>
    <row r="815" customFormat="1" ht="15.75" customHeight="1"/>
    <row r="816" customFormat="1" ht="15.75" customHeight="1"/>
    <row r="817" customFormat="1" ht="15.75" customHeight="1"/>
    <row r="818" customFormat="1" ht="15.75" customHeight="1"/>
    <row r="819" customFormat="1" ht="15.75" customHeight="1"/>
    <row r="820" customFormat="1" ht="15.75" customHeight="1"/>
    <row r="821" customFormat="1" ht="15.75" customHeight="1"/>
    <row r="822" customFormat="1" ht="15.75" customHeight="1"/>
    <row r="823" customFormat="1" ht="15.75" customHeight="1"/>
    <row r="824" customFormat="1" ht="15.75" customHeight="1"/>
    <row r="825" customFormat="1" ht="15.75" customHeight="1"/>
    <row r="826" customFormat="1" ht="15.75" customHeight="1"/>
    <row r="827" customFormat="1" ht="15.75" customHeight="1"/>
    <row r="828" customFormat="1" ht="15.75" customHeight="1"/>
    <row r="829" customFormat="1" ht="15.75" customHeight="1"/>
    <row r="830" customFormat="1" ht="15.75" customHeight="1"/>
    <row r="831" customFormat="1" ht="15.75" customHeight="1"/>
    <row r="832" customFormat="1" ht="15.75" customHeight="1"/>
    <row r="833" customFormat="1" ht="15.75" customHeight="1"/>
    <row r="834" customFormat="1" ht="15.75" customHeight="1"/>
    <row r="835" customFormat="1" ht="15.75" customHeight="1"/>
    <row r="836" customFormat="1" ht="15.75" customHeight="1"/>
    <row r="837" customFormat="1" ht="15.75" customHeight="1"/>
    <row r="838" customFormat="1" ht="15.75" customHeight="1"/>
    <row r="839" customFormat="1" ht="15.75" customHeight="1"/>
    <row r="840" customFormat="1" ht="15.75" customHeight="1"/>
    <row r="841" customFormat="1" ht="15.75" customHeight="1"/>
    <row r="842" customFormat="1" ht="15.75" customHeight="1"/>
    <row r="843" customFormat="1" ht="15.75" customHeight="1"/>
    <row r="844" customFormat="1" ht="15.75" customHeight="1"/>
    <row r="845" customFormat="1" ht="15.75" customHeight="1"/>
    <row r="846" customFormat="1" ht="15.75" customHeight="1"/>
    <row r="847" customFormat="1" ht="15.75" customHeight="1"/>
    <row r="848" customFormat="1" ht="15.75" customHeight="1"/>
    <row r="849" customFormat="1" ht="15.75" customHeight="1"/>
    <row r="850" customFormat="1" ht="15.75" customHeight="1"/>
    <row r="851" customFormat="1" ht="15.75" customHeight="1"/>
    <row r="852" customFormat="1" ht="15.75" customHeight="1"/>
    <row r="853" customFormat="1" ht="15.75" customHeight="1"/>
    <row r="854" customFormat="1" ht="15.75" customHeight="1"/>
    <row r="855" customFormat="1" ht="15.75" customHeight="1"/>
    <row r="856" customFormat="1" ht="15.75" customHeight="1"/>
    <row r="857" customFormat="1" ht="15.75" customHeight="1"/>
    <row r="858" customFormat="1" ht="15.75" customHeight="1"/>
    <row r="859" customFormat="1" ht="15.75" customHeight="1"/>
    <row r="860" customFormat="1" ht="15.75" customHeight="1"/>
    <row r="861" customFormat="1" ht="15.75" customHeight="1"/>
    <row r="862" customFormat="1" ht="15.75" customHeight="1"/>
    <row r="863" customFormat="1" ht="15.75" customHeight="1"/>
    <row r="864" customFormat="1" ht="15.75" customHeight="1"/>
    <row r="865" customFormat="1" ht="15.75" customHeight="1"/>
    <row r="866" customFormat="1" ht="15.75" customHeight="1"/>
    <row r="867" customFormat="1" ht="15.75" customHeight="1"/>
    <row r="868" customFormat="1" ht="15.75" customHeight="1"/>
    <row r="869" customFormat="1" ht="15.75" customHeight="1"/>
    <row r="870" customFormat="1" ht="15.75" customHeight="1"/>
    <row r="871" customFormat="1" ht="15.75" customHeight="1"/>
    <row r="872" customFormat="1" ht="15.75" customHeight="1"/>
    <row r="873" customFormat="1" ht="15.75" customHeight="1"/>
    <row r="874" customFormat="1" ht="15.75" customHeight="1"/>
    <row r="875" customFormat="1" ht="15.75" customHeight="1"/>
    <row r="876" customFormat="1" ht="15.75" customHeight="1"/>
    <row r="877" customFormat="1" ht="15.75" customHeight="1"/>
    <row r="878" customFormat="1" ht="15.75" customHeight="1"/>
    <row r="879" customFormat="1" ht="15.75" customHeight="1"/>
    <row r="880" customFormat="1" ht="15.75" customHeight="1"/>
    <row r="881" customFormat="1" ht="15.75" customHeight="1"/>
    <row r="882" customFormat="1" ht="15.75" customHeight="1"/>
    <row r="883" customFormat="1" ht="15.75" customHeight="1"/>
    <row r="884" customFormat="1" ht="15.75" customHeight="1"/>
    <row r="885" customFormat="1" ht="15.75" customHeight="1"/>
    <row r="886" customFormat="1" ht="15.75" customHeight="1"/>
    <row r="887" customFormat="1" ht="15.75" customHeight="1"/>
    <row r="888" customFormat="1" ht="15.75" customHeight="1"/>
    <row r="889" customFormat="1" ht="15.75" customHeight="1"/>
    <row r="890" customFormat="1" ht="15.75" customHeight="1"/>
    <row r="891" customFormat="1" ht="15.75" customHeight="1"/>
    <row r="892" customFormat="1" ht="15.75" customHeight="1"/>
    <row r="893" customFormat="1" ht="15.75" customHeight="1"/>
    <row r="894" customFormat="1" ht="15.75" customHeight="1"/>
    <row r="895" customFormat="1" ht="15.75" customHeight="1"/>
    <row r="896" customFormat="1" ht="15.75" customHeight="1"/>
    <row r="897" customFormat="1" ht="15.75" customHeight="1"/>
    <row r="898" customFormat="1" ht="15.75" customHeight="1"/>
    <row r="899" customFormat="1" ht="15.75" customHeight="1"/>
    <row r="900" customFormat="1" ht="15.75" customHeight="1"/>
    <row r="901" customFormat="1" ht="15.75" customHeight="1"/>
    <row r="902" customFormat="1" ht="15.75" customHeight="1"/>
    <row r="903" customFormat="1" ht="15.75" customHeight="1"/>
    <row r="904" customFormat="1" ht="15.75" customHeight="1"/>
    <row r="905" customFormat="1" ht="15.75" customHeight="1"/>
    <row r="906" customFormat="1" ht="15.75" customHeight="1"/>
    <row r="907" customFormat="1" ht="15.75" customHeight="1"/>
    <row r="908" customFormat="1" ht="15.75" customHeight="1"/>
    <row r="909" customFormat="1" ht="15.75" customHeight="1"/>
    <row r="910" customFormat="1" ht="15.75" customHeight="1"/>
    <row r="911" customFormat="1" ht="15.75" customHeight="1"/>
    <row r="912" customFormat="1" ht="15.75" customHeight="1"/>
    <row r="913" customFormat="1" ht="15.75" customHeight="1"/>
    <row r="914" customFormat="1" ht="15.75" customHeight="1"/>
    <row r="915" customFormat="1" ht="15.75" customHeight="1"/>
    <row r="916" customFormat="1" ht="15.75" customHeight="1"/>
    <row r="917" customFormat="1" ht="15.75" customHeight="1"/>
    <row r="918" customFormat="1" ht="15.75" customHeight="1"/>
    <row r="919" customFormat="1" ht="15.75" customHeight="1"/>
    <row r="920" customFormat="1" ht="15.75" customHeight="1"/>
    <row r="921" customFormat="1" ht="15.75" customHeight="1"/>
    <row r="922" customFormat="1" ht="15.75" customHeight="1"/>
    <row r="923" customFormat="1" ht="15.75" customHeight="1"/>
    <row r="924" customFormat="1" ht="15.75" customHeight="1"/>
    <row r="925" customFormat="1" ht="15.75" customHeight="1"/>
    <row r="926" customFormat="1" ht="15.75" customHeight="1"/>
    <row r="927" customFormat="1" ht="15.75" customHeight="1"/>
    <row r="928" customFormat="1" ht="15.75" customHeight="1"/>
    <row r="929" customFormat="1" ht="15.75" customHeight="1"/>
    <row r="930" customFormat="1" ht="15.75" customHeight="1"/>
    <row r="931" customFormat="1" ht="15.75" customHeight="1"/>
    <row r="932" customFormat="1" ht="15.75" customHeight="1"/>
    <row r="933" customFormat="1" ht="15.75" customHeight="1"/>
    <row r="934" customFormat="1" ht="15.75" customHeight="1"/>
    <row r="935" customFormat="1" ht="15.75" customHeight="1"/>
    <row r="936" customFormat="1" ht="15.75" customHeight="1"/>
    <row r="937" customFormat="1" ht="15.75" customHeight="1"/>
    <row r="938" customFormat="1" ht="15.75" customHeight="1"/>
    <row r="939" customFormat="1" ht="15.75" customHeight="1"/>
    <row r="940" customFormat="1" ht="15.75" customHeight="1"/>
    <row r="941" customFormat="1" ht="15.75" customHeight="1"/>
    <row r="942" customFormat="1" ht="15.75" customHeight="1"/>
    <row r="943" customFormat="1" ht="15.75" customHeight="1"/>
    <row r="944" customFormat="1" ht="15.75" customHeight="1"/>
    <row r="945" customFormat="1" ht="15.75" customHeight="1"/>
    <row r="946" customFormat="1" ht="15.75" customHeight="1"/>
    <row r="947" customFormat="1" ht="15.75" customHeight="1"/>
    <row r="948" customFormat="1" ht="15.75" customHeight="1"/>
    <row r="949" customFormat="1" ht="15.75" customHeight="1"/>
    <row r="950" customFormat="1" ht="15.75" customHeight="1"/>
    <row r="951" customFormat="1" ht="15.75" customHeight="1"/>
    <row r="952" customFormat="1" ht="15.75" customHeight="1"/>
    <row r="953" customFormat="1" ht="15.75" customHeight="1"/>
    <row r="954" customFormat="1" ht="15.75" customHeight="1"/>
    <row r="955" customFormat="1" ht="15.75" customHeight="1"/>
    <row r="956" customFormat="1" ht="15.75" customHeight="1"/>
    <row r="957" customFormat="1" ht="15.75" customHeight="1"/>
    <row r="958" customFormat="1" ht="15.75" customHeight="1"/>
    <row r="959" customFormat="1" ht="15.75" customHeight="1"/>
    <row r="960" customFormat="1" ht="15.75" customHeight="1"/>
    <row r="961" customFormat="1" ht="15.75" customHeight="1"/>
    <row r="962" customFormat="1" ht="15.75" customHeight="1"/>
    <row r="963" customFormat="1" ht="15.75" customHeight="1"/>
    <row r="964" customFormat="1" ht="15.75" customHeight="1"/>
    <row r="965" customFormat="1" ht="15.75" customHeight="1"/>
    <row r="966" customFormat="1" ht="15.75" customHeight="1"/>
    <row r="967" customFormat="1" ht="15.75" customHeight="1"/>
    <row r="968" customFormat="1" ht="15.75" customHeight="1"/>
    <row r="969" customFormat="1" ht="15.75" customHeight="1"/>
    <row r="970" customFormat="1" ht="15.75" customHeight="1"/>
    <row r="971" customFormat="1" ht="15.75" customHeight="1"/>
    <row r="972" customFormat="1" ht="15.75" customHeight="1"/>
    <row r="973" customFormat="1" ht="15.75" customHeight="1"/>
    <row r="974" customFormat="1" ht="15.75" customHeight="1"/>
    <row r="975" customFormat="1" ht="15.75" customHeight="1"/>
    <row r="976" customFormat="1" ht="15.75" customHeight="1"/>
    <row r="977" customFormat="1" ht="15.75" customHeight="1"/>
    <row r="978" customFormat="1" ht="15.75" customHeight="1"/>
    <row r="979" customFormat="1" ht="15.75" customHeight="1"/>
    <row r="980" customFormat="1" ht="15.75" customHeight="1"/>
    <row r="981" customFormat="1" ht="15.75" customHeight="1"/>
    <row r="982" customFormat="1" ht="15.75" customHeight="1"/>
    <row r="983" customFormat="1" ht="15.75" customHeight="1"/>
    <row r="984" customFormat="1" ht="15.75" customHeight="1"/>
    <row r="985" customFormat="1" ht="15.75" customHeight="1"/>
    <row r="986" customFormat="1" ht="15.75" customHeight="1"/>
    <row r="987" customFormat="1" ht="15.75" customHeight="1"/>
    <row r="988" customFormat="1" ht="15.75" customHeight="1"/>
    <row r="989" customFormat="1" ht="15.75" customHeight="1"/>
    <row r="990" customFormat="1" ht="15.75" customHeight="1"/>
    <row r="991" customFormat="1" ht="15.75" customHeight="1"/>
    <row r="992" customFormat="1" ht="15.75" customHeight="1"/>
    <row r="993" customFormat="1" ht="15.75" customHeight="1"/>
    <row r="994" customFormat="1" ht="15.75" customHeight="1"/>
    <row r="995" customFormat="1" ht="15.75" customHeight="1"/>
    <row r="996" customFormat="1" ht="15.75" customHeight="1"/>
    <row r="997" customFormat="1" ht="15.75" customHeight="1"/>
    <row r="998" customFormat="1" ht="15.75" customHeight="1"/>
    <row r="999" customFormat="1" ht="15.75" customHeight="1"/>
    <row r="1000" customFormat="1" ht="15.75" customHeight="1"/>
  </sheetData>
  <sheetProtection algorithmName="SHA-512" hashValue="2sQJZylAL2AG3OmQ3qMfobxwbhfxg/qFQ9Mf0Y+pSsWp0DP3xN6bZFK/lgiHcyeBMR7LOm1p7v3gZI+RWFAIYQ==" saltValue="tiTJdQ5vKVWVWhYECCsHng==" spinCount="100000" sheet="1" objects="1" scenarios="1"/>
  <mergeCells count="5">
    <mergeCell ref="C3:D3"/>
    <mergeCell ref="C4:D4"/>
    <mergeCell ref="C5:D5"/>
    <mergeCell ref="B8:C8"/>
    <mergeCell ref="B9:C9"/>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FFFF00"/>
  </sheetPr>
  <dimension ref="A1:S714"/>
  <sheetViews>
    <sheetView showGridLines="0" zoomScaleNormal="100" workbookViewId="0">
      <pane ySplit="8" topLeftCell="A9" activePane="bottomLeft" state="frozen"/>
      <selection activeCell="F21" sqref="F21"/>
      <selection pane="bottomLeft" sqref="A1:O1"/>
    </sheetView>
  </sheetViews>
  <sheetFormatPr defaultColWidth="9" defaultRowHeight="13.2"/>
  <cols>
    <col min="1" max="1" width="14" style="23" customWidth="1"/>
    <col min="2" max="2" width="9" style="23" bestFit="1" customWidth="1"/>
    <col min="3" max="7" width="9.5546875" style="23" bestFit="1" customWidth="1"/>
    <col min="8" max="15" width="11" style="23" customWidth="1"/>
    <col min="16" max="18" width="9" style="23"/>
    <col min="19" max="19" width="13.88671875" style="23" customWidth="1"/>
    <col min="20" max="16384" width="9" style="23"/>
  </cols>
  <sheetData>
    <row r="1" spans="1:17">
      <c r="A1" s="1196" t="s">
        <v>1099</v>
      </c>
      <c r="B1" s="1196"/>
      <c r="C1" s="1196"/>
      <c r="D1" s="1196"/>
      <c r="E1" s="1196"/>
      <c r="F1" s="1196"/>
      <c r="G1" s="1196"/>
      <c r="H1" s="1196"/>
      <c r="I1" s="1196"/>
      <c r="J1" s="1196"/>
      <c r="K1" s="1196"/>
      <c r="L1" s="1196"/>
      <c r="M1" s="1196"/>
      <c r="N1" s="1196"/>
      <c r="O1" s="1196"/>
      <c r="P1" s="242"/>
      <c r="Q1" s="242"/>
    </row>
    <row r="2" spans="1:17">
      <c r="A2" s="1197" t="s">
        <v>4117</v>
      </c>
      <c r="B2" s="1197"/>
      <c r="C2" s="1197"/>
      <c r="D2" s="1197"/>
      <c r="E2" s="1197"/>
      <c r="F2" s="1197"/>
      <c r="G2" s="1197"/>
      <c r="H2" s="1197"/>
      <c r="I2" s="1197"/>
      <c r="J2" s="1197"/>
      <c r="K2" s="1197"/>
      <c r="L2" s="1197"/>
      <c r="M2" s="1197"/>
      <c r="N2" s="1197"/>
      <c r="O2" s="1197"/>
      <c r="P2" s="242"/>
      <c r="Q2" s="242"/>
    </row>
    <row r="3" spans="1:17">
      <c r="A3" s="1197" t="s">
        <v>1100</v>
      </c>
      <c r="B3" s="1197"/>
      <c r="C3" s="1197"/>
      <c r="D3" s="1197"/>
      <c r="E3" s="1197"/>
      <c r="F3" s="1197"/>
      <c r="G3" s="1197"/>
      <c r="H3" s="1197"/>
      <c r="I3" s="1197"/>
      <c r="J3" s="1197"/>
      <c r="K3" s="1197"/>
      <c r="L3" s="1197"/>
      <c r="M3" s="1197"/>
      <c r="N3" s="1197"/>
      <c r="O3" s="1197"/>
      <c r="P3" s="242"/>
      <c r="Q3" s="242"/>
    </row>
    <row r="4" spans="1:17">
      <c r="A4" s="1196"/>
      <c r="B4" s="1196"/>
      <c r="C4" s="1196"/>
      <c r="D4" s="1196"/>
      <c r="E4" s="1196"/>
      <c r="F4" s="1196"/>
      <c r="G4" s="1196"/>
      <c r="H4" s="1196"/>
      <c r="I4" s="1196"/>
      <c r="J4" s="1196"/>
      <c r="K4" s="1196"/>
      <c r="L4" s="1196"/>
      <c r="M4" s="1196"/>
      <c r="N4" s="1196"/>
      <c r="O4" s="1196"/>
      <c r="P4" s="242"/>
      <c r="Q4" s="242"/>
    </row>
    <row r="5" spans="1:17">
      <c r="A5" s="24"/>
      <c r="B5" s="24" t="s">
        <v>1101</v>
      </c>
      <c r="C5" s="25"/>
      <c r="D5" s="26"/>
      <c r="E5" s="26"/>
      <c r="F5" s="26"/>
      <c r="G5" s="26"/>
      <c r="H5" s="26"/>
      <c r="I5" s="26"/>
      <c r="J5" s="26"/>
      <c r="K5" s="27"/>
      <c r="L5" s="27"/>
      <c r="M5" s="27"/>
      <c r="N5" s="27"/>
      <c r="O5" s="24"/>
      <c r="P5" s="242"/>
      <c r="Q5" s="242"/>
    </row>
    <row r="6" spans="1:17">
      <c r="A6" s="24"/>
      <c r="B6" s="458"/>
      <c r="C6" s="28" t="s">
        <v>1102</v>
      </c>
      <c r="D6" s="25"/>
      <c r="E6" s="25"/>
      <c r="F6" s="25"/>
      <c r="G6" s="25"/>
      <c r="H6" s="25"/>
      <c r="I6" s="458"/>
      <c r="J6" s="29"/>
      <c r="K6" s="458"/>
      <c r="L6" s="30"/>
      <c r="M6" s="31" t="s">
        <v>4118</v>
      </c>
      <c r="N6" s="458"/>
      <c r="O6" s="24"/>
      <c r="P6" s="242"/>
      <c r="Q6" s="242"/>
    </row>
    <row r="7" spans="1:17">
      <c r="A7" s="24"/>
      <c r="B7" s="458"/>
      <c r="C7" s="28"/>
      <c r="D7" s="25"/>
      <c r="E7" s="25"/>
      <c r="F7" s="25"/>
      <c r="G7" s="25"/>
      <c r="H7" s="25"/>
      <c r="I7" s="458"/>
      <c r="J7" s="29"/>
      <c r="K7" s="458"/>
      <c r="L7" s="30"/>
      <c r="M7" s="31"/>
      <c r="N7" s="458"/>
      <c r="O7" s="24"/>
      <c r="P7" s="242"/>
      <c r="Q7" s="242"/>
    </row>
    <row r="8" spans="1:17" ht="13.8" thickBot="1">
      <c r="A8" s="32" t="s">
        <v>240</v>
      </c>
      <c r="B8" s="33"/>
      <c r="C8" s="34" t="s">
        <v>1103</v>
      </c>
      <c r="D8" s="34" t="s">
        <v>1104</v>
      </c>
      <c r="E8" s="34" t="s">
        <v>1105</v>
      </c>
      <c r="F8" s="34" t="s">
        <v>1106</v>
      </c>
      <c r="G8" s="35" t="s">
        <v>1107</v>
      </c>
      <c r="H8" s="34" t="s">
        <v>1108</v>
      </c>
      <c r="I8" s="34" t="s">
        <v>1109</v>
      </c>
      <c r="J8" s="34" t="s">
        <v>1110</v>
      </c>
      <c r="K8" s="34" t="s">
        <v>1111</v>
      </c>
      <c r="L8" s="34" t="s">
        <v>1112</v>
      </c>
      <c r="M8" s="34" t="s">
        <v>1113</v>
      </c>
      <c r="N8" s="34" t="s">
        <v>1114</v>
      </c>
      <c r="O8" s="34" t="s">
        <v>1115</v>
      </c>
      <c r="P8" s="242"/>
      <c r="Q8" s="242"/>
    </row>
    <row r="9" spans="1:17">
      <c r="A9" s="36"/>
      <c r="B9" s="326">
        <v>1.2</v>
      </c>
      <c r="C9" s="514">
        <v>2943</v>
      </c>
      <c r="D9" s="514">
        <v>3153</v>
      </c>
      <c r="E9" s="514">
        <v>3783</v>
      </c>
      <c r="F9" s="514">
        <v>4372</v>
      </c>
      <c r="G9" s="514">
        <v>4878</v>
      </c>
      <c r="H9" s="514">
        <v>117720</v>
      </c>
      <c r="I9" s="514">
        <v>134520</v>
      </c>
      <c r="J9" s="514">
        <v>151320</v>
      </c>
      <c r="K9" s="514">
        <v>168120</v>
      </c>
      <c r="L9" s="514">
        <v>181680</v>
      </c>
      <c r="M9" s="514">
        <v>195120</v>
      </c>
      <c r="N9" s="514">
        <v>208560</v>
      </c>
      <c r="O9" s="514">
        <v>222000</v>
      </c>
      <c r="P9" s="242"/>
      <c r="Q9" s="242"/>
    </row>
    <row r="10" spans="1:17">
      <c r="A10" s="38"/>
      <c r="B10" s="570">
        <v>1</v>
      </c>
      <c r="C10" s="571">
        <v>2452</v>
      </c>
      <c r="D10" s="571">
        <v>2627</v>
      </c>
      <c r="E10" s="571">
        <v>3152</v>
      </c>
      <c r="F10" s="571">
        <v>3643</v>
      </c>
      <c r="G10" s="571">
        <v>4065</v>
      </c>
      <c r="H10" s="571">
        <v>98100</v>
      </c>
      <c r="I10" s="571">
        <v>112100</v>
      </c>
      <c r="J10" s="571">
        <v>126100</v>
      </c>
      <c r="K10" s="571">
        <v>140100</v>
      </c>
      <c r="L10" s="571">
        <v>151400</v>
      </c>
      <c r="M10" s="571">
        <v>162600</v>
      </c>
      <c r="N10" s="571">
        <v>173800</v>
      </c>
      <c r="O10" s="571">
        <v>185000</v>
      </c>
      <c r="P10" s="242"/>
      <c r="Q10" s="242"/>
    </row>
    <row r="11" spans="1:17">
      <c r="A11" s="38" t="s">
        <v>1116</v>
      </c>
      <c r="B11" s="570">
        <v>0.8</v>
      </c>
      <c r="C11" s="571">
        <v>1962</v>
      </c>
      <c r="D11" s="571">
        <v>2102</v>
      </c>
      <c r="E11" s="571">
        <v>2522</v>
      </c>
      <c r="F11" s="571">
        <v>2915</v>
      </c>
      <c r="G11" s="571">
        <v>3252</v>
      </c>
      <c r="H11" s="572">
        <v>78480</v>
      </c>
      <c r="I11" s="572">
        <v>89680</v>
      </c>
      <c r="J11" s="572">
        <v>100880</v>
      </c>
      <c r="K11" s="572">
        <v>112080</v>
      </c>
      <c r="L11" s="572">
        <v>121120</v>
      </c>
      <c r="M11" s="572">
        <v>130080</v>
      </c>
      <c r="N11" s="572">
        <v>139040</v>
      </c>
      <c r="O11" s="572">
        <v>148000</v>
      </c>
      <c r="P11" s="242"/>
      <c r="Q11" s="242"/>
    </row>
    <row r="12" spans="1:17">
      <c r="A12" s="38"/>
      <c r="B12" s="570">
        <v>0.7</v>
      </c>
      <c r="C12" s="571">
        <v>1716</v>
      </c>
      <c r="D12" s="571">
        <v>1839</v>
      </c>
      <c r="E12" s="571">
        <v>2206</v>
      </c>
      <c r="F12" s="571">
        <v>2550</v>
      </c>
      <c r="G12" s="571">
        <v>2845</v>
      </c>
      <c r="H12" s="572">
        <v>68670</v>
      </c>
      <c r="I12" s="572">
        <v>78470</v>
      </c>
      <c r="J12" s="572">
        <v>88270</v>
      </c>
      <c r="K12" s="572">
        <v>98070</v>
      </c>
      <c r="L12" s="572">
        <v>105980</v>
      </c>
      <c r="M12" s="572">
        <v>113820</v>
      </c>
      <c r="N12" s="572">
        <v>121659.99999999999</v>
      </c>
      <c r="O12" s="572">
        <v>129499.99999999999</v>
      </c>
      <c r="P12" s="242"/>
      <c r="Q12" s="242"/>
    </row>
    <row r="13" spans="1:17">
      <c r="A13" s="38"/>
      <c r="B13" s="570">
        <v>0.6</v>
      </c>
      <c r="C13" s="571">
        <v>1471</v>
      </c>
      <c r="D13" s="571">
        <v>1576</v>
      </c>
      <c r="E13" s="571">
        <v>1891</v>
      </c>
      <c r="F13" s="571">
        <v>2186</v>
      </c>
      <c r="G13" s="571">
        <v>2439</v>
      </c>
      <c r="H13" s="571">
        <v>58860</v>
      </c>
      <c r="I13" s="571">
        <v>67260</v>
      </c>
      <c r="J13" s="571">
        <v>75660</v>
      </c>
      <c r="K13" s="571">
        <v>84060</v>
      </c>
      <c r="L13" s="571">
        <v>90840</v>
      </c>
      <c r="M13" s="573">
        <v>97560</v>
      </c>
      <c r="N13" s="573">
        <v>104280</v>
      </c>
      <c r="O13" s="573">
        <v>111000</v>
      </c>
      <c r="P13" s="242"/>
      <c r="Q13" s="242"/>
    </row>
    <row r="14" spans="1:17">
      <c r="A14" s="38"/>
      <c r="B14" s="570">
        <v>0.55000000000000004</v>
      </c>
      <c r="C14" s="571">
        <v>1348</v>
      </c>
      <c r="D14" s="571">
        <v>1445</v>
      </c>
      <c r="E14" s="571">
        <v>1733</v>
      </c>
      <c r="F14" s="571">
        <v>2004</v>
      </c>
      <c r="G14" s="571">
        <v>2081</v>
      </c>
      <c r="H14" s="571">
        <v>53955.000000000007</v>
      </c>
      <c r="I14" s="571">
        <v>61655.000000000007</v>
      </c>
      <c r="J14" s="571">
        <v>69355</v>
      </c>
      <c r="K14" s="571">
        <v>77055</v>
      </c>
      <c r="L14" s="571">
        <v>83270</v>
      </c>
      <c r="M14" s="571">
        <v>89430</v>
      </c>
      <c r="N14" s="571">
        <v>95590.000000000015</v>
      </c>
      <c r="O14" s="571">
        <v>101750.00000000001</v>
      </c>
      <c r="P14" s="242"/>
      <c r="Q14" s="242"/>
    </row>
    <row r="15" spans="1:17">
      <c r="A15" s="38"/>
      <c r="B15" s="570">
        <v>0.5</v>
      </c>
      <c r="C15" s="571">
        <v>1226</v>
      </c>
      <c r="D15" s="571">
        <v>1313</v>
      </c>
      <c r="E15" s="571">
        <v>1576</v>
      </c>
      <c r="F15" s="571">
        <v>1821</v>
      </c>
      <c r="G15" s="571">
        <v>2032</v>
      </c>
      <c r="H15" s="572">
        <v>49050</v>
      </c>
      <c r="I15" s="572">
        <v>56050</v>
      </c>
      <c r="J15" s="572">
        <v>63050</v>
      </c>
      <c r="K15" s="572">
        <v>70050</v>
      </c>
      <c r="L15" s="572">
        <v>75700</v>
      </c>
      <c r="M15" s="572">
        <v>81300</v>
      </c>
      <c r="N15" s="572">
        <v>86900</v>
      </c>
      <c r="O15" s="572">
        <v>92500</v>
      </c>
      <c r="P15" s="242"/>
      <c r="Q15" s="242"/>
    </row>
    <row r="16" spans="1:17">
      <c r="A16" s="38"/>
      <c r="B16" s="570">
        <v>0.45</v>
      </c>
      <c r="C16" s="571">
        <v>1103</v>
      </c>
      <c r="D16" s="571">
        <v>1182</v>
      </c>
      <c r="E16" s="571">
        <v>1418</v>
      </c>
      <c r="F16" s="571">
        <v>1639</v>
      </c>
      <c r="G16" s="571">
        <v>1829</v>
      </c>
      <c r="H16" s="571">
        <v>44145</v>
      </c>
      <c r="I16" s="571">
        <v>50445</v>
      </c>
      <c r="J16" s="571">
        <v>56745</v>
      </c>
      <c r="K16" s="571">
        <v>63045</v>
      </c>
      <c r="L16" s="571">
        <v>68130</v>
      </c>
      <c r="M16" s="573">
        <v>73170</v>
      </c>
      <c r="N16" s="573">
        <v>78210</v>
      </c>
      <c r="O16" s="573">
        <v>83250</v>
      </c>
      <c r="P16" s="39"/>
      <c r="Q16" s="39"/>
    </row>
    <row r="17" spans="1:17">
      <c r="A17" s="38"/>
      <c r="B17" s="570">
        <v>0.4</v>
      </c>
      <c r="C17" s="571">
        <v>981</v>
      </c>
      <c r="D17" s="571">
        <v>1051</v>
      </c>
      <c r="E17" s="571">
        <v>1261</v>
      </c>
      <c r="F17" s="571">
        <v>1457</v>
      </c>
      <c r="G17" s="571">
        <v>1626</v>
      </c>
      <c r="H17" s="571">
        <v>39240</v>
      </c>
      <c r="I17" s="571">
        <v>44840</v>
      </c>
      <c r="J17" s="571">
        <v>50440</v>
      </c>
      <c r="K17" s="571">
        <v>56040</v>
      </c>
      <c r="L17" s="571">
        <v>60560</v>
      </c>
      <c r="M17" s="573">
        <v>65040</v>
      </c>
      <c r="N17" s="573">
        <v>69520</v>
      </c>
      <c r="O17" s="573">
        <v>74000</v>
      </c>
      <c r="P17" s="39"/>
      <c r="Q17" s="39"/>
    </row>
    <row r="18" spans="1:17">
      <c r="A18" s="38"/>
      <c r="B18" s="574">
        <v>0.3</v>
      </c>
      <c r="C18" s="571">
        <v>735</v>
      </c>
      <c r="D18" s="571">
        <v>788</v>
      </c>
      <c r="E18" s="571">
        <v>945</v>
      </c>
      <c r="F18" s="571">
        <v>1093</v>
      </c>
      <c r="G18" s="571">
        <v>1219</v>
      </c>
      <c r="H18" s="572">
        <v>29430</v>
      </c>
      <c r="I18" s="572">
        <v>33630</v>
      </c>
      <c r="J18" s="572">
        <v>37830</v>
      </c>
      <c r="K18" s="572">
        <v>42030</v>
      </c>
      <c r="L18" s="572">
        <v>45420</v>
      </c>
      <c r="M18" s="572">
        <v>48780</v>
      </c>
      <c r="N18" s="572">
        <v>52140</v>
      </c>
      <c r="O18" s="572">
        <v>55500</v>
      </c>
      <c r="P18" s="39"/>
      <c r="Q18" s="39"/>
    </row>
    <row r="19" spans="1:17" ht="13.8" thickBot="1">
      <c r="A19" s="575"/>
      <c r="B19" s="40">
        <v>0.2</v>
      </c>
      <c r="C19" s="512">
        <v>490</v>
      </c>
      <c r="D19" s="512">
        <v>525</v>
      </c>
      <c r="E19" s="512">
        <v>630</v>
      </c>
      <c r="F19" s="512">
        <v>728</v>
      </c>
      <c r="G19" s="512">
        <v>813</v>
      </c>
      <c r="H19" s="513">
        <v>19620</v>
      </c>
      <c r="I19" s="513">
        <v>22420</v>
      </c>
      <c r="J19" s="513">
        <v>25220</v>
      </c>
      <c r="K19" s="513">
        <v>28020</v>
      </c>
      <c r="L19" s="513">
        <v>30280</v>
      </c>
      <c r="M19" s="513">
        <v>32520</v>
      </c>
      <c r="N19" s="513">
        <v>34760</v>
      </c>
      <c r="O19" s="513">
        <v>37000</v>
      </c>
      <c r="P19" s="39"/>
      <c r="Q19" s="39"/>
    </row>
    <row r="20" spans="1:17">
      <c r="A20" s="38"/>
      <c r="B20" s="326">
        <v>1.2</v>
      </c>
      <c r="C20" s="514">
        <v>2142</v>
      </c>
      <c r="D20" s="514">
        <v>2295</v>
      </c>
      <c r="E20" s="514">
        <v>2754</v>
      </c>
      <c r="F20" s="514">
        <v>3183</v>
      </c>
      <c r="G20" s="514">
        <v>3552</v>
      </c>
      <c r="H20" s="514">
        <v>85680</v>
      </c>
      <c r="I20" s="514">
        <v>97920</v>
      </c>
      <c r="J20" s="514">
        <v>110160</v>
      </c>
      <c r="K20" s="514">
        <v>122400</v>
      </c>
      <c r="L20" s="514">
        <v>132240</v>
      </c>
      <c r="M20" s="514">
        <v>142080</v>
      </c>
      <c r="N20" s="514">
        <v>151800</v>
      </c>
      <c r="O20" s="514">
        <v>161640</v>
      </c>
      <c r="P20" s="39"/>
      <c r="Q20" s="39"/>
    </row>
    <row r="21" spans="1:17">
      <c r="A21" s="38"/>
      <c r="B21" s="570">
        <v>1</v>
      </c>
      <c r="C21" s="571">
        <v>1785</v>
      </c>
      <c r="D21" s="571">
        <v>1912</v>
      </c>
      <c r="E21" s="571">
        <v>2295</v>
      </c>
      <c r="F21" s="571">
        <v>2652</v>
      </c>
      <c r="G21" s="571">
        <v>2960</v>
      </c>
      <c r="H21" s="571">
        <v>71400</v>
      </c>
      <c r="I21" s="571">
        <v>81600</v>
      </c>
      <c r="J21" s="571">
        <v>91800</v>
      </c>
      <c r="K21" s="571">
        <v>102000</v>
      </c>
      <c r="L21" s="571">
        <v>110200</v>
      </c>
      <c r="M21" s="571">
        <v>118400</v>
      </c>
      <c r="N21" s="571">
        <v>126500</v>
      </c>
      <c r="O21" s="571">
        <v>134700</v>
      </c>
      <c r="P21" s="39"/>
      <c r="Q21" s="39"/>
    </row>
    <row r="22" spans="1:17">
      <c r="A22" s="38" t="s">
        <v>1117</v>
      </c>
      <c r="B22" s="570">
        <v>0.8</v>
      </c>
      <c r="C22" s="571">
        <v>1428</v>
      </c>
      <c r="D22" s="571">
        <v>1530</v>
      </c>
      <c r="E22" s="571">
        <v>1836</v>
      </c>
      <c r="F22" s="571">
        <v>2122</v>
      </c>
      <c r="G22" s="571">
        <v>2368</v>
      </c>
      <c r="H22" s="572">
        <v>57120</v>
      </c>
      <c r="I22" s="572">
        <v>65280</v>
      </c>
      <c r="J22" s="572">
        <v>73440</v>
      </c>
      <c r="K22" s="572">
        <v>81600</v>
      </c>
      <c r="L22" s="572">
        <v>88160</v>
      </c>
      <c r="M22" s="572">
        <v>94720</v>
      </c>
      <c r="N22" s="572">
        <v>101200</v>
      </c>
      <c r="O22" s="572">
        <v>107760</v>
      </c>
      <c r="P22" s="39"/>
      <c r="Q22" s="39"/>
    </row>
    <row r="23" spans="1:17">
      <c r="A23" s="38"/>
      <c r="B23" s="570">
        <v>0.7</v>
      </c>
      <c r="C23" s="571">
        <v>1249</v>
      </c>
      <c r="D23" s="571">
        <v>1338</v>
      </c>
      <c r="E23" s="571">
        <v>1606</v>
      </c>
      <c r="F23" s="571">
        <v>1856</v>
      </c>
      <c r="G23" s="571">
        <v>2072</v>
      </c>
      <c r="H23" s="572">
        <v>49980</v>
      </c>
      <c r="I23" s="572">
        <v>57120</v>
      </c>
      <c r="J23" s="572">
        <v>64259.999999999993</v>
      </c>
      <c r="K23" s="572">
        <v>71400</v>
      </c>
      <c r="L23" s="572">
        <v>77140</v>
      </c>
      <c r="M23" s="572">
        <v>82880</v>
      </c>
      <c r="N23" s="572">
        <v>88550</v>
      </c>
      <c r="O23" s="572">
        <v>94290</v>
      </c>
      <c r="P23" s="39"/>
      <c r="Q23" s="39"/>
    </row>
    <row r="24" spans="1:17">
      <c r="A24" s="38"/>
      <c r="B24" s="570">
        <v>0.6</v>
      </c>
      <c r="C24" s="571">
        <v>1071</v>
      </c>
      <c r="D24" s="571">
        <v>1147</v>
      </c>
      <c r="E24" s="571">
        <v>1377</v>
      </c>
      <c r="F24" s="571">
        <v>1591</v>
      </c>
      <c r="G24" s="571">
        <v>1776</v>
      </c>
      <c r="H24" s="571">
        <v>42840</v>
      </c>
      <c r="I24" s="571">
        <v>48960</v>
      </c>
      <c r="J24" s="571">
        <v>55080</v>
      </c>
      <c r="K24" s="571">
        <v>61200</v>
      </c>
      <c r="L24" s="571">
        <v>66120</v>
      </c>
      <c r="M24" s="573">
        <v>71040</v>
      </c>
      <c r="N24" s="573">
        <v>75900</v>
      </c>
      <c r="O24" s="573">
        <v>80820</v>
      </c>
      <c r="P24" s="39"/>
      <c r="Q24" s="39"/>
    </row>
    <row r="25" spans="1:17">
      <c r="A25" s="38"/>
      <c r="B25" s="570">
        <v>0.55000000000000004</v>
      </c>
      <c r="C25" s="571">
        <v>981</v>
      </c>
      <c r="D25" s="571">
        <v>1051</v>
      </c>
      <c r="E25" s="571">
        <v>1262</v>
      </c>
      <c r="F25" s="571">
        <v>1458</v>
      </c>
      <c r="G25" s="571">
        <v>1628</v>
      </c>
      <c r="H25" s="571">
        <v>39270</v>
      </c>
      <c r="I25" s="571">
        <v>44880</v>
      </c>
      <c r="J25" s="571">
        <v>50490.000000000007</v>
      </c>
      <c r="K25" s="571">
        <v>56100.000000000007</v>
      </c>
      <c r="L25" s="571">
        <v>60610.000000000007</v>
      </c>
      <c r="M25" s="571">
        <v>65120.000000000007</v>
      </c>
      <c r="N25" s="571">
        <v>69575</v>
      </c>
      <c r="O25" s="571">
        <v>74085</v>
      </c>
      <c r="P25" s="39"/>
      <c r="Q25" s="39"/>
    </row>
    <row r="26" spans="1:17">
      <c r="A26" s="38"/>
      <c r="B26" s="570">
        <v>0.5</v>
      </c>
      <c r="C26" s="571">
        <v>892</v>
      </c>
      <c r="D26" s="571">
        <v>956</v>
      </c>
      <c r="E26" s="571">
        <v>1147</v>
      </c>
      <c r="F26" s="571">
        <v>1326</v>
      </c>
      <c r="G26" s="571">
        <v>1480</v>
      </c>
      <c r="H26" s="572">
        <v>35700</v>
      </c>
      <c r="I26" s="572">
        <v>40800</v>
      </c>
      <c r="J26" s="572">
        <v>45900</v>
      </c>
      <c r="K26" s="572">
        <v>51000</v>
      </c>
      <c r="L26" s="572">
        <v>55100</v>
      </c>
      <c r="M26" s="572">
        <v>59200</v>
      </c>
      <c r="N26" s="572">
        <v>63250</v>
      </c>
      <c r="O26" s="572">
        <v>67350</v>
      </c>
      <c r="P26" s="39"/>
      <c r="Q26" s="39"/>
    </row>
    <row r="27" spans="1:17">
      <c r="A27" s="38"/>
      <c r="B27" s="570">
        <v>0.45</v>
      </c>
      <c r="C27" s="571">
        <v>803</v>
      </c>
      <c r="D27" s="571">
        <v>860</v>
      </c>
      <c r="E27" s="571">
        <v>1032</v>
      </c>
      <c r="F27" s="571">
        <v>1193</v>
      </c>
      <c r="G27" s="571">
        <v>1332</v>
      </c>
      <c r="H27" s="571">
        <v>32130</v>
      </c>
      <c r="I27" s="571">
        <v>36720</v>
      </c>
      <c r="J27" s="571">
        <v>41310</v>
      </c>
      <c r="K27" s="571">
        <v>45900</v>
      </c>
      <c r="L27" s="571">
        <v>49590</v>
      </c>
      <c r="M27" s="573">
        <v>53280</v>
      </c>
      <c r="N27" s="573">
        <v>56925</v>
      </c>
      <c r="O27" s="573">
        <v>60615</v>
      </c>
      <c r="P27" s="39"/>
      <c r="Q27" s="39"/>
    </row>
    <row r="28" spans="1:17">
      <c r="A28" s="38"/>
      <c r="B28" s="570">
        <v>0.4</v>
      </c>
      <c r="C28" s="571">
        <v>714</v>
      </c>
      <c r="D28" s="571">
        <v>765</v>
      </c>
      <c r="E28" s="571">
        <v>918</v>
      </c>
      <c r="F28" s="571">
        <v>1061</v>
      </c>
      <c r="G28" s="571">
        <v>1184</v>
      </c>
      <c r="H28" s="571">
        <v>28560</v>
      </c>
      <c r="I28" s="571">
        <v>32640</v>
      </c>
      <c r="J28" s="571">
        <v>36720</v>
      </c>
      <c r="K28" s="571">
        <v>40800</v>
      </c>
      <c r="L28" s="571">
        <v>44080</v>
      </c>
      <c r="M28" s="573">
        <v>47360</v>
      </c>
      <c r="N28" s="573">
        <v>50600</v>
      </c>
      <c r="O28" s="573">
        <v>53880</v>
      </c>
      <c r="P28" s="39"/>
      <c r="Q28" s="39"/>
    </row>
    <row r="29" spans="1:17">
      <c r="A29" s="38"/>
      <c r="B29" s="574">
        <v>0.3</v>
      </c>
      <c r="C29" s="571">
        <v>535</v>
      </c>
      <c r="D29" s="571">
        <v>573</v>
      </c>
      <c r="E29" s="571">
        <v>688</v>
      </c>
      <c r="F29" s="571">
        <v>795</v>
      </c>
      <c r="G29" s="571">
        <v>888</v>
      </c>
      <c r="H29" s="572">
        <v>21420</v>
      </c>
      <c r="I29" s="572">
        <v>24480</v>
      </c>
      <c r="J29" s="572">
        <v>27540</v>
      </c>
      <c r="K29" s="572">
        <v>30600</v>
      </c>
      <c r="L29" s="572">
        <v>33060</v>
      </c>
      <c r="M29" s="572">
        <v>35520</v>
      </c>
      <c r="N29" s="572">
        <v>37950</v>
      </c>
      <c r="O29" s="572">
        <v>40410</v>
      </c>
      <c r="P29" s="39"/>
      <c r="Q29" s="39"/>
    </row>
    <row r="30" spans="1:17" ht="13.8" thickBot="1">
      <c r="A30" s="38"/>
      <c r="B30" s="510">
        <v>0.2</v>
      </c>
      <c r="C30" s="512">
        <v>357</v>
      </c>
      <c r="D30" s="512">
        <v>382</v>
      </c>
      <c r="E30" s="512">
        <v>459</v>
      </c>
      <c r="F30" s="512">
        <v>530</v>
      </c>
      <c r="G30" s="512">
        <v>592</v>
      </c>
      <c r="H30" s="513">
        <v>14280</v>
      </c>
      <c r="I30" s="513">
        <v>16320</v>
      </c>
      <c r="J30" s="513">
        <v>18360</v>
      </c>
      <c r="K30" s="513">
        <v>20400</v>
      </c>
      <c r="L30" s="513">
        <v>22040</v>
      </c>
      <c r="M30" s="513">
        <v>23680</v>
      </c>
      <c r="N30" s="513">
        <v>25300</v>
      </c>
      <c r="O30" s="513">
        <v>26940</v>
      </c>
      <c r="P30" s="39"/>
      <c r="Q30" s="39"/>
    </row>
    <row r="31" spans="1:17">
      <c r="A31" s="36"/>
      <c r="B31" s="326">
        <v>1.2</v>
      </c>
      <c r="C31" s="514">
        <v>2943</v>
      </c>
      <c r="D31" s="514">
        <v>3153</v>
      </c>
      <c r="E31" s="514">
        <v>3783</v>
      </c>
      <c r="F31" s="514">
        <v>4372</v>
      </c>
      <c r="G31" s="514">
        <v>4878</v>
      </c>
      <c r="H31" s="514">
        <v>117720</v>
      </c>
      <c r="I31" s="514">
        <v>134520</v>
      </c>
      <c r="J31" s="514">
        <v>151320</v>
      </c>
      <c r="K31" s="514">
        <v>168120</v>
      </c>
      <c r="L31" s="514">
        <v>181680</v>
      </c>
      <c r="M31" s="514">
        <v>195120</v>
      </c>
      <c r="N31" s="514">
        <v>208560</v>
      </c>
      <c r="O31" s="514">
        <v>222000</v>
      </c>
      <c r="P31" s="39"/>
      <c r="Q31" s="39"/>
    </row>
    <row r="32" spans="1:17">
      <c r="A32" s="38"/>
      <c r="B32" s="574">
        <v>1</v>
      </c>
      <c r="C32" s="571">
        <v>2452</v>
      </c>
      <c r="D32" s="571">
        <v>2627</v>
      </c>
      <c r="E32" s="571">
        <v>3152</v>
      </c>
      <c r="F32" s="571">
        <v>3643</v>
      </c>
      <c r="G32" s="571">
        <v>4065</v>
      </c>
      <c r="H32" s="571">
        <v>98100</v>
      </c>
      <c r="I32" s="571">
        <v>112100</v>
      </c>
      <c r="J32" s="571">
        <v>126100</v>
      </c>
      <c r="K32" s="571">
        <v>140100</v>
      </c>
      <c r="L32" s="571">
        <v>151400</v>
      </c>
      <c r="M32" s="571">
        <v>162600</v>
      </c>
      <c r="N32" s="571">
        <v>173800</v>
      </c>
      <c r="O32" s="571">
        <v>185000</v>
      </c>
      <c r="P32" s="39"/>
      <c r="Q32" s="39"/>
    </row>
    <row r="33" spans="1:17">
      <c r="A33" s="38" t="s">
        <v>1118</v>
      </c>
      <c r="B33" s="574">
        <v>0.8</v>
      </c>
      <c r="C33" s="571">
        <v>1962</v>
      </c>
      <c r="D33" s="571">
        <v>2102</v>
      </c>
      <c r="E33" s="571">
        <v>2522</v>
      </c>
      <c r="F33" s="571">
        <v>2915</v>
      </c>
      <c r="G33" s="571">
        <v>3252</v>
      </c>
      <c r="H33" s="572">
        <v>78480</v>
      </c>
      <c r="I33" s="572">
        <v>89680</v>
      </c>
      <c r="J33" s="572">
        <v>100880</v>
      </c>
      <c r="K33" s="572">
        <v>112080</v>
      </c>
      <c r="L33" s="572">
        <v>121120</v>
      </c>
      <c r="M33" s="572">
        <v>130080</v>
      </c>
      <c r="N33" s="572">
        <v>139040</v>
      </c>
      <c r="O33" s="572">
        <v>148000</v>
      </c>
      <c r="P33" s="39"/>
      <c r="Q33" s="39"/>
    </row>
    <row r="34" spans="1:17">
      <c r="A34" s="38"/>
      <c r="B34" s="574">
        <v>0.7</v>
      </c>
      <c r="C34" s="571">
        <v>1716</v>
      </c>
      <c r="D34" s="571">
        <v>1839</v>
      </c>
      <c r="E34" s="571">
        <v>2206</v>
      </c>
      <c r="F34" s="571">
        <v>2550</v>
      </c>
      <c r="G34" s="571">
        <v>2845</v>
      </c>
      <c r="H34" s="572">
        <v>68670</v>
      </c>
      <c r="I34" s="572">
        <v>78470</v>
      </c>
      <c r="J34" s="572">
        <v>88270</v>
      </c>
      <c r="K34" s="572">
        <v>98070</v>
      </c>
      <c r="L34" s="572">
        <v>105980</v>
      </c>
      <c r="M34" s="572">
        <v>113820</v>
      </c>
      <c r="N34" s="572">
        <v>121659.99999999999</v>
      </c>
      <c r="O34" s="572">
        <v>129499.99999999999</v>
      </c>
      <c r="P34" s="39"/>
      <c r="Q34" s="39"/>
    </row>
    <row r="35" spans="1:17">
      <c r="A35" s="38"/>
      <c r="B35" s="574">
        <v>0.6</v>
      </c>
      <c r="C35" s="571">
        <v>1471</v>
      </c>
      <c r="D35" s="571">
        <v>1576</v>
      </c>
      <c r="E35" s="571">
        <v>1891</v>
      </c>
      <c r="F35" s="571">
        <v>2186</v>
      </c>
      <c r="G35" s="571">
        <v>2439</v>
      </c>
      <c r="H35" s="571">
        <v>58860</v>
      </c>
      <c r="I35" s="571">
        <v>67260</v>
      </c>
      <c r="J35" s="571">
        <v>75660</v>
      </c>
      <c r="K35" s="571">
        <v>84060</v>
      </c>
      <c r="L35" s="571">
        <v>90840</v>
      </c>
      <c r="M35" s="573">
        <v>97560</v>
      </c>
      <c r="N35" s="573">
        <v>104280</v>
      </c>
      <c r="O35" s="573">
        <v>111000</v>
      </c>
      <c r="P35" s="39"/>
      <c r="Q35" s="39"/>
    </row>
    <row r="36" spans="1:17">
      <c r="A36" s="38"/>
      <c r="B36" s="574">
        <v>0.55000000000000004</v>
      </c>
      <c r="C36" s="571">
        <v>1348</v>
      </c>
      <c r="D36" s="571">
        <v>1445</v>
      </c>
      <c r="E36" s="571">
        <v>1733</v>
      </c>
      <c r="F36" s="571">
        <v>2004</v>
      </c>
      <c r="G36" s="571">
        <v>2081</v>
      </c>
      <c r="H36" s="571">
        <v>53955.000000000007</v>
      </c>
      <c r="I36" s="571">
        <v>61655.000000000007</v>
      </c>
      <c r="J36" s="571">
        <v>69355</v>
      </c>
      <c r="K36" s="571">
        <v>77055</v>
      </c>
      <c r="L36" s="571">
        <v>83270</v>
      </c>
      <c r="M36" s="571">
        <v>89430</v>
      </c>
      <c r="N36" s="571">
        <v>95590.000000000015</v>
      </c>
      <c r="O36" s="571">
        <v>101750.00000000001</v>
      </c>
      <c r="P36" s="39"/>
      <c r="Q36" s="39"/>
    </row>
    <row r="37" spans="1:17">
      <c r="A37" s="38"/>
      <c r="B37" s="574">
        <v>0.5</v>
      </c>
      <c r="C37" s="571">
        <v>1226</v>
      </c>
      <c r="D37" s="571">
        <v>1313</v>
      </c>
      <c r="E37" s="571">
        <v>1576</v>
      </c>
      <c r="F37" s="571">
        <v>1821</v>
      </c>
      <c r="G37" s="571">
        <v>2032</v>
      </c>
      <c r="H37" s="572">
        <v>49050</v>
      </c>
      <c r="I37" s="572">
        <v>56050</v>
      </c>
      <c r="J37" s="572">
        <v>63050</v>
      </c>
      <c r="K37" s="572">
        <v>70050</v>
      </c>
      <c r="L37" s="572">
        <v>75700</v>
      </c>
      <c r="M37" s="572">
        <v>81300</v>
      </c>
      <c r="N37" s="572">
        <v>86900</v>
      </c>
      <c r="O37" s="572">
        <v>92500</v>
      </c>
      <c r="P37" s="39"/>
      <c r="Q37" s="39"/>
    </row>
    <row r="38" spans="1:17">
      <c r="A38" s="38"/>
      <c r="B38" s="574">
        <v>0.45</v>
      </c>
      <c r="C38" s="571">
        <v>1103</v>
      </c>
      <c r="D38" s="571">
        <v>1182</v>
      </c>
      <c r="E38" s="571">
        <v>1418</v>
      </c>
      <c r="F38" s="571">
        <v>1639</v>
      </c>
      <c r="G38" s="571">
        <v>1829</v>
      </c>
      <c r="H38" s="571">
        <v>44145</v>
      </c>
      <c r="I38" s="571">
        <v>50445</v>
      </c>
      <c r="J38" s="571">
        <v>56745</v>
      </c>
      <c r="K38" s="571">
        <v>63045</v>
      </c>
      <c r="L38" s="571">
        <v>68130</v>
      </c>
      <c r="M38" s="573">
        <v>73170</v>
      </c>
      <c r="N38" s="573">
        <v>78210</v>
      </c>
      <c r="O38" s="573">
        <v>83250</v>
      </c>
      <c r="P38" s="39"/>
      <c r="Q38" s="39"/>
    </row>
    <row r="39" spans="1:17">
      <c r="A39" s="38"/>
      <c r="B39" s="574">
        <v>0.4</v>
      </c>
      <c r="C39" s="571">
        <v>981</v>
      </c>
      <c r="D39" s="571">
        <v>1051</v>
      </c>
      <c r="E39" s="571">
        <v>1261</v>
      </c>
      <c r="F39" s="571">
        <v>1457</v>
      </c>
      <c r="G39" s="571">
        <v>1626</v>
      </c>
      <c r="H39" s="571">
        <v>39240</v>
      </c>
      <c r="I39" s="571">
        <v>44840</v>
      </c>
      <c r="J39" s="571">
        <v>50440</v>
      </c>
      <c r="K39" s="571">
        <v>56040</v>
      </c>
      <c r="L39" s="571">
        <v>60560</v>
      </c>
      <c r="M39" s="573">
        <v>65040</v>
      </c>
      <c r="N39" s="573">
        <v>69520</v>
      </c>
      <c r="O39" s="573">
        <v>74000</v>
      </c>
      <c r="P39" s="39"/>
      <c r="Q39" s="39"/>
    </row>
    <row r="40" spans="1:17">
      <c r="A40" s="38"/>
      <c r="B40" s="510">
        <v>0.3</v>
      </c>
      <c r="C40" s="571">
        <v>735</v>
      </c>
      <c r="D40" s="571">
        <v>788</v>
      </c>
      <c r="E40" s="571">
        <v>945</v>
      </c>
      <c r="F40" s="571">
        <v>1093</v>
      </c>
      <c r="G40" s="571">
        <v>1219</v>
      </c>
      <c r="H40" s="572">
        <v>29430</v>
      </c>
      <c r="I40" s="572">
        <v>33630</v>
      </c>
      <c r="J40" s="572">
        <v>37830</v>
      </c>
      <c r="K40" s="572">
        <v>42030</v>
      </c>
      <c r="L40" s="572">
        <v>45420</v>
      </c>
      <c r="M40" s="572">
        <v>48780</v>
      </c>
      <c r="N40" s="572">
        <v>52140</v>
      </c>
      <c r="O40" s="572">
        <v>55500</v>
      </c>
      <c r="P40" s="39"/>
      <c r="Q40" s="39"/>
    </row>
    <row r="41" spans="1:17" ht="13.8" thickBot="1">
      <c r="A41" s="575"/>
      <c r="B41" s="40">
        <v>0.2</v>
      </c>
      <c r="C41" s="512">
        <v>490</v>
      </c>
      <c r="D41" s="512">
        <v>525</v>
      </c>
      <c r="E41" s="512">
        <v>630</v>
      </c>
      <c r="F41" s="512">
        <v>728</v>
      </c>
      <c r="G41" s="512">
        <v>813</v>
      </c>
      <c r="H41" s="513">
        <v>19620</v>
      </c>
      <c r="I41" s="513">
        <v>22420</v>
      </c>
      <c r="J41" s="513">
        <v>25220</v>
      </c>
      <c r="K41" s="513">
        <v>28020</v>
      </c>
      <c r="L41" s="513">
        <v>30280</v>
      </c>
      <c r="M41" s="513">
        <v>32520</v>
      </c>
      <c r="N41" s="513">
        <v>34760</v>
      </c>
      <c r="O41" s="513">
        <v>37000</v>
      </c>
      <c r="P41" s="41"/>
      <c r="Q41" s="41"/>
    </row>
    <row r="42" spans="1:17" ht="13.8" thickTop="1">
      <c r="A42" s="38"/>
      <c r="B42" s="37">
        <v>1.2</v>
      </c>
      <c r="C42" s="514">
        <v>2142</v>
      </c>
      <c r="D42" s="514">
        <v>2295</v>
      </c>
      <c r="E42" s="514">
        <v>2754</v>
      </c>
      <c r="F42" s="514">
        <v>3183</v>
      </c>
      <c r="G42" s="514">
        <v>3552</v>
      </c>
      <c r="H42" s="514">
        <v>85680</v>
      </c>
      <c r="I42" s="514">
        <v>97920</v>
      </c>
      <c r="J42" s="514">
        <v>110160</v>
      </c>
      <c r="K42" s="514">
        <v>122400</v>
      </c>
      <c r="L42" s="514">
        <v>132240</v>
      </c>
      <c r="M42" s="514">
        <v>142080</v>
      </c>
      <c r="N42" s="514">
        <v>151800</v>
      </c>
      <c r="O42" s="514">
        <v>161640</v>
      </c>
      <c r="P42" s="41"/>
      <c r="Q42" s="41"/>
    </row>
    <row r="43" spans="1:17">
      <c r="A43" s="38"/>
      <c r="B43" s="574">
        <v>1</v>
      </c>
      <c r="C43" s="571">
        <v>1785</v>
      </c>
      <c r="D43" s="571">
        <v>1912</v>
      </c>
      <c r="E43" s="571">
        <v>2295</v>
      </c>
      <c r="F43" s="571">
        <v>2652</v>
      </c>
      <c r="G43" s="571">
        <v>2960</v>
      </c>
      <c r="H43" s="571">
        <v>71400</v>
      </c>
      <c r="I43" s="571">
        <v>81600</v>
      </c>
      <c r="J43" s="571">
        <v>91800</v>
      </c>
      <c r="K43" s="571">
        <v>102000</v>
      </c>
      <c r="L43" s="571">
        <v>110200</v>
      </c>
      <c r="M43" s="571">
        <v>118400</v>
      </c>
      <c r="N43" s="571">
        <v>126500</v>
      </c>
      <c r="O43" s="571">
        <v>134700</v>
      </c>
      <c r="P43" s="41"/>
      <c r="Q43" s="41"/>
    </row>
    <row r="44" spans="1:17">
      <c r="A44" s="38" t="s">
        <v>1119</v>
      </c>
      <c r="B44" s="574">
        <v>0.8</v>
      </c>
      <c r="C44" s="571">
        <v>1428</v>
      </c>
      <c r="D44" s="571">
        <v>1530</v>
      </c>
      <c r="E44" s="571">
        <v>1836</v>
      </c>
      <c r="F44" s="571">
        <v>2122</v>
      </c>
      <c r="G44" s="571">
        <v>2368</v>
      </c>
      <c r="H44" s="572">
        <v>57120</v>
      </c>
      <c r="I44" s="572">
        <v>65280</v>
      </c>
      <c r="J44" s="572">
        <v>73440</v>
      </c>
      <c r="K44" s="572">
        <v>81600</v>
      </c>
      <c r="L44" s="572">
        <v>88160</v>
      </c>
      <c r="M44" s="572">
        <v>94720</v>
      </c>
      <c r="N44" s="572">
        <v>101200</v>
      </c>
      <c r="O44" s="572">
        <v>107760</v>
      </c>
      <c r="P44" s="41"/>
      <c r="Q44" s="41"/>
    </row>
    <row r="45" spans="1:17">
      <c r="A45" s="38"/>
      <c r="B45" s="574">
        <v>0.7</v>
      </c>
      <c r="C45" s="571">
        <v>1249</v>
      </c>
      <c r="D45" s="571">
        <v>1338</v>
      </c>
      <c r="E45" s="571">
        <v>1606</v>
      </c>
      <c r="F45" s="571">
        <v>1856</v>
      </c>
      <c r="G45" s="571">
        <v>2072</v>
      </c>
      <c r="H45" s="572">
        <v>49980</v>
      </c>
      <c r="I45" s="572">
        <v>57120</v>
      </c>
      <c r="J45" s="572">
        <v>64259.999999999993</v>
      </c>
      <c r="K45" s="572">
        <v>71400</v>
      </c>
      <c r="L45" s="572">
        <v>77140</v>
      </c>
      <c r="M45" s="572">
        <v>82880</v>
      </c>
      <c r="N45" s="572">
        <v>88550</v>
      </c>
      <c r="O45" s="572">
        <v>94290</v>
      </c>
      <c r="P45" s="41"/>
      <c r="Q45" s="41"/>
    </row>
    <row r="46" spans="1:17">
      <c r="A46" s="38"/>
      <c r="B46" s="574">
        <v>0.6</v>
      </c>
      <c r="C46" s="571">
        <v>1071</v>
      </c>
      <c r="D46" s="571">
        <v>1147</v>
      </c>
      <c r="E46" s="571">
        <v>1377</v>
      </c>
      <c r="F46" s="571">
        <v>1591</v>
      </c>
      <c r="G46" s="571">
        <v>1776</v>
      </c>
      <c r="H46" s="571">
        <v>42840</v>
      </c>
      <c r="I46" s="571">
        <v>48960</v>
      </c>
      <c r="J46" s="571">
        <v>55080</v>
      </c>
      <c r="K46" s="571">
        <v>61200</v>
      </c>
      <c r="L46" s="571">
        <v>66120</v>
      </c>
      <c r="M46" s="573">
        <v>71040</v>
      </c>
      <c r="N46" s="573">
        <v>75900</v>
      </c>
      <c r="O46" s="573">
        <v>80820</v>
      </c>
      <c r="P46" s="41"/>
      <c r="Q46" s="41"/>
    </row>
    <row r="47" spans="1:17">
      <c r="A47" s="38"/>
      <c r="B47" s="574">
        <v>0.55000000000000004</v>
      </c>
      <c r="C47" s="571">
        <v>981</v>
      </c>
      <c r="D47" s="571">
        <v>1051</v>
      </c>
      <c r="E47" s="571">
        <v>1262</v>
      </c>
      <c r="F47" s="571">
        <v>1458</v>
      </c>
      <c r="G47" s="571">
        <v>1628</v>
      </c>
      <c r="H47" s="571">
        <v>39270</v>
      </c>
      <c r="I47" s="571">
        <v>44880</v>
      </c>
      <c r="J47" s="571">
        <v>50490.000000000007</v>
      </c>
      <c r="K47" s="571">
        <v>56100.000000000007</v>
      </c>
      <c r="L47" s="571">
        <v>60610.000000000007</v>
      </c>
      <c r="M47" s="571">
        <v>65120.000000000007</v>
      </c>
      <c r="N47" s="571">
        <v>69575</v>
      </c>
      <c r="O47" s="571">
        <v>74085</v>
      </c>
      <c r="P47" s="41"/>
      <c r="Q47" s="41"/>
    </row>
    <row r="48" spans="1:17">
      <c r="A48" s="38"/>
      <c r="B48" s="574">
        <v>0.5</v>
      </c>
      <c r="C48" s="571">
        <v>892</v>
      </c>
      <c r="D48" s="571">
        <v>956</v>
      </c>
      <c r="E48" s="571">
        <v>1147</v>
      </c>
      <c r="F48" s="571">
        <v>1326</v>
      </c>
      <c r="G48" s="571">
        <v>1480</v>
      </c>
      <c r="H48" s="572">
        <v>35700</v>
      </c>
      <c r="I48" s="572">
        <v>40800</v>
      </c>
      <c r="J48" s="572">
        <v>45900</v>
      </c>
      <c r="K48" s="572">
        <v>51000</v>
      </c>
      <c r="L48" s="572">
        <v>55100</v>
      </c>
      <c r="M48" s="572">
        <v>59200</v>
      </c>
      <c r="N48" s="572">
        <v>63250</v>
      </c>
      <c r="O48" s="572">
        <v>67350</v>
      </c>
      <c r="P48" s="41"/>
      <c r="Q48" s="41"/>
    </row>
    <row r="49" spans="1:17">
      <c r="A49" s="38"/>
      <c r="B49" s="574">
        <v>0.45</v>
      </c>
      <c r="C49" s="571">
        <v>803</v>
      </c>
      <c r="D49" s="571">
        <v>860</v>
      </c>
      <c r="E49" s="571">
        <v>1032</v>
      </c>
      <c r="F49" s="571">
        <v>1193</v>
      </c>
      <c r="G49" s="571">
        <v>1332</v>
      </c>
      <c r="H49" s="571">
        <v>32130</v>
      </c>
      <c r="I49" s="571">
        <v>36720</v>
      </c>
      <c r="J49" s="571">
        <v>41310</v>
      </c>
      <c r="K49" s="571">
        <v>45900</v>
      </c>
      <c r="L49" s="571">
        <v>49590</v>
      </c>
      <c r="M49" s="573">
        <v>53280</v>
      </c>
      <c r="N49" s="573">
        <v>56925</v>
      </c>
      <c r="O49" s="573">
        <v>60615</v>
      </c>
      <c r="P49" s="41"/>
      <c r="Q49" s="41"/>
    </row>
    <row r="50" spans="1:17">
      <c r="A50" s="38"/>
      <c r="B50" s="574">
        <v>0.4</v>
      </c>
      <c r="C50" s="571">
        <v>714</v>
      </c>
      <c r="D50" s="571">
        <v>765</v>
      </c>
      <c r="E50" s="571">
        <v>918</v>
      </c>
      <c r="F50" s="571">
        <v>1061</v>
      </c>
      <c r="G50" s="571">
        <v>1184</v>
      </c>
      <c r="H50" s="571">
        <v>28560</v>
      </c>
      <c r="I50" s="571">
        <v>32640</v>
      </c>
      <c r="J50" s="571">
        <v>36720</v>
      </c>
      <c r="K50" s="571">
        <v>40800</v>
      </c>
      <c r="L50" s="571">
        <v>44080</v>
      </c>
      <c r="M50" s="573">
        <v>47360</v>
      </c>
      <c r="N50" s="573">
        <v>50600</v>
      </c>
      <c r="O50" s="573">
        <v>53880</v>
      </c>
      <c r="P50" s="41"/>
      <c r="Q50" s="41"/>
    </row>
    <row r="51" spans="1:17">
      <c r="A51" s="38"/>
      <c r="B51" s="510">
        <v>0.3</v>
      </c>
      <c r="C51" s="571">
        <v>535</v>
      </c>
      <c r="D51" s="571">
        <v>573</v>
      </c>
      <c r="E51" s="571">
        <v>688</v>
      </c>
      <c r="F51" s="571">
        <v>795</v>
      </c>
      <c r="G51" s="571">
        <v>888</v>
      </c>
      <c r="H51" s="572">
        <v>21420</v>
      </c>
      <c r="I51" s="572">
        <v>24480</v>
      </c>
      <c r="J51" s="572">
        <v>27540</v>
      </c>
      <c r="K51" s="572">
        <v>30600</v>
      </c>
      <c r="L51" s="572">
        <v>33060</v>
      </c>
      <c r="M51" s="572">
        <v>35520</v>
      </c>
      <c r="N51" s="572">
        <v>37950</v>
      </c>
      <c r="O51" s="572">
        <v>40410</v>
      </c>
      <c r="P51" s="41"/>
      <c r="Q51" s="41"/>
    </row>
    <row r="52" spans="1:17" ht="13.8" thickBot="1">
      <c r="A52" s="38"/>
      <c r="B52" s="40">
        <v>0.2</v>
      </c>
      <c r="C52" s="512">
        <v>357</v>
      </c>
      <c r="D52" s="512">
        <v>382</v>
      </c>
      <c r="E52" s="512">
        <v>459</v>
      </c>
      <c r="F52" s="512">
        <v>530</v>
      </c>
      <c r="G52" s="512">
        <v>592</v>
      </c>
      <c r="H52" s="513">
        <v>14280</v>
      </c>
      <c r="I52" s="513">
        <v>16320</v>
      </c>
      <c r="J52" s="513">
        <v>18360</v>
      </c>
      <c r="K52" s="513">
        <v>20400</v>
      </c>
      <c r="L52" s="513">
        <v>22040</v>
      </c>
      <c r="M52" s="513">
        <v>23680</v>
      </c>
      <c r="N52" s="513">
        <v>25300</v>
      </c>
      <c r="O52" s="513">
        <v>26940</v>
      </c>
      <c r="P52" s="41"/>
      <c r="Q52" s="41"/>
    </row>
    <row r="53" spans="1:17" ht="13.8" thickTop="1">
      <c r="A53" s="38"/>
      <c r="B53" s="37">
        <v>1.2</v>
      </c>
      <c r="C53" s="514">
        <v>2142</v>
      </c>
      <c r="D53" s="514">
        <v>2295</v>
      </c>
      <c r="E53" s="514">
        <v>2754</v>
      </c>
      <c r="F53" s="514">
        <v>3183</v>
      </c>
      <c r="G53" s="514">
        <v>3552</v>
      </c>
      <c r="H53" s="514">
        <v>85680</v>
      </c>
      <c r="I53" s="514">
        <v>97920</v>
      </c>
      <c r="J53" s="514">
        <v>110160</v>
      </c>
      <c r="K53" s="514">
        <v>122400</v>
      </c>
      <c r="L53" s="514">
        <v>132240</v>
      </c>
      <c r="M53" s="514">
        <v>142080</v>
      </c>
      <c r="N53" s="514">
        <v>151800</v>
      </c>
      <c r="O53" s="514">
        <v>161640</v>
      </c>
      <c r="P53" s="41"/>
      <c r="Q53" s="41"/>
    </row>
    <row r="54" spans="1:17">
      <c r="A54" s="38"/>
      <c r="B54" s="574">
        <v>1</v>
      </c>
      <c r="C54" s="571">
        <v>1785</v>
      </c>
      <c r="D54" s="571">
        <v>1912</v>
      </c>
      <c r="E54" s="571">
        <v>2295</v>
      </c>
      <c r="F54" s="571">
        <v>2652</v>
      </c>
      <c r="G54" s="571">
        <v>2960</v>
      </c>
      <c r="H54" s="571">
        <v>71400</v>
      </c>
      <c r="I54" s="571">
        <v>81600</v>
      </c>
      <c r="J54" s="571">
        <v>91800</v>
      </c>
      <c r="K54" s="571">
        <v>102000</v>
      </c>
      <c r="L54" s="571">
        <v>110200</v>
      </c>
      <c r="M54" s="571">
        <v>118400</v>
      </c>
      <c r="N54" s="571">
        <v>126500</v>
      </c>
      <c r="O54" s="571">
        <v>134700</v>
      </c>
      <c r="P54" s="41"/>
      <c r="Q54" s="41"/>
    </row>
    <row r="55" spans="1:17">
      <c r="A55" s="38" t="s">
        <v>1120</v>
      </c>
      <c r="B55" s="574">
        <v>0.8</v>
      </c>
      <c r="C55" s="571">
        <v>1428</v>
      </c>
      <c r="D55" s="571">
        <v>1530</v>
      </c>
      <c r="E55" s="571">
        <v>1836</v>
      </c>
      <c r="F55" s="571">
        <v>2122</v>
      </c>
      <c r="G55" s="571">
        <v>2368</v>
      </c>
      <c r="H55" s="572">
        <v>57120</v>
      </c>
      <c r="I55" s="572">
        <v>65280</v>
      </c>
      <c r="J55" s="572">
        <v>73440</v>
      </c>
      <c r="K55" s="572">
        <v>81600</v>
      </c>
      <c r="L55" s="572">
        <v>88160</v>
      </c>
      <c r="M55" s="572">
        <v>94720</v>
      </c>
      <c r="N55" s="572">
        <v>101200</v>
      </c>
      <c r="O55" s="572">
        <v>107760</v>
      </c>
      <c r="P55" s="41"/>
      <c r="Q55" s="41"/>
    </row>
    <row r="56" spans="1:17">
      <c r="A56" s="38"/>
      <c r="B56" s="574">
        <v>0.7</v>
      </c>
      <c r="C56" s="571">
        <v>1249</v>
      </c>
      <c r="D56" s="571">
        <v>1428</v>
      </c>
      <c r="E56" s="571">
        <v>1606</v>
      </c>
      <c r="F56" s="571">
        <v>1785</v>
      </c>
      <c r="G56" s="571">
        <v>1928</v>
      </c>
      <c r="H56" s="572">
        <v>49980</v>
      </c>
      <c r="I56" s="572">
        <v>57120</v>
      </c>
      <c r="J56" s="572">
        <v>64259.999999999993</v>
      </c>
      <c r="K56" s="572">
        <v>71400</v>
      </c>
      <c r="L56" s="572">
        <v>77140</v>
      </c>
      <c r="M56" s="572">
        <v>82880</v>
      </c>
      <c r="N56" s="572">
        <v>88550</v>
      </c>
      <c r="O56" s="572">
        <v>94290</v>
      </c>
      <c r="P56" s="41"/>
      <c r="Q56" s="41"/>
    </row>
    <row r="57" spans="1:17">
      <c r="A57" s="38"/>
      <c r="B57" s="574">
        <v>0.6</v>
      </c>
      <c r="C57" s="571">
        <v>1071</v>
      </c>
      <c r="D57" s="571">
        <v>1147</v>
      </c>
      <c r="E57" s="571">
        <v>1377</v>
      </c>
      <c r="F57" s="571">
        <v>1591</v>
      </c>
      <c r="G57" s="571">
        <v>1776</v>
      </c>
      <c r="H57" s="571">
        <v>42840</v>
      </c>
      <c r="I57" s="571">
        <v>48960</v>
      </c>
      <c r="J57" s="571">
        <v>55080</v>
      </c>
      <c r="K57" s="571">
        <v>61200</v>
      </c>
      <c r="L57" s="571">
        <v>66120</v>
      </c>
      <c r="M57" s="573">
        <v>71040</v>
      </c>
      <c r="N57" s="573">
        <v>75900</v>
      </c>
      <c r="O57" s="573">
        <v>80820</v>
      </c>
      <c r="P57" s="41"/>
      <c r="Q57" s="41"/>
    </row>
    <row r="58" spans="1:17">
      <c r="A58" s="38"/>
      <c r="B58" s="574">
        <v>0.55000000000000004</v>
      </c>
      <c r="C58" s="571">
        <v>981</v>
      </c>
      <c r="D58" s="571">
        <v>1051</v>
      </c>
      <c r="E58" s="571">
        <v>1262</v>
      </c>
      <c r="F58" s="571">
        <v>1458</v>
      </c>
      <c r="G58" s="571">
        <v>1628</v>
      </c>
      <c r="H58" s="571">
        <v>39270</v>
      </c>
      <c r="I58" s="571">
        <v>44880</v>
      </c>
      <c r="J58" s="571">
        <v>50490.000000000007</v>
      </c>
      <c r="K58" s="571">
        <v>56100.000000000007</v>
      </c>
      <c r="L58" s="571">
        <v>60610.000000000007</v>
      </c>
      <c r="M58" s="571">
        <v>65120.000000000007</v>
      </c>
      <c r="N58" s="571">
        <v>69575</v>
      </c>
      <c r="O58" s="571">
        <v>74085</v>
      </c>
      <c r="P58" s="41"/>
      <c r="Q58" s="41"/>
    </row>
    <row r="59" spans="1:17">
      <c r="A59" s="38"/>
      <c r="B59" s="574">
        <v>0.5</v>
      </c>
      <c r="C59" s="571">
        <v>892</v>
      </c>
      <c r="D59" s="571">
        <v>956</v>
      </c>
      <c r="E59" s="571">
        <v>1147</v>
      </c>
      <c r="F59" s="571">
        <v>1326</v>
      </c>
      <c r="G59" s="571">
        <v>1480</v>
      </c>
      <c r="H59" s="572">
        <v>35700</v>
      </c>
      <c r="I59" s="572">
        <v>40800</v>
      </c>
      <c r="J59" s="572">
        <v>45900</v>
      </c>
      <c r="K59" s="572">
        <v>51000</v>
      </c>
      <c r="L59" s="572">
        <v>55100</v>
      </c>
      <c r="M59" s="572">
        <v>59200</v>
      </c>
      <c r="N59" s="572">
        <v>63250</v>
      </c>
      <c r="O59" s="572">
        <v>67350</v>
      </c>
      <c r="P59" s="41"/>
      <c r="Q59" s="41"/>
    </row>
    <row r="60" spans="1:17">
      <c r="A60" s="38"/>
      <c r="B60" s="574">
        <v>0.45</v>
      </c>
      <c r="C60" s="571">
        <v>803</v>
      </c>
      <c r="D60" s="571">
        <v>860</v>
      </c>
      <c r="E60" s="571">
        <v>1032</v>
      </c>
      <c r="F60" s="571">
        <v>1193</v>
      </c>
      <c r="G60" s="571">
        <v>1332</v>
      </c>
      <c r="H60" s="571">
        <v>32130</v>
      </c>
      <c r="I60" s="571">
        <v>36720</v>
      </c>
      <c r="J60" s="571">
        <v>41310</v>
      </c>
      <c r="K60" s="571">
        <v>45900</v>
      </c>
      <c r="L60" s="571">
        <v>49590</v>
      </c>
      <c r="M60" s="573">
        <v>53280</v>
      </c>
      <c r="N60" s="573">
        <v>56925</v>
      </c>
      <c r="O60" s="573">
        <v>60615</v>
      </c>
      <c r="P60" s="41"/>
      <c r="Q60" s="41"/>
    </row>
    <row r="61" spans="1:17">
      <c r="A61" s="38"/>
      <c r="B61" s="574">
        <v>0.4</v>
      </c>
      <c r="C61" s="571">
        <v>714</v>
      </c>
      <c r="D61" s="571">
        <v>765</v>
      </c>
      <c r="E61" s="571">
        <v>918</v>
      </c>
      <c r="F61" s="571">
        <v>1061</v>
      </c>
      <c r="G61" s="571">
        <v>1184</v>
      </c>
      <c r="H61" s="571">
        <v>28560</v>
      </c>
      <c r="I61" s="571">
        <v>32640</v>
      </c>
      <c r="J61" s="571">
        <v>36720</v>
      </c>
      <c r="K61" s="571">
        <v>40800</v>
      </c>
      <c r="L61" s="571">
        <v>44080</v>
      </c>
      <c r="M61" s="573">
        <v>47360</v>
      </c>
      <c r="N61" s="573">
        <v>50600</v>
      </c>
      <c r="O61" s="573">
        <v>53880</v>
      </c>
      <c r="P61" s="41"/>
      <c r="Q61" s="41"/>
    </row>
    <row r="62" spans="1:17">
      <c r="A62" s="38"/>
      <c r="B62" s="510">
        <v>0.3</v>
      </c>
      <c r="C62" s="571">
        <v>535</v>
      </c>
      <c r="D62" s="571">
        <v>573</v>
      </c>
      <c r="E62" s="571">
        <v>688</v>
      </c>
      <c r="F62" s="571">
        <v>795</v>
      </c>
      <c r="G62" s="571">
        <v>888</v>
      </c>
      <c r="H62" s="572">
        <v>21420</v>
      </c>
      <c r="I62" s="572">
        <v>24480</v>
      </c>
      <c r="J62" s="572">
        <v>27540</v>
      </c>
      <c r="K62" s="572">
        <v>30600</v>
      </c>
      <c r="L62" s="572">
        <v>33060</v>
      </c>
      <c r="M62" s="572">
        <v>35520</v>
      </c>
      <c r="N62" s="572">
        <v>37950</v>
      </c>
      <c r="O62" s="572">
        <v>40410</v>
      </c>
      <c r="P62" s="41"/>
      <c r="Q62" s="41"/>
    </row>
    <row r="63" spans="1:17" ht="13.8" thickBot="1">
      <c r="A63" s="38"/>
      <c r="B63" s="40">
        <v>0.2</v>
      </c>
      <c r="C63" s="512">
        <v>357</v>
      </c>
      <c r="D63" s="512">
        <v>382</v>
      </c>
      <c r="E63" s="512">
        <v>459</v>
      </c>
      <c r="F63" s="512">
        <v>530</v>
      </c>
      <c r="G63" s="512">
        <v>592</v>
      </c>
      <c r="H63" s="513">
        <v>14280</v>
      </c>
      <c r="I63" s="513">
        <v>16320</v>
      </c>
      <c r="J63" s="513">
        <v>18360</v>
      </c>
      <c r="K63" s="513">
        <v>20400</v>
      </c>
      <c r="L63" s="513">
        <v>22040</v>
      </c>
      <c r="M63" s="513">
        <v>23680</v>
      </c>
      <c r="N63" s="513">
        <v>25300</v>
      </c>
      <c r="O63" s="513">
        <v>26940</v>
      </c>
      <c r="P63" s="41"/>
      <c r="Q63" s="41"/>
    </row>
    <row r="64" spans="1:17" ht="13.8" thickTop="1">
      <c r="A64" s="38"/>
      <c r="B64" s="37">
        <v>1.2</v>
      </c>
      <c r="C64" s="514">
        <v>2142</v>
      </c>
      <c r="D64" s="514">
        <v>2295</v>
      </c>
      <c r="E64" s="514">
        <v>2754</v>
      </c>
      <c r="F64" s="514">
        <v>3183</v>
      </c>
      <c r="G64" s="514">
        <v>3552</v>
      </c>
      <c r="H64" s="514">
        <v>85680</v>
      </c>
      <c r="I64" s="514">
        <v>97920</v>
      </c>
      <c r="J64" s="514">
        <v>110160</v>
      </c>
      <c r="K64" s="514">
        <v>122400</v>
      </c>
      <c r="L64" s="514">
        <v>132240</v>
      </c>
      <c r="M64" s="514">
        <v>142080</v>
      </c>
      <c r="N64" s="514">
        <v>151800</v>
      </c>
      <c r="O64" s="514">
        <v>161640</v>
      </c>
      <c r="P64" s="41"/>
      <c r="Q64" s="41"/>
    </row>
    <row r="65" spans="1:17">
      <c r="A65" s="38"/>
      <c r="B65" s="574">
        <v>1</v>
      </c>
      <c r="C65" s="571">
        <v>1785</v>
      </c>
      <c r="D65" s="571">
        <v>1912</v>
      </c>
      <c r="E65" s="571">
        <v>2295</v>
      </c>
      <c r="F65" s="571">
        <v>2652</v>
      </c>
      <c r="G65" s="571">
        <v>2960</v>
      </c>
      <c r="H65" s="571">
        <v>71400</v>
      </c>
      <c r="I65" s="571">
        <v>81600</v>
      </c>
      <c r="J65" s="571">
        <v>91800</v>
      </c>
      <c r="K65" s="571">
        <v>102000</v>
      </c>
      <c r="L65" s="571">
        <v>110200</v>
      </c>
      <c r="M65" s="571">
        <v>118400</v>
      </c>
      <c r="N65" s="571">
        <v>126500</v>
      </c>
      <c r="O65" s="571">
        <v>134700</v>
      </c>
      <c r="P65" s="41"/>
      <c r="Q65" s="41"/>
    </row>
    <row r="66" spans="1:17">
      <c r="A66" s="38" t="s">
        <v>1121</v>
      </c>
      <c r="B66" s="574">
        <v>0.8</v>
      </c>
      <c r="C66" s="571">
        <v>1428</v>
      </c>
      <c r="D66" s="571">
        <v>1530</v>
      </c>
      <c r="E66" s="571">
        <v>1836</v>
      </c>
      <c r="F66" s="571">
        <v>2122</v>
      </c>
      <c r="G66" s="571">
        <v>2368</v>
      </c>
      <c r="H66" s="572">
        <v>57120</v>
      </c>
      <c r="I66" s="572">
        <v>65280</v>
      </c>
      <c r="J66" s="572">
        <v>73440</v>
      </c>
      <c r="K66" s="572">
        <v>81600</v>
      </c>
      <c r="L66" s="572">
        <v>88160</v>
      </c>
      <c r="M66" s="572">
        <v>94720</v>
      </c>
      <c r="N66" s="572">
        <v>101200</v>
      </c>
      <c r="O66" s="572">
        <v>107760</v>
      </c>
      <c r="P66" s="41"/>
      <c r="Q66" s="41"/>
    </row>
    <row r="67" spans="1:17">
      <c r="A67" s="38"/>
      <c r="B67" s="574">
        <v>0.7</v>
      </c>
      <c r="C67" s="571">
        <v>1249</v>
      </c>
      <c r="D67" s="571">
        <v>1428</v>
      </c>
      <c r="E67" s="571">
        <v>1606</v>
      </c>
      <c r="F67" s="571">
        <v>1785</v>
      </c>
      <c r="G67" s="571">
        <v>1928</v>
      </c>
      <c r="H67" s="572">
        <v>49980</v>
      </c>
      <c r="I67" s="572">
        <v>57120</v>
      </c>
      <c r="J67" s="572">
        <v>64259.999999999993</v>
      </c>
      <c r="K67" s="572">
        <v>71400</v>
      </c>
      <c r="L67" s="572">
        <v>77140</v>
      </c>
      <c r="M67" s="572">
        <v>82880</v>
      </c>
      <c r="N67" s="572">
        <v>88550</v>
      </c>
      <c r="O67" s="572">
        <v>94290</v>
      </c>
      <c r="P67" s="41"/>
      <c r="Q67" s="41"/>
    </row>
    <row r="68" spans="1:17">
      <c r="A68" s="38"/>
      <c r="B68" s="574">
        <v>0.6</v>
      </c>
      <c r="C68" s="571">
        <v>1071</v>
      </c>
      <c r="D68" s="571">
        <v>1147</v>
      </c>
      <c r="E68" s="571">
        <v>1377</v>
      </c>
      <c r="F68" s="571">
        <v>1591</v>
      </c>
      <c r="G68" s="571">
        <v>1776</v>
      </c>
      <c r="H68" s="571">
        <v>42840</v>
      </c>
      <c r="I68" s="571">
        <v>48960</v>
      </c>
      <c r="J68" s="571">
        <v>55080</v>
      </c>
      <c r="K68" s="571">
        <v>61200</v>
      </c>
      <c r="L68" s="571">
        <v>66120</v>
      </c>
      <c r="M68" s="573">
        <v>71040</v>
      </c>
      <c r="N68" s="573">
        <v>75900</v>
      </c>
      <c r="O68" s="573">
        <v>80820</v>
      </c>
      <c r="P68" s="41"/>
      <c r="Q68" s="41"/>
    </row>
    <row r="69" spans="1:17">
      <c r="A69" s="38"/>
      <c r="B69" s="574">
        <v>0.55000000000000004</v>
      </c>
      <c r="C69" s="571">
        <v>981</v>
      </c>
      <c r="D69" s="571">
        <v>1051</v>
      </c>
      <c r="E69" s="571">
        <v>1262</v>
      </c>
      <c r="F69" s="571">
        <v>1458</v>
      </c>
      <c r="G69" s="571">
        <v>1628</v>
      </c>
      <c r="H69" s="571">
        <v>39270</v>
      </c>
      <c r="I69" s="571">
        <v>44880</v>
      </c>
      <c r="J69" s="571">
        <v>50490.000000000007</v>
      </c>
      <c r="K69" s="571">
        <v>56100.000000000007</v>
      </c>
      <c r="L69" s="571">
        <v>60610.000000000007</v>
      </c>
      <c r="M69" s="571">
        <v>65120.000000000007</v>
      </c>
      <c r="N69" s="571">
        <v>69575</v>
      </c>
      <c r="O69" s="571">
        <v>74085</v>
      </c>
      <c r="P69" s="41"/>
      <c r="Q69" s="41"/>
    </row>
    <row r="70" spans="1:17">
      <c r="A70" s="38"/>
      <c r="B70" s="574">
        <v>0.5</v>
      </c>
      <c r="C70" s="571">
        <v>892</v>
      </c>
      <c r="D70" s="571">
        <v>956</v>
      </c>
      <c r="E70" s="571">
        <v>1147</v>
      </c>
      <c r="F70" s="571">
        <v>1326</v>
      </c>
      <c r="G70" s="571">
        <v>1480</v>
      </c>
      <c r="H70" s="572">
        <v>35700</v>
      </c>
      <c r="I70" s="572">
        <v>40800</v>
      </c>
      <c r="J70" s="572">
        <v>45900</v>
      </c>
      <c r="K70" s="572">
        <v>51000</v>
      </c>
      <c r="L70" s="572">
        <v>55100</v>
      </c>
      <c r="M70" s="572">
        <v>59200</v>
      </c>
      <c r="N70" s="572">
        <v>63250</v>
      </c>
      <c r="O70" s="572">
        <v>67350</v>
      </c>
      <c r="P70" s="41"/>
      <c r="Q70" s="41"/>
    </row>
    <row r="71" spans="1:17">
      <c r="A71" s="38"/>
      <c r="B71" s="574">
        <v>0.45</v>
      </c>
      <c r="C71" s="571">
        <v>803</v>
      </c>
      <c r="D71" s="571">
        <v>860</v>
      </c>
      <c r="E71" s="571">
        <v>1032</v>
      </c>
      <c r="F71" s="571">
        <v>1193</v>
      </c>
      <c r="G71" s="571">
        <v>1332</v>
      </c>
      <c r="H71" s="571">
        <v>32130</v>
      </c>
      <c r="I71" s="571">
        <v>36720</v>
      </c>
      <c r="J71" s="571">
        <v>41310</v>
      </c>
      <c r="K71" s="571">
        <v>45900</v>
      </c>
      <c r="L71" s="571">
        <v>49590</v>
      </c>
      <c r="M71" s="573">
        <v>53280</v>
      </c>
      <c r="N71" s="573">
        <v>56925</v>
      </c>
      <c r="O71" s="573">
        <v>60615</v>
      </c>
      <c r="P71" s="41"/>
      <c r="Q71" s="41"/>
    </row>
    <row r="72" spans="1:17">
      <c r="A72" s="38"/>
      <c r="B72" s="574">
        <v>0.4</v>
      </c>
      <c r="C72" s="571">
        <v>714</v>
      </c>
      <c r="D72" s="571">
        <v>765</v>
      </c>
      <c r="E72" s="571">
        <v>918</v>
      </c>
      <c r="F72" s="571">
        <v>1061</v>
      </c>
      <c r="G72" s="571">
        <v>1184</v>
      </c>
      <c r="H72" s="571">
        <v>28560</v>
      </c>
      <c r="I72" s="571">
        <v>32640</v>
      </c>
      <c r="J72" s="571">
        <v>36720</v>
      </c>
      <c r="K72" s="571">
        <v>40800</v>
      </c>
      <c r="L72" s="571">
        <v>44080</v>
      </c>
      <c r="M72" s="573">
        <v>47360</v>
      </c>
      <c r="N72" s="573">
        <v>50600</v>
      </c>
      <c r="O72" s="573">
        <v>53880</v>
      </c>
      <c r="P72" s="41"/>
      <c r="Q72" s="41"/>
    </row>
    <row r="73" spans="1:17">
      <c r="A73" s="38"/>
      <c r="B73" s="510">
        <v>0.3</v>
      </c>
      <c r="C73" s="571">
        <v>535</v>
      </c>
      <c r="D73" s="571">
        <v>573</v>
      </c>
      <c r="E73" s="571">
        <v>688</v>
      </c>
      <c r="F73" s="571">
        <v>795</v>
      </c>
      <c r="G73" s="571">
        <v>888</v>
      </c>
      <c r="H73" s="572">
        <v>21420</v>
      </c>
      <c r="I73" s="572">
        <v>24480</v>
      </c>
      <c r="J73" s="572">
        <v>27540</v>
      </c>
      <c r="K73" s="572">
        <v>30600</v>
      </c>
      <c r="L73" s="572">
        <v>33060</v>
      </c>
      <c r="M73" s="572">
        <v>35520</v>
      </c>
      <c r="N73" s="572">
        <v>37950</v>
      </c>
      <c r="O73" s="572">
        <v>40410</v>
      </c>
      <c r="P73" s="41"/>
      <c r="Q73" s="41"/>
    </row>
    <row r="74" spans="1:17" ht="13.8" thickBot="1">
      <c r="A74" s="38"/>
      <c r="B74" s="40">
        <v>0.2</v>
      </c>
      <c r="C74" s="512">
        <v>357</v>
      </c>
      <c r="D74" s="512">
        <v>382</v>
      </c>
      <c r="E74" s="512">
        <v>459</v>
      </c>
      <c r="F74" s="512">
        <v>530</v>
      </c>
      <c r="G74" s="512">
        <v>592</v>
      </c>
      <c r="H74" s="513">
        <v>14280</v>
      </c>
      <c r="I74" s="513">
        <v>16320</v>
      </c>
      <c r="J74" s="513">
        <v>18360</v>
      </c>
      <c r="K74" s="513">
        <v>20400</v>
      </c>
      <c r="L74" s="513">
        <v>22040</v>
      </c>
      <c r="M74" s="513">
        <v>23680</v>
      </c>
      <c r="N74" s="513">
        <v>25300</v>
      </c>
      <c r="O74" s="513">
        <v>26940</v>
      </c>
      <c r="P74" s="41"/>
      <c r="Q74" s="41"/>
    </row>
    <row r="75" spans="1:17" ht="13.8" thickTop="1">
      <c r="A75" s="36"/>
      <c r="B75" s="37">
        <v>1.2</v>
      </c>
      <c r="C75" s="514">
        <v>3165</v>
      </c>
      <c r="D75" s="514">
        <v>3390</v>
      </c>
      <c r="E75" s="514">
        <v>4068</v>
      </c>
      <c r="F75" s="514">
        <v>4699</v>
      </c>
      <c r="G75" s="514">
        <v>5241</v>
      </c>
      <c r="H75" s="514">
        <v>126600</v>
      </c>
      <c r="I75" s="514">
        <v>144600</v>
      </c>
      <c r="J75" s="514">
        <v>162720</v>
      </c>
      <c r="K75" s="514">
        <v>180720</v>
      </c>
      <c r="L75" s="514">
        <v>195240</v>
      </c>
      <c r="M75" s="514">
        <v>209640</v>
      </c>
      <c r="N75" s="514">
        <v>224160</v>
      </c>
      <c r="O75" s="514">
        <v>238560</v>
      </c>
      <c r="P75" s="39"/>
      <c r="Q75" s="39"/>
    </row>
    <row r="76" spans="1:17">
      <c r="A76" s="38"/>
      <c r="B76" s="574">
        <v>1</v>
      </c>
      <c r="C76" s="571">
        <v>2637</v>
      </c>
      <c r="D76" s="571">
        <v>2825</v>
      </c>
      <c r="E76" s="571">
        <v>3390</v>
      </c>
      <c r="F76" s="571">
        <v>3916</v>
      </c>
      <c r="G76" s="571">
        <v>4367</v>
      </c>
      <c r="H76" s="571">
        <v>105500</v>
      </c>
      <c r="I76" s="571">
        <v>120500</v>
      </c>
      <c r="J76" s="571">
        <v>135600</v>
      </c>
      <c r="K76" s="571">
        <v>150600</v>
      </c>
      <c r="L76" s="571">
        <v>162700</v>
      </c>
      <c r="M76" s="571">
        <v>174700</v>
      </c>
      <c r="N76" s="571">
        <v>186800</v>
      </c>
      <c r="O76" s="571">
        <v>198800</v>
      </c>
      <c r="P76" s="39"/>
      <c r="Q76" s="39"/>
    </row>
    <row r="77" spans="1:17">
      <c r="A77" s="38" t="s">
        <v>1122</v>
      </c>
      <c r="B77" s="574">
        <v>0.8</v>
      </c>
      <c r="C77" s="571">
        <v>2110</v>
      </c>
      <c r="D77" s="571">
        <v>2260</v>
      </c>
      <c r="E77" s="571">
        <v>2712</v>
      </c>
      <c r="F77" s="571">
        <v>3133</v>
      </c>
      <c r="G77" s="571">
        <v>3494</v>
      </c>
      <c r="H77" s="572">
        <v>84400</v>
      </c>
      <c r="I77" s="572">
        <v>96400</v>
      </c>
      <c r="J77" s="572">
        <v>108480</v>
      </c>
      <c r="K77" s="572">
        <v>120480</v>
      </c>
      <c r="L77" s="572">
        <v>130160</v>
      </c>
      <c r="M77" s="572">
        <v>139760</v>
      </c>
      <c r="N77" s="572">
        <v>149440</v>
      </c>
      <c r="O77" s="572">
        <v>159040</v>
      </c>
      <c r="P77" s="39"/>
      <c r="Q77" s="39"/>
    </row>
    <row r="78" spans="1:17">
      <c r="A78" s="38"/>
      <c r="B78" s="574">
        <v>0.7</v>
      </c>
      <c r="C78" s="571">
        <v>1846</v>
      </c>
      <c r="D78" s="571">
        <v>1977</v>
      </c>
      <c r="E78" s="571">
        <v>2373</v>
      </c>
      <c r="F78" s="571">
        <v>2741</v>
      </c>
      <c r="G78" s="571">
        <v>3057</v>
      </c>
      <c r="H78" s="572">
        <v>73850</v>
      </c>
      <c r="I78" s="572">
        <v>84350</v>
      </c>
      <c r="J78" s="572">
        <v>94920</v>
      </c>
      <c r="K78" s="572">
        <v>105420</v>
      </c>
      <c r="L78" s="572">
        <v>113890</v>
      </c>
      <c r="M78" s="572">
        <v>122289.99999999999</v>
      </c>
      <c r="N78" s="572">
        <v>130759.99999999999</v>
      </c>
      <c r="O78" s="572">
        <v>139160</v>
      </c>
      <c r="P78" s="39"/>
      <c r="Q78" s="39"/>
    </row>
    <row r="79" spans="1:17">
      <c r="A79" s="38"/>
      <c r="B79" s="574">
        <v>0.6</v>
      </c>
      <c r="C79" s="571">
        <v>1582</v>
      </c>
      <c r="D79" s="571">
        <v>1695</v>
      </c>
      <c r="E79" s="571">
        <v>2034</v>
      </c>
      <c r="F79" s="571">
        <v>2349</v>
      </c>
      <c r="G79" s="571">
        <v>2620</v>
      </c>
      <c r="H79" s="571">
        <v>63300</v>
      </c>
      <c r="I79" s="571">
        <v>72300</v>
      </c>
      <c r="J79" s="571">
        <v>81360</v>
      </c>
      <c r="K79" s="571">
        <v>90360</v>
      </c>
      <c r="L79" s="571">
        <v>97620</v>
      </c>
      <c r="M79" s="573">
        <v>104820</v>
      </c>
      <c r="N79" s="573">
        <v>112080</v>
      </c>
      <c r="O79" s="573">
        <v>119280</v>
      </c>
      <c r="P79" s="39"/>
      <c r="Q79" s="39"/>
    </row>
    <row r="80" spans="1:17">
      <c r="A80" s="38"/>
      <c r="B80" s="574">
        <v>0.55000000000000004</v>
      </c>
      <c r="C80" s="571">
        <v>1450</v>
      </c>
      <c r="D80" s="571">
        <v>1553</v>
      </c>
      <c r="E80" s="571">
        <v>1864</v>
      </c>
      <c r="F80" s="571">
        <v>2153</v>
      </c>
      <c r="G80" s="571">
        <v>2402</v>
      </c>
      <c r="H80" s="571">
        <v>58025.000000000007</v>
      </c>
      <c r="I80" s="571">
        <v>66275</v>
      </c>
      <c r="J80" s="571">
        <v>74580</v>
      </c>
      <c r="K80" s="571">
        <v>82830</v>
      </c>
      <c r="L80" s="571">
        <v>89485</v>
      </c>
      <c r="M80" s="571">
        <v>96085.000000000015</v>
      </c>
      <c r="N80" s="571">
        <v>102740.00000000001</v>
      </c>
      <c r="O80" s="571">
        <v>109340.00000000001</v>
      </c>
      <c r="P80" s="39"/>
      <c r="Q80" s="39"/>
    </row>
    <row r="81" spans="1:17">
      <c r="A81" s="38"/>
      <c r="B81" s="574">
        <v>0.5</v>
      </c>
      <c r="C81" s="571">
        <v>1318</v>
      </c>
      <c r="D81" s="571">
        <v>1412</v>
      </c>
      <c r="E81" s="571">
        <v>1695</v>
      </c>
      <c r="F81" s="571">
        <v>1958</v>
      </c>
      <c r="G81" s="571">
        <v>2183</v>
      </c>
      <c r="H81" s="572">
        <v>52750</v>
      </c>
      <c r="I81" s="572">
        <v>60250</v>
      </c>
      <c r="J81" s="572">
        <v>67800</v>
      </c>
      <c r="K81" s="572">
        <v>75300</v>
      </c>
      <c r="L81" s="572">
        <v>81350</v>
      </c>
      <c r="M81" s="572">
        <v>87350</v>
      </c>
      <c r="N81" s="572">
        <v>93400</v>
      </c>
      <c r="O81" s="572">
        <v>99400</v>
      </c>
      <c r="P81" s="39"/>
      <c r="Q81" s="39"/>
    </row>
    <row r="82" spans="1:17">
      <c r="A82" s="38"/>
      <c r="B82" s="574">
        <v>0.45</v>
      </c>
      <c r="C82" s="571">
        <v>1186</v>
      </c>
      <c r="D82" s="571">
        <v>1271</v>
      </c>
      <c r="E82" s="571">
        <v>1525</v>
      </c>
      <c r="F82" s="571">
        <v>1762</v>
      </c>
      <c r="G82" s="571">
        <v>1965</v>
      </c>
      <c r="H82" s="571">
        <v>47475</v>
      </c>
      <c r="I82" s="571">
        <v>54225</v>
      </c>
      <c r="J82" s="571">
        <v>61020</v>
      </c>
      <c r="K82" s="571">
        <v>67770</v>
      </c>
      <c r="L82" s="571">
        <v>73215</v>
      </c>
      <c r="M82" s="573">
        <v>78615</v>
      </c>
      <c r="N82" s="573">
        <v>84060</v>
      </c>
      <c r="O82" s="573">
        <v>89460</v>
      </c>
      <c r="P82" s="39"/>
      <c r="Q82" s="39"/>
    </row>
    <row r="83" spans="1:17">
      <c r="A83" s="38"/>
      <c r="B83" s="574">
        <v>0.4</v>
      </c>
      <c r="C83" s="571">
        <v>1055</v>
      </c>
      <c r="D83" s="571">
        <v>1130</v>
      </c>
      <c r="E83" s="571">
        <v>1356</v>
      </c>
      <c r="F83" s="571">
        <v>1566</v>
      </c>
      <c r="G83" s="571">
        <v>1747</v>
      </c>
      <c r="H83" s="571">
        <v>42200</v>
      </c>
      <c r="I83" s="571">
        <v>48200</v>
      </c>
      <c r="J83" s="571">
        <v>54240</v>
      </c>
      <c r="K83" s="571">
        <v>60240</v>
      </c>
      <c r="L83" s="571">
        <v>65080</v>
      </c>
      <c r="M83" s="573">
        <v>69880</v>
      </c>
      <c r="N83" s="573">
        <v>74720</v>
      </c>
      <c r="O83" s="573">
        <v>79520</v>
      </c>
      <c r="P83" s="39"/>
      <c r="Q83" s="39"/>
    </row>
    <row r="84" spans="1:17">
      <c r="A84" s="38"/>
      <c r="B84" s="510">
        <v>0.3</v>
      </c>
      <c r="C84" s="571">
        <v>791</v>
      </c>
      <c r="D84" s="571">
        <v>847</v>
      </c>
      <c r="E84" s="571">
        <v>1017</v>
      </c>
      <c r="F84" s="571">
        <v>1174</v>
      </c>
      <c r="G84" s="571">
        <v>1310</v>
      </c>
      <c r="H84" s="572">
        <v>31650</v>
      </c>
      <c r="I84" s="572">
        <v>36150</v>
      </c>
      <c r="J84" s="572">
        <v>40680</v>
      </c>
      <c r="K84" s="572">
        <v>45180</v>
      </c>
      <c r="L84" s="572">
        <v>48810</v>
      </c>
      <c r="M84" s="572">
        <v>52410</v>
      </c>
      <c r="N84" s="572">
        <v>56040</v>
      </c>
      <c r="O84" s="572">
        <v>59640</v>
      </c>
      <c r="P84" s="39"/>
      <c r="Q84" s="39"/>
    </row>
    <row r="85" spans="1:17" ht="13.8" thickBot="1">
      <c r="A85" s="575"/>
      <c r="B85" s="40">
        <v>0.2</v>
      </c>
      <c r="C85" s="512">
        <v>527</v>
      </c>
      <c r="D85" s="512">
        <v>565</v>
      </c>
      <c r="E85" s="512">
        <v>678</v>
      </c>
      <c r="F85" s="512">
        <v>783</v>
      </c>
      <c r="G85" s="512">
        <v>873</v>
      </c>
      <c r="H85" s="513">
        <v>21100</v>
      </c>
      <c r="I85" s="513">
        <v>24100</v>
      </c>
      <c r="J85" s="513">
        <v>27120</v>
      </c>
      <c r="K85" s="513">
        <v>30120</v>
      </c>
      <c r="L85" s="513">
        <v>32540</v>
      </c>
      <c r="M85" s="513">
        <v>34940</v>
      </c>
      <c r="N85" s="513">
        <v>37360</v>
      </c>
      <c r="O85" s="513">
        <v>39760</v>
      </c>
      <c r="P85" s="41"/>
      <c r="Q85" s="41"/>
    </row>
    <row r="86" spans="1:17" ht="13.8" thickTop="1">
      <c r="A86" s="36"/>
      <c r="B86" s="37">
        <v>1.2</v>
      </c>
      <c r="C86" s="514">
        <v>2943</v>
      </c>
      <c r="D86" s="514">
        <v>3153</v>
      </c>
      <c r="E86" s="514">
        <v>3783</v>
      </c>
      <c r="F86" s="514">
        <v>4372</v>
      </c>
      <c r="G86" s="514">
        <v>4878</v>
      </c>
      <c r="H86" s="514">
        <v>117720</v>
      </c>
      <c r="I86" s="514">
        <v>134520</v>
      </c>
      <c r="J86" s="514">
        <v>151320</v>
      </c>
      <c r="K86" s="514">
        <v>168120</v>
      </c>
      <c r="L86" s="514">
        <v>181680</v>
      </c>
      <c r="M86" s="514">
        <v>195120</v>
      </c>
      <c r="N86" s="514">
        <v>208560</v>
      </c>
      <c r="O86" s="514">
        <v>222000</v>
      </c>
      <c r="P86" s="39"/>
      <c r="Q86" s="39"/>
    </row>
    <row r="87" spans="1:17">
      <c r="A87" s="38"/>
      <c r="B87" s="574">
        <v>1</v>
      </c>
      <c r="C87" s="571">
        <v>2452</v>
      </c>
      <c r="D87" s="571">
        <v>2627</v>
      </c>
      <c r="E87" s="571">
        <v>3152</v>
      </c>
      <c r="F87" s="571">
        <v>3643</v>
      </c>
      <c r="G87" s="571">
        <v>4065</v>
      </c>
      <c r="H87" s="571">
        <v>98100</v>
      </c>
      <c r="I87" s="571">
        <v>112100</v>
      </c>
      <c r="J87" s="571">
        <v>126100</v>
      </c>
      <c r="K87" s="571">
        <v>140100</v>
      </c>
      <c r="L87" s="571">
        <v>151400</v>
      </c>
      <c r="M87" s="571">
        <v>162600</v>
      </c>
      <c r="N87" s="571">
        <v>173800</v>
      </c>
      <c r="O87" s="571">
        <v>185000</v>
      </c>
      <c r="P87" s="39"/>
      <c r="Q87" s="39"/>
    </row>
    <row r="88" spans="1:17">
      <c r="A88" s="38" t="s">
        <v>1123</v>
      </c>
      <c r="B88" s="574">
        <v>0.8</v>
      </c>
      <c r="C88" s="571">
        <v>1962</v>
      </c>
      <c r="D88" s="571">
        <v>2102</v>
      </c>
      <c r="E88" s="571">
        <v>2522</v>
      </c>
      <c r="F88" s="571">
        <v>2915</v>
      </c>
      <c r="G88" s="571">
        <v>3252</v>
      </c>
      <c r="H88" s="572">
        <v>78480</v>
      </c>
      <c r="I88" s="572">
        <v>89680</v>
      </c>
      <c r="J88" s="572">
        <v>100880</v>
      </c>
      <c r="K88" s="572">
        <v>112080</v>
      </c>
      <c r="L88" s="572">
        <v>121120</v>
      </c>
      <c r="M88" s="572">
        <v>130080</v>
      </c>
      <c r="N88" s="572">
        <v>139040</v>
      </c>
      <c r="O88" s="572">
        <v>148000</v>
      </c>
      <c r="P88" s="39"/>
      <c r="Q88" s="39"/>
    </row>
    <row r="89" spans="1:17">
      <c r="A89" s="38"/>
      <c r="B89" s="574">
        <v>0.7</v>
      </c>
      <c r="C89" s="571">
        <v>1716</v>
      </c>
      <c r="D89" s="571">
        <v>1839</v>
      </c>
      <c r="E89" s="571">
        <v>2206</v>
      </c>
      <c r="F89" s="571">
        <v>2550</v>
      </c>
      <c r="G89" s="571">
        <v>2845</v>
      </c>
      <c r="H89" s="572">
        <v>68670</v>
      </c>
      <c r="I89" s="572">
        <v>78470</v>
      </c>
      <c r="J89" s="572">
        <v>88270</v>
      </c>
      <c r="K89" s="572">
        <v>98070</v>
      </c>
      <c r="L89" s="572">
        <v>105980</v>
      </c>
      <c r="M89" s="572">
        <v>113820</v>
      </c>
      <c r="N89" s="572">
        <v>121659.99999999999</v>
      </c>
      <c r="O89" s="572">
        <v>129499.99999999999</v>
      </c>
      <c r="P89" s="39"/>
      <c r="Q89" s="39"/>
    </row>
    <row r="90" spans="1:17">
      <c r="A90" s="38"/>
      <c r="B90" s="574">
        <v>0.6</v>
      </c>
      <c r="C90" s="571">
        <v>1471</v>
      </c>
      <c r="D90" s="571">
        <v>1576</v>
      </c>
      <c r="E90" s="571">
        <v>1891</v>
      </c>
      <c r="F90" s="571">
        <v>2186</v>
      </c>
      <c r="G90" s="571">
        <v>2439</v>
      </c>
      <c r="H90" s="571">
        <v>58860</v>
      </c>
      <c r="I90" s="571">
        <v>67260</v>
      </c>
      <c r="J90" s="571">
        <v>75660</v>
      </c>
      <c r="K90" s="571">
        <v>84060</v>
      </c>
      <c r="L90" s="571">
        <v>90840</v>
      </c>
      <c r="M90" s="573">
        <v>97560</v>
      </c>
      <c r="N90" s="573">
        <v>104280</v>
      </c>
      <c r="O90" s="573">
        <v>111000</v>
      </c>
      <c r="P90" s="39"/>
      <c r="Q90" s="39"/>
    </row>
    <row r="91" spans="1:17">
      <c r="A91" s="38"/>
      <c r="B91" s="574">
        <v>0.55000000000000004</v>
      </c>
      <c r="C91" s="571">
        <v>1348</v>
      </c>
      <c r="D91" s="571">
        <v>1445</v>
      </c>
      <c r="E91" s="571">
        <v>1733</v>
      </c>
      <c r="F91" s="571">
        <v>2004</v>
      </c>
      <c r="G91" s="571">
        <v>2235</v>
      </c>
      <c r="H91" s="571">
        <v>53955.000000000007</v>
      </c>
      <c r="I91" s="571">
        <v>61655.000000000007</v>
      </c>
      <c r="J91" s="571">
        <v>69355</v>
      </c>
      <c r="K91" s="571">
        <v>77055</v>
      </c>
      <c r="L91" s="571">
        <v>83270</v>
      </c>
      <c r="M91" s="571">
        <v>89430</v>
      </c>
      <c r="N91" s="571">
        <v>95590.000000000015</v>
      </c>
      <c r="O91" s="571">
        <v>101750.00000000001</v>
      </c>
      <c r="P91" s="39"/>
      <c r="Q91" s="39"/>
    </row>
    <row r="92" spans="1:17">
      <c r="A92" s="38"/>
      <c r="B92" s="574">
        <v>0.5</v>
      </c>
      <c r="C92" s="571">
        <v>1226</v>
      </c>
      <c r="D92" s="571">
        <v>1313</v>
      </c>
      <c r="E92" s="571">
        <v>1576</v>
      </c>
      <c r="F92" s="571">
        <v>1821</v>
      </c>
      <c r="G92" s="571">
        <v>2032</v>
      </c>
      <c r="H92" s="572">
        <v>49050</v>
      </c>
      <c r="I92" s="572">
        <v>56050</v>
      </c>
      <c r="J92" s="572">
        <v>63050</v>
      </c>
      <c r="K92" s="572">
        <v>70050</v>
      </c>
      <c r="L92" s="572">
        <v>75700</v>
      </c>
      <c r="M92" s="572">
        <v>81300</v>
      </c>
      <c r="N92" s="572">
        <v>86900</v>
      </c>
      <c r="O92" s="572">
        <v>92500</v>
      </c>
      <c r="P92" s="39"/>
      <c r="Q92" s="39"/>
    </row>
    <row r="93" spans="1:17">
      <c r="A93" s="38"/>
      <c r="B93" s="574">
        <v>0.45</v>
      </c>
      <c r="C93" s="571">
        <v>1103</v>
      </c>
      <c r="D93" s="571">
        <v>1182</v>
      </c>
      <c r="E93" s="571">
        <v>1418</v>
      </c>
      <c r="F93" s="571">
        <v>1639</v>
      </c>
      <c r="G93" s="571">
        <v>1829</v>
      </c>
      <c r="H93" s="571">
        <v>44145</v>
      </c>
      <c r="I93" s="571">
        <v>50445</v>
      </c>
      <c r="J93" s="571">
        <v>56745</v>
      </c>
      <c r="K93" s="571">
        <v>63045</v>
      </c>
      <c r="L93" s="571">
        <v>68130</v>
      </c>
      <c r="M93" s="573">
        <v>73170</v>
      </c>
      <c r="N93" s="573">
        <v>78210</v>
      </c>
      <c r="O93" s="573">
        <v>83250</v>
      </c>
      <c r="P93" s="39"/>
      <c r="Q93" s="39"/>
    </row>
    <row r="94" spans="1:17">
      <c r="A94" s="38"/>
      <c r="B94" s="574">
        <v>0.4</v>
      </c>
      <c r="C94" s="571">
        <v>981</v>
      </c>
      <c r="D94" s="571">
        <v>1051</v>
      </c>
      <c r="E94" s="571">
        <v>1261</v>
      </c>
      <c r="F94" s="571">
        <v>1457</v>
      </c>
      <c r="G94" s="571">
        <v>1626</v>
      </c>
      <c r="H94" s="571">
        <v>39240</v>
      </c>
      <c r="I94" s="571">
        <v>44840</v>
      </c>
      <c r="J94" s="571">
        <v>50440</v>
      </c>
      <c r="K94" s="571">
        <v>56040</v>
      </c>
      <c r="L94" s="571">
        <v>60560</v>
      </c>
      <c r="M94" s="573">
        <v>65040</v>
      </c>
      <c r="N94" s="573">
        <v>69520</v>
      </c>
      <c r="O94" s="573">
        <v>74000</v>
      </c>
      <c r="P94" s="39"/>
      <c r="Q94" s="39"/>
    </row>
    <row r="95" spans="1:17">
      <c r="A95" s="38"/>
      <c r="B95" s="510">
        <v>0.3</v>
      </c>
      <c r="C95" s="571">
        <v>735</v>
      </c>
      <c r="D95" s="571">
        <v>788</v>
      </c>
      <c r="E95" s="571">
        <v>945</v>
      </c>
      <c r="F95" s="571">
        <v>1093</v>
      </c>
      <c r="G95" s="571">
        <v>1219</v>
      </c>
      <c r="H95" s="572">
        <v>29430</v>
      </c>
      <c r="I95" s="572">
        <v>33630</v>
      </c>
      <c r="J95" s="572">
        <v>37830</v>
      </c>
      <c r="K95" s="572">
        <v>42030</v>
      </c>
      <c r="L95" s="572">
        <v>45420</v>
      </c>
      <c r="M95" s="572">
        <v>48780</v>
      </c>
      <c r="N95" s="572">
        <v>52140</v>
      </c>
      <c r="O95" s="572">
        <v>55500</v>
      </c>
      <c r="P95" s="39"/>
      <c r="Q95" s="39"/>
    </row>
    <row r="96" spans="1:17" ht="13.8" thickBot="1">
      <c r="A96" s="575"/>
      <c r="B96" s="40">
        <v>0.2</v>
      </c>
      <c r="C96" s="512">
        <v>490</v>
      </c>
      <c r="D96" s="512">
        <v>525</v>
      </c>
      <c r="E96" s="512">
        <v>630</v>
      </c>
      <c r="F96" s="512">
        <v>728</v>
      </c>
      <c r="G96" s="512">
        <v>813</v>
      </c>
      <c r="H96" s="513">
        <v>19620</v>
      </c>
      <c r="I96" s="513">
        <v>22420</v>
      </c>
      <c r="J96" s="513">
        <v>25220</v>
      </c>
      <c r="K96" s="513">
        <v>28020</v>
      </c>
      <c r="L96" s="513">
        <v>30280</v>
      </c>
      <c r="M96" s="513">
        <v>32520</v>
      </c>
      <c r="N96" s="513">
        <v>34760</v>
      </c>
      <c r="O96" s="513">
        <v>37000</v>
      </c>
      <c r="P96" s="41"/>
      <c r="Q96" s="41"/>
    </row>
    <row r="97" spans="1:17" ht="13.8" thickTop="1">
      <c r="A97" s="38"/>
      <c r="B97" s="37">
        <v>1.2</v>
      </c>
      <c r="C97" s="514">
        <v>2160</v>
      </c>
      <c r="D97" s="514">
        <v>2314</v>
      </c>
      <c r="E97" s="514">
        <v>2778</v>
      </c>
      <c r="F97" s="514">
        <v>3208</v>
      </c>
      <c r="G97" s="514">
        <v>3579</v>
      </c>
      <c r="H97" s="514">
        <v>86400</v>
      </c>
      <c r="I97" s="514">
        <v>98760</v>
      </c>
      <c r="J97" s="514">
        <v>111120</v>
      </c>
      <c r="K97" s="514">
        <v>123360</v>
      </c>
      <c r="L97" s="514">
        <v>133320</v>
      </c>
      <c r="M97" s="514">
        <v>143160</v>
      </c>
      <c r="N97" s="514">
        <v>153000</v>
      </c>
      <c r="O97" s="514">
        <v>162840</v>
      </c>
      <c r="P97" s="41"/>
      <c r="Q97" s="41"/>
    </row>
    <row r="98" spans="1:17">
      <c r="A98" s="38"/>
      <c r="B98" s="574">
        <v>1</v>
      </c>
      <c r="C98" s="571">
        <v>1800</v>
      </c>
      <c r="D98" s="571">
        <v>1928</v>
      </c>
      <c r="E98" s="571">
        <v>2315</v>
      </c>
      <c r="F98" s="571">
        <v>2673</v>
      </c>
      <c r="G98" s="571">
        <v>2982</v>
      </c>
      <c r="H98" s="571">
        <v>72000</v>
      </c>
      <c r="I98" s="571">
        <v>82300</v>
      </c>
      <c r="J98" s="571">
        <v>92600</v>
      </c>
      <c r="K98" s="571">
        <v>102800</v>
      </c>
      <c r="L98" s="571">
        <v>111100</v>
      </c>
      <c r="M98" s="571">
        <v>119300</v>
      </c>
      <c r="N98" s="571">
        <v>127500</v>
      </c>
      <c r="O98" s="571">
        <v>135700</v>
      </c>
      <c r="P98" s="41"/>
      <c r="Q98" s="41"/>
    </row>
    <row r="99" spans="1:17">
      <c r="A99" s="38" t="s">
        <v>1124</v>
      </c>
      <c r="B99" s="574">
        <v>0.8</v>
      </c>
      <c r="C99" s="571">
        <v>1440</v>
      </c>
      <c r="D99" s="571">
        <v>1543</v>
      </c>
      <c r="E99" s="571">
        <v>1852</v>
      </c>
      <c r="F99" s="571">
        <v>2139</v>
      </c>
      <c r="G99" s="571">
        <v>2386</v>
      </c>
      <c r="H99" s="572">
        <v>57600</v>
      </c>
      <c r="I99" s="572">
        <v>65840</v>
      </c>
      <c r="J99" s="572">
        <v>74080</v>
      </c>
      <c r="K99" s="572">
        <v>82240</v>
      </c>
      <c r="L99" s="572">
        <v>88880</v>
      </c>
      <c r="M99" s="572">
        <v>95440</v>
      </c>
      <c r="N99" s="572">
        <v>102000</v>
      </c>
      <c r="O99" s="572">
        <v>108560</v>
      </c>
      <c r="P99" s="41"/>
      <c r="Q99" s="41"/>
    </row>
    <row r="100" spans="1:17">
      <c r="A100" s="38"/>
      <c r="B100" s="574">
        <v>0.7</v>
      </c>
      <c r="C100" s="571">
        <v>1260</v>
      </c>
      <c r="D100" s="571">
        <v>1350</v>
      </c>
      <c r="E100" s="571">
        <v>1620</v>
      </c>
      <c r="F100" s="571">
        <v>1871</v>
      </c>
      <c r="G100" s="571">
        <v>2087</v>
      </c>
      <c r="H100" s="572">
        <v>50400</v>
      </c>
      <c r="I100" s="572">
        <v>57609.999999999993</v>
      </c>
      <c r="J100" s="572">
        <v>64819.999999999993</v>
      </c>
      <c r="K100" s="572">
        <v>71960</v>
      </c>
      <c r="L100" s="572">
        <v>77770</v>
      </c>
      <c r="M100" s="572">
        <v>83510</v>
      </c>
      <c r="N100" s="572">
        <v>89250</v>
      </c>
      <c r="O100" s="572">
        <v>94990</v>
      </c>
      <c r="P100" s="41"/>
      <c r="Q100" s="41"/>
    </row>
    <row r="101" spans="1:17">
      <c r="A101" s="38"/>
      <c r="B101" s="574">
        <v>0.6</v>
      </c>
      <c r="C101" s="571">
        <v>1080</v>
      </c>
      <c r="D101" s="571">
        <v>1157</v>
      </c>
      <c r="E101" s="571">
        <v>1389</v>
      </c>
      <c r="F101" s="571">
        <v>1604</v>
      </c>
      <c r="G101" s="571">
        <v>1789</v>
      </c>
      <c r="H101" s="571">
        <v>43200</v>
      </c>
      <c r="I101" s="571">
        <v>49380</v>
      </c>
      <c r="J101" s="571">
        <v>55560</v>
      </c>
      <c r="K101" s="571">
        <v>61680</v>
      </c>
      <c r="L101" s="571">
        <v>66660</v>
      </c>
      <c r="M101" s="573">
        <v>71580</v>
      </c>
      <c r="N101" s="573">
        <v>76500</v>
      </c>
      <c r="O101" s="573">
        <v>81420</v>
      </c>
      <c r="P101" s="41"/>
      <c r="Q101" s="41"/>
    </row>
    <row r="102" spans="1:17">
      <c r="A102" s="38"/>
      <c r="B102" s="574">
        <v>0.55000000000000004</v>
      </c>
      <c r="C102" s="571">
        <v>990</v>
      </c>
      <c r="D102" s="571">
        <v>1060</v>
      </c>
      <c r="E102" s="571">
        <v>1273</v>
      </c>
      <c r="F102" s="571">
        <v>1470</v>
      </c>
      <c r="G102" s="571">
        <v>1640</v>
      </c>
      <c r="H102" s="571">
        <v>39600</v>
      </c>
      <c r="I102" s="571">
        <v>45265.000000000007</v>
      </c>
      <c r="J102" s="571">
        <v>50930.000000000007</v>
      </c>
      <c r="K102" s="571">
        <v>56540.000000000007</v>
      </c>
      <c r="L102" s="571">
        <v>61105.000000000007</v>
      </c>
      <c r="M102" s="571">
        <v>65615</v>
      </c>
      <c r="N102" s="571">
        <v>70125</v>
      </c>
      <c r="O102" s="571">
        <v>74635</v>
      </c>
      <c r="P102" s="41"/>
      <c r="Q102" s="41"/>
    </row>
    <row r="103" spans="1:17">
      <c r="A103" s="38"/>
      <c r="B103" s="574">
        <v>0.5</v>
      </c>
      <c r="C103" s="571">
        <v>900</v>
      </c>
      <c r="D103" s="571">
        <v>964</v>
      </c>
      <c r="E103" s="571">
        <v>1157</v>
      </c>
      <c r="F103" s="571">
        <v>1336</v>
      </c>
      <c r="G103" s="571">
        <v>1491</v>
      </c>
      <c r="H103" s="572">
        <v>36000</v>
      </c>
      <c r="I103" s="572">
        <v>41150</v>
      </c>
      <c r="J103" s="572">
        <v>46300</v>
      </c>
      <c r="K103" s="572">
        <v>51400</v>
      </c>
      <c r="L103" s="572">
        <v>55550</v>
      </c>
      <c r="M103" s="572">
        <v>59650</v>
      </c>
      <c r="N103" s="572">
        <v>63750</v>
      </c>
      <c r="O103" s="572">
        <v>67850</v>
      </c>
      <c r="P103" s="41"/>
      <c r="Q103" s="41"/>
    </row>
    <row r="104" spans="1:17">
      <c r="A104" s="38"/>
      <c r="B104" s="574">
        <v>0.45</v>
      </c>
      <c r="C104" s="571">
        <v>810</v>
      </c>
      <c r="D104" s="571">
        <v>867</v>
      </c>
      <c r="E104" s="571">
        <v>1041</v>
      </c>
      <c r="F104" s="571">
        <v>1203</v>
      </c>
      <c r="G104" s="571">
        <v>1342</v>
      </c>
      <c r="H104" s="571">
        <v>32400</v>
      </c>
      <c r="I104" s="571">
        <v>37035</v>
      </c>
      <c r="J104" s="571">
        <v>41670</v>
      </c>
      <c r="K104" s="571">
        <v>46260</v>
      </c>
      <c r="L104" s="571">
        <v>49995</v>
      </c>
      <c r="M104" s="573">
        <v>53685</v>
      </c>
      <c r="N104" s="573">
        <v>57375</v>
      </c>
      <c r="O104" s="573">
        <v>61065</v>
      </c>
      <c r="P104" s="41"/>
      <c r="Q104" s="41"/>
    </row>
    <row r="105" spans="1:17">
      <c r="A105" s="38"/>
      <c r="B105" s="574">
        <v>0.4</v>
      </c>
      <c r="C105" s="571">
        <v>720</v>
      </c>
      <c r="D105" s="571">
        <v>771</v>
      </c>
      <c r="E105" s="571">
        <v>926</v>
      </c>
      <c r="F105" s="571">
        <v>1069</v>
      </c>
      <c r="G105" s="571">
        <v>1193</v>
      </c>
      <c r="H105" s="571">
        <v>28800</v>
      </c>
      <c r="I105" s="571">
        <v>32920</v>
      </c>
      <c r="J105" s="571">
        <v>37040</v>
      </c>
      <c r="K105" s="571">
        <v>41120</v>
      </c>
      <c r="L105" s="571">
        <v>44440</v>
      </c>
      <c r="M105" s="573">
        <v>47720</v>
      </c>
      <c r="N105" s="573">
        <v>51000</v>
      </c>
      <c r="O105" s="573">
        <v>54280</v>
      </c>
      <c r="P105" s="41"/>
      <c r="Q105" s="41"/>
    </row>
    <row r="106" spans="1:17">
      <c r="A106" s="38"/>
      <c r="B106" s="510">
        <v>0.3</v>
      </c>
      <c r="C106" s="571">
        <v>540</v>
      </c>
      <c r="D106" s="571">
        <v>578</v>
      </c>
      <c r="E106" s="571">
        <v>694</v>
      </c>
      <c r="F106" s="571">
        <v>802</v>
      </c>
      <c r="G106" s="571">
        <v>894</v>
      </c>
      <c r="H106" s="572">
        <v>21600</v>
      </c>
      <c r="I106" s="572">
        <v>24690</v>
      </c>
      <c r="J106" s="572">
        <v>27780</v>
      </c>
      <c r="K106" s="572">
        <v>30840</v>
      </c>
      <c r="L106" s="572">
        <v>33330</v>
      </c>
      <c r="M106" s="572">
        <v>35790</v>
      </c>
      <c r="N106" s="572">
        <v>38250</v>
      </c>
      <c r="O106" s="572">
        <v>40710</v>
      </c>
      <c r="P106" s="41"/>
      <c r="Q106" s="41"/>
    </row>
    <row r="107" spans="1:17" ht="13.8" thickBot="1">
      <c r="A107" s="38"/>
      <c r="B107" s="40">
        <v>0.2</v>
      </c>
      <c r="C107" s="512">
        <v>360</v>
      </c>
      <c r="D107" s="512">
        <v>385</v>
      </c>
      <c r="E107" s="512">
        <v>463</v>
      </c>
      <c r="F107" s="512">
        <v>534</v>
      </c>
      <c r="G107" s="512">
        <v>596</v>
      </c>
      <c r="H107" s="513">
        <v>14400</v>
      </c>
      <c r="I107" s="513">
        <v>16460</v>
      </c>
      <c r="J107" s="513">
        <v>18520</v>
      </c>
      <c r="K107" s="513">
        <v>20560</v>
      </c>
      <c r="L107" s="513">
        <v>22220</v>
      </c>
      <c r="M107" s="513">
        <v>23860</v>
      </c>
      <c r="N107" s="513">
        <v>25500</v>
      </c>
      <c r="O107" s="513">
        <v>27140</v>
      </c>
      <c r="P107" s="41"/>
      <c r="Q107" s="41"/>
    </row>
    <row r="108" spans="1:17" ht="13.8" thickTop="1">
      <c r="A108" s="36"/>
      <c r="B108" s="37">
        <v>1.2</v>
      </c>
      <c r="C108" s="514">
        <v>2142</v>
      </c>
      <c r="D108" s="514">
        <v>2295</v>
      </c>
      <c r="E108" s="514">
        <v>2754</v>
      </c>
      <c r="F108" s="514">
        <v>3183</v>
      </c>
      <c r="G108" s="514">
        <v>3552</v>
      </c>
      <c r="H108" s="514">
        <v>85680</v>
      </c>
      <c r="I108" s="514">
        <v>97920</v>
      </c>
      <c r="J108" s="514">
        <v>110160</v>
      </c>
      <c r="K108" s="514">
        <v>122400</v>
      </c>
      <c r="L108" s="514">
        <v>132240</v>
      </c>
      <c r="M108" s="514">
        <v>142080</v>
      </c>
      <c r="N108" s="514">
        <v>151800</v>
      </c>
      <c r="O108" s="514">
        <v>161640</v>
      </c>
      <c r="P108" s="39"/>
      <c r="Q108" s="39"/>
    </row>
    <row r="109" spans="1:17">
      <c r="A109" s="38"/>
      <c r="B109" s="574">
        <v>1</v>
      </c>
      <c r="C109" s="571">
        <v>1785</v>
      </c>
      <c r="D109" s="571">
        <v>1912</v>
      </c>
      <c r="E109" s="571">
        <v>2295</v>
      </c>
      <c r="F109" s="571">
        <v>2652</v>
      </c>
      <c r="G109" s="571">
        <v>2960</v>
      </c>
      <c r="H109" s="571">
        <v>71400</v>
      </c>
      <c r="I109" s="571">
        <v>81600</v>
      </c>
      <c r="J109" s="571">
        <v>91800</v>
      </c>
      <c r="K109" s="571">
        <v>102000</v>
      </c>
      <c r="L109" s="571">
        <v>110200</v>
      </c>
      <c r="M109" s="571">
        <v>118400</v>
      </c>
      <c r="N109" s="571">
        <v>126500</v>
      </c>
      <c r="O109" s="571">
        <v>134700</v>
      </c>
      <c r="P109" s="39"/>
      <c r="Q109" s="39"/>
    </row>
    <row r="110" spans="1:17">
      <c r="A110" s="38" t="s">
        <v>1125</v>
      </c>
      <c r="B110" s="574">
        <v>0.8</v>
      </c>
      <c r="C110" s="571">
        <v>1428</v>
      </c>
      <c r="D110" s="571">
        <v>1530</v>
      </c>
      <c r="E110" s="571">
        <v>1836</v>
      </c>
      <c r="F110" s="571">
        <v>2122</v>
      </c>
      <c r="G110" s="571">
        <v>2368</v>
      </c>
      <c r="H110" s="572">
        <v>57120</v>
      </c>
      <c r="I110" s="572">
        <v>65280</v>
      </c>
      <c r="J110" s="572">
        <v>73440</v>
      </c>
      <c r="K110" s="572">
        <v>81600</v>
      </c>
      <c r="L110" s="572">
        <v>88160</v>
      </c>
      <c r="M110" s="572">
        <v>94720</v>
      </c>
      <c r="N110" s="572">
        <v>101200</v>
      </c>
      <c r="O110" s="572">
        <v>107760</v>
      </c>
      <c r="P110" s="39"/>
      <c r="Q110" s="39"/>
    </row>
    <row r="111" spans="1:17">
      <c r="A111" s="38"/>
      <c r="B111" s="574">
        <v>0.7</v>
      </c>
      <c r="C111" s="571">
        <v>1249</v>
      </c>
      <c r="D111" s="571">
        <v>1338</v>
      </c>
      <c r="E111" s="571">
        <v>1606</v>
      </c>
      <c r="F111" s="571">
        <v>1856</v>
      </c>
      <c r="G111" s="571">
        <v>2072</v>
      </c>
      <c r="H111" s="572">
        <v>49980</v>
      </c>
      <c r="I111" s="572">
        <v>57120</v>
      </c>
      <c r="J111" s="572">
        <v>64259.999999999993</v>
      </c>
      <c r="K111" s="572">
        <v>71400</v>
      </c>
      <c r="L111" s="572">
        <v>77140</v>
      </c>
      <c r="M111" s="572">
        <v>82880</v>
      </c>
      <c r="N111" s="572">
        <v>88550</v>
      </c>
      <c r="O111" s="572">
        <v>94290</v>
      </c>
      <c r="P111" s="39"/>
      <c r="Q111" s="39"/>
    </row>
    <row r="112" spans="1:17">
      <c r="A112" s="38"/>
      <c r="B112" s="574">
        <v>0.6</v>
      </c>
      <c r="C112" s="571">
        <v>1071</v>
      </c>
      <c r="D112" s="571">
        <v>1147</v>
      </c>
      <c r="E112" s="571">
        <v>1377</v>
      </c>
      <c r="F112" s="571">
        <v>1591</v>
      </c>
      <c r="G112" s="571">
        <v>1776</v>
      </c>
      <c r="H112" s="571">
        <v>42840</v>
      </c>
      <c r="I112" s="571">
        <v>48960</v>
      </c>
      <c r="J112" s="571">
        <v>55080</v>
      </c>
      <c r="K112" s="571">
        <v>61200</v>
      </c>
      <c r="L112" s="571">
        <v>66120</v>
      </c>
      <c r="M112" s="573">
        <v>71040</v>
      </c>
      <c r="N112" s="573">
        <v>75900</v>
      </c>
      <c r="O112" s="573">
        <v>80820</v>
      </c>
      <c r="P112" s="39"/>
      <c r="Q112" s="39"/>
    </row>
    <row r="113" spans="1:17">
      <c r="A113" s="38"/>
      <c r="B113" s="574">
        <v>0.55000000000000004</v>
      </c>
      <c r="C113" s="571">
        <v>981</v>
      </c>
      <c r="D113" s="571">
        <v>1051</v>
      </c>
      <c r="E113" s="571">
        <v>1262</v>
      </c>
      <c r="F113" s="571">
        <v>1458</v>
      </c>
      <c r="G113" s="571">
        <v>1628</v>
      </c>
      <c r="H113" s="571">
        <v>39270</v>
      </c>
      <c r="I113" s="571">
        <v>44880</v>
      </c>
      <c r="J113" s="571">
        <v>50490.000000000007</v>
      </c>
      <c r="K113" s="571">
        <v>56100.000000000007</v>
      </c>
      <c r="L113" s="571">
        <v>60610.000000000007</v>
      </c>
      <c r="M113" s="571">
        <v>65120.000000000007</v>
      </c>
      <c r="N113" s="571">
        <v>69575</v>
      </c>
      <c r="O113" s="571">
        <v>74085</v>
      </c>
      <c r="P113" s="39"/>
      <c r="Q113" s="39"/>
    </row>
    <row r="114" spans="1:17">
      <c r="A114" s="38"/>
      <c r="B114" s="574">
        <v>0.5</v>
      </c>
      <c r="C114" s="571">
        <v>892</v>
      </c>
      <c r="D114" s="571">
        <v>956</v>
      </c>
      <c r="E114" s="571">
        <v>1147</v>
      </c>
      <c r="F114" s="571">
        <v>1326</v>
      </c>
      <c r="G114" s="571">
        <v>1480</v>
      </c>
      <c r="H114" s="572">
        <v>35700</v>
      </c>
      <c r="I114" s="572">
        <v>40800</v>
      </c>
      <c r="J114" s="572">
        <v>45900</v>
      </c>
      <c r="K114" s="572">
        <v>51000</v>
      </c>
      <c r="L114" s="572">
        <v>55100</v>
      </c>
      <c r="M114" s="572">
        <v>59200</v>
      </c>
      <c r="N114" s="572">
        <v>63250</v>
      </c>
      <c r="O114" s="572">
        <v>67350</v>
      </c>
      <c r="P114" s="39"/>
      <c r="Q114" s="39"/>
    </row>
    <row r="115" spans="1:17">
      <c r="A115" s="38"/>
      <c r="B115" s="574">
        <v>0.45</v>
      </c>
      <c r="C115" s="571">
        <v>803</v>
      </c>
      <c r="D115" s="571">
        <v>860</v>
      </c>
      <c r="E115" s="571">
        <v>1032</v>
      </c>
      <c r="F115" s="571">
        <v>1193</v>
      </c>
      <c r="G115" s="571">
        <v>1332</v>
      </c>
      <c r="H115" s="571">
        <v>32130</v>
      </c>
      <c r="I115" s="571">
        <v>36720</v>
      </c>
      <c r="J115" s="571">
        <v>41310</v>
      </c>
      <c r="K115" s="571">
        <v>45900</v>
      </c>
      <c r="L115" s="571">
        <v>49590</v>
      </c>
      <c r="M115" s="573">
        <v>53280</v>
      </c>
      <c r="N115" s="573">
        <v>56925</v>
      </c>
      <c r="O115" s="573">
        <v>60615</v>
      </c>
      <c r="P115" s="39"/>
      <c r="Q115" s="39"/>
    </row>
    <row r="116" spans="1:17">
      <c r="A116" s="38"/>
      <c r="B116" s="574">
        <v>0.4</v>
      </c>
      <c r="C116" s="571">
        <v>714</v>
      </c>
      <c r="D116" s="571">
        <v>765</v>
      </c>
      <c r="E116" s="571">
        <v>918</v>
      </c>
      <c r="F116" s="571">
        <v>1061</v>
      </c>
      <c r="G116" s="571">
        <v>1184</v>
      </c>
      <c r="H116" s="571">
        <v>28560</v>
      </c>
      <c r="I116" s="571">
        <v>32640</v>
      </c>
      <c r="J116" s="571">
        <v>36720</v>
      </c>
      <c r="K116" s="571">
        <v>40800</v>
      </c>
      <c r="L116" s="571">
        <v>44080</v>
      </c>
      <c r="M116" s="573">
        <v>47360</v>
      </c>
      <c r="N116" s="573">
        <v>50600</v>
      </c>
      <c r="O116" s="573">
        <v>53880</v>
      </c>
      <c r="P116" s="39"/>
      <c r="Q116" s="39"/>
    </row>
    <row r="117" spans="1:17">
      <c r="A117" s="38"/>
      <c r="B117" s="510">
        <v>0.3</v>
      </c>
      <c r="C117" s="571">
        <v>535</v>
      </c>
      <c r="D117" s="571">
        <v>573</v>
      </c>
      <c r="E117" s="571">
        <v>688</v>
      </c>
      <c r="F117" s="571">
        <v>795</v>
      </c>
      <c r="G117" s="571">
        <v>888</v>
      </c>
      <c r="H117" s="572">
        <v>21420</v>
      </c>
      <c r="I117" s="572">
        <v>24480</v>
      </c>
      <c r="J117" s="572">
        <v>27540</v>
      </c>
      <c r="K117" s="572">
        <v>30600</v>
      </c>
      <c r="L117" s="572">
        <v>33060</v>
      </c>
      <c r="M117" s="572">
        <v>35520</v>
      </c>
      <c r="N117" s="572">
        <v>37950</v>
      </c>
      <c r="O117" s="572">
        <v>40410</v>
      </c>
      <c r="P117" s="39"/>
      <c r="Q117" s="39"/>
    </row>
    <row r="118" spans="1:17" ht="13.8" thickBot="1">
      <c r="A118" s="575"/>
      <c r="B118" s="40">
        <v>0.2</v>
      </c>
      <c r="C118" s="512">
        <v>357</v>
      </c>
      <c r="D118" s="512">
        <v>382</v>
      </c>
      <c r="E118" s="512">
        <v>459</v>
      </c>
      <c r="F118" s="512">
        <v>530</v>
      </c>
      <c r="G118" s="512">
        <v>592</v>
      </c>
      <c r="H118" s="513">
        <v>14280</v>
      </c>
      <c r="I118" s="513">
        <v>16320</v>
      </c>
      <c r="J118" s="513">
        <v>18360</v>
      </c>
      <c r="K118" s="513">
        <v>20400</v>
      </c>
      <c r="L118" s="513">
        <v>22040</v>
      </c>
      <c r="M118" s="513">
        <v>23680</v>
      </c>
      <c r="N118" s="513">
        <v>25300</v>
      </c>
      <c r="O118" s="513">
        <v>26940</v>
      </c>
      <c r="P118" s="41"/>
      <c r="Q118" s="41"/>
    </row>
    <row r="119" spans="1:17" ht="13.8" thickTop="1">
      <c r="A119" s="36"/>
      <c r="B119" s="37">
        <v>1.2</v>
      </c>
      <c r="C119" s="514">
        <v>2943</v>
      </c>
      <c r="D119" s="514">
        <v>3153</v>
      </c>
      <c r="E119" s="514">
        <v>3783</v>
      </c>
      <c r="F119" s="514">
        <v>4372</v>
      </c>
      <c r="G119" s="514">
        <v>4878</v>
      </c>
      <c r="H119" s="514">
        <v>117720</v>
      </c>
      <c r="I119" s="514">
        <v>134520</v>
      </c>
      <c r="J119" s="514">
        <v>151320</v>
      </c>
      <c r="K119" s="514">
        <v>168120</v>
      </c>
      <c r="L119" s="514">
        <v>181680</v>
      </c>
      <c r="M119" s="514">
        <v>195120</v>
      </c>
      <c r="N119" s="514">
        <v>208560</v>
      </c>
      <c r="O119" s="514">
        <v>222000</v>
      </c>
      <c r="P119" s="39"/>
      <c r="Q119" s="39"/>
    </row>
    <row r="120" spans="1:17">
      <c r="A120" s="38"/>
      <c r="B120" s="574">
        <v>1</v>
      </c>
      <c r="C120" s="571">
        <v>2452</v>
      </c>
      <c r="D120" s="571">
        <v>2627</v>
      </c>
      <c r="E120" s="571">
        <v>3152</v>
      </c>
      <c r="F120" s="571">
        <v>3643</v>
      </c>
      <c r="G120" s="571">
        <v>4065</v>
      </c>
      <c r="H120" s="571">
        <v>98100</v>
      </c>
      <c r="I120" s="571">
        <v>112100</v>
      </c>
      <c r="J120" s="571">
        <v>126100</v>
      </c>
      <c r="K120" s="571">
        <v>140100</v>
      </c>
      <c r="L120" s="571">
        <v>151400</v>
      </c>
      <c r="M120" s="571">
        <v>162600</v>
      </c>
      <c r="N120" s="571">
        <v>173800</v>
      </c>
      <c r="O120" s="571">
        <v>185000</v>
      </c>
      <c r="P120" s="39"/>
      <c r="Q120" s="39"/>
    </row>
    <row r="121" spans="1:17">
      <c r="A121" s="38" t="s">
        <v>1126</v>
      </c>
      <c r="B121" s="574">
        <v>0.8</v>
      </c>
      <c r="C121" s="571">
        <v>1962</v>
      </c>
      <c r="D121" s="571">
        <v>2102</v>
      </c>
      <c r="E121" s="571">
        <v>2522</v>
      </c>
      <c r="F121" s="571">
        <v>2915</v>
      </c>
      <c r="G121" s="571">
        <v>3252</v>
      </c>
      <c r="H121" s="572">
        <v>78480</v>
      </c>
      <c r="I121" s="572">
        <v>89680</v>
      </c>
      <c r="J121" s="572">
        <v>100880</v>
      </c>
      <c r="K121" s="572">
        <v>112080</v>
      </c>
      <c r="L121" s="572">
        <v>121120</v>
      </c>
      <c r="M121" s="572">
        <v>130080</v>
      </c>
      <c r="N121" s="572">
        <v>139040</v>
      </c>
      <c r="O121" s="572">
        <v>148000</v>
      </c>
      <c r="P121" s="39"/>
      <c r="Q121" s="39"/>
    </row>
    <row r="122" spans="1:17">
      <c r="A122" s="38"/>
      <c r="B122" s="574">
        <v>0.7</v>
      </c>
      <c r="C122" s="571">
        <v>1716</v>
      </c>
      <c r="D122" s="571">
        <v>1839</v>
      </c>
      <c r="E122" s="571">
        <v>2206</v>
      </c>
      <c r="F122" s="571">
        <v>2550</v>
      </c>
      <c r="G122" s="571">
        <v>2845</v>
      </c>
      <c r="H122" s="572">
        <v>68670</v>
      </c>
      <c r="I122" s="572">
        <v>78470</v>
      </c>
      <c r="J122" s="572">
        <v>88270</v>
      </c>
      <c r="K122" s="572">
        <v>98070</v>
      </c>
      <c r="L122" s="572">
        <v>105980</v>
      </c>
      <c r="M122" s="572">
        <v>113820</v>
      </c>
      <c r="N122" s="572">
        <v>121659.99999999999</v>
      </c>
      <c r="O122" s="572">
        <v>129499.99999999999</v>
      </c>
      <c r="P122" s="39"/>
      <c r="Q122" s="39"/>
    </row>
    <row r="123" spans="1:17">
      <c r="A123" s="38"/>
      <c r="B123" s="574">
        <v>0.6</v>
      </c>
      <c r="C123" s="571">
        <v>1471</v>
      </c>
      <c r="D123" s="571">
        <v>1576</v>
      </c>
      <c r="E123" s="571">
        <v>1891</v>
      </c>
      <c r="F123" s="571">
        <v>2186</v>
      </c>
      <c r="G123" s="571">
        <v>2439</v>
      </c>
      <c r="H123" s="571">
        <v>58860</v>
      </c>
      <c r="I123" s="571">
        <v>67260</v>
      </c>
      <c r="J123" s="571">
        <v>75660</v>
      </c>
      <c r="K123" s="571">
        <v>84060</v>
      </c>
      <c r="L123" s="571">
        <v>90840</v>
      </c>
      <c r="M123" s="573">
        <v>97560</v>
      </c>
      <c r="N123" s="573">
        <v>104280</v>
      </c>
      <c r="O123" s="573">
        <v>111000</v>
      </c>
      <c r="P123" s="39"/>
      <c r="Q123" s="39"/>
    </row>
    <row r="124" spans="1:17">
      <c r="A124" s="38"/>
      <c r="B124" s="574">
        <v>0.55000000000000004</v>
      </c>
      <c r="C124" s="571">
        <v>1348</v>
      </c>
      <c r="D124" s="571">
        <v>1445</v>
      </c>
      <c r="E124" s="571">
        <v>1733</v>
      </c>
      <c r="F124" s="571">
        <v>2004</v>
      </c>
      <c r="G124" s="571">
        <v>2235</v>
      </c>
      <c r="H124" s="571">
        <v>53955.000000000007</v>
      </c>
      <c r="I124" s="571">
        <v>61655.000000000007</v>
      </c>
      <c r="J124" s="571">
        <v>69355</v>
      </c>
      <c r="K124" s="571">
        <v>77055</v>
      </c>
      <c r="L124" s="571">
        <v>83270</v>
      </c>
      <c r="M124" s="571">
        <v>89430</v>
      </c>
      <c r="N124" s="571">
        <v>95590.000000000015</v>
      </c>
      <c r="O124" s="571">
        <v>101750.00000000001</v>
      </c>
      <c r="P124" s="39"/>
      <c r="Q124" s="39"/>
    </row>
    <row r="125" spans="1:17">
      <c r="A125" s="38"/>
      <c r="B125" s="574">
        <v>0.5</v>
      </c>
      <c r="C125" s="571">
        <v>1226</v>
      </c>
      <c r="D125" s="571">
        <v>1313</v>
      </c>
      <c r="E125" s="571">
        <v>1576</v>
      </c>
      <c r="F125" s="571">
        <v>1821</v>
      </c>
      <c r="G125" s="571">
        <v>2032</v>
      </c>
      <c r="H125" s="572">
        <v>49050</v>
      </c>
      <c r="I125" s="572">
        <v>56050</v>
      </c>
      <c r="J125" s="572">
        <v>63050</v>
      </c>
      <c r="K125" s="572">
        <v>70050</v>
      </c>
      <c r="L125" s="572">
        <v>75700</v>
      </c>
      <c r="M125" s="572">
        <v>81300</v>
      </c>
      <c r="N125" s="572">
        <v>86900</v>
      </c>
      <c r="O125" s="572">
        <v>92500</v>
      </c>
      <c r="P125" s="39"/>
      <c r="Q125" s="39"/>
    </row>
    <row r="126" spans="1:17">
      <c r="A126" s="38"/>
      <c r="B126" s="574">
        <v>0.45</v>
      </c>
      <c r="C126" s="571">
        <v>1103</v>
      </c>
      <c r="D126" s="571">
        <v>1182</v>
      </c>
      <c r="E126" s="571">
        <v>1418</v>
      </c>
      <c r="F126" s="571">
        <v>1639</v>
      </c>
      <c r="G126" s="571">
        <v>1829</v>
      </c>
      <c r="H126" s="571">
        <v>44145</v>
      </c>
      <c r="I126" s="571">
        <v>50445</v>
      </c>
      <c r="J126" s="571">
        <v>56745</v>
      </c>
      <c r="K126" s="571">
        <v>63045</v>
      </c>
      <c r="L126" s="571">
        <v>68130</v>
      </c>
      <c r="M126" s="573">
        <v>73170</v>
      </c>
      <c r="N126" s="573">
        <v>78210</v>
      </c>
      <c r="O126" s="573">
        <v>83250</v>
      </c>
      <c r="P126" s="39"/>
      <c r="Q126" s="39"/>
    </row>
    <row r="127" spans="1:17">
      <c r="A127" s="38"/>
      <c r="B127" s="574">
        <v>0.4</v>
      </c>
      <c r="C127" s="571">
        <v>981</v>
      </c>
      <c r="D127" s="571">
        <v>1051</v>
      </c>
      <c r="E127" s="571">
        <v>1261</v>
      </c>
      <c r="F127" s="571">
        <v>1457</v>
      </c>
      <c r="G127" s="571">
        <v>1626</v>
      </c>
      <c r="H127" s="571">
        <v>39240</v>
      </c>
      <c r="I127" s="571">
        <v>44840</v>
      </c>
      <c r="J127" s="571">
        <v>50440</v>
      </c>
      <c r="K127" s="571">
        <v>56040</v>
      </c>
      <c r="L127" s="571">
        <v>60560</v>
      </c>
      <c r="M127" s="573">
        <v>65040</v>
      </c>
      <c r="N127" s="573">
        <v>69520</v>
      </c>
      <c r="O127" s="573">
        <v>74000</v>
      </c>
      <c r="P127" s="39"/>
      <c r="Q127" s="39"/>
    </row>
    <row r="128" spans="1:17">
      <c r="A128" s="38"/>
      <c r="B128" s="510">
        <v>0.3</v>
      </c>
      <c r="C128" s="571">
        <v>735</v>
      </c>
      <c r="D128" s="571">
        <v>788</v>
      </c>
      <c r="E128" s="571">
        <v>945</v>
      </c>
      <c r="F128" s="571">
        <v>1093</v>
      </c>
      <c r="G128" s="571">
        <v>1219</v>
      </c>
      <c r="H128" s="572">
        <v>29430</v>
      </c>
      <c r="I128" s="572">
        <v>33630</v>
      </c>
      <c r="J128" s="572">
        <v>37830</v>
      </c>
      <c r="K128" s="572">
        <v>42030</v>
      </c>
      <c r="L128" s="572">
        <v>45420</v>
      </c>
      <c r="M128" s="572">
        <v>48780</v>
      </c>
      <c r="N128" s="572">
        <v>52140</v>
      </c>
      <c r="O128" s="572">
        <v>55500</v>
      </c>
      <c r="P128" s="39"/>
      <c r="Q128" s="39"/>
    </row>
    <row r="129" spans="1:17" ht="13.8" thickBot="1">
      <c r="A129" s="575"/>
      <c r="B129" s="40">
        <v>0.2</v>
      </c>
      <c r="C129" s="512">
        <v>490</v>
      </c>
      <c r="D129" s="512">
        <v>525</v>
      </c>
      <c r="E129" s="512">
        <v>630</v>
      </c>
      <c r="F129" s="512">
        <v>728</v>
      </c>
      <c r="G129" s="512">
        <v>813</v>
      </c>
      <c r="H129" s="513">
        <v>19620</v>
      </c>
      <c r="I129" s="513">
        <v>22420</v>
      </c>
      <c r="J129" s="513">
        <v>25220</v>
      </c>
      <c r="K129" s="513">
        <v>28020</v>
      </c>
      <c r="L129" s="513">
        <v>30280</v>
      </c>
      <c r="M129" s="513">
        <v>32520</v>
      </c>
      <c r="N129" s="513">
        <v>34760</v>
      </c>
      <c r="O129" s="513">
        <v>37000</v>
      </c>
      <c r="P129" s="41"/>
      <c r="Q129" s="41"/>
    </row>
    <row r="130" spans="1:17" ht="13.8" thickTop="1">
      <c r="A130" s="36"/>
      <c r="B130" s="37">
        <v>1.2</v>
      </c>
      <c r="C130" s="514">
        <v>2142</v>
      </c>
      <c r="D130" s="514">
        <v>2295</v>
      </c>
      <c r="E130" s="514">
        <v>2754</v>
      </c>
      <c r="F130" s="514">
        <v>3183</v>
      </c>
      <c r="G130" s="514">
        <v>3552</v>
      </c>
      <c r="H130" s="514">
        <v>85680</v>
      </c>
      <c r="I130" s="514">
        <v>97920</v>
      </c>
      <c r="J130" s="514">
        <v>110160</v>
      </c>
      <c r="K130" s="514">
        <v>122400</v>
      </c>
      <c r="L130" s="514">
        <v>132240</v>
      </c>
      <c r="M130" s="514">
        <v>142080</v>
      </c>
      <c r="N130" s="514">
        <v>151800</v>
      </c>
      <c r="O130" s="514">
        <v>161640</v>
      </c>
      <c r="P130" s="41"/>
      <c r="Q130" s="41"/>
    </row>
    <row r="131" spans="1:17">
      <c r="A131" s="38"/>
      <c r="B131" s="574">
        <v>1</v>
      </c>
      <c r="C131" s="571">
        <v>1785</v>
      </c>
      <c r="D131" s="571">
        <v>1912</v>
      </c>
      <c r="E131" s="571">
        <v>2295</v>
      </c>
      <c r="F131" s="571">
        <v>2652</v>
      </c>
      <c r="G131" s="571">
        <v>2960</v>
      </c>
      <c r="H131" s="571">
        <v>71400</v>
      </c>
      <c r="I131" s="571">
        <v>81600</v>
      </c>
      <c r="J131" s="571">
        <v>91800</v>
      </c>
      <c r="K131" s="571">
        <v>102000</v>
      </c>
      <c r="L131" s="571">
        <v>110200</v>
      </c>
      <c r="M131" s="571">
        <v>118400</v>
      </c>
      <c r="N131" s="571">
        <v>126500</v>
      </c>
      <c r="O131" s="571">
        <v>134700</v>
      </c>
      <c r="P131" s="41"/>
      <c r="Q131" s="41"/>
    </row>
    <row r="132" spans="1:17">
      <c r="A132" s="38" t="s">
        <v>1127</v>
      </c>
      <c r="B132" s="574">
        <v>0.8</v>
      </c>
      <c r="C132" s="571">
        <v>1428</v>
      </c>
      <c r="D132" s="571">
        <v>1530</v>
      </c>
      <c r="E132" s="571">
        <v>1836</v>
      </c>
      <c r="F132" s="571">
        <v>2122</v>
      </c>
      <c r="G132" s="571">
        <v>2368</v>
      </c>
      <c r="H132" s="572">
        <v>57120</v>
      </c>
      <c r="I132" s="572">
        <v>65280</v>
      </c>
      <c r="J132" s="572">
        <v>73440</v>
      </c>
      <c r="K132" s="572">
        <v>81600</v>
      </c>
      <c r="L132" s="572">
        <v>88160</v>
      </c>
      <c r="M132" s="572">
        <v>94720</v>
      </c>
      <c r="N132" s="572">
        <v>101200</v>
      </c>
      <c r="O132" s="572">
        <v>107760</v>
      </c>
      <c r="P132" s="41"/>
      <c r="Q132" s="41"/>
    </row>
    <row r="133" spans="1:17">
      <c r="A133" s="38"/>
      <c r="B133" s="574">
        <v>0.7</v>
      </c>
      <c r="C133" s="571">
        <v>1249</v>
      </c>
      <c r="D133" s="571">
        <v>1338</v>
      </c>
      <c r="E133" s="571">
        <v>1606</v>
      </c>
      <c r="F133" s="571">
        <v>1856</v>
      </c>
      <c r="G133" s="571">
        <v>2072</v>
      </c>
      <c r="H133" s="572">
        <v>49980</v>
      </c>
      <c r="I133" s="572">
        <v>57120</v>
      </c>
      <c r="J133" s="572">
        <v>64259.999999999993</v>
      </c>
      <c r="K133" s="572">
        <v>71400</v>
      </c>
      <c r="L133" s="572">
        <v>77140</v>
      </c>
      <c r="M133" s="572">
        <v>82880</v>
      </c>
      <c r="N133" s="572">
        <v>88550</v>
      </c>
      <c r="O133" s="572">
        <v>94290</v>
      </c>
      <c r="P133" s="41"/>
      <c r="Q133" s="41"/>
    </row>
    <row r="134" spans="1:17">
      <c r="A134" s="38"/>
      <c r="B134" s="574">
        <v>0.6</v>
      </c>
      <c r="C134" s="571">
        <v>1071</v>
      </c>
      <c r="D134" s="571">
        <v>1147</v>
      </c>
      <c r="E134" s="571">
        <v>1377</v>
      </c>
      <c r="F134" s="571">
        <v>1591</v>
      </c>
      <c r="G134" s="571">
        <v>1776</v>
      </c>
      <c r="H134" s="571">
        <v>42840</v>
      </c>
      <c r="I134" s="571">
        <v>48960</v>
      </c>
      <c r="J134" s="571">
        <v>55080</v>
      </c>
      <c r="K134" s="571">
        <v>61200</v>
      </c>
      <c r="L134" s="571">
        <v>66120</v>
      </c>
      <c r="M134" s="573">
        <v>71040</v>
      </c>
      <c r="N134" s="573">
        <v>75900</v>
      </c>
      <c r="O134" s="573">
        <v>80820</v>
      </c>
      <c r="P134" s="41"/>
      <c r="Q134" s="41"/>
    </row>
    <row r="135" spans="1:17">
      <c r="A135" s="38"/>
      <c r="B135" s="574">
        <v>0.55000000000000004</v>
      </c>
      <c r="C135" s="571">
        <v>981</v>
      </c>
      <c r="D135" s="571">
        <v>1051</v>
      </c>
      <c r="E135" s="571">
        <v>1262</v>
      </c>
      <c r="F135" s="571">
        <v>1458</v>
      </c>
      <c r="G135" s="571">
        <v>1628</v>
      </c>
      <c r="H135" s="571">
        <v>39270</v>
      </c>
      <c r="I135" s="571">
        <v>44880</v>
      </c>
      <c r="J135" s="571">
        <v>50490.000000000007</v>
      </c>
      <c r="K135" s="571">
        <v>56100.000000000007</v>
      </c>
      <c r="L135" s="571">
        <v>60610.000000000007</v>
      </c>
      <c r="M135" s="571">
        <v>65120.000000000007</v>
      </c>
      <c r="N135" s="571">
        <v>69575</v>
      </c>
      <c r="O135" s="571">
        <v>74085</v>
      </c>
      <c r="P135" s="41"/>
      <c r="Q135" s="41"/>
    </row>
    <row r="136" spans="1:17">
      <c r="A136" s="38"/>
      <c r="B136" s="574">
        <v>0.5</v>
      </c>
      <c r="C136" s="571">
        <v>892</v>
      </c>
      <c r="D136" s="571">
        <v>956</v>
      </c>
      <c r="E136" s="571">
        <v>1147</v>
      </c>
      <c r="F136" s="571">
        <v>1326</v>
      </c>
      <c r="G136" s="571">
        <v>1480</v>
      </c>
      <c r="H136" s="572">
        <v>35700</v>
      </c>
      <c r="I136" s="572">
        <v>40800</v>
      </c>
      <c r="J136" s="572">
        <v>45900</v>
      </c>
      <c r="K136" s="572">
        <v>51000</v>
      </c>
      <c r="L136" s="572">
        <v>55100</v>
      </c>
      <c r="M136" s="572">
        <v>59200</v>
      </c>
      <c r="N136" s="572">
        <v>63250</v>
      </c>
      <c r="O136" s="572">
        <v>67350</v>
      </c>
      <c r="P136" s="41"/>
      <c r="Q136" s="41"/>
    </row>
    <row r="137" spans="1:17">
      <c r="A137" s="38"/>
      <c r="B137" s="574">
        <v>0.45</v>
      </c>
      <c r="C137" s="571">
        <v>803</v>
      </c>
      <c r="D137" s="571">
        <v>860</v>
      </c>
      <c r="E137" s="571">
        <v>1032</v>
      </c>
      <c r="F137" s="571">
        <v>1193</v>
      </c>
      <c r="G137" s="571">
        <v>1332</v>
      </c>
      <c r="H137" s="571">
        <v>32130</v>
      </c>
      <c r="I137" s="571">
        <v>36720</v>
      </c>
      <c r="J137" s="571">
        <v>41310</v>
      </c>
      <c r="K137" s="571">
        <v>45900</v>
      </c>
      <c r="L137" s="571">
        <v>49590</v>
      </c>
      <c r="M137" s="573">
        <v>53280</v>
      </c>
      <c r="N137" s="573">
        <v>56925</v>
      </c>
      <c r="O137" s="573">
        <v>60615</v>
      </c>
      <c r="P137" s="41"/>
      <c r="Q137" s="41"/>
    </row>
    <row r="138" spans="1:17">
      <c r="A138" s="38"/>
      <c r="B138" s="574">
        <v>0.4</v>
      </c>
      <c r="C138" s="571">
        <v>714</v>
      </c>
      <c r="D138" s="571">
        <v>765</v>
      </c>
      <c r="E138" s="571">
        <v>918</v>
      </c>
      <c r="F138" s="571">
        <v>1061</v>
      </c>
      <c r="G138" s="571">
        <v>1184</v>
      </c>
      <c r="H138" s="571">
        <v>28560</v>
      </c>
      <c r="I138" s="571">
        <v>32640</v>
      </c>
      <c r="J138" s="571">
        <v>36720</v>
      </c>
      <c r="K138" s="571">
        <v>40800</v>
      </c>
      <c r="L138" s="571">
        <v>44080</v>
      </c>
      <c r="M138" s="573">
        <v>47360</v>
      </c>
      <c r="N138" s="573">
        <v>50600</v>
      </c>
      <c r="O138" s="573">
        <v>53880</v>
      </c>
      <c r="P138" s="41"/>
      <c r="Q138" s="41"/>
    </row>
    <row r="139" spans="1:17">
      <c r="A139" s="38"/>
      <c r="B139" s="510">
        <v>0.3</v>
      </c>
      <c r="C139" s="571">
        <v>535</v>
      </c>
      <c r="D139" s="571">
        <v>573</v>
      </c>
      <c r="E139" s="571">
        <v>688</v>
      </c>
      <c r="F139" s="571">
        <v>795</v>
      </c>
      <c r="G139" s="571">
        <v>888</v>
      </c>
      <c r="H139" s="572">
        <v>21420</v>
      </c>
      <c r="I139" s="572">
        <v>24480</v>
      </c>
      <c r="J139" s="572">
        <v>27540</v>
      </c>
      <c r="K139" s="572">
        <v>30600</v>
      </c>
      <c r="L139" s="572">
        <v>33060</v>
      </c>
      <c r="M139" s="572">
        <v>35520</v>
      </c>
      <c r="N139" s="572">
        <v>37950</v>
      </c>
      <c r="O139" s="572">
        <v>40410</v>
      </c>
      <c r="P139" s="41"/>
      <c r="Q139" s="41"/>
    </row>
    <row r="140" spans="1:17" ht="13.8" thickBot="1">
      <c r="A140" s="575"/>
      <c r="B140" s="40">
        <v>0.2</v>
      </c>
      <c r="C140" s="512">
        <v>357</v>
      </c>
      <c r="D140" s="512">
        <v>382</v>
      </c>
      <c r="E140" s="512">
        <v>459</v>
      </c>
      <c r="F140" s="512">
        <v>530</v>
      </c>
      <c r="G140" s="512">
        <v>592</v>
      </c>
      <c r="H140" s="513">
        <v>14280</v>
      </c>
      <c r="I140" s="513">
        <v>16320</v>
      </c>
      <c r="J140" s="513">
        <v>18360</v>
      </c>
      <c r="K140" s="513">
        <v>20400</v>
      </c>
      <c r="L140" s="513">
        <v>22040</v>
      </c>
      <c r="M140" s="513">
        <v>23680</v>
      </c>
      <c r="N140" s="513">
        <v>25300</v>
      </c>
      <c r="O140" s="513">
        <v>26940</v>
      </c>
      <c r="P140" s="41"/>
      <c r="Q140" s="41"/>
    </row>
    <row r="141" spans="1:17" ht="13.8" thickTop="1">
      <c r="A141" s="36"/>
      <c r="B141" s="37">
        <v>1.2</v>
      </c>
      <c r="C141" s="514">
        <v>2142</v>
      </c>
      <c r="D141" s="514">
        <v>2295</v>
      </c>
      <c r="E141" s="514">
        <v>2754</v>
      </c>
      <c r="F141" s="514">
        <v>3183</v>
      </c>
      <c r="G141" s="514">
        <v>3552</v>
      </c>
      <c r="H141" s="514">
        <v>85680</v>
      </c>
      <c r="I141" s="514">
        <v>97920</v>
      </c>
      <c r="J141" s="514">
        <v>110160</v>
      </c>
      <c r="K141" s="514">
        <v>122400</v>
      </c>
      <c r="L141" s="514">
        <v>132240</v>
      </c>
      <c r="M141" s="514">
        <v>142080</v>
      </c>
      <c r="N141" s="514">
        <v>151800</v>
      </c>
      <c r="O141" s="514">
        <v>161640</v>
      </c>
      <c r="P141" s="41"/>
      <c r="Q141" s="41"/>
    </row>
    <row r="142" spans="1:17">
      <c r="A142" s="38"/>
      <c r="B142" s="574">
        <v>1</v>
      </c>
      <c r="C142" s="571">
        <v>1785</v>
      </c>
      <c r="D142" s="571">
        <v>1912</v>
      </c>
      <c r="E142" s="571">
        <v>2295</v>
      </c>
      <c r="F142" s="571">
        <v>2652</v>
      </c>
      <c r="G142" s="571">
        <v>2960</v>
      </c>
      <c r="H142" s="571">
        <v>71400</v>
      </c>
      <c r="I142" s="571">
        <v>81600</v>
      </c>
      <c r="J142" s="571">
        <v>91800</v>
      </c>
      <c r="K142" s="571">
        <v>102000</v>
      </c>
      <c r="L142" s="571">
        <v>110200</v>
      </c>
      <c r="M142" s="571">
        <v>118400</v>
      </c>
      <c r="N142" s="571">
        <v>126500</v>
      </c>
      <c r="O142" s="571">
        <v>134700</v>
      </c>
      <c r="P142" s="41"/>
      <c r="Q142" s="41"/>
    </row>
    <row r="143" spans="1:17">
      <c r="A143" s="38" t="s">
        <v>1128</v>
      </c>
      <c r="B143" s="574">
        <v>0.8</v>
      </c>
      <c r="C143" s="571">
        <v>1428</v>
      </c>
      <c r="D143" s="571">
        <v>1530</v>
      </c>
      <c r="E143" s="571">
        <v>1836</v>
      </c>
      <c r="F143" s="571">
        <v>2122</v>
      </c>
      <c r="G143" s="571">
        <v>2368</v>
      </c>
      <c r="H143" s="572">
        <v>57120</v>
      </c>
      <c r="I143" s="572">
        <v>65280</v>
      </c>
      <c r="J143" s="572">
        <v>73440</v>
      </c>
      <c r="K143" s="572">
        <v>81600</v>
      </c>
      <c r="L143" s="572">
        <v>88160</v>
      </c>
      <c r="M143" s="572">
        <v>94720</v>
      </c>
      <c r="N143" s="572">
        <v>101200</v>
      </c>
      <c r="O143" s="572">
        <v>107760</v>
      </c>
      <c r="P143" s="41"/>
      <c r="Q143" s="41"/>
    </row>
    <row r="144" spans="1:17">
      <c r="A144" s="38"/>
      <c r="B144" s="574">
        <v>0.7</v>
      </c>
      <c r="C144" s="571">
        <v>1249</v>
      </c>
      <c r="D144" s="571">
        <v>1338</v>
      </c>
      <c r="E144" s="571">
        <v>1606</v>
      </c>
      <c r="F144" s="571">
        <v>1856</v>
      </c>
      <c r="G144" s="571">
        <v>2072</v>
      </c>
      <c r="H144" s="572">
        <v>49980</v>
      </c>
      <c r="I144" s="572">
        <v>57120</v>
      </c>
      <c r="J144" s="572">
        <v>64259.999999999993</v>
      </c>
      <c r="K144" s="572">
        <v>71400</v>
      </c>
      <c r="L144" s="572">
        <v>77140</v>
      </c>
      <c r="M144" s="572">
        <v>82880</v>
      </c>
      <c r="N144" s="572">
        <v>88550</v>
      </c>
      <c r="O144" s="572">
        <v>94290</v>
      </c>
      <c r="P144" s="41"/>
      <c r="Q144" s="41"/>
    </row>
    <row r="145" spans="1:17">
      <c r="A145" s="38"/>
      <c r="B145" s="574">
        <v>0.6</v>
      </c>
      <c r="C145" s="571">
        <v>1071</v>
      </c>
      <c r="D145" s="571">
        <v>1147</v>
      </c>
      <c r="E145" s="571">
        <v>1377</v>
      </c>
      <c r="F145" s="571">
        <v>1591</v>
      </c>
      <c r="G145" s="571">
        <v>1776</v>
      </c>
      <c r="H145" s="571">
        <v>42840</v>
      </c>
      <c r="I145" s="571">
        <v>48960</v>
      </c>
      <c r="J145" s="571">
        <v>55080</v>
      </c>
      <c r="K145" s="571">
        <v>61200</v>
      </c>
      <c r="L145" s="571">
        <v>66120</v>
      </c>
      <c r="M145" s="573">
        <v>71040</v>
      </c>
      <c r="N145" s="573">
        <v>75900</v>
      </c>
      <c r="O145" s="573">
        <v>80820</v>
      </c>
      <c r="P145" s="41"/>
      <c r="Q145" s="41"/>
    </row>
    <row r="146" spans="1:17">
      <c r="A146" s="38"/>
      <c r="B146" s="574">
        <v>0.55000000000000004</v>
      </c>
      <c r="C146" s="571">
        <v>981</v>
      </c>
      <c r="D146" s="571">
        <v>1051</v>
      </c>
      <c r="E146" s="571">
        <v>1262</v>
      </c>
      <c r="F146" s="571">
        <v>1458</v>
      </c>
      <c r="G146" s="571">
        <v>1628</v>
      </c>
      <c r="H146" s="571">
        <v>39270</v>
      </c>
      <c r="I146" s="571">
        <v>44880</v>
      </c>
      <c r="J146" s="571">
        <v>50490.000000000007</v>
      </c>
      <c r="K146" s="571">
        <v>56100.000000000007</v>
      </c>
      <c r="L146" s="571">
        <v>60610.000000000007</v>
      </c>
      <c r="M146" s="571">
        <v>65120.000000000007</v>
      </c>
      <c r="N146" s="571">
        <v>69575</v>
      </c>
      <c r="O146" s="571">
        <v>74085</v>
      </c>
      <c r="P146" s="41"/>
      <c r="Q146" s="41"/>
    </row>
    <row r="147" spans="1:17">
      <c r="A147" s="38"/>
      <c r="B147" s="574">
        <v>0.5</v>
      </c>
      <c r="C147" s="571">
        <v>892</v>
      </c>
      <c r="D147" s="571">
        <v>956</v>
      </c>
      <c r="E147" s="571">
        <v>1147</v>
      </c>
      <c r="F147" s="571">
        <v>1326</v>
      </c>
      <c r="G147" s="571">
        <v>1480</v>
      </c>
      <c r="H147" s="572">
        <v>35700</v>
      </c>
      <c r="I147" s="572">
        <v>40800</v>
      </c>
      <c r="J147" s="572">
        <v>45900</v>
      </c>
      <c r="K147" s="572">
        <v>51000</v>
      </c>
      <c r="L147" s="572">
        <v>55100</v>
      </c>
      <c r="M147" s="572">
        <v>59200</v>
      </c>
      <c r="N147" s="572">
        <v>63250</v>
      </c>
      <c r="O147" s="572">
        <v>67350</v>
      </c>
      <c r="P147" s="41"/>
      <c r="Q147" s="41"/>
    </row>
    <row r="148" spans="1:17">
      <c r="A148" s="38"/>
      <c r="B148" s="574">
        <v>0.45</v>
      </c>
      <c r="C148" s="571">
        <v>803</v>
      </c>
      <c r="D148" s="571">
        <v>860</v>
      </c>
      <c r="E148" s="571">
        <v>1032</v>
      </c>
      <c r="F148" s="571">
        <v>1193</v>
      </c>
      <c r="G148" s="571">
        <v>1332</v>
      </c>
      <c r="H148" s="571">
        <v>32130</v>
      </c>
      <c r="I148" s="571">
        <v>36720</v>
      </c>
      <c r="J148" s="571">
        <v>41310</v>
      </c>
      <c r="K148" s="571">
        <v>45900</v>
      </c>
      <c r="L148" s="571">
        <v>49590</v>
      </c>
      <c r="M148" s="573">
        <v>53280</v>
      </c>
      <c r="N148" s="573">
        <v>56925</v>
      </c>
      <c r="O148" s="573">
        <v>60615</v>
      </c>
      <c r="P148" s="41"/>
      <c r="Q148" s="41"/>
    </row>
    <row r="149" spans="1:17">
      <c r="A149" s="38"/>
      <c r="B149" s="574">
        <v>0.4</v>
      </c>
      <c r="C149" s="571">
        <v>714</v>
      </c>
      <c r="D149" s="571">
        <v>765</v>
      </c>
      <c r="E149" s="571">
        <v>918</v>
      </c>
      <c r="F149" s="571">
        <v>1061</v>
      </c>
      <c r="G149" s="571">
        <v>1184</v>
      </c>
      <c r="H149" s="571">
        <v>28560</v>
      </c>
      <c r="I149" s="571">
        <v>32640</v>
      </c>
      <c r="J149" s="571">
        <v>36720</v>
      </c>
      <c r="K149" s="571">
        <v>40800</v>
      </c>
      <c r="L149" s="571">
        <v>44080</v>
      </c>
      <c r="M149" s="573">
        <v>47360</v>
      </c>
      <c r="N149" s="573">
        <v>50600</v>
      </c>
      <c r="O149" s="573">
        <v>53880</v>
      </c>
      <c r="P149" s="41"/>
      <c r="Q149" s="41"/>
    </row>
    <row r="150" spans="1:17">
      <c r="A150" s="38"/>
      <c r="B150" s="510">
        <v>0.3</v>
      </c>
      <c r="C150" s="571">
        <v>535</v>
      </c>
      <c r="D150" s="571">
        <v>573</v>
      </c>
      <c r="E150" s="571">
        <v>688</v>
      </c>
      <c r="F150" s="571">
        <v>795</v>
      </c>
      <c r="G150" s="571">
        <v>888</v>
      </c>
      <c r="H150" s="572">
        <v>21420</v>
      </c>
      <c r="I150" s="572">
        <v>24480</v>
      </c>
      <c r="J150" s="572">
        <v>27540</v>
      </c>
      <c r="K150" s="572">
        <v>30600</v>
      </c>
      <c r="L150" s="572">
        <v>33060</v>
      </c>
      <c r="M150" s="572">
        <v>35520</v>
      </c>
      <c r="N150" s="572">
        <v>37950</v>
      </c>
      <c r="O150" s="572">
        <v>40410</v>
      </c>
      <c r="P150" s="41"/>
      <c r="Q150" s="41"/>
    </row>
    <row r="151" spans="1:17" ht="13.8" thickBot="1">
      <c r="A151" s="575"/>
      <c r="B151" s="40">
        <v>0.2</v>
      </c>
      <c r="C151" s="512">
        <v>357</v>
      </c>
      <c r="D151" s="512">
        <v>382</v>
      </c>
      <c r="E151" s="512">
        <v>459</v>
      </c>
      <c r="F151" s="512">
        <v>530</v>
      </c>
      <c r="G151" s="512">
        <v>592</v>
      </c>
      <c r="H151" s="513">
        <v>14280</v>
      </c>
      <c r="I151" s="513">
        <v>16320</v>
      </c>
      <c r="J151" s="513">
        <v>18360</v>
      </c>
      <c r="K151" s="513">
        <v>20400</v>
      </c>
      <c r="L151" s="513">
        <v>22040</v>
      </c>
      <c r="M151" s="513">
        <v>23680</v>
      </c>
      <c r="N151" s="513">
        <v>25300</v>
      </c>
      <c r="O151" s="513">
        <v>26940</v>
      </c>
      <c r="P151" s="41"/>
      <c r="Q151" s="41"/>
    </row>
    <row r="152" spans="1:17" ht="13.8" thickTop="1">
      <c r="A152" s="38"/>
      <c r="B152" s="37">
        <v>1.2</v>
      </c>
      <c r="C152" s="514">
        <v>2142</v>
      </c>
      <c r="D152" s="514">
        <v>2295</v>
      </c>
      <c r="E152" s="514">
        <v>2754</v>
      </c>
      <c r="F152" s="514">
        <v>3183</v>
      </c>
      <c r="G152" s="514">
        <v>3552</v>
      </c>
      <c r="H152" s="514">
        <v>85680</v>
      </c>
      <c r="I152" s="514">
        <v>97920</v>
      </c>
      <c r="J152" s="514">
        <v>110160</v>
      </c>
      <c r="K152" s="514">
        <v>122400</v>
      </c>
      <c r="L152" s="514">
        <v>132240</v>
      </c>
      <c r="M152" s="514">
        <v>142080</v>
      </c>
      <c r="N152" s="514">
        <v>151800</v>
      </c>
      <c r="O152" s="514">
        <v>161640</v>
      </c>
      <c r="P152" s="41"/>
      <c r="Q152" s="41"/>
    </row>
    <row r="153" spans="1:17">
      <c r="A153" s="38"/>
      <c r="B153" s="574">
        <v>1</v>
      </c>
      <c r="C153" s="571">
        <v>1785</v>
      </c>
      <c r="D153" s="571">
        <v>1912</v>
      </c>
      <c r="E153" s="571">
        <v>2295</v>
      </c>
      <c r="F153" s="571">
        <v>2652</v>
      </c>
      <c r="G153" s="571">
        <v>2960</v>
      </c>
      <c r="H153" s="571">
        <v>71400</v>
      </c>
      <c r="I153" s="571">
        <v>81600</v>
      </c>
      <c r="J153" s="571">
        <v>91800</v>
      </c>
      <c r="K153" s="571">
        <v>102000</v>
      </c>
      <c r="L153" s="571">
        <v>110200</v>
      </c>
      <c r="M153" s="571">
        <v>118400</v>
      </c>
      <c r="N153" s="571">
        <v>126500</v>
      </c>
      <c r="O153" s="571">
        <v>134700</v>
      </c>
      <c r="P153" s="41"/>
      <c r="Q153" s="41"/>
    </row>
    <row r="154" spans="1:17">
      <c r="A154" s="38" t="s">
        <v>1129</v>
      </c>
      <c r="B154" s="574">
        <v>0.8</v>
      </c>
      <c r="C154" s="571">
        <v>1428</v>
      </c>
      <c r="D154" s="571">
        <v>1530</v>
      </c>
      <c r="E154" s="571">
        <v>1836</v>
      </c>
      <c r="F154" s="571">
        <v>2122</v>
      </c>
      <c r="G154" s="571">
        <v>2368</v>
      </c>
      <c r="H154" s="572">
        <v>57120</v>
      </c>
      <c r="I154" s="572">
        <v>65280</v>
      </c>
      <c r="J154" s="572">
        <v>73440</v>
      </c>
      <c r="K154" s="572">
        <v>81600</v>
      </c>
      <c r="L154" s="572">
        <v>88160</v>
      </c>
      <c r="M154" s="572">
        <v>94720</v>
      </c>
      <c r="N154" s="572">
        <v>101200</v>
      </c>
      <c r="O154" s="572">
        <v>107760</v>
      </c>
      <c r="P154" s="41"/>
      <c r="Q154" s="41"/>
    </row>
    <row r="155" spans="1:17">
      <c r="A155" s="38"/>
      <c r="B155" s="574">
        <v>0.7</v>
      </c>
      <c r="C155" s="571">
        <v>1249</v>
      </c>
      <c r="D155" s="571">
        <v>1338</v>
      </c>
      <c r="E155" s="571">
        <v>1606</v>
      </c>
      <c r="F155" s="571">
        <v>1856</v>
      </c>
      <c r="G155" s="571">
        <v>2072</v>
      </c>
      <c r="H155" s="572">
        <v>49980</v>
      </c>
      <c r="I155" s="572">
        <v>57120</v>
      </c>
      <c r="J155" s="572">
        <v>64259.999999999993</v>
      </c>
      <c r="K155" s="572">
        <v>71400</v>
      </c>
      <c r="L155" s="572">
        <v>77140</v>
      </c>
      <c r="M155" s="572">
        <v>82880</v>
      </c>
      <c r="N155" s="572">
        <v>88550</v>
      </c>
      <c r="O155" s="572">
        <v>94290</v>
      </c>
      <c r="P155" s="41"/>
      <c r="Q155" s="41"/>
    </row>
    <row r="156" spans="1:17">
      <c r="A156" s="38"/>
      <c r="B156" s="574">
        <v>0.6</v>
      </c>
      <c r="C156" s="571">
        <v>1071</v>
      </c>
      <c r="D156" s="571">
        <v>1147</v>
      </c>
      <c r="E156" s="571">
        <v>1377</v>
      </c>
      <c r="F156" s="571">
        <v>1591</v>
      </c>
      <c r="G156" s="571">
        <v>1776</v>
      </c>
      <c r="H156" s="571">
        <v>42840</v>
      </c>
      <c r="I156" s="571">
        <v>48960</v>
      </c>
      <c r="J156" s="571">
        <v>55080</v>
      </c>
      <c r="K156" s="571">
        <v>61200</v>
      </c>
      <c r="L156" s="571">
        <v>66120</v>
      </c>
      <c r="M156" s="573">
        <v>71040</v>
      </c>
      <c r="N156" s="573">
        <v>75900</v>
      </c>
      <c r="O156" s="573">
        <v>80820</v>
      </c>
      <c r="P156" s="41"/>
      <c r="Q156" s="41"/>
    </row>
    <row r="157" spans="1:17">
      <c r="A157" s="38"/>
      <c r="B157" s="574">
        <v>0.55000000000000004</v>
      </c>
      <c r="C157" s="571">
        <v>981</v>
      </c>
      <c r="D157" s="571">
        <v>1051</v>
      </c>
      <c r="E157" s="571">
        <v>1262</v>
      </c>
      <c r="F157" s="571">
        <v>1458</v>
      </c>
      <c r="G157" s="571">
        <v>1628</v>
      </c>
      <c r="H157" s="571">
        <v>39270</v>
      </c>
      <c r="I157" s="571">
        <v>44880</v>
      </c>
      <c r="J157" s="571">
        <v>50490.000000000007</v>
      </c>
      <c r="K157" s="571">
        <v>56100.000000000007</v>
      </c>
      <c r="L157" s="571">
        <v>60610.000000000007</v>
      </c>
      <c r="M157" s="571">
        <v>65120.000000000007</v>
      </c>
      <c r="N157" s="571">
        <v>69575</v>
      </c>
      <c r="O157" s="571">
        <v>74085</v>
      </c>
      <c r="P157" s="41"/>
      <c r="Q157" s="41"/>
    </row>
    <row r="158" spans="1:17">
      <c r="A158" s="38"/>
      <c r="B158" s="574">
        <v>0.5</v>
      </c>
      <c r="C158" s="571">
        <v>892</v>
      </c>
      <c r="D158" s="571">
        <v>956</v>
      </c>
      <c r="E158" s="571">
        <v>1147</v>
      </c>
      <c r="F158" s="571">
        <v>1326</v>
      </c>
      <c r="G158" s="571">
        <v>1480</v>
      </c>
      <c r="H158" s="572">
        <v>35700</v>
      </c>
      <c r="I158" s="572">
        <v>40800</v>
      </c>
      <c r="J158" s="572">
        <v>45900</v>
      </c>
      <c r="K158" s="572">
        <v>51000</v>
      </c>
      <c r="L158" s="572">
        <v>55100</v>
      </c>
      <c r="M158" s="572">
        <v>59200</v>
      </c>
      <c r="N158" s="572">
        <v>63250</v>
      </c>
      <c r="O158" s="572">
        <v>67350</v>
      </c>
      <c r="P158" s="41"/>
      <c r="Q158" s="41"/>
    </row>
    <row r="159" spans="1:17">
      <c r="A159" s="38"/>
      <c r="B159" s="574">
        <v>0.45</v>
      </c>
      <c r="C159" s="571">
        <v>803</v>
      </c>
      <c r="D159" s="571">
        <v>860</v>
      </c>
      <c r="E159" s="571">
        <v>1032</v>
      </c>
      <c r="F159" s="571">
        <v>1193</v>
      </c>
      <c r="G159" s="571">
        <v>1332</v>
      </c>
      <c r="H159" s="571">
        <v>32130</v>
      </c>
      <c r="I159" s="571">
        <v>36720</v>
      </c>
      <c r="J159" s="571">
        <v>41310</v>
      </c>
      <c r="K159" s="571">
        <v>45900</v>
      </c>
      <c r="L159" s="571">
        <v>49590</v>
      </c>
      <c r="M159" s="573">
        <v>53280</v>
      </c>
      <c r="N159" s="573">
        <v>56925</v>
      </c>
      <c r="O159" s="573">
        <v>60615</v>
      </c>
      <c r="P159" s="41"/>
      <c r="Q159" s="41"/>
    </row>
    <row r="160" spans="1:17">
      <c r="A160" s="38"/>
      <c r="B160" s="574">
        <v>0.4</v>
      </c>
      <c r="C160" s="571">
        <v>714</v>
      </c>
      <c r="D160" s="571">
        <v>765</v>
      </c>
      <c r="E160" s="571">
        <v>918</v>
      </c>
      <c r="F160" s="571">
        <v>1061</v>
      </c>
      <c r="G160" s="571">
        <v>1184</v>
      </c>
      <c r="H160" s="571">
        <v>28560</v>
      </c>
      <c r="I160" s="571">
        <v>32640</v>
      </c>
      <c r="J160" s="571">
        <v>36720</v>
      </c>
      <c r="K160" s="571">
        <v>40800</v>
      </c>
      <c r="L160" s="571">
        <v>44080</v>
      </c>
      <c r="M160" s="573">
        <v>47360</v>
      </c>
      <c r="N160" s="573">
        <v>50600</v>
      </c>
      <c r="O160" s="573">
        <v>53880</v>
      </c>
      <c r="P160" s="41"/>
      <c r="Q160" s="41"/>
    </row>
    <row r="161" spans="1:17">
      <c r="A161" s="38"/>
      <c r="B161" s="510">
        <v>0.3</v>
      </c>
      <c r="C161" s="571">
        <v>535</v>
      </c>
      <c r="D161" s="571">
        <v>573</v>
      </c>
      <c r="E161" s="571">
        <v>688</v>
      </c>
      <c r="F161" s="571">
        <v>795</v>
      </c>
      <c r="G161" s="571">
        <v>888</v>
      </c>
      <c r="H161" s="572">
        <v>21420</v>
      </c>
      <c r="I161" s="572">
        <v>24480</v>
      </c>
      <c r="J161" s="572">
        <v>27540</v>
      </c>
      <c r="K161" s="572">
        <v>30600</v>
      </c>
      <c r="L161" s="572">
        <v>33060</v>
      </c>
      <c r="M161" s="572">
        <v>35520</v>
      </c>
      <c r="N161" s="572">
        <v>37950</v>
      </c>
      <c r="O161" s="572">
        <v>40410</v>
      </c>
      <c r="P161" s="41"/>
      <c r="Q161" s="41"/>
    </row>
    <row r="162" spans="1:17" ht="13.8" thickBot="1">
      <c r="A162" s="38"/>
      <c r="B162" s="40">
        <v>0.2</v>
      </c>
      <c r="C162" s="512">
        <v>357</v>
      </c>
      <c r="D162" s="512">
        <v>382</v>
      </c>
      <c r="E162" s="512">
        <v>459</v>
      </c>
      <c r="F162" s="512">
        <v>530</v>
      </c>
      <c r="G162" s="512">
        <v>592</v>
      </c>
      <c r="H162" s="513">
        <v>14280</v>
      </c>
      <c r="I162" s="513">
        <v>16320</v>
      </c>
      <c r="J162" s="513">
        <v>18360</v>
      </c>
      <c r="K162" s="513">
        <v>20400</v>
      </c>
      <c r="L162" s="513">
        <v>22040</v>
      </c>
      <c r="M162" s="513">
        <v>23680</v>
      </c>
      <c r="N162" s="513">
        <v>25300</v>
      </c>
      <c r="O162" s="513">
        <v>26940</v>
      </c>
      <c r="P162" s="41"/>
      <c r="Q162" s="41"/>
    </row>
    <row r="163" spans="1:17" ht="13.8" thickTop="1">
      <c r="A163" s="36"/>
      <c r="B163" s="37">
        <v>1.2</v>
      </c>
      <c r="C163" s="514">
        <v>2142</v>
      </c>
      <c r="D163" s="514">
        <v>2295</v>
      </c>
      <c r="E163" s="514">
        <v>2754</v>
      </c>
      <c r="F163" s="514">
        <v>3183</v>
      </c>
      <c r="G163" s="514">
        <v>3552</v>
      </c>
      <c r="H163" s="514">
        <v>85680</v>
      </c>
      <c r="I163" s="514">
        <v>97920</v>
      </c>
      <c r="J163" s="514">
        <v>110160</v>
      </c>
      <c r="K163" s="514">
        <v>122400</v>
      </c>
      <c r="L163" s="514">
        <v>132240</v>
      </c>
      <c r="M163" s="514">
        <v>142080</v>
      </c>
      <c r="N163" s="514">
        <v>151800</v>
      </c>
      <c r="O163" s="514">
        <v>161640</v>
      </c>
      <c r="P163" s="41"/>
      <c r="Q163" s="41"/>
    </row>
    <row r="164" spans="1:17">
      <c r="A164" s="38"/>
      <c r="B164" s="574">
        <v>1</v>
      </c>
      <c r="C164" s="571">
        <v>1785</v>
      </c>
      <c r="D164" s="571">
        <v>1912</v>
      </c>
      <c r="E164" s="571">
        <v>2295</v>
      </c>
      <c r="F164" s="571">
        <v>2652</v>
      </c>
      <c r="G164" s="571">
        <v>2960</v>
      </c>
      <c r="H164" s="571">
        <v>71400</v>
      </c>
      <c r="I164" s="571">
        <v>81600</v>
      </c>
      <c r="J164" s="571">
        <v>91800</v>
      </c>
      <c r="K164" s="571">
        <v>102000</v>
      </c>
      <c r="L164" s="571">
        <v>110200</v>
      </c>
      <c r="M164" s="571">
        <v>118400</v>
      </c>
      <c r="N164" s="571">
        <v>126500</v>
      </c>
      <c r="O164" s="571">
        <v>134700</v>
      </c>
      <c r="P164" s="41"/>
      <c r="Q164" s="41"/>
    </row>
    <row r="165" spans="1:17">
      <c r="A165" s="43" t="s">
        <v>1130</v>
      </c>
      <c r="B165" s="574">
        <v>0.8</v>
      </c>
      <c r="C165" s="571">
        <v>1428</v>
      </c>
      <c r="D165" s="571">
        <v>1530</v>
      </c>
      <c r="E165" s="571">
        <v>1836</v>
      </c>
      <c r="F165" s="571">
        <v>2122</v>
      </c>
      <c r="G165" s="571">
        <v>2368</v>
      </c>
      <c r="H165" s="572">
        <v>57120</v>
      </c>
      <c r="I165" s="572">
        <v>65280</v>
      </c>
      <c r="J165" s="572">
        <v>73440</v>
      </c>
      <c r="K165" s="572">
        <v>81600</v>
      </c>
      <c r="L165" s="572">
        <v>88160</v>
      </c>
      <c r="M165" s="572">
        <v>94720</v>
      </c>
      <c r="N165" s="572">
        <v>101200</v>
      </c>
      <c r="O165" s="572">
        <v>107760</v>
      </c>
      <c r="P165" s="41"/>
      <c r="Q165" s="41"/>
    </row>
    <row r="166" spans="1:17">
      <c r="A166" s="43"/>
      <c r="B166" s="574">
        <v>0.7</v>
      </c>
      <c r="C166" s="571">
        <v>1249</v>
      </c>
      <c r="D166" s="571">
        <v>1338</v>
      </c>
      <c r="E166" s="571">
        <v>1606</v>
      </c>
      <c r="F166" s="571">
        <v>1856</v>
      </c>
      <c r="G166" s="571">
        <v>2072</v>
      </c>
      <c r="H166" s="572">
        <v>49980</v>
      </c>
      <c r="I166" s="572">
        <v>57120</v>
      </c>
      <c r="J166" s="572">
        <v>64259.999999999993</v>
      </c>
      <c r="K166" s="572">
        <v>71400</v>
      </c>
      <c r="L166" s="572">
        <v>77140</v>
      </c>
      <c r="M166" s="572">
        <v>82880</v>
      </c>
      <c r="N166" s="572">
        <v>88550</v>
      </c>
      <c r="O166" s="572">
        <v>94290</v>
      </c>
      <c r="P166" s="41"/>
      <c r="Q166" s="41"/>
    </row>
    <row r="167" spans="1:17">
      <c r="A167" s="38"/>
      <c r="B167" s="574">
        <v>0.6</v>
      </c>
      <c r="C167" s="571">
        <v>1071</v>
      </c>
      <c r="D167" s="571">
        <v>1147</v>
      </c>
      <c r="E167" s="571">
        <v>1377</v>
      </c>
      <c r="F167" s="571">
        <v>1591</v>
      </c>
      <c r="G167" s="571">
        <v>1776</v>
      </c>
      <c r="H167" s="571">
        <v>42840</v>
      </c>
      <c r="I167" s="571">
        <v>48960</v>
      </c>
      <c r="J167" s="571">
        <v>55080</v>
      </c>
      <c r="K167" s="571">
        <v>61200</v>
      </c>
      <c r="L167" s="571">
        <v>66120</v>
      </c>
      <c r="M167" s="573">
        <v>71040</v>
      </c>
      <c r="N167" s="573">
        <v>75900</v>
      </c>
      <c r="O167" s="573">
        <v>80820</v>
      </c>
      <c r="P167" s="41"/>
      <c r="Q167" s="41"/>
    </row>
    <row r="168" spans="1:17">
      <c r="A168" s="38"/>
      <c r="B168" s="574">
        <v>0.55000000000000004</v>
      </c>
      <c r="C168" s="571">
        <v>981</v>
      </c>
      <c r="D168" s="571">
        <v>1051</v>
      </c>
      <c r="E168" s="571">
        <v>1262</v>
      </c>
      <c r="F168" s="571">
        <v>1458</v>
      </c>
      <c r="G168" s="571">
        <v>1628</v>
      </c>
      <c r="H168" s="571">
        <v>39270</v>
      </c>
      <c r="I168" s="571">
        <v>44880</v>
      </c>
      <c r="J168" s="571">
        <v>50490.000000000007</v>
      </c>
      <c r="K168" s="571">
        <v>56100.000000000007</v>
      </c>
      <c r="L168" s="571">
        <v>60610.000000000007</v>
      </c>
      <c r="M168" s="571">
        <v>65120.000000000007</v>
      </c>
      <c r="N168" s="571">
        <v>69575</v>
      </c>
      <c r="O168" s="571">
        <v>74085</v>
      </c>
      <c r="P168" s="41"/>
      <c r="Q168" s="41"/>
    </row>
    <row r="169" spans="1:17">
      <c r="A169" s="38"/>
      <c r="B169" s="574">
        <v>0.5</v>
      </c>
      <c r="C169" s="571">
        <v>892</v>
      </c>
      <c r="D169" s="571">
        <v>956</v>
      </c>
      <c r="E169" s="571">
        <v>1147</v>
      </c>
      <c r="F169" s="571">
        <v>1326</v>
      </c>
      <c r="G169" s="571">
        <v>1480</v>
      </c>
      <c r="H169" s="572">
        <v>35700</v>
      </c>
      <c r="I169" s="572">
        <v>40800</v>
      </c>
      <c r="J169" s="572">
        <v>45900</v>
      </c>
      <c r="K169" s="572">
        <v>51000</v>
      </c>
      <c r="L169" s="572">
        <v>55100</v>
      </c>
      <c r="M169" s="572">
        <v>59200</v>
      </c>
      <c r="N169" s="572">
        <v>63250</v>
      </c>
      <c r="O169" s="572">
        <v>67350</v>
      </c>
      <c r="P169" s="41"/>
      <c r="Q169" s="41"/>
    </row>
    <row r="170" spans="1:17">
      <c r="A170" s="38"/>
      <c r="B170" s="574">
        <v>0.45</v>
      </c>
      <c r="C170" s="571">
        <v>803</v>
      </c>
      <c r="D170" s="571">
        <v>860</v>
      </c>
      <c r="E170" s="571">
        <v>1032</v>
      </c>
      <c r="F170" s="571">
        <v>1193</v>
      </c>
      <c r="G170" s="571">
        <v>1332</v>
      </c>
      <c r="H170" s="571">
        <v>32130</v>
      </c>
      <c r="I170" s="571">
        <v>36720</v>
      </c>
      <c r="J170" s="571">
        <v>41310</v>
      </c>
      <c r="K170" s="571">
        <v>45900</v>
      </c>
      <c r="L170" s="571">
        <v>49590</v>
      </c>
      <c r="M170" s="573">
        <v>53280</v>
      </c>
      <c r="N170" s="573">
        <v>56925</v>
      </c>
      <c r="O170" s="573">
        <v>60615</v>
      </c>
      <c r="P170" s="41"/>
      <c r="Q170" s="41"/>
    </row>
    <row r="171" spans="1:17">
      <c r="A171" s="38"/>
      <c r="B171" s="574">
        <v>0.4</v>
      </c>
      <c r="C171" s="571">
        <v>714</v>
      </c>
      <c r="D171" s="571">
        <v>765</v>
      </c>
      <c r="E171" s="571">
        <v>918</v>
      </c>
      <c r="F171" s="571">
        <v>1061</v>
      </c>
      <c r="G171" s="571">
        <v>1184</v>
      </c>
      <c r="H171" s="571">
        <v>28560</v>
      </c>
      <c r="I171" s="571">
        <v>32640</v>
      </c>
      <c r="J171" s="571">
        <v>36720</v>
      </c>
      <c r="K171" s="571">
        <v>40800</v>
      </c>
      <c r="L171" s="571">
        <v>44080</v>
      </c>
      <c r="M171" s="573">
        <v>47360</v>
      </c>
      <c r="N171" s="573">
        <v>50600</v>
      </c>
      <c r="O171" s="573">
        <v>53880</v>
      </c>
      <c r="P171" s="41"/>
      <c r="Q171" s="41"/>
    </row>
    <row r="172" spans="1:17">
      <c r="A172" s="38"/>
      <c r="B172" s="510">
        <v>0.3</v>
      </c>
      <c r="C172" s="571">
        <v>535</v>
      </c>
      <c r="D172" s="571">
        <v>573</v>
      </c>
      <c r="E172" s="571">
        <v>688</v>
      </c>
      <c r="F172" s="571">
        <v>795</v>
      </c>
      <c r="G172" s="571">
        <v>888</v>
      </c>
      <c r="H172" s="572">
        <v>21420</v>
      </c>
      <c r="I172" s="572">
        <v>24480</v>
      </c>
      <c r="J172" s="572">
        <v>27540</v>
      </c>
      <c r="K172" s="572">
        <v>30600</v>
      </c>
      <c r="L172" s="572">
        <v>33060</v>
      </c>
      <c r="M172" s="572">
        <v>35520</v>
      </c>
      <c r="N172" s="572">
        <v>37950</v>
      </c>
      <c r="O172" s="572">
        <v>40410</v>
      </c>
      <c r="P172" s="41"/>
      <c r="Q172" s="41"/>
    </row>
    <row r="173" spans="1:17" ht="13.8" thickBot="1">
      <c r="A173" s="38"/>
      <c r="B173" s="40">
        <v>0.2</v>
      </c>
      <c r="C173" s="512">
        <v>357</v>
      </c>
      <c r="D173" s="512">
        <v>382</v>
      </c>
      <c r="E173" s="512">
        <v>459</v>
      </c>
      <c r="F173" s="512">
        <v>530</v>
      </c>
      <c r="G173" s="512">
        <v>592</v>
      </c>
      <c r="H173" s="513">
        <v>14280</v>
      </c>
      <c r="I173" s="513">
        <v>16320</v>
      </c>
      <c r="J173" s="513">
        <v>18360</v>
      </c>
      <c r="K173" s="513">
        <v>20400</v>
      </c>
      <c r="L173" s="513">
        <v>22040</v>
      </c>
      <c r="M173" s="513">
        <v>23680</v>
      </c>
      <c r="N173" s="513">
        <v>25300</v>
      </c>
      <c r="O173" s="513">
        <v>26940</v>
      </c>
      <c r="P173" s="41"/>
      <c r="Q173" s="41"/>
    </row>
    <row r="174" spans="1:17" ht="13.8" thickTop="1">
      <c r="A174" s="36"/>
      <c r="B174" s="37">
        <v>1.2</v>
      </c>
      <c r="C174" s="514">
        <v>2142</v>
      </c>
      <c r="D174" s="514">
        <v>2295</v>
      </c>
      <c r="E174" s="514">
        <v>2754</v>
      </c>
      <c r="F174" s="514">
        <v>3183</v>
      </c>
      <c r="G174" s="514">
        <v>3552</v>
      </c>
      <c r="H174" s="514">
        <v>85680</v>
      </c>
      <c r="I174" s="514">
        <v>97920</v>
      </c>
      <c r="J174" s="514">
        <v>110160</v>
      </c>
      <c r="K174" s="514">
        <v>122400</v>
      </c>
      <c r="L174" s="514">
        <v>132240</v>
      </c>
      <c r="M174" s="514">
        <v>142080</v>
      </c>
      <c r="N174" s="514">
        <v>151800</v>
      </c>
      <c r="O174" s="514">
        <v>161640</v>
      </c>
      <c r="P174" s="41"/>
      <c r="Q174" s="41"/>
    </row>
    <row r="175" spans="1:17">
      <c r="A175" s="38"/>
      <c r="B175" s="574">
        <v>1</v>
      </c>
      <c r="C175" s="571">
        <v>1785</v>
      </c>
      <c r="D175" s="571">
        <v>1912</v>
      </c>
      <c r="E175" s="571">
        <v>2295</v>
      </c>
      <c r="F175" s="571">
        <v>2652</v>
      </c>
      <c r="G175" s="571">
        <v>2960</v>
      </c>
      <c r="H175" s="571">
        <v>71400</v>
      </c>
      <c r="I175" s="571">
        <v>81600</v>
      </c>
      <c r="J175" s="571">
        <v>91800</v>
      </c>
      <c r="K175" s="571">
        <v>102000</v>
      </c>
      <c r="L175" s="571">
        <v>110200</v>
      </c>
      <c r="M175" s="571">
        <v>118400</v>
      </c>
      <c r="N175" s="571">
        <v>126500</v>
      </c>
      <c r="O175" s="571">
        <v>134700</v>
      </c>
      <c r="P175" s="41"/>
      <c r="Q175" s="41"/>
    </row>
    <row r="176" spans="1:17">
      <c r="A176" s="43" t="s">
        <v>1131</v>
      </c>
      <c r="B176" s="574">
        <v>0.8</v>
      </c>
      <c r="C176" s="571">
        <v>1428</v>
      </c>
      <c r="D176" s="571">
        <v>1530</v>
      </c>
      <c r="E176" s="571">
        <v>1836</v>
      </c>
      <c r="F176" s="571">
        <v>2122</v>
      </c>
      <c r="G176" s="571">
        <v>2368</v>
      </c>
      <c r="H176" s="572">
        <v>57120</v>
      </c>
      <c r="I176" s="572">
        <v>65280</v>
      </c>
      <c r="J176" s="572">
        <v>73440</v>
      </c>
      <c r="K176" s="572">
        <v>81600</v>
      </c>
      <c r="L176" s="572">
        <v>88160</v>
      </c>
      <c r="M176" s="572">
        <v>94720</v>
      </c>
      <c r="N176" s="572">
        <v>101200</v>
      </c>
      <c r="O176" s="572">
        <v>107760</v>
      </c>
      <c r="P176" s="41"/>
      <c r="Q176" s="41"/>
    </row>
    <row r="177" spans="1:17">
      <c r="A177" s="43"/>
      <c r="B177" s="574">
        <v>0.7</v>
      </c>
      <c r="C177" s="571">
        <v>1249</v>
      </c>
      <c r="D177" s="571">
        <v>1338</v>
      </c>
      <c r="E177" s="571">
        <v>1606</v>
      </c>
      <c r="F177" s="571">
        <v>1856</v>
      </c>
      <c r="G177" s="571">
        <v>2072</v>
      </c>
      <c r="H177" s="572">
        <v>49980</v>
      </c>
      <c r="I177" s="572">
        <v>57120</v>
      </c>
      <c r="J177" s="572">
        <v>64259.999999999993</v>
      </c>
      <c r="K177" s="572">
        <v>71400</v>
      </c>
      <c r="L177" s="572">
        <v>77140</v>
      </c>
      <c r="M177" s="572">
        <v>82880</v>
      </c>
      <c r="N177" s="572">
        <v>88550</v>
      </c>
      <c r="O177" s="572">
        <v>94290</v>
      </c>
      <c r="P177" s="41"/>
      <c r="Q177" s="41"/>
    </row>
    <row r="178" spans="1:17">
      <c r="A178" s="38"/>
      <c r="B178" s="574">
        <v>0.6</v>
      </c>
      <c r="C178" s="571">
        <v>1071</v>
      </c>
      <c r="D178" s="571">
        <v>1147</v>
      </c>
      <c r="E178" s="571">
        <v>1377</v>
      </c>
      <c r="F178" s="571">
        <v>1591</v>
      </c>
      <c r="G178" s="571">
        <v>1776</v>
      </c>
      <c r="H178" s="571">
        <v>42840</v>
      </c>
      <c r="I178" s="571">
        <v>48960</v>
      </c>
      <c r="J178" s="571">
        <v>55080</v>
      </c>
      <c r="K178" s="571">
        <v>61200</v>
      </c>
      <c r="L178" s="571">
        <v>66120</v>
      </c>
      <c r="M178" s="573">
        <v>71040</v>
      </c>
      <c r="N178" s="573">
        <v>75900</v>
      </c>
      <c r="O178" s="573">
        <v>80820</v>
      </c>
      <c r="P178" s="41"/>
      <c r="Q178" s="41"/>
    </row>
    <row r="179" spans="1:17">
      <c r="A179" s="38"/>
      <c r="B179" s="574">
        <v>0.55000000000000004</v>
      </c>
      <c r="C179" s="571">
        <v>981</v>
      </c>
      <c r="D179" s="571">
        <v>1051</v>
      </c>
      <c r="E179" s="571">
        <v>1262</v>
      </c>
      <c r="F179" s="571">
        <v>1458</v>
      </c>
      <c r="G179" s="571">
        <v>1628</v>
      </c>
      <c r="H179" s="571">
        <v>39270</v>
      </c>
      <c r="I179" s="571">
        <v>44880</v>
      </c>
      <c r="J179" s="571">
        <v>50490.000000000007</v>
      </c>
      <c r="K179" s="571">
        <v>56100.000000000007</v>
      </c>
      <c r="L179" s="571">
        <v>60610.000000000007</v>
      </c>
      <c r="M179" s="571">
        <v>65120.000000000007</v>
      </c>
      <c r="N179" s="571">
        <v>69575</v>
      </c>
      <c r="O179" s="571">
        <v>74085</v>
      </c>
      <c r="P179" s="41"/>
      <c r="Q179" s="41"/>
    </row>
    <row r="180" spans="1:17">
      <c r="A180" s="38"/>
      <c r="B180" s="574">
        <v>0.5</v>
      </c>
      <c r="C180" s="571">
        <v>892</v>
      </c>
      <c r="D180" s="571">
        <v>956</v>
      </c>
      <c r="E180" s="571">
        <v>1147</v>
      </c>
      <c r="F180" s="571">
        <v>1326</v>
      </c>
      <c r="G180" s="571">
        <v>1480</v>
      </c>
      <c r="H180" s="572">
        <v>35700</v>
      </c>
      <c r="I180" s="572">
        <v>40800</v>
      </c>
      <c r="J180" s="572">
        <v>45900</v>
      </c>
      <c r="K180" s="572">
        <v>51000</v>
      </c>
      <c r="L180" s="572">
        <v>55100</v>
      </c>
      <c r="M180" s="572">
        <v>59200</v>
      </c>
      <c r="N180" s="572">
        <v>63250</v>
      </c>
      <c r="O180" s="572">
        <v>67350</v>
      </c>
      <c r="P180" s="41"/>
      <c r="Q180" s="41"/>
    </row>
    <row r="181" spans="1:17">
      <c r="A181" s="38"/>
      <c r="B181" s="574">
        <v>0.45</v>
      </c>
      <c r="C181" s="571">
        <v>803</v>
      </c>
      <c r="D181" s="571">
        <v>860</v>
      </c>
      <c r="E181" s="571">
        <v>1032</v>
      </c>
      <c r="F181" s="571">
        <v>1193</v>
      </c>
      <c r="G181" s="571">
        <v>1332</v>
      </c>
      <c r="H181" s="571">
        <v>32130</v>
      </c>
      <c r="I181" s="571">
        <v>36720</v>
      </c>
      <c r="J181" s="571">
        <v>41310</v>
      </c>
      <c r="K181" s="571">
        <v>45900</v>
      </c>
      <c r="L181" s="571">
        <v>49590</v>
      </c>
      <c r="M181" s="573">
        <v>53280</v>
      </c>
      <c r="N181" s="573">
        <v>56925</v>
      </c>
      <c r="O181" s="573">
        <v>60615</v>
      </c>
      <c r="P181" s="41"/>
      <c r="Q181" s="41"/>
    </row>
    <row r="182" spans="1:17">
      <c r="A182" s="38"/>
      <c r="B182" s="574">
        <v>0.4</v>
      </c>
      <c r="C182" s="571">
        <v>714</v>
      </c>
      <c r="D182" s="571">
        <v>765</v>
      </c>
      <c r="E182" s="571">
        <v>918</v>
      </c>
      <c r="F182" s="571">
        <v>1061</v>
      </c>
      <c r="G182" s="571">
        <v>1184</v>
      </c>
      <c r="H182" s="571">
        <v>28560</v>
      </c>
      <c r="I182" s="571">
        <v>32640</v>
      </c>
      <c r="J182" s="571">
        <v>36720</v>
      </c>
      <c r="K182" s="571">
        <v>40800</v>
      </c>
      <c r="L182" s="571">
        <v>44080</v>
      </c>
      <c r="M182" s="573">
        <v>47360</v>
      </c>
      <c r="N182" s="573">
        <v>50600</v>
      </c>
      <c r="O182" s="573">
        <v>53880</v>
      </c>
      <c r="P182" s="41"/>
      <c r="Q182" s="41"/>
    </row>
    <row r="183" spans="1:17">
      <c r="A183" s="38"/>
      <c r="B183" s="510">
        <v>0.3</v>
      </c>
      <c r="C183" s="571">
        <v>535</v>
      </c>
      <c r="D183" s="571">
        <v>573</v>
      </c>
      <c r="E183" s="571">
        <v>688</v>
      </c>
      <c r="F183" s="571">
        <v>795</v>
      </c>
      <c r="G183" s="571">
        <v>888</v>
      </c>
      <c r="H183" s="572">
        <v>21420</v>
      </c>
      <c r="I183" s="572">
        <v>24480</v>
      </c>
      <c r="J183" s="572">
        <v>27540</v>
      </c>
      <c r="K183" s="572">
        <v>30600</v>
      </c>
      <c r="L183" s="572">
        <v>33060</v>
      </c>
      <c r="M183" s="572">
        <v>35520</v>
      </c>
      <c r="N183" s="572">
        <v>37950</v>
      </c>
      <c r="O183" s="572">
        <v>40410</v>
      </c>
      <c r="P183" s="41"/>
      <c r="Q183" s="41"/>
    </row>
    <row r="184" spans="1:17" ht="13.8" thickBot="1">
      <c r="A184" s="38"/>
      <c r="B184" s="40">
        <v>0.2</v>
      </c>
      <c r="C184" s="512">
        <v>357</v>
      </c>
      <c r="D184" s="512">
        <v>382</v>
      </c>
      <c r="E184" s="512">
        <v>459</v>
      </c>
      <c r="F184" s="512">
        <v>530</v>
      </c>
      <c r="G184" s="512">
        <v>592</v>
      </c>
      <c r="H184" s="513">
        <v>14280</v>
      </c>
      <c r="I184" s="513">
        <v>16320</v>
      </c>
      <c r="J184" s="513">
        <v>18360</v>
      </c>
      <c r="K184" s="513">
        <v>20400</v>
      </c>
      <c r="L184" s="513">
        <v>22040</v>
      </c>
      <c r="M184" s="513">
        <v>23680</v>
      </c>
      <c r="N184" s="513">
        <v>25300</v>
      </c>
      <c r="O184" s="513">
        <v>26940</v>
      </c>
      <c r="P184" s="41"/>
      <c r="Q184" s="41"/>
    </row>
    <row r="185" spans="1:17" ht="13.8" thickTop="1">
      <c r="A185" s="36"/>
      <c r="B185" s="37">
        <v>1.2</v>
      </c>
      <c r="C185" s="514">
        <v>2943</v>
      </c>
      <c r="D185" s="514">
        <v>3153</v>
      </c>
      <c r="E185" s="514">
        <v>3783</v>
      </c>
      <c r="F185" s="514">
        <v>4372</v>
      </c>
      <c r="G185" s="514">
        <v>4878</v>
      </c>
      <c r="H185" s="514">
        <v>117720</v>
      </c>
      <c r="I185" s="514">
        <v>134520</v>
      </c>
      <c r="J185" s="514">
        <v>151320</v>
      </c>
      <c r="K185" s="514">
        <v>168120</v>
      </c>
      <c r="L185" s="514">
        <v>181680</v>
      </c>
      <c r="M185" s="514">
        <v>195120</v>
      </c>
      <c r="N185" s="514">
        <v>208560</v>
      </c>
      <c r="O185" s="514">
        <v>222000</v>
      </c>
      <c r="P185" s="42"/>
      <c r="Q185" s="42"/>
    </row>
    <row r="186" spans="1:17">
      <c r="A186" s="38"/>
      <c r="B186" s="574">
        <v>1</v>
      </c>
      <c r="C186" s="571">
        <v>2452</v>
      </c>
      <c r="D186" s="571">
        <v>2627</v>
      </c>
      <c r="E186" s="571">
        <v>3152</v>
      </c>
      <c r="F186" s="571">
        <v>3643</v>
      </c>
      <c r="G186" s="571">
        <v>4065</v>
      </c>
      <c r="H186" s="571">
        <v>98100</v>
      </c>
      <c r="I186" s="571">
        <v>112100</v>
      </c>
      <c r="J186" s="571">
        <v>126100</v>
      </c>
      <c r="K186" s="571">
        <v>140100</v>
      </c>
      <c r="L186" s="571">
        <v>151400</v>
      </c>
      <c r="M186" s="571">
        <v>162600</v>
      </c>
      <c r="N186" s="571">
        <v>173800</v>
      </c>
      <c r="O186" s="571">
        <v>185000</v>
      </c>
      <c r="P186" s="39"/>
      <c r="Q186" s="39"/>
    </row>
    <row r="187" spans="1:17">
      <c r="A187" s="43" t="s">
        <v>1132</v>
      </c>
      <c r="B187" s="574">
        <v>0.8</v>
      </c>
      <c r="C187" s="571">
        <v>1962</v>
      </c>
      <c r="D187" s="571">
        <v>2102</v>
      </c>
      <c r="E187" s="571">
        <v>2522</v>
      </c>
      <c r="F187" s="571">
        <v>2915</v>
      </c>
      <c r="G187" s="571">
        <v>3252</v>
      </c>
      <c r="H187" s="572">
        <v>78480</v>
      </c>
      <c r="I187" s="572">
        <v>89680</v>
      </c>
      <c r="J187" s="572">
        <v>100880</v>
      </c>
      <c r="K187" s="572">
        <v>112080</v>
      </c>
      <c r="L187" s="572">
        <v>121120</v>
      </c>
      <c r="M187" s="572">
        <v>130080</v>
      </c>
      <c r="N187" s="572">
        <v>139040</v>
      </c>
      <c r="O187" s="572">
        <v>148000</v>
      </c>
      <c r="P187" s="39"/>
      <c r="Q187" s="39"/>
    </row>
    <row r="188" spans="1:17">
      <c r="A188" s="43"/>
      <c r="B188" s="574">
        <v>0.7</v>
      </c>
      <c r="C188" s="571">
        <v>1716</v>
      </c>
      <c r="D188" s="571">
        <v>1839</v>
      </c>
      <c r="E188" s="571">
        <v>2206</v>
      </c>
      <c r="F188" s="571">
        <v>2550</v>
      </c>
      <c r="G188" s="571">
        <v>2845</v>
      </c>
      <c r="H188" s="572">
        <v>68670</v>
      </c>
      <c r="I188" s="572">
        <v>78470</v>
      </c>
      <c r="J188" s="572">
        <v>88270</v>
      </c>
      <c r="K188" s="572">
        <v>98070</v>
      </c>
      <c r="L188" s="572">
        <v>105980</v>
      </c>
      <c r="M188" s="572">
        <v>113820</v>
      </c>
      <c r="N188" s="572">
        <v>121659.99999999999</v>
      </c>
      <c r="O188" s="572">
        <v>129499.99999999999</v>
      </c>
      <c r="P188" s="39"/>
      <c r="Q188" s="39"/>
    </row>
    <row r="189" spans="1:17">
      <c r="A189" s="38"/>
      <c r="B189" s="574">
        <v>0.6</v>
      </c>
      <c r="C189" s="571">
        <v>1471</v>
      </c>
      <c r="D189" s="571">
        <v>1576</v>
      </c>
      <c r="E189" s="571">
        <v>1891</v>
      </c>
      <c r="F189" s="571">
        <v>2186</v>
      </c>
      <c r="G189" s="571">
        <v>2439</v>
      </c>
      <c r="H189" s="571">
        <v>58860</v>
      </c>
      <c r="I189" s="571">
        <v>67260</v>
      </c>
      <c r="J189" s="571">
        <v>75660</v>
      </c>
      <c r="K189" s="571">
        <v>84060</v>
      </c>
      <c r="L189" s="571">
        <v>90840</v>
      </c>
      <c r="M189" s="573">
        <v>97560</v>
      </c>
      <c r="N189" s="573">
        <v>104280</v>
      </c>
      <c r="O189" s="573">
        <v>111000</v>
      </c>
      <c r="P189" s="39"/>
      <c r="Q189" s="39"/>
    </row>
    <row r="190" spans="1:17">
      <c r="A190" s="38"/>
      <c r="B190" s="574">
        <v>0.55000000000000004</v>
      </c>
      <c r="C190" s="571">
        <v>1348</v>
      </c>
      <c r="D190" s="571">
        <v>1445</v>
      </c>
      <c r="E190" s="571">
        <v>1733</v>
      </c>
      <c r="F190" s="571">
        <v>2004</v>
      </c>
      <c r="G190" s="571">
        <v>2235</v>
      </c>
      <c r="H190" s="571">
        <v>53955.000000000007</v>
      </c>
      <c r="I190" s="571">
        <v>61655.000000000007</v>
      </c>
      <c r="J190" s="571">
        <v>69355</v>
      </c>
      <c r="K190" s="571">
        <v>77055</v>
      </c>
      <c r="L190" s="571">
        <v>83270</v>
      </c>
      <c r="M190" s="571">
        <v>89430</v>
      </c>
      <c r="N190" s="571">
        <v>95590.000000000015</v>
      </c>
      <c r="O190" s="571">
        <v>101750.00000000001</v>
      </c>
      <c r="P190" s="39"/>
      <c r="Q190" s="39"/>
    </row>
    <row r="191" spans="1:17">
      <c r="A191" s="38"/>
      <c r="B191" s="574">
        <v>0.5</v>
      </c>
      <c r="C191" s="571">
        <v>1226</v>
      </c>
      <c r="D191" s="571">
        <v>1313</v>
      </c>
      <c r="E191" s="571">
        <v>1576</v>
      </c>
      <c r="F191" s="571">
        <v>1821</v>
      </c>
      <c r="G191" s="571">
        <v>2032</v>
      </c>
      <c r="H191" s="572">
        <v>49050</v>
      </c>
      <c r="I191" s="572">
        <v>56050</v>
      </c>
      <c r="J191" s="572">
        <v>63050</v>
      </c>
      <c r="K191" s="572">
        <v>70050</v>
      </c>
      <c r="L191" s="572">
        <v>75700</v>
      </c>
      <c r="M191" s="572">
        <v>81300</v>
      </c>
      <c r="N191" s="572">
        <v>86900</v>
      </c>
      <c r="O191" s="572">
        <v>92500</v>
      </c>
      <c r="P191" s="39"/>
      <c r="Q191" s="39"/>
    </row>
    <row r="192" spans="1:17">
      <c r="A192" s="38"/>
      <c r="B192" s="574">
        <v>0.45</v>
      </c>
      <c r="C192" s="571">
        <v>1103</v>
      </c>
      <c r="D192" s="571">
        <v>1182</v>
      </c>
      <c r="E192" s="571">
        <v>1418</v>
      </c>
      <c r="F192" s="571">
        <v>1639</v>
      </c>
      <c r="G192" s="571">
        <v>1829</v>
      </c>
      <c r="H192" s="571">
        <v>44145</v>
      </c>
      <c r="I192" s="571">
        <v>50445</v>
      </c>
      <c r="J192" s="571">
        <v>56745</v>
      </c>
      <c r="K192" s="571">
        <v>63045</v>
      </c>
      <c r="L192" s="571">
        <v>68130</v>
      </c>
      <c r="M192" s="573">
        <v>73170</v>
      </c>
      <c r="N192" s="573">
        <v>78210</v>
      </c>
      <c r="O192" s="573">
        <v>83250</v>
      </c>
      <c r="P192" s="39"/>
      <c r="Q192" s="39"/>
    </row>
    <row r="193" spans="1:17">
      <c r="A193" s="38"/>
      <c r="B193" s="574">
        <v>0.4</v>
      </c>
      <c r="C193" s="571">
        <v>981</v>
      </c>
      <c r="D193" s="571">
        <v>1051</v>
      </c>
      <c r="E193" s="571">
        <v>1261</v>
      </c>
      <c r="F193" s="571">
        <v>1457</v>
      </c>
      <c r="G193" s="571">
        <v>1626</v>
      </c>
      <c r="H193" s="571">
        <v>39240</v>
      </c>
      <c r="I193" s="571">
        <v>44840</v>
      </c>
      <c r="J193" s="571">
        <v>50440</v>
      </c>
      <c r="K193" s="571">
        <v>56040</v>
      </c>
      <c r="L193" s="571">
        <v>60560</v>
      </c>
      <c r="M193" s="573">
        <v>65040</v>
      </c>
      <c r="N193" s="573">
        <v>69520</v>
      </c>
      <c r="O193" s="573">
        <v>74000</v>
      </c>
      <c r="P193" s="39"/>
      <c r="Q193" s="39"/>
    </row>
    <row r="194" spans="1:17">
      <c r="A194" s="38"/>
      <c r="B194" s="510">
        <v>0.3</v>
      </c>
      <c r="C194" s="571">
        <v>735</v>
      </c>
      <c r="D194" s="571">
        <v>788</v>
      </c>
      <c r="E194" s="571">
        <v>945</v>
      </c>
      <c r="F194" s="571">
        <v>1093</v>
      </c>
      <c r="G194" s="571">
        <v>1219</v>
      </c>
      <c r="H194" s="572">
        <v>29430</v>
      </c>
      <c r="I194" s="572">
        <v>33630</v>
      </c>
      <c r="J194" s="572">
        <v>37830</v>
      </c>
      <c r="K194" s="572">
        <v>42030</v>
      </c>
      <c r="L194" s="572">
        <v>45420</v>
      </c>
      <c r="M194" s="572">
        <v>48780</v>
      </c>
      <c r="N194" s="572">
        <v>52140</v>
      </c>
      <c r="O194" s="572">
        <v>55500</v>
      </c>
      <c r="P194" s="39"/>
      <c r="Q194" s="39"/>
    </row>
    <row r="195" spans="1:17" ht="13.8" thickBot="1">
      <c r="A195" s="594"/>
      <c r="B195" s="40">
        <v>0.2</v>
      </c>
      <c r="C195" s="512">
        <v>490</v>
      </c>
      <c r="D195" s="512">
        <v>525</v>
      </c>
      <c r="E195" s="512">
        <v>630</v>
      </c>
      <c r="F195" s="512">
        <v>728</v>
      </c>
      <c r="G195" s="512">
        <v>813</v>
      </c>
      <c r="H195" s="513">
        <v>19620</v>
      </c>
      <c r="I195" s="513">
        <v>22420</v>
      </c>
      <c r="J195" s="513">
        <v>25220</v>
      </c>
      <c r="K195" s="513">
        <v>28020</v>
      </c>
      <c r="L195" s="513">
        <v>30280</v>
      </c>
      <c r="M195" s="513">
        <v>32520</v>
      </c>
      <c r="N195" s="513">
        <v>34760</v>
      </c>
      <c r="O195" s="513">
        <v>37000</v>
      </c>
      <c r="P195" s="41"/>
      <c r="Q195" s="41"/>
    </row>
    <row r="196" spans="1:17" ht="13.8" thickTop="1">
      <c r="A196" s="38"/>
      <c r="B196" s="37">
        <v>1.2</v>
      </c>
      <c r="C196" s="514">
        <v>2157</v>
      </c>
      <c r="D196" s="514">
        <v>2311</v>
      </c>
      <c r="E196" s="514">
        <v>2775</v>
      </c>
      <c r="F196" s="514">
        <v>3205</v>
      </c>
      <c r="G196" s="514">
        <v>3576</v>
      </c>
      <c r="H196" s="514">
        <v>86280</v>
      </c>
      <c r="I196" s="514">
        <v>98640</v>
      </c>
      <c r="J196" s="514">
        <v>111000</v>
      </c>
      <c r="K196" s="514">
        <v>123240</v>
      </c>
      <c r="L196" s="514">
        <v>133200</v>
      </c>
      <c r="M196" s="514">
        <v>143040</v>
      </c>
      <c r="N196" s="514">
        <v>152880</v>
      </c>
      <c r="O196" s="514">
        <v>162720</v>
      </c>
      <c r="P196" s="41"/>
      <c r="Q196" s="41"/>
    </row>
    <row r="197" spans="1:17">
      <c r="A197" s="38"/>
      <c r="B197" s="574">
        <v>1</v>
      </c>
      <c r="C197" s="571">
        <v>1797</v>
      </c>
      <c r="D197" s="571">
        <v>1926</v>
      </c>
      <c r="E197" s="571">
        <v>2312</v>
      </c>
      <c r="F197" s="571">
        <v>2671</v>
      </c>
      <c r="G197" s="571">
        <v>2980</v>
      </c>
      <c r="H197" s="571">
        <v>71900</v>
      </c>
      <c r="I197" s="571">
        <v>82200</v>
      </c>
      <c r="J197" s="571">
        <v>92500</v>
      </c>
      <c r="K197" s="571">
        <v>102700</v>
      </c>
      <c r="L197" s="571">
        <v>111000</v>
      </c>
      <c r="M197" s="571">
        <v>119200</v>
      </c>
      <c r="N197" s="571">
        <v>127400</v>
      </c>
      <c r="O197" s="571">
        <v>135600</v>
      </c>
      <c r="P197" s="41"/>
      <c r="Q197" s="41"/>
    </row>
    <row r="198" spans="1:17">
      <c r="A198" s="38" t="s">
        <v>1133</v>
      </c>
      <c r="B198" s="574">
        <v>0.8</v>
      </c>
      <c r="C198" s="571">
        <v>1438</v>
      </c>
      <c r="D198" s="571">
        <v>1541</v>
      </c>
      <c r="E198" s="571">
        <v>1850</v>
      </c>
      <c r="F198" s="571">
        <v>2137</v>
      </c>
      <c r="G198" s="571">
        <v>2384</v>
      </c>
      <c r="H198" s="572">
        <v>57520</v>
      </c>
      <c r="I198" s="572">
        <v>65760</v>
      </c>
      <c r="J198" s="572">
        <v>74000</v>
      </c>
      <c r="K198" s="572">
        <v>82160</v>
      </c>
      <c r="L198" s="572">
        <v>88800</v>
      </c>
      <c r="M198" s="572">
        <v>95360</v>
      </c>
      <c r="N198" s="572">
        <v>101920</v>
      </c>
      <c r="O198" s="572">
        <v>108480</v>
      </c>
      <c r="P198" s="41"/>
      <c r="Q198" s="41"/>
    </row>
    <row r="199" spans="1:17">
      <c r="A199" s="38"/>
      <c r="B199" s="574">
        <v>0.7</v>
      </c>
      <c r="C199" s="571">
        <v>1258</v>
      </c>
      <c r="D199" s="571">
        <v>1348</v>
      </c>
      <c r="E199" s="571">
        <v>1618</v>
      </c>
      <c r="F199" s="571">
        <v>1869</v>
      </c>
      <c r="G199" s="571">
        <v>2086</v>
      </c>
      <c r="H199" s="572">
        <v>50330</v>
      </c>
      <c r="I199" s="572">
        <v>57539.999999999993</v>
      </c>
      <c r="J199" s="572">
        <v>64749.999999999993</v>
      </c>
      <c r="K199" s="572">
        <v>71890</v>
      </c>
      <c r="L199" s="572">
        <v>77700</v>
      </c>
      <c r="M199" s="572">
        <v>83440</v>
      </c>
      <c r="N199" s="572">
        <v>89180</v>
      </c>
      <c r="O199" s="572">
        <v>94920</v>
      </c>
      <c r="P199" s="41"/>
      <c r="Q199" s="41"/>
    </row>
    <row r="200" spans="1:17">
      <c r="A200" s="38"/>
      <c r="B200" s="574">
        <v>0.6</v>
      </c>
      <c r="C200" s="571">
        <v>1078</v>
      </c>
      <c r="D200" s="571">
        <v>1155</v>
      </c>
      <c r="E200" s="571">
        <v>1387</v>
      </c>
      <c r="F200" s="571">
        <v>1602</v>
      </c>
      <c r="G200" s="571">
        <v>1788</v>
      </c>
      <c r="H200" s="571">
        <v>43140</v>
      </c>
      <c r="I200" s="571">
        <v>49320</v>
      </c>
      <c r="J200" s="571">
        <v>55500</v>
      </c>
      <c r="K200" s="571">
        <v>61620</v>
      </c>
      <c r="L200" s="571">
        <v>66600</v>
      </c>
      <c r="M200" s="573">
        <v>71520</v>
      </c>
      <c r="N200" s="573">
        <v>76440</v>
      </c>
      <c r="O200" s="573">
        <v>81360</v>
      </c>
      <c r="P200" s="41"/>
      <c r="Q200" s="41"/>
    </row>
    <row r="201" spans="1:17">
      <c r="A201" s="38"/>
      <c r="B201" s="574">
        <v>0.55000000000000004</v>
      </c>
      <c r="C201" s="571">
        <v>988</v>
      </c>
      <c r="D201" s="571">
        <v>1059</v>
      </c>
      <c r="E201" s="571">
        <v>1271</v>
      </c>
      <c r="F201" s="571">
        <v>1469</v>
      </c>
      <c r="G201" s="571">
        <v>1639</v>
      </c>
      <c r="H201" s="571">
        <v>39545</v>
      </c>
      <c r="I201" s="571">
        <v>45210.000000000007</v>
      </c>
      <c r="J201" s="571">
        <v>50875.000000000007</v>
      </c>
      <c r="K201" s="571">
        <v>56485.000000000007</v>
      </c>
      <c r="L201" s="571">
        <v>61050.000000000007</v>
      </c>
      <c r="M201" s="571">
        <v>65560</v>
      </c>
      <c r="N201" s="571">
        <v>70070</v>
      </c>
      <c r="O201" s="571">
        <v>74580</v>
      </c>
      <c r="P201" s="41"/>
      <c r="Q201" s="41"/>
    </row>
    <row r="202" spans="1:17">
      <c r="A202" s="38"/>
      <c r="B202" s="574">
        <v>0.5</v>
      </c>
      <c r="C202" s="571">
        <v>898</v>
      </c>
      <c r="D202" s="571">
        <v>963</v>
      </c>
      <c r="E202" s="571">
        <v>1156</v>
      </c>
      <c r="F202" s="571">
        <v>1335</v>
      </c>
      <c r="G202" s="571">
        <v>1490</v>
      </c>
      <c r="H202" s="572">
        <v>35950</v>
      </c>
      <c r="I202" s="572">
        <v>41100</v>
      </c>
      <c r="J202" s="572">
        <v>46250</v>
      </c>
      <c r="K202" s="572">
        <v>51350</v>
      </c>
      <c r="L202" s="572">
        <v>55500</v>
      </c>
      <c r="M202" s="572">
        <v>59600</v>
      </c>
      <c r="N202" s="572">
        <v>63700</v>
      </c>
      <c r="O202" s="572">
        <v>67800</v>
      </c>
      <c r="P202" s="41"/>
      <c r="Q202" s="41"/>
    </row>
    <row r="203" spans="1:17">
      <c r="A203" s="38"/>
      <c r="B203" s="574">
        <v>0.45</v>
      </c>
      <c r="C203" s="571">
        <v>808</v>
      </c>
      <c r="D203" s="571">
        <v>866</v>
      </c>
      <c r="E203" s="571">
        <v>1040</v>
      </c>
      <c r="F203" s="571">
        <v>1202</v>
      </c>
      <c r="G203" s="571">
        <v>1341</v>
      </c>
      <c r="H203" s="571">
        <v>32355</v>
      </c>
      <c r="I203" s="571">
        <v>36990</v>
      </c>
      <c r="J203" s="571">
        <v>41625</v>
      </c>
      <c r="K203" s="571">
        <v>46215</v>
      </c>
      <c r="L203" s="571">
        <v>49950</v>
      </c>
      <c r="M203" s="573">
        <v>53640</v>
      </c>
      <c r="N203" s="573">
        <v>57330</v>
      </c>
      <c r="O203" s="573">
        <v>61020</v>
      </c>
      <c r="P203" s="41"/>
      <c r="Q203" s="41"/>
    </row>
    <row r="204" spans="1:17">
      <c r="A204" s="38"/>
      <c r="B204" s="574">
        <v>0.4</v>
      </c>
      <c r="C204" s="571">
        <v>719</v>
      </c>
      <c r="D204" s="571">
        <v>770</v>
      </c>
      <c r="E204" s="571">
        <v>925</v>
      </c>
      <c r="F204" s="571">
        <v>1068</v>
      </c>
      <c r="G204" s="571">
        <v>1192</v>
      </c>
      <c r="H204" s="571">
        <v>28760</v>
      </c>
      <c r="I204" s="571">
        <v>32880</v>
      </c>
      <c r="J204" s="571">
        <v>37000</v>
      </c>
      <c r="K204" s="571">
        <v>41080</v>
      </c>
      <c r="L204" s="571">
        <v>44400</v>
      </c>
      <c r="M204" s="573">
        <v>47680</v>
      </c>
      <c r="N204" s="573">
        <v>50960</v>
      </c>
      <c r="O204" s="573">
        <v>54240</v>
      </c>
      <c r="P204" s="41"/>
      <c r="Q204" s="41"/>
    </row>
    <row r="205" spans="1:17">
      <c r="A205" s="38"/>
      <c r="B205" s="510">
        <v>0.3</v>
      </c>
      <c r="C205" s="571">
        <v>539</v>
      </c>
      <c r="D205" s="571">
        <v>577</v>
      </c>
      <c r="E205" s="571">
        <v>693</v>
      </c>
      <c r="F205" s="571">
        <v>801</v>
      </c>
      <c r="G205" s="571">
        <v>894</v>
      </c>
      <c r="H205" s="572">
        <v>21570</v>
      </c>
      <c r="I205" s="572">
        <v>24660</v>
      </c>
      <c r="J205" s="572">
        <v>27750</v>
      </c>
      <c r="K205" s="572">
        <v>30810</v>
      </c>
      <c r="L205" s="572">
        <v>33300</v>
      </c>
      <c r="M205" s="572">
        <v>35760</v>
      </c>
      <c r="N205" s="572">
        <v>38220</v>
      </c>
      <c r="O205" s="572">
        <v>40680</v>
      </c>
      <c r="P205" s="41"/>
      <c r="Q205" s="41"/>
    </row>
    <row r="206" spans="1:17" ht="13.8" thickBot="1">
      <c r="A206" s="38"/>
      <c r="B206" s="40">
        <v>0.2</v>
      </c>
      <c r="C206" s="512">
        <v>359</v>
      </c>
      <c r="D206" s="512">
        <v>385</v>
      </c>
      <c r="E206" s="512">
        <v>462</v>
      </c>
      <c r="F206" s="512">
        <v>534</v>
      </c>
      <c r="G206" s="512">
        <v>596</v>
      </c>
      <c r="H206" s="513">
        <v>14380</v>
      </c>
      <c r="I206" s="513">
        <v>16440</v>
      </c>
      <c r="J206" s="513">
        <v>18500</v>
      </c>
      <c r="K206" s="513">
        <v>20540</v>
      </c>
      <c r="L206" s="513">
        <v>22200</v>
      </c>
      <c r="M206" s="513">
        <v>23840</v>
      </c>
      <c r="N206" s="513">
        <v>25480</v>
      </c>
      <c r="O206" s="513">
        <v>27120</v>
      </c>
      <c r="P206" s="41"/>
      <c r="Q206" s="41"/>
    </row>
    <row r="207" spans="1:17" ht="13.8" thickTop="1">
      <c r="A207" s="36"/>
      <c r="B207" s="37">
        <v>1.2</v>
      </c>
      <c r="C207" s="514">
        <v>2943</v>
      </c>
      <c r="D207" s="514">
        <v>3153</v>
      </c>
      <c r="E207" s="514">
        <v>3783</v>
      </c>
      <c r="F207" s="514">
        <v>4372</v>
      </c>
      <c r="G207" s="514">
        <v>4878</v>
      </c>
      <c r="H207" s="514">
        <v>117720</v>
      </c>
      <c r="I207" s="514">
        <v>134520</v>
      </c>
      <c r="J207" s="514">
        <v>151320</v>
      </c>
      <c r="K207" s="514">
        <v>168120</v>
      </c>
      <c r="L207" s="514">
        <v>181680</v>
      </c>
      <c r="M207" s="514">
        <v>195120</v>
      </c>
      <c r="N207" s="514">
        <v>208560</v>
      </c>
      <c r="O207" s="514">
        <v>222000</v>
      </c>
      <c r="P207" s="39"/>
      <c r="Q207" s="39"/>
    </row>
    <row r="208" spans="1:17">
      <c r="A208" s="38"/>
      <c r="B208" s="574">
        <v>1</v>
      </c>
      <c r="C208" s="571">
        <v>2452</v>
      </c>
      <c r="D208" s="571">
        <v>2627</v>
      </c>
      <c r="E208" s="571">
        <v>3152</v>
      </c>
      <c r="F208" s="571">
        <v>3643</v>
      </c>
      <c r="G208" s="571">
        <v>4065</v>
      </c>
      <c r="H208" s="571">
        <v>98100</v>
      </c>
      <c r="I208" s="571">
        <v>112100</v>
      </c>
      <c r="J208" s="571">
        <v>126100</v>
      </c>
      <c r="K208" s="571">
        <v>140100</v>
      </c>
      <c r="L208" s="571">
        <v>151400</v>
      </c>
      <c r="M208" s="571">
        <v>162600</v>
      </c>
      <c r="N208" s="571">
        <v>173800</v>
      </c>
      <c r="O208" s="571">
        <v>185000</v>
      </c>
      <c r="P208" s="39"/>
      <c r="Q208" s="39"/>
    </row>
    <row r="209" spans="1:17">
      <c r="A209" s="38" t="s">
        <v>1134</v>
      </c>
      <c r="B209" s="574">
        <v>0.8</v>
      </c>
      <c r="C209" s="571">
        <v>1962</v>
      </c>
      <c r="D209" s="571">
        <v>2102</v>
      </c>
      <c r="E209" s="571">
        <v>2522</v>
      </c>
      <c r="F209" s="571">
        <v>2915</v>
      </c>
      <c r="G209" s="571">
        <v>3252</v>
      </c>
      <c r="H209" s="572">
        <v>78480</v>
      </c>
      <c r="I209" s="572">
        <v>89680</v>
      </c>
      <c r="J209" s="572">
        <v>100880</v>
      </c>
      <c r="K209" s="572">
        <v>112080</v>
      </c>
      <c r="L209" s="572">
        <v>121120</v>
      </c>
      <c r="M209" s="572">
        <v>130080</v>
      </c>
      <c r="N209" s="572">
        <v>139040</v>
      </c>
      <c r="O209" s="572">
        <v>148000</v>
      </c>
      <c r="P209" s="39"/>
      <c r="Q209" s="39"/>
    </row>
    <row r="210" spans="1:17">
      <c r="A210" s="38"/>
      <c r="B210" s="574">
        <v>0.7</v>
      </c>
      <c r="C210" s="571">
        <v>1716</v>
      </c>
      <c r="D210" s="571">
        <v>1839</v>
      </c>
      <c r="E210" s="571">
        <v>2206</v>
      </c>
      <c r="F210" s="571">
        <v>2550</v>
      </c>
      <c r="G210" s="571">
        <v>2845</v>
      </c>
      <c r="H210" s="572">
        <v>68670</v>
      </c>
      <c r="I210" s="572">
        <v>78470</v>
      </c>
      <c r="J210" s="572">
        <v>88270</v>
      </c>
      <c r="K210" s="572">
        <v>98070</v>
      </c>
      <c r="L210" s="572">
        <v>105980</v>
      </c>
      <c r="M210" s="572">
        <v>113820</v>
      </c>
      <c r="N210" s="572">
        <v>121659.99999999999</v>
      </c>
      <c r="O210" s="572">
        <v>129499.99999999999</v>
      </c>
      <c r="P210" s="39"/>
      <c r="Q210" s="39"/>
    </row>
    <row r="211" spans="1:17">
      <c r="A211" s="38"/>
      <c r="B211" s="574">
        <v>0.6</v>
      </c>
      <c r="C211" s="571">
        <v>1471</v>
      </c>
      <c r="D211" s="571">
        <v>1576</v>
      </c>
      <c r="E211" s="571">
        <v>1891</v>
      </c>
      <c r="F211" s="571">
        <v>2186</v>
      </c>
      <c r="G211" s="571">
        <v>2439</v>
      </c>
      <c r="H211" s="571">
        <v>58860</v>
      </c>
      <c r="I211" s="571">
        <v>67260</v>
      </c>
      <c r="J211" s="571">
        <v>75660</v>
      </c>
      <c r="K211" s="571">
        <v>84060</v>
      </c>
      <c r="L211" s="571">
        <v>90840</v>
      </c>
      <c r="M211" s="573">
        <v>97560</v>
      </c>
      <c r="N211" s="573">
        <v>104280</v>
      </c>
      <c r="O211" s="573">
        <v>111000</v>
      </c>
      <c r="P211" s="39"/>
      <c r="Q211" s="39"/>
    </row>
    <row r="212" spans="1:17">
      <c r="A212" s="38"/>
      <c r="B212" s="574">
        <v>0.55000000000000004</v>
      </c>
      <c r="C212" s="571">
        <v>1348</v>
      </c>
      <c r="D212" s="571">
        <v>1445</v>
      </c>
      <c r="E212" s="571">
        <v>1733</v>
      </c>
      <c r="F212" s="571">
        <v>2004</v>
      </c>
      <c r="G212" s="571">
        <v>2235</v>
      </c>
      <c r="H212" s="571">
        <v>53955.000000000007</v>
      </c>
      <c r="I212" s="571">
        <v>61655.000000000007</v>
      </c>
      <c r="J212" s="571">
        <v>69355</v>
      </c>
      <c r="K212" s="571">
        <v>77055</v>
      </c>
      <c r="L212" s="571">
        <v>83270</v>
      </c>
      <c r="M212" s="571">
        <v>89430</v>
      </c>
      <c r="N212" s="571">
        <v>95590.000000000015</v>
      </c>
      <c r="O212" s="571">
        <v>101750.00000000001</v>
      </c>
      <c r="P212" s="39"/>
      <c r="Q212" s="39"/>
    </row>
    <row r="213" spans="1:17">
      <c r="A213" s="38"/>
      <c r="B213" s="574">
        <v>0.5</v>
      </c>
      <c r="C213" s="571">
        <v>1226</v>
      </c>
      <c r="D213" s="571">
        <v>1313</v>
      </c>
      <c r="E213" s="571">
        <v>1576</v>
      </c>
      <c r="F213" s="571">
        <v>1821</v>
      </c>
      <c r="G213" s="571">
        <v>2032</v>
      </c>
      <c r="H213" s="572">
        <v>49050</v>
      </c>
      <c r="I213" s="572">
        <v>56050</v>
      </c>
      <c r="J213" s="572">
        <v>63050</v>
      </c>
      <c r="K213" s="572">
        <v>70050</v>
      </c>
      <c r="L213" s="572">
        <v>75700</v>
      </c>
      <c r="M213" s="572">
        <v>81300</v>
      </c>
      <c r="N213" s="572">
        <v>86900</v>
      </c>
      <c r="O213" s="572">
        <v>92500</v>
      </c>
      <c r="P213" s="39"/>
      <c r="Q213" s="39"/>
    </row>
    <row r="214" spans="1:17">
      <c r="A214" s="38"/>
      <c r="B214" s="574">
        <v>0.45</v>
      </c>
      <c r="C214" s="571">
        <v>1103</v>
      </c>
      <c r="D214" s="571">
        <v>1182</v>
      </c>
      <c r="E214" s="571">
        <v>1418</v>
      </c>
      <c r="F214" s="571">
        <v>1639</v>
      </c>
      <c r="G214" s="571">
        <v>1829</v>
      </c>
      <c r="H214" s="571">
        <v>44145</v>
      </c>
      <c r="I214" s="571">
        <v>50445</v>
      </c>
      <c r="J214" s="571">
        <v>56745</v>
      </c>
      <c r="K214" s="571">
        <v>63045</v>
      </c>
      <c r="L214" s="571">
        <v>68130</v>
      </c>
      <c r="M214" s="573">
        <v>73170</v>
      </c>
      <c r="N214" s="573">
        <v>78210</v>
      </c>
      <c r="O214" s="573">
        <v>83250</v>
      </c>
      <c r="P214" s="39"/>
      <c r="Q214" s="39"/>
    </row>
    <row r="215" spans="1:17">
      <c r="A215" s="38"/>
      <c r="B215" s="574">
        <v>0.4</v>
      </c>
      <c r="C215" s="571">
        <v>981</v>
      </c>
      <c r="D215" s="571">
        <v>1051</v>
      </c>
      <c r="E215" s="571">
        <v>1261</v>
      </c>
      <c r="F215" s="571">
        <v>1457</v>
      </c>
      <c r="G215" s="571">
        <v>1626</v>
      </c>
      <c r="H215" s="571">
        <v>39240</v>
      </c>
      <c r="I215" s="571">
        <v>44840</v>
      </c>
      <c r="J215" s="571">
        <v>50440</v>
      </c>
      <c r="K215" s="571">
        <v>56040</v>
      </c>
      <c r="L215" s="571">
        <v>60560</v>
      </c>
      <c r="M215" s="573">
        <v>65040</v>
      </c>
      <c r="N215" s="573">
        <v>69520</v>
      </c>
      <c r="O215" s="573">
        <v>74000</v>
      </c>
      <c r="P215" s="39"/>
      <c r="Q215" s="39"/>
    </row>
    <row r="216" spans="1:17">
      <c r="A216" s="38"/>
      <c r="B216" s="510">
        <v>0.3</v>
      </c>
      <c r="C216" s="571">
        <v>735</v>
      </c>
      <c r="D216" s="571">
        <v>788</v>
      </c>
      <c r="E216" s="571">
        <v>945</v>
      </c>
      <c r="F216" s="571">
        <v>1093</v>
      </c>
      <c r="G216" s="571">
        <v>1219</v>
      </c>
      <c r="H216" s="572">
        <v>29430</v>
      </c>
      <c r="I216" s="572">
        <v>33630</v>
      </c>
      <c r="J216" s="572">
        <v>37830</v>
      </c>
      <c r="K216" s="572">
        <v>42030</v>
      </c>
      <c r="L216" s="572">
        <v>45420</v>
      </c>
      <c r="M216" s="572">
        <v>48780</v>
      </c>
      <c r="N216" s="572">
        <v>52140</v>
      </c>
      <c r="O216" s="572">
        <v>55500</v>
      </c>
      <c r="P216" s="39"/>
      <c r="Q216" s="39"/>
    </row>
    <row r="217" spans="1:17" ht="13.8" thickBot="1">
      <c r="A217" s="575"/>
      <c r="B217" s="40">
        <v>0.2</v>
      </c>
      <c r="C217" s="512">
        <v>490</v>
      </c>
      <c r="D217" s="512">
        <v>525</v>
      </c>
      <c r="E217" s="512">
        <v>630</v>
      </c>
      <c r="F217" s="512">
        <v>728</v>
      </c>
      <c r="G217" s="512">
        <v>813</v>
      </c>
      <c r="H217" s="513">
        <v>19620</v>
      </c>
      <c r="I217" s="513">
        <v>22420</v>
      </c>
      <c r="J217" s="513">
        <v>25220</v>
      </c>
      <c r="K217" s="513">
        <v>28020</v>
      </c>
      <c r="L217" s="513">
        <v>30280</v>
      </c>
      <c r="M217" s="513">
        <v>32520</v>
      </c>
      <c r="N217" s="513">
        <v>34760</v>
      </c>
      <c r="O217" s="513">
        <v>37000</v>
      </c>
      <c r="P217" s="41"/>
      <c r="Q217" s="41"/>
    </row>
    <row r="218" spans="1:17" ht="13.8" thickTop="1">
      <c r="A218" s="44"/>
      <c r="B218" s="37">
        <v>1.2</v>
      </c>
      <c r="C218" s="514">
        <v>2799</v>
      </c>
      <c r="D218" s="514">
        <v>2998</v>
      </c>
      <c r="E218" s="514">
        <v>3597</v>
      </c>
      <c r="F218" s="514">
        <v>4156</v>
      </c>
      <c r="G218" s="514">
        <v>4638</v>
      </c>
      <c r="H218" s="514">
        <v>111960</v>
      </c>
      <c r="I218" s="514">
        <v>127920</v>
      </c>
      <c r="J218" s="514">
        <v>143880</v>
      </c>
      <c r="K218" s="514">
        <v>159840</v>
      </c>
      <c r="L218" s="514">
        <v>172680</v>
      </c>
      <c r="M218" s="514">
        <v>185520</v>
      </c>
      <c r="N218" s="514">
        <v>198240</v>
      </c>
      <c r="O218" s="514">
        <v>211080</v>
      </c>
      <c r="P218" s="39"/>
      <c r="Q218" s="39"/>
    </row>
    <row r="219" spans="1:17">
      <c r="A219" s="38"/>
      <c r="B219" s="574">
        <v>1</v>
      </c>
      <c r="C219" s="571">
        <v>2332</v>
      </c>
      <c r="D219" s="571">
        <v>2498</v>
      </c>
      <c r="E219" s="571">
        <v>2997</v>
      </c>
      <c r="F219" s="571">
        <v>3463</v>
      </c>
      <c r="G219" s="571">
        <v>3865</v>
      </c>
      <c r="H219" s="571">
        <v>93300</v>
      </c>
      <c r="I219" s="571">
        <v>106600</v>
      </c>
      <c r="J219" s="571">
        <v>119900</v>
      </c>
      <c r="K219" s="571">
        <v>133200</v>
      </c>
      <c r="L219" s="571">
        <v>143900</v>
      </c>
      <c r="M219" s="571">
        <v>154600</v>
      </c>
      <c r="N219" s="571">
        <v>165200</v>
      </c>
      <c r="O219" s="571">
        <v>175900</v>
      </c>
      <c r="P219" s="39"/>
      <c r="Q219" s="39"/>
    </row>
    <row r="220" spans="1:17">
      <c r="A220" s="38" t="s">
        <v>1135</v>
      </c>
      <c r="B220" s="574">
        <v>0.8</v>
      </c>
      <c r="C220" s="571">
        <v>1866</v>
      </c>
      <c r="D220" s="571">
        <v>1999</v>
      </c>
      <c r="E220" s="571">
        <v>2398</v>
      </c>
      <c r="F220" s="571">
        <v>2771</v>
      </c>
      <c r="G220" s="571">
        <v>3092</v>
      </c>
      <c r="H220" s="572">
        <v>74640</v>
      </c>
      <c r="I220" s="572">
        <v>85280</v>
      </c>
      <c r="J220" s="572">
        <v>95920</v>
      </c>
      <c r="K220" s="572">
        <v>106560</v>
      </c>
      <c r="L220" s="572">
        <v>115120</v>
      </c>
      <c r="M220" s="572">
        <v>123680</v>
      </c>
      <c r="N220" s="572">
        <v>132160</v>
      </c>
      <c r="O220" s="572">
        <v>140720</v>
      </c>
      <c r="P220" s="39"/>
      <c r="Q220" s="39"/>
    </row>
    <row r="221" spans="1:17">
      <c r="A221" s="38"/>
      <c r="B221" s="574">
        <v>0.7</v>
      </c>
      <c r="C221" s="571">
        <v>1632</v>
      </c>
      <c r="D221" s="571">
        <v>1749</v>
      </c>
      <c r="E221" s="571">
        <v>2098</v>
      </c>
      <c r="F221" s="571">
        <v>2424</v>
      </c>
      <c r="G221" s="571">
        <v>2705</v>
      </c>
      <c r="H221" s="572">
        <v>65309.999999999993</v>
      </c>
      <c r="I221" s="572">
        <v>74620</v>
      </c>
      <c r="J221" s="572">
        <v>83930</v>
      </c>
      <c r="K221" s="572">
        <v>93240</v>
      </c>
      <c r="L221" s="572">
        <v>100730</v>
      </c>
      <c r="M221" s="572">
        <v>108220</v>
      </c>
      <c r="N221" s="572">
        <v>115639.99999999999</v>
      </c>
      <c r="O221" s="572">
        <v>123129.99999999999</v>
      </c>
      <c r="P221" s="39"/>
      <c r="Q221" s="39"/>
    </row>
    <row r="222" spans="1:17">
      <c r="A222" s="38"/>
      <c r="B222" s="574">
        <v>0.6</v>
      </c>
      <c r="C222" s="571">
        <v>1399</v>
      </c>
      <c r="D222" s="571">
        <v>1499</v>
      </c>
      <c r="E222" s="571">
        <v>1798</v>
      </c>
      <c r="F222" s="571">
        <v>2078</v>
      </c>
      <c r="G222" s="571">
        <v>2319</v>
      </c>
      <c r="H222" s="571">
        <v>55980</v>
      </c>
      <c r="I222" s="571">
        <v>63960</v>
      </c>
      <c r="J222" s="571">
        <v>71940</v>
      </c>
      <c r="K222" s="571">
        <v>79920</v>
      </c>
      <c r="L222" s="571">
        <v>86340</v>
      </c>
      <c r="M222" s="573">
        <v>92760</v>
      </c>
      <c r="N222" s="573">
        <v>99120</v>
      </c>
      <c r="O222" s="573">
        <v>105540</v>
      </c>
      <c r="P222" s="39"/>
      <c r="Q222" s="39"/>
    </row>
    <row r="223" spans="1:17">
      <c r="A223" s="38"/>
      <c r="B223" s="574">
        <v>0.55000000000000004</v>
      </c>
      <c r="C223" s="571">
        <v>1282</v>
      </c>
      <c r="D223" s="571">
        <v>1374</v>
      </c>
      <c r="E223" s="571">
        <v>1648</v>
      </c>
      <c r="F223" s="571">
        <v>1905</v>
      </c>
      <c r="G223" s="571">
        <v>2125</v>
      </c>
      <c r="H223" s="571">
        <v>51315.000000000007</v>
      </c>
      <c r="I223" s="571">
        <v>58630.000000000007</v>
      </c>
      <c r="J223" s="571">
        <v>65945</v>
      </c>
      <c r="K223" s="571">
        <v>73260</v>
      </c>
      <c r="L223" s="571">
        <v>79145</v>
      </c>
      <c r="M223" s="571">
        <v>85030</v>
      </c>
      <c r="N223" s="571">
        <v>90860.000000000015</v>
      </c>
      <c r="O223" s="571">
        <v>96745.000000000015</v>
      </c>
      <c r="P223" s="39"/>
      <c r="Q223" s="39"/>
    </row>
    <row r="224" spans="1:17">
      <c r="A224" s="38"/>
      <c r="B224" s="574">
        <v>0.5</v>
      </c>
      <c r="C224" s="571">
        <v>1166</v>
      </c>
      <c r="D224" s="571">
        <v>1249</v>
      </c>
      <c r="E224" s="571">
        <v>1498</v>
      </c>
      <c r="F224" s="571">
        <v>1731</v>
      </c>
      <c r="G224" s="571">
        <v>1932</v>
      </c>
      <c r="H224" s="572">
        <v>46650</v>
      </c>
      <c r="I224" s="572">
        <v>53300</v>
      </c>
      <c r="J224" s="572">
        <v>59950</v>
      </c>
      <c r="K224" s="572">
        <v>66600</v>
      </c>
      <c r="L224" s="572">
        <v>71950</v>
      </c>
      <c r="M224" s="572">
        <v>77300</v>
      </c>
      <c r="N224" s="572">
        <v>82600</v>
      </c>
      <c r="O224" s="572">
        <v>87950</v>
      </c>
      <c r="P224" s="39"/>
      <c r="Q224" s="39"/>
    </row>
    <row r="225" spans="1:17">
      <c r="A225" s="38"/>
      <c r="B225" s="574">
        <v>0.45</v>
      </c>
      <c r="C225" s="571">
        <v>1049</v>
      </c>
      <c r="D225" s="571">
        <v>1124</v>
      </c>
      <c r="E225" s="571">
        <v>1348</v>
      </c>
      <c r="F225" s="571">
        <v>1558</v>
      </c>
      <c r="G225" s="571">
        <v>1739</v>
      </c>
      <c r="H225" s="571">
        <v>41985</v>
      </c>
      <c r="I225" s="571">
        <v>47970</v>
      </c>
      <c r="J225" s="571">
        <v>53955</v>
      </c>
      <c r="K225" s="571">
        <v>59940</v>
      </c>
      <c r="L225" s="571">
        <v>64755</v>
      </c>
      <c r="M225" s="573">
        <v>69570</v>
      </c>
      <c r="N225" s="573">
        <v>74340</v>
      </c>
      <c r="O225" s="573">
        <v>79155</v>
      </c>
      <c r="P225" s="39"/>
      <c r="Q225" s="39"/>
    </row>
    <row r="226" spans="1:17">
      <c r="A226" s="38"/>
      <c r="B226" s="574">
        <v>0.4</v>
      </c>
      <c r="C226" s="571">
        <v>933</v>
      </c>
      <c r="D226" s="571">
        <v>999</v>
      </c>
      <c r="E226" s="571">
        <v>1199</v>
      </c>
      <c r="F226" s="571">
        <v>1385</v>
      </c>
      <c r="G226" s="571">
        <v>1546</v>
      </c>
      <c r="H226" s="571">
        <v>37320</v>
      </c>
      <c r="I226" s="571">
        <v>42640</v>
      </c>
      <c r="J226" s="571">
        <v>47960</v>
      </c>
      <c r="K226" s="571">
        <v>53280</v>
      </c>
      <c r="L226" s="571">
        <v>57560</v>
      </c>
      <c r="M226" s="573">
        <v>61840</v>
      </c>
      <c r="N226" s="573">
        <v>66080</v>
      </c>
      <c r="O226" s="573">
        <v>70360</v>
      </c>
      <c r="P226" s="39"/>
      <c r="Q226" s="39"/>
    </row>
    <row r="227" spans="1:17">
      <c r="A227" s="38"/>
      <c r="B227" s="510">
        <v>0.3</v>
      </c>
      <c r="C227" s="571">
        <v>699</v>
      </c>
      <c r="D227" s="571">
        <v>749</v>
      </c>
      <c r="E227" s="571">
        <v>899</v>
      </c>
      <c r="F227" s="571">
        <v>1039</v>
      </c>
      <c r="G227" s="571">
        <v>1159</v>
      </c>
      <c r="H227" s="572">
        <v>27990</v>
      </c>
      <c r="I227" s="572">
        <v>31980</v>
      </c>
      <c r="J227" s="572">
        <v>35970</v>
      </c>
      <c r="K227" s="572">
        <v>39960</v>
      </c>
      <c r="L227" s="572">
        <v>43170</v>
      </c>
      <c r="M227" s="572">
        <v>46380</v>
      </c>
      <c r="N227" s="572">
        <v>49560</v>
      </c>
      <c r="O227" s="572">
        <v>52770</v>
      </c>
      <c r="P227" s="39"/>
      <c r="Q227" s="39"/>
    </row>
    <row r="228" spans="1:17" ht="13.8" thickBot="1">
      <c r="A228" s="575"/>
      <c r="B228" s="40">
        <v>0.2</v>
      </c>
      <c r="C228" s="512">
        <v>466</v>
      </c>
      <c r="D228" s="512">
        <v>499</v>
      </c>
      <c r="E228" s="512">
        <v>599</v>
      </c>
      <c r="F228" s="512">
        <v>692</v>
      </c>
      <c r="G228" s="512">
        <v>773</v>
      </c>
      <c r="H228" s="513">
        <v>18660</v>
      </c>
      <c r="I228" s="513">
        <v>21320</v>
      </c>
      <c r="J228" s="513">
        <v>23980</v>
      </c>
      <c r="K228" s="513">
        <v>26640</v>
      </c>
      <c r="L228" s="513">
        <v>28780</v>
      </c>
      <c r="M228" s="513">
        <v>30920</v>
      </c>
      <c r="N228" s="513">
        <v>33040</v>
      </c>
      <c r="O228" s="513">
        <v>35180</v>
      </c>
      <c r="P228" s="45"/>
      <c r="Q228" s="45"/>
    </row>
    <row r="229" spans="1:17" ht="13.8" thickTop="1">
      <c r="A229" s="36"/>
      <c r="B229" s="37">
        <v>1.2</v>
      </c>
      <c r="C229" s="514">
        <v>2364</v>
      </c>
      <c r="D229" s="514">
        <v>2532</v>
      </c>
      <c r="E229" s="514">
        <v>3039</v>
      </c>
      <c r="F229" s="514">
        <v>3510</v>
      </c>
      <c r="G229" s="514">
        <v>3915</v>
      </c>
      <c r="H229" s="514">
        <v>94560</v>
      </c>
      <c r="I229" s="514">
        <v>108000</v>
      </c>
      <c r="J229" s="514">
        <v>121560</v>
      </c>
      <c r="K229" s="514">
        <v>135000</v>
      </c>
      <c r="L229" s="514">
        <v>145800</v>
      </c>
      <c r="M229" s="514">
        <v>156600</v>
      </c>
      <c r="N229" s="514">
        <v>167400</v>
      </c>
      <c r="O229" s="514">
        <v>178200</v>
      </c>
      <c r="P229" s="39"/>
      <c r="Q229" s="39"/>
    </row>
    <row r="230" spans="1:17">
      <c r="A230" s="38"/>
      <c r="B230" s="574">
        <v>1</v>
      </c>
      <c r="C230" s="571">
        <v>1970</v>
      </c>
      <c r="D230" s="571">
        <v>2110</v>
      </c>
      <c r="E230" s="571">
        <v>2532</v>
      </c>
      <c r="F230" s="571">
        <v>2925</v>
      </c>
      <c r="G230" s="571">
        <v>3262</v>
      </c>
      <c r="H230" s="571">
        <v>78800</v>
      </c>
      <c r="I230" s="571">
        <v>90000</v>
      </c>
      <c r="J230" s="571">
        <v>101300</v>
      </c>
      <c r="K230" s="571">
        <v>112500</v>
      </c>
      <c r="L230" s="571">
        <v>121500</v>
      </c>
      <c r="M230" s="571">
        <v>130500</v>
      </c>
      <c r="N230" s="571">
        <v>139500</v>
      </c>
      <c r="O230" s="571">
        <v>148500</v>
      </c>
      <c r="P230" s="39"/>
      <c r="Q230" s="39"/>
    </row>
    <row r="231" spans="1:17">
      <c r="A231" s="38" t="s">
        <v>1136</v>
      </c>
      <c r="B231" s="574">
        <v>0.8</v>
      </c>
      <c r="C231" s="571">
        <v>1576</v>
      </c>
      <c r="D231" s="571">
        <v>1688</v>
      </c>
      <c r="E231" s="571">
        <v>2026</v>
      </c>
      <c r="F231" s="571">
        <v>2340</v>
      </c>
      <c r="G231" s="571">
        <v>2610</v>
      </c>
      <c r="H231" s="572">
        <v>63040</v>
      </c>
      <c r="I231" s="572">
        <v>72000</v>
      </c>
      <c r="J231" s="572">
        <v>81040</v>
      </c>
      <c r="K231" s="572">
        <v>90000</v>
      </c>
      <c r="L231" s="572">
        <v>97200</v>
      </c>
      <c r="M231" s="572">
        <v>104400</v>
      </c>
      <c r="N231" s="572">
        <v>111600</v>
      </c>
      <c r="O231" s="572">
        <v>118800</v>
      </c>
      <c r="P231" s="39"/>
      <c r="Q231" s="39"/>
    </row>
    <row r="232" spans="1:17">
      <c r="A232" s="38"/>
      <c r="B232" s="574">
        <v>0.7</v>
      </c>
      <c r="C232" s="571">
        <v>1379</v>
      </c>
      <c r="D232" s="571">
        <v>1477</v>
      </c>
      <c r="E232" s="571">
        <v>1772</v>
      </c>
      <c r="F232" s="571">
        <v>2047</v>
      </c>
      <c r="G232" s="571">
        <v>2283</v>
      </c>
      <c r="H232" s="572">
        <v>55160</v>
      </c>
      <c r="I232" s="572">
        <v>62999.999999999993</v>
      </c>
      <c r="J232" s="572">
        <v>70910</v>
      </c>
      <c r="K232" s="572">
        <v>78750</v>
      </c>
      <c r="L232" s="572">
        <v>85050</v>
      </c>
      <c r="M232" s="572">
        <v>91350</v>
      </c>
      <c r="N232" s="572">
        <v>97650</v>
      </c>
      <c r="O232" s="572">
        <v>103950</v>
      </c>
      <c r="P232" s="39"/>
      <c r="Q232" s="39"/>
    </row>
    <row r="233" spans="1:17">
      <c r="A233" s="38"/>
      <c r="B233" s="574">
        <v>0.6</v>
      </c>
      <c r="C233" s="571">
        <v>1182</v>
      </c>
      <c r="D233" s="571">
        <v>1266</v>
      </c>
      <c r="E233" s="571">
        <v>1519</v>
      </c>
      <c r="F233" s="571">
        <v>1755</v>
      </c>
      <c r="G233" s="571">
        <v>1957</v>
      </c>
      <c r="H233" s="571">
        <v>47280</v>
      </c>
      <c r="I233" s="571">
        <v>54000</v>
      </c>
      <c r="J233" s="571">
        <v>60780</v>
      </c>
      <c r="K233" s="571">
        <v>67500</v>
      </c>
      <c r="L233" s="571">
        <v>72900</v>
      </c>
      <c r="M233" s="573">
        <v>78300</v>
      </c>
      <c r="N233" s="573">
        <v>83700</v>
      </c>
      <c r="O233" s="573">
        <v>89100</v>
      </c>
      <c r="P233" s="39"/>
      <c r="Q233" s="39"/>
    </row>
    <row r="234" spans="1:17">
      <c r="A234" s="38"/>
      <c r="B234" s="574">
        <v>0.55000000000000004</v>
      </c>
      <c r="C234" s="571">
        <v>1083</v>
      </c>
      <c r="D234" s="571">
        <v>1160</v>
      </c>
      <c r="E234" s="571">
        <v>1392</v>
      </c>
      <c r="F234" s="571">
        <v>1608</v>
      </c>
      <c r="G234" s="571">
        <v>1794</v>
      </c>
      <c r="H234" s="571">
        <v>43340</v>
      </c>
      <c r="I234" s="571">
        <v>49500.000000000007</v>
      </c>
      <c r="J234" s="571">
        <v>55715.000000000007</v>
      </c>
      <c r="K234" s="571">
        <v>61875.000000000007</v>
      </c>
      <c r="L234" s="571">
        <v>66825</v>
      </c>
      <c r="M234" s="571">
        <v>71775</v>
      </c>
      <c r="N234" s="571">
        <v>76725</v>
      </c>
      <c r="O234" s="571">
        <v>81675</v>
      </c>
      <c r="P234" s="39"/>
      <c r="Q234" s="39"/>
    </row>
    <row r="235" spans="1:17">
      <c r="A235" s="38"/>
      <c r="B235" s="574">
        <v>0.5</v>
      </c>
      <c r="C235" s="571">
        <v>985</v>
      </c>
      <c r="D235" s="571">
        <v>1055</v>
      </c>
      <c r="E235" s="571">
        <v>1266</v>
      </c>
      <c r="F235" s="571">
        <v>1462</v>
      </c>
      <c r="G235" s="571">
        <v>1631</v>
      </c>
      <c r="H235" s="572">
        <v>39400</v>
      </c>
      <c r="I235" s="572">
        <v>45000</v>
      </c>
      <c r="J235" s="572">
        <v>50650</v>
      </c>
      <c r="K235" s="572">
        <v>56250</v>
      </c>
      <c r="L235" s="572">
        <v>60750</v>
      </c>
      <c r="M235" s="572">
        <v>65250</v>
      </c>
      <c r="N235" s="572">
        <v>69750</v>
      </c>
      <c r="O235" s="572">
        <v>74250</v>
      </c>
      <c r="P235" s="39"/>
      <c r="Q235" s="39"/>
    </row>
    <row r="236" spans="1:17">
      <c r="A236" s="38"/>
      <c r="B236" s="574">
        <v>0.45</v>
      </c>
      <c r="C236" s="571">
        <v>886</v>
      </c>
      <c r="D236" s="571">
        <v>949</v>
      </c>
      <c r="E236" s="571">
        <v>1139</v>
      </c>
      <c r="F236" s="571">
        <v>1316</v>
      </c>
      <c r="G236" s="571">
        <v>1468</v>
      </c>
      <c r="H236" s="571">
        <v>35460</v>
      </c>
      <c r="I236" s="571">
        <v>40500</v>
      </c>
      <c r="J236" s="571">
        <v>45585</v>
      </c>
      <c r="K236" s="571">
        <v>50625</v>
      </c>
      <c r="L236" s="571">
        <v>54675</v>
      </c>
      <c r="M236" s="573">
        <v>58725</v>
      </c>
      <c r="N236" s="573">
        <v>62775</v>
      </c>
      <c r="O236" s="573">
        <v>66825</v>
      </c>
      <c r="P236" s="39"/>
      <c r="Q236" s="39"/>
    </row>
    <row r="237" spans="1:17">
      <c r="A237" s="38"/>
      <c r="B237" s="574">
        <v>0.4</v>
      </c>
      <c r="C237" s="571">
        <v>788</v>
      </c>
      <c r="D237" s="571">
        <v>844</v>
      </c>
      <c r="E237" s="571">
        <v>1013</v>
      </c>
      <c r="F237" s="571">
        <v>1170</v>
      </c>
      <c r="G237" s="571">
        <v>1305</v>
      </c>
      <c r="H237" s="571">
        <v>31520</v>
      </c>
      <c r="I237" s="571">
        <v>36000</v>
      </c>
      <c r="J237" s="571">
        <v>40520</v>
      </c>
      <c r="K237" s="571">
        <v>45000</v>
      </c>
      <c r="L237" s="571">
        <v>48600</v>
      </c>
      <c r="M237" s="573">
        <v>52200</v>
      </c>
      <c r="N237" s="573">
        <v>55800</v>
      </c>
      <c r="O237" s="573">
        <v>59400</v>
      </c>
      <c r="P237" s="39"/>
      <c r="Q237" s="39"/>
    </row>
    <row r="238" spans="1:17">
      <c r="A238" s="38"/>
      <c r="B238" s="510">
        <v>0.3</v>
      </c>
      <c r="C238" s="571">
        <v>591</v>
      </c>
      <c r="D238" s="571">
        <v>633</v>
      </c>
      <c r="E238" s="571">
        <v>759</v>
      </c>
      <c r="F238" s="571">
        <v>877</v>
      </c>
      <c r="G238" s="571">
        <v>978</v>
      </c>
      <c r="H238" s="572">
        <v>23640</v>
      </c>
      <c r="I238" s="572">
        <v>27000</v>
      </c>
      <c r="J238" s="572">
        <v>30390</v>
      </c>
      <c r="K238" s="572">
        <v>33750</v>
      </c>
      <c r="L238" s="572">
        <v>36450</v>
      </c>
      <c r="M238" s="572">
        <v>39150</v>
      </c>
      <c r="N238" s="572">
        <v>41850</v>
      </c>
      <c r="O238" s="572">
        <v>44550</v>
      </c>
      <c r="P238" s="39"/>
      <c r="Q238" s="39"/>
    </row>
    <row r="239" spans="1:17" ht="13.8" thickBot="1">
      <c r="A239" s="38"/>
      <c r="B239" s="40">
        <v>0.2</v>
      </c>
      <c r="C239" s="512">
        <v>394</v>
      </c>
      <c r="D239" s="512">
        <v>422</v>
      </c>
      <c r="E239" s="512">
        <v>506</v>
      </c>
      <c r="F239" s="512">
        <v>585</v>
      </c>
      <c r="G239" s="512">
        <v>652</v>
      </c>
      <c r="H239" s="513">
        <v>15760</v>
      </c>
      <c r="I239" s="513">
        <v>18000</v>
      </c>
      <c r="J239" s="513">
        <v>20260</v>
      </c>
      <c r="K239" s="513">
        <v>22500</v>
      </c>
      <c r="L239" s="513">
        <v>24300</v>
      </c>
      <c r="M239" s="513">
        <v>26100</v>
      </c>
      <c r="N239" s="513">
        <v>27900</v>
      </c>
      <c r="O239" s="513">
        <v>29700</v>
      </c>
      <c r="P239" s="41"/>
      <c r="Q239" s="41"/>
    </row>
    <row r="240" spans="1:17" ht="13.8" thickTop="1">
      <c r="A240" s="36"/>
      <c r="B240" s="37">
        <v>1.2</v>
      </c>
      <c r="C240" s="514">
        <v>2943</v>
      </c>
      <c r="D240" s="514">
        <v>3153</v>
      </c>
      <c r="E240" s="514">
        <v>3783</v>
      </c>
      <c r="F240" s="514">
        <v>4372</v>
      </c>
      <c r="G240" s="514">
        <v>4878</v>
      </c>
      <c r="H240" s="514">
        <v>117720</v>
      </c>
      <c r="I240" s="514">
        <v>134520</v>
      </c>
      <c r="J240" s="514">
        <v>151320</v>
      </c>
      <c r="K240" s="514">
        <v>168120</v>
      </c>
      <c r="L240" s="514">
        <v>181680</v>
      </c>
      <c r="M240" s="514">
        <v>195120</v>
      </c>
      <c r="N240" s="514">
        <v>208560</v>
      </c>
      <c r="O240" s="514">
        <v>222000</v>
      </c>
      <c r="P240" s="39"/>
      <c r="Q240" s="39"/>
    </row>
    <row r="241" spans="1:17">
      <c r="A241" s="38"/>
      <c r="B241" s="574">
        <v>1</v>
      </c>
      <c r="C241" s="571">
        <v>2452</v>
      </c>
      <c r="D241" s="571">
        <v>2627</v>
      </c>
      <c r="E241" s="571">
        <v>3152</v>
      </c>
      <c r="F241" s="571">
        <v>3643</v>
      </c>
      <c r="G241" s="571">
        <v>4065</v>
      </c>
      <c r="H241" s="571">
        <v>98100</v>
      </c>
      <c r="I241" s="571">
        <v>112100</v>
      </c>
      <c r="J241" s="571">
        <v>126100</v>
      </c>
      <c r="K241" s="571">
        <v>140100</v>
      </c>
      <c r="L241" s="571">
        <v>151400</v>
      </c>
      <c r="M241" s="571">
        <v>162600</v>
      </c>
      <c r="N241" s="571">
        <v>173800</v>
      </c>
      <c r="O241" s="571">
        <v>185000</v>
      </c>
      <c r="P241" s="39"/>
      <c r="Q241" s="39"/>
    </row>
    <row r="242" spans="1:17">
      <c r="A242" s="38" t="s">
        <v>1137</v>
      </c>
      <c r="B242" s="574">
        <v>0.8</v>
      </c>
      <c r="C242" s="571">
        <v>1962</v>
      </c>
      <c r="D242" s="571">
        <v>2102</v>
      </c>
      <c r="E242" s="571">
        <v>2522</v>
      </c>
      <c r="F242" s="571">
        <v>2915</v>
      </c>
      <c r="G242" s="571">
        <v>3252</v>
      </c>
      <c r="H242" s="572">
        <v>78480</v>
      </c>
      <c r="I242" s="572">
        <v>89680</v>
      </c>
      <c r="J242" s="572">
        <v>100880</v>
      </c>
      <c r="K242" s="572">
        <v>112080</v>
      </c>
      <c r="L242" s="572">
        <v>121120</v>
      </c>
      <c r="M242" s="572">
        <v>130080</v>
      </c>
      <c r="N242" s="572">
        <v>139040</v>
      </c>
      <c r="O242" s="572">
        <v>148000</v>
      </c>
      <c r="P242" s="39"/>
      <c r="Q242" s="39"/>
    </row>
    <row r="243" spans="1:17">
      <c r="A243" s="38"/>
      <c r="B243" s="574">
        <v>0.7</v>
      </c>
      <c r="C243" s="571">
        <v>1716</v>
      </c>
      <c r="D243" s="571">
        <v>1839</v>
      </c>
      <c r="E243" s="571">
        <v>2206</v>
      </c>
      <c r="F243" s="571">
        <v>2550</v>
      </c>
      <c r="G243" s="571">
        <v>2845</v>
      </c>
      <c r="H243" s="572">
        <v>68670</v>
      </c>
      <c r="I243" s="572">
        <v>78470</v>
      </c>
      <c r="J243" s="572">
        <v>88270</v>
      </c>
      <c r="K243" s="572">
        <v>98070</v>
      </c>
      <c r="L243" s="572">
        <v>105980</v>
      </c>
      <c r="M243" s="572">
        <v>113820</v>
      </c>
      <c r="N243" s="572">
        <v>121659.99999999999</v>
      </c>
      <c r="O243" s="572">
        <v>129499.99999999999</v>
      </c>
      <c r="P243" s="39"/>
      <c r="Q243" s="39"/>
    </row>
    <row r="244" spans="1:17">
      <c r="A244" s="38"/>
      <c r="B244" s="574">
        <v>0.6</v>
      </c>
      <c r="C244" s="571">
        <v>1471</v>
      </c>
      <c r="D244" s="571">
        <v>1576</v>
      </c>
      <c r="E244" s="571">
        <v>1891</v>
      </c>
      <c r="F244" s="571">
        <v>2186</v>
      </c>
      <c r="G244" s="571">
        <v>2439</v>
      </c>
      <c r="H244" s="571">
        <v>58860</v>
      </c>
      <c r="I244" s="571">
        <v>67260</v>
      </c>
      <c r="J244" s="571">
        <v>75660</v>
      </c>
      <c r="K244" s="571">
        <v>84060</v>
      </c>
      <c r="L244" s="571">
        <v>90840</v>
      </c>
      <c r="M244" s="573">
        <v>97560</v>
      </c>
      <c r="N244" s="573">
        <v>104280</v>
      </c>
      <c r="O244" s="573">
        <v>111000</v>
      </c>
      <c r="P244" s="39"/>
      <c r="Q244" s="39"/>
    </row>
    <row r="245" spans="1:17">
      <c r="A245" s="38"/>
      <c r="B245" s="574">
        <v>0.55000000000000004</v>
      </c>
      <c r="C245" s="571">
        <v>1348</v>
      </c>
      <c r="D245" s="571">
        <v>1445</v>
      </c>
      <c r="E245" s="571">
        <v>1733</v>
      </c>
      <c r="F245" s="571">
        <v>2004</v>
      </c>
      <c r="G245" s="571">
        <v>2235</v>
      </c>
      <c r="H245" s="571">
        <v>53955.000000000007</v>
      </c>
      <c r="I245" s="571">
        <v>61655.000000000007</v>
      </c>
      <c r="J245" s="571">
        <v>69355</v>
      </c>
      <c r="K245" s="571">
        <v>77055</v>
      </c>
      <c r="L245" s="571">
        <v>83270</v>
      </c>
      <c r="M245" s="571">
        <v>89430</v>
      </c>
      <c r="N245" s="571">
        <v>95590.000000000015</v>
      </c>
      <c r="O245" s="571">
        <v>101750.00000000001</v>
      </c>
      <c r="P245" s="39"/>
      <c r="Q245" s="39"/>
    </row>
    <row r="246" spans="1:17">
      <c r="A246" s="38"/>
      <c r="B246" s="574">
        <v>0.5</v>
      </c>
      <c r="C246" s="571">
        <v>1226</v>
      </c>
      <c r="D246" s="571">
        <v>1313</v>
      </c>
      <c r="E246" s="571">
        <v>1576</v>
      </c>
      <c r="F246" s="571">
        <v>1821</v>
      </c>
      <c r="G246" s="571">
        <v>2032</v>
      </c>
      <c r="H246" s="572">
        <v>49050</v>
      </c>
      <c r="I246" s="572">
        <v>56050</v>
      </c>
      <c r="J246" s="572">
        <v>63050</v>
      </c>
      <c r="K246" s="572">
        <v>70050</v>
      </c>
      <c r="L246" s="572">
        <v>75700</v>
      </c>
      <c r="M246" s="572">
        <v>81300</v>
      </c>
      <c r="N246" s="572">
        <v>86900</v>
      </c>
      <c r="O246" s="572">
        <v>92500</v>
      </c>
      <c r="P246" s="39"/>
      <c r="Q246" s="39"/>
    </row>
    <row r="247" spans="1:17">
      <c r="A247" s="38"/>
      <c r="B247" s="574">
        <v>0.45</v>
      </c>
      <c r="C247" s="571">
        <v>1103</v>
      </c>
      <c r="D247" s="571">
        <v>1182</v>
      </c>
      <c r="E247" s="571">
        <v>1418</v>
      </c>
      <c r="F247" s="571">
        <v>1639</v>
      </c>
      <c r="G247" s="571">
        <v>1829</v>
      </c>
      <c r="H247" s="571">
        <v>44145</v>
      </c>
      <c r="I247" s="571">
        <v>50445</v>
      </c>
      <c r="J247" s="571">
        <v>56745</v>
      </c>
      <c r="K247" s="571">
        <v>63045</v>
      </c>
      <c r="L247" s="571">
        <v>68130</v>
      </c>
      <c r="M247" s="573">
        <v>73170</v>
      </c>
      <c r="N247" s="573">
        <v>78210</v>
      </c>
      <c r="O247" s="573">
        <v>83250</v>
      </c>
      <c r="P247" s="39"/>
      <c r="Q247" s="39"/>
    </row>
    <row r="248" spans="1:17">
      <c r="A248" s="38"/>
      <c r="B248" s="574">
        <v>0.4</v>
      </c>
      <c r="C248" s="571">
        <v>981</v>
      </c>
      <c r="D248" s="571">
        <v>1051</v>
      </c>
      <c r="E248" s="571">
        <v>1261</v>
      </c>
      <c r="F248" s="571">
        <v>1457</v>
      </c>
      <c r="G248" s="571">
        <v>1626</v>
      </c>
      <c r="H248" s="571">
        <v>39240</v>
      </c>
      <c r="I248" s="571">
        <v>44840</v>
      </c>
      <c r="J248" s="571">
        <v>50440</v>
      </c>
      <c r="K248" s="571">
        <v>56040</v>
      </c>
      <c r="L248" s="571">
        <v>60560</v>
      </c>
      <c r="M248" s="573">
        <v>65040</v>
      </c>
      <c r="N248" s="573">
        <v>69520</v>
      </c>
      <c r="O248" s="573">
        <v>74000</v>
      </c>
      <c r="P248" s="39"/>
      <c r="Q248" s="39"/>
    </row>
    <row r="249" spans="1:17">
      <c r="A249" s="38"/>
      <c r="B249" s="510">
        <v>0.3</v>
      </c>
      <c r="C249" s="571">
        <v>735</v>
      </c>
      <c r="D249" s="571">
        <v>788</v>
      </c>
      <c r="E249" s="571">
        <v>945</v>
      </c>
      <c r="F249" s="571">
        <v>1093</v>
      </c>
      <c r="G249" s="571">
        <v>1219</v>
      </c>
      <c r="H249" s="572">
        <v>29430</v>
      </c>
      <c r="I249" s="572">
        <v>33630</v>
      </c>
      <c r="J249" s="572">
        <v>37830</v>
      </c>
      <c r="K249" s="572">
        <v>42030</v>
      </c>
      <c r="L249" s="572">
        <v>45420</v>
      </c>
      <c r="M249" s="572">
        <v>48780</v>
      </c>
      <c r="N249" s="572">
        <v>52140</v>
      </c>
      <c r="O249" s="572">
        <v>55500</v>
      </c>
      <c r="P249" s="39"/>
      <c r="Q249" s="39"/>
    </row>
    <row r="250" spans="1:17" ht="13.8" thickBot="1">
      <c r="A250" s="575"/>
      <c r="B250" s="40">
        <v>0.2</v>
      </c>
      <c r="C250" s="512">
        <v>490</v>
      </c>
      <c r="D250" s="512">
        <v>525</v>
      </c>
      <c r="E250" s="512">
        <v>630</v>
      </c>
      <c r="F250" s="512">
        <v>728</v>
      </c>
      <c r="G250" s="512">
        <v>813</v>
      </c>
      <c r="H250" s="513">
        <v>19620</v>
      </c>
      <c r="I250" s="513">
        <v>22420</v>
      </c>
      <c r="J250" s="513">
        <v>25220</v>
      </c>
      <c r="K250" s="513">
        <v>28020</v>
      </c>
      <c r="L250" s="513">
        <v>30280</v>
      </c>
      <c r="M250" s="513">
        <v>32520</v>
      </c>
      <c r="N250" s="513">
        <v>34760</v>
      </c>
      <c r="O250" s="513">
        <v>37000</v>
      </c>
      <c r="P250" s="41"/>
      <c r="Q250" s="41"/>
    </row>
    <row r="251" spans="1:17" ht="13.8" thickTop="1">
      <c r="A251" s="36"/>
      <c r="B251" s="37">
        <v>1.2</v>
      </c>
      <c r="C251" s="514">
        <v>2142</v>
      </c>
      <c r="D251" s="514">
        <v>2295</v>
      </c>
      <c r="E251" s="514">
        <v>2754</v>
      </c>
      <c r="F251" s="514">
        <v>3183</v>
      </c>
      <c r="G251" s="514">
        <v>3552</v>
      </c>
      <c r="H251" s="514">
        <v>85680</v>
      </c>
      <c r="I251" s="514">
        <v>97920</v>
      </c>
      <c r="J251" s="514">
        <v>110160</v>
      </c>
      <c r="K251" s="514">
        <v>122400</v>
      </c>
      <c r="L251" s="514">
        <v>132240</v>
      </c>
      <c r="M251" s="514">
        <v>142080</v>
      </c>
      <c r="N251" s="514">
        <v>151800</v>
      </c>
      <c r="O251" s="514">
        <v>161640</v>
      </c>
      <c r="P251" s="41"/>
      <c r="Q251" s="41"/>
    </row>
    <row r="252" spans="1:17">
      <c r="A252" s="38"/>
      <c r="B252" s="574">
        <v>1</v>
      </c>
      <c r="C252" s="571">
        <v>1785</v>
      </c>
      <c r="D252" s="571">
        <v>1912</v>
      </c>
      <c r="E252" s="571">
        <v>2295</v>
      </c>
      <c r="F252" s="571">
        <v>2652</v>
      </c>
      <c r="G252" s="571">
        <v>2960</v>
      </c>
      <c r="H252" s="571">
        <v>71400</v>
      </c>
      <c r="I252" s="571">
        <v>81600</v>
      </c>
      <c r="J252" s="571">
        <v>91800</v>
      </c>
      <c r="K252" s="571">
        <v>102000</v>
      </c>
      <c r="L252" s="571">
        <v>110200</v>
      </c>
      <c r="M252" s="571">
        <v>118400</v>
      </c>
      <c r="N252" s="571">
        <v>126500</v>
      </c>
      <c r="O252" s="571">
        <v>134700</v>
      </c>
      <c r="P252" s="41"/>
      <c r="Q252" s="41"/>
    </row>
    <row r="253" spans="1:17">
      <c r="A253" s="38" t="s">
        <v>1138</v>
      </c>
      <c r="B253" s="574">
        <v>0.8</v>
      </c>
      <c r="C253" s="571">
        <v>1428</v>
      </c>
      <c r="D253" s="571">
        <v>1530</v>
      </c>
      <c r="E253" s="571">
        <v>1836</v>
      </c>
      <c r="F253" s="571">
        <v>2122</v>
      </c>
      <c r="G253" s="571">
        <v>2368</v>
      </c>
      <c r="H253" s="572">
        <v>57120</v>
      </c>
      <c r="I253" s="572">
        <v>65280</v>
      </c>
      <c r="J253" s="572">
        <v>73440</v>
      </c>
      <c r="K253" s="572">
        <v>81600</v>
      </c>
      <c r="L253" s="572">
        <v>88160</v>
      </c>
      <c r="M253" s="572">
        <v>94720</v>
      </c>
      <c r="N253" s="572">
        <v>101200</v>
      </c>
      <c r="O253" s="572">
        <v>107760</v>
      </c>
      <c r="P253" s="41"/>
      <c r="Q253" s="41"/>
    </row>
    <row r="254" spans="1:17">
      <c r="A254" s="38"/>
      <c r="B254" s="574">
        <v>0.7</v>
      </c>
      <c r="C254" s="571">
        <v>1249</v>
      </c>
      <c r="D254" s="571">
        <v>1338</v>
      </c>
      <c r="E254" s="571">
        <v>1606</v>
      </c>
      <c r="F254" s="571">
        <v>1856</v>
      </c>
      <c r="G254" s="571">
        <v>2072</v>
      </c>
      <c r="H254" s="572">
        <v>49980</v>
      </c>
      <c r="I254" s="572">
        <v>57120</v>
      </c>
      <c r="J254" s="572">
        <v>64259.999999999993</v>
      </c>
      <c r="K254" s="572">
        <v>71400</v>
      </c>
      <c r="L254" s="572">
        <v>77140</v>
      </c>
      <c r="M254" s="572">
        <v>82880</v>
      </c>
      <c r="N254" s="572">
        <v>88550</v>
      </c>
      <c r="O254" s="572">
        <v>94290</v>
      </c>
      <c r="P254" s="41"/>
      <c r="Q254" s="41"/>
    </row>
    <row r="255" spans="1:17">
      <c r="A255" s="38"/>
      <c r="B255" s="574">
        <v>0.6</v>
      </c>
      <c r="C255" s="571">
        <v>1071</v>
      </c>
      <c r="D255" s="571">
        <v>1147</v>
      </c>
      <c r="E255" s="571">
        <v>1377</v>
      </c>
      <c r="F255" s="571">
        <v>1591</v>
      </c>
      <c r="G255" s="571">
        <v>1776</v>
      </c>
      <c r="H255" s="571">
        <v>42840</v>
      </c>
      <c r="I255" s="571">
        <v>48960</v>
      </c>
      <c r="J255" s="571">
        <v>55080</v>
      </c>
      <c r="K255" s="571">
        <v>61200</v>
      </c>
      <c r="L255" s="571">
        <v>66120</v>
      </c>
      <c r="M255" s="573">
        <v>71040</v>
      </c>
      <c r="N255" s="573">
        <v>75900</v>
      </c>
      <c r="O255" s="573">
        <v>80820</v>
      </c>
      <c r="P255" s="41"/>
      <c r="Q255" s="41"/>
    </row>
    <row r="256" spans="1:17">
      <c r="A256" s="38"/>
      <c r="B256" s="574">
        <v>0.55000000000000004</v>
      </c>
      <c r="C256" s="571">
        <v>981</v>
      </c>
      <c r="D256" s="571">
        <v>1051</v>
      </c>
      <c r="E256" s="571">
        <v>1262</v>
      </c>
      <c r="F256" s="571">
        <v>1458</v>
      </c>
      <c r="G256" s="571">
        <v>1628</v>
      </c>
      <c r="H256" s="571">
        <v>39270</v>
      </c>
      <c r="I256" s="571">
        <v>44880</v>
      </c>
      <c r="J256" s="571">
        <v>50490.000000000007</v>
      </c>
      <c r="K256" s="571">
        <v>56100.000000000007</v>
      </c>
      <c r="L256" s="571">
        <v>60610.000000000007</v>
      </c>
      <c r="M256" s="571">
        <v>65120.000000000007</v>
      </c>
      <c r="N256" s="571">
        <v>69575</v>
      </c>
      <c r="O256" s="571">
        <v>74085</v>
      </c>
      <c r="P256" s="41"/>
      <c r="Q256" s="41"/>
    </row>
    <row r="257" spans="1:17">
      <c r="A257" s="38"/>
      <c r="B257" s="574">
        <v>0.5</v>
      </c>
      <c r="C257" s="571">
        <v>892</v>
      </c>
      <c r="D257" s="571">
        <v>956</v>
      </c>
      <c r="E257" s="571">
        <v>1147</v>
      </c>
      <c r="F257" s="571">
        <v>1326</v>
      </c>
      <c r="G257" s="571">
        <v>1480</v>
      </c>
      <c r="H257" s="572">
        <v>35700</v>
      </c>
      <c r="I257" s="572">
        <v>40800</v>
      </c>
      <c r="J257" s="572">
        <v>45900</v>
      </c>
      <c r="K257" s="572">
        <v>51000</v>
      </c>
      <c r="L257" s="572">
        <v>55100</v>
      </c>
      <c r="M257" s="572">
        <v>59200</v>
      </c>
      <c r="N257" s="572">
        <v>63250</v>
      </c>
      <c r="O257" s="572">
        <v>67350</v>
      </c>
      <c r="P257" s="41"/>
      <c r="Q257" s="41"/>
    </row>
    <row r="258" spans="1:17">
      <c r="A258" s="38"/>
      <c r="B258" s="574">
        <v>0.45</v>
      </c>
      <c r="C258" s="571">
        <v>803</v>
      </c>
      <c r="D258" s="571">
        <v>860</v>
      </c>
      <c r="E258" s="571">
        <v>1032</v>
      </c>
      <c r="F258" s="571">
        <v>1193</v>
      </c>
      <c r="G258" s="571">
        <v>1332</v>
      </c>
      <c r="H258" s="571">
        <v>32130</v>
      </c>
      <c r="I258" s="571">
        <v>36720</v>
      </c>
      <c r="J258" s="571">
        <v>41310</v>
      </c>
      <c r="K258" s="571">
        <v>45900</v>
      </c>
      <c r="L258" s="571">
        <v>49590</v>
      </c>
      <c r="M258" s="573">
        <v>53280</v>
      </c>
      <c r="N258" s="573">
        <v>56925</v>
      </c>
      <c r="O258" s="573">
        <v>60615</v>
      </c>
      <c r="P258" s="41"/>
      <c r="Q258" s="41"/>
    </row>
    <row r="259" spans="1:17">
      <c r="A259" s="38"/>
      <c r="B259" s="574">
        <v>0.4</v>
      </c>
      <c r="C259" s="571">
        <v>714</v>
      </c>
      <c r="D259" s="571">
        <v>765</v>
      </c>
      <c r="E259" s="571">
        <v>918</v>
      </c>
      <c r="F259" s="571">
        <v>1061</v>
      </c>
      <c r="G259" s="571">
        <v>1184</v>
      </c>
      <c r="H259" s="571">
        <v>28560</v>
      </c>
      <c r="I259" s="571">
        <v>32640</v>
      </c>
      <c r="J259" s="571">
        <v>36720</v>
      </c>
      <c r="K259" s="571">
        <v>40800</v>
      </c>
      <c r="L259" s="571">
        <v>44080</v>
      </c>
      <c r="M259" s="573">
        <v>47360</v>
      </c>
      <c r="N259" s="573">
        <v>50600</v>
      </c>
      <c r="O259" s="573">
        <v>53880</v>
      </c>
      <c r="P259" s="41"/>
      <c r="Q259" s="41"/>
    </row>
    <row r="260" spans="1:17">
      <c r="A260" s="38"/>
      <c r="B260" s="510">
        <v>0.3</v>
      </c>
      <c r="C260" s="571">
        <v>535</v>
      </c>
      <c r="D260" s="571">
        <v>573</v>
      </c>
      <c r="E260" s="571">
        <v>688</v>
      </c>
      <c r="F260" s="571">
        <v>795</v>
      </c>
      <c r="G260" s="571">
        <v>888</v>
      </c>
      <c r="H260" s="572">
        <v>21420</v>
      </c>
      <c r="I260" s="572">
        <v>24480</v>
      </c>
      <c r="J260" s="572">
        <v>27540</v>
      </c>
      <c r="K260" s="572">
        <v>30600</v>
      </c>
      <c r="L260" s="572">
        <v>33060</v>
      </c>
      <c r="M260" s="572">
        <v>35520</v>
      </c>
      <c r="N260" s="572">
        <v>37950</v>
      </c>
      <c r="O260" s="572">
        <v>40410</v>
      </c>
      <c r="P260" s="41"/>
      <c r="Q260" s="41"/>
    </row>
    <row r="261" spans="1:17" ht="13.8" thickBot="1">
      <c r="A261" s="575"/>
      <c r="B261" s="40">
        <v>0.2</v>
      </c>
      <c r="C261" s="512">
        <v>357</v>
      </c>
      <c r="D261" s="512">
        <v>382</v>
      </c>
      <c r="E261" s="512">
        <v>459</v>
      </c>
      <c r="F261" s="512">
        <v>530</v>
      </c>
      <c r="G261" s="512">
        <v>592</v>
      </c>
      <c r="H261" s="513">
        <v>14280</v>
      </c>
      <c r="I261" s="513">
        <v>16320</v>
      </c>
      <c r="J261" s="513">
        <v>18360</v>
      </c>
      <c r="K261" s="513">
        <v>20400</v>
      </c>
      <c r="L261" s="513">
        <v>22040</v>
      </c>
      <c r="M261" s="513">
        <v>23680</v>
      </c>
      <c r="N261" s="513">
        <v>25300</v>
      </c>
      <c r="O261" s="513">
        <v>26940</v>
      </c>
      <c r="P261" s="41"/>
      <c r="Q261" s="41"/>
    </row>
    <row r="262" spans="1:17" ht="13.8" thickTop="1">
      <c r="A262" s="38"/>
      <c r="B262" s="37">
        <v>1.2</v>
      </c>
      <c r="C262" s="514">
        <v>2220</v>
      </c>
      <c r="D262" s="514">
        <v>2377</v>
      </c>
      <c r="E262" s="514">
        <v>2853</v>
      </c>
      <c r="F262" s="514">
        <v>3295</v>
      </c>
      <c r="G262" s="514">
        <v>3675</v>
      </c>
      <c r="H262" s="514">
        <v>88800</v>
      </c>
      <c r="I262" s="514">
        <v>101400</v>
      </c>
      <c r="J262" s="514">
        <v>114120</v>
      </c>
      <c r="K262" s="514">
        <v>126720</v>
      </c>
      <c r="L262" s="514">
        <v>136920</v>
      </c>
      <c r="M262" s="514">
        <v>147000</v>
      </c>
      <c r="N262" s="514">
        <v>157200</v>
      </c>
      <c r="O262" s="514">
        <v>167280</v>
      </c>
      <c r="P262" s="39"/>
      <c r="Q262" s="39"/>
    </row>
    <row r="263" spans="1:17">
      <c r="A263" s="38"/>
      <c r="B263" s="574">
        <v>1</v>
      </c>
      <c r="C263" s="571">
        <v>1850</v>
      </c>
      <c r="D263" s="571">
        <v>1981</v>
      </c>
      <c r="E263" s="571">
        <v>2377</v>
      </c>
      <c r="F263" s="571">
        <v>2746</v>
      </c>
      <c r="G263" s="571">
        <v>3062</v>
      </c>
      <c r="H263" s="571">
        <v>74000</v>
      </c>
      <c r="I263" s="571">
        <v>84500</v>
      </c>
      <c r="J263" s="571">
        <v>95100</v>
      </c>
      <c r="K263" s="571">
        <v>105600</v>
      </c>
      <c r="L263" s="571">
        <v>114100</v>
      </c>
      <c r="M263" s="571">
        <v>122500</v>
      </c>
      <c r="N263" s="571">
        <v>131000</v>
      </c>
      <c r="O263" s="571">
        <v>139400</v>
      </c>
      <c r="P263" s="39"/>
      <c r="Q263" s="39"/>
    </row>
    <row r="264" spans="1:17">
      <c r="A264" s="38" t="s">
        <v>1139</v>
      </c>
      <c r="B264" s="574">
        <v>0.8</v>
      </c>
      <c r="C264" s="571">
        <v>1480</v>
      </c>
      <c r="D264" s="571">
        <v>1585</v>
      </c>
      <c r="E264" s="571">
        <v>1902</v>
      </c>
      <c r="F264" s="571">
        <v>2197</v>
      </c>
      <c r="G264" s="571">
        <v>2450</v>
      </c>
      <c r="H264" s="572">
        <v>59200</v>
      </c>
      <c r="I264" s="572">
        <v>67600</v>
      </c>
      <c r="J264" s="572">
        <v>76080</v>
      </c>
      <c r="K264" s="572">
        <v>84480</v>
      </c>
      <c r="L264" s="572">
        <v>91280</v>
      </c>
      <c r="M264" s="572">
        <v>98000</v>
      </c>
      <c r="N264" s="572">
        <v>104800</v>
      </c>
      <c r="O264" s="572">
        <v>111520</v>
      </c>
      <c r="P264" s="39"/>
      <c r="Q264" s="39"/>
    </row>
    <row r="265" spans="1:17">
      <c r="A265" s="38"/>
      <c r="B265" s="574">
        <v>0.7</v>
      </c>
      <c r="C265" s="571">
        <v>1295</v>
      </c>
      <c r="D265" s="571">
        <v>1386</v>
      </c>
      <c r="E265" s="571">
        <v>1664</v>
      </c>
      <c r="F265" s="571">
        <v>1922</v>
      </c>
      <c r="G265" s="571">
        <v>2143</v>
      </c>
      <c r="H265" s="572">
        <v>51800</v>
      </c>
      <c r="I265" s="572">
        <v>59149.999999999993</v>
      </c>
      <c r="J265" s="572">
        <v>66570</v>
      </c>
      <c r="K265" s="572">
        <v>73920</v>
      </c>
      <c r="L265" s="572">
        <v>79870</v>
      </c>
      <c r="M265" s="572">
        <v>85750</v>
      </c>
      <c r="N265" s="572">
        <v>91700</v>
      </c>
      <c r="O265" s="572">
        <v>97580</v>
      </c>
      <c r="P265" s="39"/>
      <c r="Q265" s="39"/>
    </row>
    <row r="266" spans="1:17">
      <c r="A266" s="38"/>
      <c r="B266" s="574">
        <v>0.6</v>
      </c>
      <c r="C266" s="571">
        <v>1110</v>
      </c>
      <c r="D266" s="571">
        <v>1188</v>
      </c>
      <c r="E266" s="571">
        <v>1426</v>
      </c>
      <c r="F266" s="571">
        <v>1647</v>
      </c>
      <c r="G266" s="571">
        <v>1837</v>
      </c>
      <c r="H266" s="571">
        <v>44400</v>
      </c>
      <c r="I266" s="571">
        <v>50700</v>
      </c>
      <c r="J266" s="571">
        <v>57060</v>
      </c>
      <c r="K266" s="571">
        <v>63360</v>
      </c>
      <c r="L266" s="571">
        <v>68460</v>
      </c>
      <c r="M266" s="573">
        <v>73500</v>
      </c>
      <c r="N266" s="573">
        <v>78600</v>
      </c>
      <c r="O266" s="573">
        <v>83640</v>
      </c>
      <c r="P266" s="39"/>
      <c r="Q266" s="39"/>
    </row>
    <row r="267" spans="1:17">
      <c r="A267" s="38"/>
      <c r="B267" s="574">
        <v>0.55000000000000004</v>
      </c>
      <c r="C267" s="571">
        <v>1017</v>
      </c>
      <c r="D267" s="571">
        <v>1089</v>
      </c>
      <c r="E267" s="571">
        <v>1307</v>
      </c>
      <c r="F267" s="571">
        <v>1510</v>
      </c>
      <c r="G267" s="571">
        <v>1684</v>
      </c>
      <c r="H267" s="571">
        <v>40700</v>
      </c>
      <c r="I267" s="571">
        <v>46475.000000000007</v>
      </c>
      <c r="J267" s="571">
        <v>52305.000000000007</v>
      </c>
      <c r="K267" s="571">
        <v>58080.000000000007</v>
      </c>
      <c r="L267" s="571">
        <v>62755.000000000007</v>
      </c>
      <c r="M267" s="571">
        <v>67375</v>
      </c>
      <c r="N267" s="571">
        <v>72050</v>
      </c>
      <c r="O267" s="571">
        <v>76670</v>
      </c>
      <c r="P267" s="39"/>
      <c r="Q267" s="39"/>
    </row>
    <row r="268" spans="1:17">
      <c r="A268" s="38"/>
      <c r="B268" s="574">
        <v>0.5</v>
      </c>
      <c r="C268" s="571">
        <v>925</v>
      </c>
      <c r="D268" s="571">
        <v>990</v>
      </c>
      <c r="E268" s="571">
        <v>1188</v>
      </c>
      <c r="F268" s="571">
        <v>1373</v>
      </c>
      <c r="G268" s="571">
        <v>1531</v>
      </c>
      <c r="H268" s="572">
        <v>37000</v>
      </c>
      <c r="I268" s="572">
        <v>42250</v>
      </c>
      <c r="J268" s="572">
        <v>47550</v>
      </c>
      <c r="K268" s="572">
        <v>52800</v>
      </c>
      <c r="L268" s="572">
        <v>57050</v>
      </c>
      <c r="M268" s="572">
        <v>61250</v>
      </c>
      <c r="N268" s="572">
        <v>65500</v>
      </c>
      <c r="O268" s="572">
        <v>69700</v>
      </c>
      <c r="P268" s="39"/>
      <c r="Q268" s="39"/>
    </row>
    <row r="269" spans="1:17">
      <c r="A269" s="38"/>
      <c r="B269" s="574">
        <v>0.45</v>
      </c>
      <c r="C269" s="571">
        <v>832</v>
      </c>
      <c r="D269" s="571">
        <v>891</v>
      </c>
      <c r="E269" s="571">
        <v>1069</v>
      </c>
      <c r="F269" s="571">
        <v>1235</v>
      </c>
      <c r="G269" s="571">
        <v>1378</v>
      </c>
      <c r="H269" s="571">
        <v>33300</v>
      </c>
      <c r="I269" s="571">
        <v>38025</v>
      </c>
      <c r="J269" s="571">
        <v>42795</v>
      </c>
      <c r="K269" s="571">
        <v>47520</v>
      </c>
      <c r="L269" s="571">
        <v>51345</v>
      </c>
      <c r="M269" s="573">
        <v>55125</v>
      </c>
      <c r="N269" s="573">
        <v>58950</v>
      </c>
      <c r="O269" s="573">
        <v>62730</v>
      </c>
      <c r="P269" s="39"/>
      <c r="Q269" s="39"/>
    </row>
    <row r="270" spans="1:17">
      <c r="A270" s="38"/>
      <c r="B270" s="574">
        <v>0.4</v>
      </c>
      <c r="C270" s="571">
        <v>740</v>
      </c>
      <c r="D270" s="571">
        <v>792</v>
      </c>
      <c r="E270" s="571">
        <v>951</v>
      </c>
      <c r="F270" s="571">
        <v>1098</v>
      </c>
      <c r="G270" s="571">
        <v>1225</v>
      </c>
      <c r="H270" s="571">
        <v>29600</v>
      </c>
      <c r="I270" s="571">
        <v>33800</v>
      </c>
      <c r="J270" s="571">
        <v>38040</v>
      </c>
      <c r="K270" s="571">
        <v>42240</v>
      </c>
      <c r="L270" s="571">
        <v>45640</v>
      </c>
      <c r="M270" s="573">
        <v>49000</v>
      </c>
      <c r="N270" s="573">
        <v>52400</v>
      </c>
      <c r="O270" s="573">
        <v>55760</v>
      </c>
      <c r="P270" s="39"/>
      <c r="Q270" s="39"/>
    </row>
    <row r="271" spans="1:17">
      <c r="A271" s="38"/>
      <c r="B271" s="510">
        <v>0.3</v>
      </c>
      <c r="C271" s="571">
        <v>555</v>
      </c>
      <c r="D271" s="571">
        <v>594</v>
      </c>
      <c r="E271" s="571">
        <v>713</v>
      </c>
      <c r="F271" s="571">
        <v>823</v>
      </c>
      <c r="G271" s="571">
        <v>918</v>
      </c>
      <c r="H271" s="572">
        <v>22200</v>
      </c>
      <c r="I271" s="572">
        <v>25350</v>
      </c>
      <c r="J271" s="572">
        <v>28530</v>
      </c>
      <c r="K271" s="572">
        <v>31680</v>
      </c>
      <c r="L271" s="572">
        <v>34230</v>
      </c>
      <c r="M271" s="572">
        <v>36750</v>
      </c>
      <c r="N271" s="572">
        <v>39300</v>
      </c>
      <c r="O271" s="572">
        <v>41820</v>
      </c>
      <c r="P271" s="39"/>
      <c r="Q271" s="39"/>
    </row>
    <row r="272" spans="1:17" ht="13.8" thickBot="1">
      <c r="A272" s="575"/>
      <c r="B272" s="40">
        <v>0.2</v>
      </c>
      <c r="C272" s="512">
        <v>370</v>
      </c>
      <c r="D272" s="512">
        <v>396</v>
      </c>
      <c r="E272" s="512">
        <v>475</v>
      </c>
      <c r="F272" s="512">
        <v>549</v>
      </c>
      <c r="G272" s="512">
        <v>612</v>
      </c>
      <c r="H272" s="513">
        <v>14800</v>
      </c>
      <c r="I272" s="513">
        <v>16900</v>
      </c>
      <c r="J272" s="513">
        <v>19020</v>
      </c>
      <c r="K272" s="513">
        <v>21120</v>
      </c>
      <c r="L272" s="513">
        <v>22820</v>
      </c>
      <c r="M272" s="513">
        <v>24500</v>
      </c>
      <c r="N272" s="513">
        <v>26200</v>
      </c>
      <c r="O272" s="513">
        <v>27880</v>
      </c>
      <c r="P272" s="45"/>
      <c r="Q272" s="45"/>
    </row>
    <row r="273" spans="1:17" ht="13.8" thickTop="1">
      <c r="A273" s="38"/>
      <c r="B273" s="37">
        <v>1.2</v>
      </c>
      <c r="C273" s="514">
        <v>2943</v>
      </c>
      <c r="D273" s="514">
        <v>3153</v>
      </c>
      <c r="E273" s="514">
        <v>3783</v>
      </c>
      <c r="F273" s="514">
        <v>4372</v>
      </c>
      <c r="G273" s="514">
        <v>4878</v>
      </c>
      <c r="H273" s="514">
        <v>117720</v>
      </c>
      <c r="I273" s="514">
        <v>134520</v>
      </c>
      <c r="J273" s="514">
        <v>151320</v>
      </c>
      <c r="K273" s="514">
        <v>168120</v>
      </c>
      <c r="L273" s="514">
        <v>181680</v>
      </c>
      <c r="M273" s="514">
        <v>195120</v>
      </c>
      <c r="N273" s="514">
        <v>208560</v>
      </c>
      <c r="O273" s="514">
        <v>222000</v>
      </c>
      <c r="P273" s="39"/>
      <c r="Q273" s="39"/>
    </row>
    <row r="274" spans="1:17">
      <c r="A274" s="38"/>
      <c r="B274" s="574">
        <v>1</v>
      </c>
      <c r="C274" s="571">
        <v>2452</v>
      </c>
      <c r="D274" s="571">
        <v>2627</v>
      </c>
      <c r="E274" s="571">
        <v>3152</v>
      </c>
      <c r="F274" s="571">
        <v>3643</v>
      </c>
      <c r="G274" s="571">
        <v>4065</v>
      </c>
      <c r="H274" s="571">
        <v>98100</v>
      </c>
      <c r="I274" s="571">
        <v>112100</v>
      </c>
      <c r="J274" s="571">
        <v>126100</v>
      </c>
      <c r="K274" s="571">
        <v>140100</v>
      </c>
      <c r="L274" s="571">
        <v>151400</v>
      </c>
      <c r="M274" s="571">
        <v>162600</v>
      </c>
      <c r="N274" s="571">
        <v>173800</v>
      </c>
      <c r="O274" s="571">
        <v>185000</v>
      </c>
      <c r="P274" s="39"/>
      <c r="Q274" s="39"/>
    </row>
    <row r="275" spans="1:17">
      <c r="A275" s="38" t="s">
        <v>1140</v>
      </c>
      <c r="B275" s="574">
        <v>0.8</v>
      </c>
      <c r="C275" s="571">
        <v>1962</v>
      </c>
      <c r="D275" s="571">
        <v>2102</v>
      </c>
      <c r="E275" s="571">
        <v>2522</v>
      </c>
      <c r="F275" s="571">
        <v>2915</v>
      </c>
      <c r="G275" s="571">
        <v>3252</v>
      </c>
      <c r="H275" s="572">
        <v>78480</v>
      </c>
      <c r="I275" s="572">
        <v>89680</v>
      </c>
      <c r="J275" s="572">
        <v>100880</v>
      </c>
      <c r="K275" s="572">
        <v>112080</v>
      </c>
      <c r="L275" s="572">
        <v>121120</v>
      </c>
      <c r="M275" s="572">
        <v>130080</v>
      </c>
      <c r="N275" s="572">
        <v>139040</v>
      </c>
      <c r="O275" s="572">
        <v>148000</v>
      </c>
      <c r="P275" s="39"/>
      <c r="Q275" s="39"/>
    </row>
    <row r="276" spans="1:17">
      <c r="A276" s="38"/>
      <c r="B276" s="574">
        <v>0.7</v>
      </c>
      <c r="C276" s="571">
        <v>1716</v>
      </c>
      <c r="D276" s="571">
        <v>1839</v>
      </c>
      <c r="E276" s="571">
        <v>2206</v>
      </c>
      <c r="F276" s="571">
        <v>2550</v>
      </c>
      <c r="G276" s="571">
        <v>2845</v>
      </c>
      <c r="H276" s="572">
        <v>68670</v>
      </c>
      <c r="I276" s="572">
        <v>78470</v>
      </c>
      <c r="J276" s="572">
        <v>88270</v>
      </c>
      <c r="K276" s="572">
        <v>98070</v>
      </c>
      <c r="L276" s="572">
        <v>105980</v>
      </c>
      <c r="M276" s="572">
        <v>113820</v>
      </c>
      <c r="N276" s="572">
        <v>121659.99999999999</v>
      </c>
      <c r="O276" s="572">
        <v>129499.99999999999</v>
      </c>
      <c r="P276" s="39"/>
      <c r="Q276" s="39"/>
    </row>
    <row r="277" spans="1:17">
      <c r="A277" s="38"/>
      <c r="B277" s="574">
        <v>0.6</v>
      </c>
      <c r="C277" s="571">
        <v>1471</v>
      </c>
      <c r="D277" s="571">
        <v>1576</v>
      </c>
      <c r="E277" s="571">
        <v>1891</v>
      </c>
      <c r="F277" s="571">
        <v>2186</v>
      </c>
      <c r="G277" s="571">
        <v>2439</v>
      </c>
      <c r="H277" s="571">
        <v>58860</v>
      </c>
      <c r="I277" s="571">
        <v>67260</v>
      </c>
      <c r="J277" s="571">
        <v>75660</v>
      </c>
      <c r="K277" s="571">
        <v>84060</v>
      </c>
      <c r="L277" s="571">
        <v>90840</v>
      </c>
      <c r="M277" s="573">
        <v>97560</v>
      </c>
      <c r="N277" s="573">
        <v>104280</v>
      </c>
      <c r="O277" s="573">
        <v>111000</v>
      </c>
      <c r="P277" s="39"/>
      <c r="Q277" s="39"/>
    </row>
    <row r="278" spans="1:17">
      <c r="A278" s="38"/>
      <c r="B278" s="574">
        <v>0.55000000000000004</v>
      </c>
      <c r="C278" s="571">
        <v>1348</v>
      </c>
      <c r="D278" s="571">
        <v>1445</v>
      </c>
      <c r="E278" s="571">
        <v>1733</v>
      </c>
      <c r="F278" s="571">
        <v>2004</v>
      </c>
      <c r="G278" s="571">
        <v>2235</v>
      </c>
      <c r="H278" s="571">
        <v>53955.000000000007</v>
      </c>
      <c r="I278" s="571">
        <v>61655.000000000007</v>
      </c>
      <c r="J278" s="571">
        <v>69355</v>
      </c>
      <c r="K278" s="571">
        <v>77055</v>
      </c>
      <c r="L278" s="571">
        <v>83270</v>
      </c>
      <c r="M278" s="571">
        <v>89430</v>
      </c>
      <c r="N278" s="571">
        <v>95590.000000000015</v>
      </c>
      <c r="O278" s="571">
        <v>101750.00000000001</v>
      </c>
      <c r="P278" s="39"/>
      <c r="Q278" s="39"/>
    </row>
    <row r="279" spans="1:17">
      <c r="A279" s="38"/>
      <c r="B279" s="574">
        <v>0.5</v>
      </c>
      <c r="C279" s="571">
        <v>1226</v>
      </c>
      <c r="D279" s="571">
        <v>1313</v>
      </c>
      <c r="E279" s="571">
        <v>1576</v>
      </c>
      <c r="F279" s="571">
        <v>1821</v>
      </c>
      <c r="G279" s="571">
        <v>2032</v>
      </c>
      <c r="H279" s="572">
        <v>49050</v>
      </c>
      <c r="I279" s="572">
        <v>56050</v>
      </c>
      <c r="J279" s="572">
        <v>63050</v>
      </c>
      <c r="K279" s="572">
        <v>70050</v>
      </c>
      <c r="L279" s="572">
        <v>75700</v>
      </c>
      <c r="M279" s="572">
        <v>81300</v>
      </c>
      <c r="N279" s="572">
        <v>86900</v>
      </c>
      <c r="O279" s="572">
        <v>92500</v>
      </c>
      <c r="P279" s="39"/>
      <c r="Q279" s="39"/>
    </row>
    <row r="280" spans="1:17">
      <c r="A280" s="38"/>
      <c r="B280" s="574">
        <v>0.45</v>
      </c>
      <c r="C280" s="571">
        <v>1103</v>
      </c>
      <c r="D280" s="571">
        <v>1182</v>
      </c>
      <c r="E280" s="571">
        <v>1418</v>
      </c>
      <c r="F280" s="571">
        <v>1639</v>
      </c>
      <c r="G280" s="571">
        <v>1829</v>
      </c>
      <c r="H280" s="571">
        <v>44145</v>
      </c>
      <c r="I280" s="571">
        <v>50445</v>
      </c>
      <c r="J280" s="571">
        <v>56745</v>
      </c>
      <c r="K280" s="571">
        <v>63045</v>
      </c>
      <c r="L280" s="571">
        <v>68130</v>
      </c>
      <c r="M280" s="573">
        <v>73170</v>
      </c>
      <c r="N280" s="573">
        <v>78210</v>
      </c>
      <c r="O280" s="573">
        <v>83250</v>
      </c>
      <c r="P280" s="39"/>
      <c r="Q280" s="39"/>
    </row>
    <row r="281" spans="1:17">
      <c r="A281" s="38"/>
      <c r="B281" s="574">
        <v>0.4</v>
      </c>
      <c r="C281" s="571">
        <v>981</v>
      </c>
      <c r="D281" s="571">
        <v>1051</v>
      </c>
      <c r="E281" s="571">
        <v>1261</v>
      </c>
      <c r="F281" s="571">
        <v>1457</v>
      </c>
      <c r="G281" s="571">
        <v>1626</v>
      </c>
      <c r="H281" s="571">
        <v>39240</v>
      </c>
      <c r="I281" s="571">
        <v>44840</v>
      </c>
      <c r="J281" s="571">
        <v>50440</v>
      </c>
      <c r="K281" s="571">
        <v>56040</v>
      </c>
      <c r="L281" s="571">
        <v>60560</v>
      </c>
      <c r="M281" s="573">
        <v>65040</v>
      </c>
      <c r="N281" s="573">
        <v>69520</v>
      </c>
      <c r="O281" s="573">
        <v>74000</v>
      </c>
      <c r="P281" s="39"/>
      <c r="Q281" s="39"/>
    </row>
    <row r="282" spans="1:17">
      <c r="A282" s="38"/>
      <c r="B282" s="510">
        <v>0.3</v>
      </c>
      <c r="C282" s="571">
        <v>735</v>
      </c>
      <c r="D282" s="571">
        <v>788</v>
      </c>
      <c r="E282" s="571">
        <v>945</v>
      </c>
      <c r="F282" s="571">
        <v>1093</v>
      </c>
      <c r="G282" s="571">
        <v>1219</v>
      </c>
      <c r="H282" s="572">
        <v>29430</v>
      </c>
      <c r="I282" s="572">
        <v>33630</v>
      </c>
      <c r="J282" s="572">
        <v>37830</v>
      </c>
      <c r="K282" s="572">
        <v>42030</v>
      </c>
      <c r="L282" s="572">
        <v>45420</v>
      </c>
      <c r="M282" s="572">
        <v>48780</v>
      </c>
      <c r="N282" s="572">
        <v>52140</v>
      </c>
      <c r="O282" s="572">
        <v>55500</v>
      </c>
      <c r="P282" s="39"/>
      <c r="Q282" s="39"/>
    </row>
    <row r="283" spans="1:17" ht="13.8" thickBot="1">
      <c r="A283" s="575"/>
      <c r="B283" s="40">
        <v>0.2</v>
      </c>
      <c r="C283" s="512">
        <v>490</v>
      </c>
      <c r="D283" s="512">
        <v>525</v>
      </c>
      <c r="E283" s="512">
        <v>630</v>
      </c>
      <c r="F283" s="512">
        <v>728</v>
      </c>
      <c r="G283" s="512">
        <v>813</v>
      </c>
      <c r="H283" s="513">
        <v>19620</v>
      </c>
      <c r="I283" s="513">
        <v>22420</v>
      </c>
      <c r="J283" s="513">
        <v>25220</v>
      </c>
      <c r="K283" s="513">
        <v>28020</v>
      </c>
      <c r="L283" s="513">
        <v>30280</v>
      </c>
      <c r="M283" s="513">
        <v>32520</v>
      </c>
      <c r="N283" s="513">
        <v>34760</v>
      </c>
      <c r="O283" s="513">
        <v>37000</v>
      </c>
      <c r="P283" s="45"/>
      <c r="Q283" s="45"/>
    </row>
    <row r="284" spans="1:17" ht="13.8" thickTop="1">
      <c r="A284" s="38"/>
      <c r="B284" s="37">
        <v>1.2</v>
      </c>
      <c r="C284" s="514">
        <v>2352</v>
      </c>
      <c r="D284" s="514">
        <v>2520</v>
      </c>
      <c r="E284" s="514">
        <v>3024</v>
      </c>
      <c r="F284" s="514">
        <v>3495</v>
      </c>
      <c r="G284" s="514">
        <v>3900</v>
      </c>
      <c r="H284" s="514">
        <v>94080</v>
      </c>
      <c r="I284" s="514">
        <v>107520</v>
      </c>
      <c r="J284" s="514">
        <v>120960</v>
      </c>
      <c r="K284" s="514">
        <v>134400</v>
      </c>
      <c r="L284" s="514">
        <v>145200</v>
      </c>
      <c r="M284" s="514">
        <v>156000</v>
      </c>
      <c r="N284" s="514">
        <v>166680</v>
      </c>
      <c r="O284" s="514">
        <v>177480</v>
      </c>
      <c r="P284" s="39"/>
      <c r="Q284" s="39"/>
    </row>
    <row r="285" spans="1:17">
      <c r="A285" s="38"/>
      <c r="B285" s="574">
        <v>1</v>
      </c>
      <c r="C285" s="571">
        <v>1960</v>
      </c>
      <c r="D285" s="571">
        <v>2100</v>
      </c>
      <c r="E285" s="571">
        <v>2520</v>
      </c>
      <c r="F285" s="571">
        <v>2912</v>
      </c>
      <c r="G285" s="571">
        <v>3250</v>
      </c>
      <c r="H285" s="571">
        <v>78400</v>
      </c>
      <c r="I285" s="571">
        <v>89600</v>
      </c>
      <c r="J285" s="571">
        <v>100800</v>
      </c>
      <c r="K285" s="571">
        <v>112000</v>
      </c>
      <c r="L285" s="571">
        <v>121000</v>
      </c>
      <c r="M285" s="571">
        <v>130000</v>
      </c>
      <c r="N285" s="571">
        <v>138900</v>
      </c>
      <c r="O285" s="571">
        <v>147900</v>
      </c>
      <c r="P285" s="39"/>
      <c r="Q285" s="39"/>
    </row>
    <row r="286" spans="1:17">
      <c r="A286" s="38" t="s">
        <v>1141</v>
      </c>
      <c r="B286" s="574">
        <v>0.8</v>
      </c>
      <c r="C286" s="571">
        <v>1568</v>
      </c>
      <c r="D286" s="571">
        <v>1680</v>
      </c>
      <c r="E286" s="571">
        <v>2016</v>
      </c>
      <c r="F286" s="571">
        <v>2330</v>
      </c>
      <c r="G286" s="571">
        <v>2600</v>
      </c>
      <c r="H286" s="572">
        <v>62720</v>
      </c>
      <c r="I286" s="572">
        <v>71680</v>
      </c>
      <c r="J286" s="572">
        <v>80640</v>
      </c>
      <c r="K286" s="572">
        <v>89600</v>
      </c>
      <c r="L286" s="572">
        <v>96800</v>
      </c>
      <c r="M286" s="572">
        <v>104000</v>
      </c>
      <c r="N286" s="572">
        <v>111120</v>
      </c>
      <c r="O286" s="572">
        <v>118320</v>
      </c>
      <c r="P286" s="39"/>
      <c r="Q286" s="39"/>
    </row>
    <row r="287" spans="1:17">
      <c r="A287" s="38"/>
      <c r="B287" s="574">
        <v>0.7</v>
      </c>
      <c r="C287" s="571">
        <v>1372</v>
      </c>
      <c r="D287" s="571">
        <v>1470</v>
      </c>
      <c r="E287" s="571">
        <v>1764</v>
      </c>
      <c r="F287" s="571">
        <v>2038</v>
      </c>
      <c r="G287" s="571">
        <v>2275</v>
      </c>
      <c r="H287" s="572">
        <v>54880</v>
      </c>
      <c r="I287" s="572">
        <v>62719.999999999993</v>
      </c>
      <c r="J287" s="572">
        <v>70560</v>
      </c>
      <c r="K287" s="572">
        <v>78400</v>
      </c>
      <c r="L287" s="572">
        <v>84700</v>
      </c>
      <c r="M287" s="572">
        <v>91000</v>
      </c>
      <c r="N287" s="572">
        <v>97230</v>
      </c>
      <c r="O287" s="572">
        <v>103530</v>
      </c>
      <c r="P287" s="39"/>
      <c r="Q287" s="39"/>
    </row>
    <row r="288" spans="1:17">
      <c r="A288" s="38"/>
      <c r="B288" s="574">
        <v>0.6</v>
      </c>
      <c r="C288" s="571">
        <v>1176</v>
      </c>
      <c r="D288" s="571">
        <v>1260</v>
      </c>
      <c r="E288" s="571">
        <v>1512</v>
      </c>
      <c r="F288" s="571">
        <v>1747</v>
      </c>
      <c r="G288" s="571">
        <v>1950</v>
      </c>
      <c r="H288" s="571">
        <v>47040</v>
      </c>
      <c r="I288" s="571">
        <v>53760</v>
      </c>
      <c r="J288" s="571">
        <v>60480</v>
      </c>
      <c r="K288" s="571">
        <v>67200</v>
      </c>
      <c r="L288" s="571">
        <v>72600</v>
      </c>
      <c r="M288" s="573">
        <v>78000</v>
      </c>
      <c r="N288" s="573">
        <v>83340</v>
      </c>
      <c r="O288" s="573">
        <v>88740</v>
      </c>
      <c r="P288" s="39"/>
      <c r="Q288" s="39"/>
    </row>
    <row r="289" spans="1:17">
      <c r="A289" s="38"/>
      <c r="B289" s="574">
        <v>0.55000000000000004</v>
      </c>
      <c r="C289" s="571">
        <v>1078</v>
      </c>
      <c r="D289" s="571">
        <v>1155</v>
      </c>
      <c r="E289" s="571">
        <v>1386</v>
      </c>
      <c r="F289" s="571">
        <v>1601</v>
      </c>
      <c r="G289" s="571">
        <v>1787</v>
      </c>
      <c r="H289" s="571">
        <v>43120</v>
      </c>
      <c r="I289" s="571">
        <v>49280.000000000007</v>
      </c>
      <c r="J289" s="571">
        <v>55440.000000000007</v>
      </c>
      <c r="K289" s="571">
        <v>61600.000000000007</v>
      </c>
      <c r="L289" s="571">
        <v>66550</v>
      </c>
      <c r="M289" s="571">
        <v>71500</v>
      </c>
      <c r="N289" s="571">
        <v>76395</v>
      </c>
      <c r="O289" s="571">
        <v>81345</v>
      </c>
      <c r="P289" s="39"/>
      <c r="Q289" s="39"/>
    </row>
    <row r="290" spans="1:17">
      <c r="A290" s="38"/>
      <c r="B290" s="574">
        <v>0.5</v>
      </c>
      <c r="C290" s="571">
        <v>980</v>
      </c>
      <c r="D290" s="571">
        <v>1050</v>
      </c>
      <c r="E290" s="571">
        <v>1260</v>
      </c>
      <c r="F290" s="571">
        <v>1456</v>
      </c>
      <c r="G290" s="571">
        <v>1625</v>
      </c>
      <c r="H290" s="572">
        <v>39200</v>
      </c>
      <c r="I290" s="572">
        <v>44800</v>
      </c>
      <c r="J290" s="572">
        <v>50400</v>
      </c>
      <c r="K290" s="572">
        <v>56000</v>
      </c>
      <c r="L290" s="572">
        <v>60500</v>
      </c>
      <c r="M290" s="572">
        <v>65000</v>
      </c>
      <c r="N290" s="572">
        <v>69450</v>
      </c>
      <c r="O290" s="572">
        <v>73950</v>
      </c>
      <c r="P290" s="39"/>
      <c r="Q290" s="39"/>
    </row>
    <row r="291" spans="1:17">
      <c r="A291" s="38"/>
      <c r="B291" s="574">
        <v>0.45</v>
      </c>
      <c r="C291" s="571">
        <v>882</v>
      </c>
      <c r="D291" s="571">
        <v>945</v>
      </c>
      <c r="E291" s="571">
        <v>1134</v>
      </c>
      <c r="F291" s="571">
        <v>1310</v>
      </c>
      <c r="G291" s="571">
        <v>1462</v>
      </c>
      <c r="H291" s="571">
        <v>35280</v>
      </c>
      <c r="I291" s="571">
        <v>40320</v>
      </c>
      <c r="J291" s="571">
        <v>45360</v>
      </c>
      <c r="K291" s="571">
        <v>50400</v>
      </c>
      <c r="L291" s="571">
        <v>54450</v>
      </c>
      <c r="M291" s="573">
        <v>58500</v>
      </c>
      <c r="N291" s="573">
        <v>62505</v>
      </c>
      <c r="O291" s="573">
        <v>66555</v>
      </c>
      <c r="P291" s="39"/>
      <c r="Q291" s="39"/>
    </row>
    <row r="292" spans="1:17">
      <c r="A292" s="38"/>
      <c r="B292" s="574">
        <v>0.4</v>
      </c>
      <c r="C292" s="571">
        <v>784</v>
      </c>
      <c r="D292" s="571">
        <v>840</v>
      </c>
      <c r="E292" s="571">
        <v>1008</v>
      </c>
      <c r="F292" s="571">
        <v>1165</v>
      </c>
      <c r="G292" s="571">
        <v>1300</v>
      </c>
      <c r="H292" s="571">
        <v>31360</v>
      </c>
      <c r="I292" s="571">
        <v>35840</v>
      </c>
      <c r="J292" s="571">
        <v>40320</v>
      </c>
      <c r="K292" s="571">
        <v>44800</v>
      </c>
      <c r="L292" s="571">
        <v>48400</v>
      </c>
      <c r="M292" s="573">
        <v>52000</v>
      </c>
      <c r="N292" s="573">
        <v>55560</v>
      </c>
      <c r="O292" s="573">
        <v>59160</v>
      </c>
      <c r="P292" s="39"/>
      <c r="Q292" s="39"/>
    </row>
    <row r="293" spans="1:17">
      <c r="A293" s="38"/>
      <c r="B293" s="510">
        <v>0.3</v>
      </c>
      <c r="C293" s="571">
        <v>588</v>
      </c>
      <c r="D293" s="571">
        <v>630</v>
      </c>
      <c r="E293" s="571">
        <v>756</v>
      </c>
      <c r="F293" s="571">
        <v>873</v>
      </c>
      <c r="G293" s="571">
        <v>975</v>
      </c>
      <c r="H293" s="572">
        <v>23520</v>
      </c>
      <c r="I293" s="572">
        <v>26880</v>
      </c>
      <c r="J293" s="572">
        <v>30240</v>
      </c>
      <c r="K293" s="572">
        <v>33600</v>
      </c>
      <c r="L293" s="572">
        <v>36300</v>
      </c>
      <c r="M293" s="572">
        <v>39000</v>
      </c>
      <c r="N293" s="572">
        <v>41670</v>
      </c>
      <c r="O293" s="572">
        <v>44370</v>
      </c>
      <c r="P293" s="39"/>
      <c r="Q293" s="39"/>
    </row>
    <row r="294" spans="1:17" ht="13.8" thickBot="1">
      <c r="A294" s="575"/>
      <c r="B294" s="40">
        <v>0.2</v>
      </c>
      <c r="C294" s="512">
        <v>392</v>
      </c>
      <c r="D294" s="512">
        <v>420</v>
      </c>
      <c r="E294" s="512">
        <v>504</v>
      </c>
      <c r="F294" s="512">
        <v>582</v>
      </c>
      <c r="G294" s="512">
        <v>650</v>
      </c>
      <c r="H294" s="513">
        <v>15680</v>
      </c>
      <c r="I294" s="513">
        <v>17920</v>
      </c>
      <c r="J294" s="513">
        <v>20160</v>
      </c>
      <c r="K294" s="513">
        <v>22400</v>
      </c>
      <c r="L294" s="513">
        <v>24200</v>
      </c>
      <c r="M294" s="513">
        <v>26000</v>
      </c>
      <c r="N294" s="513">
        <v>27780</v>
      </c>
      <c r="O294" s="513">
        <v>29580</v>
      </c>
      <c r="P294" s="45"/>
      <c r="Q294" s="45"/>
    </row>
    <row r="295" spans="1:17" ht="13.8" thickTop="1">
      <c r="A295" s="38"/>
      <c r="B295" s="37">
        <v>1.2</v>
      </c>
      <c r="C295" s="514">
        <v>2361</v>
      </c>
      <c r="D295" s="514">
        <v>2530</v>
      </c>
      <c r="E295" s="514">
        <v>3036</v>
      </c>
      <c r="F295" s="514">
        <v>3510</v>
      </c>
      <c r="G295" s="514">
        <v>3915</v>
      </c>
      <c r="H295" s="514">
        <v>94440</v>
      </c>
      <c r="I295" s="514">
        <v>108000</v>
      </c>
      <c r="J295" s="514">
        <v>121440</v>
      </c>
      <c r="K295" s="514">
        <v>135000</v>
      </c>
      <c r="L295" s="514">
        <v>145800</v>
      </c>
      <c r="M295" s="514">
        <v>156600</v>
      </c>
      <c r="N295" s="514">
        <v>167400</v>
      </c>
      <c r="O295" s="514">
        <v>178200</v>
      </c>
      <c r="P295" s="39"/>
      <c r="Q295" s="39"/>
    </row>
    <row r="296" spans="1:17">
      <c r="A296" s="38"/>
      <c r="B296" s="574">
        <v>1</v>
      </c>
      <c r="C296" s="571">
        <v>1967</v>
      </c>
      <c r="D296" s="571">
        <v>2108</v>
      </c>
      <c r="E296" s="571">
        <v>2530</v>
      </c>
      <c r="F296" s="571">
        <v>2925</v>
      </c>
      <c r="G296" s="571">
        <v>3262</v>
      </c>
      <c r="H296" s="571">
        <v>78700</v>
      </c>
      <c r="I296" s="571">
        <v>90000</v>
      </c>
      <c r="J296" s="571">
        <v>101200</v>
      </c>
      <c r="K296" s="571">
        <v>112500</v>
      </c>
      <c r="L296" s="571">
        <v>121500</v>
      </c>
      <c r="M296" s="571">
        <v>130500</v>
      </c>
      <c r="N296" s="571">
        <v>139500</v>
      </c>
      <c r="O296" s="571">
        <v>148500</v>
      </c>
      <c r="P296" s="39"/>
      <c r="Q296" s="39"/>
    </row>
    <row r="297" spans="1:17">
      <c r="A297" s="38" t="s">
        <v>1142</v>
      </c>
      <c r="B297" s="574">
        <v>0.8</v>
      </c>
      <c r="C297" s="571">
        <v>1574</v>
      </c>
      <c r="D297" s="571">
        <v>1687</v>
      </c>
      <c r="E297" s="571">
        <v>2024</v>
      </c>
      <c r="F297" s="571">
        <v>2340</v>
      </c>
      <c r="G297" s="571">
        <v>2610</v>
      </c>
      <c r="H297" s="572">
        <v>62960</v>
      </c>
      <c r="I297" s="572">
        <v>72000</v>
      </c>
      <c r="J297" s="572">
        <v>80960</v>
      </c>
      <c r="K297" s="572">
        <v>90000</v>
      </c>
      <c r="L297" s="572">
        <v>97200</v>
      </c>
      <c r="M297" s="572">
        <v>104400</v>
      </c>
      <c r="N297" s="572">
        <v>111600</v>
      </c>
      <c r="O297" s="572">
        <v>118800</v>
      </c>
      <c r="P297" s="39"/>
      <c r="Q297" s="39"/>
    </row>
    <row r="298" spans="1:17">
      <c r="A298" s="38"/>
      <c r="B298" s="574">
        <v>0.7</v>
      </c>
      <c r="C298" s="571">
        <v>1377</v>
      </c>
      <c r="D298" s="571">
        <v>1476</v>
      </c>
      <c r="E298" s="571">
        <v>1771</v>
      </c>
      <c r="F298" s="571">
        <v>2047</v>
      </c>
      <c r="G298" s="571">
        <v>2283</v>
      </c>
      <c r="H298" s="572">
        <v>55090</v>
      </c>
      <c r="I298" s="572">
        <v>62999.999999999993</v>
      </c>
      <c r="J298" s="572">
        <v>70840</v>
      </c>
      <c r="K298" s="572">
        <v>78750</v>
      </c>
      <c r="L298" s="572">
        <v>85050</v>
      </c>
      <c r="M298" s="572">
        <v>91350</v>
      </c>
      <c r="N298" s="572">
        <v>97650</v>
      </c>
      <c r="O298" s="572">
        <v>103950</v>
      </c>
      <c r="P298" s="39"/>
      <c r="Q298" s="39"/>
    </row>
    <row r="299" spans="1:17">
      <c r="A299" s="38"/>
      <c r="B299" s="574">
        <v>0.6</v>
      </c>
      <c r="C299" s="571">
        <v>1180</v>
      </c>
      <c r="D299" s="571">
        <v>1265</v>
      </c>
      <c r="E299" s="571">
        <v>1518</v>
      </c>
      <c r="F299" s="571">
        <v>1755</v>
      </c>
      <c r="G299" s="571">
        <v>1957</v>
      </c>
      <c r="H299" s="571">
        <v>47220</v>
      </c>
      <c r="I299" s="571">
        <v>54000</v>
      </c>
      <c r="J299" s="571">
        <v>60720</v>
      </c>
      <c r="K299" s="571">
        <v>67500</v>
      </c>
      <c r="L299" s="571">
        <v>72900</v>
      </c>
      <c r="M299" s="573">
        <v>78300</v>
      </c>
      <c r="N299" s="573">
        <v>83700</v>
      </c>
      <c r="O299" s="573">
        <v>89100</v>
      </c>
      <c r="P299" s="39"/>
      <c r="Q299" s="39"/>
    </row>
    <row r="300" spans="1:17">
      <c r="A300" s="38"/>
      <c r="B300" s="574">
        <v>0.55000000000000004</v>
      </c>
      <c r="C300" s="571">
        <v>1082</v>
      </c>
      <c r="D300" s="571">
        <v>1159</v>
      </c>
      <c r="E300" s="571">
        <v>1391</v>
      </c>
      <c r="F300" s="571">
        <v>1608</v>
      </c>
      <c r="G300" s="571">
        <v>1794</v>
      </c>
      <c r="H300" s="571">
        <v>43285</v>
      </c>
      <c r="I300" s="571">
        <v>49500.000000000007</v>
      </c>
      <c r="J300" s="571">
        <v>55660.000000000007</v>
      </c>
      <c r="K300" s="571">
        <v>61875.000000000007</v>
      </c>
      <c r="L300" s="571">
        <v>66825</v>
      </c>
      <c r="M300" s="571">
        <v>71775</v>
      </c>
      <c r="N300" s="571">
        <v>76725</v>
      </c>
      <c r="O300" s="571">
        <v>81675</v>
      </c>
      <c r="P300" s="39"/>
      <c r="Q300" s="39"/>
    </row>
    <row r="301" spans="1:17">
      <c r="A301" s="38"/>
      <c r="B301" s="574">
        <v>0.5</v>
      </c>
      <c r="C301" s="571">
        <v>983</v>
      </c>
      <c r="D301" s="571">
        <v>1054</v>
      </c>
      <c r="E301" s="571">
        <v>1265</v>
      </c>
      <c r="F301" s="571">
        <v>1462</v>
      </c>
      <c r="G301" s="571">
        <v>1631</v>
      </c>
      <c r="H301" s="572">
        <v>39350</v>
      </c>
      <c r="I301" s="572">
        <v>45000</v>
      </c>
      <c r="J301" s="572">
        <v>50600</v>
      </c>
      <c r="K301" s="572">
        <v>56250</v>
      </c>
      <c r="L301" s="572">
        <v>60750</v>
      </c>
      <c r="M301" s="572">
        <v>65250</v>
      </c>
      <c r="N301" s="572">
        <v>69750</v>
      </c>
      <c r="O301" s="572">
        <v>74250</v>
      </c>
      <c r="P301" s="39"/>
      <c r="Q301" s="39"/>
    </row>
    <row r="302" spans="1:17">
      <c r="A302" s="38"/>
      <c r="B302" s="574">
        <v>0.45</v>
      </c>
      <c r="C302" s="571">
        <v>885</v>
      </c>
      <c r="D302" s="571">
        <v>948</v>
      </c>
      <c r="E302" s="571">
        <v>1138</v>
      </c>
      <c r="F302" s="571">
        <v>1316</v>
      </c>
      <c r="G302" s="571">
        <v>1468</v>
      </c>
      <c r="H302" s="571">
        <v>35415</v>
      </c>
      <c r="I302" s="571">
        <v>40500</v>
      </c>
      <c r="J302" s="571">
        <v>45540</v>
      </c>
      <c r="K302" s="571">
        <v>50625</v>
      </c>
      <c r="L302" s="571">
        <v>54675</v>
      </c>
      <c r="M302" s="573">
        <v>58725</v>
      </c>
      <c r="N302" s="573">
        <v>62775</v>
      </c>
      <c r="O302" s="573">
        <v>66825</v>
      </c>
      <c r="P302" s="39"/>
      <c r="Q302" s="39"/>
    </row>
    <row r="303" spans="1:17">
      <c r="A303" s="38"/>
      <c r="B303" s="574">
        <v>0.4</v>
      </c>
      <c r="C303" s="571">
        <v>787</v>
      </c>
      <c r="D303" s="571">
        <v>843</v>
      </c>
      <c r="E303" s="571">
        <v>1012</v>
      </c>
      <c r="F303" s="571">
        <v>1170</v>
      </c>
      <c r="G303" s="571">
        <v>1305</v>
      </c>
      <c r="H303" s="571">
        <v>31480</v>
      </c>
      <c r="I303" s="571">
        <v>36000</v>
      </c>
      <c r="J303" s="571">
        <v>40480</v>
      </c>
      <c r="K303" s="571">
        <v>45000</v>
      </c>
      <c r="L303" s="571">
        <v>48600</v>
      </c>
      <c r="M303" s="573">
        <v>52200</v>
      </c>
      <c r="N303" s="573">
        <v>55800</v>
      </c>
      <c r="O303" s="573">
        <v>59400</v>
      </c>
      <c r="P303" s="39"/>
      <c r="Q303" s="39"/>
    </row>
    <row r="304" spans="1:17">
      <c r="A304" s="38"/>
      <c r="B304" s="510">
        <v>0.3</v>
      </c>
      <c r="C304" s="571">
        <v>590</v>
      </c>
      <c r="D304" s="571">
        <v>632</v>
      </c>
      <c r="E304" s="571">
        <v>759</v>
      </c>
      <c r="F304" s="571">
        <v>877</v>
      </c>
      <c r="G304" s="571">
        <v>978</v>
      </c>
      <c r="H304" s="572">
        <v>23610</v>
      </c>
      <c r="I304" s="572">
        <v>27000</v>
      </c>
      <c r="J304" s="572">
        <v>30360</v>
      </c>
      <c r="K304" s="572">
        <v>33750</v>
      </c>
      <c r="L304" s="572">
        <v>36450</v>
      </c>
      <c r="M304" s="572">
        <v>39150</v>
      </c>
      <c r="N304" s="572">
        <v>41850</v>
      </c>
      <c r="O304" s="572">
        <v>44550</v>
      </c>
      <c r="P304" s="39"/>
      <c r="Q304" s="39"/>
    </row>
    <row r="305" spans="1:17" ht="13.8" thickBot="1">
      <c r="A305" s="575"/>
      <c r="B305" s="40">
        <v>0.2</v>
      </c>
      <c r="C305" s="512">
        <v>393</v>
      </c>
      <c r="D305" s="512">
        <v>421</v>
      </c>
      <c r="E305" s="512">
        <v>506</v>
      </c>
      <c r="F305" s="512">
        <v>585</v>
      </c>
      <c r="G305" s="512">
        <v>652</v>
      </c>
      <c r="H305" s="513">
        <v>15740</v>
      </c>
      <c r="I305" s="513">
        <v>18000</v>
      </c>
      <c r="J305" s="513">
        <v>20240</v>
      </c>
      <c r="K305" s="513">
        <v>22500</v>
      </c>
      <c r="L305" s="513">
        <v>24300</v>
      </c>
      <c r="M305" s="513">
        <v>26100</v>
      </c>
      <c r="N305" s="513">
        <v>27900</v>
      </c>
      <c r="O305" s="513">
        <v>29700</v>
      </c>
      <c r="P305" s="45"/>
      <c r="Q305" s="45"/>
    </row>
    <row r="306" spans="1:17" ht="13.8" thickTop="1">
      <c r="A306" s="46"/>
      <c r="B306" s="37">
        <v>1.2</v>
      </c>
      <c r="C306" s="514">
        <v>2142</v>
      </c>
      <c r="D306" s="514">
        <v>2295</v>
      </c>
      <c r="E306" s="514">
        <v>2754</v>
      </c>
      <c r="F306" s="514">
        <v>3183</v>
      </c>
      <c r="G306" s="514">
        <v>3552</v>
      </c>
      <c r="H306" s="514">
        <v>85680</v>
      </c>
      <c r="I306" s="514">
        <v>97920</v>
      </c>
      <c r="J306" s="514">
        <v>110160</v>
      </c>
      <c r="K306" s="514">
        <v>122400</v>
      </c>
      <c r="L306" s="514">
        <v>132240</v>
      </c>
      <c r="M306" s="514">
        <v>142080</v>
      </c>
      <c r="N306" s="514">
        <v>151800</v>
      </c>
      <c r="O306" s="514">
        <v>161640</v>
      </c>
      <c r="P306" s="39"/>
      <c r="Q306" s="39"/>
    </row>
    <row r="307" spans="1:17">
      <c r="A307" s="38"/>
      <c r="B307" s="574">
        <v>1</v>
      </c>
      <c r="C307" s="571">
        <v>1785</v>
      </c>
      <c r="D307" s="571">
        <v>1912</v>
      </c>
      <c r="E307" s="571">
        <v>2295</v>
      </c>
      <c r="F307" s="571">
        <v>2652</v>
      </c>
      <c r="G307" s="571">
        <v>2960</v>
      </c>
      <c r="H307" s="571">
        <v>71400</v>
      </c>
      <c r="I307" s="571">
        <v>81600</v>
      </c>
      <c r="J307" s="571">
        <v>91800</v>
      </c>
      <c r="K307" s="571">
        <v>102000</v>
      </c>
      <c r="L307" s="571">
        <v>110200</v>
      </c>
      <c r="M307" s="571">
        <v>118400</v>
      </c>
      <c r="N307" s="571">
        <v>126500</v>
      </c>
      <c r="O307" s="571">
        <v>134700</v>
      </c>
      <c r="P307" s="39"/>
      <c r="Q307" s="39"/>
    </row>
    <row r="308" spans="1:17">
      <c r="A308" s="38" t="s">
        <v>1143</v>
      </c>
      <c r="B308" s="574">
        <v>0.8</v>
      </c>
      <c r="C308" s="571">
        <v>1428</v>
      </c>
      <c r="D308" s="571">
        <v>1530</v>
      </c>
      <c r="E308" s="571">
        <v>1836</v>
      </c>
      <c r="F308" s="571">
        <v>2122</v>
      </c>
      <c r="G308" s="571">
        <v>2368</v>
      </c>
      <c r="H308" s="572">
        <v>57120</v>
      </c>
      <c r="I308" s="572">
        <v>65280</v>
      </c>
      <c r="J308" s="572">
        <v>73440</v>
      </c>
      <c r="K308" s="572">
        <v>81600</v>
      </c>
      <c r="L308" s="572">
        <v>88160</v>
      </c>
      <c r="M308" s="572">
        <v>94720</v>
      </c>
      <c r="N308" s="572">
        <v>101200</v>
      </c>
      <c r="O308" s="572">
        <v>107760</v>
      </c>
      <c r="P308" s="39"/>
      <c r="Q308" s="39"/>
    </row>
    <row r="309" spans="1:17">
      <c r="A309" s="38"/>
      <c r="B309" s="574">
        <v>0.7</v>
      </c>
      <c r="C309" s="571">
        <v>1249</v>
      </c>
      <c r="D309" s="571">
        <v>1338</v>
      </c>
      <c r="E309" s="571">
        <v>1606</v>
      </c>
      <c r="F309" s="571">
        <v>1856</v>
      </c>
      <c r="G309" s="571">
        <v>2072</v>
      </c>
      <c r="H309" s="572">
        <v>49980</v>
      </c>
      <c r="I309" s="572">
        <v>57120</v>
      </c>
      <c r="J309" s="572">
        <v>64259.999999999993</v>
      </c>
      <c r="K309" s="572">
        <v>71400</v>
      </c>
      <c r="L309" s="572">
        <v>77140</v>
      </c>
      <c r="M309" s="572">
        <v>82880</v>
      </c>
      <c r="N309" s="572">
        <v>88550</v>
      </c>
      <c r="O309" s="572">
        <v>94290</v>
      </c>
      <c r="P309" s="39"/>
      <c r="Q309" s="39"/>
    </row>
    <row r="310" spans="1:17">
      <c r="A310" s="38"/>
      <c r="B310" s="574">
        <v>0.6</v>
      </c>
      <c r="C310" s="571">
        <v>1071</v>
      </c>
      <c r="D310" s="571">
        <v>1147</v>
      </c>
      <c r="E310" s="571">
        <v>1377</v>
      </c>
      <c r="F310" s="571">
        <v>1591</v>
      </c>
      <c r="G310" s="571">
        <v>1776</v>
      </c>
      <c r="H310" s="571">
        <v>42840</v>
      </c>
      <c r="I310" s="571">
        <v>48960</v>
      </c>
      <c r="J310" s="571">
        <v>55080</v>
      </c>
      <c r="K310" s="571">
        <v>61200</v>
      </c>
      <c r="L310" s="571">
        <v>66120</v>
      </c>
      <c r="M310" s="573">
        <v>71040</v>
      </c>
      <c r="N310" s="573">
        <v>75900</v>
      </c>
      <c r="O310" s="573">
        <v>80820</v>
      </c>
      <c r="P310" s="39"/>
      <c r="Q310" s="39"/>
    </row>
    <row r="311" spans="1:17">
      <c r="A311" s="38"/>
      <c r="B311" s="574">
        <v>0.55000000000000004</v>
      </c>
      <c r="C311" s="571">
        <v>981</v>
      </c>
      <c r="D311" s="571">
        <v>1051</v>
      </c>
      <c r="E311" s="571">
        <v>1262</v>
      </c>
      <c r="F311" s="571">
        <v>1458</v>
      </c>
      <c r="G311" s="571">
        <v>1628</v>
      </c>
      <c r="H311" s="571">
        <v>39270</v>
      </c>
      <c r="I311" s="571">
        <v>44880</v>
      </c>
      <c r="J311" s="571">
        <v>50490.000000000007</v>
      </c>
      <c r="K311" s="571">
        <v>56100.000000000007</v>
      </c>
      <c r="L311" s="571">
        <v>60610.000000000007</v>
      </c>
      <c r="M311" s="571">
        <v>65120.000000000007</v>
      </c>
      <c r="N311" s="571">
        <v>69575</v>
      </c>
      <c r="O311" s="571">
        <v>74085</v>
      </c>
      <c r="P311" s="39"/>
      <c r="Q311" s="39"/>
    </row>
    <row r="312" spans="1:17">
      <c r="A312" s="38"/>
      <c r="B312" s="574">
        <v>0.5</v>
      </c>
      <c r="C312" s="571">
        <v>892</v>
      </c>
      <c r="D312" s="571">
        <v>956</v>
      </c>
      <c r="E312" s="571">
        <v>1147</v>
      </c>
      <c r="F312" s="571">
        <v>1326</v>
      </c>
      <c r="G312" s="571">
        <v>1480</v>
      </c>
      <c r="H312" s="572">
        <v>35700</v>
      </c>
      <c r="I312" s="572">
        <v>40800</v>
      </c>
      <c r="J312" s="572">
        <v>45900</v>
      </c>
      <c r="K312" s="572">
        <v>51000</v>
      </c>
      <c r="L312" s="572">
        <v>55100</v>
      </c>
      <c r="M312" s="572">
        <v>59200</v>
      </c>
      <c r="N312" s="572">
        <v>63250</v>
      </c>
      <c r="O312" s="572">
        <v>67350</v>
      </c>
      <c r="P312" s="39"/>
      <c r="Q312" s="39"/>
    </row>
    <row r="313" spans="1:17">
      <c r="A313" s="38"/>
      <c r="B313" s="574">
        <v>0.45</v>
      </c>
      <c r="C313" s="571">
        <v>803</v>
      </c>
      <c r="D313" s="571">
        <v>860</v>
      </c>
      <c r="E313" s="571">
        <v>1032</v>
      </c>
      <c r="F313" s="571">
        <v>1193</v>
      </c>
      <c r="G313" s="571">
        <v>1332</v>
      </c>
      <c r="H313" s="571">
        <v>32130</v>
      </c>
      <c r="I313" s="571">
        <v>36720</v>
      </c>
      <c r="J313" s="571">
        <v>41310</v>
      </c>
      <c r="K313" s="571">
        <v>45900</v>
      </c>
      <c r="L313" s="571">
        <v>49590</v>
      </c>
      <c r="M313" s="573">
        <v>53280</v>
      </c>
      <c r="N313" s="573">
        <v>56925</v>
      </c>
      <c r="O313" s="573">
        <v>60615</v>
      </c>
      <c r="P313" s="39"/>
      <c r="Q313" s="39"/>
    </row>
    <row r="314" spans="1:17">
      <c r="A314" s="38"/>
      <c r="B314" s="574">
        <v>0.4</v>
      </c>
      <c r="C314" s="571">
        <v>714</v>
      </c>
      <c r="D314" s="571">
        <v>765</v>
      </c>
      <c r="E314" s="571">
        <v>918</v>
      </c>
      <c r="F314" s="571">
        <v>1061</v>
      </c>
      <c r="G314" s="571">
        <v>1184</v>
      </c>
      <c r="H314" s="571">
        <v>28560</v>
      </c>
      <c r="I314" s="571">
        <v>32640</v>
      </c>
      <c r="J314" s="571">
        <v>36720</v>
      </c>
      <c r="K314" s="571">
        <v>40800</v>
      </c>
      <c r="L314" s="571">
        <v>44080</v>
      </c>
      <c r="M314" s="573">
        <v>47360</v>
      </c>
      <c r="N314" s="573">
        <v>50600</v>
      </c>
      <c r="O314" s="573">
        <v>53880</v>
      </c>
      <c r="P314" s="39"/>
      <c r="Q314" s="39"/>
    </row>
    <row r="315" spans="1:17">
      <c r="A315" s="38"/>
      <c r="B315" s="510">
        <v>0.3</v>
      </c>
      <c r="C315" s="571">
        <v>535</v>
      </c>
      <c r="D315" s="571">
        <v>573</v>
      </c>
      <c r="E315" s="571">
        <v>688</v>
      </c>
      <c r="F315" s="571">
        <v>795</v>
      </c>
      <c r="G315" s="571">
        <v>888</v>
      </c>
      <c r="H315" s="572">
        <v>21420</v>
      </c>
      <c r="I315" s="572">
        <v>24480</v>
      </c>
      <c r="J315" s="572">
        <v>27540</v>
      </c>
      <c r="K315" s="572">
        <v>30600</v>
      </c>
      <c r="L315" s="572">
        <v>33060</v>
      </c>
      <c r="M315" s="572">
        <v>35520</v>
      </c>
      <c r="N315" s="572">
        <v>37950</v>
      </c>
      <c r="O315" s="572">
        <v>40410</v>
      </c>
      <c r="P315" s="39"/>
      <c r="Q315" s="39"/>
    </row>
    <row r="316" spans="1:17" ht="13.8" thickBot="1">
      <c r="A316" s="575"/>
      <c r="B316" s="40">
        <v>0.2</v>
      </c>
      <c r="C316" s="512">
        <v>357</v>
      </c>
      <c r="D316" s="512">
        <v>382</v>
      </c>
      <c r="E316" s="512">
        <v>459</v>
      </c>
      <c r="F316" s="512">
        <v>530</v>
      </c>
      <c r="G316" s="512">
        <v>592</v>
      </c>
      <c r="H316" s="513">
        <v>14280</v>
      </c>
      <c r="I316" s="513">
        <v>16320</v>
      </c>
      <c r="J316" s="513">
        <v>18360</v>
      </c>
      <c r="K316" s="513">
        <v>20400</v>
      </c>
      <c r="L316" s="513">
        <v>22040</v>
      </c>
      <c r="M316" s="513">
        <v>23680</v>
      </c>
      <c r="N316" s="513">
        <v>25300</v>
      </c>
      <c r="O316" s="513">
        <v>26940</v>
      </c>
      <c r="P316" s="41"/>
      <c r="Q316" s="41"/>
    </row>
    <row r="317" spans="1:17" ht="13.8" thickTop="1">
      <c r="A317" s="46"/>
      <c r="B317" s="37">
        <v>1.2</v>
      </c>
      <c r="C317" s="514">
        <v>2142</v>
      </c>
      <c r="D317" s="514">
        <v>2295</v>
      </c>
      <c r="E317" s="514">
        <v>2754</v>
      </c>
      <c r="F317" s="514">
        <v>3183</v>
      </c>
      <c r="G317" s="514">
        <v>3552</v>
      </c>
      <c r="H317" s="514">
        <v>85680</v>
      </c>
      <c r="I317" s="514">
        <v>97920</v>
      </c>
      <c r="J317" s="514">
        <v>110160</v>
      </c>
      <c r="K317" s="514">
        <v>122400</v>
      </c>
      <c r="L317" s="514">
        <v>132240</v>
      </c>
      <c r="M317" s="514">
        <v>142080</v>
      </c>
      <c r="N317" s="514">
        <v>151800</v>
      </c>
      <c r="O317" s="514">
        <v>161640</v>
      </c>
      <c r="P317" s="41"/>
      <c r="Q317" s="41"/>
    </row>
    <row r="318" spans="1:17">
      <c r="A318" s="38"/>
      <c r="B318" s="574">
        <v>1</v>
      </c>
      <c r="C318" s="571">
        <v>1785</v>
      </c>
      <c r="D318" s="571">
        <v>1912</v>
      </c>
      <c r="E318" s="571">
        <v>2295</v>
      </c>
      <c r="F318" s="571">
        <v>2652</v>
      </c>
      <c r="G318" s="571">
        <v>2960</v>
      </c>
      <c r="H318" s="571">
        <v>71400</v>
      </c>
      <c r="I318" s="571">
        <v>81600</v>
      </c>
      <c r="J318" s="571">
        <v>91800</v>
      </c>
      <c r="K318" s="571">
        <v>102000</v>
      </c>
      <c r="L318" s="571">
        <v>110200</v>
      </c>
      <c r="M318" s="571">
        <v>118400</v>
      </c>
      <c r="N318" s="571">
        <v>126500</v>
      </c>
      <c r="O318" s="571">
        <v>134700</v>
      </c>
      <c r="P318" s="41"/>
      <c r="Q318" s="41"/>
    </row>
    <row r="319" spans="1:17">
      <c r="A319" s="38" t="s">
        <v>1144</v>
      </c>
      <c r="B319" s="574">
        <v>0.8</v>
      </c>
      <c r="C319" s="571">
        <v>1428</v>
      </c>
      <c r="D319" s="571">
        <v>1530</v>
      </c>
      <c r="E319" s="571">
        <v>1836</v>
      </c>
      <c r="F319" s="571">
        <v>2122</v>
      </c>
      <c r="G319" s="571">
        <v>2368</v>
      </c>
      <c r="H319" s="572">
        <v>57120</v>
      </c>
      <c r="I319" s="572">
        <v>65280</v>
      </c>
      <c r="J319" s="572">
        <v>73440</v>
      </c>
      <c r="K319" s="572">
        <v>81600</v>
      </c>
      <c r="L319" s="572">
        <v>88160</v>
      </c>
      <c r="M319" s="572">
        <v>94720</v>
      </c>
      <c r="N319" s="572">
        <v>101200</v>
      </c>
      <c r="O319" s="572">
        <v>107760</v>
      </c>
      <c r="P319" s="41"/>
      <c r="Q319" s="41"/>
    </row>
    <row r="320" spans="1:17">
      <c r="A320" s="38"/>
      <c r="B320" s="574">
        <v>0.7</v>
      </c>
      <c r="C320" s="571">
        <v>1249</v>
      </c>
      <c r="D320" s="571">
        <v>1338</v>
      </c>
      <c r="E320" s="571">
        <v>1606</v>
      </c>
      <c r="F320" s="571">
        <v>1856</v>
      </c>
      <c r="G320" s="571">
        <v>2072</v>
      </c>
      <c r="H320" s="572">
        <v>49980</v>
      </c>
      <c r="I320" s="572">
        <v>57120</v>
      </c>
      <c r="J320" s="572">
        <v>64259.999999999993</v>
      </c>
      <c r="K320" s="572">
        <v>71400</v>
      </c>
      <c r="L320" s="572">
        <v>77140</v>
      </c>
      <c r="M320" s="572">
        <v>82880</v>
      </c>
      <c r="N320" s="572">
        <v>88550</v>
      </c>
      <c r="O320" s="572">
        <v>94290</v>
      </c>
      <c r="P320" s="41"/>
      <c r="Q320" s="41"/>
    </row>
    <row r="321" spans="1:17">
      <c r="A321" s="38"/>
      <c r="B321" s="574">
        <v>0.6</v>
      </c>
      <c r="C321" s="571">
        <v>1071</v>
      </c>
      <c r="D321" s="571">
        <v>1147</v>
      </c>
      <c r="E321" s="571">
        <v>1377</v>
      </c>
      <c r="F321" s="571">
        <v>1591</v>
      </c>
      <c r="G321" s="571">
        <v>1776</v>
      </c>
      <c r="H321" s="571">
        <v>42840</v>
      </c>
      <c r="I321" s="571">
        <v>48960</v>
      </c>
      <c r="J321" s="571">
        <v>55080</v>
      </c>
      <c r="K321" s="571">
        <v>61200</v>
      </c>
      <c r="L321" s="571">
        <v>66120</v>
      </c>
      <c r="M321" s="573">
        <v>71040</v>
      </c>
      <c r="N321" s="573">
        <v>75900</v>
      </c>
      <c r="O321" s="573">
        <v>80820</v>
      </c>
      <c r="P321" s="41"/>
      <c r="Q321" s="41"/>
    </row>
    <row r="322" spans="1:17">
      <c r="A322" s="38"/>
      <c r="B322" s="574">
        <v>0.55000000000000004</v>
      </c>
      <c r="C322" s="571">
        <v>981</v>
      </c>
      <c r="D322" s="571">
        <v>1051</v>
      </c>
      <c r="E322" s="571">
        <v>1262</v>
      </c>
      <c r="F322" s="571">
        <v>1458</v>
      </c>
      <c r="G322" s="571">
        <v>1628</v>
      </c>
      <c r="H322" s="571">
        <v>39270</v>
      </c>
      <c r="I322" s="571">
        <v>44880</v>
      </c>
      <c r="J322" s="571">
        <v>50490.000000000007</v>
      </c>
      <c r="K322" s="571">
        <v>56100.000000000007</v>
      </c>
      <c r="L322" s="571">
        <v>60610.000000000007</v>
      </c>
      <c r="M322" s="571">
        <v>65120.000000000007</v>
      </c>
      <c r="N322" s="571">
        <v>69575</v>
      </c>
      <c r="O322" s="571">
        <v>74085</v>
      </c>
      <c r="P322" s="41"/>
      <c r="Q322" s="41"/>
    </row>
    <row r="323" spans="1:17">
      <c r="A323" s="38"/>
      <c r="B323" s="574">
        <v>0.5</v>
      </c>
      <c r="C323" s="571">
        <v>892</v>
      </c>
      <c r="D323" s="571">
        <v>956</v>
      </c>
      <c r="E323" s="571">
        <v>1147</v>
      </c>
      <c r="F323" s="571">
        <v>1326</v>
      </c>
      <c r="G323" s="571">
        <v>1480</v>
      </c>
      <c r="H323" s="572">
        <v>35700</v>
      </c>
      <c r="I323" s="572">
        <v>40800</v>
      </c>
      <c r="J323" s="572">
        <v>45900</v>
      </c>
      <c r="K323" s="572">
        <v>51000</v>
      </c>
      <c r="L323" s="572">
        <v>55100</v>
      </c>
      <c r="M323" s="572">
        <v>59200</v>
      </c>
      <c r="N323" s="572">
        <v>63250</v>
      </c>
      <c r="O323" s="572">
        <v>67350</v>
      </c>
      <c r="P323" s="41"/>
      <c r="Q323" s="41"/>
    </row>
    <row r="324" spans="1:17">
      <c r="A324" s="38"/>
      <c r="B324" s="574">
        <v>0.45</v>
      </c>
      <c r="C324" s="571">
        <v>803</v>
      </c>
      <c r="D324" s="571">
        <v>860</v>
      </c>
      <c r="E324" s="571">
        <v>1032</v>
      </c>
      <c r="F324" s="571">
        <v>1193</v>
      </c>
      <c r="G324" s="571">
        <v>1332</v>
      </c>
      <c r="H324" s="571">
        <v>32130</v>
      </c>
      <c r="I324" s="571">
        <v>36720</v>
      </c>
      <c r="J324" s="571">
        <v>41310</v>
      </c>
      <c r="K324" s="571">
        <v>45900</v>
      </c>
      <c r="L324" s="571">
        <v>49590</v>
      </c>
      <c r="M324" s="573">
        <v>53280</v>
      </c>
      <c r="N324" s="573">
        <v>56925</v>
      </c>
      <c r="O324" s="573">
        <v>60615</v>
      </c>
      <c r="P324" s="41"/>
      <c r="Q324" s="41"/>
    </row>
    <row r="325" spans="1:17">
      <c r="A325" s="38"/>
      <c r="B325" s="574">
        <v>0.4</v>
      </c>
      <c r="C325" s="571">
        <v>714</v>
      </c>
      <c r="D325" s="571">
        <v>765</v>
      </c>
      <c r="E325" s="571">
        <v>918</v>
      </c>
      <c r="F325" s="571">
        <v>1061</v>
      </c>
      <c r="G325" s="571">
        <v>1184</v>
      </c>
      <c r="H325" s="571">
        <v>28560</v>
      </c>
      <c r="I325" s="571">
        <v>32640</v>
      </c>
      <c r="J325" s="571">
        <v>36720</v>
      </c>
      <c r="K325" s="571">
        <v>40800</v>
      </c>
      <c r="L325" s="571">
        <v>44080</v>
      </c>
      <c r="M325" s="573">
        <v>47360</v>
      </c>
      <c r="N325" s="573">
        <v>50600</v>
      </c>
      <c r="O325" s="573">
        <v>53880</v>
      </c>
      <c r="P325" s="41"/>
      <c r="Q325" s="41"/>
    </row>
    <row r="326" spans="1:17">
      <c r="A326" s="38"/>
      <c r="B326" s="510">
        <v>0.3</v>
      </c>
      <c r="C326" s="571">
        <v>535</v>
      </c>
      <c r="D326" s="571">
        <v>573</v>
      </c>
      <c r="E326" s="571">
        <v>688</v>
      </c>
      <c r="F326" s="571">
        <v>795</v>
      </c>
      <c r="G326" s="571">
        <v>888</v>
      </c>
      <c r="H326" s="572">
        <v>21420</v>
      </c>
      <c r="I326" s="572">
        <v>24480</v>
      </c>
      <c r="J326" s="572">
        <v>27540</v>
      </c>
      <c r="K326" s="572">
        <v>30600</v>
      </c>
      <c r="L326" s="572">
        <v>33060</v>
      </c>
      <c r="M326" s="572">
        <v>35520</v>
      </c>
      <c r="N326" s="572">
        <v>37950</v>
      </c>
      <c r="O326" s="572">
        <v>40410</v>
      </c>
      <c r="P326" s="41"/>
      <c r="Q326" s="41"/>
    </row>
    <row r="327" spans="1:17" ht="13.8" thickBot="1">
      <c r="A327" s="575"/>
      <c r="B327" s="40">
        <v>0.2</v>
      </c>
      <c r="C327" s="512">
        <v>357</v>
      </c>
      <c r="D327" s="512">
        <v>382</v>
      </c>
      <c r="E327" s="512">
        <v>459</v>
      </c>
      <c r="F327" s="512">
        <v>530</v>
      </c>
      <c r="G327" s="512">
        <v>592</v>
      </c>
      <c r="H327" s="513">
        <v>14280</v>
      </c>
      <c r="I327" s="513">
        <v>16320</v>
      </c>
      <c r="J327" s="513">
        <v>18360</v>
      </c>
      <c r="K327" s="513">
        <v>20400</v>
      </c>
      <c r="L327" s="513">
        <v>22040</v>
      </c>
      <c r="M327" s="513">
        <v>23680</v>
      </c>
      <c r="N327" s="513">
        <v>25300</v>
      </c>
      <c r="O327" s="513">
        <v>26940</v>
      </c>
      <c r="P327" s="41"/>
      <c r="Q327" s="41"/>
    </row>
    <row r="328" spans="1:17" ht="13.8" thickTop="1">
      <c r="A328" s="46"/>
      <c r="B328" s="37">
        <v>1.2</v>
      </c>
      <c r="C328" s="514">
        <v>2142</v>
      </c>
      <c r="D328" s="514">
        <v>2295</v>
      </c>
      <c r="E328" s="514">
        <v>2754</v>
      </c>
      <c r="F328" s="514">
        <v>3183</v>
      </c>
      <c r="G328" s="514">
        <v>3552</v>
      </c>
      <c r="H328" s="514">
        <v>85680</v>
      </c>
      <c r="I328" s="514">
        <v>97920</v>
      </c>
      <c r="J328" s="514">
        <v>110160</v>
      </c>
      <c r="K328" s="514">
        <v>122400</v>
      </c>
      <c r="L328" s="514">
        <v>132240</v>
      </c>
      <c r="M328" s="514">
        <v>142080</v>
      </c>
      <c r="N328" s="514">
        <v>151800</v>
      </c>
      <c r="O328" s="514">
        <v>161640</v>
      </c>
      <c r="P328" s="41"/>
      <c r="Q328" s="41"/>
    </row>
    <row r="329" spans="1:17">
      <c r="A329" s="38"/>
      <c r="B329" s="574">
        <v>1</v>
      </c>
      <c r="C329" s="571">
        <v>1785</v>
      </c>
      <c r="D329" s="571">
        <v>1912</v>
      </c>
      <c r="E329" s="571">
        <v>2295</v>
      </c>
      <c r="F329" s="571">
        <v>2652</v>
      </c>
      <c r="G329" s="571">
        <v>2960</v>
      </c>
      <c r="H329" s="571">
        <v>71400</v>
      </c>
      <c r="I329" s="571">
        <v>81600</v>
      </c>
      <c r="J329" s="571">
        <v>91800</v>
      </c>
      <c r="K329" s="571">
        <v>102000</v>
      </c>
      <c r="L329" s="571">
        <v>110200</v>
      </c>
      <c r="M329" s="571">
        <v>118400</v>
      </c>
      <c r="N329" s="571">
        <v>126500</v>
      </c>
      <c r="O329" s="571">
        <v>134700</v>
      </c>
      <c r="P329" s="41"/>
      <c r="Q329" s="41"/>
    </row>
    <row r="330" spans="1:17">
      <c r="A330" s="38" t="s">
        <v>1145</v>
      </c>
      <c r="B330" s="574">
        <v>0.8</v>
      </c>
      <c r="C330" s="571">
        <v>1428</v>
      </c>
      <c r="D330" s="571">
        <v>1530</v>
      </c>
      <c r="E330" s="571">
        <v>1836</v>
      </c>
      <c r="F330" s="571">
        <v>2122</v>
      </c>
      <c r="G330" s="571">
        <v>2368</v>
      </c>
      <c r="H330" s="572">
        <v>57120</v>
      </c>
      <c r="I330" s="572">
        <v>65280</v>
      </c>
      <c r="J330" s="572">
        <v>73440</v>
      </c>
      <c r="K330" s="572">
        <v>81600</v>
      </c>
      <c r="L330" s="572">
        <v>88160</v>
      </c>
      <c r="M330" s="572">
        <v>94720</v>
      </c>
      <c r="N330" s="572">
        <v>101200</v>
      </c>
      <c r="O330" s="572">
        <v>107760</v>
      </c>
      <c r="P330" s="41"/>
      <c r="Q330" s="41"/>
    </row>
    <row r="331" spans="1:17">
      <c r="A331" s="38"/>
      <c r="B331" s="574">
        <v>0.7</v>
      </c>
      <c r="C331" s="571">
        <v>1249</v>
      </c>
      <c r="D331" s="571">
        <v>1338</v>
      </c>
      <c r="E331" s="571">
        <v>1606</v>
      </c>
      <c r="F331" s="571">
        <v>1856</v>
      </c>
      <c r="G331" s="571">
        <v>2072</v>
      </c>
      <c r="H331" s="572">
        <v>49980</v>
      </c>
      <c r="I331" s="572">
        <v>57120</v>
      </c>
      <c r="J331" s="572">
        <v>64259.999999999993</v>
      </c>
      <c r="K331" s="572">
        <v>71400</v>
      </c>
      <c r="L331" s="572">
        <v>77140</v>
      </c>
      <c r="M331" s="572">
        <v>82880</v>
      </c>
      <c r="N331" s="572">
        <v>88550</v>
      </c>
      <c r="O331" s="572">
        <v>94290</v>
      </c>
      <c r="P331" s="41"/>
      <c r="Q331" s="41"/>
    </row>
    <row r="332" spans="1:17">
      <c r="A332" s="38"/>
      <c r="B332" s="574">
        <v>0.6</v>
      </c>
      <c r="C332" s="571">
        <v>1071</v>
      </c>
      <c r="D332" s="571">
        <v>1147</v>
      </c>
      <c r="E332" s="571">
        <v>1377</v>
      </c>
      <c r="F332" s="571">
        <v>1591</v>
      </c>
      <c r="G332" s="571">
        <v>1776</v>
      </c>
      <c r="H332" s="571">
        <v>42840</v>
      </c>
      <c r="I332" s="571">
        <v>48960</v>
      </c>
      <c r="J332" s="571">
        <v>55080</v>
      </c>
      <c r="K332" s="571">
        <v>61200</v>
      </c>
      <c r="L332" s="571">
        <v>66120</v>
      </c>
      <c r="M332" s="573">
        <v>71040</v>
      </c>
      <c r="N332" s="573">
        <v>75900</v>
      </c>
      <c r="O332" s="573">
        <v>80820</v>
      </c>
      <c r="P332" s="41"/>
      <c r="Q332" s="41"/>
    </row>
    <row r="333" spans="1:17">
      <c r="A333" s="38"/>
      <c r="B333" s="574">
        <v>0.55000000000000004</v>
      </c>
      <c r="C333" s="571">
        <v>981</v>
      </c>
      <c r="D333" s="571">
        <v>1051</v>
      </c>
      <c r="E333" s="571">
        <v>1262</v>
      </c>
      <c r="F333" s="571">
        <v>1458</v>
      </c>
      <c r="G333" s="571">
        <v>1628</v>
      </c>
      <c r="H333" s="571">
        <v>39270</v>
      </c>
      <c r="I333" s="571">
        <v>44880</v>
      </c>
      <c r="J333" s="571">
        <v>50490.000000000007</v>
      </c>
      <c r="K333" s="571">
        <v>56100.000000000007</v>
      </c>
      <c r="L333" s="571">
        <v>60610.000000000007</v>
      </c>
      <c r="M333" s="571">
        <v>65120.000000000007</v>
      </c>
      <c r="N333" s="571">
        <v>69575</v>
      </c>
      <c r="O333" s="571">
        <v>74085</v>
      </c>
      <c r="P333" s="41"/>
      <c r="Q333" s="41"/>
    </row>
    <row r="334" spans="1:17">
      <c r="A334" s="38"/>
      <c r="B334" s="574">
        <v>0.5</v>
      </c>
      <c r="C334" s="571">
        <v>892</v>
      </c>
      <c r="D334" s="571">
        <v>956</v>
      </c>
      <c r="E334" s="571">
        <v>1147</v>
      </c>
      <c r="F334" s="571">
        <v>1326</v>
      </c>
      <c r="G334" s="571">
        <v>1480</v>
      </c>
      <c r="H334" s="572">
        <v>35700</v>
      </c>
      <c r="I334" s="572">
        <v>40800</v>
      </c>
      <c r="J334" s="572">
        <v>45900</v>
      </c>
      <c r="K334" s="572">
        <v>51000</v>
      </c>
      <c r="L334" s="572">
        <v>55100</v>
      </c>
      <c r="M334" s="572">
        <v>59200</v>
      </c>
      <c r="N334" s="572">
        <v>63250</v>
      </c>
      <c r="O334" s="572">
        <v>67350</v>
      </c>
      <c r="P334" s="41"/>
      <c r="Q334" s="41"/>
    </row>
    <row r="335" spans="1:17">
      <c r="A335" s="38"/>
      <c r="B335" s="574">
        <v>0.45</v>
      </c>
      <c r="C335" s="571">
        <v>803</v>
      </c>
      <c r="D335" s="571">
        <v>860</v>
      </c>
      <c r="E335" s="571">
        <v>1032</v>
      </c>
      <c r="F335" s="571">
        <v>1193</v>
      </c>
      <c r="G335" s="571">
        <v>1332</v>
      </c>
      <c r="H335" s="571">
        <v>32130</v>
      </c>
      <c r="I335" s="571">
        <v>36720</v>
      </c>
      <c r="J335" s="571">
        <v>41310</v>
      </c>
      <c r="K335" s="571">
        <v>45900</v>
      </c>
      <c r="L335" s="571">
        <v>49590</v>
      </c>
      <c r="M335" s="573">
        <v>53280</v>
      </c>
      <c r="N335" s="573">
        <v>56925</v>
      </c>
      <c r="O335" s="573">
        <v>60615</v>
      </c>
      <c r="P335" s="41"/>
      <c r="Q335" s="41"/>
    </row>
    <row r="336" spans="1:17">
      <c r="A336" s="38"/>
      <c r="B336" s="574">
        <v>0.4</v>
      </c>
      <c r="C336" s="571">
        <v>714</v>
      </c>
      <c r="D336" s="571">
        <v>765</v>
      </c>
      <c r="E336" s="571">
        <v>918</v>
      </c>
      <c r="F336" s="571">
        <v>1061</v>
      </c>
      <c r="G336" s="571">
        <v>1184</v>
      </c>
      <c r="H336" s="571">
        <v>28560</v>
      </c>
      <c r="I336" s="571">
        <v>32640</v>
      </c>
      <c r="J336" s="571">
        <v>36720</v>
      </c>
      <c r="K336" s="571">
        <v>40800</v>
      </c>
      <c r="L336" s="571">
        <v>44080</v>
      </c>
      <c r="M336" s="573">
        <v>47360</v>
      </c>
      <c r="N336" s="573">
        <v>50600</v>
      </c>
      <c r="O336" s="573">
        <v>53880</v>
      </c>
      <c r="P336" s="41"/>
      <c r="Q336" s="41"/>
    </row>
    <row r="337" spans="1:17">
      <c r="A337" s="38"/>
      <c r="B337" s="510">
        <v>0.3</v>
      </c>
      <c r="C337" s="571">
        <v>535</v>
      </c>
      <c r="D337" s="571">
        <v>573</v>
      </c>
      <c r="E337" s="571">
        <v>688</v>
      </c>
      <c r="F337" s="571">
        <v>795</v>
      </c>
      <c r="G337" s="571">
        <v>888</v>
      </c>
      <c r="H337" s="572">
        <v>21420</v>
      </c>
      <c r="I337" s="572">
        <v>24480</v>
      </c>
      <c r="J337" s="572">
        <v>27540</v>
      </c>
      <c r="K337" s="572">
        <v>30600</v>
      </c>
      <c r="L337" s="572">
        <v>33060</v>
      </c>
      <c r="M337" s="572">
        <v>35520</v>
      </c>
      <c r="N337" s="572">
        <v>37950</v>
      </c>
      <c r="O337" s="572">
        <v>40410</v>
      </c>
      <c r="P337" s="41"/>
      <c r="Q337" s="41"/>
    </row>
    <row r="338" spans="1:17" ht="13.8" thickBot="1">
      <c r="A338" s="575"/>
      <c r="B338" s="40">
        <v>0.2</v>
      </c>
      <c r="C338" s="512">
        <v>357</v>
      </c>
      <c r="D338" s="512">
        <v>382</v>
      </c>
      <c r="E338" s="512">
        <v>459</v>
      </c>
      <c r="F338" s="512">
        <v>530</v>
      </c>
      <c r="G338" s="512">
        <v>592</v>
      </c>
      <c r="H338" s="513">
        <v>14280</v>
      </c>
      <c r="I338" s="513">
        <v>16320</v>
      </c>
      <c r="J338" s="513">
        <v>18360</v>
      </c>
      <c r="K338" s="513">
        <v>20400</v>
      </c>
      <c r="L338" s="513">
        <v>22040</v>
      </c>
      <c r="M338" s="513">
        <v>23680</v>
      </c>
      <c r="N338" s="513">
        <v>25300</v>
      </c>
      <c r="O338" s="513">
        <v>26940</v>
      </c>
      <c r="P338" s="41"/>
      <c r="Q338" s="41"/>
    </row>
    <row r="339" spans="1:17" ht="13.8" thickTop="1">
      <c r="A339" s="46"/>
      <c r="B339" s="37">
        <v>1.2</v>
      </c>
      <c r="C339" s="514">
        <v>2943</v>
      </c>
      <c r="D339" s="514">
        <v>3153</v>
      </c>
      <c r="E339" s="514">
        <v>3783</v>
      </c>
      <c r="F339" s="514">
        <v>4372</v>
      </c>
      <c r="G339" s="514">
        <v>4878</v>
      </c>
      <c r="H339" s="514">
        <v>117720</v>
      </c>
      <c r="I339" s="514">
        <v>134520</v>
      </c>
      <c r="J339" s="514">
        <v>151320</v>
      </c>
      <c r="K339" s="514">
        <v>168120</v>
      </c>
      <c r="L339" s="514">
        <v>181680</v>
      </c>
      <c r="M339" s="514">
        <v>195120</v>
      </c>
      <c r="N339" s="514">
        <v>208560</v>
      </c>
      <c r="O339" s="514">
        <v>222000</v>
      </c>
      <c r="P339" s="39"/>
      <c r="Q339" s="39"/>
    </row>
    <row r="340" spans="1:17">
      <c r="A340" s="38"/>
      <c r="B340" s="574">
        <v>1</v>
      </c>
      <c r="C340" s="571">
        <v>2452</v>
      </c>
      <c r="D340" s="571">
        <v>2627</v>
      </c>
      <c r="E340" s="571">
        <v>3152</v>
      </c>
      <c r="F340" s="571">
        <v>3643</v>
      </c>
      <c r="G340" s="571">
        <v>4065</v>
      </c>
      <c r="H340" s="571">
        <v>98100</v>
      </c>
      <c r="I340" s="571">
        <v>112100</v>
      </c>
      <c r="J340" s="571">
        <v>126100</v>
      </c>
      <c r="K340" s="571">
        <v>140100</v>
      </c>
      <c r="L340" s="571">
        <v>151400</v>
      </c>
      <c r="M340" s="571">
        <v>162600</v>
      </c>
      <c r="N340" s="571">
        <v>173800</v>
      </c>
      <c r="O340" s="571">
        <v>185000</v>
      </c>
      <c r="P340" s="39"/>
      <c r="Q340" s="39"/>
    </row>
    <row r="341" spans="1:17">
      <c r="A341" s="38" t="s">
        <v>1146</v>
      </c>
      <c r="B341" s="574">
        <v>0.8</v>
      </c>
      <c r="C341" s="571">
        <v>1962</v>
      </c>
      <c r="D341" s="571">
        <v>2102</v>
      </c>
      <c r="E341" s="571">
        <v>2522</v>
      </c>
      <c r="F341" s="571">
        <v>2915</v>
      </c>
      <c r="G341" s="571">
        <v>3252</v>
      </c>
      <c r="H341" s="572">
        <v>78480</v>
      </c>
      <c r="I341" s="572">
        <v>89680</v>
      </c>
      <c r="J341" s="572">
        <v>100880</v>
      </c>
      <c r="K341" s="572">
        <v>112080</v>
      </c>
      <c r="L341" s="572">
        <v>121120</v>
      </c>
      <c r="M341" s="572">
        <v>130080</v>
      </c>
      <c r="N341" s="572">
        <v>139040</v>
      </c>
      <c r="O341" s="572">
        <v>148000</v>
      </c>
      <c r="P341" s="39"/>
      <c r="Q341" s="39"/>
    </row>
    <row r="342" spans="1:17">
      <c r="A342" s="38"/>
      <c r="B342" s="574">
        <v>0.7</v>
      </c>
      <c r="C342" s="571">
        <v>1716</v>
      </c>
      <c r="D342" s="571">
        <v>1839</v>
      </c>
      <c r="E342" s="571">
        <v>2206</v>
      </c>
      <c r="F342" s="571">
        <v>2550</v>
      </c>
      <c r="G342" s="571">
        <v>2845</v>
      </c>
      <c r="H342" s="572">
        <v>68670</v>
      </c>
      <c r="I342" s="572">
        <v>78470</v>
      </c>
      <c r="J342" s="572">
        <v>88270</v>
      </c>
      <c r="K342" s="572">
        <v>98070</v>
      </c>
      <c r="L342" s="572">
        <v>105980</v>
      </c>
      <c r="M342" s="572">
        <v>113820</v>
      </c>
      <c r="N342" s="572">
        <v>121659.99999999999</v>
      </c>
      <c r="O342" s="572">
        <v>129499.99999999999</v>
      </c>
      <c r="P342" s="39"/>
      <c r="Q342" s="39"/>
    </row>
    <row r="343" spans="1:17">
      <c r="A343" s="38"/>
      <c r="B343" s="574">
        <v>0.6</v>
      </c>
      <c r="C343" s="571">
        <v>1471</v>
      </c>
      <c r="D343" s="571">
        <v>1576</v>
      </c>
      <c r="E343" s="571">
        <v>1891</v>
      </c>
      <c r="F343" s="571">
        <v>2186</v>
      </c>
      <c r="G343" s="571">
        <v>2439</v>
      </c>
      <c r="H343" s="571">
        <v>58860</v>
      </c>
      <c r="I343" s="571">
        <v>67260</v>
      </c>
      <c r="J343" s="571">
        <v>75660</v>
      </c>
      <c r="K343" s="571">
        <v>84060</v>
      </c>
      <c r="L343" s="571">
        <v>90840</v>
      </c>
      <c r="M343" s="573">
        <v>97560</v>
      </c>
      <c r="N343" s="573">
        <v>104280</v>
      </c>
      <c r="O343" s="573">
        <v>111000</v>
      </c>
      <c r="P343" s="39"/>
      <c r="Q343" s="39"/>
    </row>
    <row r="344" spans="1:17">
      <c r="A344" s="38"/>
      <c r="B344" s="574">
        <v>0.55000000000000004</v>
      </c>
      <c r="C344" s="571">
        <v>1348</v>
      </c>
      <c r="D344" s="571">
        <v>1445</v>
      </c>
      <c r="E344" s="571">
        <v>1733</v>
      </c>
      <c r="F344" s="571">
        <v>2004</v>
      </c>
      <c r="G344" s="571">
        <v>2235</v>
      </c>
      <c r="H344" s="571">
        <v>53955.000000000007</v>
      </c>
      <c r="I344" s="571">
        <v>61655.000000000007</v>
      </c>
      <c r="J344" s="571">
        <v>69355</v>
      </c>
      <c r="K344" s="571">
        <v>77055</v>
      </c>
      <c r="L344" s="571">
        <v>83270</v>
      </c>
      <c r="M344" s="571">
        <v>89430</v>
      </c>
      <c r="N344" s="571">
        <v>95590.000000000015</v>
      </c>
      <c r="O344" s="571">
        <v>101750.00000000001</v>
      </c>
      <c r="P344" s="39"/>
      <c r="Q344" s="39"/>
    </row>
    <row r="345" spans="1:17">
      <c r="A345" s="38"/>
      <c r="B345" s="574">
        <v>0.5</v>
      </c>
      <c r="C345" s="571">
        <v>1226</v>
      </c>
      <c r="D345" s="571">
        <v>1313</v>
      </c>
      <c r="E345" s="571">
        <v>1576</v>
      </c>
      <c r="F345" s="571">
        <v>1821</v>
      </c>
      <c r="G345" s="571">
        <v>2032</v>
      </c>
      <c r="H345" s="572">
        <v>49050</v>
      </c>
      <c r="I345" s="572">
        <v>56050</v>
      </c>
      <c r="J345" s="572">
        <v>63050</v>
      </c>
      <c r="K345" s="572">
        <v>70050</v>
      </c>
      <c r="L345" s="572">
        <v>75700</v>
      </c>
      <c r="M345" s="572">
        <v>81300</v>
      </c>
      <c r="N345" s="572">
        <v>86900</v>
      </c>
      <c r="O345" s="572">
        <v>92500</v>
      </c>
      <c r="P345" s="39"/>
      <c r="Q345" s="39"/>
    </row>
    <row r="346" spans="1:17">
      <c r="A346" s="38"/>
      <c r="B346" s="574">
        <v>0.45</v>
      </c>
      <c r="C346" s="571">
        <v>1103</v>
      </c>
      <c r="D346" s="571">
        <v>1182</v>
      </c>
      <c r="E346" s="571">
        <v>1418</v>
      </c>
      <c r="F346" s="571">
        <v>1639</v>
      </c>
      <c r="G346" s="571">
        <v>1829</v>
      </c>
      <c r="H346" s="571">
        <v>44145</v>
      </c>
      <c r="I346" s="571">
        <v>50445</v>
      </c>
      <c r="J346" s="571">
        <v>56745</v>
      </c>
      <c r="K346" s="571">
        <v>63045</v>
      </c>
      <c r="L346" s="571">
        <v>68130</v>
      </c>
      <c r="M346" s="573">
        <v>73170</v>
      </c>
      <c r="N346" s="573">
        <v>78210</v>
      </c>
      <c r="O346" s="573">
        <v>83250</v>
      </c>
      <c r="P346" s="39"/>
      <c r="Q346" s="39"/>
    </row>
    <row r="347" spans="1:17">
      <c r="A347" s="38"/>
      <c r="B347" s="574">
        <v>0.4</v>
      </c>
      <c r="C347" s="571">
        <v>981</v>
      </c>
      <c r="D347" s="571">
        <v>1051</v>
      </c>
      <c r="E347" s="571">
        <v>1261</v>
      </c>
      <c r="F347" s="571">
        <v>1457</v>
      </c>
      <c r="G347" s="571">
        <v>1626</v>
      </c>
      <c r="H347" s="571">
        <v>39240</v>
      </c>
      <c r="I347" s="571">
        <v>44840</v>
      </c>
      <c r="J347" s="571">
        <v>50440</v>
      </c>
      <c r="K347" s="571">
        <v>56040</v>
      </c>
      <c r="L347" s="571">
        <v>60560</v>
      </c>
      <c r="M347" s="573">
        <v>65040</v>
      </c>
      <c r="N347" s="573">
        <v>69520</v>
      </c>
      <c r="O347" s="573">
        <v>74000</v>
      </c>
      <c r="P347" s="39"/>
      <c r="Q347" s="39"/>
    </row>
    <row r="348" spans="1:17">
      <c r="A348" s="38"/>
      <c r="B348" s="510">
        <v>0.3</v>
      </c>
      <c r="C348" s="571">
        <v>735</v>
      </c>
      <c r="D348" s="571">
        <v>788</v>
      </c>
      <c r="E348" s="571">
        <v>945</v>
      </c>
      <c r="F348" s="571">
        <v>1093</v>
      </c>
      <c r="G348" s="571">
        <v>1219</v>
      </c>
      <c r="H348" s="572">
        <v>29430</v>
      </c>
      <c r="I348" s="572">
        <v>33630</v>
      </c>
      <c r="J348" s="572">
        <v>37830</v>
      </c>
      <c r="K348" s="572">
        <v>42030</v>
      </c>
      <c r="L348" s="572">
        <v>45420</v>
      </c>
      <c r="M348" s="572">
        <v>48780</v>
      </c>
      <c r="N348" s="572">
        <v>52140</v>
      </c>
      <c r="O348" s="572">
        <v>55500</v>
      </c>
      <c r="P348" s="39"/>
      <c r="Q348" s="39"/>
    </row>
    <row r="349" spans="1:17" ht="13.8" thickBot="1">
      <c r="A349" s="575"/>
      <c r="B349" s="40">
        <v>0.2</v>
      </c>
      <c r="C349" s="512">
        <v>490</v>
      </c>
      <c r="D349" s="512">
        <v>525</v>
      </c>
      <c r="E349" s="512">
        <v>630</v>
      </c>
      <c r="F349" s="512">
        <v>728</v>
      </c>
      <c r="G349" s="512">
        <v>813</v>
      </c>
      <c r="H349" s="513">
        <v>19620</v>
      </c>
      <c r="I349" s="513">
        <v>22420</v>
      </c>
      <c r="J349" s="513">
        <v>25220</v>
      </c>
      <c r="K349" s="513">
        <v>28020</v>
      </c>
      <c r="L349" s="513">
        <v>30280</v>
      </c>
      <c r="M349" s="513">
        <v>32520</v>
      </c>
      <c r="N349" s="513">
        <v>34760</v>
      </c>
      <c r="O349" s="513">
        <v>37000</v>
      </c>
      <c r="P349" s="41"/>
      <c r="Q349" s="41"/>
    </row>
    <row r="350" spans="1:17" ht="13.8" thickTop="1">
      <c r="A350" s="46"/>
      <c r="B350" s="37">
        <v>1.2</v>
      </c>
      <c r="C350" s="514">
        <v>2142</v>
      </c>
      <c r="D350" s="514">
        <v>2295</v>
      </c>
      <c r="E350" s="514">
        <v>2754</v>
      </c>
      <c r="F350" s="514">
        <v>3183</v>
      </c>
      <c r="G350" s="514">
        <v>3552</v>
      </c>
      <c r="H350" s="514">
        <v>85680</v>
      </c>
      <c r="I350" s="514">
        <v>97920</v>
      </c>
      <c r="J350" s="514">
        <v>110160</v>
      </c>
      <c r="K350" s="514">
        <v>122400</v>
      </c>
      <c r="L350" s="514">
        <v>132240</v>
      </c>
      <c r="M350" s="514">
        <v>142080</v>
      </c>
      <c r="N350" s="514">
        <v>151800</v>
      </c>
      <c r="O350" s="514">
        <v>161640</v>
      </c>
      <c r="P350" s="39"/>
      <c r="Q350" s="39"/>
    </row>
    <row r="351" spans="1:17">
      <c r="A351" s="38"/>
      <c r="B351" s="574">
        <v>1</v>
      </c>
      <c r="C351" s="571">
        <v>1785</v>
      </c>
      <c r="D351" s="571">
        <v>1912</v>
      </c>
      <c r="E351" s="571">
        <v>2295</v>
      </c>
      <c r="F351" s="571">
        <v>2652</v>
      </c>
      <c r="G351" s="571">
        <v>2960</v>
      </c>
      <c r="H351" s="571">
        <v>71400</v>
      </c>
      <c r="I351" s="571">
        <v>81600</v>
      </c>
      <c r="J351" s="571">
        <v>91800</v>
      </c>
      <c r="K351" s="571">
        <v>102000</v>
      </c>
      <c r="L351" s="571">
        <v>110200</v>
      </c>
      <c r="M351" s="571">
        <v>118400</v>
      </c>
      <c r="N351" s="571">
        <v>126500</v>
      </c>
      <c r="O351" s="571">
        <v>134700</v>
      </c>
      <c r="P351" s="39"/>
      <c r="Q351" s="39"/>
    </row>
    <row r="352" spans="1:17">
      <c r="A352" s="38" t="s">
        <v>1147</v>
      </c>
      <c r="B352" s="574">
        <v>0.8</v>
      </c>
      <c r="C352" s="571">
        <v>1428</v>
      </c>
      <c r="D352" s="571">
        <v>1530</v>
      </c>
      <c r="E352" s="571">
        <v>1836</v>
      </c>
      <c r="F352" s="571">
        <v>2122</v>
      </c>
      <c r="G352" s="571">
        <v>2368</v>
      </c>
      <c r="H352" s="572">
        <v>57120</v>
      </c>
      <c r="I352" s="572">
        <v>65280</v>
      </c>
      <c r="J352" s="572">
        <v>73440</v>
      </c>
      <c r="K352" s="572">
        <v>81600</v>
      </c>
      <c r="L352" s="572">
        <v>88160</v>
      </c>
      <c r="M352" s="572">
        <v>94720</v>
      </c>
      <c r="N352" s="572">
        <v>101200</v>
      </c>
      <c r="O352" s="572">
        <v>107760</v>
      </c>
      <c r="P352" s="39"/>
      <c r="Q352" s="39"/>
    </row>
    <row r="353" spans="1:17">
      <c r="A353" s="38"/>
      <c r="B353" s="574">
        <v>0.7</v>
      </c>
      <c r="C353" s="571">
        <v>1249</v>
      </c>
      <c r="D353" s="571">
        <v>1338</v>
      </c>
      <c r="E353" s="571">
        <v>1606</v>
      </c>
      <c r="F353" s="571">
        <v>1856</v>
      </c>
      <c r="G353" s="571">
        <v>2072</v>
      </c>
      <c r="H353" s="572">
        <v>49980</v>
      </c>
      <c r="I353" s="572">
        <v>57120</v>
      </c>
      <c r="J353" s="572">
        <v>64259.999999999993</v>
      </c>
      <c r="K353" s="572">
        <v>71400</v>
      </c>
      <c r="L353" s="572">
        <v>77140</v>
      </c>
      <c r="M353" s="572">
        <v>82880</v>
      </c>
      <c r="N353" s="572">
        <v>88550</v>
      </c>
      <c r="O353" s="572">
        <v>94290</v>
      </c>
      <c r="P353" s="39"/>
      <c r="Q353" s="39"/>
    </row>
    <row r="354" spans="1:17">
      <c r="A354" s="38"/>
      <c r="B354" s="574">
        <v>0.6</v>
      </c>
      <c r="C354" s="571">
        <v>1071</v>
      </c>
      <c r="D354" s="571">
        <v>1147</v>
      </c>
      <c r="E354" s="571">
        <v>1377</v>
      </c>
      <c r="F354" s="571">
        <v>1591</v>
      </c>
      <c r="G354" s="571">
        <v>1776</v>
      </c>
      <c r="H354" s="571">
        <v>42840</v>
      </c>
      <c r="I354" s="571">
        <v>48960</v>
      </c>
      <c r="J354" s="571">
        <v>55080</v>
      </c>
      <c r="K354" s="571">
        <v>61200</v>
      </c>
      <c r="L354" s="571">
        <v>66120</v>
      </c>
      <c r="M354" s="573">
        <v>71040</v>
      </c>
      <c r="N354" s="573">
        <v>75900</v>
      </c>
      <c r="O354" s="573">
        <v>80820</v>
      </c>
      <c r="P354" s="39"/>
      <c r="Q354" s="39"/>
    </row>
    <row r="355" spans="1:17">
      <c r="A355" s="38"/>
      <c r="B355" s="574">
        <v>0.55000000000000004</v>
      </c>
      <c r="C355" s="571">
        <v>981</v>
      </c>
      <c r="D355" s="571">
        <v>1051</v>
      </c>
      <c r="E355" s="571">
        <v>1262</v>
      </c>
      <c r="F355" s="571">
        <v>1458</v>
      </c>
      <c r="G355" s="571">
        <v>1628</v>
      </c>
      <c r="H355" s="571">
        <v>39270</v>
      </c>
      <c r="I355" s="571">
        <v>44880</v>
      </c>
      <c r="J355" s="571">
        <v>50490.000000000007</v>
      </c>
      <c r="K355" s="571">
        <v>56100.000000000007</v>
      </c>
      <c r="L355" s="571">
        <v>60610.000000000007</v>
      </c>
      <c r="M355" s="571">
        <v>65120.000000000007</v>
      </c>
      <c r="N355" s="571">
        <v>69575</v>
      </c>
      <c r="O355" s="571">
        <v>74085</v>
      </c>
      <c r="P355" s="39"/>
      <c r="Q355" s="39"/>
    </row>
    <row r="356" spans="1:17">
      <c r="A356" s="38"/>
      <c r="B356" s="574">
        <v>0.5</v>
      </c>
      <c r="C356" s="571">
        <v>892</v>
      </c>
      <c r="D356" s="571">
        <v>956</v>
      </c>
      <c r="E356" s="571">
        <v>1147</v>
      </c>
      <c r="F356" s="571">
        <v>1326</v>
      </c>
      <c r="G356" s="571">
        <v>1480</v>
      </c>
      <c r="H356" s="572">
        <v>35700</v>
      </c>
      <c r="I356" s="572">
        <v>40800</v>
      </c>
      <c r="J356" s="572">
        <v>45900</v>
      </c>
      <c r="K356" s="572">
        <v>51000</v>
      </c>
      <c r="L356" s="572">
        <v>55100</v>
      </c>
      <c r="M356" s="572">
        <v>59200</v>
      </c>
      <c r="N356" s="572">
        <v>63250</v>
      </c>
      <c r="O356" s="572">
        <v>67350</v>
      </c>
      <c r="P356" s="39"/>
      <c r="Q356" s="39"/>
    </row>
    <row r="357" spans="1:17">
      <c r="A357" s="38"/>
      <c r="B357" s="574">
        <v>0.45</v>
      </c>
      <c r="C357" s="571">
        <v>803</v>
      </c>
      <c r="D357" s="571">
        <v>860</v>
      </c>
      <c r="E357" s="571">
        <v>1032</v>
      </c>
      <c r="F357" s="571">
        <v>1193</v>
      </c>
      <c r="G357" s="571">
        <v>1332</v>
      </c>
      <c r="H357" s="571">
        <v>32130</v>
      </c>
      <c r="I357" s="571">
        <v>36720</v>
      </c>
      <c r="J357" s="571">
        <v>41310</v>
      </c>
      <c r="K357" s="571">
        <v>45900</v>
      </c>
      <c r="L357" s="571">
        <v>49590</v>
      </c>
      <c r="M357" s="573">
        <v>53280</v>
      </c>
      <c r="N357" s="573">
        <v>56925</v>
      </c>
      <c r="O357" s="573">
        <v>60615</v>
      </c>
      <c r="P357" s="39"/>
      <c r="Q357" s="39"/>
    </row>
    <row r="358" spans="1:17">
      <c r="A358" s="38"/>
      <c r="B358" s="574">
        <v>0.4</v>
      </c>
      <c r="C358" s="571">
        <v>714</v>
      </c>
      <c r="D358" s="571">
        <v>765</v>
      </c>
      <c r="E358" s="571">
        <v>918</v>
      </c>
      <c r="F358" s="571">
        <v>1061</v>
      </c>
      <c r="G358" s="571">
        <v>1184</v>
      </c>
      <c r="H358" s="571">
        <v>28560</v>
      </c>
      <c r="I358" s="571">
        <v>32640</v>
      </c>
      <c r="J358" s="571">
        <v>36720</v>
      </c>
      <c r="K358" s="571">
        <v>40800</v>
      </c>
      <c r="L358" s="571">
        <v>44080</v>
      </c>
      <c r="M358" s="573">
        <v>47360</v>
      </c>
      <c r="N358" s="573">
        <v>50600</v>
      </c>
      <c r="O358" s="573">
        <v>53880</v>
      </c>
      <c r="P358" s="39"/>
      <c r="Q358" s="39"/>
    </row>
    <row r="359" spans="1:17">
      <c r="A359" s="38"/>
      <c r="B359" s="510">
        <v>0.3</v>
      </c>
      <c r="C359" s="571">
        <v>535</v>
      </c>
      <c r="D359" s="571">
        <v>573</v>
      </c>
      <c r="E359" s="571">
        <v>688</v>
      </c>
      <c r="F359" s="571">
        <v>795</v>
      </c>
      <c r="G359" s="571">
        <v>888</v>
      </c>
      <c r="H359" s="572">
        <v>21420</v>
      </c>
      <c r="I359" s="572">
        <v>24480</v>
      </c>
      <c r="J359" s="572">
        <v>27540</v>
      </c>
      <c r="K359" s="572">
        <v>30600</v>
      </c>
      <c r="L359" s="572">
        <v>33060</v>
      </c>
      <c r="M359" s="572">
        <v>35520</v>
      </c>
      <c r="N359" s="572">
        <v>37950</v>
      </c>
      <c r="O359" s="572">
        <v>40410</v>
      </c>
      <c r="P359" s="39"/>
      <c r="Q359" s="39"/>
    </row>
    <row r="360" spans="1:17" ht="13.8" thickBot="1">
      <c r="A360" s="575"/>
      <c r="B360" s="40">
        <v>0.2</v>
      </c>
      <c r="C360" s="512">
        <v>357</v>
      </c>
      <c r="D360" s="512">
        <v>382</v>
      </c>
      <c r="E360" s="512">
        <v>459</v>
      </c>
      <c r="F360" s="512">
        <v>530</v>
      </c>
      <c r="G360" s="512">
        <v>592</v>
      </c>
      <c r="H360" s="513">
        <v>14280</v>
      </c>
      <c r="I360" s="513">
        <v>16320</v>
      </c>
      <c r="J360" s="513">
        <v>18360</v>
      </c>
      <c r="K360" s="513">
        <v>20400</v>
      </c>
      <c r="L360" s="513">
        <v>22040</v>
      </c>
      <c r="M360" s="513">
        <v>23680</v>
      </c>
      <c r="N360" s="513">
        <v>25300</v>
      </c>
      <c r="O360" s="513">
        <v>26940</v>
      </c>
      <c r="P360" s="45"/>
      <c r="Q360" s="45"/>
    </row>
    <row r="361" spans="1:17" ht="13.8" thickTop="1">
      <c r="A361" s="38"/>
      <c r="B361" s="37">
        <v>1.2</v>
      </c>
      <c r="C361" s="514">
        <v>2142</v>
      </c>
      <c r="D361" s="514">
        <v>2295</v>
      </c>
      <c r="E361" s="514">
        <v>2754</v>
      </c>
      <c r="F361" s="514">
        <v>3183</v>
      </c>
      <c r="G361" s="514">
        <v>3552</v>
      </c>
      <c r="H361" s="514">
        <v>85680</v>
      </c>
      <c r="I361" s="514">
        <v>97920</v>
      </c>
      <c r="J361" s="514">
        <v>110160</v>
      </c>
      <c r="K361" s="514">
        <v>122400</v>
      </c>
      <c r="L361" s="514">
        <v>132240</v>
      </c>
      <c r="M361" s="514">
        <v>142080</v>
      </c>
      <c r="N361" s="514">
        <v>151800</v>
      </c>
      <c r="O361" s="514">
        <v>161640</v>
      </c>
      <c r="P361" s="41"/>
      <c r="Q361" s="41"/>
    </row>
    <row r="362" spans="1:17">
      <c r="A362" s="38"/>
      <c r="B362" s="574">
        <v>1</v>
      </c>
      <c r="C362" s="571">
        <v>1785</v>
      </c>
      <c r="D362" s="571">
        <v>1912</v>
      </c>
      <c r="E362" s="571">
        <v>2295</v>
      </c>
      <c r="F362" s="571">
        <v>2652</v>
      </c>
      <c r="G362" s="571">
        <v>2960</v>
      </c>
      <c r="H362" s="571">
        <v>71400</v>
      </c>
      <c r="I362" s="571">
        <v>81600</v>
      </c>
      <c r="J362" s="571">
        <v>91800</v>
      </c>
      <c r="K362" s="571">
        <v>102000</v>
      </c>
      <c r="L362" s="571">
        <v>110200</v>
      </c>
      <c r="M362" s="571">
        <v>118400</v>
      </c>
      <c r="N362" s="571">
        <v>126500</v>
      </c>
      <c r="O362" s="571">
        <v>134700</v>
      </c>
      <c r="P362" s="41"/>
      <c r="Q362" s="41"/>
    </row>
    <row r="363" spans="1:17">
      <c r="A363" s="38" t="s">
        <v>1148</v>
      </c>
      <c r="B363" s="574">
        <v>0.8</v>
      </c>
      <c r="C363" s="571">
        <v>1428</v>
      </c>
      <c r="D363" s="571">
        <v>1530</v>
      </c>
      <c r="E363" s="571">
        <v>1836</v>
      </c>
      <c r="F363" s="571">
        <v>2122</v>
      </c>
      <c r="G363" s="571">
        <v>2368</v>
      </c>
      <c r="H363" s="572">
        <v>57120</v>
      </c>
      <c r="I363" s="572">
        <v>65280</v>
      </c>
      <c r="J363" s="572">
        <v>73440</v>
      </c>
      <c r="K363" s="572">
        <v>81600</v>
      </c>
      <c r="L363" s="572">
        <v>88160</v>
      </c>
      <c r="M363" s="572">
        <v>94720</v>
      </c>
      <c r="N363" s="572">
        <v>101200</v>
      </c>
      <c r="O363" s="572">
        <v>107760</v>
      </c>
      <c r="P363" s="41"/>
      <c r="Q363" s="41"/>
    </row>
    <row r="364" spans="1:17">
      <c r="A364" s="38"/>
      <c r="B364" s="574">
        <v>0.7</v>
      </c>
      <c r="C364" s="571">
        <v>1249</v>
      </c>
      <c r="D364" s="571">
        <v>1338</v>
      </c>
      <c r="E364" s="571">
        <v>1606</v>
      </c>
      <c r="F364" s="571">
        <v>1856</v>
      </c>
      <c r="G364" s="571">
        <v>2072</v>
      </c>
      <c r="H364" s="572">
        <v>49980</v>
      </c>
      <c r="I364" s="572">
        <v>57120</v>
      </c>
      <c r="J364" s="572">
        <v>64259.999999999993</v>
      </c>
      <c r="K364" s="572">
        <v>71400</v>
      </c>
      <c r="L364" s="572">
        <v>77140</v>
      </c>
      <c r="M364" s="572">
        <v>82880</v>
      </c>
      <c r="N364" s="572">
        <v>88550</v>
      </c>
      <c r="O364" s="572">
        <v>94290</v>
      </c>
      <c r="P364" s="41"/>
      <c r="Q364" s="41"/>
    </row>
    <row r="365" spans="1:17">
      <c r="A365" s="38"/>
      <c r="B365" s="574">
        <v>0.6</v>
      </c>
      <c r="C365" s="571">
        <v>1071</v>
      </c>
      <c r="D365" s="571">
        <v>1147</v>
      </c>
      <c r="E365" s="571">
        <v>1377</v>
      </c>
      <c r="F365" s="571">
        <v>1591</v>
      </c>
      <c r="G365" s="571">
        <v>1776</v>
      </c>
      <c r="H365" s="571">
        <v>42840</v>
      </c>
      <c r="I365" s="571">
        <v>48960</v>
      </c>
      <c r="J365" s="571">
        <v>55080</v>
      </c>
      <c r="K365" s="571">
        <v>61200</v>
      </c>
      <c r="L365" s="571">
        <v>66120</v>
      </c>
      <c r="M365" s="573">
        <v>71040</v>
      </c>
      <c r="N365" s="573">
        <v>75900</v>
      </c>
      <c r="O365" s="573">
        <v>80820</v>
      </c>
      <c r="P365" s="41"/>
      <c r="Q365" s="41"/>
    </row>
    <row r="366" spans="1:17">
      <c r="A366" s="38"/>
      <c r="B366" s="574">
        <v>0.55000000000000004</v>
      </c>
      <c r="C366" s="571">
        <v>981</v>
      </c>
      <c r="D366" s="571">
        <v>1051</v>
      </c>
      <c r="E366" s="571">
        <v>1262</v>
      </c>
      <c r="F366" s="571">
        <v>1458</v>
      </c>
      <c r="G366" s="571">
        <v>1628</v>
      </c>
      <c r="H366" s="571">
        <v>39270</v>
      </c>
      <c r="I366" s="571">
        <v>44880</v>
      </c>
      <c r="J366" s="571">
        <v>50490.000000000007</v>
      </c>
      <c r="K366" s="571">
        <v>56100.000000000007</v>
      </c>
      <c r="L366" s="571">
        <v>60610.000000000007</v>
      </c>
      <c r="M366" s="571">
        <v>65120.000000000007</v>
      </c>
      <c r="N366" s="571">
        <v>69575</v>
      </c>
      <c r="O366" s="571">
        <v>74085</v>
      </c>
      <c r="P366" s="41"/>
      <c r="Q366" s="41"/>
    </row>
    <row r="367" spans="1:17">
      <c r="A367" s="38"/>
      <c r="B367" s="574">
        <v>0.5</v>
      </c>
      <c r="C367" s="571">
        <v>892</v>
      </c>
      <c r="D367" s="571">
        <v>956</v>
      </c>
      <c r="E367" s="571">
        <v>1147</v>
      </c>
      <c r="F367" s="571">
        <v>1326</v>
      </c>
      <c r="G367" s="571">
        <v>1480</v>
      </c>
      <c r="H367" s="572">
        <v>35700</v>
      </c>
      <c r="I367" s="572">
        <v>40800</v>
      </c>
      <c r="J367" s="572">
        <v>45900</v>
      </c>
      <c r="K367" s="572">
        <v>51000</v>
      </c>
      <c r="L367" s="572">
        <v>55100</v>
      </c>
      <c r="M367" s="572">
        <v>59200</v>
      </c>
      <c r="N367" s="572">
        <v>63250</v>
      </c>
      <c r="O367" s="572">
        <v>67350</v>
      </c>
      <c r="P367" s="41"/>
      <c r="Q367" s="41"/>
    </row>
    <row r="368" spans="1:17">
      <c r="A368" s="38"/>
      <c r="B368" s="574">
        <v>0.45</v>
      </c>
      <c r="C368" s="571">
        <v>803</v>
      </c>
      <c r="D368" s="571">
        <v>860</v>
      </c>
      <c r="E368" s="571">
        <v>1032</v>
      </c>
      <c r="F368" s="571">
        <v>1193</v>
      </c>
      <c r="G368" s="571">
        <v>1332</v>
      </c>
      <c r="H368" s="571">
        <v>32130</v>
      </c>
      <c r="I368" s="571">
        <v>36720</v>
      </c>
      <c r="J368" s="571">
        <v>41310</v>
      </c>
      <c r="K368" s="571">
        <v>45900</v>
      </c>
      <c r="L368" s="571">
        <v>49590</v>
      </c>
      <c r="M368" s="573">
        <v>53280</v>
      </c>
      <c r="N368" s="573">
        <v>56925</v>
      </c>
      <c r="O368" s="573">
        <v>60615</v>
      </c>
      <c r="P368" s="41"/>
      <c r="Q368" s="41"/>
    </row>
    <row r="369" spans="1:17">
      <c r="A369" s="38"/>
      <c r="B369" s="574">
        <v>0.4</v>
      </c>
      <c r="C369" s="571">
        <v>714</v>
      </c>
      <c r="D369" s="571">
        <v>765</v>
      </c>
      <c r="E369" s="571">
        <v>918</v>
      </c>
      <c r="F369" s="571">
        <v>1061</v>
      </c>
      <c r="G369" s="571">
        <v>1184</v>
      </c>
      <c r="H369" s="571">
        <v>28560</v>
      </c>
      <c r="I369" s="571">
        <v>32640</v>
      </c>
      <c r="J369" s="571">
        <v>36720</v>
      </c>
      <c r="K369" s="571">
        <v>40800</v>
      </c>
      <c r="L369" s="571">
        <v>44080</v>
      </c>
      <c r="M369" s="573">
        <v>47360</v>
      </c>
      <c r="N369" s="573">
        <v>50600</v>
      </c>
      <c r="O369" s="573">
        <v>53880</v>
      </c>
      <c r="P369" s="41"/>
      <c r="Q369" s="41"/>
    </row>
    <row r="370" spans="1:17">
      <c r="A370" s="38"/>
      <c r="B370" s="510">
        <v>0.3</v>
      </c>
      <c r="C370" s="571">
        <v>535</v>
      </c>
      <c r="D370" s="571">
        <v>573</v>
      </c>
      <c r="E370" s="571">
        <v>688</v>
      </c>
      <c r="F370" s="571">
        <v>795</v>
      </c>
      <c r="G370" s="571">
        <v>888</v>
      </c>
      <c r="H370" s="572">
        <v>21420</v>
      </c>
      <c r="I370" s="572">
        <v>24480</v>
      </c>
      <c r="J370" s="572">
        <v>27540</v>
      </c>
      <c r="K370" s="572">
        <v>30600</v>
      </c>
      <c r="L370" s="572">
        <v>33060</v>
      </c>
      <c r="M370" s="572">
        <v>35520</v>
      </c>
      <c r="N370" s="572">
        <v>37950</v>
      </c>
      <c r="O370" s="572">
        <v>40410</v>
      </c>
      <c r="P370" s="41"/>
      <c r="Q370" s="41"/>
    </row>
    <row r="371" spans="1:17" ht="13.8" thickBot="1">
      <c r="A371" s="575"/>
      <c r="B371" s="40">
        <v>0.2</v>
      </c>
      <c r="C371" s="512">
        <v>357</v>
      </c>
      <c r="D371" s="512">
        <v>382</v>
      </c>
      <c r="E371" s="512">
        <v>459</v>
      </c>
      <c r="F371" s="512">
        <v>530</v>
      </c>
      <c r="G371" s="512">
        <v>592</v>
      </c>
      <c r="H371" s="513">
        <v>14280</v>
      </c>
      <c r="I371" s="513">
        <v>16320</v>
      </c>
      <c r="J371" s="513">
        <v>18360</v>
      </c>
      <c r="K371" s="513">
        <v>20400</v>
      </c>
      <c r="L371" s="513">
        <v>22040</v>
      </c>
      <c r="M371" s="513">
        <v>23680</v>
      </c>
      <c r="N371" s="513">
        <v>25300</v>
      </c>
      <c r="O371" s="513">
        <v>26940</v>
      </c>
      <c r="P371" s="41"/>
      <c r="Q371" s="41"/>
    </row>
    <row r="372" spans="1:17" ht="13.8" thickTop="1">
      <c r="A372" s="38"/>
      <c r="B372" s="37">
        <v>1.2</v>
      </c>
      <c r="C372" s="514">
        <v>2469</v>
      </c>
      <c r="D372" s="514">
        <v>2644</v>
      </c>
      <c r="E372" s="514">
        <v>3174</v>
      </c>
      <c r="F372" s="514">
        <v>3666</v>
      </c>
      <c r="G372" s="514">
        <v>4089</v>
      </c>
      <c r="H372" s="514">
        <v>98760</v>
      </c>
      <c r="I372" s="514">
        <v>112800</v>
      </c>
      <c r="J372" s="514">
        <v>126960</v>
      </c>
      <c r="K372" s="514">
        <v>141000</v>
      </c>
      <c r="L372" s="514">
        <v>152280</v>
      </c>
      <c r="M372" s="514">
        <v>163560</v>
      </c>
      <c r="N372" s="514">
        <v>174840</v>
      </c>
      <c r="O372" s="514">
        <v>186120</v>
      </c>
      <c r="P372" s="39"/>
      <c r="Q372" s="39"/>
    </row>
    <row r="373" spans="1:17">
      <c r="A373" s="38"/>
      <c r="B373" s="574">
        <v>1</v>
      </c>
      <c r="C373" s="571">
        <v>2057</v>
      </c>
      <c r="D373" s="571">
        <v>2203</v>
      </c>
      <c r="E373" s="571">
        <v>2645</v>
      </c>
      <c r="F373" s="571">
        <v>3055</v>
      </c>
      <c r="G373" s="571">
        <v>3407</v>
      </c>
      <c r="H373" s="571">
        <v>82300</v>
      </c>
      <c r="I373" s="571">
        <v>94000</v>
      </c>
      <c r="J373" s="571">
        <v>105800</v>
      </c>
      <c r="K373" s="571">
        <v>117500</v>
      </c>
      <c r="L373" s="571">
        <v>126900</v>
      </c>
      <c r="M373" s="571">
        <v>136300</v>
      </c>
      <c r="N373" s="571">
        <v>145700</v>
      </c>
      <c r="O373" s="571">
        <v>155100</v>
      </c>
      <c r="P373" s="39"/>
      <c r="Q373" s="39"/>
    </row>
    <row r="374" spans="1:17">
      <c r="A374" s="38" t="s">
        <v>1149</v>
      </c>
      <c r="B374" s="574">
        <v>0.8</v>
      </c>
      <c r="C374" s="571">
        <v>1646</v>
      </c>
      <c r="D374" s="571">
        <v>1763</v>
      </c>
      <c r="E374" s="571">
        <v>2116</v>
      </c>
      <c r="F374" s="571">
        <v>2444</v>
      </c>
      <c r="G374" s="571">
        <v>2726</v>
      </c>
      <c r="H374" s="572">
        <v>65840</v>
      </c>
      <c r="I374" s="572">
        <v>75200</v>
      </c>
      <c r="J374" s="572">
        <v>84640</v>
      </c>
      <c r="K374" s="572">
        <v>94000</v>
      </c>
      <c r="L374" s="572">
        <v>101520</v>
      </c>
      <c r="M374" s="572">
        <v>109040</v>
      </c>
      <c r="N374" s="572">
        <v>116560</v>
      </c>
      <c r="O374" s="572">
        <v>124080</v>
      </c>
      <c r="P374" s="39"/>
      <c r="Q374" s="39"/>
    </row>
    <row r="375" spans="1:17">
      <c r="A375" s="38"/>
      <c r="B375" s="574">
        <v>0.7</v>
      </c>
      <c r="C375" s="571">
        <v>1440</v>
      </c>
      <c r="D375" s="571">
        <v>1542</v>
      </c>
      <c r="E375" s="571">
        <v>1851</v>
      </c>
      <c r="F375" s="571">
        <v>2138</v>
      </c>
      <c r="G375" s="571">
        <v>2385</v>
      </c>
      <c r="H375" s="572">
        <v>57609.999999999993</v>
      </c>
      <c r="I375" s="572">
        <v>65800</v>
      </c>
      <c r="J375" s="572">
        <v>74060</v>
      </c>
      <c r="K375" s="572">
        <v>82250</v>
      </c>
      <c r="L375" s="572">
        <v>88830</v>
      </c>
      <c r="M375" s="572">
        <v>95410</v>
      </c>
      <c r="N375" s="572">
        <v>101990</v>
      </c>
      <c r="O375" s="572">
        <v>108570</v>
      </c>
      <c r="P375" s="39"/>
      <c r="Q375" s="39"/>
    </row>
    <row r="376" spans="1:17">
      <c r="A376" s="38"/>
      <c r="B376" s="574">
        <v>0.6</v>
      </c>
      <c r="C376" s="571">
        <v>1234</v>
      </c>
      <c r="D376" s="571">
        <v>1322</v>
      </c>
      <c r="E376" s="571">
        <v>1587</v>
      </c>
      <c r="F376" s="571">
        <v>1833</v>
      </c>
      <c r="G376" s="571">
        <v>2044</v>
      </c>
      <c r="H376" s="571">
        <v>49380</v>
      </c>
      <c r="I376" s="571">
        <v>56400</v>
      </c>
      <c r="J376" s="571">
        <v>63480</v>
      </c>
      <c r="K376" s="571">
        <v>70500</v>
      </c>
      <c r="L376" s="571">
        <v>76140</v>
      </c>
      <c r="M376" s="573">
        <v>81780</v>
      </c>
      <c r="N376" s="573">
        <v>87420</v>
      </c>
      <c r="O376" s="573">
        <v>93060</v>
      </c>
      <c r="P376" s="39"/>
      <c r="Q376" s="39"/>
    </row>
    <row r="377" spans="1:17">
      <c r="A377" s="38"/>
      <c r="B377" s="574">
        <v>0.55000000000000004</v>
      </c>
      <c r="C377" s="571">
        <v>1131</v>
      </c>
      <c r="D377" s="571">
        <v>1212</v>
      </c>
      <c r="E377" s="571">
        <v>1454</v>
      </c>
      <c r="F377" s="571">
        <v>1680</v>
      </c>
      <c r="G377" s="571">
        <v>1874</v>
      </c>
      <c r="H377" s="571">
        <v>45265.000000000007</v>
      </c>
      <c r="I377" s="571">
        <v>51700.000000000007</v>
      </c>
      <c r="J377" s="571">
        <v>58190.000000000007</v>
      </c>
      <c r="K377" s="571">
        <v>64625.000000000007</v>
      </c>
      <c r="L377" s="571">
        <v>69795</v>
      </c>
      <c r="M377" s="571">
        <v>74965</v>
      </c>
      <c r="N377" s="571">
        <v>80135</v>
      </c>
      <c r="O377" s="571">
        <v>85305</v>
      </c>
      <c r="P377" s="39"/>
      <c r="Q377" s="39"/>
    </row>
    <row r="378" spans="1:17">
      <c r="A378" s="38"/>
      <c r="B378" s="574">
        <v>0.5</v>
      </c>
      <c r="C378" s="571">
        <v>1028</v>
      </c>
      <c r="D378" s="571">
        <v>1101</v>
      </c>
      <c r="E378" s="571">
        <v>1322</v>
      </c>
      <c r="F378" s="571">
        <v>1527</v>
      </c>
      <c r="G378" s="571">
        <v>1703</v>
      </c>
      <c r="H378" s="572">
        <v>41150</v>
      </c>
      <c r="I378" s="572">
        <v>47000</v>
      </c>
      <c r="J378" s="572">
        <v>52900</v>
      </c>
      <c r="K378" s="572">
        <v>58750</v>
      </c>
      <c r="L378" s="572">
        <v>63450</v>
      </c>
      <c r="M378" s="572">
        <v>68150</v>
      </c>
      <c r="N378" s="572">
        <v>72850</v>
      </c>
      <c r="O378" s="572">
        <v>77550</v>
      </c>
      <c r="P378" s="39"/>
      <c r="Q378" s="39"/>
    </row>
    <row r="379" spans="1:17">
      <c r="A379" s="38"/>
      <c r="B379" s="574">
        <v>0.45</v>
      </c>
      <c r="C379" s="571">
        <v>925</v>
      </c>
      <c r="D379" s="571">
        <v>991</v>
      </c>
      <c r="E379" s="571">
        <v>1190</v>
      </c>
      <c r="F379" s="571">
        <v>1374</v>
      </c>
      <c r="G379" s="571">
        <v>1533</v>
      </c>
      <c r="H379" s="571">
        <v>37035</v>
      </c>
      <c r="I379" s="571">
        <v>42300</v>
      </c>
      <c r="J379" s="571">
        <v>47610</v>
      </c>
      <c r="K379" s="571">
        <v>52875</v>
      </c>
      <c r="L379" s="571">
        <v>57105</v>
      </c>
      <c r="M379" s="573">
        <v>61335</v>
      </c>
      <c r="N379" s="573">
        <v>65565</v>
      </c>
      <c r="O379" s="573">
        <v>69795</v>
      </c>
      <c r="P379" s="39"/>
      <c r="Q379" s="39"/>
    </row>
    <row r="380" spans="1:17">
      <c r="A380" s="38"/>
      <c r="B380" s="574">
        <v>0.4</v>
      </c>
      <c r="C380" s="571">
        <v>823</v>
      </c>
      <c r="D380" s="571">
        <v>881</v>
      </c>
      <c r="E380" s="571">
        <v>1058</v>
      </c>
      <c r="F380" s="571">
        <v>1222</v>
      </c>
      <c r="G380" s="571">
        <v>1363</v>
      </c>
      <c r="H380" s="571">
        <v>32920</v>
      </c>
      <c r="I380" s="571">
        <v>37600</v>
      </c>
      <c r="J380" s="571">
        <v>42320</v>
      </c>
      <c r="K380" s="571">
        <v>47000</v>
      </c>
      <c r="L380" s="571">
        <v>50760</v>
      </c>
      <c r="M380" s="573">
        <v>54520</v>
      </c>
      <c r="N380" s="573">
        <v>58280</v>
      </c>
      <c r="O380" s="573">
        <v>62040</v>
      </c>
      <c r="P380" s="39"/>
      <c r="Q380" s="39"/>
    </row>
    <row r="381" spans="1:17">
      <c r="A381" s="38"/>
      <c r="B381" s="510">
        <v>0.3</v>
      </c>
      <c r="C381" s="571">
        <v>617</v>
      </c>
      <c r="D381" s="571">
        <v>661</v>
      </c>
      <c r="E381" s="571">
        <v>793</v>
      </c>
      <c r="F381" s="571">
        <v>916</v>
      </c>
      <c r="G381" s="571">
        <v>1022</v>
      </c>
      <c r="H381" s="572">
        <v>24690</v>
      </c>
      <c r="I381" s="572">
        <v>28200</v>
      </c>
      <c r="J381" s="572">
        <v>31740</v>
      </c>
      <c r="K381" s="572">
        <v>35250</v>
      </c>
      <c r="L381" s="572">
        <v>38070</v>
      </c>
      <c r="M381" s="572">
        <v>40890</v>
      </c>
      <c r="N381" s="572">
        <v>43710</v>
      </c>
      <c r="O381" s="572">
        <v>46530</v>
      </c>
      <c r="P381" s="39"/>
      <c r="Q381" s="39"/>
    </row>
    <row r="382" spans="1:17" ht="13.8" thickBot="1">
      <c r="A382" s="575"/>
      <c r="B382" s="40">
        <v>0.2</v>
      </c>
      <c r="C382" s="512">
        <v>411</v>
      </c>
      <c r="D382" s="512">
        <v>440</v>
      </c>
      <c r="E382" s="512">
        <v>529</v>
      </c>
      <c r="F382" s="512">
        <v>611</v>
      </c>
      <c r="G382" s="512">
        <v>681</v>
      </c>
      <c r="H382" s="513">
        <v>16460</v>
      </c>
      <c r="I382" s="513">
        <v>18800</v>
      </c>
      <c r="J382" s="513">
        <v>21160</v>
      </c>
      <c r="K382" s="513">
        <v>23500</v>
      </c>
      <c r="L382" s="513">
        <v>25380</v>
      </c>
      <c r="M382" s="513">
        <v>27260</v>
      </c>
      <c r="N382" s="513">
        <v>29140</v>
      </c>
      <c r="O382" s="513">
        <v>31020</v>
      </c>
      <c r="P382" s="41"/>
      <c r="Q382" s="41"/>
    </row>
    <row r="383" spans="1:17" ht="13.8" thickTop="1">
      <c r="A383" s="46"/>
      <c r="B383" s="37">
        <v>1.2</v>
      </c>
      <c r="C383" s="514">
        <v>2193</v>
      </c>
      <c r="D383" s="514">
        <v>2350</v>
      </c>
      <c r="E383" s="514">
        <v>2820</v>
      </c>
      <c r="F383" s="514">
        <v>3261</v>
      </c>
      <c r="G383" s="514">
        <v>3639</v>
      </c>
      <c r="H383" s="514">
        <v>87720</v>
      </c>
      <c r="I383" s="514">
        <v>100320</v>
      </c>
      <c r="J383" s="514">
        <v>112800</v>
      </c>
      <c r="K383" s="514">
        <v>125400</v>
      </c>
      <c r="L383" s="514">
        <v>135480</v>
      </c>
      <c r="M383" s="514">
        <v>145560</v>
      </c>
      <c r="N383" s="514">
        <v>155400</v>
      </c>
      <c r="O383" s="514">
        <v>165480</v>
      </c>
      <c r="P383" s="39"/>
      <c r="Q383" s="39"/>
    </row>
    <row r="384" spans="1:17">
      <c r="A384" s="38"/>
      <c r="B384" s="574">
        <v>1</v>
      </c>
      <c r="C384" s="571">
        <v>1827</v>
      </c>
      <c r="D384" s="571">
        <v>1958</v>
      </c>
      <c r="E384" s="571">
        <v>2350</v>
      </c>
      <c r="F384" s="571">
        <v>2717</v>
      </c>
      <c r="G384" s="571">
        <v>3032</v>
      </c>
      <c r="H384" s="571">
        <v>73100</v>
      </c>
      <c r="I384" s="571">
        <v>83600</v>
      </c>
      <c r="J384" s="571">
        <v>94000</v>
      </c>
      <c r="K384" s="571">
        <v>104500</v>
      </c>
      <c r="L384" s="571">
        <v>112900</v>
      </c>
      <c r="M384" s="571">
        <v>121300</v>
      </c>
      <c r="N384" s="571">
        <v>129500</v>
      </c>
      <c r="O384" s="571">
        <v>137900</v>
      </c>
      <c r="P384" s="39"/>
      <c r="Q384" s="39"/>
    </row>
    <row r="385" spans="1:17">
      <c r="A385" s="38" t="s">
        <v>1150</v>
      </c>
      <c r="B385" s="574">
        <v>0.8</v>
      </c>
      <c r="C385" s="571">
        <v>1462</v>
      </c>
      <c r="D385" s="571">
        <v>1567</v>
      </c>
      <c r="E385" s="571">
        <v>1880</v>
      </c>
      <c r="F385" s="571">
        <v>2174</v>
      </c>
      <c r="G385" s="571">
        <v>2426</v>
      </c>
      <c r="H385" s="572">
        <v>58480</v>
      </c>
      <c r="I385" s="572">
        <v>66880</v>
      </c>
      <c r="J385" s="572">
        <v>75200</v>
      </c>
      <c r="K385" s="572">
        <v>83600</v>
      </c>
      <c r="L385" s="572">
        <v>90320</v>
      </c>
      <c r="M385" s="572">
        <v>97040</v>
      </c>
      <c r="N385" s="572">
        <v>103600</v>
      </c>
      <c r="O385" s="572">
        <v>110320</v>
      </c>
      <c r="P385" s="39"/>
      <c r="Q385" s="39"/>
    </row>
    <row r="386" spans="1:17">
      <c r="A386" s="38"/>
      <c r="B386" s="574">
        <v>0.7</v>
      </c>
      <c r="C386" s="571">
        <v>1279</v>
      </c>
      <c r="D386" s="571">
        <v>1371</v>
      </c>
      <c r="E386" s="571">
        <v>1645</v>
      </c>
      <c r="F386" s="571">
        <v>1902</v>
      </c>
      <c r="G386" s="571">
        <v>2122</v>
      </c>
      <c r="H386" s="572">
        <v>51170</v>
      </c>
      <c r="I386" s="572">
        <v>58519.999999999993</v>
      </c>
      <c r="J386" s="572">
        <v>65800</v>
      </c>
      <c r="K386" s="572">
        <v>73150</v>
      </c>
      <c r="L386" s="572">
        <v>79030</v>
      </c>
      <c r="M386" s="572">
        <v>84910</v>
      </c>
      <c r="N386" s="572">
        <v>90650</v>
      </c>
      <c r="O386" s="572">
        <v>96530</v>
      </c>
      <c r="P386" s="39"/>
      <c r="Q386" s="39"/>
    </row>
    <row r="387" spans="1:17">
      <c r="A387" s="38"/>
      <c r="B387" s="574">
        <v>0.6</v>
      </c>
      <c r="C387" s="571">
        <v>1096</v>
      </c>
      <c r="D387" s="571">
        <v>1175</v>
      </c>
      <c r="E387" s="571">
        <v>1410</v>
      </c>
      <c r="F387" s="571">
        <v>1630</v>
      </c>
      <c r="G387" s="571">
        <v>1819</v>
      </c>
      <c r="H387" s="571">
        <v>43860</v>
      </c>
      <c r="I387" s="571">
        <v>50160</v>
      </c>
      <c r="J387" s="571">
        <v>56400</v>
      </c>
      <c r="K387" s="571">
        <v>62700</v>
      </c>
      <c r="L387" s="571">
        <v>67740</v>
      </c>
      <c r="M387" s="573">
        <v>72780</v>
      </c>
      <c r="N387" s="573">
        <v>77700</v>
      </c>
      <c r="O387" s="573">
        <v>82740</v>
      </c>
      <c r="P387" s="39"/>
      <c r="Q387" s="39"/>
    </row>
    <row r="388" spans="1:17">
      <c r="A388" s="38"/>
      <c r="B388" s="574">
        <v>0.55000000000000004</v>
      </c>
      <c r="C388" s="571">
        <v>1005</v>
      </c>
      <c r="D388" s="571">
        <v>1077</v>
      </c>
      <c r="E388" s="571">
        <v>1292</v>
      </c>
      <c r="F388" s="571">
        <v>1494</v>
      </c>
      <c r="G388" s="571">
        <v>1667</v>
      </c>
      <c r="H388" s="571">
        <v>40205</v>
      </c>
      <c r="I388" s="571">
        <v>45980.000000000007</v>
      </c>
      <c r="J388" s="571">
        <v>51700.000000000007</v>
      </c>
      <c r="K388" s="571">
        <v>57475.000000000007</v>
      </c>
      <c r="L388" s="571">
        <v>62095.000000000007</v>
      </c>
      <c r="M388" s="571">
        <v>66715</v>
      </c>
      <c r="N388" s="571">
        <v>71225</v>
      </c>
      <c r="O388" s="571">
        <v>75845</v>
      </c>
      <c r="P388" s="39"/>
      <c r="Q388" s="39"/>
    </row>
    <row r="389" spans="1:17">
      <c r="A389" s="38"/>
      <c r="B389" s="574">
        <v>0.5</v>
      </c>
      <c r="C389" s="571">
        <v>913</v>
      </c>
      <c r="D389" s="571">
        <v>979</v>
      </c>
      <c r="E389" s="571">
        <v>1175</v>
      </c>
      <c r="F389" s="571">
        <v>1358</v>
      </c>
      <c r="G389" s="571">
        <v>1516</v>
      </c>
      <c r="H389" s="572">
        <v>36550</v>
      </c>
      <c r="I389" s="572">
        <v>41800</v>
      </c>
      <c r="J389" s="572">
        <v>47000</v>
      </c>
      <c r="K389" s="572">
        <v>52250</v>
      </c>
      <c r="L389" s="572">
        <v>56450</v>
      </c>
      <c r="M389" s="572">
        <v>60650</v>
      </c>
      <c r="N389" s="572">
        <v>64750</v>
      </c>
      <c r="O389" s="572">
        <v>68950</v>
      </c>
      <c r="P389" s="39"/>
      <c r="Q389" s="39"/>
    </row>
    <row r="390" spans="1:17">
      <c r="A390" s="38"/>
      <c r="B390" s="574">
        <v>0.45</v>
      </c>
      <c r="C390" s="571">
        <v>822</v>
      </c>
      <c r="D390" s="571">
        <v>881</v>
      </c>
      <c r="E390" s="571">
        <v>1057</v>
      </c>
      <c r="F390" s="571">
        <v>1222</v>
      </c>
      <c r="G390" s="571">
        <v>1364</v>
      </c>
      <c r="H390" s="571">
        <v>32895</v>
      </c>
      <c r="I390" s="571">
        <v>37620</v>
      </c>
      <c r="J390" s="571">
        <v>42300</v>
      </c>
      <c r="K390" s="571">
        <v>47025</v>
      </c>
      <c r="L390" s="571">
        <v>50805</v>
      </c>
      <c r="M390" s="573">
        <v>54585</v>
      </c>
      <c r="N390" s="573">
        <v>58275</v>
      </c>
      <c r="O390" s="573">
        <v>62055</v>
      </c>
      <c r="P390" s="39"/>
      <c r="Q390" s="39"/>
    </row>
    <row r="391" spans="1:17">
      <c r="A391" s="38"/>
      <c r="B391" s="574">
        <v>0.4</v>
      </c>
      <c r="C391" s="571">
        <v>731</v>
      </c>
      <c r="D391" s="571">
        <v>783</v>
      </c>
      <c r="E391" s="571">
        <v>940</v>
      </c>
      <c r="F391" s="571">
        <v>1087</v>
      </c>
      <c r="G391" s="571">
        <v>1213</v>
      </c>
      <c r="H391" s="571">
        <v>29240</v>
      </c>
      <c r="I391" s="571">
        <v>33440</v>
      </c>
      <c r="J391" s="571">
        <v>37600</v>
      </c>
      <c r="K391" s="571">
        <v>41800</v>
      </c>
      <c r="L391" s="571">
        <v>45160</v>
      </c>
      <c r="M391" s="573">
        <v>48520</v>
      </c>
      <c r="N391" s="573">
        <v>51800</v>
      </c>
      <c r="O391" s="573">
        <v>55160</v>
      </c>
      <c r="P391" s="39"/>
      <c r="Q391" s="39"/>
    </row>
    <row r="392" spans="1:17">
      <c r="A392" s="38"/>
      <c r="B392" s="510">
        <v>0.3</v>
      </c>
      <c r="C392" s="571">
        <v>548</v>
      </c>
      <c r="D392" s="571">
        <v>587</v>
      </c>
      <c r="E392" s="571">
        <v>705</v>
      </c>
      <c r="F392" s="571">
        <v>815</v>
      </c>
      <c r="G392" s="571">
        <v>909</v>
      </c>
      <c r="H392" s="572">
        <v>21930</v>
      </c>
      <c r="I392" s="572">
        <v>25080</v>
      </c>
      <c r="J392" s="572">
        <v>28200</v>
      </c>
      <c r="K392" s="572">
        <v>31350</v>
      </c>
      <c r="L392" s="572">
        <v>33870</v>
      </c>
      <c r="M392" s="572">
        <v>36390</v>
      </c>
      <c r="N392" s="572">
        <v>38850</v>
      </c>
      <c r="O392" s="572">
        <v>41370</v>
      </c>
      <c r="P392" s="39"/>
      <c r="Q392" s="39"/>
    </row>
    <row r="393" spans="1:17" ht="13.8" thickBot="1">
      <c r="A393" s="575"/>
      <c r="B393" s="40">
        <v>0.2</v>
      </c>
      <c r="C393" s="512">
        <v>365</v>
      </c>
      <c r="D393" s="512">
        <v>391</v>
      </c>
      <c r="E393" s="512">
        <v>470</v>
      </c>
      <c r="F393" s="512">
        <v>543</v>
      </c>
      <c r="G393" s="512">
        <v>606</v>
      </c>
      <c r="H393" s="513">
        <v>14620</v>
      </c>
      <c r="I393" s="513">
        <v>16720</v>
      </c>
      <c r="J393" s="513">
        <v>18800</v>
      </c>
      <c r="K393" s="513">
        <v>20900</v>
      </c>
      <c r="L393" s="513">
        <v>22580</v>
      </c>
      <c r="M393" s="513">
        <v>24260</v>
      </c>
      <c r="N393" s="513">
        <v>25900</v>
      </c>
      <c r="O393" s="513">
        <v>27580</v>
      </c>
      <c r="P393" s="41"/>
      <c r="Q393" s="41"/>
    </row>
    <row r="394" spans="1:17" ht="13.8" thickTop="1">
      <c r="A394" s="46"/>
      <c r="B394" s="37">
        <v>1.2</v>
      </c>
      <c r="C394" s="514">
        <v>2682</v>
      </c>
      <c r="D394" s="514">
        <v>2872</v>
      </c>
      <c r="E394" s="514">
        <v>3447</v>
      </c>
      <c r="F394" s="514">
        <v>3982</v>
      </c>
      <c r="G394" s="514">
        <v>4443</v>
      </c>
      <c r="H394" s="514">
        <v>107280</v>
      </c>
      <c r="I394" s="514">
        <v>122520</v>
      </c>
      <c r="J394" s="514">
        <v>137880</v>
      </c>
      <c r="K394" s="514">
        <v>153120</v>
      </c>
      <c r="L394" s="514">
        <v>165480</v>
      </c>
      <c r="M394" s="514">
        <v>177720</v>
      </c>
      <c r="N394" s="514">
        <v>189960</v>
      </c>
      <c r="O394" s="514">
        <v>202200</v>
      </c>
      <c r="P394" s="39"/>
      <c r="Q394" s="39"/>
    </row>
    <row r="395" spans="1:17">
      <c r="A395" s="38"/>
      <c r="B395" s="574">
        <v>1</v>
      </c>
      <c r="C395" s="571">
        <v>2235</v>
      </c>
      <c r="D395" s="571">
        <v>2393</v>
      </c>
      <c r="E395" s="571">
        <v>2872</v>
      </c>
      <c r="F395" s="571">
        <v>3318</v>
      </c>
      <c r="G395" s="571">
        <v>3702</v>
      </c>
      <c r="H395" s="571">
        <v>89400</v>
      </c>
      <c r="I395" s="571">
        <v>102100</v>
      </c>
      <c r="J395" s="571">
        <v>114900</v>
      </c>
      <c r="K395" s="571">
        <v>127600</v>
      </c>
      <c r="L395" s="571">
        <v>137900</v>
      </c>
      <c r="M395" s="571">
        <v>148100</v>
      </c>
      <c r="N395" s="571">
        <v>158300</v>
      </c>
      <c r="O395" s="571">
        <v>168500</v>
      </c>
      <c r="P395" s="39"/>
      <c r="Q395" s="39"/>
    </row>
    <row r="396" spans="1:17">
      <c r="A396" s="38" t="s">
        <v>1151</v>
      </c>
      <c r="B396" s="574">
        <v>0.8</v>
      </c>
      <c r="C396" s="571">
        <v>1788</v>
      </c>
      <c r="D396" s="571">
        <v>1915</v>
      </c>
      <c r="E396" s="571">
        <v>2298</v>
      </c>
      <c r="F396" s="571">
        <v>2655</v>
      </c>
      <c r="G396" s="571">
        <v>2962</v>
      </c>
      <c r="H396" s="572">
        <v>71520</v>
      </c>
      <c r="I396" s="572">
        <v>81680</v>
      </c>
      <c r="J396" s="572">
        <v>91920</v>
      </c>
      <c r="K396" s="572">
        <v>102080</v>
      </c>
      <c r="L396" s="572">
        <v>110320</v>
      </c>
      <c r="M396" s="572">
        <v>118480</v>
      </c>
      <c r="N396" s="572">
        <v>126640</v>
      </c>
      <c r="O396" s="572">
        <v>134800</v>
      </c>
      <c r="P396" s="39"/>
      <c r="Q396" s="39"/>
    </row>
    <row r="397" spans="1:17">
      <c r="A397" s="38"/>
      <c r="B397" s="574">
        <v>0.7</v>
      </c>
      <c r="C397" s="571">
        <v>1564</v>
      </c>
      <c r="D397" s="571">
        <v>1675</v>
      </c>
      <c r="E397" s="571">
        <v>2010</v>
      </c>
      <c r="F397" s="571">
        <v>2323</v>
      </c>
      <c r="G397" s="571">
        <v>2591</v>
      </c>
      <c r="H397" s="572">
        <v>62579.999999999993</v>
      </c>
      <c r="I397" s="572">
        <v>71470</v>
      </c>
      <c r="J397" s="572">
        <v>80430</v>
      </c>
      <c r="K397" s="572">
        <v>89320</v>
      </c>
      <c r="L397" s="572">
        <v>96530</v>
      </c>
      <c r="M397" s="572">
        <v>103670</v>
      </c>
      <c r="N397" s="572">
        <v>110810</v>
      </c>
      <c r="O397" s="572">
        <v>117949.99999999999</v>
      </c>
      <c r="P397" s="39"/>
      <c r="Q397" s="39"/>
    </row>
    <row r="398" spans="1:17">
      <c r="A398" s="38"/>
      <c r="B398" s="574">
        <v>0.6</v>
      </c>
      <c r="C398" s="571">
        <v>1341</v>
      </c>
      <c r="D398" s="571">
        <v>1436</v>
      </c>
      <c r="E398" s="571">
        <v>1723</v>
      </c>
      <c r="F398" s="571">
        <v>1991</v>
      </c>
      <c r="G398" s="571">
        <v>2221</v>
      </c>
      <c r="H398" s="571">
        <v>53640</v>
      </c>
      <c r="I398" s="571">
        <v>61260</v>
      </c>
      <c r="J398" s="571">
        <v>68940</v>
      </c>
      <c r="K398" s="571">
        <v>76560</v>
      </c>
      <c r="L398" s="571">
        <v>82740</v>
      </c>
      <c r="M398" s="573">
        <v>88860</v>
      </c>
      <c r="N398" s="573">
        <v>94980</v>
      </c>
      <c r="O398" s="573">
        <v>101100</v>
      </c>
      <c r="P398" s="39"/>
      <c r="Q398" s="39"/>
    </row>
    <row r="399" spans="1:17">
      <c r="A399" s="38"/>
      <c r="B399" s="574">
        <v>0.55000000000000004</v>
      </c>
      <c r="C399" s="571">
        <v>1229</v>
      </c>
      <c r="D399" s="571">
        <v>1316</v>
      </c>
      <c r="E399" s="571">
        <v>1579</v>
      </c>
      <c r="F399" s="571">
        <v>1825</v>
      </c>
      <c r="G399" s="571">
        <v>2036</v>
      </c>
      <c r="H399" s="571">
        <v>49170.000000000007</v>
      </c>
      <c r="I399" s="571">
        <v>56155.000000000007</v>
      </c>
      <c r="J399" s="571">
        <v>63195.000000000007</v>
      </c>
      <c r="K399" s="571">
        <v>70180</v>
      </c>
      <c r="L399" s="571">
        <v>75845</v>
      </c>
      <c r="M399" s="571">
        <v>81455</v>
      </c>
      <c r="N399" s="571">
        <v>87065</v>
      </c>
      <c r="O399" s="571">
        <v>92675.000000000015</v>
      </c>
      <c r="P399" s="39"/>
      <c r="Q399" s="39"/>
    </row>
    <row r="400" spans="1:17">
      <c r="A400" s="38"/>
      <c r="B400" s="574">
        <v>0.5</v>
      </c>
      <c r="C400" s="571">
        <v>1117</v>
      </c>
      <c r="D400" s="571">
        <v>1196</v>
      </c>
      <c r="E400" s="571">
        <v>1436</v>
      </c>
      <c r="F400" s="571">
        <v>1659</v>
      </c>
      <c r="G400" s="571">
        <v>1851</v>
      </c>
      <c r="H400" s="572">
        <v>44700</v>
      </c>
      <c r="I400" s="572">
        <v>51050</v>
      </c>
      <c r="J400" s="572">
        <v>57450</v>
      </c>
      <c r="K400" s="572">
        <v>63800</v>
      </c>
      <c r="L400" s="572">
        <v>68950</v>
      </c>
      <c r="M400" s="572">
        <v>74050</v>
      </c>
      <c r="N400" s="572">
        <v>79150</v>
      </c>
      <c r="O400" s="572">
        <v>84250</v>
      </c>
      <c r="P400" s="39"/>
      <c r="Q400" s="39"/>
    </row>
    <row r="401" spans="1:17">
      <c r="A401" s="38"/>
      <c r="B401" s="574">
        <v>0.45</v>
      </c>
      <c r="C401" s="571">
        <v>1005</v>
      </c>
      <c r="D401" s="571">
        <v>1077</v>
      </c>
      <c r="E401" s="571">
        <v>1292</v>
      </c>
      <c r="F401" s="571">
        <v>1493</v>
      </c>
      <c r="G401" s="571">
        <v>1666</v>
      </c>
      <c r="H401" s="571">
        <v>40230</v>
      </c>
      <c r="I401" s="571">
        <v>45945</v>
      </c>
      <c r="J401" s="571">
        <v>51705</v>
      </c>
      <c r="K401" s="571">
        <v>57420</v>
      </c>
      <c r="L401" s="571">
        <v>62055</v>
      </c>
      <c r="M401" s="573">
        <v>66645</v>
      </c>
      <c r="N401" s="573">
        <v>71235</v>
      </c>
      <c r="O401" s="573">
        <v>75825</v>
      </c>
      <c r="P401" s="39"/>
      <c r="Q401" s="39"/>
    </row>
    <row r="402" spans="1:17">
      <c r="A402" s="38"/>
      <c r="B402" s="574">
        <v>0.4</v>
      </c>
      <c r="C402" s="571">
        <v>894</v>
      </c>
      <c r="D402" s="571">
        <v>957</v>
      </c>
      <c r="E402" s="571">
        <v>1149</v>
      </c>
      <c r="F402" s="571">
        <v>1327</v>
      </c>
      <c r="G402" s="571">
        <v>1481</v>
      </c>
      <c r="H402" s="571">
        <v>35760</v>
      </c>
      <c r="I402" s="571">
        <v>40840</v>
      </c>
      <c r="J402" s="571">
        <v>45960</v>
      </c>
      <c r="K402" s="571">
        <v>51040</v>
      </c>
      <c r="L402" s="571">
        <v>55160</v>
      </c>
      <c r="M402" s="573">
        <v>59240</v>
      </c>
      <c r="N402" s="573">
        <v>63320</v>
      </c>
      <c r="O402" s="573">
        <v>67400</v>
      </c>
      <c r="P402" s="39"/>
      <c r="Q402" s="39"/>
    </row>
    <row r="403" spans="1:17">
      <c r="A403" s="38"/>
      <c r="B403" s="510">
        <v>0.3</v>
      </c>
      <c r="C403" s="571">
        <v>670</v>
      </c>
      <c r="D403" s="571">
        <v>718</v>
      </c>
      <c r="E403" s="571">
        <v>861</v>
      </c>
      <c r="F403" s="571">
        <v>995</v>
      </c>
      <c r="G403" s="571">
        <v>1110</v>
      </c>
      <c r="H403" s="572">
        <v>26820</v>
      </c>
      <c r="I403" s="572">
        <v>30630</v>
      </c>
      <c r="J403" s="572">
        <v>34470</v>
      </c>
      <c r="K403" s="572">
        <v>38280</v>
      </c>
      <c r="L403" s="572">
        <v>41370</v>
      </c>
      <c r="M403" s="572">
        <v>44430</v>
      </c>
      <c r="N403" s="572">
        <v>47490</v>
      </c>
      <c r="O403" s="572">
        <v>50550</v>
      </c>
      <c r="P403" s="39"/>
      <c r="Q403" s="39"/>
    </row>
    <row r="404" spans="1:17" ht="13.8" thickBot="1">
      <c r="A404" s="575"/>
      <c r="B404" s="40">
        <v>0.2</v>
      </c>
      <c r="C404" s="512">
        <v>447</v>
      </c>
      <c r="D404" s="512">
        <v>478</v>
      </c>
      <c r="E404" s="512">
        <v>574</v>
      </c>
      <c r="F404" s="512">
        <v>663</v>
      </c>
      <c r="G404" s="512">
        <v>740</v>
      </c>
      <c r="H404" s="513">
        <v>17880</v>
      </c>
      <c r="I404" s="513">
        <v>20420</v>
      </c>
      <c r="J404" s="513">
        <v>22980</v>
      </c>
      <c r="K404" s="513">
        <v>25520</v>
      </c>
      <c r="L404" s="513">
        <v>27580</v>
      </c>
      <c r="M404" s="513">
        <v>29620</v>
      </c>
      <c r="N404" s="513">
        <v>31660</v>
      </c>
      <c r="O404" s="513">
        <v>33700</v>
      </c>
      <c r="P404" s="45"/>
      <c r="Q404" s="45"/>
    </row>
    <row r="405" spans="1:17" ht="13.8" thickTop="1">
      <c r="A405" s="46"/>
      <c r="B405" s="37">
        <v>1.2</v>
      </c>
      <c r="C405" s="514">
        <v>2142</v>
      </c>
      <c r="D405" s="514">
        <v>2295</v>
      </c>
      <c r="E405" s="514">
        <v>2754</v>
      </c>
      <c r="F405" s="514">
        <v>3183</v>
      </c>
      <c r="G405" s="514">
        <v>3552</v>
      </c>
      <c r="H405" s="514">
        <v>85680</v>
      </c>
      <c r="I405" s="514">
        <v>97920</v>
      </c>
      <c r="J405" s="514">
        <v>110160</v>
      </c>
      <c r="K405" s="514">
        <v>122400</v>
      </c>
      <c r="L405" s="514">
        <v>132240</v>
      </c>
      <c r="M405" s="514">
        <v>142080</v>
      </c>
      <c r="N405" s="514">
        <v>151800</v>
      </c>
      <c r="O405" s="514">
        <v>161640</v>
      </c>
      <c r="P405" s="41"/>
      <c r="Q405" s="41"/>
    </row>
    <row r="406" spans="1:17">
      <c r="A406" s="38"/>
      <c r="B406" s="574">
        <v>1</v>
      </c>
      <c r="C406" s="571">
        <v>1785</v>
      </c>
      <c r="D406" s="571">
        <v>1912</v>
      </c>
      <c r="E406" s="571">
        <v>2295</v>
      </c>
      <c r="F406" s="571">
        <v>2652</v>
      </c>
      <c r="G406" s="571">
        <v>2960</v>
      </c>
      <c r="H406" s="571">
        <v>71400</v>
      </c>
      <c r="I406" s="571">
        <v>81600</v>
      </c>
      <c r="J406" s="571">
        <v>91800</v>
      </c>
      <c r="K406" s="571">
        <v>102000</v>
      </c>
      <c r="L406" s="571">
        <v>110200</v>
      </c>
      <c r="M406" s="571">
        <v>118400</v>
      </c>
      <c r="N406" s="571">
        <v>126500</v>
      </c>
      <c r="O406" s="571">
        <v>134700</v>
      </c>
      <c r="P406" s="41"/>
      <c r="Q406" s="41"/>
    </row>
    <row r="407" spans="1:17">
      <c r="A407" s="38" t="s">
        <v>1152</v>
      </c>
      <c r="B407" s="574">
        <v>0.8</v>
      </c>
      <c r="C407" s="571">
        <v>1428</v>
      </c>
      <c r="D407" s="571">
        <v>1530</v>
      </c>
      <c r="E407" s="571">
        <v>1836</v>
      </c>
      <c r="F407" s="571">
        <v>2122</v>
      </c>
      <c r="G407" s="571">
        <v>2368</v>
      </c>
      <c r="H407" s="572">
        <v>57120</v>
      </c>
      <c r="I407" s="572">
        <v>65280</v>
      </c>
      <c r="J407" s="572">
        <v>73440</v>
      </c>
      <c r="K407" s="572">
        <v>81600</v>
      </c>
      <c r="L407" s="572">
        <v>88160</v>
      </c>
      <c r="M407" s="572">
        <v>94720</v>
      </c>
      <c r="N407" s="572">
        <v>101200</v>
      </c>
      <c r="O407" s="572">
        <v>107760</v>
      </c>
      <c r="P407" s="41"/>
      <c r="Q407" s="41"/>
    </row>
    <row r="408" spans="1:17">
      <c r="A408" s="38"/>
      <c r="B408" s="574">
        <v>0.7</v>
      </c>
      <c r="C408" s="571">
        <v>1249</v>
      </c>
      <c r="D408" s="571">
        <v>1338</v>
      </c>
      <c r="E408" s="571">
        <v>1606</v>
      </c>
      <c r="F408" s="571">
        <v>1856</v>
      </c>
      <c r="G408" s="571">
        <v>2072</v>
      </c>
      <c r="H408" s="572">
        <v>49980</v>
      </c>
      <c r="I408" s="572">
        <v>57120</v>
      </c>
      <c r="J408" s="572">
        <v>64259.999999999993</v>
      </c>
      <c r="K408" s="572">
        <v>71400</v>
      </c>
      <c r="L408" s="572">
        <v>77140</v>
      </c>
      <c r="M408" s="572">
        <v>82880</v>
      </c>
      <c r="N408" s="572">
        <v>88550</v>
      </c>
      <c r="O408" s="572">
        <v>94290</v>
      </c>
      <c r="P408" s="41"/>
      <c r="Q408" s="41"/>
    </row>
    <row r="409" spans="1:17">
      <c r="A409" s="38"/>
      <c r="B409" s="574">
        <v>0.6</v>
      </c>
      <c r="C409" s="571">
        <v>1071</v>
      </c>
      <c r="D409" s="571">
        <v>1147</v>
      </c>
      <c r="E409" s="571">
        <v>1377</v>
      </c>
      <c r="F409" s="571">
        <v>1591</v>
      </c>
      <c r="G409" s="571">
        <v>1776</v>
      </c>
      <c r="H409" s="571">
        <v>42840</v>
      </c>
      <c r="I409" s="571">
        <v>48960</v>
      </c>
      <c r="J409" s="571">
        <v>55080</v>
      </c>
      <c r="K409" s="571">
        <v>61200</v>
      </c>
      <c r="L409" s="571">
        <v>66120</v>
      </c>
      <c r="M409" s="573">
        <v>71040</v>
      </c>
      <c r="N409" s="573">
        <v>75900</v>
      </c>
      <c r="O409" s="573">
        <v>80820</v>
      </c>
      <c r="P409" s="41"/>
      <c r="Q409" s="41"/>
    </row>
    <row r="410" spans="1:17">
      <c r="A410" s="38"/>
      <c r="B410" s="574">
        <v>0.55000000000000004</v>
      </c>
      <c r="C410" s="571">
        <v>981</v>
      </c>
      <c r="D410" s="571">
        <v>1051</v>
      </c>
      <c r="E410" s="571">
        <v>1262</v>
      </c>
      <c r="F410" s="571">
        <v>1458</v>
      </c>
      <c r="G410" s="571">
        <v>1628</v>
      </c>
      <c r="H410" s="571">
        <v>39270</v>
      </c>
      <c r="I410" s="571">
        <v>44880</v>
      </c>
      <c r="J410" s="571">
        <v>50490.000000000007</v>
      </c>
      <c r="K410" s="571">
        <v>56100.000000000007</v>
      </c>
      <c r="L410" s="571">
        <v>60610.000000000007</v>
      </c>
      <c r="M410" s="571">
        <v>65120.000000000007</v>
      </c>
      <c r="N410" s="571">
        <v>69575</v>
      </c>
      <c r="O410" s="571">
        <v>74085</v>
      </c>
      <c r="P410" s="41"/>
      <c r="Q410" s="41"/>
    </row>
    <row r="411" spans="1:17">
      <c r="A411" s="38"/>
      <c r="B411" s="574">
        <v>0.5</v>
      </c>
      <c r="C411" s="571">
        <v>892</v>
      </c>
      <c r="D411" s="571">
        <v>956</v>
      </c>
      <c r="E411" s="571">
        <v>1147</v>
      </c>
      <c r="F411" s="571">
        <v>1326</v>
      </c>
      <c r="G411" s="571">
        <v>1480</v>
      </c>
      <c r="H411" s="572">
        <v>35700</v>
      </c>
      <c r="I411" s="572">
        <v>40800</v>
      </c>
      <c r="J411" s="572">
        <v>45900</v>
      </c>
      <c r="K411" s="572">
        <v>51000</v>
      </c>
      <c r="L411" s="572">
        <v>55100</v>
      </c>
      <c r="M411" s="572">
        <v>59200</v>
      </c>
      <c r="N411" s="572">
        <v>63250</v>
      </c>
      <c r="O411" s="572">
        <v>67350</v>
      </c>
      <c r="P411" s="41"/>
      <c r="Q411" s="41"/>
    </row>
    <row r="412" spans="1:17">
      <c r="A412" s="38"/>
      <c r="B412" s="574">
        <v>0.45</v>
      </c>
      <c r="C412" s="571">
        <v>803</v>
      </c>
      <c r="D412" s="571">
        <v>860</v>
      </c>
      <c r="E412" s="571">
        <v>1032</v>
      </c>
      <c r="F412" s="571">
        <v>1193</v>
      </c>
      <c r="G412" s="571">
        <v>1332</v>
      </c>
      <c r="H412" s="571">
        <v>32130</v>
      </c>
      <c r="I412" s="571">
        <v>36720</v>
      </c>
      <c r="J412" s="571">
        <v>41310</v>
      </c>
      <c r="K412" s="571">
        <v>45900</v>
      </c>
      <c r="L412" s="571">
        <v>49590</v>
      </c>
      <c r="M412" s="573">
        <v>53280</v>
      </c>
      <c r="N412" s="573">
        <v>56925</v>
      </c>
      <c r="O412" s="573">
        <v>60615</v>
      </c>
      <c r="P412" s="41"/>
      <c r="Q412" s="41"/>
    </row>
    <row r="413" spans="1:17">
      <c r="A413" s="38"/>
      <c r="B413" s="574">
        <v>0.4</v>
      </c>
      <c r="C413" s="571">
        <v>714</v>
      </c>
      <c r="D413" s="571">
        <v>765</v>
      </c>
      <c r="E413" s="571">
        <v>918</v>
      </c>
      <c r="F413" s="571">
        <v>1061</v>
      </c>
      <c r="G413" s="571">
        <v>1184</v>
      </c>
      <c r="H413" s="571">
        <v>28560</v>
      </c>
      <c r="I413" s="571">
        <v>32640</v>
      </c>
      <c r="J413" s="571">
        <v>36720</v>
      </c>
      <c r="K413" s="571">
        <v>40800</v>
      </c>
      <c r="L413" s="571">
        <v>44080</v>
      </c>
      <c r="M413" s="573">
        <v>47360</v>
      </c>
      <c r="N413" s="573">
        <v>50600</v>
      </c>
      <c r="O413" s="573">
        <v>53880</v>
      </c>
      <c r="P413" s="41"/>
      <c r="Q413" s="41"/>
    </row>
    <row r="414" spans="1:17">
      <c r="A414" s="38"/>
      <c r="B414" s="510">
        <v>0.3</v>
      </c>
      <c r="C414" s="571">
        <v>535</v>
      </c>
      <c r="D414" s="571">
        <v>573</v>
      </c>
      <c r="E414" s="571">
        <v>688</v>
      </c>
      <c r="F414" s="571">
        <v>795</v>
      </c>
      <c r="G414" s="571">
        <v>888</v>
      </c>
      <c r="H414" s="572">
        <v>21420</v>
      </c>
      <c r="I414" s="572">
        <v>24480</v>
      </c>
      <c r="J414" s="572">
        <v>27540</v>
      </c>
      <c r="K414" s="572">
        <v>30600</v>
      </c>
      <c r="L414" s="572">
        <v>33060</v>
      </c>
      <c r="M414" s="572">
        <v>35520</v>
      </c>
      <c r="N414" s="572">
        <v>37950</v>
      </c>
      <c r="O414" s="572">
        <v>40410</v>
      </c>
      <c r="P414" s="41"/>
      <c r="Q414" s="41"/>
    </row>
    <row r="415" spans="1:17" ht="13.8" thickBot="1">
      <c r="A415" s="575"/>
      <c r="B415" s="40">
        <v>0.2</v>
      </c>
      <c r="C415" s="512">
        <v>357</v>
      </c>
      <c r="D415" s="512">
        <v>382</v>
      </c>
      <c r="E415" s="512">
        <v>459</v>
      </c>
      <c r="F415" s="512">
        <v>530</v>
      </c>
      <c r="G415" s="512">
        <v>592</v>
      </c>
      <c r="H415" s="513">
        <v>14280</v>
      </c>
      <c r="I415" s="513">
        <v>16320</v>
      </c>
      <c r="J415" s="513">
        <v>18360</v>
      </c>
      <c r="K415" s="513">
        <v>20400</v>
      </c>
      <c r="L415" s="513">
        <v>22040</v>
      </c>
      <c r="M415" s="513">
        <v>23680</v>
      </c>
      <c r="N415" s="513">
        <v>25300</v>
      </c>
      <c r="O415" s="513">
        <v>26940</v>
      </c>
      <c r="P415" s="41"/>
      <c r="Q415" s="41"/>
    </row>
    <row r="416" spans="1:17" ht="13.8" thickTop="1">
      <c r="A416" s="46"/>
      <c r="B416" s="37">
        <v>1.2</v>
      </c>
      <c r="C416" s="514">
        <v>2142</v>
      </c>
      <c r="D416" s="514">
        <v>2295</v>
      </c>
      <c r="E416" s="514">
        <v>2754</v>
      </c>
      <c r="F416" s="514">
        <v>3183</v>
      </c>
      <c r="G416" s="514">
        <v>3552</v>
      </c>
      <c r="H416" s="514">
        <v>85680</v>
      </c>
      <c r="I416" s="514">
        <v>97920</v>
      </c>
      <c r="J416" s="514">
        <v>110160</v>
      </c>
      <c r="K416" s="514">
        <v>122400</v>
      </c>
      <c r="L416" s="514">
        <v>132240</v>
      </c>
      <c r="M416" s="514">
        <v>142080</v>
      </c>
      <c r="N416" s="514">
        <v>151800</v>
      </c>
      <c r="O416" s="514">
        <v>161640</v>
      </c>
      <c r="P416" s="41"/>
      <c r="Q416" s="41"/>
    </row>
    <row r="417" spans="1:17">
      <c r="A417" s="38"/>
      <c r="B417" s="574">
        <v>1</v>
      </c>
      <c r="C417" s="571">
        <v>1785</v>
      </c>
      <c r="D417" s="571">
        <v>1912</v>
      </c>
      <c r="E417" s="571">
        <v>2295</v>
      </c>
      <c r="F417" s="571">
        <v>2652</v>
      </c>
      <c r="G417" s="571">
        <v>2960</v>
      </c>
      <c r="H417" s="571">
        <v>71400</v>
      </c>
      <c r="I417" s="571">
        <v>81600</v>
      </c>
      <c r="J417" s="571">
        <v>91800</v>
      </c>
      <c r="K417" s="571">
        <v>102000</v>
      </c>
      <c r="L417" s="571">
        <v>110200</v>
      </c>
      <c r="M417" s="571">
        <v>118400</v>
      </c>
      <c r="N417" s="571">
        <v>126500</v>
      </c>
      <c r="O417" s="571">
        <v>134700</v>
      </c>
      <c r="P417" s="41"/>
      <c r="Q417" s="41"/>
    </row>
    <row r="418" spans="1:17">
      <c r="A418" s="38" t="s">
        <v>1153</v>
      </c>
      <c r="B418" s="574">
        <v>0.8</v>
      </c>
      <c r="C418" s="571">
        <v>1428</v>
      </c>
      <c r="D418" s="571">
        <v>1530</v>
      </c>
      <c r="E418" s="571">
        <v>1836</v>
      </c>
      <c r="F418" s="571">
        <v>2122</v>
      </c>
      <c r="G418" s="571">
        <v>2368</v>
      </c>
      <c r="H418" s="572">
        <v>57120</v>
      </c>
      <c r="I418" s="572">
        <v>65280</v>
      </c>
      <c r="J418" s="572">
        <v>73440</v>
      </c>
      <c r="K418" s="572">
        <v>81600</v>
      </c>
      <c r="L418" s="572">
        <v>88160</v>
      </c>
      <c r="M418" s="572">
        <v>94720</v>
      </c>
      <c r="N418" s="572">
        <v>101200</v>
      </c>
      <c r="O418" s="572">
        <v>107760</v>
      </c>
      <c r="P418" s="41"/>
      <c r="Q418" s="41"/>
    </row>
    <row r="419" spans="1:17">
      <c r="A419" s="38"/>
      <c r="B419" s="574">
        <v>0.7</v>
      </c>
      <c r="C419" s="571">
        <v>1249</v>
      </c>
      <c r="D419" s="571">
        <v>1338</v>
      </c>
      <c r="E419" s="571">
        <v>1606</v>
      </c>
      <c r="F419" s="571">
        <v>1856</v>
      </c>
      <c r="G419" s="571">
        <v>2072</v>
      </c>
      <c r="H419" s="572">
        <v>49980</v>
      </c>
      <c r="I419" s="572">
        <v>57120</v>
      </c>
      <c r="J419" s="572">
        <v>64259.999999999993</v>
      </c>
      <c r="K419" s="572">
        <v>71400</v>
      </c>
      <c r="L419" s="572">
        <v>77140</v>
      </c>
      <c r="M419" s="572">
        <v>82880</v>
      </c>
      <c r="N419" s="572">
        <v>88550</v>
      </c>
      <c r="O419" s="572">
        <v>94290</v>
      </c>
      <c r="P419" s="41"/>
      <c r="Q419" s="41"/>
    </row>
    <row r="420" spans="1:17">
      <c r="A420" s="38"/>
      <c r="B420" s="574">
        <v>0.6</v>
      </c>
      <c r="C420" s="571">
        <v>1071</v>
      </c>
      <c r="D420" s="571">
        <v>1147</v>
      </c>
      <c r="E420" s="571">
        <v>1377</v>
      </c>
      <c r="F420" s="571">
        <v>1591</v>
      </c>
      <c r="G420" s="571">
        <v>1776</v>
      </c>
      <c r="H420" s="571">
        <v>42840</v>
      </c>
      <c r="I420" s="571">
        <v>48960</v>
      </c>
      <c r="J420" s="571">
        <v>55080</v>
      </c>
      <c r="K420" s="571">
        <v>61200</v>
      </c>
      <c r="L420" s="571">
        <v>66120</v>
      </c>
      <c r="M420" s="573">
        <v>71040</v>
      </c>
      <c r="N420" s="573">
        <v>75900</v>
      </c>
      <c r="O420" s="573">
        <v>80820</v>
      </c>
      <c r="P420" s="41"/>
      <c r="Q420" s="41"/>
    </row>
    <row r="421" spans="1:17">
      <c r="A421" s="38"/>
      <c r="B421" s="574">
        <v>0.55000000000000004</v>
      </c>
      <c r="C421" s="571">
        <v>981</v>
      </c>
      <c r="D421" s="571">
        <v>1051</v>
      </c>
      <c r="E421" s="571">
        <v>1262</v>
      </c>
      <c r="F421" s="571">
        <v>1458</v>
      </c>
      <c r="G421" s="571">
        <v>1628</v>
      </c>
      <c r="H421" s="571">
        <v>39270</v>
      </c>
      <c r="I421" s="571">
        <v>44880</v>
      </c>
      <c r="J421" s="571">
        <v>50490.000000000007</v>
      </c>
      <c r="K421" s="571">
        <v>56100.000000000007</v>
      </c>
      <c r="L421" s="571">
        <v>60610.000000000007</v>
      </c>
      <c r="M421" s="571">
        <v>65120.000000000007</v>
      </c>
      <c r="N421" s="571">
        <v>69575</v>
      </c>
      <c r="O421" s="571">
        <v>74085</v>
      </c>
      <c r="P421" s="41"/>
      <c r="Q421" s="41"/>
    </row>
    <row r="422" spans="1:17">
      <c r="A422" s="38"/>
      <c r="B422" s="574">
        <v>0.5</v>
      </c>
      <c r="C422" s="571">
        <v>892</v>
      </c>
      <c r="D422" s="571">
        <v>956</v>
      </c>
      <c r="E422" s="571">
        <v>1147</v>
      </c>
      <c r="F422" s="571">
        <v>1326</v>
      </c>
      <c r="G422" s="571">
        <v>1480</v>
      </c>
      <c r="H422" s="572">
        <v>35700</v>
      </c>
      <c r="I422" s="572">
        <v>40800</v>
      </c>
      <c r="J422" s="572">
        <v>45900</v>
      </c>
      <c r="K422" s="572">
        <v>51000</v>
      </c>
      <c r="L422" s="572">
        <v>55100</v>
      </c>
      <c r="M422" s="572">
        <v>59200</v>
      </c>
      <c r="N422" s="572">
        <v>63250</v>
      </c>
      <c r="O422" s="572">
        <v>67350</v>
      </c>
      <c r="P422" s="41"/>
      <c r="Q422" s="41"/>
    </row>
    <row r="423" spans="1:17">
      <c r="A423" s="38"/>
      <c r="B423" s="574">
        <v>0.45</v>
      </c>
      <c r="C423" s="571">
        <v>803</v>
      </c>
      <c r="D423" s="571">
        <v>860</v>
      </c>
      <c r="E423" s="571">
        <v>1032</v>
      </c>
      <c r="F423" s="571">
        <v>1193</v>
      </c>
      <c r="G423" s="571">
        <v>1332</v>
      </c>
      <c r="H423" s="571">
        <v>32130</v>
      </c>
      <c r="I423" s="571">
        <v>36720</v>
      </c>
      <c r="J423" s="571">
        <v>41310</v>
      </c>
      <c r="K423" s="571">
        <v>45900</v>
      </c>
      <c r="L423" s="571">
        <v>49590</v>
      </c>
      <c r="M423" s="573">
        <v>53280</v>
      </c>
      <c r="N423" s="573">
        <v>56925</v>
      </c>
      <c r="O423" s="573">
        <v>60615</v>
      </c>
      <c r="P423" s="41"/>
      <c r="Q423" s="41"/>
    </row>
    <row r="424" spans="1:17">
      <c r="A424" s="38"/>
      <c r="B424" s="574">
        <v>0.4</v>
      </c>
      <c r="C424" s="571">
        <v>714</v>
      </c>
      <c r="D424" s="571">
        <v>765</v>
      </c>
      <c r="E424" s="571">
        <v>918</v>
      </c>
      <c r="F424" s="571">
        <v>1061</v>
      </c>
      <c r="G424" s="571">
        <v>1184</v>
      </c>
      <c r="H424" s="571">
        <v>28560</v>
      </c>
      <c r="I424" s="571">
        <v>32640</v>
      </c>
      <c r="J424" s="571">
        <v>36720</v>
      </c>
      <c r="K424" s="571">
        <v>40800</v>
      </c>
      <c r="L424" s="571">
        <v>44080</v>
      </c>
      <c r="M424" s="573">
        <v>47360</v>
      </c>
      <c r="N424" s="573">
        <v>50600</v>
      </c>
      <c r="O424" s="573">
        <v>53880</v>
      </c>
      <c r="P424" s="41"/>
      <c r="Q424" s="41"/>
    </row>
    <row r="425" spans="1:17">
      <c r="A425" s="38"/>
      <c r="B425" s="510">
        <v>0.3</v>
      </c>
      <c r="C425" s="571">
        <v>535</v>
      </c>
      <c r="D425" s="571">
        <v>573</v>
      </c>
      <c r="E425" s="571">
        <v>688</v>
      </c>
      <c r="F425" s="571">
        <v>795</v>
      </c>
      <c r="G425" s="571">
        <v>888</v>
      </c>
      <c r="H425" s="572">
        <v>21420</v>
      </c>
      <c r="I425" s="572">
        <v>24480</v>
      </c>
      <c r="J425" s="572">
        <v>27540</v>
      </c>
      <c r="K425" s="572">
        <v>30600</v>
      </c>
      <c r="L425" s="572">
        <v>33060</v>
      </c>
      <c r="M425" s="572">
        <v>35520</v>
      </c>
      <c r="N425" s="572">
        <v>37950</v>
      </c>
      <c r="O425" s="572">
        <v>40410</v>
      </c>
      <c r="P425" s="41"/>
      <c r="Q425" s="41"/>
    </row>
    <row r="426" spans="1:17" ht="13.8" thickBot="1">
      <c r="A426" s="575"/>
      <c r="B426" s="40">
        <v>0.2</v>
      </c>
      <c r="C426" s="512">
        <v>357</v>
      </c>
      <c r="D426" s="512">
        <v>382</v>
      </c>
      <c r="E426" s="512">
        <v>459</v>
      </c>
      <c r="F426" s="512">
        <v>530</v>
      </c>
      <c r="G426" s="512">
        <v>592</v>
      </c>
      <c r="H426" s="513">
        <v>14280</v>
      </c>
      <c r="I426" s="513">
        <v>16320</v>
      </c>
      <c r="J426" s="513">
        <v>18360</v>
      </c>
      <c r="K426" s="513">
        <v>20400</v>
      </c>
      <c r="L426" s="513">
        <v>22040</v>
      </c>
      <c r="M426" s="513">
        <v>23680</v>
      </c>
      <c r="N426" s="513">
        <v>25300</v>
      </c>
      <c r="O426" s="513">
        <v>26940</v>
      </c>
      <c r="P426" s="41"/>
      <c r="Q426" s="41"/>
    </row>
    <row r="427" spans="1:17" ht="13.8" thickTop="1">
      <c r="A427" s="46"/>
      <c r="B427" s="37">
        <v>1.2</v>
      </c>
      <c r="C427" s="514">
        <v>2142</v>
      </c>
      <c r="D427" s="514">
        <v>2295</v>
      </c>
      <c r="E427" s="514">
        <v>2754</v>
      </c>
      <c r="F427" s="514">
        <v>3183</v>
      </c>
      <c r="G427" s="514">
        <v>3552</v>
      </c>
      <c r="H427" s="514">
        <v>85680</v>
      </c>
      <c r="I427" s="514">
        <v>97920</v>
      </c>
      <c r="J427" s="514">
        <v>110160</v>
      </c>
      <c r="K427" s="514">
        <v>122400</v>
      </c>
      <c r="L427" s="514">
        <v>132240</v>
      </c>
      <c r="M427" s="514">
        <v>142080</v>
      </c>
      <c r="N427" s="514">
        <v>151800</v>
      </c>
      <c r="O427" s="514">
        <v>161640</v>
      </c>
      <c r="P427" s="41"/>
      <c r="Q427" s="41"/>
    </row>
    <row r="428" spans="1:17">
      <c r="A428" s="38"/>
      <c r="B428" s="574">
        <v>1</v>
      </c>
      <c r="C428" s="571">
        <v>1785</v>
      </c>
      <c r="D428" s="571">
        <v>1912</v>
      </c>
      <c r="E428" s="571">
        <v>2295</v>
      </c>
      <c r="F428" s="571">
        <v>2652</v>
      </c>
      <c r="G428" s="571">
        <v>2960</v>
      </c>
      <c r="H428" s="571">
        <v>71400</v>
      </c>
      <c r="I428" s="571">
        <v>81600</v>
      </c>
      <c r="J428" s="571">
        <v>91800</v>
      </c>
      <c r="K428" s="571">
        <v>102000</v>
      </c>
      <c r="L428" s="571">
        <v>110200</v>
      </c>
      <c r="M428" s="571">
        <v>118400</v>
      </c>
      <c r="N428" s="571">
        <v>126500</v>
      </c>
      <c r="O428" s="571">
        <v>134700</v>
      </c>
      <c r="P428" s="41"/>
      <c r="Q428" s="41"/>
    </row>
    <row r="429" spans="1:17">
      <c r="A429" s="38" t="s">
        <v>1154</v>
      </c>
      <c r="B429" s="574">
        <v>0.8</v>
      </c>
      <c r="C429" s="571">
        <v>1428</v>
      </c>
      <c r="D429" s="571">
        <v>1530</v>
      </c>
      <c r="E429" s="571">
        <v>1836</v>
      </c>
      <c r="F429" s="571">
        <v>2122</v>
      </c>
      <c r="G429" s="571">
        <v>2368</v>
      </c>
      <c r="H429" s="572">
        <v>57120</v>
      </c>
      <c r="I429" s="572">
        <v>65280</v>
      </c>
      <c r="J429" s="572">
        <v>73440</v>
      </c>
      <c r="K429" s="572">
        <v>81600</v>
      </c>
      <c r="L429" s="572">
        <v>88160</v>
      </c>
      <c r="M429" s="572">
        <v>94720</v>
      </c>
      <c r="N429" s="572">
        <v>101200</v>
      </c>
      <c r="O429" s="572">
        <v>107760</v>
      </c>
      <c r="P429" s="41"/>
      <c r="Q429" s="41"/>
    </row>
    <row r="430" spans="1:17">
      <c r="A430" s="38"/>
      <c r="B430" s="574">
        <v>0.7</v>
      </c>
      <c r="C430" s="571">
        <v>1249</v>
      </c>
      <c r="D430" s="571">
        <v>1338</v>
      </c>
      <c r="E430" s="571">
        <v>1606</v>
      </c>
      <c r="F430" s="571">
        <v>1856</v>
      </c>
      <c r="G430" s="571">
        <v>2072</v>
      </c>
      <c r="H430" s="572">
        <v>49980</v>
      </c>
      <c r="I430" s="572">
        <v>57120</v>
      </c>
      <c r="J430" s="572">
        <v>64259.999999999993</v>
      </c>
      <c r="K430" s="572">
        <v>71400</v>
      </c>
      <c r="L430" s="572">
        <v>77140</v>
      </c>
      <c r="M430" s="572">
        <v>82880</v>
      </c>
      <c r="N430" s="572">
        <v>88550</v>
      </c>
      <c r="O430" s="572">
        <v>94290</v>
      </c>
      <c r="P430" s="41"/>
      <c r="Q430" s="41"/>
    </row>
    <row r="431" spans="1:17">
      <c r="A431" s="38"/>
      <c r="B431" s="574">
        <v>0.6</v>
      </c>
      <c r="C431" s="571">
        <v>1071</v>
      </c>
      <c r="D431" s="571">
        <v>1147</v>
      </c>
      <c r="E431" s="571">
        <v>1377</v>
      </c>
      <c r="F431" s="571">
        <v>1591</v>
      </c>
      <c r="G431" s="571">
        <v>1776</v>
      </c>
      <c r="H431" s="571">
        <v>42840</v>
      </c>
      <c r="I431" s="571">
        <v>48960</v>
      </c>
      <c r="J431" s="571">
        <v>55080</v>
      </c>
      <c r="K431" s="571">
        <v>61200</v>
      </c>
      <c r="L431" s="571">
        <v>66120</v>
      </c>
      <c r="M431" s="573">
        <v>71040</v>
      </c>
      <c r="N431" s="573">
        <v>75900</v>
      </c>
      <c r="O431" s="573">
        <v>80820</v>
      </c>
      <c r="P431" s="41"/>
      <c r="Q431" s="41"/>
    </row>
    <row r="432" spans="1:17">
      <c r="A432" s="38"/>
      <c r="B432" s="574">
        <v>0.55000000000000004</v>
      </c>
      <c r="C432" s="571">
        <v>981</v>
      </c>
      <c r="D432" s="571">
        <v>1051</v>
      </c>
      <c r="E432" s="571">
        <v>1262</v>
      </c>
      <c r="F432" s="571">
        <v>1458</v>
      </c>
      <c r="G432" s="571">
        <v>1628</v>
      </c>
      <c r="H432" s="571">
        <v>39270</v>
      </c>
      <c r="I432" s="571">
        <v>44880</v>
      </c>
      <c r="J432" s="571">
        <v>50490.000000000007</v>
      </c>
      <c r="K432" s="571">
        <v>56100.000000000007</v>
      </c>
      <c r="L432" s="571">
        <v>60610.000000000007</v>
      </c>
      <c r="M432" s="571">
        <v>65120.000000000007</v>
      </c>
      <c r="N432" s="571">
        <v>69575</v>
      </c>
      <c r="O432" s="571">
        <v>74085</v>
      </c>
      <c r="P432" s="41"/>
      <c r="Q432" s="41"/>
    </row>
    <row r="433" spans="1:17">
      <c r="A433" s="38"/>
      <c r="B433" s="574">
        <v>0.5</v>
      </c>
      <c r="C433" s="571">
        <v>892</v>
      </c>
      <c r="D433" s="571">
        <v>956</v>
      </c>
      <c r="E433" s="571">
        <v>1147</v>
      </c>
      <c r="F433" s="571">
        <v>1326</v>
      </c>
      <c r="G433" s="571">
        <v>1480</v>
      </c>
      <c r="H433" s="572">
        <v>35700</v>
      </c>
      <c r="I433" s="572">
        <v>40800</v>
      </c>
      <c r="J433" s="572">
        <v>45900</v>
      </c>
      <c r="K433" s="572">
        <v>51000</v>
      </c>
      <c r="L433" s="572">
        <v>55100</v>
      </c>
      <c r="M433" s="572">
        <v>59200</v>
      </c>
      <c r="N433" s="572">
        <v>63250</v>
      </c>
      <c r="O433" s="572">
        <v>67350</v>
      </c>
      <c r="P433" s="41"/>
      <c r="Q433" s="41"/>
    </row>
    <row r="434" spans="1:17">
      <c r="A434" s="38"/>
      <c r="B434" s="574">
        <v>0.45</v>
      </c>
      <c r="C434" s="571">
        <v>803</v>
      </c>
      <c r="D434" s="571">
        <v>860</v>
      </c>
      <c r="E434" s="571">
        <v>1032</v>
      </c>
      <c r="F434" s="571">
        <v>1193</v>
      </c>
      <c r="G434" s="571">
        <v>1332</v>
      </c>
      <c r="H434" s="571">
        <v>32130</v>
      </c>
      <c r="I434" s="571">
        <v>36720</v>
      </c>
      <c r="J434" s="571">
        <v>41310</v>
      </c>
      <c r="K434" s="571">
        <v>45900</v>
      </c>
      <c r="L434" s="571">
        <v>49590</v>
      </c>
      <c r="M434" s="573">
        <v>53280</v>
      </c>
      <c r="N434" s="573">
        <v>56925</v>
      </c>
      <c r="O434" s="573">
        <v>60615</v>
      </c>
      <c r="P434" s="41"/>
      <c r="Q434" s="41"/>
    </row>
    <row r="435" spans="1:17">
      <c r="A435" s="38"/>
      <c r="B435" s="574">
        <v>0.4</v>
      </c>
      <c r="C435" s="571">
        <v>714</v>
      </c>
      <c r="D435" s="571">
        <v>765</v>
      </c>
      <c r="E435" s="571">
        <v>918</v>
      </c>
      <c r="F435" s="571">
        <v>1061</v>
      </c>
      <c r="G435" s="571">
        <v>1184</v>
      </c>
      <c r="H435" s="571">
        <v>28560</v>
      </c>
      <c r="I435" s="571">
        <v>32640</v>
      </c>
      <c r="J435" s="571">
        <v>36720</v>
      </c>
      <c r="K435" s="571">
        <v>40800</v>
      </c>
      <c r="L435" s="571">
        <v>44080</v>
      </c>
      <c r="M435" s="573">
        <v>47360</v>
      </c>
      <c r="N435" s="573">
        <v>50600</v>
      </c>
      <c r="O435" s="573">
        <v>53880</v>
      </c>
      <c r="P435" s="41"/>
      <c r="Q435" s="41"/>
    </row>
    <row r="436" spans="1:17">
      <c r="A436" s="38"/>
      <c r="B436" s="510">
        <v>0.3</v>
      </c>
      <c r="C436" s="571">
        <v>535</v>
      </c>
      <c r="D436" s="571">
        <v>573</v>
      </c>
      <c r="E436" s="571">
        <v>688</v>
      </c>
      <c r="F436" s="571">
        <v>795</v>
      </c>
      <c r="G436" s="571">
        <v>888</v>
      </c>
      <c r="H436" s="572">
        <v>21420</v>
      </c>
      <c r="I436" s="572">
        <v>24480</v>
      </c>
      <c r="J436" s="572">
        <v>27540</v>
      </c>
      <c r="K436" s="572">
        <v>30600</v>
      </c>
      <c r="L436" s="572">
        <v>33060</v>
      </c>
      <c r="M436" s="572">
        <v>35520</v>
      </c>
      <c r="N436" s="572">
        <v>37950</v>
      </c>
      <c r="O436" s="572">
        <v>40410</v>
      </c>
      <c r="P436" s="41"/>
      <c r="Q436" s="41"/>
    </row>
    <row r="437" spans="1:17" ht="13.8" thickBot="1">
      <c r="A437" s="575"/>
      <c r="B437" s="40">
        <v>0.2</v>
      </c>
      <c r="C437" s="512">
        <v>357</v>
      </c>
      <c r="D437" s="512">
        <v>382</v>
      </c>
      <c r="E437" s="512">
        <v>459</v>
      </c>
      <c r="F437" s="512">
        <v>530</v>
      </c>
      <c r="G437" s="512">
        <v>592</v>
      </c>
      <c r="H437" s="513">
        <v>14280</v>
      </c>
      <c r="I437" s="513">
        <v>16320</v>
      </c>
      <c r="J437" s="513">
        <v>18360</v>
      </c>
      <c r="K437" s="513">
        <v>20400</v>
      </c>
      <c r="L437" s="513">
        <v>22040</v>
      </c>
      <c r="M437" s="513">
        <v>23680</v>
      </c>
      <c r="N437" s="513">
        <v>25300</v>
      </c>
      <c r="O437" s="513">
        <v>26940</v>
      </c>
      <c r="P437" s="41"/>
      <c r="Q437" s="41"/>
    </row>
    <row r="438" spans="1:17" ht="13.8" thickTop="1">
      <c r="A438" s="46"/>
      <c r="B438" s="37">
        <v>1.2</v>
      </c>
      <c r="C438" s="514">
        <v>2142</v>
      </c>
      <c r="D438" s="514">
        <v>2295</v>
      </c>
      <c r="E438" s="514">
        <v>2754</v>
      </c>
      <c r="F438" s="514">
        <v>3183</v>
      </c>
      <c r="G438" s="514">
        <v>3552</v>
      </c>
      <c r="H438" s="514">
        <v>85680</v>
      </c>
      <c r="I438" s="514">
        <v>97920</v>
      </c>
      <c r="J438" s="514">
        <v>110160</v>
      </c>
      <c r="K438" s="514">
        <v>122400</v>
      </c>
      <c r="L438" s="514">
        <v>132240</v>
      </c>
      <c r="M438" s="514">
        <v>142080</v>
      </c>
      <c r="N438" s="514">
        <v>151800</v>
      </c>
      <c r="O438" s="514">
        <v>161640</v>
      </c>
      <c r="P438" s="39"/>
      <c r="Q438" s="39"/>
    </row>
    <row r="439" spans="1:17">
      <c r="A439" s="38"/>
      <c r="B439" s="574">
        <v>1</v>
      </c>
      <c r="C439" s="571">
        <v>1785</v>
      </c>
      <c r="D439" s="571">
        <v>1912</v>
      </c>
      <c r="E439" s="571">
        <v>2295</v>
      </c>
      <c r="F439" s="571">
        <v>2652</v>
      </c>
      <c r="G439" s="571">
        <v>2960</v>
      </c>
      <c r="H439" s="571">
        <v>71400</v>
      </c>
      <c r="I439" s="571">
        <v>81600</v>
      </c>
      <c r="J439" s="571">
        <v>91800</v>
      </c>
      <c r="K439" s="571">
        <v>102000</v>
      </c>
      <c r="L439" s="571">
        <v>110200</v>
      </c>
      <c r="M439" s="571">
        <v>118400</v>
      </c>
      <c r="N439" s="571">
        <v>126500</v>
      </c>
      <c r="O439" s="571">
        <v>134700</v>
      </c>
      <c r="P439" s="39"/>
      <c r="Q439" s="39"/>
    </row>
    <row r="440" spans="1:17">
      <c r="A440" s="38" t="s">
        <v>1155</v>
      </c>
      <c r="B440" s="574">
        <v>0.8</v>
      </c>
      <c r="C440" s="571">
        <v>1428</v>
      </c>
      <c r="D440" s="571">
        <v>1530</v>
      </c>
      <c r="E440" s="571">
        <v>1836</v>
      </c>
      <c r="F440" s="571">
        <v>2122</v>
      </c>
      <c r="G440" s="571">
        <v>2368</v>
      </c>
      <c r="H440" s="572">
        <v>57120</v>
      </c>
      <c r="I440" s="572">
        <v>65280</v>
      </c>
      <c r="J440" s="572">
        <v>73440</v>
      </c>
      <c r="K440" s="572">
        <v>81600</v>
      </c>
      <c r="L440" s="572">
        <v>88160</v>
      </c>
      <c r="M440" s="572">
        <v>94720</v>
      </c>
      <c r="N440" s="572">
        <v>101200</v>
      </c>
      <c r="O440" s="572">
        <v>107760</v>
      </c>
      <c r="P440" s="39"/>
      <c r="Q440" s="39"/>
    </row>
    <row r="441" spans="1:17">
      <c r="A441" s="38"/>
      <c r="B441" s="574">
        <v>0.7</v>
      </c>
      <c r="C441" s="571">
        <v>1249</v>
      </c>
      <c r="D441" s="571">
        <v>1338</v>
      </c>
      <c r="E441" s="571">
        <v>1606</v>
      </c>
      <c r="F441" s="571">
        <v>1856</v>
      </c>
      <c r="G441" s="571">
        <v>2072</v>
      </c>
      <c r="H441" s="572">
        <v>49980</v>
      </c>
      <c r="I441" s="572">
        <v>57120</v>
      </c>
      <c r="J441" s="572">
        <v>64259.999999999993</v>
      </c>
      <c r="K441" s="572">
        <v>71400</v>
      </c>
      <c r="L441" s="572">
        <v>77140</v>
      </c>
      <c r="M441" s="572">
        <v>82880</v>
      </c>
      <c r="N441" s="572">
        <v>88550</v>
      </c>
      <c r="O441" s="572">
        <v>94290</v>
      </c>
      <c r="P441" s="39"/>
      <c r="Q441" s="39"/>
    </row>
    <row r="442" spans="1:17">
      <c r="A442" s="38"/>
      <c r="B442" s="574">
        <v>0.6</v>
      </c>
      <c r="C442" s="571">
        <v>1071</v>
      </c>
      <c r="D442" s="571">
        <v>1147</v>
      </c>
      <c r="E442" s="571">
        <v>1377</v>
      </c>
      <c r="F442" s="571">
        <v>1591</v>
      </c>
      <c r="G442" s="571">
        <v>1776</v>
      </c>
      <c r="H442" s="571">
        <v>42840</v>
      </c>
      <c r="I442" s="571">
        <v>48960</v>
      </c>
      <c r="J442" s="571">
        <v>55080</v>
      </c>
      <c r="K442" s="571">
        <v>61200</v>
      </c>
      <c r="L442" s="571">
        <v>66120</v>
      </c>
      <c r="M442" s="573">
        <v>71040</v>
      </c>
      <c r="N442" s="573">
        <v>75900</v>
      </c>
      <c r="O442" s="573">
        <v>80820</v>
      </c>
      <c r="P442" s="39"/>
      <c r="Q442" s="39"/>
    </row>
    <row r="443" spans="1:17">
      <c r="A443" s="38"/>
      <c r="B443" s="574">
        <v>0.55000000000000004</v>
      </c>
      <c r="C443" s="571">
        <v>981</v>
      </c>
      <c r="D443" s="571">
        <v>1051</v>
      </c>
      <c r="E443" s="571">
        <v>1262</v>
      </c>
      <c r="F443" s="571">
        <v>1458</v>
      </c>
      <c r="G443" s="571">
        <v>1628</v>
      </c>
      <c r="H443" s="571">
        <v>39270</v>
      </c>
      <c r="I443" s="571">
        <v>44880</v>
      </c>
      <c r="J443" s="571">
        <v>50490.000000000007</v>
      </c>
      <c r="K443" s="571">
        <v>56100.000000000007</v>
      </c>
      <c r="L443" s="571">
        <v>60610.000000000007</v>
      </c>
      <c r="M443" s="571">
        <v>65120.000000000007</v>
      </c>
      <c r="N443" s="571">
        <v>69575</v>
      </c>
      <c r="O443" s="571">
        <v>74085</v>
      </c>
      <c r="P443" s="39"/>
      <c r="Q443" s="39"/>
    </row>
    <row r="444" spans="1:17">
      <c r="A444" s="38" t="s">
        <v>457</v>
      </c>
      <c r="B444" s="574">
        <v>0.5</v>
      </c>
      <c r="C444" s="571">
        <v>892</v>
      </c>
      <c r="D444" s="571">
        <v>956</v>
      </c>
      <c r="E444" s="571">
        <v>1147</v>
      </c>
      <c r="F444" s="571">
        <v>1326</v>
      </c>
      <c r="G444" s="571">
        <v>1480</v>
      </c>
      <c r="H444" s="572">
        <v>35700</v>
      </c>
      <c r="I444" s="572">
        <v>40800</v>
      </c>
      <c r="J444" s="572">
        <v>45900</v>
      </c>
      <c r="K444" s="572">
        <v>51000</v>
      </c>
      <c r="L444" s="572">
        <v>55100</v>
      </c>
      <c r="M444" s="572">
        <v>59200</v>
      </c>
      <c r="N444" s="572">
        <v>63250</v>
      </c>
      <c r="O444" s="572">
        <v>67350</v>
      </c>
      <c r="P444" s="39"/>
      <c r="Q444" s="39"/>
    </row>
    <row r="445" spans="1:17">
      <c r="A445" s="38"/>
      <c r="B445" s="574">
        <v>0.45</v>
      </c>
      <c r="C445" s="571">
        <v>803</v>
      </c>
      <c r="D445" s="571">
        <v>860</v>
      </c>
      <c r="E445" s="571">
        <v>1032</v>
      </c>
      <c r="F445" s="571">
        <v>1193</v>
      </c>
      <c r="G445" s="571">
        <v>1332</v>
      </c>
      <c r="H445" s="571">
        <v>32130</v>
      </c>
      <c r="I445" s="571">
        <v>36720</v>
      </c>
      <c r="J445" s="571">
        <v>41310</v>
      </c>
      <c r="K445" s="571">
        <v>45900</v>
      </c>
      <c r="L445" s="571">
        <v>49590</v>
      </c>
      <c r="M445" s="573">
        <v>53280</v>
      </c>
      <c r="N445" s="573">
        <v>56925</v>
      </c>
      <c r="O445" s="573">
        <v>60615</v>
      </c>
      <c r="P445" s="39"/>
      <c r="Q445" s="39"/>
    </row>
    <row r="446" spans="1:17">
      <c r="A446" s="38"/>
      <c r="B446" s="574">
        <v>0.4</v>
      </c>
      <c r="C446" s="571">
        <v>714</v>
      </c>
      <c r="D446" s="571">
        <v>765</v>
      </c>
      <c r="E446" s="571">
        <v>918</v>
      </c>
      <c r="F446" s="571">
        <v>1061</v>
      </c>
      <c r="G446" s="571">
        <v>1184</v>
      </c>
      <c r="H446" s="571">
        <v>28560</v>
      </c>
      <c r="I446" s="571">
        <v>32640</v>
      </c>
      <c r="J446" s="571">
        <v>36720</v>
      </c>
      <c r="K446" s="571">
        <v>40800</v>
      </c>
      <c r="L446" s="571">
        <v>44080</v>
      </c>
      <c r="M446" s="573">
        <v>47360</v>
      </c>
      <c r="N446" s="573">
        <v>50600</v>
      </c>
      <c r="O446" s="573">
        <v>53880</v>
      </c>
      <c r="P446" s="39"/>
      <c r="Q446" s="39"/>
    </row>
    <row r="447" spans="1:17">
      <c r="A447" s="38"/>
      <c r="B447" s="510">
        <v>0.3</v>
      </c>
      <c r="C447" s="571">
        <v>535</v>
      </c>
      <c r="D447" s="571">
        <v>573</v>
      </c>
      <c r="E447" s="571">
        <v>688</v>
      </c>
      <c r="F447" s="571">
        <v>795</v>
      </c>
      <c r="G447" s="571">
        <v>888</v>
      </c>
      <c r="H447" s="572">
        <v>21420</v>
      </c>
      <c r="I447" s="572">
        <v>24480</v>
      </c>
      <c r="J447" s="572">
        <v>27540</v>
      </c>
      <c r="K447" s="572">
        <v>30600</v>
      </c>
      <c r="L447" s="572">
        <v>33060</v>
      </c>
      <c r="M447" s="572">
        <v>35520</v>
      </c>
      <c r="N447" s="572">
        <v>37950</v>
      </c>
      <c r="O447" s="572">
        <v>40410</v>
      </c>
      <c r="P447" s="39"/>
      <c r="Q447" s="39"/>
    </row>
    <row r="448" spans="1:17" ht="13.8" thickBot="1">
      <c r="A448" s="575"/>
      <c r="B448" s="40">
        <v>0.2</v>
      </c>
      <c r="C448" s="512">
        <v>357</v>
      </c>
      <c r="D448" s="512">
        <v>382</v>
      </c>
      <c r="E448" s="512">
        <v>459</v>
      </c>
      <c r="F448" s="512">
        <v>530</v>
      </c>
      <c r="G448" s="512">
        <v>592</v>
      </c>
      <c r="H448" s="513">
        <v>14280</v>
      </c>
      <c r="I448" s="513">
        <v>16320</v>
      </c>
      <c r="J448" s="513">
        <v>18360</v>
      </c>
      <c r="K448" s="513">
        <v>20400</v>
      </c>
      <c r="L448" s="513">
        <v>22040</v>
      </c>
      <c r="M448" s="513">
        <v>23680</v>
      </c>
      <c r="N448" s="513">
        <v>25300</v>
      </c>
      <c r="O448" s="513">
        <v>26940</v>
      </c>
      <c r="P448" s="41"/>
      <c r="Q448" s="41"/>
    </row>
    <row r="449" spans="1:17" ht="13.8" thickTop="1">
      <c r="A449" s="38"/>
      <c r="B449" s="37">
        <v>1.2</v>
      </c>
      <c r="C449" s="514">
        <v>2142</v>
      </c>
      <c r="D449" s="514">
        <v>2295</v>
      </c>
      <c r="E449" s="514">
        <v>2754</v>
      </c>
      <c r="F449" s="514">
        <v>3183</v>
      </c>
      <c r="G449" s="514">
        <v>3552</v>
      </c>
      <c r="H449" s="514">
        <v>85680</v>
      </c>
      <c r="I449" s="514">
        <v>97920</v>
      </c>
      <c r="J449" s="514">
        <v>110160</v>
      </c>
      <c r="K449" s="514">
        <v>122400</v>
      </c>
      <c r="L449" s="514">
        <v>132240</v>
      </c>
      <c r="M449" s="514">
        <v>142080</v>
      </c>
      <c r="N449" s="514">
        <v>151800</v>
      </c>
      <c r="O449" s="514">
        <v>161640</v>
      </c>
      <c r="P449" s="39"/>
      <c r="Q449" s="39"/>
    </row>
    <row r="450" spans="1:17">
      <c r="A450" s="38"/>
      <c r="B450" s="574">
        <v>1</v>
      </c>
      <c r="C450" s="571">
        <v>1785</v>
      </c>
      <c r="D450" s="571">
        <v>1912</v>
      </c>
      <c r="E450" s="571">
        <v>2295</v>
      </c>
      <c r="F450" s="571">
        <v>2652</v>
      </c>
      <c r="G450" s="571">
        <v>2960</v>
      </c>
      <c r="H450" s="571">
        <v>71400</v>
      </c>
      <c r="I450" s="571">
        <v>81600</v>
      </c>
      <c r="J450" s="571">
        <v>91800</v>
      </c>
      <c r="K450" s="571">
        <v>102000</v>
      </c>
      <c r="L450" s="571">
        <v>110200</v>
      </c>
      <c r="M450" s="571">
        <v>118400</v>
      </c>
      <c r="N450" s="571">
        <v>126500</v>
      </c>
      <c r="O450" s="571">
        <v>134700</v>
      </c>
      <c r="P450" s="39"/>
      <c r="Q450" s="39"/>
    </row>
    <row r="451" spans="1:17">
      <c r="A451" s="38" t="s">
        <v>1156</v>
      </c>
      <c r="B451" s="574">
        <v>0.8</v>
      </c>
      <c r="C451" s="571">
        <v>1428</v>
      </c>
      <c r="D451" s="571">
        <v>1530</v>
      </c>
      <c r="E451" s="571">
        <v>1836</v>
      </c>
      <c r="F451" s="571">
        <v>2122</v>
      </c>
      <c r="G451" s="571">
        <v>2368</v>
      </c>
      <c r="H451" s="572">
        <v>57120</v>
      </c>
      <c r="I451" s="572">
        <v>65280</v>
      </c>
      <c r="J451" s="572">
        <v>73440</v>
      </c>
      <c r="K451" s="572">
        <v>81600</v>
      </c>
      <c r="L451" s="572">
        <v>88160</v>
      </c>
      <c r="M451" s="572">
        <v>94720</v>
      </c>
      <c r="N451" s="572">
        <v>101200</v>
      </c>
      <c r="O451" s="572">
        <v>107760</v>
      </c>
      <c r="P451" s="39"/>
      <c r="Q451" s="39"/>
    </row>
    <row r="452" spans="1:17">
      <c r="A452" s="38"/>
      <c r="B452" s="574">
        <v>0.7</v>
      </c>
      <c r="C452" s="571">
        <v>1249</v>
      </c>
      <c r="D452" s="571">
        <v>1338</v>
      </c>
      <c r="E452" s="571">
        <v>1606</v>
      </c>
      <c r="F452" s="571">
        <v>1856</v>
      </c>
      <c r="G452" s="571">
        <v>2072</v>
      </c>
      <c r="H452" s="572">
        <v>49980</v>
      </c>
      <c r="I452" s="572">
        <v>57120</v>
      </c>
      <c r="J452" s="572">
        <v>64259.999999999993</v>
      </c>
      <c r="K452" s="572">
        <v>71400</v>
      </c>
      <c r="L452" s="572">
        <v>77140</v>
      </c>
      <c r="M452" s="572">
        <v>82880</v>
      </c>
      <c r="N452" s="572">
        <v>88550</v>
      </c>
      <c r="O452" s="572">
        <v>94290</v>
      </c>
      <c r="P452" s="39"/>
      <c r="Q452" s="39"/>
    </row>
    <row r="453" spans="1:17">
      <c r="A453" s="38"/>
      <c r="B453" s="574">
        <v>0.6</v>
      </c>
      <c r="C453" s="571">
        <v>1071</v>
      </c>
      <c r="D453" s="571">
        <v>1147</v>
      </c>
      <c r="E453" s="571">
        <v>1377</v>
      </c>
      <c r="F453" s="571">
        <v>1591</v>
      </c>
      <c r="G453" s="571">
        <v>1776</v>
      </c>
      <c r="H453" s="571">
        <v>42840</v>
      </c>
      <c r="I453" s="571">
        <v>48960</v>
      </c>
      <c r="J453" s="571">
        <v>55080</v>
      </c>
      <c r="K453" s="571">
        <v>61200</v>
      </c>
      <c r="L453" s="571">
        <v>66120</v>
      </c>
      <c r="M453" s="573">
        <v>71040</v>
      </c>
      <c r="N453" s="573">
        <v>75900</v>
      </c>
      <c r="O453" s="573">
        <v>80820</v>
      </c>
      <c r="P453" s="39"/>
      <c r="Q453" s="39"/>
    </row>
    <row r="454" spans="1:17">
      <c r="A454" s="38"/>
      <c r="B454" s="574">
        <v>0.55000000000000004</v>
      </c>
      <c r="C454" s="571">
        <v>981</v>
      </c>
      <c r="D454" s="571">
        <v>1051</v>
      </c>
      <c r="E454" s="571">
        <v>1262</v>
      </c>
      <c r="F454" s="571">
        <v>1458</v>
      </c>
      <c r="G454" s="571">
        <v>1628</v>
      </c>
      <c r="H454" s="571">
        <v>39270</v>
      </c>
      <c r="I454" s="571">
        <v>44880</v>
      </c>
      <c r="J454" s="571">
        <v>50490.000000000007</v>
      </c>
      <c r="K454" s="571">
        <v>56100.000000000007</v>
      </c>
      <c r="L454" s="571">
        <v>60610.000000000007</v>
      </c>
      <c r="M454" s="571">
        <v>65120.000000000007</v>
      </c>
      <c r="N454" s="571">
        <v>69575</v>
      </c>
      <c r="O454" s="571">
        <v>74085</v>
      </c>
      <c r="P454" s="39"/>
      <c r="Q454" s="39"/>
    </row>
    <row r="455" spans="1:17">
      <c r="A455" s="38"/>
      <c r="B455" s="574">
        <v>0.5</v>
      </c>
      <c r="C455" s="571">
        <v>892</v>
      </c>
      <c r="D455" s="571">
        <v>956</v>
      </c>
      <c r="E455" s="571">
        <v>1147</v>
      </c>
      <c r="F455" s="571">
        <v>1326</v>
      </c>
      <c r="G455" s="571">
        <v>1480</v>
      </c>
      <c r="H455" s="572">
        <v>35700</v>
      </c>
      <c r="I455" s="572">
        <v>40800</v>
      </c>
      <c r="J455" s="572">
        <v>45900</v>
      </c>
      <c r="K455" s="572">
        <v>51000</v>
      </c>
      <c r="L455" s="572">
        <v>55100</v>
      </c>
      <c r="M455" s="572">
        <v>59200</v>
      </c>
      <c r="N455" s="572">
        <v>63250</v>
      </c>
      <c r="O455" s="572">
        <v>67350</v>
      </c>
      <c r="P455" s="39"/>
      <c r="Q455" s="39"/>
    </row>
    <row r="456" spans="1:17">
      <c r="A456" s="38"/>
      <c r="B456" s="574">
        <v>0.45</v>
      </c>
      <c r="C456" s="571">
        <v>803</v>
      </c>
      <c r="D456" s="571">
        <v>860</v>
      </c>
      <c r="E456" s="571">
        <v>1032</v>
      </c>
      <c r="F456" s="571">
        <v>1193</v>
      </c>
      <c r="G456" s="571">
        <v>1332</v>
      </c>
      <c r="H456" s="571">
        <v>32130</v>
      </c>
      <c r="I456" s="571">
        <v>36720</v>
      </c>
      <c r="J456" s="571">
        <v>41310</v>
      </c>
      <c r="K456" s="571">
        <v>45900</v>
      </c>
      <c r="L456" s="571">
        <v>49590</v>
      </c>
      <c r="M456" s="573">
        <v>53280</v>
      </c>
      <c r="N456" s="573">
        <v>56925</v>
      </c>
      <c r="O456" s="573">
        <v>60615</v>
      </c>
      <c r="P456" s="39"/>
      <c r="Q456" s="39"/>
    </row>
    <row r="457" spans="1:17">
      <c r="A457" s="38"/>
      <c r="B457" s="574">
        <v>0.4</v>
      </c>
      <c r="C457" s="571">
        <v>714</v>
      </c>
      <c r="D457" s="571">
        <v>765</v>
      </c>
      <c r="E457" s="571">
        <v>918</v>
      </c>
      <c r="F457" s="571">
        <v>1061</v>
      </c>
      <c r="G457" s="571">
        <v>1184</v>
      </c>
      <c r="H457" s="571">
        <v>28560</v>
      </c>
      <c r="I457" s="571">
        <v>32640</v>
      </c>
      <c r="J457" s="571">
        <v>36720</v>
      </c>
      <c r="K457" s="571">
        <v>40800</v>
      </c>
      <c r="L457" s="571">
        <v>44080</v>
      </c>
      <c r="M457" s="573">
        <v>47360</v>
      </c>
      <c r="N457" s="573">
        <v>50600</v>
      </c>
      <c r="O457" s="573">
        <v>53880</v>
      </c>
      <c r="P457" s="39"/>
      <c r="Q457" s="39"/>
    </row>
    <row r="458" spans="1:17">
      <c r="A458" s="38"/>
      <c r="B458" s="510">
        <v>0.3</v>
      </c>
      <c r="C458" s="571">
        <v>535</v>
      </c>
      <c r="D458" s="571">
        <v>573</v>
      </c>
      <c r="E458" s="571">
        <v>688</v>
      </c>
      <c r="F458" s="571">
        <v>795</v>
      </c>
      <c r="G458" s="571">
        <v>888</v>
      </c>
      <c r="H458" s="572">
        <v>21420</v>
      </c>
      <c r="I458" s="572">
        <v>24480</v>
      </c>
      <c r="J458" s="572">
        <v>27540</v>
      </c>
      <c r="K458" s="572">
        <v>30600</v>
      </c>
      <c r="L458" s="572">
        <v>33060</v>
      </c>
      <c r="M458" s="572">
        <v>35520</v>
      </c>
      <c r="N458" s="572">
        <v>37950</v>
      </c>
      <c r="O458" s="572">
        <v>40410</v>
      </c>
      <c r="P458" s="39"/>
      <c r="Q458" s="39"/>
    </row>
    <row r="459" spans="1:17" ht="13.8" thickBot="1">
      <c r="A459" s="575"/>
      <c r="B459" s="40">
        <v>0.2</v>
      </c>
      <c r="C459" s="512">
        <v>357</v>
      </c>
      <c r="D459" s="512">
        <v>382</v>
      </c>
      <c r="E459" s="512">
        <v>459</v>
      </c>
      <c r="F459" s="512">
        <v>530</v>
      </c>
      <c r="G459" s="512">
        <v>592</v>
      </c>
      <c r="H459" s="513">
        <v>14280</v>
      </c>
      <c r="I459" s="513">
        <v>16320</v>
      </c>
      <c r="J459" s="513">
        <v>18360</v>
      </c>
      <c r="K459" s="513">
        <v>20400</v>
      </c>
      <c r="L459" s="513">
        <v>22040</v>
      </c>
      <c r="M459" s="513">
        <v>23680</v>
      </c>
      <c r="N459" s="513">
        <v>25300</v>
      </c>
      <c r="O459" s="513">
        <v>26940</v>
      </c>
      <c r="P459" s="45"/>
      <c r="Q459" s="45"/>
    </row>
    <row r="460" spans="1:17" ht="13.8" thickTop="1">
      <c r="A460" s="38"/>
      <c r="B460" s="37">
        <v>1.2</v>
      </c>
      <c r="C460" s="514">
        <v>2142</v>
      </c>
      <c r="D460" s="514">
        <v>2295</v>
      </c>
      <c r="E460" s="514">
        <v>2754</v>
      </c>
      <c r="F460" s="514">
        <v>3183</v>
      </c>
      <c r="G460" s="514">
        <v>3552</v>
      </c>
      <c r="H460" s="514">
        <v>85680</v>
      </c>
      <c r="I460" s="514">
        <v>97920</v>
      </c>
      <c r="J460" s="514">
        <v>110160</v>
      </c>
      <c r="K460" s="514">
        <v>122400</v>
      </c>
      <c r="L460" s="514">
        <v>132240</v>
      </c>
      <c r="M460" s="514">
        <v>142080</v>
      </c>
      <c r="N460" s="514">
        <v>151800</v>
      </c>
      <c r="O460" s="514">
        <v>161640</v>
      </c>
      <c r="P460" s="39"/>
      <c r="Q460" s="39"/>
    </row>
    <row r="461" spans="1:17">
      <c r="A461" s="38"/>
      <c r="B461" s="574">
        <v>1</v>
      </c>
      <c r="C461" s="571">
        <v>1785</v>
      </c>
      <c r="D461" s="571">
        <v>1912</v>
      </c>
      <c r="E461" s="571">
        <v>2295</v>
      </c>
      <c r="F461" s="571">
        <v>2652</v>
      </c>
      <c r="G461" s="571">
        <v>2960</v>
      </c>
      <c r="H461" s="571">
        <v>71400</v>
      </c>
      <c r="I461" s="571">
        <v>81600</v>
      </c>
      <c r="J461" s="571">
        <v>91800</v>
      </c>
      <c r="K461" s="571">
        <v>102000</v>
      </c>
      <c r="L461" s="571">
        <v>110200</v>
      </c>
      <c r="M461" s="571">
        <v>118400</v>
      </c>
      <c r="N461" s="571">
        <v>126500</v>
      </c>
      <c r="O461" s="571">
        <v>134700</v>
      </c>
      <c r="P461" s="39"/>
      <c r="Q461" s="39"/>
    </row>
    <row r="462" spans="1:17">
      <c r="A462" s="38" t="s">
        <v>1157</v>
      </c>
      <c r="B462" s="574">
        <v>0.8</v>
      </c>
      <c r="C462" s="571">
        <v>1428</v>
      </c>
      <c r="D462" s="571">
        <v>1530</v>
      </c>
      <c r="E462" s="571">
        <v>1836</v>
      </c>
      <c r="F462" s="571">
        <v>2122</v>
      </c>
      <c r="G462" s="571">
        <v>2368</v>
      </c>
      <c r="H462" s="572">
        <v>57120</v>
      </c>
      <c r="I462" s="572">
        <v>65280</v>
      </c>
      <c r="J462" s="572">
        <v>73440</v>
      </c>
      <c r="K462" s="572">
        <v>81600</v>
      </c>
      <c r="L462" s="572">
        <v>88160</v>
      </c>
      <c r="M462" s="572">
        <v>94720</v>
      </c>
      <c r="N462" s="572">
        <v>101200</v>
      </c>
      <c r="O462" s="572">
        <v>107760</v>
      </c>
      <c r="P462" s="39"/>
      <c r="Q462" s="39"/>
    </row>
    <row r="463" spans="1:17">
      <c r="A463" s="38"/>
      <c r="B463" s="574">
        <v>0.7</v>
      </c>
      <c r="C463" s="571">
        <v>1249</v>
      </c>
      <c r="D463" s="571">
        <v>1338</v>
      </c>
      <c r="E463" s="571">
        <v>1606</v>
      </c>
      <c r="F463" s="571">
        <v>1856</v>
      </c>
      <c r="G463" s="571">
        <v>2072</v>
      </c>
      <c r="H463" s="572">
        <v>49980</v>
      </c>
      <c r="I463" s="572">
        <v>57120</v>
      </c>
      <c r="J463" s="572">
        <v>64259.999999999993</v>
      </c>
      <c r="K463" s="572">
        <v>71400</v>
      </c>
      <c r="L463" s="572">
        <v>77140</v>
      </c>
      <c r="M463" s="572">
        <v>82880</v>
      </c>
      <c r="N463" s="572">
        <v>88550</v>
      </c>
      <c r="O463" s="572">
        <v>94290</v>
      </c>
      <c r="P463" s="39"/>
      <c r="Q463" s="39"/>
    </row>
    <row r="464" spans="1:17">
      <c r="A464" s="38"/>
      <c r="B464" s="574">
        <v>0.6</v>
      </c>
      <c r="C464" s="571">
        <v>1071</v>
      </c>
      <c r="D464" s="571">
        <v>1147</v>
      </c>
      <c r="E464" s="571">
        <v>1377</v>
      </c>
      <c r="F464" s="571">
        <v>1591</v>
      </c>
      <c r="G464" s="571">
        <v>1776</v>
      </c>
      <c r="H464" s="571">
        <v>42840</v>
      </c>
      <c r="I464" s="571">
        <v>48960</v>
      </c>
      <c r="J464" s="571">
        <v>55080</v>
      </c>
      <c r="K464" s="571">
        <v>61200</v>
      </c>
      <c r="L464" s="571">
        <v>66120</v>
      </c>
      <c r="M464" s="573">
        <v>71040</v>
      </c>
      <c r="N464" s="573">
        <v>75900</v>
      </c>
      <c r="O464" s="573">
        <v>80820</v>
      </c>
      <c r="P464" s="39"/>
      <c r="Q464" s="39"/>
    </row>
    <row r="465" spans="1:17">
      <c r="A465" s="38"/>
      <c r="B465" s="574">
        <v>0.55000000000000004</v>
      </c>
      <c r="C465" s="571">
        <v>981</v>
      </c>
      <c r="D465" s="571">
        <v>1051</v>
      </c>
      <c r="E465" s="571">
        <v>1262</v>
      </c>
      <c r="F465" s="571">
        <v>1458</v>
      </c>
      <c r="G465" s="571">
        <v>1628</v>
      </c>
      <c r="H465" s="571">
        <v>39270</v>
      </c>
      <c r="I465" s="571">
        <v>44880</v>
      </c>
      <c r="J465" s="571">
        <v>50490.000000000007</v>
      </c>
      <c r="K465" s="571">
        <v>56100.000000000007</v>
      </c>
      <c r="L465" s="571">
        <v>60610.000000000007</v>
      </c>
      <c r="M465" s="571">
        <v>65120.000000000007</v>
      </c>
      <c r="N465" s="571">
        <v>69575</v>
      </c>
      <c r="O465" s="571">
        <v>74085</v>
      </c>
      <c r="P465" s="39"/>
      <c r="Q465" s="39"/>
    </row>
    <row r="466" spans="1:17">
      <c r="A466" s="38"/>
      <c r="B466" s="574">
        <v>0.5</v>
      </c>
      <c r="C466" s="571">
        <v>892</v>
      </c>
      <c r="D466" s="571">
        <v>956</v>
      </c>
      <c r="E466" s="571">
        <v>1147</v>
      </c>
      <c r="F466" s="571">
        <v>1326</v>
      </c>
      <c r="G466" s="571">
        <v>1480</v>
      </c>
      <c r="H466" s="572">
        <v>35700</v>
      </c>
      <c r="I466" s="572">
        <v>40800</v>
      </c>
      <c r="J466" s="572">
        <v>45900</v>
      </c>
      <c r="K466" s="572">
        <v>51000</v>
      </c>
      <c r="L466" s="572">
        <v>55100</v>
      </c>
      <c r="M466" s="572">
        <v>59200</v>
      </c>
      <c r="N466" s="572">
        <v>63250</v>
      </c>
      <c r="O466" s="572">
        <v>67350</v>
      </c>
      <c r="P466" s="39"/>
      <c r="Q466" s="39"/>
    </row>
    <row r="467" spans="1:17">
      <c r="A467" s="38"/>
      <c r="B467" s="574">
        <v>0.45</v>
      </c>
      <c r="C467" s="571">
        <v>803</v>
      </c>
      <c r="D467" s="571">
        <v>860</v>
      </c>
      <c r="E467" s="571">
        <v>1032</v>
      </c>
      <c r="F467" s="571">
        <v>1193</v>
      </c>
      <c r="G467" s="571">
        <v>1332</v>
      </c>
      <c r="H467" s="571">
        <v>32130</v>
      </c>
      <c r="I467" s="571">
        <v>36720</v>
      </c>
      <c r="J467" s="571">
        <v>41310</v>
      </c>
      <c r="K467" s="571">
        <v>45900</v>
      </c>
      <c r="L467" s="571">
        <v>49590</v>
      </c>
      <c r="M467" s="573">
        <v>53280</v>
      </c>
      <c r="N467" s="573">
        <v>56925</v>
      </c>
      <c r="O467" s="573">
        <v>60615</v>
      </c>
      <c r="P467" s="39"/>
      <c r="Q467" s="39"/>
    </row>
    <row r="468" spans="1:17">
      <c r="A468" s="38"/>
      <c r="B468" s="574">
        <v>0.4</v>
      </c>
      <c r="C468" s="571">
        <v>714</v>
      </c>
      <c r="D468" s="571">
        <v>765</v>
      </c>
      <c r="E468" s="571">
        <v>918</v>
      </c>
      <c r="F468" s="571">
        <v>1061</v>
      </c>
      <c r="G468" s="571">
        <v>1184</v>
      </c>
      <c r="H468" s="571">
        <v>28560</v>
      </c>
      <c r="I468" s="571">
        <v>32640</v>
      </c>
      <c r="J468" s="571">
        <v>36720</v>
      </c>
      <c r="K468" s="571">
        <v>40800</v>
      </c>
      <c r="L468" s="571">
        <v>44080</v>
      </c>
      <c r="M468" s="573">
        <v>47360</v>
      </c>
      <c r="N468" s="573">
        <v>50600</v>
      </c>
      <c r="O468" s="573">
        <v>53880</v>
      </c>
      <c r="P468" s="39"/>
      <c r="Q468" s="39"/>
    </row>
    <row r="469" spans="1:17">
      <c r="A469" s="38"/>
      <c r="B469" s="510">
        <v>0.3</v>
      </c>
      <c r="C469" s="571">
        <v>535</v>
      </c>
      <c r="D469" s="571">
        <v>573</v>
      </c>
      <c r="E469" s="571">
        <v>688</v>
      </c>
      <c r="F469" s="571">
        <v>795</v>
      </c>
      <c r="G469" s="571">
        <v>888</v>
      </c>
      <c r="H469" s="572">
        <v>21420</v>
      </c>
      <c r="I469" s="572">
        <v>24480</v>
      </c>
      <c r="J469" s="572">
        <v>27540</v>
      </c>
      <c r="K469" s="572">
        <v>30600</v>
      </c>
      <c r="L469" s="572">
        <v>33060</v>
      </c>
      <c r="M469" s="572">
        <v>35520</v>
      </c>
      <c r="N469" s="572">
        <v>37950</v>
      </c>
      <c r="O469" s="572">
        <v>40410</v>
      </c>
      <c r="P469" s="39"/>
      <c r="Q469" s="39"/>
    </row>
    <row r="470" spans="1:17" ht="13.8" thickBot="1">
      <c r="A470" s="575"/>
      <c r="B470" s="40">
        <v>0.2</v>
      </c>
      <c r="C470" s="512">
        <v>357</v>
      </c>
      <c r="D470" s="512">
        <v>382</v>
      </c>
      <c r="E470" s="512">
        <v>459</v>
      </c>
      <c r="F470" s="512">
        <v>530</v>
      </c>
      <c r="G470" s="512">
        <v>592</v>
      </c>
      <c r="H470" s="513">
        <v>14280</v>
      </c>
      <c r="I470" s="513">
        <v>16320</v>
      </c>
      <c r="J470" s="513">
        <v>18360</v>
      </c>
      <c r="K470" s="513">
        <v>20400</v>
      </c>
      <c r="L470" s="513">
        <v>22040</v>
      </c>
      <c r="M470" s="513">
        <v>23680</v>
      </c>
      <c r="N470" s="513">
        <v>25300</v>
      </c>
      <c r="O470" s="513">
        <v>26940</v>
      </c>
      <c r="P470" s="45"/>
      <c r="Q470" s="45"/>
    </row>
    <row r="471" spans="1:17" ht="13.8" thickTop="1">
      <c r="A471" s="38"/>
      <c r="B471" s="37">
        <v>1.2</v>
      </c>
      <c r="C471" s="514">
        <v>2142</v>
      </c>
      <c r="D471" s="514">
        <v>2295</v>
      </c>
      <c r="E471" s="514">
        <v>2754</v>
      </c>
      <c r="F471" s="514">
        <v>3183</v>
      </c>
      <c r="G471" s="514">
        <v>3552</v>
      </c>
      <c r="H471" s="514">
        <v>85680</v>
      </c>
      <c r="I471" s="514">
        <v>97920</v>
      </c>
      <c r="J471" s="514">
        <v>110160</v>
      </c>
      <c r="K471" s="514">
        <v>122400</v>
      </c>
      <c r="L471" s="514">
        <v>132240</v>
      </c>
      <c r="M471" s="514">
        <v>142080</v>
      </c>
      <c r="N471" s="514">
        <v>151800</v>
      </c>
      <c r="O471" s="514">
        <v>161640</v>
      </c>
      <c r="P471" s="41"/>
      <c r="Q471" s="41"/>
    </row>
    <row r="472" spans="1:17">
      <c r="A472" s="38"/>
      <c r="B472" s="574">
        <v>1</v>
      </c>
      <c r="C472" s="571">
        <v>1785</v>
      </c>
      <c r="D472" s="571">
        <v>1912</v>
      </c>
      <c r="E472" s="571">
        <v>2295</v>
      </c>
      <c r="F472" s="571">
        <v>2652</v>
      </c>
      <c r="G472" s="571">
        <v>2960</v>
      </c>
      <c r="H472" s="571">
        <v>71400</v>
      </c>
      <c r="I472" s="571">
        <v>81600</v>
      </c>
      <c r="J472" s="571">
        <v>91800</v>
      </c>
      <c r="K472" s="571">
        <v>102000</v>
      </c>
      <c r="L472" s="571">
        <v>110200</v>
      </c>
      <c r="M472" s="571">
        <v>118400</v>
      </c>
      <c r="N472" s="571">
        <v>126500</v>
      </c>
      <c r="O472" s="571">
        <v>134700</v>
      </c>
      <c r="P472" s="41"/>
      <c r="Q472" s="41"/>
    </row>
    <row r="473" spans="1:17">
      <c r="A473" s="38" t="s">
        <v>1158</v>
      </c>
      <c r="B473" s="574">
        <v>0.8</v>
      </c>
      <c r="C473" s="571">
        <v>1428</v>
      </c>
      <c r="D473" s="571">
        <v>1530</v>
      </c>
      <c r="E473" s="571">
        <v>1836</v>
      </c>
      <c r="F473" s="571">
        <v>2122</v>
      </c>
      <c r="G473" s="571">
        <v>2368</v>
      </c>
      <c r="H473" s="572">
        <v>57120</v>
      </c>
      <c r="I473" s="572">
        <v>65280</v>
      </c>
      <c r="J473" s="572">
        <v>73440</v>
      </c>
      <c r="K473" s="572">
        <v>81600</v>
      </c>
      <c r="L473" s="572">
        <v>88160</v>
      </c>
      <c r="M473" s="572">
        <v>94720</v>
      </c>
      <c r="N473" s="572">
        <v>101200</v>
      </c>
      <c r="O473" s="572">
        <v>107760</v>
      </c>
      <c r="P473" s="41"/>
      <c r="Q473" s="41"/>
    </row>
    <row r="474" spans="1:17">
      <c r="A474" s="38"/>
      <c r="B474" s="574">
        <v>0.7</v>
      </c>
      <c r="C474" s="571">
        <v>1249</v>
      </c>
      <c r="D474" s="571">
        <v>1338</v>
      </c>
      <c r="E474" s="571">
        <v>1606</v>
      </c>
      <c r="F474" s="571">
        <v>1856</v>
      </c>
      <c r="G474" s="571">
        <v>2072</v>
      </c>
      <c r="H474" s="572">
        <v>49980</v>
      </c>
      <c r="I474" s="572">
        <v>57120</v>
      </c>
      <c r="J474" s="572">
        <v>64259.999999999993</v>
      </c>
      <c r="K474" s="572">
        <v>71400</v>
      </c>
      <c r="L474" s="572">
        <v>77140</v>
      </c>
      <c r="M474" s="572">
        <v>82880</v>
      </c>
      <c r="N474" s="572">
        <v>88550</v>
      </c>
      <c r="O474" s="572">
        <v>94290</v>
      </c>
      <c r="P474" s="41"/>
      <c r="Q474" s="41"/>
    </row>
    <row r="475" spans="1:17">
      <c r="A475" s="38"/>
      <c r="B475" s="574">
        <v>0.6</v>
      </c>
      <c r="C475" s="571">
        <v>1071</v>
      </c>
      <c r="D475" s="571">
        <v>1147</v>
      </c>
      <c r="E475" s="571">
        <v>1377</v>
      </c>
      <c r="F475" s="571">
        <v>1591</v>
      </c>
      <c r="G475" s="571">
        <v>1776</v>
      </c>
      <c r="H475" s="571">
        <v>42840</v>
      </c>
      <c r="I475" s="571">
        <v>48960</v>
      </c>
      <c r="J475" s="571">
        <v>55080</v>
      </c>
      <c r="K475" s="571">
        <v>61200</v>
      </c>
      <c r="L475" s="571">
        <v>66120</v>
      </c>
      <c r="M475" s="573">
        <v>71040</v>
      </c>
      <c r="N475" s="573">
        <v>75900</v>
      </c>
      <c r="O475" s="573">
        <v>80820</v>
      </c>
      <c r="P475" s="41"/>
      <c r="Q475" s="41"/>
    </row>
    <row r="476" spans="1:17">
      <c r="A476" s="38"/>
      <c r="B476" s="574">
        <v>0.55000000000000004</v>
      </c>
      <c r="C476" s="571">
        <v>981</v>
      </c>
      <c r="D476" s="571">
        <v>1051</v>
      </c>
      <c r="E476" s="571">
        <v>1262</v>
      </c>
      <c r="F476" s="571">
        <v>1458</v>
      </c>
      <c r="G476" s="571">
        <v>1628</v>
      </c>
      <c r="H476" s="571">
        <v>39270</v>
      </c>
      <c r="I476" s="571">
        <v>44880</v>
      </c>
      <c r="J476" s="571">
        <v>50490.000000000007</v>
      </c>
      <c r="K476" s="571">
        <v>56100.000000000007</v>
      </c>
      <c r="L476" s="571">
        <v>60610.000000000007</v>
      </c>
      <c r="M476" s="571">
        <v>65120.000000000007</v>
      </c>
      <c r="N476" s="571">
        <v>69575</v>
      </c>
      <c r="O476" s="571">
        <v>74085</v>
      </c>
      <c r="P476" s="41"/>
      <c r="Q476" s="41"/>
    </row>
    <row r="477" spans="1:17">
      <c r="A477" s="38"/>
      <c r="B477" s="574">
        <v>0.5</v>
      </c>
      <c r="C477" s="571">
        <v>892</v>
      </c>
      <c r="D477" s="571">
        <v>956</v>
      </c>
      <c r="E477" s="571">
        <v>1147</v>
      </c>
      <c r="F477" s="571">
        <v>1326</v>
      </c>
      <c r="G477" s="571">
        <v>1480</v>
      </c>
      <c r="H477" s="572">
        <v>35700</v>
      </c>
      <c r="I477" s="572">
        <v>40800</v>
      </c>
      <c r="J477" s="572">
        <v>45900</v>
      </c>
      <c r="K477" s="572">
        <v>51000</v>
      </c>
      <c r="L477" s="572">
        <v>55100</v>
      </c>
      <c r="M477" s="572">
        <v>59200</v>
      </c>
      <c r="N477" s="572">
        <v>63250</v>
      </c>
      <c r="O477" s="572">
        <v>67350</v>
      </c>
      <c r="P477" s="41"/>
      <c r="Q477" s="41"/>
    </row>
    <row r="478" spans="1:17">
      <c r="A478" s="38"/>
      <c r="B478" s="574">
        <v>0.45</v>
      </c>
      <c r="C478" s="571">
        <v>803</v>
      </c>
      <c r="D478" s="571">
        <v>860</v>
      </c>
      <c r="E478" s="571">
        <v>1032</v>
      </c>
      <c r="F478" s="571">
        <v>1193</v>
      </c>
      <c r="G478" s="571">
        <v>1332</v>
      </c>
      <c r="H478" s="571">
        <v>32130</v>
      </c>
      <c r="I478" s="571">
        <v>36720</v>
      </c>
      <c r="J478" s="571">
        <v>41310</v>
      </c>
      <c r="K478" s="571">
        <v>45900</v>
      </c>
      <c r="L478" s="571">
        <v>49590</v>
      </c>
      <c r="M478" s="573">
        <v>53280</v>
      </c>
      <c r="N478" s="573">
        <v>56925</v>
      </c>
      <c r="O478" s="573">
        <v>60615</v>
      </c>
      <c r="P478" s="41"/>
      <c r="Q478" s="41"/>
    </row>
    <row r="479" spans="1:17">
      <c r="A479" s="38"/>
      <c r="B479" s="574">
        <v>0.4</v>
      </c>
      <c r="C479" s="571">
        <v>714</v>
      </c>
      <c r="D479" s="571">
        <v>765</v>
      </c>
      <c r="E479" s="571">
        <v>918</v>
      </c>
      <c r="F479" s="571">
        <v>1061</v>
      </c>
      <c r="G479" s="571">
        <v>1184</v>
      </c>
      <c r="H479" s="571">
        <v>28560</v>
      </c>
      <c r="I479" s="571">
        <v>32640</v>
      </c>
      <c r="J479" s="571">
        <v>36720</v>
      </c>
      <c r="K479" s="571">
        <v>40800</v>
      </c>
      <c r="L479" s="571">
        <v>44080</v>
      </c>
      <c r="M479" s="573">
        <v>47360</v>
      </c>
      <c r="N479" s="573">
        <v>50600</v>
      </c>
      <c r="O479" s="573">
        <v>53880</v>
      </c>
      <c r="P479" s="41"/>
      <c r="Q479" s="41"/>
    </row>
    <row r="480" spans="1:17">
      <c r="A480" s="38"/>
      <c r="B480" s="510">
        <v>0.3</v>
      </c>
      <c r="C480" s="571">
        <v>535</v>
      </c>
      <c r="D480" s="571">
        <v>573</v>
      </c>
      <c r="E480" s="571">
        <v>688</v>
      </c>
      <c r="F480" s="571">
        <v>795</v>
      </c>
      <c r="G480" s="571">
        <v>888</v>
      </c>
      <c r="H480" s="572">
        <v>21420</v>
      </c>
      <c r="I480" s="572">
        <v>24480</v>
      </c>
      <c r="J480" s="572">
        <v>27540</v>
      </c>
      <c r="K480" s="572">
        <v>30600</v>
      </c>
      <c r="L480" s="572">
        <v>33060</v>
      </c>
      <c r="M480" s="572">
        <v>35520</v>
      </c>
      <c r="N480" s="572">
        <v>37950</v>
      </c>
      <c r="O480" s="572">
        <v>40410</v>
      </c>
      <c r="P480" s="41"/>
      <c r="Q480" s="41"/>
    </row>
    <row r="481" spans="1:17" ht="13.8" thickBot="1">
      <c r="A481" s="575"/>
      <c r="B481" s="40">
        <v>0.2</v>
      </c>
      <c r="C481" s="512">
        <v>357</v>
      </c>
      <c r="D481" s="512">
        <v>382</v>
      </c>
      <c r="E481" s="512">
        <v>459</v>
      </c>
      <c r="F481" s="512">
        <v>530</v>
      </c>
      <c r="G481" s="512">
        <v>592</v>
      </c>
      <c r="H481" s="513">
        <v>14280</v>
      </c>
      <c r="I481" s="513">
        <v>16320</v>
      </c>
      <c r="J481" s="513">
        <v>18360</v>
      </c>
      <c r="K481" s="513">
        <v>20400</v>
      </c>
      <c r="L481" s="513">
        <v>22040</v>
      </c>
      <c r="M481" s="513">
        <v>23680</v>
      </c>
      <c r="N481" s="513">
        <v>25300</v>
      </c>
      <c r="O481" s="513">
        <v>26940</v>
      </c>
      <c r="P481" s="41"/>
      <c r="Q481" s="41"/>
    </row>
    <row r="482" spans="1:17" ht="13.8" thickTop="1">
      <c r="A482" s="38"/>
      <c r="B482" s="37">
        <v>1.2</v>
      </c>
      <c r="C482" s="514">
        <v>2142</v>
      </c>
      <c r="D482" s="514">
        <v>2295</v>
      </c>
      <c r="E482" s="514">
        <v>2754</v>
      </c>
      <c r="F482" s="514">
        <v>3183</v>
      </c>
      <c r="G482" s="514">
        <v>3552</v>
      </c>
      <c r="H482" s="514">
        <v>85680</v>
      </c>
      <c r="I482" s="514">
        <v>97920</v>
      </c>
      <c r="J482" s="514">
        <v>110160</v>
      </c>
      <c r="K482" s="514">
        <v>122400</v>
      </c>
      <c r="L482" s="514">
        <v>132240</v>
      </c>
      <c r="M482" s="514">
        <v>142080</v>
      </c>
      <c r="N482" s="514">
        <v>151800</v>
      </c>
      <c r="O482" s="514">
        <v>161640</v>
      </c>
      <c r="P482" s="41"/>
      <c r="Q482" s="41"/>
    </row>
    <row r="483" spans="1:17">
      <c r="A483" s="38"/>
      <c r="B483" s="574">
        <v>1</v>
      </c>
      <c r="C483" s="571">
        <v>1785</v>
      </c>
      <c r="D483" s="571">
        <v>1912</v>
      </c>
      <c r="E483" s="571">
        <v>2295</v>
      </c>
      <c r="F483" s="571">
        <v>2652</v>
      </c>
      <c r="G483" s="571">
        <v>2960</v>
      </c>
      <c r="H483" s="571">
        <v>71400</v>
      </c>
      <c r="I483" s="571">
        <v>81600</v>
      </c>
      <c r="J483" s="571">
        <v>91800</v>
      </c>
      <c r="K483" s="571">
        <v>102000</v>
      </c>
      <c r="L483" s="571">
        <v>110200</v>
      </c>
      <c r="M483" s="571">
        <v>118400</v>
      </c>
      <c r="N483" s="571">
        <v>126500</v>
      </c>
      <c r="O483" s="571">
        <v>134700</v>
      </c>
      <c r="P483" s="41"/>
      <c r="Q483" s="41"/>
    </row>
    <row r="484" spans="1:17">
      <c r="A484" s="38" t="s">
        <v>1159</v>
      </c>
      <c r="B484" s="574">
        <v>0.8</v>
      </c>
      <c r="C484" s="571">
        <v>1428</v>
      </c>
      <c r="D484" s="571">
        <v>1530</v>
      </c>
      <c r="E484" s="571">
        <v>1836</v>
      </c>
      <c r="F484" s="571">
        <v>2122</v>
      </c>
      <c r="G484" s="571">
        <v>2368</v>
      </c>
      <c r="H484" s="572">
        <v>57120</v>
      </c>
      <c r="I484" s="572">
        <v>65280</v>
      </c>
      <c r="J484" s="572">
        <v>73440</v>
      </c>
      <c r="K484" s="572">
        <v>81600</v>
      </c>
      <c r="L484" s="572">
        <v>88160</v>
      </c>
      <c r="M484" s="572">
        <v>94720</v>
      </c>
      <c r="N484" s="572">
        <v>101200</v>
      </c>
      <c r="O484" s="572">
        <v>107760</v>
      </c>
      <c r="P484" s="41"/>
      <c r="Q484" s="41"/>
    </row>
    <row r="485" spans="1:17">
      <c r="A485" s="38"/>
      <c r="B485" s="574">
        <v>0.7</v>
      </c>
      <c r="C485" s="571">
        <v>1249</v>
      </c>
      <c r="D485" s="571">
        <v>1338</v>
      </c>
      <c r="E485" s="571">
        <v>1606</v>
      </c>
      <c r="F485" s="571">
        <v>1856</v>
      </c>
      <c r="G485" s="571">
        <v>2072</v>
      </c>
      <c r="H485" s="572">
        <v>49980</v>
      </c>
      <c r="I485" s="572">
        <v>57120</v>
      </c>
      <c r="J485" s="572">
        <v>64259.999999999993</v>
      </c>
      <c r="K485" s="572">
        <v>71400</v>
      </c>
      <c r="L485" s="572">
        <v>77140</v>
      </c>
      <c r="M485" s="572">
        <v>82880</v>
      </c>
      <c r="N485" s="572">
        <v>88550</v>
      </c>
      <c r="O485" s="572">
        <v>94290</v>
      </c>
      <c r="P485" s="41"/>
      <c r="Q485" s="41"/>
    </row>
    <row r="486" spans="1:17">
      <c r="A486" s="38"/>
      <c r="B486" s="574">
        <v>0.6</v>
      </c>
      <c r="C486" s="571">
        <v>1071</v>
      </c>
      <c r="D486" s="571">
        <v>1147</v>
      </c>
      <c r="E486" s="571">
        <v>1377</v>
      </c>
      <c r="F486" s="571">
        <v>1591</v>
      </c>
      <c r="G486" s="571">
        <v>1776</v>
      </c>
      <c r="H486" s="571">
        <v>42840</v>
      </c>
      <c r="I486" s="571">
        <v>48960</v>
      </c>
      <c r="J486" s="571">
        <v>55080</v>
      </c>
      <c r="K486" s="571">
        <v>61200</v>
      </c>
      <c r="L486" s="571">
        <v>66120</v>
      </c>
      <c r="M486" s="573">
        <v>71040</v>
      </c>
      <c r="N486" s="573">
        <v>75900</v>
      </c>
      <c r="O486" s="573">
        <v>80820</v>
      </c>
      <c r="P486" s="41"/>
      <c r="Q486" s="41"/>
    </row>
    <row r="487" spans="1:17">
      <c r="A487" s="38"/>
      <c r="B487" s="574">
        <v>0.55000000000000004</v>
      </c>
      <c r="C487" s="571">
        <v>981</v>
      </c>
      <c r="D487" s="571">
        <v>1051</v>
      </c>
      <c r="E487" s="571">
        <v>1262</v>
      </c>
      <c r="F487" s="571">
        <v>1458</v>
      </c>
      <c r="G487" s="571">
        <v>1628</v>
      </c>
      <c r="H487" s="571">
        <v>39270</v>
      </c>
      <c r="I487" s="571">
        <v>44880</v>
      </c>
      <c r="J487" s="571">
        <v>50490.000000000007</v>
      </c>
      <c r="K487" s="571">
        <v>56100.000000000007</v>
      </c>
      <c r="L487" s="571">
        <v>60610.000000000007</v>
      </c>
      <c r="M487" s="571">
        <v>65120.000000000007</v>
      </c>
      <c r="N487" s="571">
        <v>69575</v>
      </c>
      <c r="O487" s="571">
        <v>74085</v>
      </c>
      <c r="P487" s="41"/>
      <c r="Q487" s="41"/>
    </row>
    <row r="488" spans="1:17">
      <c r="A488" s="38"/>
      <c r="B488" s="574">
        <v>0.5</v>
      </c>
      <c r="C488" s="571">
        <v>892</v>
      </c>
      <c r="D488" s="571">
        <v>956</v>
      </c>
      <c r="E488" s="571">
        <v>1147</v>
      </c>
      <c r="F488" s="571">
        <v>1326</v>
      </c>
      <c r="G488" s="571">
        <v>1480</v>
      </c>
      <c r="H488" s="572">
        <v>35700</v>
      </c>
      <c r="I488" s="572">
        <v>40800</v>
      </c>
      <c r="J488" s="572">
        <v>45900</v>
      </c>
      <c r="K488" s="572">
        <v>51000</v>
      </c>
      <c r="L488" s="572">
        <v>55100</v>
      </c>
      <c r="M488" s="572">
        <v>59200</v>
      </c>
      <c r="N488" s="572">
        <v>63250</v>
      </c>
      <c r="O488" s="572">
        <v>67350</v>
      </c>
      <c r="P488" s="41"/>
      <c r="Q488" s="41"/>
    </row>
    <row r="489" spans="1:17">
      <c r="A489" s="38"/>
      <c r="B489" s="574">
        <v>0.45</v>
      </c>
      <c r="C489" s="571">
        <v>803</v>
      </c>
      <c r="D489" s="571">
        <v>860</v>
      </c>
      <c r="E489" s="571">
        <v>1032</v>
      </c>
      <c r="F489" s="571">
        <v>1193</v>
      </c>
      <c r="G489" s="571">
        <v>1332</v>
      </c>
      <c r="H489" s="571">
        <v>32130</v>
      </c>
      <c r="I489" s="571">
        <v>36720</v>
      </c>
      <c r="J489" s="571">
        <v>41310</v>
      </c>
      <c r="K489" s="571">
        <v>45900</v>
      </c>
      <c r="L489" s="571">
        <v>49590</v>
      </c>
      <c r="M489" s="573">
        <v>53280</v>
      </c>
      <c r="N489" s="573">
        <v>56925</v>
      </c>
      <c r="O489" s="573">
        <v>60615</v>
      </c>
      <c r="P489" s="41"/>
      <c r="Q489" s="41"/>
    </row>
    <row r="490" spans="1:17">
      <c r="A490" s="38"/>
      <c r="B490" s="574">
        <v>0.4</v>
      </c>
      <c r="C490" s="571">
        <v>714</v>
      </c>
      <c r="D490" s="571">
        <v>765</v>
      </c>
      <c r="E490" s="571">
        <v>918</v>
      </c>
      <c r="F490" s="571">
        <v>1061</v>
      </c>
      <c r="G490" s="571">
        <v>1184</v>
      </c>
      <c r="H490" s="571">
        <v>28560</v>
      </c>
      <c r="I490" s="571">
        <v>32640</v>
      </c>
      <c r="J490" s="571">
        <v>36720</v>
      </c>
      <c r="K490" s="571">
        <v>40800</v>
      </c>
      <c r="L490" s="571">
        <v>44080</v>
      </c>
      <c r="M490" s="573">
        <v>47360</v>
      </c>
      <c r="N490" s="573">
        <v>50600</v>
      </c>
      <c r="O490" s="573">
        <v>53880</v>
      </c>
      <c r="P490" s="41"/>
      <c r="Q490" s="41"/>
    </row>
    <row r="491" spans="1:17">
      <c r="A491" s="38"/>
      <c r="B491" s="510">
        <v>0.3</v>
      </c>
      <c r="C491" s="571">
        <v>535</v>
      </c>
      <c r="D491" s="571">
        <v>573</v>
      </c>
      <c r="E491" s="571">
        <v>688</v>
      </c>
      <c r="F491" s="571">
        <v>795</v>
      </c>
      <c r="G491" s="571">
        <v>888</v>
      </c>
      <c r="H491" s="572">
        <v>21420</v>
      </c>
      <c r="I491" s="572">
        <v>24480</v>
      </c>
      <c r="J491" s="572">
        <v>27540</v>
      </c>
      <c r="K491" s="572">
        <v>30600</v>
      </c>
      <c r="L491" s="572">
        <v>33060</v>
      </c>
      <c r="M491" s="572">
        <v>35520</v>
      </c>
      <c r="N491" s="572">
        <v>37950</v>
      </c>
      <c r="O491" s="572">
        <v>40410</v>
      </c>
      <c r="P491" s="41"/>
      <c r="Q491" s="41"/>
    </row>
    <row r="492" spans="1:17" ht="13.8" thickBot="1">
      <c r="A492" s="575"/>
      <c r="B492" s="40">
        <v>0.2</v>
      </c>
      <c r="C492" s="512">
        <v>357</v>
      </c>
      <c r="D492" s="512">
        <v>382</v>
      </c>
      <c r="E492" s="512">
        <v>459</v>
      </c>
      <c r="F492" s="512">
        <v>530</v>
      </c>
      <c r="G492" s="512">
        <v>592</v>
      </c>
      <c r="H492" s="513">
        <v>14280</v>
      </c>
      <c r="I492" s="513">
        <v>16320</v>
      </c>
      <c r="J492" s="513">
        <v>18360</v>
      </c>
      <c r="K492" s="513">
        <v>20400</v>
      </c>
      <c r="L492" s="513">
        <v>22040</v>
      </c>
      <c r="M492" s="513">
        <v>23680</v>
      </c>
      <c r="N492" s="513">
        <v>25300</v>
      </c>
      <c r="O492" s="513">
        <v>26940</v>
      </c>
      <c r="P492" s="41"/>
      <c r="Q492" s="41"/>
    </row>
    <row r="493" spans="1:17" ht="13.8" thickTop="1">
      <c r="A493" s="38"/>
      <c r="B493" s="37">
        <v>1.2</v>
      </c>
      <c r="C493" s="514">
        <v>2142</v>
      </c>
      <c r="D493" s="514">
        <v>2295</v>
      </c>
      <c r="E493" s="514">
        <v>2754</v>
      </c>
      <c r="F493" s="514">
        <v>3183</v>
      </c>
      <c r="G493" s="514">
        <v>3552</v>
      </c>
      <c r="H493" s="514">
        <v>85680</v>
      </c>
      <c r="I493" s="514">
        <v>97920</v>
      </c>
      <c r="J493" s="514">
        <v>110160</v>
      </c>
      <c r="K493" s="514">
        <v>122400</v>
      </c>
      <c r="L493" s="514">
        <v>132240</v>
      </c>
      <c r="M493" s="514">
        <v>142080</v>
      </c>
      <c r="N493" s="514">
        <v>151800</v>
      </c>
      <c r="O493" s="514">
        <v>161640</v>
      </c>
      <c r="P493" s="41"/>
      <c r="Q493" s="41"/>
    </row>
    <row r="494" spans="1:17">
      <c r="A494" s="38"/>
      <c r="B494" s="574">
        <v>1</v>
      </c>
      <c r="C494" s="571">
        <v>1785</v>
      </c>
      <c r="D494" s="571">
        <v>1912</v>
      </c>
      <c r="E494" s="571">
        <v>2295</v>
      </c>
      <c r="F494" s="571">
        <v>2652</v>
      </c>
      <c r="G494" s="571">
        <v>2960</v>
      </c>
      <c r="H494" s="571">
        <v>71400</v>
      </c>
      <c r="I494" s="571">
        <v>81600</v>
      </c>
      <c r="J494" s="571">
        <v>91800</v>
      </c>
      <c r="K494" s="571">
        <v>102000</v>
      </c>
      <c r="L494" s="571">
        <v>110200</v>
      </c>
      <c r="M494" s="571">
        <v>118400</v>
      </c>
      <c r="N494" s="571">
        <v>126500</v>
      </c>
      <c r="O494" s="571">
        <v>134700</v>
      </c>
      <c r="P494" s="41"/>
      <c r="Q494" s="41"/>
    </row>
    <row r="495" spans="1:17">
      <c r="A495" s="38" t="s">
        <v>1160</v>
      </c>
      <c r="B495" s="574">
        <v>0.8</v>
      </c>
      <c r="C495" s="571">
        <v>1428</v>
      </c>
      <c r="D495" s="571">
        <v>1530</v>
      </c>
      <c r="E495" s="571">
        <v>1836</v>
      </c>
      <c r="F495" s="571">
        <v>2122</v>
      </c>
      <c r="G495" s="571">
        <v>2368</v>
      </c>
      <c r="H495" s="572">
        <v>57120</v>
      </c>
      <c r="I495" s="572">
        <v>65280</v>
      </c>
      <c r="J495" s="572">
        <v>73440</v>
      </c>
      <c r="K495" s="572">
        <v>81600</v>
      </c>
      <c r="L495" s="572">
        <v>88160</v>
      </c>
      <c r="M495" s="572">
        <v>94720</v>
      </c>
      <c r="N495" s="572">
        <v>101200</v>
      </c>
      <c r="O495" s="572">
        <v>107760</v>
      </c>
      <c r="P495" s="41"/>
      <c r="Q495" s="41"/>
    </row>
    <row r="496" spans="1:17">
      <c r="A496" s="38"/>
      <c r="B496" s="574">
        <v>0.7</v>
      </c>
      <c r="C496" s="571">
        <v>1249</v>
      </c>
      <c r="D496" s="571">
        <v>1338</v>
      </c>
      <c r="E496" s="571">
        <v>1606</v>
      </c>
      <c r="F496" s="571">
        <v>1856</v>
      </c>
      <c r="G496" s="571">
        <v>2072</v>
      </c>
      <c r="H496" s="572">
        <v>49980</v>
      </c>
      <c r="I496" s="572">
        <v>57120</v>
      </c>
      <c r="J496" s="572">
        <v>64259.999999999993</v>
      </c>
      <c r="K496" s="572">
        <v>71400</v>
      </c>
      <c r="L496" s="572">
        <v>77140</v>
      </c>
      <c r="M496" s="572">
        <v>82880</v>
      </c>
      <c r="N496" s="572">
        <v>88550</v>
      </c>
      <c r="O496" s="572">
        <v>94290</v>
      </c>
      <c r="P496" s="41"/>
      <c r="Q496" s="41"/>
    </row>
    <row r="497" spans="1:17">
      <c r="A497" s="38"/>
      <c r="B497" s="574">
        <v>0.6</v>
      </c>
      <c r="C497" s="571">
        <v>1071</v>
      </c>
      <c r="D497" s="571">
        <v>1147</v>
      </c>
      <c r="E497" s="571">
        <v>1377</v>
      </c>
      <c r="F497" s="571">
        <v>1591</v>
      </c>
      <c r="G497" s="571">
        <v>1776</v>
      </c>
      <c r="H497" s="571">
        <v>42840</v>
      </c>
      <c r="I497" s="571">
        <v>48960</v>
      </c>
      <c r="J497" s="571">
        <v>55080</v>
      </c>
      <c r="K497" s="571">
        <v>61200</v>
      </c>
      <c r="L497" s="571">
        <v>66120</v>
      </c>
      <c r="M497" s="573">
        <v>71040</v>
      </c>
      <c r="N497" s="573">
        <v>75900</v>
      </c>
      <c r="O497" s="573">
        <v>80820</v>
      </c>
      <c r="P497" s="41"/>
      <c r="Q497" s="41"/>
    </row>
    <row r="498" spans="1:17">
      <c r="A498" s="38"/>
      <c r="B498" s="574">
        <v>0.55000000000000004</v>
      </c>
      <c r="C498" s="571">
        <v>981</v>
      </c>
      <c r="D498" s="571">
        <v>1051</v>
      </c>
      <c r="E498" s="571">
        <v>1262</v>
      </c>
      <c r="F498" s="571">
        <v>1458</v>
      </c>
      <c r="G498" s="571">
        <v>1628</v>
      </c>
      <c r="H498" s="571">
        <v>39270</v>
      </c>
      <c r="I498" s="571">
        <v>44880</v>
      </c>
      <c r="J498" s="571">
        <v>50490.000000000007</v>
      </c>
      <c r="K498" s="571">
        <v>56100.000000000007</v>
      </c>
      <c r="L498" s="571">
        <v>60610.000000000007</v>
      </c>
      <c r="M498" s="571">
        <v>65120.000000000007</v>
      </c>
      <c r="N498" s="571">
        <v>69575</v>
      </c>
      <c r="O498" s="571">
        <v>74085</v>
      </c>
      <c r="P498" s="41"/>
      <c r="Q498" s="41"/>
    </row>
    <row r="499" spans="1:17">
      <c r="A499" s="38"/>
      <c r="B499" s="574">
        <v>0.5</v>
      </c>
      <c r="C499" s="571">
        <v>892</v>
      </c>
      <c r="D499" s="571">
        <v>956</v>
      </c>
      <c r="E499" s="571">
        <v>1147</v>
      </c>
      <c r="F499" s="571">
        <v>1326</v>
      </c>
      <c r="G499" s="571">
        <v>1480</v>
      </c>
      <c r="H499" s="572">
        <v>35700</v>
      </c>
      <c r="I499" s="572">
        <v>40800</v>
      </c>
      <c r="J499" s="572">
        <v>45900</v>
      </c>
      <c r="K499" s="572">
        <v>51000</v>
      </c>
      <c r="L499" s="572">
        <v>55100</v>
      </c>
      <c r="M499" s="572">
        <v>59200</v>
      </c>
      <c r="N499" s="572">
        <v>63250</v>
      </c>
      <c r="O499" s="572">
        <v>67350</v>
      </c>
      <c r="P499" s="41"/>
      <c r="Q499" s="41"/>
    </row>
    <row r="500" spans="1:17">
      <c r="A500" s="38"/>
      <c r="B500" s="574">
        <v>0.45</v>
      </c>
      <c r="C500" s="571">
        <v>803</v>
      </c>
      <c r="D500" s="571">
        <v>860</v>
      </c>
      <c r="E500" s="571">
        <v>1032</v>
      </c>
      <c r="F500" s="571">
        <v>1193</v>
      </c>
      <c r="G500" s="571">
        <v>1332</v>
      </c>
      <c r="H500" s="571">
        <v>32130</v>
      </c>
      <c r="I500" s="571">
        <v>36720</v>
      </c>
      <c r="J500" s="571">
        <v>41310</v>
      </c>
      <c r="K500" s="571">
        <v>45900</v>
      </c>
      <c r="L500" s="571">
        <v>49590</v>
      </c>
      <c r="M500" s="573">
        <v>53280</v>
      </c>
      <c r="N500" s="573">
        <v>56925</v>
      </c>
      <c r="O500" s="573">
        <v>60615</v>
      </c>
      <c r="P500" s="41"/>
      <c r="Q500" s="41"/>
    </row>
    <row r="501" spans="1:17">
      <c r="A501" s="38"/>
      <c r="B501" s="574">
        <v>0.4</v>
      </c>
      <c r="C501" s="571">
        <v>714</v>
      </c>
      <c r="D501" s="571">
        <v>765</v>
      </c>
      <c r="E501" s="571">
        <v>918</v>
      </c>
      <c r="F501" s="571">
        <v>1061</v>
      </c>
      <c r="G501" s="571">
        <v>1184</v>
      </c>
      <c r="H501" s="571">
        <v>28560</v>
      </c>
      <c r="I501" s="571">
        <v>32640</v>
      </c>
      <c r="J501" s="571">
        <v>36720</v>
      </c>
      <c r="K501" s="571">
        <v>40800</v>
      </c>
      <c r="L501" s="571">
        <v>44080</v>
      </c>
      <c r="M501" s="573">
        <v>47360</v>
      </c>
      <c r="N501" s="573">
        <v>50600</v>
      </c>
      <c r="O501" s="573">
        <v>53880</v>
      </c>
      <c r="P501" s="41"/>
      <c r="Q501" s="41"/>
    </row>
    <row r="502" spans="1:17">
      <c r="A502" s="38"/>
      <c r="B502" s="510">
        <v>0.3</v>
      </c>
      <c r="C502" s="571">
        <v>535</v>
      </c>
      <c r="D502" s="571">
        <v>573</v>
      </c>
      <c r="E502" s="571">
        <v>688</v>
      </c>
      <c r="F502" s="571">
        <v>795</v>
      </c>
      <c r="G502" s="571">
        <v>888</v>
      </c>
      <c r="H502" s="572">
        <v>21420</v>
      </c>
      <c r="I502" s="572">
        <v>24480</v>
      </c>
      <c r="J502" s="572">
        <v>27540</v>
      </c>
      <c r="K502" s="572">
        <v>30600</v>
      </c>
      <c r="L502" s="572">
        <v>33060</v>
      </c>
      <c r="M502" s="572">
        <v>35520</v>
      </c>
      <c r="N502" s="572">
        <v>37950</v>
      </c>
      <c r="O502" s="572">
        <v>40410</v>
      </c>
      <c r="P502" s="41"/>
      <c r="Q502" s="41"/>
    </row>
    <row r="503" spans="1:17" ht="13.8" thickBot="1">
      <c r="A503" s="575"/>
      <c r="B503" s="40">
        <v>0.2</v>
      </c>
      <c r="C503" s="512">
        <v>357</v>
      </c>
      <c r="D503" s="512">
        <v>382</v>
      </c>
      <c r="E503" s="512">
        <v>459</v>
      </c>
      <c r="F503" s="512">
        <v>530</v>
      </c>
      <c r="G503" s="512">
        <v>592</v>
      </c>
      <c r="H503" s="513">
        <v>14280</v>
      </c>
      <c r="I503" s="513">
        <v>16320</v>
      </c>
      <c r="J503" s="513">
        <v>18360</v>
      </c>
      <c r="K503" s="513">
        <v>20400</v>
      </c>
      <c r="L503" s="513">
        <v>22040</v>
      </c>
      <c r="M503" s="513">
        <v>23680</v>
      </c>
      <c r="N503" s="513">
        <v>25300</v>
      </c>
      <c r="O503" s="513">
        <v>26940</v>
      </c>
      <c r="P503" s="41"/>
      <c r="Q503" s="41"/>
    </row>
    <row r="504" spans="1:17" ht="13.8" thickTop="1">
      <c r="A504" s="38"/>
      <c r="B504" s="37">
        <v>1.2</v>
      </c>
      <c r="C504" s="514">
        <v>2142</v>
      </c>
      <c r="D504" s="514">
        <v>2295</v>
      </c>
      <c r="E504" s="514">
        <v>2754</v>
      </c>
      <c r="F504" s="514">
        <v>3183</v>
      </c>
      <c r="G504" s="514">
        <v>3552</v>
      </c>
      <c r="H504" s="514">
        <v>85680</v>
      </c>
      <c r="I504" s="514">
        <v>97920</v>
      </c>
      <c r="J504" s="514">
        <v>110160</v>
      </c>
      <c r="K504" s="514">
        <v>122400</v>
      </c>
      <c r="L504" s="514">
        <v>132240</v>
      </c>
      <c r="M504" s="514">
        <v>142080</v>
      </c>
      <c r="N504" s="514">
        <v>151800</v>
      </c>
      <c r="O504" s="514">
        <v>161640</v>
      </c>
      <c r="P504" s="41"/>
      <c r="Q504" s="41"/>
    </row>
    <row r="505" spans="1:17">
      <c r="A505" s="38"/>
      <c r="B505" s="574">
        <v>1</v>
      </c>
      <c r="C505" s="571">
        <v>1785</v>
      </c>
      <c r="D505" s="571">
        <v>1912</v>
      </c>
      <c r="E505" s="571">
        <v>2295</v>
      </c>
      <c r="F505" s="571">
        <v>2652</v>
      </c>
      <c r="G505" s="571">
        <v>2960</v>
      </c>
      <c r="H505" s="571">
        <v>71400</v>
      </c>
      <c r="I505" s="571">
        <v>81600</v>
      </c>
      <c r="J505" s="571">
        <v>91800</v>
      </c>
      <c r="K505" s="571">
        <v>102000</v>
      </c>
      <c r="L505" s="571">
        <v>110200</v>
      </c>
      <c r="M505" s="571">
        <v>118400</v>
      </c>
      <c r="N505" s="571">
        <v>126500</v>
      </c>
      <c r="O505" s="571">
        <v>134700</v>
      </c>
      <c r="P505" s="41"/>
      <c r="Q505" s="41"/>
    </row>
    <row r="506" spans="1:17">
      <c r="A506" s="38" t="s">
        <v>1161</v>
      </c>
      <c r="B506" s="574">
        <v>0.8</v>
      </c>
      <c r="C506" s="571">
        <v>1428</v>
      </c>
      <c r="D506" s="571">
        <v>1530</v>
      </c>
      <c r="E506" s="571">
        <v>1836</v>
      </c>
      <c r="F506" s="571">
        <v>2122</v>
      </c>
      <c r="G506" s="571">
        <v>2368</v>
      </c>
      <c r="H506" s="572">
        <v>57120</v>
      </c>
      <c r="I506" s="572">
        <v>65280</v>
      </c>
      <c r="J506" s="572">
        <v>73440</v>
      </c>
      <c r="K506" s="572">
        <v>81600</v>
      </c>
      <c r="L506" s="572">
        <v>88160</v>
      </c>
      <c r="M506" s="572">
        <v>94720</v>
      </c>
      <c r="N506" s="572">
        <v>101200</v>
      </c>
      <c r="O506" s="572">
        <v>107760</v>
      </c>
      <c r="P506" s="41"/>
      <c r="Q506" s="41"/>
    </row>
    <row r="507" spans="1:17">
      <c r="A507" s="38"/>
      <c r="B507" s="574">
        <v>0.7</v>
      </c>
      <c r="C507" s="571">
        <v>1249</v>
      </c>
      <c r="D507" s="571">
        <v>1338</v>
      </c>
      <c r="E507" s="571">
        <v>1606</v>
      </c>
      <c r="F507" s="571">
        <v>1856</v>
      </c>
      <c r="G507" s="571">
        <v>2072</v>
      </c>
      <c r="H507" s="572">
        <v>49980</v>
      </c>
      <c r="I507" s="572">
        <v>57120</v>
      </c>
      <c r="J507" s="572">
        <v>64259.999999999993</v>
      </c>
      <c r="K507" s="572">
        <v>71400</v>
      </c>
      <c r="L507" s="572">
        <v>77140</v>
      </c>
      <c r="M507" s="572">
        <v>82880</v>
      </c>
      <c r="N507" s="572">
        <v>88550</v>
      </c>
      <c r="O507" s="572">
        <v>94290</v>
      </c>
      <c r="P507" s="41"/>
      <c r="Q507" s="41"/>
    </row>
    <row r="508" spans="1:17">
      <c r="A508" s="38"/>
      <c r="B508" s="574">
        <v>0.6</v>
      </c>
      <c r="C508" s="571">
        <v>1071</v>
      </c>
      <c r="D508" s="571">
        <v>1147</v>
      </c>
      <c r="E508" s="571">
        <v>1377</v>
      </c>
      <c r="F508" s="571">
        <v>1591</v>
      </c>
      <c r="G508" s="571">
        <v>1776</v>
      </c>
      <c r="H508" s="571">
        <v>42840</v>
      </c>
      <c r="I508" s="571">
        <v>48960</v>
      </c>
      <c r="J508" s="571">
        <v>55080</v>
      </c>
      <c r="K508" s="571">
        <v>61200</v>
      </c>
      <c r="L508" s="571">
        <v>66120</v>
      </c>
      <c r="M508" s="573">
        <v>71040</v>
      </c>
      <c r="N508" s="573">
        <v>75900</v>
      </c>
      <c r="O508" s="573">
        <v>80820</v>
      </c>
      <c r="P508" s="41"/>
      <c r="Q508" s="41"/>
    </row>
    <row r="509" spans="1:17">
      <c r="A509" s="38"/>
      <c r="B509" s="574">
        <v>0.55000000000000004</v>
      </c>
      <c r="C509" s="571">
        <v>981</v>
      </c>
      <c r="D509" s="571">
        <v>1051</v>
      </c>
      <c r="E509" s="571">
        <v>1262</v>
      </c>
      <c r="F509" s="571">
        <v>1458</v>
      </c>
      <c r="G509" s="571">
        <v>1628</v>
      </c>
      <c r="H509" s="571">
        <v>39270</v>
      </c>
      <c r="I509" s="571">
        <v>44880</v>
      </c>
      <c r="J509" s="571">
        <v>50490.000000000007</v>
      </c>
      <c r="K509" s="571">
        <v>56100.000000000007</v>
      </c>
      <c r="L509" s="571">
        <v>60610.000000000007</v>
      </c>
      <c r="M509" s="571">
        <v>65120.000000000007</v>
      </c>
      <c r="N509" s="571">
        <v>69575</v>
      </c>
      <c r="O509" s="571">
        <v>74085</v>
      </c>
      <c r="P509" s="41"/>
      <c r="Q509" s="41"/>
    </row>
    <row r="510" spans="1:17">
      <c r="A510" s="38"/>
      <c r="B510" s="574">
        <v>0.5</v>
      </c>
      <c r="C510" s="571">
        <v>892</v>
      </c>
      <c r="D510" s="571">
        <v>956</v>
      </c>
      <c r="E510" s="571">
        <v>1147</v>
      </c>
      <c r="F510" s="571">
        <v>1326</v>
      </c>
      <c r="G510" s="571">
        <v>1480</v>
      </c>
      <c r="H510" s="572">
        <v>35700</v>
      </c>
      <c r="I510" s="572">
        <v>40800</v>
      </c>
      <c r="J510" s="572">
        <v>45900</v>
      </c>
      <c r="K510" s="572">
        <v>51000</v>
      </c>
      <c r="L510" s="572">
        <v>55100</v>
      </c>
      <c r="M510" s="572">
        <v>59200</v>
      </c>
      <c r="N510" s="572">
        <v>63250</v>
      </c>
      <c r="O510" s="572">
        <v>67350</v>
      </c>
      <c r="P510" s="41"/>
      <c r="Q510" s="41"/>
    </row>
    <row r="511" spans="1:17">
      <c r="A511" s="38"/>
      <c r="B511" s="574">
        <v>0.45</v>
      </c>
      <c r="C511" s="571">
        <v>803</v>
      </c>
      <c r="D511" s="571">
        <v>860</v>
      </c>
      <c r="E511" s="571">
        <v>1032</v>
      </c>
      <c r="F511" s="571">
        <v>1193</v>
      </c>
      <c r="G511" s="571">
        <v>1332</v>
      </c>
      <c r="H511" s="571">
        <v>32130</v>
      </c>
      <c r="I511" s="571">
        <v>36720</v>
      </c>
      <c r="J511" s="571">
        <v>41310</v>
      </c>
      <c r="K511" s="571">
        <v>45900</v>
      </c>
      <c r="L511" s="571">
        <v>49590</v>
      </c>
      <c r="M511" s="573">
        <v>53280</v>
      </c>
      <c r="N511" s="573">
        <v>56925</v>
      </c>
      <c r="O511" s="573">
        <v>60615</v>
      </c>
      <c r="P511" s="41"/>
      <c r="Q511" s="41"/>
    </row>
    <row r="512" spans="1:17">
      <c r="A512" s="38"/>
      <c r="B512" s="574">
        <v>0.4</v>
      </c>
      <c r="C512" s="571">
        <v>714</v>
      </c>
      <c r="D512" s="571">
        <v>765</v>
      </c>
      <c r="E512" s="571">
        <v>918</v>
      </c>
      <c r="F512" s="571">
        <v>1061</v>
      </c>
      <c r="G512" s="571">
        <v>1184</v>
      </c>
      <c r="H512" s="571">
        <v>28560</v>
      </c>
      <c r="I512" s="571">
        <v>32640</v>
      </c>
      <c r="J512" s="571">
        <v>36720</v>
      </c>
      <c r="K512" s="571">
        <v>40800</v>
      </c>
      <c r="L512" s="571">
        <v>44080</v>
      </c>
      <c r="M512" s="573">
        <v>47360</v>
      </c>
      <c r="N512" s="573">
        <v>50600</v>
      </c>
      <c r="O512" s="573">
        <v>53880</v>
      </c>
      <c r="P512" s="41"/>
      <c r="Q512" s="41"/>
    </row>
    <row r="513" spans="1:17">
      <c r="A513" s="38"/>
      <c r="B513" s="510">
        <v>0.3</v>
      </c>
      <c r="C513" s="571">
        <v>535</v>
      </c>
      <c r="D513" s="571">
        <v>573</v>
      </c>
      <c r="E513" s="571">
        <v>688</v>
      </c>
      <c r="F513" s="571">
        <v>795</v>
      </c>
      <c r="G513" s="571">
        <v>888</v>
      </c>
      <c r="H513" s="572">
        <v>21420</v>
      </c>
      <c r="I513" s="572">
        <v>24480</v>
      </c>
      <c r="J513" s="572">
        <v>27540</v>
      </c>
      <c r="K513" s="572">
        <v>30600</v>
      </c>
      <c r="L513" s="572">
        <v>33060</v>
      </c>
      <c r="M513" s="572">
        <v>35520</v>
      </c>
      <c r="N513" s="572">
        <v>37950</v>
      </c>
      <c r="O513" s="572">
        <v>40410</v>
      </c>
      <c r="P513" s="41"/>
      <c r="Q513" s="41"/>
    </row>
    <row r="514" spans="1:17" ht="13.8" thickBot="1">
      <c r="A514" s="575"/>
      <c r="B514" s="40">
        <v>0.2</v>
      </c>
      <c r="C514" s="512">
        <v>357</v>
      </c>
      <c r="D514" s="512">
        <v>382</v>
      </c>
      <c r="E514" s="512">
        <v>459</v>
      </c>
      <c r="F514" s="512">
        <v>530</v>
      </c>
      <c r="G514" s="512">
        <v>592</v>
      </c>
      <c r="H514" s="513">
        <v>14280</v>
      </c>
      <c r="I514" s="513">
        <v>16320</v>
      </c>
      <c r="J514" s="513">
        <v>18360</v>
      </c>
      <c r="K514" s="513">
        <v>20400</v>
      </c>
      <c r="L514" s="513">
        <v>22040</v>
      </c>
      <c r="M514" s="513">
        <v>23680</v>
      </c>
      <c r="N514" s="513">
        <v>25300</v>
      </c>
      <c r="O514" s="513">
        <v>26940</v>
      </c>
      <c r="P514" s="41"/>
      <c r="Q514" s="41"/>
    </row>
    <row r="515" spans="1:17" ht="13.8" thickTop="1">
      <c r="A515" s="38"/>
      <c r="B515" s="37">
        <v>1.2</v>
      </c>
      <c r="C515" s="514">
        <v>2196</v>
      </c>
      <c r="D515" s="514">
        <v>2352</v>
      </c>
      <c r="E515" s="514">
        <v>2823</v>
      </c>
      <c r="F515" s="514">
        <v>3261</v>
      </c>
      <c r="G515" s="514">
        <v>3639</v>
      </c>
      <c r="H515" s="514">
        <v>87840</v>
      </c>
      <c r="I515" s="514">
        <v>100320</v>
      </c>
      <c r="J515" s="514">
        <v>112920</v>
      </c>
      <c r="K515" s="514">
        <v>125400</v>
      </c>
      <c r="L515" s="514">
        <v>135480</v>
      </c>
      <c r="M515" s="514">
        <v>145560</v>
      </c>
      <c r="N515" s="514">
        <v>155520</v>
      </c>
      <c r="O515" s="514">
        <v>165600</v>
      </c>
      <c r="P515" s="39"/>
      <c r="Q515" s="39"/>
    </row>
    <row r="516" spans="1:17">
      <c r="A516" s="38"/>
      <c r="B516" s="574">
        <v>1</v>
      </c>
      <c r="C516" s="571">
        <v>1830</v>
      </c>
      <c r="D516" s="571">
        <v>1960</v>
      </c>
      <c r="E516" s="571">
        <v>2352</v>
      </c>
      <c r="F516" s="571">
        <v>2717</v>
      </c>
      <c r="G516" s="571">
        <v>3032</v>
      </c>
      <c r="H516" s="571">
        <v>73200</v>
      </c>
      <c r="I516" s="571">
        <v>83600</v>
      </c>
      <c r="J516" s="571">
        <v>94100</v>
      </c>
      <c r="K516" s="571">
        <v>104500</v>
      </c>
      <c r="L516" s="571">
        <v>112900</v>
      </c>
      <c r="M516" s="571">
        <v>121300</v>
      </c>
      <c r="N516" s="571">
        <v>129600</v>
      </c>
      <c r="O516" s="571">
        <v>138000</v>
      </c>
      <c r="P516" s="39"/>
      <c r="Q516" s="39"/>
    </row>
    <row r="517" spans="1:17">
      <c r="A517" s="38" t="s">
        <v>1162</v>
      </c>
      <c r="B517" s="574">
        <v>0.8</v>
      </c>
      <c r="C517" s="571">
        <v>1464</v>
      </c>
      <c r="D517" s="571">
        <v>1568</v>
      </c>
      <c r="E517" s="571">
        <v>1882</v>
      </c>
      <c r="F517" s="571">
        <v>2174</v>
      </c>
      <c r="G517" s="571">
        <v>2426</v>
      </c>
      <c r="H517" s="572">
        <v>58560</v>
      </c>
      <c r="I517" s="572">
        <v>66880</v>
      </c>
      <c r="J517" s="572">
        <v>75280</v>
      </c>
      <c r="K517" s="572">
        <v>83600</v>
      </c>
      <c r="L517" s="572">
        <v>90320</v>
      </c>
      <c r="M517" s="572">
        <v>97040</v>
      </c>
      <c r="N517" s="572">
        <v>103680</v>
      </c>
      <c r="O517" s="572">
        <v>110400</v>
      </c>
      <c r="P517" s="39"/>
      <c r="Q517" s="39"/>
    </row>
    <row r="518" spans="1:17">
      <c r="A518" s="38"/>
      <c r="B518" s="574">
        <v>0.7</v>
      </c>
      <c r="C518" s="571">
        <v>1281</v>
      </c>
      <c r="D518" s="571">
        <v>1372</v>
      </c>
      <c r="E518" s="571">
        <v>1646</v>
      </c>
      <c r="F518" s="571">
        <v>1902</v>
      </c>
      <c r="G518" s="571">
        <v>2122</v>
      </c>
      <c r="H518" s="572">
        <v>51240</v>
      </c>
      <c r="I518" s="572">
        <v>58519.999999999993</v>
      </c>
      <c r="J518" s="572">
        <v>65870</v>
      </c>
      <c r="K518" s="572">
        <v>73150</v>
      </c>
      <c r="L518" s="572">
        <v>79030</v>
      </c>
      <c r="M518" s="572">
        <v>84910</v>
      </c>
      <c r="N518" s="572">
        <v>90720</v>
      </c>
      <c r="O518" s="572">
        <v>96600</v>
      </c>
      <c r="P518" s="39"/>
      <c r="Q518" s="39"/>
    </row>
    <row r="519" spans="1:17">
      <c r="A519" s="38"/>
      <c r="B519" s="574">
        <v>0.6</v>
      </c>
      <c r="C519" s="571">
        <v>1098</v>
      </c>
      <c r="D519" s="571">
        <v>1176</v>
      </c>
      <c r="E519" s="571">
        <v>1411</v>
      </c>
      <c r="F519" s="571">
        <v>1630</v>
      </c>
      <c r="G519" s="571">
        <v>1819</v>
      </c>
      <c r="H519" s="571">
        <v>43920</v>
      </c>
      <c r="I519" s="571">
        <v>50160</v>
      </c>
      <c r="J519" s="571">
        <v>56460</v>
      </c>
      <c r="K519" s="571">
        <v>62700</v>
      </c>
      <c r="L519" s="571">
        <v>67740</v>
      </c>
      <c r="M519" s="573">
        <v>72780</v>
      </c>
      <c r="N519" s="573">
        <v>77760</v>
      </c>
      <c r="O519" s="573">
        <v>82800</v>
      </c>
      <c r="P519" s="39"/>
      <c r="Q519" s="39"/>
    </row>
    <row r="520" spans="1:17">
      <c r="A520" s="38"/>
      <c r="B520" s="574">
        <v>0.55000000000000004</v>
      </c>
      <c r="C520" s="571">
        <v>1006</v>
      </c>
      <c r="D520" s="571">
        <v>1078</v>
      </c>
      <c r="E520" s="571">
        <v>1293</v>
      </c>
      <c r="F520" s="571">
        <v>1494</v>
      </c>
      <c r="G520" s="571">
        <v>1667</v>
      </c>
      <c r="H520" s="571">
        <v>40260</v>
      </c>
      <c r="I520" s="571">
        <v>45980.000000000007</v>
      </c>
      <c r="J520" s="571">
        <v>51755.000000000007</v>
      </c>
      <c r="K520" s="571">
        <v>57475.000000000007</v>
      </c>
      <c r="L520" s="571">
        <v>62095.000000000007</v>
      </c>
      <c r="M520" s="571">
        <v>66715</v>
      </c>
      <c r="N520" s="571">
        <v>71280</v>
      </c>
      <c r="O520" s="571">
        <v>75900</v>
      </c>
      <c r="P520" s="39"/>
      <c r="Q520" s="39"/>
    </row>
    <row r="521" spans="1:17">
      <c r="A521" s="38"/>
      <c r="B521" s="574">
        <v>0.5</v>
      </c>
      <c r="C521" s="571">
        <v>915</v>
      </c>
      <c r="D521" s="571">
        <v>980</v>
      </c>
      <c r="E521" s="571">
        <v>1176</v>
      </c>
      <c r="F521" s="571">
        <v>1358</v>
      </c>
      <c r="G521" s="571">
        <v>1516</v>
      </c>
      <c r="H521" s="572">
        <v>36600</v>
      </c>
      <c r="I521" s="572">
        <v>41800</v>
      </c>
      <c r="J521" s="572">
        <v>47050</v>
      </c>
      <c r="K521" s="572">
        <v>52250</v>
      </c>
      <c r="L521" s="572">
        <v>56450</v>
      </c>
      <c r="M521" s="572">
        <v>60650</v>
      </c>
      <c r="N521" s="572">
        <v>64800</v>
      </c>
      <c r="O521" s="572">
        <v>69000</v>
      </c>
      <c r="P521" s="39"/>
      <c r="Q521" s="39"/>
    </row>
    <row r="522" spans="1:17">
      <c r="A522" s="38"/>
      <c r="B522" s="574">
        <v>0.45</v>
      </c>
      <c r="C522" s="571">
        <v>823</v>
      </c>
      <c r="D522" s="571">
        <v>882</v>
      </c>
      <c r="E522" s="571">
        <v>1058</v>
      </c>
      <c r="F522" s="571">
        <v>1222</v>
      </c>
      <c r="G522" s="571">
        <v>1364</v>
      </c>
      <c r="H522" s="571">
        <v>32940</v>
      </c>
      <c r="I522" s="571">
        <v>37620</v>
      </c>
      <c r="J522" s="571">
        <v>42345</v>
      </c>
      <c r="K522" s="571">
        <v>47025</v>
      </c>
      <c r="L522" s="571">
        <v>50805</v>
      </c>
      <c r="M522" s="573">
        <v>54585</v>
      </c>
      <c r="N522" s="573">
        <v>58320</v>
      </c>
      <c r="O522" s="573">
        <v>62100</v>
      </c>
      <c r="P522" s="39"/>
      <c r="Q522" s="39"/>
    </row>
    <row r="523" spans="1:17">
      <c r="A523" s="38"/>
      <c r="B523" s="574">
        <v>0.4</v>
      </c>
      <c r="C523" s="571">
        <v>732</v>
      </c>
      <c r="D523" s="571">
        <v>784</v>
      </c>
      <c r="E523" s="571">
        <v>941</v>
      </c>
      <c r="F523" s="571">
        <v>1087</v>
      </c>
      <c r="G523" s="571">
        <v>1213</v>
      </c>
      <c r="H523" s="571">
        <v>29280</v>
      </c>
      <c r="I523" s="571">
        <v>33440</v>
      </c>
      <c r="J523" s="571">
        <v>37640</v>
      </c>
      <c r="K523" s="571">
        <v>41800</v>
      </c>
      <c r="L523" s="571">
        <v>45160</v>
      </c>
      <c r="M523" s="573">
        <v>48520</v>
      </c>
      <c r="N523" s="573">
        <v>51840</v>
      </c>
      <c r="O523" s="573">
        <v>55200</v>
      </c>
      <c r="P523" s="39"/>
      <c r="Q523" s="39"/>
    </row>
    <row r="524" spans="1:17">
      <c r="A524" s="38"/>
      <c r="B524" s="510">
        <v>0.3</v>
      </c>
      <c r="C524" s="571">
        <v>549</v>
      </c>
      <c r="D524" s="571">
        <v>588</v>
      </c>
      <c r="E524" s="571">
        <v>705</v>
      </c>
      <c r="F524" s="571">
        <v>815</v>
      </c>
      <c r="G524" s="571">
        <v>909</v>
      </c>
      <c r="H524" s="572">
        <v>21960</v>
      </c>
      <c r="I524" s="572">
        <v>25080</v>
      </c>
      <c r="J524" s="572">
        <v>28230</v>
      </c>
      <c r="K524" s="572">
        <v>31350</v>
      </c>
      <c r="L524" s="572">
        <v>33870</v>
      </c>
      <c r="M524" s="572">
        <v>36390</v>
      </c>
      <c r="N524" s="572">
        <v>38880</v>
      </c>
      <c r="O524" s="572">
        <v>41400</v>
      </c>
      <c r="P524" s="39"/>
      <c r="Q524" s="39"/>
    </row>
    <row r="525" spans="1:17" ht="13.8" thickBot="1">
      <c r="A525" s="575"/>
      <c r="B525" s="40">
        <v>0.2</v>
      </c>
      <c r="C525" s="512">
        <v>366</v>
      </c>
      <c r="D525" s="512">
        <v>392</v>
      </c>
      <c r="E525" s="512">
        <v>470</v>
      </c>
      <c r="F525" s="512">
        <v>543</v>
      </c>
      <c r="G525" s="512">
        <v>606</v>
      </c>
      <c r="H525" s="513">
        <v>14640</v>
      </c>
      <c r="I525" s="513">
        <v>16720</v>
      </c>
      <c r="J525" s="513">
        <v>18820</v>
      </c>
      <c r="K525" s="513">
        <v>20900</v>
      </c>
      <c r="L525" s="513">
        <v>22580</v>
      </c>
      <c r="M525" s="513">
        <v>24260</v>
      </c>
      <c r="N525" s="513">
        <v>25920</v>
      </c>
      <c r="O525" s="513">
        <v>27600</v>
      </c>
      <c r="P525" s="41"/>
      <c r="Q525" s="41"/>
    </row>
    <row r="526" spans="1:17" ht="13.8" thickTop="1">
      <c r="A526" s="38"/>
      <c r="B526" s="37">
        <v>1.2</v>
      </c>
      <c r="C526" s="514">
        <v>2943</v>
      </c>
      <c r="D526" s="514">
        <v>3153</v>
      </c>
      <c r="E526" s="514">
        <v>3783</v>
      </c>
      <c r="F526" s="514">
        <v>4372</v>
      </c>
      <c r="G526" s="514">
        <v>4878</v>
      </c>
      <c r="H526" s="514">
        <v>117720</v>
      </c>
      <c r="I526" s="514">
        <v>134520</v>
      </c>
      <c r="J526" s="514">
        <v>151320</v>
      </c>
      <c r="K526" s="514">
        <v>168120</v>
      </c>
      <c r="L526" s="514">
        <v>181680</v>
      </c>
      <c r="M526" s="514">
        <v>195120</v>
      </c>
      <c r="N526" s="514">
        <v>208560</v>
      </c>
      <c r="O526" s="514">
        <v>222000</v>
      </c>
      <c r="P526" s="39"/>
      <c r="Q526" s="39"/>
    </row>
    <row r="527" spans="1:17">
      <c r="A527" s="38"/>
      <c r="B527" s="574">
        <v>1</v>
      </c>
      <c r="C527" s="571">
        <v>2452</v>
      </c>
      <c r="D527" s="571">
        <v>2627</v>
      </c>
      <c r="E527" s="571">
        <v>3152</v>
      </c>
      <c r="F527" s="571">
        <v>3643</v>
      </c>
      <c r="G527" s="571">
        <v>4065</v>
      </c>
      <c r="H527" s="571">
        <v>98100</v>
      </c>
      <c r="I527" s="571">
        <v>112100</v>
      </c>
      <c r="J527" s="571">
        <v>126100</v>
      </c>
      <c r="K527" s="571">
        <v>140100</v>
      </c>
      <c r="L527" s="571">
        <v>151400</v>
      </c>
      <c r="M527" s="571">
        <v>162600</v>
      </c>
      <c r="N527" s="571">
        <v>173800</v>
      </c>
      <c r="O527" s="571">
        <v>185000</v>
      </c>
      <c r="P527" s="39"/>
      <c r="Q527" s="39"/>
    </row>
    <row r="528" spans="1:17">
      <c r="A528" s="38" t="s">
        <v>1163</v>
      </c>
      <c r="B528" s="574">
        <v>0.8</v>
      </c>
      <c r="C528" s="571">
        <v>1962</v>
      </c>
      <c r="D528" s="571">
        <v>2102</v>
      </c>
      <c r="E528" s="571">
        <v>2522</v>
      </c>
      <c r="F528" s="571">
        <v>2915</v>
      </c>
      <c r="G528" s="571">
        <v>3252</v>
      </c>
      <c r="H528" s="572">
        <v>78480</v>
      </c>
      <c r="I528" s="572">
        <v>89680</v>
      </c>
      <c r="J528" s="572">
        <v>100880</v>
      </c>
      <c r="K528" s="572">
        <v>112080</v>
      </c>
      <c r="L528" s="572">
        <v>121120</v>
      </c>
      <c r="M528" s="572">
        <v>130080</v>
      </c>
      <c r="N528" s="572">
        <v>139040</v>
      </c>
      <c r="O528" s="572">
        <v>148000</v>
      </c>
      <c r="P528" s="39"/>
      <c r="Q528" s="39"/>
    </row>
    <row r="529" spans="1:17">
      <c r="A529" s="38"/>
      <c r="B529" s="574">
        <v>0.7</v>
      </c>
      <c r="C529" s="571">
        <v>1716</v>
      </c>
      <c r="D529" s="571">
        <v>1839</v>
      </c>
      <c r="E529" s="571">
        <v>2206</v>
      </c>
      <c r="F529" s="571">
        <v>2550</v>
      </c>
      <c r="G529" s="571">
        <v>2845</v>
      </c>
      <c r="H529" s="572">
        <v>68670</v>
      </c>
      <c r="I529" s="572">
        <v>78470</v>
      </c>
      <c r="J529" s="572">
        <v>88270</v>
      </c>
      <c r="K529" s="572">
        <v>98070</v>
      </c>
      <c r="L529" s="572">
        <v>105980</v>
      </c>
      <c r="M529" s="572">
        <v>113820</v>
      </c>
      <c r="N529" s="572">
        <v>121659.99999999999</v>
      </c>
      <c r="O529" s="572">
        <v>129499.99999999999</v>
      </c>
      <c r="P529" s="39"/>
      <c r="Q529" s="39"/>
    </row>
    <row r="530" spans="1:17">
      <c r="A530" s="38"/>
      <c r="B530" s="574">
        <v>0.6</v>
      </c>
      <c r="C530" s="571">
        <v>1471</v>
      </c>
      <c r="D530" s="571">
        <v>1576</v>
      </c>
      <c r="E530" s="571">
        <v>1891</v>
      </c>
      <c r="F530" s="571">
        <v>2186</v>
      </c>
      <c r="G530" s="571">
        <v>2439</v>
      </c>
      <c r="H530" s="571">
        <v>58860</v>
      </c>
      <c r="I530" s="571">
        <v>67260</v>
      </c>
      <c r="J530" s="571">
        <v>75660</v>
      </c>
      <c r="K530" s="571">
        <v>84060</v>
      </c>
      <c r="L530" s="571">
        <v>90840</v>
      </c>
      <c r="M530" s="573">
        <v>97560</v>
      </c>
      <c r="N530" s="573">
        <v>104280</v>
      </c>
      <c r="O530" s="573">
        <v>111000</v>
      </c>
      <c r="P530" s="39"/>
      <c r="Q530" s="39"/>
    </row>
    <row r="531" spans="1:17">
      <c r="A531" s="38"/>
      <c r="B531" s="574">
        <v>0.55000000000000004</v>
      </c>
      <c r="C531" s="571">
        <v>1348</v>
      </c>
      <c r="D531" s="571">
        <v>1445</v>
      </c>
      <c r="E531" s="571">
        <v>1733</v>
      </c>
      <c r="F531" s="571">
        <v>2004</v>
      </c>
      <c r="G531" s="571">
        <v>2235</v>
      </c>
      <c r="H531" s="571">
        <v>53955.000000000007</v>
      </c>
      <c r="I531" s="571">
        <v>61655.000000000007</v>
      </c>
      <c r="J531" s="571">
        <v>69355</v>
      </c>
      <c r="K531" s="571">
        <v>77055</v>
      </c>
      <c r="L531" s="571">
        <v>83270</v>
      </c>
      <c r="M531" s="571">
        <v>89430</v>
      </c>
      <c r="N531" s="571">
        <v>95590.000000000015</v>
      </c>
      <c r="O531" s="571">
        <v>101750.00000000001</v>
      </c>
      <c r="P531" s="39"/>
      <c r="Q531" s="39"/>
    </row>
    <row r="532" spans="1:17">
      <c r="A532" s="38"/>
      <c r="B532" s="574">
        <v>0.5</v>
      </c>
      <c r="C532" s="571">
        <v>1226</v>
      </c>
      <c r="D532" s="571">
        <v>1313</v>
      </c>
      <c r="E532" s="571">
        <v>1576</v>
      </c>
      <c r="F532" s="571">
        <v>1821</v>
      </c>
      <c r="G532" s="571">
        <v>2032</v>
      </c>
      <c r="H532" s="572">
        <v>49050</v>
      </c>
      <c r="I532" s="572">
        <v>56050</v>
      </c>
      <c r="J532" s="572">
        <v>63050</v>
      </c>
      <c r="K532" s="572">
        <v>70050</v>
      </c>
      <c r="L532" s="572">
        <v>75700</v>
      </c>
      <c r="M532" s="572">
        <v>81300</v>
      </c>
      <c r="N532" s="572">
        <v>86900</v>
      </c>
      <c r="O532" s="572">
        <v>92500</v>
      </c>
      <c r="P532" s="39"/>
      <c r="Q532" s="39"/>
    </row>
    <row r="533" spans="1:17">
      <c r="A533" s="38"/>
      <c r="B533" s="574">
        <v>0.45</v>
      </c>
      <c r="C533" s="571">
        <v>1103</v>
      </c>
      <c r="D533" s="571">
        <v>1182</v>
      </c>
      <c r="E533" s="571">
        <v>1418</v>
      </c>
      <c r="F533" s="571">
        <v>1639</v>
      </c>
      <c r="G533" s="571">
        <v>1829</v>
      </c>
      <c r="H533" s="571">
        <v>44145</v>
      </c>
      <c r="I533" s="571">
        <v>50445</v>
      </c>
      <c r="J533" s="571">
        <v>56745</v>
      </c>
      <c r="K533" s="571">
        <v>63045</v>
      </c>
      <c r="L533" s="571">
        <v>68130</v>
      </c>
      <c r="M533" s="573">
        <v>73170</v>
      </c>
      <c r="N533" s="573">
        <v>78210</v>
      </c>
      <c r="O533" s="573">
        <v>83250</v>
      </c>
      <c r="P533" s="39"/>
      <c r="Q533" s="39"/>
    </row>
    <row r="534" spans="1:17">
      <c r="A534" s="38"/>
      <c r="B534" s="574">
        <v>0.4</v>
      </c>
      <c r="C534" s="571">
        <v>981</v>
      </c>
      <c r="D534" s="571">
        <v>1051</v>
      </c>
      <c r="E534" s="571">
        <v>1261</v>
      </c>
      <c r="F534" s="571">
        <v>1457</v>
      </c>
      <c r="G534" s="571">
        <v>1626</v>
      </c>
      <c r="H534" s="571">
        <v>39240</v>
      </c>
      <c r="I534" s="571">
        <v>44840</v>
      </c>
      <c r="J534" s="571">
        <v>50440</v>
      </c>
      <c r="K534" s="571">
        <v>56040</v>
      </c>
      <c r="L534" s="571">
        <v>60560</v>
      </c>
      <c r="M534" s="573">
        <v>65040</v>
      </c>
      <c r="N534" s="573">
        <v>69520</v>
      </c>
      <c r="O534" s="573">
        <v>74000</v>
      </c>
      <c r="P534" s="39"/>
      <c r="Q534" s="39"/>
    </row>
    <row r="535" spans="1:17">
      <c r="A535" s="38"/>
      <c r="B535" s="510">
        <v>0.3</v>
      </c>
      <c r="C535" s="571">
        <v>735</v>
      </c>
      <c r="D535" s="571">
        <v>788</v>
      </c>
      <c r="E535" s="571">
        <v>945</v>
      </c>
      <c r="F535" s="571">
        <v>1093</v>
      </c>
      <c r="G535" s="571">
        <v>1219</v>
      </c>
      <c r="H535" s="572">
        <v>29430</v>
      </c>
      <c r="I535" s="572">
        <v>33630</v>
      </c>
      <c r="J535" s="572">
        <v>37830</v>
      </c>
      <c r="K535" s="572">
        <v>42030</v>
      </c>
      <c r="L535" s="572">
        <v>45420</v>
      </c>
      <c r="M535" s="572">
        <v>48780</v>
      </c>
      <c r="N535" s="572">
        <v>52140</v>
      </c>
      <c r="O535" s="572">
        <v>55500</v>
      </c>
      <c r="P535" s="39"/>
      <c r="Q535" s="39"/>
    </row>
    <row r="536" spans="1:17" ht="13.8" thickBot="1">
      <c r="A536" s="575"/>
      <c r="B536" s="40">
        <v>0.2</v>
      </c>
      <c r="C536" s="512">
        <v>490</v>
      </c>
      <c r="D536" s="512">
        <v>525</v>
      </c>
      <c r="E536" s="512">
        <v>630</v>
      </c>
      <c r="F536" s="512">
        <v>728</v>
      </c>
      <c r="G536" s="512">
        <v>813</v>
      </c>
      <c r="H536" s="513">
        <v>19620</v>
      </c>
      <c r="I536" s="513">
        <v>22420</v>
      </c>
      <c r="J536" s="513">
        <v>25220</v>
      </c>
      <c r="K536" s="513">
        <v>28020</v>
      </c>
      <c r="L536" s="513">
        <v>30280</v>
      </c>
      <c r="M536" s="513">
        <v>32520</v>
      </c>
      <c r="N536" s="513">
        <v>34760</v>
      </c>
      <c r="O536" s="513">
        <v>37000</v>
      </c>
      <c r="P536" s="45"/>
      <c r="Q536" s="45"/>
    </row>
    <row r="537" spans="1:17" ht="13.8" thickTop="1">
      <c r="A537" s="38"/>
      <c r="B537" s="37">
        <v>1.2</v>
      </c>
      <c r="C537" s="514">
        <v>2142</v>
      </c>
      <c r="D537" s="514">
        <v>2295</v>
      </c>
      <c r="E537" s="514">
        <v>2754</v>
      </c>
      <c r="F537" s="514">
        <v>3183</v>
      </c>
      <c r="G537" s="514">
        <v>3552</v>
      </c>
      <c r="H537" s="514">
        <v>85680</v>
      </c>
      <c r="I537" s="514">
        <v>97920</v>
      </c>
      <c r="J537" s="514">
        <v>110160</v>
      </c>
      <c r="K537" s="514">
        <v>122400</v>
      </c>
      <c r="L537" s="514">
        <v>132240</v>
      </c>
      <c r="M537" s="514">
        <v>142080</v>
      </c>
      <c r="N537" s="514">
        <v>151800</v>
      </c>
      <c r="O537" s="514">
        <v>161640</v>
      </c>
      <c r="P537" s="41"/>
      <c r="Q537" s="41"/>
    </row>
    <row r="538" spans="1:17">
      <c r="A538" s="38"/>
      <c r="B538" s="574">
        <v>1</v>
      </c>
      <c r="C538" s="571">
        <v>1785</v>
      </c>
      <c r="D538" s="571">
        <v>1912</v>
      </c>
      <c r="E538" s="571">
        <v>2295</v>
      </c>
      <c r="F538" s="571">
        <v>2652</v>
      </c>
      <c r="G538" s="571">
        <v>2960</v>
      </c>
      <c r="H538" s="571">
        <v>71400</v>
      </c>
      <c r="I538" s="571">
        <v>81600</v>
      </c>
      <c r="J538" s="571">
        <v>91800</v>
      </c>
      <c r="K538" s="571">
        <v>102000</v>
      </c>
      <c r="L538" s="571">
        <v>110200</v>
      </c>
      <c r="M538" s="571">
        <v>118400</v>
      </c>
      <c r="N538" s="571">
        <v>126500</v>
      </c>
      <c r="O538" s="571">
        <v>134700</v>
      </c>
      <c r="P538" s="41"/>
      <c r="Q538" s="41"/>
    </row>
    <row r="539" spans="1:17">
      <c r="A539" s="38" t="s">
        <v>1164</v>
      </c>
      <c r="B539" s="574">
        <v>0.8</v>
      </c>
      <c r="C539" s="571">
        <v>1428</v>
      </c>
      <c r="D539" s="571">
        <v>1530</v>
      </c>
      <c r="E539" s="571">
        <v>1836</v>
      </c>
      <c r="F539" s="571">
        <v>2122</v>
      </c>
      <c r="G539" s="571">
        <v>2368</v>
      </c>
      <c r="H539" s="572">
        <v>57120</v>
      </c>
      <c r="I539" s="572">
        <v>65280</v>
      </c>
      <c r="J539" s="572">
        <v>73440</v>
      </c>
      <c r="K539" s="572">
        <v>81600</v>
      </c>
      <c r="L539" s="572">
        <v>88160</v>
      </c>
      <c r="M539" s="572">
        <v>94720</v>
      </c>
      <c r="N539" s="572">
        <v>101200</v>
      </c>
      <c r="O539" s="572">
        <v>107760</v>
      </c>
      <c r="P539" s="41"/>
      <c r="Q539" s="41"/>
    </row>
    <row r="540" spans="1:17">
      <c r="A540" s="38"/>
      <c r="B540" s="574">
        <v>0.7</v>
      </c>
      <c r="C540" s="571">
        <v>1249</v>
      </c>
      <c r="D540" s="571">
        <v>1338</v>
      </c>
      <c r="E540" s="571">
        <v>1606</v>
      </c>
      <c r="F540" s="571">
        <v>1856</v>
      </c>
      <c r="G540" s="571">
        <v>2072</v>
      </c>
      <c r="H540" s="572">
        <v>49980</v>
      </c>
      <c r="I540" s="572">
        <v>57120</v>
      </c>
      <c r="J540" s="572">
        <v>64259.999999999993</v>
      </c>
      <c r="K540" s="572">
        <v>71400</v>
      </c>
      <c r="L540" s="572">
        <v>77140</v>
      </c>
      <c r="M540" s="572">
        <v>82880</v>
      </c>
      <c r="N540" s="572">
        <v>88550</v>
      </c>
      <c r="O540" s="572">
        <v>94290</v>
      </c>
      <c r="P540" s="41"/>
      <c r="Q540" s="41"/>
    </row>
    <row r="541" spans="1:17">
      <c r="A541" s="38"/>
      <c r="B541" s="574">
        <v>0.6</v>
      </c>
      <c r="C541" s="571">
        <v>1071</v>
      </c>
      <c r="D541" s="571">
        <v>1147</v>
      </c>
      <c r="E541" s="571">
        <v>1377</v>
      </c>
      <c r="F541" s="571">
        <v>1591</v>
      </c>
      <c r="G541" s="571">
        <v>1776</v>
      </c>
      <c r="H541" s="571">
        <v>42840</v>
      </c>
      <c r="I541" s="571">
        <v>48960</v>
      </c>
      <c r="J541" s="571">
        <v>55080</v>
      </c>
      <c r="K541" s="571">
        <v>61200</v>
      </c>
      <c r="L541" s="571">
        <v>66120</v>
      </c>
      <c r="M541" s="573">
        <v>71040</v>
      </c>
      <c r="N541" s="573">
        <v>75900</v>
      </c>
      <c r="O541" s="573">
        <v>80820</v>
      </c>
      <c r="P541" s="41"/>
      <c r="Q541" s="41"/>
    </row>
    <row r="542" spans="1:17">
      <c r="A542" s="38"/>
      <c r="B542" s="574">
        <v>0.55000000000000004</v>
      </c>
      <c r="C542" s="571">
        <v>981</v>
      </c>
      <c r="D542" s="571">
        <v>1051</v>
      </c>
      <c r="E542" s="571">
        <v>1262</v>
      </c>
      <c r="F542" s="571">
        <v>1458</v>
      </c>
      <c r="G542" s="571">
        <v>1628</v>
      </c>
      <c r="H542" s="571">
        <v>39270</v>
      </c>
      <c r="I542" s="571">
        <v>44880</v>
      </c>
      <c r="J542" s="571">
        <v>50490.000000000007</v>
      </c>
      <c r="K542" s="571">
        <v>56100.000000000007</v>
      </c>
      <c r="L542" s="571">
        <v>60610.000000000007</v>
      </c>
      <c r="M542" s="571">
        <v>65120.000000000007</v>
      </c>
      <c r="N542" s="571">
        <v>69575</v>
      </c>
      <c r="O542" s="571">
        <v>74085</v>
      </c>
      <c r="P542" s="41"/>
      <c r="Q542" s="41"/>
    </row>
    <row r="543" spans="1:17">
      <c r="A543" s="38"/>
      <c r="B543" s="574">
        <v>0.5</v>
      </c>
      <c r="C543" s="571">
        <v>892</v>
      </c>
      <c r="D543" s="571">
        <v>956</v>
      </c>
      <c r="E543" s="571">
        <v>1147</v>
      </c>
      <c r="F543" s="571">
        <v>1326</v>
      </c>
      <c r="G543" s="571">
        <v>1480</v>
      </c>
      <c r="H543" s="572">
        <v>35700</v>
      </c>
      <c r="I543" s="572">
        <v>40800</v>
      </c>
      <c r="J543" s="572">
        <v>45900</v>
      </c>
      <c r="K543" s="572">
        <v>51000</v>
      </c>
      <c r="L543" s="572">
        <v>55100</v>
      </c>
      <c r="M543" s="572">
        <v>59200</v>
      </c>
      <c r="N543" s="572">
        <v>63250</v>
      </c>
      <c r="O543" s="572">
        <v>67350</v>
      </c>
      <c r="P543" s="41"/>
      <c r="Q543" s="41"/>
    </row>
    <row r="544" spans="1:17">
      <c r="A544" s="38"/>
      <c r="B544" s="574">
        <v>0.45</v>
      </c>
      <c r="C544" s="571">
        <v>803</v>
      </c>
      <c r="D544" s="571">
        <v>860</v>
      </c>
      <c r="E544" s="571">
        <v>1032</v>
      </c>
      <c r="F544" s="571">
        <v>1193</v>
      </c>
      <c r="G544" s="571">
        <v>1332</v>
      </c>
      <c r="H544" s="571">
        <v>32130</v>
      </c>
      <c r="I544" s="571">
        <v>36720</v>
      </c>
      <c r="J544" s="571">
        <v>41310</v>
      </c>
      <c r="K544" s="571">
        <v>45900</v>
      </c>
      <c r="L544" s="571">
        <v>49590</v>
      </c>
      <c r="M544" s="573">
        <v>53280</v>
      </c>
      <c r="N544" s="573">
        <v>56925</v>
      </c>
      <c r="O544" s="573">
        <v>60615</v>
      </c>
      <c r="P544" s="41"/>
      <c r="Q544" s="41"/>
    </row>
    <row r="545" spans="1:17">
      <c r="A545" s="38"/>
      <c r="B545" s="574">
        <v>0.4</v>
      </c>
      <c r="C545" s="571">
        <v>714</v>
      </c>
      <c r="D545" s="571">
        <v>765</v>
      </c>
      <c r="E545" s="571">
        <v>918</v>
      </c>
      <c r="F545" s="571">
        <v>1061</v>
      </c>
      <c r="G545" s="571">
        <v>1184</v>
      </c>
      <c r="H545" s="571">
        <v>28560</v>
      </c>
      <c r="I545" s="571">
        <v>32640</v>
      </c>
      <c r="J545" s="571">
        <v>36720</v>
      </c>
      <c r="K545" s="571">
        <v>40800</v>
      </c>
      <c r="L545" s="571">
        <v>44080</v>
      </c>
      <c r="M545" s="573">
        <v>47360</v>
      </c>
      <c r="N545" s="573">
        <v>50600</v>
      </c>
      <c r="O545" s="573">
        <v>53880</v>
      </c>
      <c r="P545" s="41"/>
      <c r="Q545" s="41"/>
    </row>
    <row r="546" spans="1:17">
      <c r="A546" s="38"/>
      <c r="B546" s="510">
        <v>0.3</v>
      </c>
      <c r="C546" s="571">
        <v>535</v>
      </c>
      <c r="D546" s="571">
        <v>573</v>
      </c>
      <c r="E546" s="571">
        <v>688</v>
      </c>
      <c r="F546" s="571">
        <v>795</v>
      </c>
      <c r="G546" s="571">
        <v>888</v>
      </c>
      <c r="H546" s="572">
        <v>21420</v>
      </c>
      <c r="I546" s="572">
        <v>24480</v>
      </c>
      <c r="J546" s="572">
        <v>27540</v>
      </c>
      <c r="K546" s="572">
        <v>30600</v>
      </c>
      <c r="L546" s="572">
        <v>33060</v>
      </c>
      <c r="M546" s="572">
        <v>35520</v>
      </c>
      <c r="N546" s="572">
        <v>37950</v>
      </c>
      <c r="O546" s="572">
        <v>40410</v>
      </c>
      <c r="P546" s="41"/>
      <c r="Q546" s="41"/>
    </row>
    <row r="547" spans="1:17" ht="13.8" thickBot="1">
      <c r="A547" s="575"/>
      <c r="B547" s="40">
        <v>0.2</v>
      </c>
      <c r="C547" s="512">
        <v>357</v>
      </c>
      <c r="D547" s="512">
        <v>382</v>
      </c>
      <c r="E547" s="512">
        <v>459</v>
      </c>
      <c r="F547" s="512">
        <v>530</v>
      </c>
      <c r="G547" s="512">
        <v>592</v>
      </c>
      <c r="H547" s="513">
        <v>14280</v>
      </c>
      <c r="I547" s="513">
        <v>16320</v>
      </c>
      <c r="J547" s="513">
        <v>18360</v>
      </c>
      <c r="K547" s="513">
        <v>20400</v>
      </c>
      <c r="L547" s="513">
        <v>22040</v>
      </c>
      <c r="M547" s="513">
        <v>23680</v>
      </c>
      <c r="N547" s="513">
        <v>25300</v>
      </c>
      <c r="O547" s="513">
        <v>26940</v>
      </c>
      <c r="P547" s="41"/>
      <c r="Q547" s="41"/>
    </row>
    <row r="548" spans="1:17" ht="13.8" thickTop="1">
      <c r="A548" s="38"/>
      <c r="B548" s="37">
        <v>1.2</v>
      </c>
      <c r="C548" s="514">
        <v>2883</v>
      </c>
      <c r="D548" s="514">
        <v>3088</v>
      </c>
      <c r="E548" s="514">
        <v>3705</v>
      </c>
      <c r="F548" s="514">
        <v>4284</v>
      </c>
      <c r="G548" s="514">
        <v>4776</v>
      </c>
      <c r="H548" s="514">
        <v>115320</v>
      </c>
      <c r="I548" s="514">
        <v>131760</v>
      </c>
      <c r="J548" s="514">
        <v>148200</v>
      </c>
      <c r="K548" s="514">
        <v>164760</v>
      </c>
      <c r="L548" s="514">
        <v>177960</v>
      </c>
      <c r="M548" s="514">
        <v>191040</v>
      </c>
      <c r="N548" s="514">
        <v>204240</v>
      </c>
      <c r="O548" s="514">
        <v>217440</v>
      </c>
      <c r="P548" s="39"/>
      <c r="Q548" s="39"/>
    </row>
    <row r="549" spans="1:17">
      <c r="A549" s="38"/>
      <c r="B549" s="574">
        <v>1</v>
      </c>
      <c r="C549" s="571">
        <v>2402</v>
      </c>
      <c r="D549" s="571">
        <v>2573</v>
      </c>
      <c r="E549" s="571">
        <v>3087</v>
      </c>
      <c r="F549" s="571">
        <v>3570</v>
      </c>
      <c r="G549" s="571">
        <v>3980</v>
      </c>
      <c r="H549" s="571">
        <v>96100</v>
      </c>
      <c r="I549" s="571">
        <v>109800</v>
      </c>
      <c r="J549" s="571">
        <v>123500</v>
      </c>
      <c r="K549" s="571">
        <v>137300</v>
      </c>
      <c r="L549" s="571">
        <v>148300</v>
      </c>
      <c r="M549" s="571">
        <v>159200</v>
      </c>
      <c r="N549" s="571">
        <v>170200</v>
      </c>
      <c r="O549" s="571">
        <v>181200</v>
      </c>
      <c r="P549" s="39"/>
      <c r="Q549" s="39"/>
    </row>
    <row r="550" spans="1:17">
      <c r="A550" s="38" t="s">
        <v>1165</v>
      </c>
      <c r="B550" s="574">
        <v>0.8</v>
      </c>
      <c r="C550" s="571">
        <v>1922</v>
      </c>
      <c r="D550" s="571">
        <v>2059</v>
      </c>
      <c r="E550" s="571">
        <v>2470</v>
      </c>
      <c r="F550" s="571">
        <v>2856</v>
      </c>
      <c r="G550" s="571">
        <v>3184</v>
      </c>
      <c r="H550" s="572">
        <v>76880</v>
      </c>
      <c r="I550" s="572">
        <v>87840</v>
      </c>
      <c r="J550" s="572">
        <v>98800</v>
      </c>
      <c r="K550" s="572">
        <v>109840</v>
      </c>
      <c r="L550" s="572">
        <v>118640</v>
      </c>
      <c r="M550" s="572">
        <v>127360</v>
      </c>
      <c r="N550" s="572">
        <v>136160</v>
      </c>
      <c r="O550" s="572">
        <v>144960</v>
      </c>
      <c r="P550" s="39"/>
      <c r="Q550" s="39"/>
    </row>
    <row r="551" spans="1:17">
      <c r="A551" s="38"/>
      <c r="B551" s="574">
        <v>0.7</v>
      </c>
      <c r="C551" s="571">
        <v>1681</v>
      </c>
      <c r="D551" s="571">
        <v>1801</v>
      </c>
      <c r="E551" s="571">
        <v>2161</v>
      </c>
      <c r="F551" s="571">
        <v>2499</v>
      </c>
      <c r="G551" s="571">
        <v>2786</v>
      </c>
      <c r="H551" s="572">
        <v>67270</v>
      </c>
      <c r="I551" s="572">
        <v>76860</v>
      </c>
      <c r="J551" s="572">
        <v>86450</v>
      </c>
      <c r="K551" s="572">
        <v>96110</v>
      </c>
      <c r="L551" s="572">
        <v>103810</v>
      </c>
      <c r="M551" s="572">
        <v>111440</v>
      </c>
      <c r="N551" s="572">
        <v>119139.99999999999</v>
      </c>
      <c r="O551" s="572">
        <v>126839.99999999999</v>
      </c>
      <c r="P551" s="39"/>
      <c r="Q551" s="39"/>
    </row>
    <row r="552" spans="1:17">
      <c r="A552" s="38"/>
      <c r="B552" s="574">
        <v>0.6</v>
      </c>
      <c r="C552" s="571">
        <v>1441</v>
      </c>
      <c r="D552" s="571">
        <v>1544</v>
      </c>
      <c r="E552" s="571">
        <v>1852</v>
      </c>
      <c r="F552" s="571">
        <v>2142</v>
      </c>
      <c r="G552" s="571">
        <v>2388</v>
      </c>
      <c r="H552" s="571">
        <v>57660</v>
      </c>
      <c r="I552" s="571">
        <v>65880</v>
      </c>
      <c r="J552" s="571">
        <v>74100</v>
      </c>
      <c r="K552" s="571">
        <v>82380</v>
      </c>
      <c r="L552" s="571">
        <v>88980</v>
      </c>
      <c r="M552" s="573">
        <v>95520</v>
      </c>
      <c r="N552" s="573">
        <v>102120</v>
      </c>
      <c r="O552" s="573">
        <v>108720</v>
      </c>
      <c r="P552" s="39"/>
      <c r="Q552" s="39"/>
    </row>
    <row r="553" spans="1:17">
      <c r="A553" s="38"/>
      <c r="B553" s="574">
        <v>0.55000000000000004</v>
      </c>
      <c r="C553" s="571">
        <v>1321</v>
      </c>
      <c r="D553" s="571">
        <v>1415</v>
      </c>
      <c r="E553" s="571">
        <v>1698</v>
      </c>
      <c r="F553" s="571">
        <v>1963</v>
      </c>
      <c r="G553" s="571">
        <v>2189</v>
      </c>
      <c r="H553" s="571">
        <v>52855.000000000007</v>
      </c>
      <c r="I553" s="571">
        <v>60390.000000000007</v>
      </c>
      <c r="J553" s="571">
        <v>67925</v>
      </c>
      <c r="K553" s="571">
        <v>75515</v>
      </c>
      <c r="L553" s="571">
        <v>81565</v>
      </c>
      <c r="M553" s="571">
        <v>87560</v>
      </c>
      <c r="N553" s="571">
        <v>93610.000000000015</v>
      </c>
      <c r="O553" s="571">
        <v>99660.000000000015</v>
      </c>
      <c r="P553" s="39"/>
      <c r="Q553" s="39"/>
    </row>
    <row r="554" spans="1:17">
      <c r="A554" s="38"/>
      <c r="B554" s="574">
        <v>0.5</v>
      </c>
      <c r="C554" s="571">
        <v>1201</v>
      </c>
      <c r="D554" s="571">
        <v>1286</v>
      </c>
      <c r="E554" s="571">
        <v>1543</v>
      </c>
      <c r="F554" s="571">
        <v>1785</v>
      </c>
      <c r="G554" s="571">
        <v>1990</v>
      </c>
      <c r="H554" s="572">
        <v>48050</v>
      </c>
      <c r="I554" s="572">
        <v>54900</v>
      </c>
      <c r="J554" s="572">
        <v>61750</v>
      </c>
      <c r="K554" s="572">
        <v>68650</v>
      </c>
      <c r="L554" s="572">
        <v>74150</v>
      </c>
      <c r="M554" s="572">
        <v>79600</v>
      </c>
      <c r="N554" s="572">
        <v>85100</v>
      </c>
      <c r="O554" s="572">
        <v>90600</v>
      </c>
      <c r="P554" s="39"/>
      <c r="Q554" s="39"/>
    </row>
    <row r="555" spans="1:17">
      <c r="A555" s="38"/>
      <c r="B555" s="574">
        <v>0.45</v>
      </c>
      <c r="C555" s="571">
        <v>1081</v>
      </c>
      <c r="D555" s="571">
        <v>1158</v>
      </c>
      <c r="E555" s="571">
        <v>1389</v>
      </c>
      <c r="F555" s="571">
        <v>1606</v>
      </c>
      <c r="G555" s="571">
        <v>1791</v>
      </c>
      <c r="H555" s="571">
        <v>43245</v>
      </c>
      <c r="I555" s="571">
        <v>49410</v>
      </c>
      <c r="J555" s="571">
        <v>55575</v>
      </c>
      <c r="K555" s="571">
        <v>61785</v>
      </c>
      <c r="L555" s="571">
        <v>66735</v>
      </c>
      <c r="M555" s="573">
        <v>71640</v>
      </c>
      <c r="N555" s="573">
        <v>76590</v>
      </c>
      <c r="O555" s="573">
        <v>81540</v>
      </c>
      <c r="P555" s="39"/>
      <c r="Q555" s="39"/>
    </row>
    <row r="556" spans="1:17">
      <c r="A556" s="38"/>
      <c r="B556" s="574">
        <v>0.4</v>
      </c>
      <c r="C556" s="571">
        <v>961</v>
      </c>
      <c r="D556" s="571">
        <v>1029</v>
      </c>
      <c r="E556" s="571">
        <v>1235</v>
      </c>
      <c r="F556" s="571">
        <v>1428</v>
      </c>
      <c r="G556" s="571">
        <v>1592</v>
      </c>
      <c r="H556" s="571">
        <v>38440</v>
      </c>
      <c r="I556" s="571">
        <v>43920</v>
      </c>
      <c r="J556" s="571">
        <v>49400</v>
      </c>
      <c r="K556" s="571">
        <v>54920</v>
      </c>
      <c r="L556" s="571">
        <v>59320</v>
      </c>
      <c r="M556" s="573">
        <v>63680</v>
      </c>
      <c r="N556" s="573">
        <v>68080</v>
      </c>
      <c r="O556" s="573">
        <v>72480</v>
      </c>
      <c r="P556" s="39"/>
      <c r="Q556" s="39"/>
    </row>
    <row r="557" spans="1:17">
      <c r="A557" s="38"/>
      <c r="B557" s="510">
        <v>0.3</v>
      </c>
      <c r="C557" s="571">
        <v>720</v>
      </c>
      <c r="D557" s="571">
        <v>772</v>
      </c>
      <c r="E557" s="571">
        <v>926</v>
      </c>
      <c r="F557" s="571">
        <v>1071</v>
      </c>
      <c r="G557" s="571">
        <v>1194</v>
      </c>
      <c r="H557" s="572">
        <v>28830</v>
      </c>
      <c r="I557" s="572">
        <v>32940</v>
      </c>
      <c r="J557" s="572">
        <v>37050</v>
      </c>
      <c r="K557" s="572">
        <v>41190</v>
      </c>
      <c r="L557" s="572">
        <v>44490</v>
      </c>
      <c r="M557" s="572">
        <v>47760</v>
      </c>
      <c r="N557" s="572">
        <v>51060</v>
      </c>
      <c r="O557" s="572">
        <v>54360</v>
      </c>
      <c r="P557" s="39"/>
      <c r="Q557" s="39"/>
    </row>
    <row r="558" spans="1:17" ht="13.8" thickBot="1">
      <c r="A558" s="575"/>
      <c r="B558" s="40">
        <v>0.2</v>
      </c>
      <c r="C558" s="512">
        <v>480</v>
      </c>
      <c r="D558" s="512">
        <v>514</v>
      </c>
      <c r="E558" s="512">
        <v>617</v>
      </c>
      <c r="F558" s="512">
        <v>714</v>
      </c>
      <c r="G558" s="512">
        <v>796</v>
      </c>
      <c r="H558" s="513">
        <v>19220</v>
      </c>
      <c r="I558" s="513">
        <v>21960</v>
      </c>
      <c r="J558" s="513">
        <v>24700</v>
      </c>
      <c r="K558" s="513">
        <v>27460</v>
      </c>
      <c r="L558" s="513">
        <v>29660</v>
      </c>
      <c r="M558" s="513">
        <v>31840</v>
      </c>
      <c r="N558" s="513">
        <v>34040</v>
      </c>
      <c r="O558" s="513">
        <v>36240</v>
      </c>
      <c r="P558" s="39"/>
      <c r="Q558" s="39"/>
    </row>
    <row r="559" spans="1:17" ht="13.8" thickTop="1">
      <c r="A559" s="38"/>
      <c r="B559" s="37">
        <v>1.2</v>
      </c>
      <c r="C559" s="514">
        <v>2142</v>
      </c>
      <c r="D559" s="514">
        <v>2295</v>
      </c>
      <c r="E559" s="514">
        <v>2754</v>
      </c>
      <c r="F559" s="514">
        <v>3183</v>
      </c>
      <c r="G559" s="514">
        <v>3552</v>
      </c>
      <c r="H559" s="514">
        <v>85680</v>
      </c>
      <c r="I559" s="514">
        <v>97920</v>
      </c>
      <c r="J559" s="514">
        <v>110160</v>
      </c>
      <c r="K559" s="514">
        <v>122400</v>
      </c>
      <c r="L559" s="514">
        <v>132240</v>
      </c>
      <c r="M559" s="514">
        <v>142080</v>
      </c>
      <c r="N559" s="514">
        <v>151800</v>
      </c>
      <c r="O559" s="514">
        <v>161640</v>
      </c>
      <c r="P559" s="39"/>
      <c r="Q559" s="39"/>
    </row>
    <row r="560" spans="1:17">
      <c r="A560" s="38"/>
      <c r="B560" s="574">
        <v>1</v>
      </c>
      <c r="C560" s="571">
        <v>1785</v>
      </c>
      <c r="D560" s="571">
        <v>1912</v>
      </c>
      <c r="E560" s="571">
        <v>2295</v>
      </c>
      <c r="F560" s="571">
        <v>2652</v>
      </c>
      <c r="G560" s="571">
        <v>2960</v>
      </c>
      <c r="H560" s="571">
        <v>71400</v>
      </c>
      <c r="I560" s="571">
        <v>81600</v>
      </c>
      <c r="J560" s="571">
        <v>91800</v>
      </c>
      <c r="K560" s="571">
        <v>102000</v>
      </c>
      <c r="L560" s="571">
        <v>110200</v>
      </c>
      <c r="M560" s="571">
        <v>118400</v>
      </c>
      <c r="N560" s="571">
        <v>126500</v>
      </c>
      <c r="O560" s="571">
        <v>134700</v>
      </c>
      <c r="P560" s="39"/>
      <c r="Q560" s="39"/>
    </row>
    <row r="561" spans="1:17">
      <c r="A561" s="38" t="s">
        <v>1166</v>
      </c>
      <c r="B561" s="574">
        <v>0.8</v>
      </c>
      <c r="C561" s="571">
        <v>1428</v>
      </c>
      <c r="D561" s="571">
        <v>1530</v>
      </c>
      <c r="E561" s="571">
        <v>1836</v>
      </c>
      <c r="F561" s="571">
        <v>2122</v>
      </c>
      <c r="G561" s="571">
        <v>2368</v>
      </c>
      <c r="H561" s="572">
        <v>57120</v>
      </c>
      <c r="I561" s="572">
        <v>65280</v>
      </c>
      <c r="J561" s="572">
        <v>73440</v>
      </c>
      <c r="K561" s="572">
        <v>81600</v>
      </c>
      <c r="L561" s="572">
        <v>88160</v>
      </c>
      <c r="M561" s="572">
        <v>94720</v>
      </c>
      <c r="N561" s="572">
        <v>101200</v>
      </c>
      <c r="O561" s="572">
        <v>107760</v>
      </c>
      <c r="P561" s="39"/>
      <c r="Q561" s="39"/>
    </row>
    <row r="562" spans="1:17">
      <c r="A562" s="38"/>
      <c r="B562" s="574">
        <v>0.7</v>
      </c>
      <c r="C562" s="571">
        <v>1249</v>
      </c>
      <c r="D562" s="571">
        <v>1338</v>
      </c>
      <c r="E562" s="571">
        <v>1606</v>
      </c>
      <c r="F562" s="571">
        <v>1856</v>
      </c>
      <c r="G562" s="571">
        <v>2072</v>
      </c>
      <c r="H562" s="572">
        <v>49980</v>
      </c>
      <c r="I562" s="572">
        <v>57120</v>
      </c>
      <c r="J562" s="572">
        <v>64259.999999999993</v>
      </c>
      <c r="K562" s="572">
        <v>71400</v>
      </c>
      <c r="L562" s="572">
        <v>77140</v>
      </c>
      <c r="M562" s="572">
        <v>82880</v>
      </c>
      <c r="N562" s="572">
        <v>88550</v>
      </c>
      <c r="O562" s="572">
        <v>94290</v>
      </c>
      <c r="P562" s="39"/>
      <c r="Q562" s="39"/>
    </row>
    <row r="563" spans="1:17">
      <c r="A563" s="38"/>
      <c r="B563" s="574">
        <v>0.6</v>
      </c>
      <c r="C563" s="571">
        <v>1071</v>
      </c>
      <c r="D563" s="571">
        <v>1147</v>
      </c>
      <c r="E563" s="571">
        <v>1377</v>
      </c>
      <c r="F563" s="571">
        <v>1591</v>
      </c>
      <c r="G563" s="571">
        <v>1776</v>
      </c>
      <c r="H563" s="571">
        <v>42840</v>
      </c>
      <c r="I563" s="571">
        <v>48960</v>
      </c>
      <c r="J563" s="571">
        <v>55080</v>
      </c>
      <c r="K563" s="571">
        <v>61200</v>
      </c>
      <c r="L563" s="571">
        <v>66120</v>
      </c>
      <c r="M563" s="573">
        <v>71040</v>
      </c>
      <c r="N563" s="573">
        <v>75900</v>
      </c>
      <c r="O563" s="573">
        <v>80820</v>
      </c>
      <c r="P563" s="39"/>
      <c r="Q563" s="39"/>
    </row>
    <row r="564" spans="1:17">
      <c r="A564" s="38"/>
      <c r="B564" s="574">
        <v>0.55000000000000004</v>
      </c>
      <c r="C564" s="571">
        <v>981</v>
      </c>
      <c r="D564" s="571">
        <v>1051</v>
      </c>
      <c r="E564" s="571">
        <v>1262</v>
      </c>
      <c r="F564" s="571">
        <v>1458</v>
      </c>
      <c r="G564" s="571">
        <v>1628</v>
      </c>
      <c r="H564" s="571">
        <v>39270</v>
      </c>
      <c r="I564" s="571">
        <v>44880</v>
      </c>
      <c r="J564" s="571">
        <v>50490.000000000007</v>
      </c>
      <c r="K564" s="571">
        <v>56100.000000000007</v>
      </c>
      <c r="L564" s="571">
        <v>60610.000000000007</v>
      </c>
      <c r="M564" s="571">
        <v>65120.000000000007</v>
      </c>
      <c r="N564" s="571">
        <v>69575</v>
      </c>
      <c r="O564" s="571">
        <v>74085</v>
      </c>
      <c r="P564" s="39"/>
      <c r="Q564" s="39"/>
    </row>
    <row r="565" spans="1:17">
      <c r="A565" s="38"/>
      <c r="B565" s="574">
        <v>0.5</v>
      </c>
      <c r="C565" s="571">
        <v>892</v>
      </c>
      <c r="D565" s="571">
        <v>956</v>
      </c>
      <c r="E565" s="571">
        <v>1147</v>
      </c>
      <c r="F565" s="571">
        <v>1326</v>
      </c>
      <c r="G565" s="571">
        <v>1480</v>
      </c>
      <c r="H565" s="572">
        <v>35700</v>
      </c>
      <c r="I565" s="572">
        <v>40800</v>
      </c>
      <c r="J565" s="572">
        <v>45900</v>
      </c>
      <c r="K565" s="572">
        <v>51000</v>
      </c>
      <c r="L565" s="572">
        <v>55100</v>
      </c>
      <c r="M565" s="572">
        <v>59200</v>
      </c>
      <c r="N565" s="572">
        <v>63250</v>
      </c>
      <c r="O565" s="572">
        <v>67350</v>
      </c>
      <c r="P565" s="39"/>
      <c r="Q565" s="39"/>
    </row>
    <row r="566" spans="1:17">
      <c r="A566" s="38"/>
      <c r="B566" s="574">
        <v>0.45</v>
      </c>
      <c r="C566" s="571">
        <v>803</v>
      </c>
      <c r="D566" s="571">
        <v>860</v>
      </c>
      <c r="E566" s="571">
        <v>1032</v>
      </c>
      <c r="F566" s="571">
        <v>1193</v>
      </c>
      <c r="G566" s="571">
        <v>1332</v>
      </c>
      <c r="H566" s="571">
        <v>32130</v>
      </c>
      <c r="I566" s="571">
        <v>36720</v>
      </c>
      <c r="J566" s="571">
        <v>41310</v>
      </c>
      <c r="K566" s="571">
        <v>45900</v>
      </c>
      <c r="L566" s="571">
        <v>49590</v>
      </c>
      <c r="M566" s="573">
        <v>53280</v>
      </c>
      <c r="N566" s="573">
        <v>56925</v>
      </c>
      <c r="O566" s="573">
        <v>60615</v>
      </c>
      <c r="P566" s="39"/>
      <c r="Q566" s="39"/>
    </row>
    <row r="567" spans="1:17">
      <c r="A567" s="38"/>
      <c r="B567" s="574">
        <v>0.4</v>
      </c>
      <c r="C567" s="571">
        <v>714</v>
      </c>
      <c r="D567" s="571">
        <v>765</v>
      </c>
      <c r="E567" s="571">
        <v>918</v>
      </c>
      <c r="F567" s="571">
        <v>1061</v>
      </c>
      <c r="G567" s="571">
        <v>1184</v>
      </c>
      <c r="H567" s="571">
        <v>28560</v>
      </c>
      <c r="I567" s="571">
        <v>32640</v>
      </c>
      <c r="J567" s="571">
        <v>36720</v>
      </c>
      <c r="K567" s="571">
        <v>40800</v>
      </c>
      <c r="L567" s="571">
        <v>44080</v>
      </c>
      <c r="M567" s="573">
        <v>47360</v>
      </c>
      <c r="N567" s="573">
        <v>50600</v>
      </c>
      <c r="O567" s="573">
        <v>53880</v>
      </c>
      <c r="P567" s="39"/>
      <c r="Q567" s="39"/>
    </row>
    <row r="568" spans="1:17">
      <c r="A568" s="38"/>
      <c r="B568" s="510">
        <v>0.3</v>
      </c>
      <c r="C568" s="571">
        <v>535</v>
      </c>
      <c r="D568" s="571">
        <v>573</v>
      </c>
      <c r="E568" s="571">
        <v>688</v>
      </c>
      <c r="F568" s="571">
        <v>795</v>
      </c>
      <c r="G568" s="571">
        <v>888</v>
      </c>
      <c r="H568" s="572">
        <v>21420</v>
      </c>
      <c r="I568" s="572">
        <v>24480</v>
      </c>
      <c r="J568" s="572">
        <v>27540</v>
      </c>
      <c r="K568" s="572">
        <v>30600</v>
      </c>
      <c r="L568" s="572">
        <v>33060</v>
      </c>
      <c r="M568" s="572">
        <v>35520</v>
      </c>
      <c r="N568" s="572">
        <v>37950</v>
      </c>
      <c r="O568" s="572">
        <v>40410</v>
      </c>
      <c r="P568" s="39"/>
      <c r="Q568" s="39"/>
    </row>
    <row r="569" spans="1:17" ht="13.8" thickBot="1">
      <c r="A569" s="575"/>
      <c r="B569" s="40">
        <v>0.2</v>
      </c>
      <c r="C569" s="512">
        <v>357</v>
      </c>
      <c r="D569" s="512">
        <v>382</v>
      </c>
      <c r="E569" s="512">
        <v>459</v>
      </c>
      <c r="F569" s="512">
        <v>530</v>
      </c>
      <c r="G569" s="512">
        <v>592</v>
      </c>
      <c r="H569" s="513">
        <v>14280</v>
      </c>
      <c r="I569" s="513">
        <v>16320</v>
      </c>
      <c r="J569" s="513">
        <v>18360</v>
      </c>
      <c r="K569" s="513">
        <v>20400</v>
      </c>
      <c r="L569" s="513">
        <v>22040</v>
      </c>
      <c r="M569" s="513">
        <v>23680</v>
      </c>
      <c r="N569" s="513">
        <v>25300</v>
      </c>
      <c r="O569" s="513">
        <v>26940</v>
      </c>
      <c r="P569" s="39"/>
      <c r="Q569" s="39"/>
    </row>
    <row r="570" spans="1:17" ht="13.8" thickTop="1">
      <c r="A570" s="46"/>
      <c r="B570" s="37">
        <v>1.2</v>
      </c>
      <c r="C570" s="514">
        <v>2142</v>
      </c>
      <c r="D570" s="514">
        <v>2295</v>
      </c>
      <c r="E570" s="514">
        <v>2754</v>
      </c>
      <c r="F570" s="514">
        <v>3183</v>
      </c>
      <c r="G570" s="514">
        <v>3552</v>
      </c>
      <c r="H570" s="514">
        <v>85680</v>
      </c>
      <c r="I570" s="514">
        <v>97920</v>
      </c>
      <c r="J570" s="514">
        <v>110160</v>
      </c>
      <c r="K570" s="514">
        <v>122400</v>
      </c>
      <c r="L570" s="514">
        <v>132240</v>
      </c>
      <c r="M570" s="514">
        <v>142080</v>
      </c>
      <c r="N570" s="514">
        <v>151800</v>
      </c>
      <c r="O570" s="514">
        <v>161640</v>
      </c>
      <c r="P570" s="45"/>
      <c r="Q570" s="45"/>
    </row>
    <row r="571" spans="1:17">
      <c r="A571" s="38"/>
      <c r="B571" s="574">
        <v>1</v>
      </c>
      <c r="C571" s="571">
        <v>1785</v>
      </c>
      <c r="D571" s="571">
        <v>1912</v>
      </c>
      <c r="E571" s="571">
        <v>2295</v>
      </c>
      <c r="F571" s="571">
        <v>2652</v>
      </c>
      <c r="G571" s="571">
        <v>2960</v>
      </c>
      <c r="H571" s="571">
        <v>71400</v>
      </c>
      <c r="I571" s="571">
        <v>81600</v>
      </c>
      <c r="J571" s="571">
        <v>91800</v>
      </c>
      <c r="K571" s="571">
        <v>102000</v>
      </c>
      <c r="L571" s="571">
        <v>110200</v>
      </c>
      <c r="M571" s="571">
        <v>118400</v>
      </c>
      <c r="N571" s="571">
        <v>126500</v>
      </c>
      <c r="O571" s="571">
        <v>134700</v>
      </c>
      <c r="P571" s="39"/>
      <c r="Q571" s="39"/>
    </row>
    <row r="572" spans="1:17">
      <c r="A572" s="43" t="s">
        <v>1167</v>
      </c>
      <c r="B572" s="574">
        <v>0.8</v>
      </c>
      <c r="C572" s="571">
        <v>1428</v>
      </c>
      <c r="D572" s="571">
        <v>1530</v>
      </c>
      <c r="E572" s="571">
        <v>1836</v>
      </c>
      <c r="F572" s="571">
        <v>2122</v>
      </c>
      <c r="G572" s="571">
        <v>2368</v>
      </c>
      <c r="H572" s="572">
        <v>57120</v>
      </c>
      <c r="I572" s="572">
        <v>65280</v>
      </c>
      <c r="J572" s="572">
        <v>73440</v>
      </c>
      <c r="K572" s="572">
        <v>81600</v>
      </c>
      <c r="L572" s="572">
        <v>88160</v>
      </c>
      <c r="M572" s="572">
        <v>94720</v>
      </c>
      <c r="N572" s="572">
        <v>101200</v>
      </c>
      <c r="O572" s="572">
        <v>107760</v>
      </c>
      <c r="P572" s="39"/>
      <c r="Q572" s="39"/>
    </row>
    <row r="573" spans="1:17">
      <c r="A573" s="43"/>
      <c r="B573" s="574">
        <v>0.7</v>
      </c>
      <c r="C573" s="571">
        <v>1249</v>
      </c>
      <c r="D573" s="571">
        <v>1338</v>
      </c>
      <c r="E573" s="571">
        <v>1606</v>
      </c>
      <c r="F573" s="571">
        <v>1856</v>
      </c>
      <c r="G573" s="571">
        <v>2072</v>
      </c>
      <c r="H573" s="572">
        <v>49980</v>
      </c>
      <c r="I573" s="572">
        <v>57120</v>
      </c>
      <c r="J573" s="572">
        <v>64259.999999999993</v>
      </c>
      <c r="K573" s="572">
        <v>71400</v>
      </c>
      <c r="L573" s="572">
        <v>77140</v>
      </c>
      <c r="M573" s="572">
        <v>82880</v>
      </c>
      <c r="N573" s="572">
        <v>88550</v>
      </c>
      <c r="O573" s="572">
        <v>94290</v>
      </c>
      <c r="P573" s="39"/>
      <c r="Q573" s="39"/>
    </row>
    <row r="574" spans="1:17">
      <c r="A574" s="38"/>
      <c r="B574" s="574">
        <v>0.6</v>
      </c>
      <c r="C574" s="571">
        <v>1071</v>
      </c>
      <c r="D574" s="571">
        <v>1147</v>
      </c>
      <c r="E574" s="571">
        <v>1377</v>
      </c>
      <c r="F574" s="571">
        <v>1591</v>
      </c>
      <c r="G574" s="571">
        <v>1776</v>
      </c>
      <c r="H574" s="571">
        <v>42840</v>
      </c>
      <c r="I574" s="571">
        <v>48960</v>
      </c>
      <c r="J574" s="571">
        <v>55080</v>
      </c>
      <c r="K574" s="571">
        <v>61200</v>
      </c>
      <c r="L574" s="571">
        <v>66120</v>
      </c>
      <c r="M574" s="573">
        <v>71040</v>
      </c>
      <c r="N574" s="573">
        <v>75900</v>
      </c>
      <c r="O574" s="573">
        <v>80820</v>
      </c>
      <c r="P574" s="39"/>
      <c r="Q574" s="39"/>
    </row>
    <row r="575" spans="1:17">
      <c r="A575" s="38"/>
      <c r="B575" s="574">
        <v>0.55000000000000004</v>
      </c>
      <c r="C575" s="571">
        <v>981</v>
      </c>
      <c r="D575" s="571">
        <v>1051</v>
      </c>
      <c r="E575" s="571">
        <v>1262</v>
      </c>
      <c r="F575" s="571">
        <v>1458</v>
      </c>
      <c r="G575" s="571">
        <v>1628</v>
      </c>
      <c r="H575" s="571">
        <v>39270</v>
      </c>
      <c r="I575" s="571">
        <v>44880</v>
      </c>
      <c r="J575" s="571">
        <v>50490.000000000007</v>
      </c>
      <c r="K575" s="571">
        <v>56100.000000000007</v>
      </c>
      <c r="L575" s="571">
        <v>60610.000000000007</v>
      </c>
      <c r="M575" s="571">
        <v>65120.000000000007</v>
      </c>
      <c r="N575" s="571">
        <v>69575</v>
      </c>
      <c r="O575" s="571">
        <v>74085</v>
      </c>
      <c r="P575" s="39"/>
      <c r="Q575" s="39"/>
    </row>
    <row r="576" spans="1:17">
      <c r="A576" s="38"/>
      <c r="B576" s="574">
        <v>0.5</v>
      </c>
      <c r="C576" s="571">
        <v>892</v>
      </c>
      <c r="D576" s="571">
        <v>956</v>
      </c>
      <c r="E576" s="571">
        <v>1147</v>
      </c>
      <c r="F576" s="571">
        <v>1326</v>
      </c>
      <c r="G576" s="571">
        <v>1480</v>
      </c>
      <c r="H576" s="572">
        <v>35700</v>
      </c>
      <c r="I576" s="572">
        <v>40800</v>
      </c>
      <c r="J576" s="572">
        <v>45900</v>
      </c>
      <c r="K576" s="572">
        <v>51000</v>
      </c>
      <c r="L576" s="572">
        <v>55100</v>
      </c>
      <c r="M576" s="572">
        <v>59200</v>
      </c>
      <c r="N576" s="572">
        <v>63250</v>
      </c>
      <c r="O576" s="572">
        <v>67350</v>
      </c>
      <c r="P576" s="39"/>
      <c r="Q576" s="39"/>
    </row>
    <row r="577" spans="1:17">
      <c r="A577" s="38"/>
      <c r="B577" s="574">
        <v>0.45</v>
      </c>
      <c r="C577" s="571">
        <v>803</v>
      </c>
      <c r="D577" s="571">
        <v>860</v>
      </c>
      <c r="E577" s="571">
        <v>1032</v>
      </c>
      <c r="F577" s="571">
        <v>1193</v>
      </c>
      <c r="G577" s="571">
        <v>1332</v>
      </c>
      <c r="H577" s="571">
        <v>32130</v>
      </c>
      <c r="I577" s="571">
        <v>36720</v>
      </c>
      <c r="J577" s="571">
        <v>41310</v>
      </c>
      <c r="K577" s="571">
        <v>45900</v>
      </c>
      <c r="L577" s="571">
        <v>49590</v>
      </c>
      <c r="M577" s="573">
        <v>53280</v>
      </c>
      <c r="N577" s="573">
        <v>56925</v>
      </c>
      <c r="O577" s="573">
        <v>60615</v>
      </c>
      <c r="P577" s="39"/>
      <c r="Q577" s="39"/>
    </row>
    <row r="578" spans="1:17">
      <c r="A578" s="38"/>
      <c r="B578" s="574">
        <v>0.4</v>
      </c>
      <c r="C578" s="571">
        <v>714</v>
      </c>
      <c r="D578" s="571">
        <v>765</v>
      </c>
      <c r="E578" s="571">
        <v>918</v>
      </c>
      <c r="F578" s="571">
        <v>1061</v>
      </c>
      <c r="G578" s="571">
        <v>1184</v>
      </c>
      <c r="H578" s="571">
        <v>28560</v>
      </c>
      <c r="I578" s="571">
        <v>32640</v>
      </c>
      <c r="J578" s="571">
        <v>36720</v>
      </c>
      <c r="K578" s="571">
        <v>40800</v>
      </c>
      <c r="L578" s="571">
        <v>44080</v>
      </c>
      <c r="M578" s="573">
        <v>47360</v>
      </c>
      <c r="N578" s="573">
        <v>50600</v>
      </c>
      <c r="O578" s="573">
        <v>53880</v>
      </c>
      <c r="P578" s="39"/>
      <c r="Q578" s="39"/>
    </row>
    <row r="579" spans="1:17">
      <c r="A579" s="38"/>
      <c r="B579" s="510">
        <v>0.3</v>
      </c>
      <c r="C579" s="571">
        <v>535</v>
      </c>
      <c r="D579" s="571">
        <v>573</v>
      </c>
      <c r="E579" s="571">
        <v>688</v>
      </c>
      <c r="F579" s="571">
        <v>795</v>
      </c>
      <c r="G579" s="571">
        <v>888</v>
      </c>
      <c r="H579" s="572">
        <v>21420</v>
      </c>
      <c r="I579" s="572">
        <v>24480</v>
      </c>
      <c r="J579" s="572">
        <v>27540</v>
      </c>
      <c r="K579" s="572">
        <v>30600</v>
      </c>
      <c r="L579" s="572">
        <v>33060</v>
      </c>
      <c r="M579" s="572">
        <v>35520</v>
      </c>
      <c r="N579" s="572">
        <v>37950</v>
      </c>
      <c r="O579" s="572">
        <v>40410</v>
      </c>
      <c r="P579" s="39"/>
      <c r="Q579" s="39"/>
    </row>
    <row r="580" spans="1:17" ht="13.8" thickBot="1">
      <c r="A580" s="575"/>
      <c r="B580" s="40">
        <v>0.2</v>
      </c>
      <c r="C580" s="512">
        <v>357</v>
      </c>
      <c r="D580" s="512">
        <v>382</v>
      </c>
      <c r="E580" s="512">
        <v>459</v>
      </c>
      <c r="F580" s="512">
        <v>530</v>
      </c>
      <c r="G580" s="512">
        <v>592</v>
      </c>
      <c r="H580" s="513">
        <v>14280</v>
      </c>
      <c r="I580" s="513">
        <v>16320</v>
      </c>
      <c r="J580" s="513">
        <v>18360</v>
      </c>
      <c r="K580" s="513">
        <v>20400</v>
      </c>
      <c r="L580" s="513">
        <v>22040</v>
      </c>
      <c r="M580" s="513">
        <v>23680</v>
      </c>
      <c r="N580" s="513">
        <v>25300</v>
      </c>
      <c r="O580" s="513">
        <v>26940</v>
      </c>
      <c r="P580" s="39"/>
      <c r="Q580" s="39"/>
    </row>
    <row r="581" spans="1:17" ht="13.8" thickTop="1">
      <c r="A581" s="38"/>
      <c r="B581" s="37">
        <v>1.2</v>
      </c>
      <c r="C581" s="514">
        <v>2142</v>
      </c>
      <c r="D581" s="514">
        <v>2295</v>
      </c>
      <c r="E581" s="514">
        <v>2754</v>
      </c>
      <c r="F581" s="514">
        <v>3183</v>
      </c>
      <c r="G581" s="514">
        <v>3552</v>
      </c>
      <c r="H581" s="514">
        <v>85680</v>
      </c>
      <c r="I581" s="514">
        <v>97920</v>
      </c>
      <c r="J581" s="514">
        <v>110160</v>
      </c>
      <c r="K581" s="514">
        <v>122400</v>
      </c>
      <c r="L581" s="514">
        <v>132240</v>
      </c>
      <c r="M581" s="514">
        <v>142080</v>
      </c>
      <c r="N581" s="514">
        <v>151800</v>
      </c>
      <c r="O581" s="514">
        <v>161640</v>
      </c>
      <c r="P581" s="45"/>
      <c r="Q581" s="45"/>
    </row>
    <row r="582" spans="1:17">
      <c r="A582" s="38"/>
      <c r="B582" s="574">
        <v>1</v>
      </c>
      <c r="C582" s="571">
        <v>1785</v>
      </c>
      <c r="D582" s="571">
        <v>1912</v>
      </c>
      <c r="E582" s="571">
        <v>2295</v>
      </c>
      <c r="F582" s="571">
        <v>2652</v>
      </c>
      <c r="G582" s="571">
        <v>2960</v>
      </c>
      <c r="H582" s="571">
        <v>71400</v>
      </c>
      <c r="I582" s="571">
        <v>81600</v>
      </c>
      <c r="J582" s="571">
        <v>91800</v>
      </c>
      <c r="K582" s="571">
        <v>102000</v>
      </c>
      <c r="L582" s="571">
        <v>110200</v>
      </c>
      <c r="M582" s="571">
        <v>118400</v>
      </c>
      <c r="N582" s="571">
        <v>126500</v>
      </c>
      <c r="O582" s="571">
        <v>134700</v>
      </c>
      <c r="P582" s="39"/>
      <c r="Q582" s="39"/>
    </row>
    <row r="583" spans="1:17">
      <c r="A583" s="38" t="s">
        <v>1168</v>
      </c>
      <c r="B583" s="574">
        <v>0.8</v>
      </c>
      <c r="C583" s="571">
        <v>1428</v>
      </c>
      <c r="D583" s="571">
        <v>1530</v>
      </c>
      <c r="E583" s="571">
        <v>1836</v>
      </c>
      <c r="F583" s="571">
        <v>2122</v>
      </c>
      <c r="G583" s="571">
        <v>2368</v>
      </c>
      <c r="H583" s="572">
        <v>57120</v>
      </c>
      <c r="I583" s="572">
        <v>65280</v>
      </c>
      <c r="J583" s="572">
        <v>73440</v>
      </c>
      <c r="K583" s="572">
        <v>81600</v>
      </c>
      <c r="L583" s="572">
        <v>88160</v>
      </c>
      <c r="M583" s="572">
        <v>94720</v>
      </c>
      <c r="N583" s="572">
        <v>101200</v>
      </c>
      <c r="O583" s="572">
        <v>107760</v>
      </c>
      <c r="P583" s="39"/>
      <c r="Q583" s="39"/>
    </row>
    <row r="584" spans="1:17">
      <c r="A584" s="38"/>
      <c r="B584" s="574">
        <v>0.7</v>
      </c>
      <c r="C584" s="571">
        <v>1249</v>
      </c>
      <c r="D584" s="571">
        <v>1338</v>
      </c>
      <c r="E584" s="571">
        <v>1606</v>
      </c>
      <c r="F584" s="571">
        <v>1856</v>
      </c>
      <c r="G584" s="571">
        <v>2072</v>
      </c>
      <c r="H584" s="572">
        <v>49980</v>
      </c>
      <c r="I584" s="572">
        <v>57120</v>
      </c>
      <c r="J584" s="572">
        <v>64259.999999999993</v>
      </c>
      <c r="K584" s="572">
        <v>71400</v>
      </c>
      <c r="L584" s="572">
        <v>77140</v>
      </c>
      <c r="M584" s="572">
        <v>82880</v>
      </c>
      <c r="N584" s="572">
        <v>88550</v>
      </c>
      <c r="O584" s="572">
        <v>94290</v>
      </c>
      <c r="P584" s="39"/>
      <c r="Q584" s="39"/>
    </row>
    <row r="585" spans="1:17">
      <c r="A585" s="38"/>
      <c r="B585" s="574">
        <v>0.6</v>
      </c>
      <c r="C585" s="571">
        <v>1071</v>
      </c>
      <c r="D585" s="571">
        <v>1147</v>
      </c>
      <c r="E585" s="571">
        <v>1377</v>
      </c>
      <c r="F585" s="571">
        <v>1591</v>
      </c>
      <c r="G585" s="571">
        <v>1776</v>
      </c>
      <c r="H585" s="571">
        <v>42840</v>
      </c>
      <c r="I585" s="571">
        <v>48960</v>
      </c>
      <c r="J585" s="571">
        <v>55080</v>
      </c>
      <c r="K585" s="571">
        <v>61200</v>
      </c>
      <c r="L585" s="571">
        <v>66120</v>
      </c>
      <c r="M585" s="573">
        <v>71040</v>
      </c>
      <c r="N585" s="573">
        <v>75900</v>
      </c>
      <c r="O585" s="573">
        <v>80820</v>
      </c>
      <c r="P585" s="39"/>
      <c r="Q585" s="39"/>
    </row>
    <row r="586" spans="1:17">
      <c r="A586" s="38"/>
      <c r="B586" s="574">
        <v>0.55000000000000004</v>
      </c>
      <c r="C586" s="571">
        <v>981</v>
      </c>
      <c r="D586" s="571">
        <v>1051</v>
      </c>
      <c r="E586" s="571">
        <v>1262</v>
      </c>
      <c r="F586" s="571">
        <v>1458</v>
      </c>
      <c r="G586" s="571">
        <v>1628</v>
      </c>
      <c r="H586" s="571">
        <v>39270</v>
      </c>
      <c r="I586" s="571">
        <v>44880</v>
      </c>
      <c r="J586" s="571">
        <v>50490.000000000007</v>
      </c>
      <c r="K586" s="571">
        <v>56100.000000000007</v>
      </c>
      <c r="L586" s="571">
        <v>60610.000000000007</v>
      </c>
      <c r="M586" s="571">
        <v>65120.000000000007</v>
      </c>
      <c r="N586" s="571">
        <v>69575</v>
      </c>
      <c r="O586" s="571">
        <v>74085</v>
      </c>
      <c r="P586" s="39"/>
      <c r="Q586" s="39"/>
    </row>
    <row r="587" spans="1:17">
      <c r="A587" s="38"/>
      <c r="B587" s="574">
        <v>0.5</v>
      </c>
      <c r="C587" s="571">
        <v>892</v>
      </c>
      <c r="D587" s="571">
        <v>956</v>
      </c>
      <c r="E587" s="571">
        <v>1147</v>
      </c>
      <c r="F587" s="571">
        <v>1326</v>
      </c>
      <c r="G587" s="571">
        <v>1480</v>
      </c>
      <c r="H587" s="572">
        <v>35700</v>
      </c>
      <c r="I587" s="572">
        <v>40800</v>
      </c>
      <c r="J587" s="572">
        <v>45900</v>
      </c>
      <c r="K587" s="572">
        <v>51000</v>
      </c>
      <c r="L587" s="572">
        <v>55100</v>
      </c>
      <c r="M587" s="572">
        <v>59200</v>
      </c>
      <c r="N587" s="572">
        <v>63250</v>
      </c>
      <c r="O587" s="572">
        <v>67350</v>
      </c>
      <c r="P587" s="39"/>
      <c r="Q587" s="39"/>
    </row>
    <row r="588" spans="1:17">
      <c r="A588" s="38"/>
      <c r="B588" s="574">
        <v>0.45</v>
      </c>
      <c r="C588" s="571">
        <v>803</v>
      </c>
      <c r="D588" s="571">
        <v>860</v>
      </c>
      <c r="E588" s="571">
        <v>1032</v>
      </c>
      <c r="F588" s="571">
        <v>1193</v>
      </c>
      <c r="G588" s="571">
        <v>1332</v>
      </c>
      <c r="H588" s="571">
        <v>32130</v>
      </c>
      <c r="I588" s="571">
        <v>36720</v>
      </c>
      <c r="J588" s="571">
        <v>41310</v>
      </c>
      <c r="K588" s="571">
        <v>45900</v>
      </c>
      <c r="L588" s="571">
        <v>49590</v>
      </c>
      <c r="M588" s="573">
        <v>53280</v>
      </c>
      <c r="N588" s="573">
        <v>56925</v>
      </c>
      <c r="O588" s="573">
        <v>60615</v>
      </c>
      <c r="P588" s="39"/>
      <c r="Q588" s="39"/>
    </row>
    <row r="589" spans="1:17">
      <c r="A589" s="38"/>
      <c r="B589" s="574">
        <v>0.4</v>
      </c>
      <c r="C589" s="571">
        <v>714</v>
      </c>
      <c r="D589" s="571">
        <v>765</v>
      </c>
      <c r="E589" s="571">
        <v>918</v>
      </c>
      <c r="F589" s="571">
        <v>1061</v>
      </c>
      <c r="G589" s="571">
        <v>1184</v>
      </c>
      <c r="H589" s="571">
        <v>28560</v>
      </c>
      <c r="I589" s="571">
        <v>32640</v>
      </c>
      <c r="J589" s="571">
        <v>36720</v>
      </c>
      <c r="K589" s="571">
        <v>40800</v>
      </c>
      <c r="L589" s="571">
        <v>44080</v>
      </c>
      <c r="M589" s="573">
        <v>47360</v>
      </c>
      <c r="N589" s="573">
        <v>50600</v>
      </c>
      <c r="O589" s="573">
        <v>53880</v>
      </c>
      <c r="P589" s="39"/>
      <c r="Q589" s="39"/>
    </row>
    <row r="590" spans="1:17">
      <c r="A590" s="38"/>
      <c r="B590" s="510">
        <v>0.3</v>
      </c>
      <c r="C590" s="571">
        <v>535</v>
      </c>
      <c r="D590" s="571">
        <v>573</v>
      </c>
      <c r="E590" s="571">
        <v>688</v>
      </c>
      <c r="F590" s="571">
        <v>795</v>
      </c>
      <c r="G590" s="571">
        <v>888</v>
      </c>
      <c r="H590" s="572">
        <v>21420</v>
      </c>
      <c r="I590" s="572">
        <v>24480</v>
      </c>
      <c r="J590" s="572">
        <v>27540</v>
      </c>
      <c r="K590" s="572">
        <v>30600</v>
      </c>
      <c r="L590" s="572">
        <v>33060</v>
      </c>
      <c r="M590" s="572">
        <v>35520</v>
      </c>
      <c r="N590" s="572">
        <v>37950</v>
      </c>
      <c r="O590" s="572">
        <v>40410</v>
      </c>
      <c r="P590" s="39"/>
      <c r="Q590" s="39"/>
    </row>
    <row r="591" spans="1:17" ht="13.8" thickBot="1">
      <c r="A591" s="575"/>
      <c r="B591" s="40">
        <v>0.2</v>
      </c>
      <c r="C591" s="512">
        <v>357</v>
      </c>
      <c r="D591" s="512">
        <v>382</v>
      </c>
      <c r="E591" s="512">
        <v>459</v>
      </c>
      <c r="F591" s="512">
        <v>530</v>
      </c>
      <c r="G591" s="512">
        <v>592</v>
      </c>
      <c r="H591" s="513">
        <v>14280</v>
      </c>
      <c r="I591" s="513">
        <v>16320</v>
      </c>
      <c r="J591" s="513">
        <v>18360</v>
      </c>
      <c r="K591" s="513">
        <v>20400</v>
      </c>
      <c r="L591" s="513">
        <v>22040</v>
      </c>
      <c r="M591" s="513">
        <v>23680</v>
      </c>
      <c r="N591" s="513">
        <v>25300</v>
      </c>
      <c r="O591" s="513">
        <v>26940</v>
      </c>
      <c r="P591" s="39"/>
      <c r="Q591" s="39"/>
    </row>
    <row r="592" spans="1:17" ht="13.8" thickTop="1">
      <c r="A592" s="38"/>
      <c r="B592" s="37">
        <v>1.2</v>
      </c>
      <c r="C592" s="514">
        <v>2142</v>
      </c>
      <c r="D592" s="514">
        <v>2295</v>
      </c>
      <c r="E592" s="514">
        <v>2754</v>
      </c>
      <c r="F592" s="514">
        <v>3183</v>
      </c>
      <c r="G592" s="514">
        <v>3552</v>
      </c>
      <c r="H592" s="514">
        <v>85680</v>
      </c>
      <c r="I592" s="514">
        <v>97920</v>
      </c>
      <c r="J592" s="514">
        <v>110160</v>
      </c>
      <c r="K592" s="514">
        <v>122400</v>
      </c>
      <c r="L592" s="514">
        <v>132240</v>
      </c>
      <c r="M592" s="514">
        <v>142080</v>
      </c>
      <c r="N592" s="514">
        <v>151800</v>
      </c>
      <c r="O592" s="514">
        <v>161640</v>
      </c>
      <c r="P592" s="39"/>
      <c r="Q592" s="39"/>
    </row>
    <row r="593" spans="1:17">
      <c r="A593" s="38"/>
      <c r="B593" s="574">
        <v>1</v>
      </c>
      <c r="C593" s="571">
        <v>1785</v>
      </c>
      <c r="D593" s="571">
        <v>1912</v>
      </c>
      <c r="E593" s="571">
        <v>2295</v>
      </c>
      <c r="F593" s="571">
        <v>2652</v>
      </c>
      <c r="G593" s="571">
        <v>2960</v>
      </c>
      <c r="H593" s="571">
        <v>71400</v>
      </c>
      <c r="I593" s="571">
        <v>81600</v>
      </c>
      <c r="J593" s="571">
        <v>91800</v>
      </c>
      <c r="K593" s="571">
        <v>102000</v>
      </c>
      <c r="L593" s="571">
        <v>110200</v>
      </c>
      <c r="M593" s="571">
        <v>118400</v>
      </c>
      <c r="N593" s="571">
        <v>126500</v>
      </c>
      <c r="O593" s="571">
        <v>134700</v>
      </c>
      <c r="P593" s="39"/>
      <c r="Q593" s="39"/>
    </row>
    <row r="594" spans="1:17">
      <c r="A594" s="38" t="s">
        <v>1169</v>
      </c>
      <c r="B594" s="574">
        <v>0.8</v>
      </c>
      <c r="C594" s="571">
        <v>1428</v>
      </c>
      <c r="D594" s="571">
        <v>1530</v>
      </c>
      <c r="E594" s="571">
        <v>1836</v>
      </c>
      <c r="F594" s="571">
        <v>2122</v>
      </c>
      <c r="G594" s="571">
        <v>2368</v>
      </c>
      <c r="H594" s="572">
        <v>57120</v>
      </c>
      <c r="I594" s="572">
        <v>65280</v>
      </c>
      <c r="J594" s="572">
        <v>73440</v>
      </c>
      <c r="K594" s="572">
        <v>81600</v>
      </c>
      <c r="L594" s="572">
        <v>88160</v>
      </c>
      <c r="M594" s="572">
        <v>94720</v>
      </c>
      <c r="N594" s="572">
        <v>101200</v>
      </c>
      <c r="O594" s="572">
        <v>107760</v>
      </c>
      <c r="P594" s="39"/>
      <c r="Q594" s="39"/>
    </row>
    <row r="595" spans="1:17">
      <c r="A595" s="38"/>
      <c r="B595" s="574">
        <v>0.7</v>
      </c>
      <c r="C595" s="571">
        <v>1249</v>
      </c>
      <c r="D595" s="571">
        <v>1338</v>
      </c>
      <c r="E595" s="571">
        <v>1606</v>
      </c>
      <c r="F595" s="571">
        <v>1856</v>
      </c>
      <c r="G595" s="571">
        <v>2072</v>
      </c>
      <c r="H595" s="572">
        <v>49980</v>
      </c>
      <c r="I595" s="572">
        <v>57120</v>
      </c>
      <c r="J595" s="572">
        <v>64259.999999999993</v>
      </c>
      <c r="K595" s="572">
        <v>71400</v>
      </c>
      <c r="L595" s="572">
        <v>77140</v>
      </c>
      <c r="M595" s="572">
        <v>82880</v>
      </c>
      <c r="N595" s="572">
        <v>88550</v>
      </c>
      <c r="O595" s="572">
        <v>94290</v>
      </c>
      <c r="P595" s="39"/>
      <c r="Q595" s="39"/>
    </row>
    <row r="596" spans="1:17">
      <c r="A596" s="38"/>
      <c r="B596" s="574">
        <v>0.6</v>
      </c>
      <c r="C596" s="571">
        <v>1071</v>
      </c>
      <c r="D596" s="571">
        <v>1147</v>
      </c>
      <c r="E596" s="571">
        <v>1377</v>
      </c>
      <c r="F596" s="571">
        <v>1591</v>
      </c>
      <c r="G596" s="571">
        <v>1776</v>
      </c>
      <c r="H596" s="571">
        <v>42840</v>
      </c>
      <c r="I596" s="571">
        <v>48960</v>
      </c>
      <c r="J596" s="571">
        <v>55080</v>
      </c>
      <c r="K596" s="571">
        <v>61200</v>
      </c>
      <c r="L596" s="571">
        <v>66120</v>
      </c>
      <c r="M596" s="573">
        <v>71040</v>
      </c>
      <c r="N596" s="573">
        <v>75900</v>
      </c>
      <c r="O596" s="573">
        <v>80820</v>
      </c>
      <c r="P596" s="39"/>
      <c r="Q596" s="39"/>
    </row>
    <row r="597" spans="1:17">
      <c r="A597" s="38"/>
      <c r="B597" s="574">
        <v>0.55000000000000004</v>
      </c>
      <c r="C597" s="571">
        <v>981</v>
      </c>
      <c r="D597" s="571">
        <v>1051</v>
      </c>
      <c r="E597" s="571">
        <v>1262</v>
      </c>
      <c r="F597" s="571">
        <v>1458</v>
      </c>
      <c r="G597" s="571">
        <v>1628</v>
      </c>
      <c r="H597" s="571">
        <v>39270</v>
      </c>
      <c r="I597" s="571">
        <v>44880</v>
      </c>
      <c r="J597" s="571">
        <v>50490.000000000007</v>
      </c>
      <c r="K597" s="571">
        <v>56100.000000000007</v>
      </c>
      <c r="L597" s="571">
        <v>60610.000000000007</v>
      </c>
      <c r="M597" s="571">
        <v>65120.000000000007</v>
      </c>
      <c r="N597" s="571">
        <v>69575</v>
      </c>
      <c r="O597" s="571">
        <v>74085</v>
      </c>
      <c r="P597" s="39"/>
      <c r="Q597" s="39"/>
    </row>
    <row r="598" spans="1:17">
      <c r="A598" s="38"/>
      <c r="B598" s="574">
        <v>0.5</v>
      </c>
      <c r="C598" s="571">
        <v>892</v>
      </c>
      <c r="D598" s="571">
        <v>956</v>
      </c>
      <c r="E598" s="571">
        <v>1147</v>
      </c>
      <c r="F598" s="571">
        <v>1326</v>
      </c>
      <c r="G598" s="571">
        <v>1480</v>
      </c>
      <c r="H598" s="572">
        <v>35700</v>
      </c>
      <c r="I598" s="572">
        <v>40800</v>
      </c>
      <c r="J598" s="572">
        <v>45900</v>
      </c>
      <c r="K598" s="572">
        <v>51000</v>
      </c>
      <c r="L598" s="572">
        <v>55100</v>
      </c>
      <c r="M598" s="572">
        <v>59200</v>
      </c>
      <c r="N598" s="572">
        <v>63250</v>
      </c>
      <c r="O598" s="572">
        <v>67350</v>
      </c>
      <c r="P598" s="39"/>
      <c r="Q598" s="39"/>
    </row>
    <row r="599" spans="1:17">
      <c r="A599" s="38"/>
      <c r="B599" s="574">
        <v>0.45</v>
      </c>
      <c r="C599" s="571">
        <v>803</v>
      </c>
      <c r="D599" s="571">
        <v>860</v>
      </c>
      <c r="E599" s="571">
        <v>1032</v>
      </c>
      <c r="F599" s="571">
        <v>1193</v>
      </c>
      <c r="G599" s="571">
        <v>1332</v>
      </c>
      <c r="H599" s="571">
        <v>32130</v>
      </c>
      <c r="I599" s="571">
        <v>36720</v>
      </c>
      <c r="J599" s="571">
        <v>41310</v>
      </c>
      <c r="K599" s="571">
        <v>45900</v>
      </c>
      <c r="L599" s="571">
        <v>49590</v>
      </c>
      <c r="M599" s="573">
        <v>53280</v>
      </c>
      <c r="N599" s="573">
        <v>56925</v>
      </c>
      <c r="O599" s="573">
        <v>60615</v>
      </c>
      <c r="P599" s="39"/>
      <c r="Q599" s="39"/>
    </row>
    <row r="600" spans="1:17">
      <c r="A600" s="38"/>
      <c r="B600" s="574">
        <v>0.4</v>
      </c>
      <c r="C600" s="571">
        <v>714</v>
      </c>
      <c r="D600" s="571">
        <v>765</v>
      </c>
      <c r="E600" s="571">
        <v>918</v>
      </c>
      <c r="F600" s="571">
        <v>1061</v>
      </c>
      <c r="G600" s="571">
        <v>1184</v>
      </c>
      <c r="H600" s="571">
        <v>28560</v>
      </c>
      <c r="I600" s="571">
        <v>32640</v>
      </c>
      <c r="J600" s="571">
        <v>36720</v>
      </c>
      <c r="K600" s="571">
        <v>40800</v>
      </c>
      <c r="L600" s="571">
        <v>44080</v>
      </c>
      <c r="M600" s="573">
        <v>47360</v>
      </c>
      <c r="N600" s="573">
        <v>50600</v>
      </c>
      <c r="O600" s="573">
        <v>53880</v>
      </c>
      <c r="P600" s="39"/>
      <c r="Q600" s="39"/>
    </row>
    <row r="601" spans="1:17">
      <c r="A601" s="38"/>
      <c r="B601" s="510">
        <v>0.3</v>
      </c>
      <c r="C601" s="571">
        <v>535</v>
      </c>
      <c r="D601" s="571">
        <v>573</v>
      </c>
      <c r="E601" s="571">
        <v>688</v>
      </c>
      <c r="F601" s="571">
        <v>795</v>
      </c>
      <c r="G601" s="571">
        <v>888</v>
      </c>
      <c r="H601" s="572">
        <v>21420</v>
      </c>
      <c r="I601" s="572">
        <v>24480</v>
      </c>
      <c r="J601" s="572">
        <v>27540</v>
      </c>
      <c r="K601" s="572">
        <v>30600</v>
      </c>
      <c r="L601" s="572">
        <v>33060</v>
      </c>
      <c r="M601" s="572">
        <v>35520</v>
      </c>
      <c r="N601" s="572">
        <v>37950</v>
      </c>
      <c r="O601" s="572">
        <v>40410</v>
      </c>
      <c r="P601" s="39"/>
      <c r="Q601" s="39"/>
    </row>
    <row r="602" spans="1:17" ht="13.8" thickBot="1">
      <c r="A602" s="575"/>
      <c r="B602" s="40">
        <v>0.2</v>
      </c>
      <c r="C602" s="512">
        <v>357</v>
      </c>
      <c r="D602" s="512">
        <v>382</v>
      </c>
      <c r="E602" s="512">
        <v>459</v>
      </c>
      <c r="F602" s="512">
        <v>530</v>
      </c>
      <c r="G602" s="512">
        <v>592</v>
      </c>
      <c r="H602" s="513">
        <v>14280</v>
      </c>
      <c r="I602" s="513">
        <v>16320</v>
      </c>
      <c r="J602" s="513">
        <v>18360</v>
      </c>
      <c r="K602" s="513">
        <v>20400</v>
      </c>
      <c r="L602" s="513">
        <v>22040</v>
      </c>
      <c r="M602" s="513">
        <v>23680</v>
      </c>
      <c r="N602" s="513">
        <v>25300</v>
      </c>
      <c r="O602" s="513">
        <v>26940</v>
      </c>
      <c r="P602" s="39"/>
      <c r="Q602" s="39"/>
    </row>
    <row r="603" spans="1:17" ht="13.8" thickTop="1">
      <c r="A603" s="38"/>
      <c r="B603" s="37">
        <v>1.2</v>
      </c>
      <c r="C603" s="514">
        <v>2730</v>
      </c>
      <c r="D603" s="514">
        <v>2925</v>
      </c>
      <c r="E603" s="514">
        <v>3510</v>
      </c>
      <c r="F603" s="514">
        <v>4056</v>
      </c>
      <c r="G603" s="514">
        <v>4524</v>
      </c>
      <c r="H603" s="514">
        <v>109200</v>
      </c>
      <c r="I603" s="514">
        <v>124800</v>
      </c>
      <c r="J603" s="514">
        <v>140400</v>
      </c>
      <c r="K603" s="514">
        <v>156000</v>
      </c>
      <c r="L603" s="514">
        <v>168480</v>
      </c>
      <c r="M603" s="514">
        <v>180960</v>
      </c>
      <c r="N603" s="514">
        <v>193440</v>
      </c>
      <c r="O603" s="514">
        <v>205920</v>
      </c>
      <c r="P603" s="45"/>
      <c r="Q603" s="45"/>
    </row>
    <row r="604" spans="1:17">
      <c r="A604" s="38"/>
      <c r="B604" s="574">
        <v>1</v>
      </c>
      <c r="C604" s="571">
        <v>2275</v>
      </c>
      <c r="D604" s="571">
        <v>2437</v>
      </c>
      <c r="E604" s="571">
        <v>2925</v>
      </c>
      <c r="F604" s="571">
        <v>3380</v>
      </c>
      <c r="G604" s="571">
        <v>3770</v>
      </c>
      <c r="H604" s="571">
        <v>91000</v>
      </c>
      <c r="I604" s="571">
        <v>104000</v>
      </c>
      <c r="J604" s="571">
        <v>117000</v>
      </c>
      <c r="K604" s="571">
        <v>130000</v>
      </c>
      <c r="L604" s="571">
        <v>140400</v>
      </c>
      <c r="M604" s="571">
        <v>150800</v>
      </c>
      <c r="N604" s="571">
        <v>161200</v>
      </c>
      <c r="O604" s="571">
        <v>171600</v>
      </c>
      <c r="P604" s="39"/>
      <c r="Q604" s="39"/>
    </row>
    <row r="605" spans="1:17">
      <c r="A605" s="38" t="s">
        <v>1170</v>
      </c>
      <c r="B605" s="574">
        <v>0.8</v>
      </c>
      <c r="C605" s="571">
        <v>1820</v>
      </c>
      <c r="D605" s="571">
        <v>1950</v>
      </c>
      <c r="E605" s="571">
        <v>2340</v>
      </c>
      <c r="F605" s="571">
        <v>2704</v>
      </c>
      <c r="G605" s="571">
        <v>3016</v>
      </c>
      <c r="H605" s="572">
        <v>72800</v>
      </c>
      <c r="I605" s="572">
        <v>83200</v>
      </c>
      <c r="J605" s="572">
        <v>93600</v>
      </c>
      <c r="K605" s="572">
        <v>104000</v>
      </c>
      <c r="L605" s="572">
        <v>112320</v>
      </c>
      <c r="M605" s="572">
        <v>120640</v>
      </c>
      <c r="N605" s="572">
        <v>128960</v>
      </c>
      <c r="O605" s="572">
        <v>137280</v>
      </c>
      <c r="P605" s="39"/>
      <c r="Q605" s="39"/>
    </row>
    <row r="606" spans="1:17">
      <c r="A606" s="38"/>
      <c r="B606" s="574">
        <v>0.7</v>
      </c>
      <c r="C606" s="571">
        <v>1592</v>
      </c>
      <c r="D606" s="571">
        <v>1706</v>
      </c>
      <c r="E606" s="571">
        <v>2047</v>
      </c>
      <c r="F606" s="571">
        <v>2366</v>
      </c>
      <c r="G606" s="571">
        <v>2639</v>
      </c>
      <c r="H606" s="572">
        <v>63699.999999999993</v>
      </c>
      <c r="I606" s="572">
        <v>72800</v>
      </c>
      <c r="J606" s="572">
        <v>81900</v>
      </c>
      <c r="K606" s="572">
        <v>91000</v>
      </c>
      <c r="L606" s="572">
        <v>98280</v>
      </c>
      <c r="M606" s="572">
        <v>105560</v>
      </c>
      <c r="N606" s="572">
        <v>112840</v>
      </c>
      <c r="O606" s="572">
        <v>120119.99999999999</v>
      </c>
      <c r="P606" s="39"/>
      <c r="Q606" s="39"/>
    </row>
    <row r="607" spans="1:17">
      <c r="A607" s="38"/>
      <c r="B607" s="574">
        <v>0.6</v>
      </c>
      <c r="C607" s="571">
        <v>1365</v>
      </c>
      <c r="D607" s="571">
        <v>1462</v>
      </c>
      <c r="E607" s="571">
        <v>1755</v>
      </c>
      <c r="F607" s="571">
        <v>2028</v>
      </c>
      <c r="G607" s="571">
        <v>2262</v>
      </c>
      <c r="H607" s="571">
        <v>54600</v>
      </c>
      <c r="I607" s="571">
        <v>62400</v>
      </c>
      <c r="J607" s="571">
        <v>70200</v>
      </c>
      <c r="K607" s="571">
        <v>78000</v>
      </c>
      <c r="L607" s="571">
        <v>84240</v>
      </c>
      <c r="M607" s="573">
        <v>90480</v>
      </c>
      <c r="N607" s="573">
        <v>96720</v>
      </c>
      <c r="O607" s="573">
        <v>102960</v>
      </c>
      <c r="P607" s="39"/>
      <c r="Q607" s="39"/>
    </row>
    <row r="608" spans="1:17">
      <c r="A608" s="38"/>
      <c r="B608" s="574">
        <v>0.55000000000000004</v>
      </c>
      <c r="C608" s="571">
        <v>1251</v>
      </c>
      <c r="D608" s="571">
        <v>1340</v>
      </c>
      <c r="E608" s="571">
        <v>1608</v>
      </c>
      <c r="F608" s="571">
        <v>1859</v>
      </c>
      <c r="G608" s="571">
        <v>2073</v>
      </c>
      <c r="H608" s="571">
        <v>50050.000000000007</v>
      </c>
      <c r="I608" s="571">
        <v>57200.000000000007</v>
      </c>
      <c r="J608" s="571">
        <v>64350.000000000007</v>
      </c>
      <c r="K608" s="571">
        <v>71500</v>
      </c>
      <c r="L608" s="571">
        <v>77220</v>
      </c>
      <c r="M608" s="571">
        <v>82940</v>
      </c>
      <c r="N608" s="571">
        <v>88660</v>
      </c>
      <c r="O608" s="571">
        <v>94380.000000000015</v>
      </c>
      <c r="P608" s="39"/>
      <c r="Q608" s="39"/>
    </row>
    <row r="609" spans="1:17">
      <c r="A609" s="38"/>
      <c r="B609" s="574">
        <v>0.5</v>
      </c>
      <c r="C609" s="571">
        <v>1137</v>
      </c>
      <c r="D609" s="571">
        <v>1218</v>
      </c>
      <c r="E609" s="571">
        <v>1462</v>
      </c>
      <c r="F609" s="571">
        <v>1690</v>
      </c>
      <c r="G609" s="571">
        <v>1885</v>
      </c>
      <c r="H609" s="572">
        <v>45500</v>
      </c>
      <c r="I609" s="572">
        <v>52000</v>
      </c>
      <c r="J609" s="572">
        <v>58500</v>
      </c>
      <c r="K609" s="572">
        <v>65000</v>
      </c>
      <c r="L609" s="572">
        <v>70200</v>
      </c>
      <c r="M609" s="572">
        <v>75400</v>
      </c>
      <c r="N609" s="572">
        <v>80600</v>
      </c>
      <c r="O609" s="572">
        <v>85800</v>
      </c>
      <c r="P609" s="39"/>
      <c r="Q609" s="39"/>
    </row>
    <row r="610" spans="1:17">
      <c r="A610" s="38"/>
      <c r="B610" s="574">
        <v>0.45</v>
      </c>
      <c r="C610" s="571">
        <v>1023</v>
      </c>
      <c r="D610" s="571">
        <v>1096</v>
      </c>
      <c r="E610" s="571">
        <v>1316</v>
      </c>
      <c r="F610" s="571">
        <v>1521</v>
      </c>
      <c r="G610" s="571">
        <v>1696</v>
      </c>
      <c r="H610" s="571">
        <v>40950</v>
      </c>
      <c r="I610" s="571">
        <v>46800</v>
      </c>
      <c r="J610" s="571">
        <v>52650</v>
      </c>
      <c r="K610" s="571">
        <v>58500</v>
      </c>
      <c r="L610" s="571">
        <v>63180</v>
      </c>
      <c r="M610" s="573">
        <v>67860</v>
      </c>
      <c r="N610" s="573">
        <v>72540</v>
      </c>
      <c r="O610" s="573">
        <v>77220</v>
      </c>
      <c r="P610" s="39"/>
      <c r="Q610" s="39"/>
    </row>
    <row r="611" spans="1:17">
      <c r="A611" s="38"/>
      <c r="B611" s="574">
        <v>0.4</v>
      </c>
      <c r="C611" s="571">
        <v>910</v>
      </c>
      <c r="D611" s="571">
        <v>975</v>
      </c>
      <c r="E611" s="571">
        <v>1170</v>
      </c>
      <c r="F611" s="571">
        <v>1352</v>
      </c>
      <c r="G611" s="571">
        <v>1508</v>
      </c>
      <c r="H611" s="571">
        <v>36400</v>
      </c>
      <c r="I611" s="571">
        <v>41600</v>
      </c>
      <c r="J611" s="571">
        <v>46800</v>
      </c>
      <c r="K611" s="571">
        <v>52000</v>
      </c>
      <c r="L611" s="571">
        <v>56160</v>
      </c>
      <c r="M611" s="573">
        <v>60320</v>
      </c>
      <c r="N611" s="573">
        <v>64480</v>
      </c>
      <c r="O611" s="573">
        <v>68640</v>
      </c>
      <c r="P611" s="39"/>
      <c r="Q611" s="39"/>
    </row>
    <row r="612" spans="1:17">
      <c r="A612" s="38"/>
      <c r="B612" s="510">
        <v>0.3</v>
      </c>
      <c r="C612" s="571">
        <v>682</v>
      </c>
      <c r="D612" s="571">
        <v>731</v>
      </c>
      <c r="E612" s="571">
        <v>877</v>
      </c>
      <c r="F612" s="571">
        <v>1014</v>
      </c>
      <c r="G612" s="571">
        <v>1131</v>
      </c>
      <c r="H612" s="572">
        <v>27300</v>
      </c>
      <c r="I612" s="572">
        <v>31200</v>
      </c>
      <c r="J612" s="572">
        <v>35100</v>
      </c>
      <c r="K612" s="572">
        <v>39000</v>
      </c>
      <c r="L612" s="572">
        <v>42120</v>
      </c>
      <c r="M612" s="572">
        <v>45240</v>
      </c>
      <c r="N612" s="572">
        <v>48360</v>
      </c>
      <c r="O612" s="572">
        <v>51480</v>
      </c>
      <c r="P612" s="39"/>
      <c r="Q612" s="39"/>
    </row>
    <row r="613" spans="1:17" ht="13.8" thickBot="1">
      <c r="A613" s="575"/>
      <c r="B613" s="40">
        <v>0.2</v>
      </c>
      <c r="C613" s="512">
        <v>455</v>
      </c>
      <c r="D613" s="512">
        <v>487</v>
      </c>
      <c r="E613" s="512">
        <v>585</v>
      </c>
      <c r="F613" s="512">
        <v>676</v>
      </c>
      <c r="G613" s="512">
        <v>754</v>
      </c>
      <c r="H613" s="513">
        <v>18200</v>
      </c>
      <c r="I613" s="513">
        <v>20800</v>
      </c>
      <c r="J613" s="513">
        <v>23400</v>
      </c>
      <c r="K613" s="513">
        <v>26000</v>
      </c>
      <c r="L613" s="513">
        <v>28080</v>
      </c>
      <c r="M613" s="513">
        <v>30160</v>
      </c>
      <c r="N613" s="513">
        <v>32240</v>
      </c>
      <c r="O613" s="513">
        <v>34320</v>
      </c>
      <c r="P613" s="39"/>
      <c r="Q613" s="39"/>
    </row>
    <row r="614" spans="1:17" ht="13.8" thickTop="1">
      <c r="A614" s="38"/>
      <c r="B614" s="37">
        <v>1.2</v>
      </c>
      <c r="C614" s="514">
        <v>2142</v>
      </c>
      <c r="D614" s="514">
        <v>2295</v>
      </c>
      <c r="E614" s="514">
        <v>2754</v>
      </c>
      <c r="F614" s="514">
        <v>3183</v>
      </c>
      <c r="G614" s="514">
        <v>3552</v>
      </c>
      <c r="H614" s="514">
        <v>85680</v>
      </c>
      <c r="I614" s="514">
        <v>97920</v>
      </c>
      <c r="J614" s="514">
        <v>110160</v>
      </c>
      <c r="K614" s="514">
        <v>122400</v>
      </c>
      <c r="L614" s="514">
        <v>132240</v>
      </c>
      <c r="M614" s="514">
        <v>142080</v>
      </c>
      <c r="N614" s="514">
        <v>151800</v>
      </c>
      <c r="O614" s="514">
        <v>161640</v>
      </c>
      <c r="P614" s="39"/>
      <c r="Q614" s="39"/>
    </row>
    <row r="615" spans="1:17">
      <c r="A615" s="38"/>
      <c r="B615" s="574">
        <v>1</v>
      </c>
      <c r="C615" s="571">
        <v>1785</v>
      </c>
      <c r="D615" s="571">
        <v>1912</v>
      </c>
      <c r="E615" s="571">
        <v>2295</v>
      </c>
      <c r="F615" s="571">
        <v>2652</v>
      </c>
      <c r="G615" s="571">
        <v>2960</v>
      </c>
      <c r="H615" s="571">
        <v>71400</v>
      </c>
      <c r="I615" s="571">
        <v>81600</v>
      </c>
      <c r="J615" s="571">
        <v>91800</v>
      </c>
      <c r="K615" s="571">
        <v>102000</v>
      </c>
      <c r="L615" s="571">
        <v>110200</v>
      </c>
      <c r="M615" s="571">
        <v>118400</v>
      </c>
      <c r="N615" s="571">
        <v>126500</v>
      </c>
      <c r="O615" s="571">
        <v>134700</v>
      </c>
      <c r="P615" s="39"/>
      <c r="Q615" s="39"/>
    </row>
    <row r="616" spans="1:17">
      <c r="A616" s="38" t="s">
        <v>1171</v>
      </c>
      <c r="B616" s="574">
        <v>0.8</v>
      </c>
      <c r="C616" s="571">
        <v>1428</v>
      </c>
      <c r="D616" s="571">
        <v>1530</v>
      </c>
      <c r="E616" s="571">
        <v>1836</v>
      </c>
      <c r="F616" s="571">
        <v>2122</v>
      </c>
      <c r="G616" s="571">
        <v>2368</v>
      </c>
      <c r="H616" s="572">
        <v>57120</v>
      </c>
      <c r="I616" s="572">
        <v>65280</v>
      </c>
      <c r="J616" s="572">
        <v>73440</v>
      </c>
      <c r="K616" s="572">
        <v>81600</v>
      </c>
      <c r="L616" s="572">
        <v>88160</v>
      </c>
      <c r="M616" s="572">
        <v>94720</v>
      </c>
      <c r="N616" s="572">
        <v>101200</v>
      </c>
      <c r="O616" s="572">
        <v>107760</v>
      </c>
      <c r="P616" s="39"/>
      <c r="Q616" s="39"/>
    </row>
    <row r="617" spans="1:17">
      <c r="A617" s="38"/>
      <c r="B617" s="574">
        <v>0.7</v>
      </c>
      <c r="C617" s="571">
        <v>1249</v>
      </c>
      <c r="D617" s="571">
        <v>1338</v>
      </c>
      <c r="E617" s="571">
        <v>1606</v>
      </c>
      <c r="F617" s="571">
        <v>1856</v>
      </c>
      <c r="G617" s="571">
        <v>2072</v>
      </c>
      <c r="H617" s="572">
        <v>49980</v>
      </c>
      <c r="I617" s="572">
        <v>57120</v>
      </c>
      <c r="J617" s="572">
        <v>64259.999999999993</v>
      </c>
      <c r="K617" s="572">
        <v>71400</v>
      </c>
      <c r="L617" s="572">
        <v>77140</v>
      </c>
      <c r="M617" s="572">
        <v>82880</v>
      </c>
      <c r="N617" s="572">
        <v>88550</v>
      </c>
      <c r="O617" s="572">
        <v>94290</v>
      </c>
      <c r="P617" s="39"/>
      <c r="Q617" s="39"/>
    </row>
    <row r="618" spans="1:17">
      <c r="A618" s="38"/>
      <c r="B618" s="574">
        <v>0.6</v>
      </c>
      <c r="C618" s="571">
        <v>1071</v>
      </c>
      <c r="D618" s="571">
        <v>1147</v>
      </c>
      <c r="E618" s="571">
        <v>1377</v>
      </c>
      <c r="F618" s="571">
        <v>1591</v>
      </c>
      <c r="G618" s="571">
        <v>1776</v>
      </c>
      <c r="H618" s="571">
        <v>42840</v>
      </c>
      <c r="I618" s="571">
        <v>48960</v>
      </c>
      <c r="J618" s="571">
        <v>55080</v>
      </c>
      <c r="K618" s="571">
        <v>61200</v>
      </c>
      <c r="L618" s="571">
        <v>66120</v>
      </c>
      <c r="M618" s="573">
        <v>71040</v>
      </c>
      <c r="N618" s="573">
        <v>75900</v>
      </c>
      <c r="O618" s="573">
        <v>80820</v>
      </c>
      <c r="P618" s="39"/>
      <c r="Q618" s="39"/>
    </row>
    <row r="619" spans="1:17">
      <c r="A619" s="38"/>
      <c r="B619" s="574">
        <v>0.55000000000000004</v>
      </c>
      <c r="C619" s="571">
        <v>981</v>
      </c>
      <c r="D619" s="571">
        <v>1051</v>
      </c>
      <c r="E619" s="571">
        <v>1262</v>
      </c>
      <c r="F619" s="571">
        <v>1458</v>
      </c>
      <c r="G619" s="571">
        <v>1628</v>
      </c>
      <c r="H619" s="571">
        <v>39270</v>
      </c>
      <c r="I619" s="571">
        <v>44880</v>
      </c>
      <c r="J619" s="571">
        <v>50490.000000000007</v>
      </c>
      <c r="K619" s="571">
        <v>56100.000000000007</v>
      </c>
      <c r="L619" s="571">
        <v>60610.000000000007</v>
      </c>
      <c r="M619" s="571">
        <v>65120.000000000007</v>
      </c>
      <c r="N619" s="571">
        <v>69575</v>
      </c>
      <c r="O619" s="571">
        <v>74085</v>
      </c>
      <c r="P619" s="39"/>
      <c r="Q619" s="39"/>
    </row>
    <row r="620" spans="1:17">
      <c r="A620" s="38"/>
      <c r="B620" s="574">
        <v>0.5</v>
      </c>
      <c r="C620" s="571">
        <v>892</v>
      </c>
      <c r="D620" s="571">
        <v>956</v>
      </c>
      <c r="E620" s="571">
        <v>1147</v>
      </c>
      <c r="F620" s="571">
        <v>1326</v>
      </c>
      <c r="G620" s="571">
        <v>1480</v>
      </c>
      <c r="H620" s="572">
        <v>35700</v>
      </c>
      <c r="I620" s="572">
        <v>40800</v>
      </c>
      <c r="J620" s="572">
        <v>45900</v>
      </c>
      <c r="K620" s="572">
        <v>51000</v>
      </c>
      <c r="L620" s="572">
        <v>55100</v>
      </c>
      <c r="M620" s="572">
        <v>59200</v>
      </c>
      <c r="N620" s="572">
        <v>63250</v>
      </c>
      <c r="O620" s="572">
        <v>67350</v>
      </c>
      <c r="P620" s="39"/>
      <c r="Q620" s="39"/>
    </row>
    <row r="621" spans="1:17">
      <c r="A621" s="38"/>
      <c r="B621" s="574">
        <v>0.45</v>
      </c>
      <c r="C621" s="571">
        <v>803</v>
      </c>
      <c r="D621" s="571">
        <v>860</v>
      </c>
      <c r="E621" s="571">
        <v>1032</v>
      </c>
      <c r="F621" s="571">
        <v>1193</v>
      </c>
      <c r="G621" s="571">
        <v>1332</v>
      </c>
      <c r="H621" s="571">
        <v>32130</v>
      </c>
      <c r="I621" s="571">
        <v>36720</v>
      </c>
      <c r="J621" s="571">
        <v>41310</v>
      </c>
      <c r="K621" s="571">
        <v>45900</v>
      </c>
      <c r="L621" s="571">
        <v>49590</v>
      </c>
      <c r="M621" s="573">
        <v>53280</v>
      </c>
      <c r="N621" s="573">
        <v>56925</v>
      </c>
      <c r="O621" s="573">
        <v>60615</v>
      </c>
      <c r="P621" s="39"/>
      <c r="Q621" s="39"/>
    </row>
    <row r="622" spans="1:17">
      <c r="A622" s="38"/>
      <c r="B622" s="574">
        <v>0.4</v>
      </c>
      <c r="C622" s="571">
        <v>714</v>
      </c>
      <c r="D622" s="571">
        <v>765</v>
      </c>
      <c r="E622" s="571">
        <v>918</v>
      </c>
      <c r="F622" s="571">
        <v>1061</v>
      </c>
      <c r="G622" s="571">
        <v>1184</v>
      </c>
      <c r="H622" s="571">
        <v>28560</v>
      </c>
      <c r="I622" s="571">
        <v>32640</v>
      </c>
      <c r="J622" s="571">
        <v>36720</v>
      </c>
      <c r="K622" s="571">
        <v>40800</v>
      </c>
      <c r="L622" s="571">
        <v>44080</v>
      </c>
      <c r="M622" s="573">
        <v>47360</v>
      </c>
      <c r="N622" s="573">
        <v>50600</v>
      </c>
      <c r="O622" s="573">
        <v>53880</v>
      </c>
      <c r="P622" s="39"/>
      <c r="Q622" s="39"/>
    </row>
    <row r="623" spans="1:17">
      <c r="A623" s="38"/>
      <c r="B623" s="510">
        <v>0.3</v>
      </c>
      <c r="C623" s="571">
        <v>535</v>
      </c>
      <c r="D623" s="571">
        <v>573</v>
      </c>
      <c r="E623" s="571">
        <v>688</v>
      </c>
      <c r="F623" s="571">
        <v>795</v>
      </c>
      <c r="G623" s="571">
        <v>888</v>
      </c>
      <c r="H623" s="572">
        <v>21420</v>
      </c>
      <c r="I623" s="572">
        <v>24480</v>
      </c>
      <c r="J623" s="572">
        <v>27540</v>
      </c>
      <c r="K623" s="572">
        <v>30600</v>
      </c>
      <c r="L623" s="572">
        <v>33060</v>
      </c>
      <c r="M623" s="572">
        <v>35520</v>
      </c>
      <c r="N623" s="572">
        <v>37950</v>
      </c>
      <c r="O623" s="572">
        <v>40410</v>
      </c>
      <c r="P623" s="39"/>
      <c r="Q623" s="39"/>
    </row>
    <row r="624" spans="1:17" ht="13.8" thickBot="1">
      <c r="A624" s="575"/>
      <c r="B624" s="40">
        <v>0.2</v>
      </c>
      <c r="C624" s="512">
        <v>357</v>
      </c>
      <c r="D624" s="512">
        <v>382</v>
      </c>
      <c r="E624" s="512">
        <v>459</v>
      </c>
      <c r="F624" s="512">
        <v>530</v>
      </c>
      <c r="G624" s="512">
        <v>592</v>
      </c>
      <c r="H624" s="513">
        <v>14280</v>
      </c>
      <c r="I624" s="513">
        <v>16320</v>
      </c>
      <c r="J624" s="513">
        <v>18360</v>
      </c>
      <c r="K624" s="513">
        <v>20400</v>
      </c>
      <c r="L624" s="513">
        <v>22040</v>
      </c>
      <c r="M624" s="513">
        <v>23680</v>
      </c>
      <c r="N624" s="513">
        <v>25300</v>
      </c>
      <c r="O624" s="513">
        <v>26940</v>
      </c>
      <c r="P624" s="39"/>
      <c r="Q624" s="39"/>
    </row>
    <row r="625" spans="1:17" ht="13.8" thickTop="1">
      <c r="A625" s="38"/>
      <c r="B625" s="37">
        <v>1.2</v>
      </c>
      <c r="C625" s="514">
        <v>2142</v>
      </c>
      <c r="D625" s="514">
        <v>2295</v>
      </c>
      <c r="E625" s="514">
        <v>2754</v>
      </c>
      <c r="F625" s="514">
        <v>3183</v>
      </c>
      <c r="G625" s="514">
        <v>3552</v>
      </c>
      <c r="H625" s="514">
        <v>85680</v>
      </c>
      <c r="I625" s="514">
        <v>97920</v>
      </c>
      <c r="J625" s="514">
        <v>110160</v>
      </c>
      <c r="K625" s="514">
        <v>122400</v>
      </c>
      <c r="L625" s="514">
        <v>132240</v>
      </c>
      <c r="M625" s="514">
        <v>142080</v>
      </c>
      <c r="N625" s="514">
        <v>151800</v>
      </c>
      <c r="O625" s="514">
        <v>161640</v>
      </c>
      <c r="P625" s="45"/>
      <c r="Q625" s="45"/>
    </row>
    <row r="626" spans="1:17">
      <c r="A626" s="38"/>
      <c r="B626" s="574">
        <v>1</v>
      </c>
      <c r="C626" s="571">
        <v>1785</v>
      </c>
      <c r="D626" s="571">
        <v>1912</v>
      </c>
      <c r="E626" s="571">
        <v>2295</v>
      </c>
      <c r="F626" s="571">
        <v>2652</v>
      </c>
      <c r="G626" s="571">
        <v>2960</v>
      </c>
      <c r="H626" s="571">
        <v>71400</v>
      </c>
      <c r="I626" s="571">
        <v>81600</v>
      </c>
      <c r="J626" s="571">
        <v>91800</v>
      </c>
      <c r="K626" s="571">
        <v>102000</v>
      </c>
      <c r="L626" s="571">
        <v>110200</v>
      </c>
      <c r="M626" s="571">
        <v>118400</v>
      </c>
      <c r="N626" s="571">
        <v>126500</v>
      </c>
      <c r="O626" s="571">
        <v>134700</v>
      </c>
      <c r="P626" s="39"/>
      <c r="Q626" s="39"/>
    </row>
    <row r="627" spans="1:17">
      <c r="A627" s="38" t="s">
        <v>1172</v>
      </c>
      <c r="B627" s="574">
        <v>0.8</v>
      </c>
      <c r="C627" s="571">
        <v>1428</v>
      </c>
      <c r="D627" s="571">
        <v>1530</v>
      </c>
      <c r="E627" s="571">
        <v>1836</v>
      </c>
      <c r="F627" s="571">
        <v>2122</v>
      </c>
      <c r="G627" s="571">
        <v>2368</v>
      </c>
      <c r="H627" s="572">
        <v>57120</v>
      </c>
      <c r="I627" s="572">
        <v>65280</v>
      </c>
      <c r="J627" s="572">
        <v>73440</v>
      </c>
      <c r="K627" s="572">
        <v>81600</v>
      </c>
      <c r="L627" s="572">
        <v>88160</v>
      </c>
      <c r="M627" s="572">
        <v>94720</v>
      </c>
      <c r="N627" s="572">
        <v>101200</v>
      </c>
      <c r="O627" s="572">
        <v>107760</v>
      </c>
      <c r="P627" s="39"/>
      <c r="Q627" s="39"/>
    </row>
    <row r="628" spans="1:17">
      <c r="A628" s="38"/>
      <c r="B628" s="574">
        <v>0.7</v>
      </c>
      <c r="C628" s="571">
        <v>1249</v>
      </c>
      <c r="D628" s="571">
        <v>1338</v>
      </c>
      <c r="E628" s="571">
        <v>1606</v>
      </c>
      <c r="F628" s="571">
        <v>1856</v>
      </c>
      <c r="G628" s="571">
        <v>2072</v>
      </c>
      <c r="H628" s="572">
        <v>49980</v>
      </c>
      <c r="I628" s="572">
        <v>57120</v>
      </c>
      <c r="J628" s="572">
        <v>64259.999999999993</v>
      </c>
      <c r="K628" s="572">
        <v>71400</v>
      </c>
      <c r="L628" s="572">
        <v>77140</v>
      </c>
      <c r="M628" s="572">
        <v>82880</v>
      </c>
      <c r="N628" s="572">
        <v>88550</v>
      </c>
      <c r="O628" s="572">
        <v>94290</v>
      </c>
      <c r="P628" s="39"/>
      <c r="Q628" s="39"/>
    </row>
    <row r="629" spans="1:17">
      <c r="A629" s="38"/>
      <c r="B629" s="574">
        <v>0.6</v>
      </c>
      <c r="C629" s="571">
        <v>1071</v>
      </c>
      <c r="D629" s="571">
        <v>1147</v>
      </c>
      <c r="E629" s="571">
        <v>1377</v>
      </c>
      <c r="F629" s="571">
        <v>1591</v>
      </c>
      <c r="G629" s="571">
        <v>1776</v>
      </c>
      <c r="H629" s="571">
        <v>42840</v>
      </c>
      <c r="I629" s="571">
        <v>48960</v>
      </c>
      <c r="J629" s="571">
        <v>55080</v>
      </c>
      <c r="K629" s="571">
        <v>61200</v>
      </c>
      <c r="L629" s="571">
        <v>66120</v>
      </c>
      <c r="M629" s="573">
        <v>71040</v>
      </c>
      <c r="N629" s="573">
        <v>75900</v>
      </c>
      <c r="O629" s="573">
        <v>80820</v>
      </c>
      <c r="P629" s="39"/>
      <c r="Q629" s="39"/>
    </row>
    <row r="630" spans="1:17">
      <c r="A630" s="38"/>
      <c r="B630" s="574">
        <v>0.55000000000000004</v>
      </c>
      <c r="C630" s="571">
        <v>981</v>
      </c>
      <c r="D630" s="571">
        <v>1051</v>
      </c>
      <c r="E630" s="571">
        <v>1262</v>
      </c>
      <c r="F630" s="571">
        <v>1458</v>
      </c>
      <c r="G630" s="571">
        <v>1628</v>
      </c>
      <c r="H630" s="571">
        <v>39270</v>
      </c>
      <c r="I630" s="571">
        <v>44880</v>
      </c>
      <c r="J630" s="571">
        <v>50490.000000000007</v>
      </c>
      <c r="K630" s="571">
        <v>56100.000000000007</v>
      </c>
      <c r="L630" s="571">
        <v>60610.000000000007</v>
      </c>
      <c r="M630" s="571">
        <v>65120.000000000007</v>
      </c>
      <c r="N630" s="571">
        <v>69575</v>
      </c>
      <c r="O630" s="571">
        <v>74085</v>
      </c>
      <c r="P630" s="39"/>
      <c r="Q630" s="39"/>
    </row>
    <row r="631" spans="1:17">
      <c r="A631" s="38"/>
      <c r="B631" s="574">
        <v>0.5</v>
      </c>
      <c r="C631" s="571">
        <v>892</v>
      </c>
      <c r="D631" s="571">
        <v>956</v>
      </c>
      <c r="E631" s="571">
        <v>1147</v>
      </c>
      <c r="F631" s="571">
        <v>1326</v>
      </c>
      <c r="G631" s="571">
        <v>1480</v>
      </c>
      <c r="H631" s="572">
        <v>35700</v>
      </c>
      <c r="I631" s="572">
        <v>40800</v>
      </c>
      <c r="J631" s="572">
        <v>45900</v>
      </c>
      <c r="K631" s="572">
        <v>51000</v>
      </c>
      <c r="L631" s="572">
        <v>55100</v>
      </c>
      <c r="M631" s="572">
        <v>59200</v>
      </c>
      <c r="N631" s="572">
        <v>63250</v>
      </c>
      <c r="O631" s="572">
        <v>67350</v>
      </c>
      <c r="P631" s="39"/>
      <c r="Q631" s="39"/>
    </row>
    <row r="632" spans="1:17">
      <c r="A632" s="38"/>
      <c r="B632" s="574">
        <v>0.45</v>
      </c>
      <c r="C632" s="571">
        <v>803</v>
      </c>
      <c r="D632" s="571">
        <v>860</v>
      </c>
      <c r="E632" s="571">
        <v>1032</v>
      </c>
      <c r="F632" s="571">
        <v>1193</v>
      </c>
      <c r="G632" s="571">
        <v>1332</v>
      </c>
      <c r="H632" s="571">
        <v>32130</v>
      </c>
      <c r="I632" s="571">
        <v>36720</v>
      </c>
      <c r="J632" s="571">
        <v>41310</v>
      </c>
      <c r="K632" s="571">
        <v>45900</v>
      </c>
      <c r="L632" s="571">
        <v>49590</v>
      </c>
      <c r="M632" s="573">
        <v>53280</v>
      </c>
      <c r="N632" s="573">
        <v>56925</v>
      </c>
      <c r="O632" s="573">
        <v>60615</v>
      </c>
      <c r="P632" s="39"/>
      <c r="Q632" s="39"/>
    </row>
    <row r="633" spans="1:17">
      <c r="A633" s="38"/>
      <c r="B633" s="574">
        <v>0.4</v>
      </c>
      <c r="C633" s="571">
        <v>714</v>
      </c>
      <c r="D633" s="571">
        <v>765</v>
      </c>
      <c r="E633" s="571">
        <v>918</v>
      </c>
      <c r="F633" s="571">
        <v>1061</v>
      </c>
      <c r="G633" s="571">
        <v>1184</v>
      </c>
      <c r="H633" s="571">
        <v>28560</v>
      </c>
      <c r="I633" s="571">
        <v>32640</v>
      </c>
      <c r="J633" s="571">
        <v>36720</v>
      </c>
      <c r="K633" s="571">
        <v>40800</v>
      </c>
      <c r="L633" s="571">
        <v>44080</v>
      </c>
      <c r="M633" s="573">
        <v>47360</v>
      </c>
      <c r="N633" s="573">
        <v>50600</v>
      </c>
      <c r="O633" s="573">
        <v>53880</v>
      </c>
      <c r="P633" s="39"/>
      <c r="Q633" s="39"/>
    </row>
    <row r="634" spans="1:17">
      <c r="A634" s="38"/>
      <c r="B634" s="510">
        <v>0.3</v>
      </c>
      <c r="C634" s="571">
        <v>535</v>
      </c>
      <c r="D634" s="571">
        <v>573</v>
      </c>
      <c r="E634" s="571">
        <v>688</v>
      </c>
      <c r="F634" s="571">
        <v>795</v>
      </c>
      <c r="G634" s="571">
        <v>888</v>
      </c>
      <c r="H634" s="572">
        <v>21420</v>
      </c>
      <c r="I634" s="572">
        <v>24480</v>
      </c>
      <c r="J634" s="572">
        <v>27540</v>
      </c>
      <c r="K634" s="572">
        <v>30600</v>
      </c>
      <c r="L634" s="572">
        <v>33060</v>
      </c>
      <c r="M634" s="572">
        <v>35520</v>
      </c>
      <c r="N634" s="572">
        <v>37950</v>
      </c>
      <c r="O634" s="572">
        <v>40410</v>
      </c>
      <c r="P634" s="39"/>
      <c r="Q634" s="39"/>
    </row>
    <row r="635" spans="1:17" ht="13.8" thickBot="1">
      <c r="A635" s="575"/>
      <c r="B635" s="40">
        <v>0.2</v>
      </c>
      <c r="C635" s="512">
        <v>357</v>
      </c>
      <c r="D635" s="512">
        <v>382</v>
      </c>
      <c r="E635" s="512">
        <v>459</v>
      </c>
      <c r="F635" s="512">
        <v>530</v>
      </c>
      <c r="G635" s="512">
        <v>592</v>
      </c>
      <c r="H635" s="513">
        <v>14280</v>
      </c>
      <c r="I635" s="513">
        <v>16320</v>
      </c>
      <c r="J635" s="513">
        <v>18360</v>
      </c>
      <c r="K635" s="513">
        <v>20400</v>
      </c>
      <c r="L635" s="513">
        <v>22040</v>
      </c>
      <c r="M635" s="513">
        <v>23680</v>
      </c>
      <c r="N635" s="513">
        <v>25300</v>
      </c>
      <c r="O635" s="513">
        <v>26940</v>
      </c>
      <c r="P635" s="39"/>
      <c r="Q635" s="39"/>
    </row>
    <row r="636" spans="1:17" ht="13.8" thickTop="1">
      <c r="A636" s="38"/>
      <c r="B636" s="37">
        <v>1.2</v>
      </c>
      <c r="C636" s="514">
        <v>2511</v>
      </c>
      <c r="D636" s="514">
        <v>2689</v>
      </c>
      <c r="E636" s="514">
        <v>3228</v>
      </c>
      <c r="F636" s="514">
        <v>3729</v>
      </c>
      <c r="G636" s="514">
        <v>4161</v>
      </c>
      <c r="H636" s="514">
        <v>100440</v>
      </c>
      <c r="I636" s="514">
        <v>114720</v>
      </c>
      <c r="J636" s="514">
        <v>129120</v>
      </c>
      <c r="K636" s="514">
        <v>143400</v>
      </c>
      <c r="L636" s="514">
        <v>154920</v>
      </c>
      <c r="M636" s="514">
        <v>166440</v>
      </c>
      <c r="N636" s="514">
        <v>177840</v>
      </c>
      <c r="O636" s="514">
        <v>189360</v>
      </c>
      <c r="P636" s="39"/>
      <c r="Q636" s="39"/>
    </row>
    <row r="637" spans="1:17">
      <c r="A637" s="38"/>
      <c r="B637" s="574">
        <v>1</v>
      </c>
      <c r="C637" s="571">
        <v>2092</v>
      </c>
      <c r="D637" s="571">
        <v>2241</v>
      </c>
      <c r="E637" s="571">
        <v>2690</v>
      </c>
      <c r="F637" s="571">
        <v>3107</v>
      </c>
      <c r="G637" s="571">
        <v>3467</v>
      </c>
      <c r="H637" s="571">
        <v>83700</v>
      </c>
      <c r="I637" s="571">
        <v>95600</v>
      </c>
      <c r="J637" s="571">
        <v>107600</v>
      </c>
      <c r="K637" s="571">
        <v>119500</v>
      </c>
      <c r="L637" s="571">
        <v>129100</v>
      </c>
      <c r="M637" s="571">
        <v>138700</v>
      </c>
      <c r="N637" s="571">
        <v>148200</v>
      </c>
      <c r="O637" s="571">
        <v>157800</v>
      </c>
      <c r="P637" s="39"/>
      <c r="Q637" s="39"/>
    </row>
    <row r="638" spans="1:17">
      <c r="A638" s="38" t="s">
        <v>1173</v>
      </c>
      <c r="B638" s="574">
        <v>0.8</v>
      </c>
      <c r="C638" s="571">
        <v>1674</v>
      </c>
      <c r="D638" s="571">
        <v>1793</v>
      </c>
      <c r="E638" s="571">
        <v>2152</v>
      </c>
      <c r="F638" s="571">
        <v>2486</v>
      </c>
      <c r="G638" s="571">
        <v>2774</v>
      </c>
      <c r="H638" s="572">
        <v>66960</v>
      </c>
      <c r="I638" s="572">
        <v>76480</v>
      </c>
      <c r="J638" s="572">
        <v>86080</v>
      </c>
      <c r="K638" s="572">
        <v>95600</v>
      </c>
      <c r="L638" s="572">
        <v>103280</v>
      </c>
      <c r="M638" s="572">
        <v>110960</v>
      </c>
      <c r="N638" s="572">
        <v>118560</v>
      </c>
      <c r="O638" s="572">
        <v>126240</v>
      </c>
      <c r="P638" s="39"/>
      <c r="Q638" s="39"/>
    </row>
    <row r="639" spans="1:17">
      <c r="A639" s="38"/>
      <c r="B639" s="574">
        <v>0.7</v>
      </c>
      <c r="C639" s="571">
        <v>1464</v>
      </c>
      <c r="D639" s="571">
        <v>1568</v>
      </c>
      <c r="E639" s="571">
        <v>1883</v>
      </c>
      <c r="F639" s="571">
        <v>2175</v>
      </c>
      <c r="G639" s="571">
        <v>2427</v>
      </c>
      <c r="H639" s="572">
        <v>58589.999999999993</v>
      </c>
      <c r="I639" s="572">
        <v>66920</v>
      </c>
      <c r="J639" s="572">
        <v>75320</v>
      </c>
      <c r="K639" s="572">
        <v>83650</v>
      </c>
      <c r="L639" s="572">
        <v>90370</v>
      </c>
      <c r="M639" s="572">
        <v>97090</v>
      </c>
      <c r="N639" s="572">
        <v>103740</v>
      </c>
      <c r="O639" s="572">
        <v>110460</v>
      </c>
      <c r="P639" s="39"/>
      <c r="Q639" s="39"/>
    </row>
    <row r="640" spans="1:17">
      <c r="A640" s="38"/>
      <c r="B640" s="574">
        <v>0.6</v>
      </c>
      <c r="C640" s="571">
        <v>1255</v>
      </c>
      <c r="D640" s="571">
        <v>1344</v>
      </c>
      <c r="E640" s="571">
        <v>1614</v>
      </c>
      <c r="F640" s="571">
        <v>1864</v>
      </c>
      <c r="G640" s="571">
        <v>2080</v>
      </c>
      <c r="H640" s="571">
        <v>50220</v>
      </c>
      <c r="I640" s="571">
        <v>57360</v>
      </c>
      <c r="J640" s="571">
        <v>64560</v>
      </c>
      <c r="K640" s="571">
        <v>71700</v>
      </c>
      <c r="L640" s="571">
        <v>77460</v>
      </c>
      <c r="M640" s="573">
        <v>83220</v>
      </c>
      <c r="N640" s="573">
        <v>88920</v>
      </c>
      <c r="O640" s="573">
        <v>94680</v>
      </c>
      <c r="P640" s="39"/>
      <c r="Q640" s="39"/>
    </row>
    <row r="641" spans="1:17">
      <c r="A641" s="38"/>
      <c r="B641" s="574">
        <v>0.55000000000000004</v>
      </c>
      <c r="C641" s="571">
        <v>1150</v>
      </c>
      <c r="D641" s="571">
        <v>1232</v>
      </c>
      <c r="E641" s="571">
        <v>1479</v>
      </c>
      <c r="F641" s="571">
        <v>1709</v>
      </c>
      <c r="G641" s="571">
        <v>1907</v>
      </c>
      <c r="H641" s="571">
        <v>46035.000000000007</v>
      </c>
      <c r="I641" s="571">
        <v>52580.000000000007</v>
      </c>
      <c r="J641" s="571">
        <v>59180.000000000007</v>
      </c>
      <c r="K641" s="571">
        <v>65725</v>
      </c>
      <c r="L641" s="571">
        <v>71005</v>
      </c>
      <c r="M641" s="571">
        <v>76285</v>
      </c>
      <c r="N641" s="571">
        <v>81510</v>
      </c>
      <c r="O641" s="571">
        <v>86790</v>
      </c>
      <c r="P641" s="39"/>
      <c r="Q641" s="39"/>
    </row>
    <row r="642" spans="1:17">
      <c r="A642" s="38"/>
      <c r="B642" s="574">
        <v>0.5</v>
      </c>
      <c r="C642" s="571">
        <v>1046</v>
      </c>
      <c r="D642" s="571">
        <v>1120</v>
      </c>
      <c r="E642" s="571">
        <v>1345</v>
      </c>
      <c r="F642" s="571">
        <v>1553</v>
      </c>
      <c r="G642" s="571">
        <v>1733</v>
      </c>
      <c r="H642" s="572">
        <v>41850</v>
      </c>
      <c r="I642" s="572">
        <v>47800</v>
      </c>
      <c r="J642" s="572">
        <v>53800</v>
      </c>
      <c r="K642" s="572">
        <v>59750</v>
      </c>
      <c r="L642" s="572">
        <v>64550</v>
      </c>
      <c r="M642" s="572">
        <v>69350</v>
      </c>
      <c r="N642" s="572">
        <v>74100</v>
      </c>
      <c r="O642" s="572">
        <v>78900</v>
      </c>
      <c r="P642" s="39"/>
      <c r="Q642" s="39"/>
    </row>
    <row r="643" spans="1:17">
      <c r="A643" s="38"/>
      <c r="B643" s="574">
        <v>0.45</v>
      </c>
      <c r="C643" s="571">
        <v>941</v>
      </c>
      <c r="D643" s="571">
        <v>1008</v>
      </c>
      <c r="E643" s="571">
        <v>1210</v>
      </c>
      <c r="F643" s="571">
        <v>1398</v>
      </c>
      <c r="G643" s="571">
        <v>1560</v>
      </c>
      <c r="H643" s="571">
        <v>37665</v>
      </c>
      <c r="I643" s="571">
        <v>43020</v>
      </c>
      <c r="J643" s="571">
        <v>48420</v>
      </c>
      <c r="K643" s="571">
        <v>53775</v>
      </c>
      <c r="L643" s="571">
        <v>58095</v>
      </c>
      <c r="M643" s="573">
        <v>62415</v>
      </c>
      <c r="N643" s="573">
        <v>66690</v>
      </c>
      <c r="O643" s="573">
        <v>71010</v>
      </c>
      <c r="P643" s="39"/>
      <c r="Q643" s="39"/>
    </row>
    <row r="644" spans="1:17">
      <c r="A644" s="38"/>
      <c r="B644" s="574">
        <v>0.4</v>
      </c>
      <c r="C644" s="571">
        <v>837</v>
      </c>
      <c r="D644" s="571">
        <v>896</v>
      </c>
      <c r="E644" s="571">
        <v>1076</v>
      </c>
      <c r="F644" s="571">
        <v>1243</v>
      </c>
      <c r="G644" s="571">
        <v>1387</v>
      </c>
      <c r="H644" s="571">
        <v>33480</v>
      </c>
      <c r="I644" s="571">
        <v>38240</v>
      </c>
      <c r="J644" s="571">
        <v>43040</v>
      </c>
      <c r="K644" s="571">
        <v>47800</v>
      </c>
      <c r="L644" s="571">
        <v>51640</v>
      </c>
      <c r="M644" s="573">
        <v>55480</v>
      </c>
      <c r="N644" s="573">
        <v>59280</v>
      </c>
      <c r="O644" s="573">
        <v>63120</v>
      </c>
      <c r="P644" s="39"/>
      <c r="Q644" s="39"/>
    </row>
    <row r="645" spans="1:17">
      <c r="A645" s="38"/>
      <c r="B645" s="510">
        <v>0.3</v>
      </c>
      <c r="C645" s="571">
        <v>627</v>
      </c>
      <c r="D645" s="571">
        <v>672</v>
      </c>
      <c r="E645" s="571">
        <v>807</v>
      </c>
      <c r="F645" s="571">
        <v>932</v>
      </c>
      <c r="G645" s="571">
        <v>1040</v>
      </c>
      <c r="H645" s="572">
        <v>25110</v>
      </c>
      <c r="I645" s="572">
        <v>28680</v>
      </c>
      <c r="J645" s="572">
        <v>32280</v>
      </c>
      <c r="K645" s="572">
        <v>35850</v>
      </c>
      <c r="L645" s="572">
        <v>38730</v>
      </c>
      <c r="M645" s="572">
        <v>41610</v>
      </c>
      <c r="N645" s="572">
        <v>44460</v>
      </c>
      <c r="O645" s="572">
        <v>47340</v>
      </c>
      <c r="P645" s="39"/>
      <c r="Q645" s="39"/>
    </row>
    <row r="646" spans="1:17" ht="13.8" thickBot="1">
      <c r="A646" s="575"/>
      <c r="B646" s="40">
        <v>0.2</v>
      </c>
      <c r="C646" s="512">
        <v>418</v>
      </c>
      <c r="D646" s="512">
        <v>448</v>
      </c>
      <c r="E646" s="512">
        <v>538</v>
      </c>
      <c r="F646" s="512">
        <v>621</v>
      </c>
      <c r="G646" s="512">
        <v>693</v>
      </c>
      <c r="H646" s="513">
        <v>16740</v>
      </c>
      <c r="I646" s="513">
        <v>19120</v>
      </c>
      <c r="J646" s="513">
        <v>21520</v>
      </c>
      <c r="K646" s="513">
        <v>23900</v>
      </c>
      <c r="L646" s="513">
        <v>25820</v>
      </c>
      <c r="M646" s="513">
        <v>27740</v>
      </c>
      <c r="N646" s="513">
        <v>29640</v>
      </c>
      <c r="O646" s="513">
        <v>31560</v>
      </c>
      <c r="P646" s="39"/>
      <c r="Q646" s="39"/>
    </row>
    <row r="647" spans="1:17" ht="13.8" thickTop="1">
      <c r="A647" s="38"/>
      <c r="B647" s="37">
        <v>1.2</v>
      </c>
      <c r="C647" s="514">
        <v>2142</v>
      </c>
      <c r="D647" s="514">
        <v>2295</v>
      </c>
      <c r="E647" s="514">
        <v>2754</v>
      </c>
      <c r="F647" s="514">
        <v>3183</v>
      </c>
      <c r="G647" s="514">
        <v>3552</v>
      </c>
      <c r="H647" s="514">
        <v>85680</v>
      </c>
      <c r="I647" s="514">
        <v>97920</v>
      </c>
      <c r="J647" s="514">
        <v>110160</v>
      </c>
      <c r="K647" s="514">
        <v>122400</v>
      </c>
      <c r="L647" s="514">
        <v>132240</v>
      </c>
      <c r="M647" s="514">
        <v>142080</v>
      </c>
      <c r="N647" s="514">
        <v>151800</v>
      </c>
      <c r="O647" s="514">
        <v>161640</v>
      </c>
      <c r="P647" s="39"/>
      <c r="Q647" s="39"/>
    </row>
    <row r="648" spans="1:17">
      <c r="A648" s="38"/>
      <c r="B648" s="574">
        <v>1</v>
      </c>
      <c r="C648" s="571">
        <v>1785</v>
      </c>
      <c r="D648" s="571">
        <v>1912</v>
      </c>
      <c r="E648" s="571">
        <v>2295</v>
      </c>
      <c r="F648" s="571">
        <v>2652</v>
      </c>
      <c r="G648" s="571">
        <v>2960</v>
      </c>
      <c r="H648" s="571">
        <v>71400</v>
      </c>
      <c r="I648" s="571">
        <v>81600</v>
      </c>
      <c r="J648" s="571">
        <v>91800</v>
      </c>
      <c r="K648" s="571">
        <v>102000</v>
      </c>
      <c r="L648" s="571">
        <v>110200</v>
      </c>
      <c r="M648" s="571">
        <v>118400</v>
      </c>
      <c r="N648" s="571">
        <v>126500</v>
      </c>
      <c r="O648" s="571">
        <v>134700</v>
      </c>
      <c r="P648" s="39"/>
      <c r="Q648" s="39"/>
    </row>
    <row r="649" spans="1:17">
      <c r="A649" s="38" t="s">
        <v>1174</v>
      </c>
      <c r="B649" s="574">
        <v>0.8</v>
      </c>
      <c r="C649" s="571">
        <v>1428</v>
      </c>
      <c r="D649" s="571">
        <v>1530</v>
      </c>
      <c r="E649" s="571">
        <v>1836</v>
      </c>
      <c r="F649" s="571">
        <v>2122</v>
      </c>
      <c r="G649" s="571">
        <v>2368</v>
      </c>
      <c r="H649" s="572">
        <v>57120</v>
      </c>
      <c r="I649" s="572">
        <v>65280</v>
      </c>
      <c r="J649" s="572">
        <v>73440</v>
      </c>
      <c r="K649" s="572">
        <v>81600</v>
      </c>
      <c r="L649" s="572">
        <v>88160</v>
      </c>
      <c r="M649" s="572">
        <v>94720</v>
      </c>
      <c r="N649" s="572">
        <v>101200</v>
      </c>
      <c r="O649" s="572">
        <v>107760</v>
      </c>
      <c r="P649" s="39"/>
      <c r="Q649" s="39"/>
    </row>
    <row r="650" spans="1:17">
      <c r="A650" s="38"/>
      <c r="B650" s="574">
        <v>0.7</v>
      </c>
      <c r="C650" s="571">
        <v>1249</v>
      </c>
      <c r="D650" s="571">
        <v>1338</v>
      </c>
      <c r="E650" s="571">
        <v>1606</v>
      </c>
      <c r="F650" s="571">
        <v>1856</v>
      </c>
      <c r="G650" s="571">
        <v>2072</v>
      </c>
      <c r="H650" s="572">
        <v>49980</v>
      </c>
      <c r="I650" s="572">
        <v>57120</v>
      </c>
      <c r="J650" s="572">
        <v>64259.999999999993</v>
      </c>
      <c r="K650" s="572">
        <v>71400</v>
      </c>
      <c r="L650" s="572">
        <v>77140</v>
      </c>
      <c r="M650" s="572">
        <v>82880</v>
      </c>
      <c r="N650" s="572">
        <v>88550</v>
      </c>
      <c r="O650" s="572">
        <v>94290</v>
      </c>
      <c r="P650" s="39"/>
      <c r="Q650" s="39"/>
    </row>
    <row r="651" spans="1:17">
      <c r="A651" s="38"/>
      <c r="B651" s="574">
        <v>0.6</v>
      </c>
      <c r="C651" s="571">
        <v>1071</v>
      </c>
      <c r="D651" s="571">
        <v>1147</v>
      </c>
      <c r="E651" s="571">
        <v>1377</v>
      </c>
      <c r="F651" s="571">
        <v>1591</v>
      </c>
      <c r="G651" s="571">
        <v>1776</v>
      </c>
      <c r="H651" s="571">
        <v>42840</v>
      </c>
      <c r="I651" s="571">
        <v>48960</v>
      </c>
      <c r="J651" s="571">
        <v>55080</v>
      </c>
      <c r="K651" s="571">
        <v>61200</v>
      </c>
      <c r="L651" s="571">
        <v>66120</v>
      </c>
      <c r="M651" s="573">
        <v>71040</v>
      </c>
      <c r="N651" s="573">
        <v>75900</v>
      </c>
      <c r="O651" s="573">
        <v>80820</v>
      </c>
      <c r="P651" s="39"/>
      <c r="Q651" s="39"/>
    </row>
    <row r="652" spans="1:17">
      <c r="A652" s="38"/>
      <c r="B652" s="574">
        <v>0.55000000000000004</v>
      </c>
      <c r="C652" s="571">
        <v>981</v>
      </c>
      <c r="D652" s="571">
        <v>1051</v>
      </c>
      <c r="E652" s="571">
        <v>1262</v>
      </c>
      <c r="F652" s="571">
        <v>1458</v>
      </c>
      <c r="G652" s="571">
        <v>1628</v>
      </c>
      <c r="H652" s="571">
        <v>39270</v>
      </c>
      <c r="I652" s="571">
        <v>44880</v>
      </c>
      <c r="J652" s="571">
        <v>50490.000000000007</v>
      </c>
      <c r="K652" s="571">
        <v>56100.000000000007</v>
      </c>
      <c r="L652" s="571">
        <v>60610.000000000007</v>
      </c>
      <c r="M652" s="571">
        <v>65120.000000000007</v>
      </c>
      <c r="N652" s="571">
        <v>69575</v>
      </c>
      <c r="O652" s="571">
        <v>74085</v>
      </c>
      <c r="P652" s="39"/>
      <c r="Q652" s="39"/>
    </row>
    <row r="653" spans="1:17">
      <c r="A653" s="38"/>
      <c r="B653" s="574">
        <v>0.5</v>
      </c>
      <c r="C653" s="571">
        <v>892</v>
      </c>
      <c r="D653" s="571">
        <v>956</v>
      </c>
      <c r="E653" s="571">
        <v>1147</v>
      </c>
      <c r="F653" s="571">
        <v>1326</v>
      </c>
      <c r="G653" s="571">
        <v>1480</v>
      </c>
      <c r="H653" s="572">
        <v>35700</v>
      </c>
      <c r="I653" s="572">
        <v>40800</v>
      </c>
      <c r="J653" s="572">
        <v>45900</v>
      </c>
      <c r="K653" s="572">
        <v>51000</v>
      </c>
      <c r="L653" s="572">
        <v>55100</v>
      </c>
      <c r="M653" s="572">
        <v>59200</v>
      </c>
      <c r="N653" s="572">
        <v>63250</v>
      </c>
      <c r="O653" s="572">
        <v>67350</v>
      </c>
      <c r="P653" s="39"/>
      <c r="Q653" s="39"/>
    </row>
    <row r="654" spans="1:17">
      <c r="A654" s="38"/>
      <c r="B654" s="574">
        <v>0.45</v>
      </c>
      <c r="C654" s="571">
        <v>803</v>
      </c>
      <c r="D654" s="571">
        <v>860</v>
      </c>
      <c r="E654" s="571">
        <v>1032</v>
      </c>
      <c r="F654" s="571">
        <v>1193</v>
      </c>
      <c r="G654" s="571">
        <v>1332</v>
      </c>
      <c r="H654" s="571">
        <v>32130</v>
      </c>
      <c r="I654" s="571">
        <v>36720</v>
      </c>
      <c r="J654" s="571">
        <v>41310</v>
      </c>
      <c r="K654" s="571">
        <v>45900</v>
      </c>
      <c r="L654" s="571">
        <v>49590</v>
      </c>
      <c r="M654" s="573">
        <v>53280</v>
      </c>
      <c r="N654" s="573">
        <v>56925</v>
      </c>
      <c r="O654" s="573">
        <v>60615</v>
      </c>
      <c r="P654" s="39"/>
      <c r="Q654" s="39"/>
    </row>
    <row r="655" spans="1:17">
      <c r="A655" s="38"/>
      <c r="B655" s="574">
        <v>0.4</v>
      </c>
      <c r="C655" s="571">
        <v>714</v>
      </c>
      <c r="D655" s="571">
        <v>765</v>
      </c>
      <c r="E655" s="571">
        <v>918</v>
      </c>
      <c r="F655" s="571">
        <v>1061</v>
      </c>
      <c r="G655" s="571">
        <v>1184</v>
      </c>
      <c r="H655" s="571">
        <v>28560</v>
      </c>
      <c r="I655" s="571">
        <v>32640</v>
      </c>
      <c r="J655" s="571">
        <v>36720</v>
      </c>
      <c r="K655" s="571">
        <v>40800</v>
      </c>
      <c r="L655" s="571">
        <v>44080</v>
      </c>
      <c r="M655" s="573">
        <v>47360</v>
      </c>
      <c r="N655" s="573">
        <v>50600</v>
      </c>
      <c r="O655" s="573">
        <v>53880</v>
      </c>
      <c r="P655" s="39"/>
      <c r="Q655" s="39"/>
    </row>
    <row r="656" spans="1:17">
      <c r="A656" s="38"/>
      <c r="B656" s="510">
        <v>0.3</v>
      </c>
      <c r="C656" s="571">
        <v>535</v>
      </c>
      <c r="D656" s="571">
        <v>573</v>
      </c>
      <c r="E656" s="571">
        <v>688</v>
      </c>
      <c r="F656" s="571">
        <v>795</v>
      </c>
      <c r="G656" s="571">
        <v>888</v>
      </c>
      <c r="H656" s="572">
        <v>21420</v>
      </c>
      <c r="I656" s="572">
        <v>24480</v>
      </c>
      <c r="J656" s="572">
        <v>27540</v>
      </c>
      <c r="K656" s="572">
        <v>30600</v>
      </c>
      <c r="L656" s="572">
        <v>33060</v>
      </c>
      <c r="M656" s="572">
        <v>35520</v>
      </c>
      <c r="N656" s="572">
        <v>37950</v>
      </c>
      <c r="O656" s="572">
        <v>40410</v>
      </c>
      <c r="P656" s="39"/>
      <c r="Q656" s="39"/>
    </row>
    <row r="657" spans="1:17" ht="13.8" thickBot="1">
      <c r="A657" s="575"/>
      <c r="B657" s="40">
        <v>0.2</v>
      </c>
      <c r="C657" s="512">
        <v>357</v>
      </c>
      <c r="D657" s="512">
        <v>382</v>
      </c>
      <c r="E657" s="512">
        <v>459</v>
      </c>
      <c r="F657" s="512">
        <v>530</v>
      </c>
      <c r="G657" s="512">
        <v>592</v>
      </c>
      <c r="H657" s="513">
        <v>14280</v>
      </c>
      <c r="I657" s="513">
        <v>16320</v>
      </c>
      <c r="J657" s="513">
        <v>18360</v>
      </c>
      <c r="K657" s="513">
        <v>20400</v>
      </c>
      <c r="L657" s="513">
        <v>22040</v>
      </c>
      <c r="M657" s="513">
        <v>23680</v>
      </c>
      <c r="N657" s="513">
        <v>25300</v>
      </c>
      <c r="O657" s="513">
        <v>26940</v>
      </c>
      <c r="P657" s="39"/>
      <c r="Q657" s="39"/>
    </row>
    <row r="658" spans="1:17" ht="13.8" thickTop="1">
      <c r="A658" s="38"/>
      <c r="B658" s="37">
        <v>1.2</v>
      </c>
      <c r="C658" s="514">
        <v>2793</v>
      </c>
      <c r="D658" s="514">
        <v>2992</v>
      </c>
      <c r="E658" s="514">
        <v>3591</v>
      </c>
      <c r="F658" s="514">
        <v>4150</v>
      </c>
      <c r="G658" s="514">
        <v>4629</v>
      </c>
      <c r="H658" s="514">
        <v>111720</v>
      </c>
      <c r="I658" s="514">
        <v>127680</v>
      </c>
      <c r="J658" s="514">
        <v>143640</v>
      </c>
      <c r="K658" s="514">
        <v>159600</v>
      </c>
      <c r="L658" s="514">
        <v>172440</v>
      </c>
      <c r="M658" s="514">
        <v>185160</v>
      </c>
      <c r="N658" s="514">
        <v>198000</v>
      </c>
      <c r="O658" s="514">
        <v>210720</v>
      </c>
      <c r="P658" s="41"/>
      <c r="Q658" s="41"/>
    </row>
    <row r="659" spans="1:17">
      <c r="A659" s="38"/>
      <c r="B659" s="574">
        <v>1</v>
      </c>
      <c r="C659" s="571">
        <v>2327</v>
      </c>
      <c r="D659" s="571">
        <v>2493</v>
      </c>
      <c r="E659" s="571">
        <v>2992</v>
      </c>
      <c r="F659" s="571">
        <v>3458</v>
      </c>
      <c r="G659" s="571">
        <v>3857</v>
      </c>
      <c r="H659" s="571">
        <v>93100</v>
      </c>
      <c r="I659" s="571">
        <v>106400</v>
      </c>
      <c r="J659" s="571">
        <v>119700</v>
      </c>
      <c r="K659" s="571">
        <v>133000</v>
      </c>
      <c r="L659" s="571">
        <v>143700</v>
      </c>
      <c r="M659" s="571">
        <v>154300</v>
      </c>
      <c r="N659" s="571">
        <v>165000</v>
      </c>
      <c r="O659" s="571">
        <v>175600</v>
      </c>
      <c r="P659" s="39"/>
      <c r="Q659" s="39"/>
    </row>
    <row r="660" spans="1:17">
      <c r="A660" s="38" t="s">
        <v>1175</v>
      </c>
      <c r="B660" s="574">
        <v>0.8</v>
      </c>
      <c r="C660" s="571">
        <v>1862</v>
      </c>
      <c r="D660" s="571">
        <v>1995</v>
      </c>
      <c r="E660" s="571">
        <v>2394</v>
      </c>
      <c r="F660" s="571">
        <v>2767</v>
      </c>
      <c r="G660" s="571">
        <v>3086</v>
      </c>
      <c r="H660" s="572">
        <v>74480</v>
      </c>
      <c r="I660" s="572">
        <v>85120</v>
      </c>
      <c r="J660" s="572">
        <v>95760</v>
      </c>
      <c r="K660" s="572">
        <v>106400</v>
      </c>
      <c r="L660" s="572">
        <v>114960</v>
      </c>
      <c r="M660" s="572">
        <v>123440</v>
      </c>
      <c r="N660" s="572">
        <v>132000</v>
      </c>
      <c r="O660" s="572">
        <v>140480</v>
      </c>
      <c r="P660" s="39"/>
      <c r="Q660" s="39"/>
    </row>
    <row r="661" spans="1:17">
      <c r="A661" s="38"/>
      <c r="B661" s="574">
        <v>0.7</v>
      </c>
      <c r="C661" s="571">
        <v>1629</v>
      </c>
      <c r="D661" s="571">
        <v>1745</v>
      </c>
      <c r="E661" s="571">
        <v>2094</v>
      </c>
      <c r="F661" s="571">
        <v>2421</v>
      </c>
      <c r="G661" s="571">
        <v>2700</v>
      </c>
      <c r="H661" s="572">
        <v>65169.999999999993</v>
      </c>
      <c r="I661" s="572">
        <v>74480</v>
      </c>
      <c r="J661" s="572">
        <v>83790</v>
      </c>
      <c r="K661" s="572">
        <v>93100</v>
      </c>
      <c r="L661" s="572">
        <v>100590</v>
      </c>
      <c r="M661" s="572">
        <v>108010</v>
      </c>
      <c r="N661" s="572">
        <v>115499.99999999999</v>
      </c>
      <c r="O661" s="572">
        <v>122919.99999999999</v>
      </c>
      <c r="P661" s="39"/>
      <c r="Q661" s="39"/>
    </row>
    <row r="662" spans="1:17">
      <c r="A662" s="38"/>
      <c r="B662" s="574">
        <v>0.6</v>
      </c>
      <c r="C662" s="571">
        <v>1396</v>
      </c>
      <c r="D662" s="571">
        <v>1496</v>
      </c>
      <c r="E662" s="571">
        <v>1795</v>
      </c>
      <c r="F662" s="571">
        <v>2075</v>
      </c>
      <c r="G662" s="571">
        <v>2314</v>
      </c>
      <c r="H662" s="571">
        <v>55860</v>
      </c>
      <c r="I662" s="571">
        <v>63840</v>
      </c>
      <c r="J662" s="571">
        <v>71820</v>
      </c>
      <c r="K662" s="571">
        <v>79800</v>
      </c>
      <c r="L662" s="571">
        <v>86220</v>
      </c>
      <c r="M662" s="573">
        <v>92580</v>
      </c>
      <c r="N662" s="573">
        <v>99000</v>
      </c>
      <c r="O662" s="573">
        <v>105360</v>
      </c>
      <c r="P662" s="39"/>
      <c r="Q662" s="39"/>
    </row>
    <row r="663" spans="1:17">
      <c r="A663" s="38"/>
      <c r="B663" s="574">
        <v>0.55000000000000004</v>
      </c>
      <c r="C663" s="571">
        <v>1280</v>
      </c>
      <c r="D663" s="571">
        <v>1371</v>
      </c>
      <c r="E663" s="571">
        <v>1645</v>
      </c>
      <c r="F663" s="571">
        <v>1902</v>
      </c>
      <c r="G663" s="571">
        <v>2121</v>
      </c>
      <c r="H663" s="571">
        <v>51205.000000000007</v>
      </c>
      <c r="I663" s="571">
        <v>58520.000000000007</v>
      </c>
      <c r="J663" s="571">
        <v>65835</v>
      </c>
      <c r="K663" s="571">
        <v>73150</v>
      </c>
      <c r="L663" s="571">
        <v>79035</v>
      </c>
      <c r="M663" s="571">
        <v>84865</v>
      </c>
      <c r="N663" s="571">
        <v>90750.000000000015</v>
      </c>
      <c r="O663" s="571">
        <v>96580.000000000015</v>
      </c>
      <c r="P663" s="39"/>
      <c r="Q663" s="39"/>
    </row>
    <row r="664" spans="1:17">
      <c r="A664" s="38"/>
      <c r="B664" s="574">
        <v>0.5</v>
      </c>
      <c r="C664" s="571">
        <v>1163</v>
      </c>
      <c r="D664" s="571">
        <v>1246</v>
      </c>
      <c r="E664" s="571">
        <v>1496</v>
      </c>
      <c r="F664" s="571">
        <v>1729</v>
      </c>
      <c r="G664" s="571">
        <v>1928</v>
      </c>
      <c r="H664" s="572">
        <v>46550</v>
      </c>
      <c r="I664" s="572">
        <v>53200</v>
      </c>
      <c r="J664" s="572">
        <v>59850</v>
      </c>
      <c r="K664" s="572">
        <v>66500</v>
      </c>
      <c r="L664" s="572">
        <v>71850</v>
      </c>
      <c r="M664" s="572">
        <v>77150</v>
      </c>
      <c r="N664" s="572">
        <v>82500</v>
      </c>
      <c r="O664" s="572">
        <v>87800</v>
      </c>
      <c r="P664" s="39"/>
      <c r="Q664" s="39"/>
    </row>
    <row r="665" spans="1:17">
      <c r="A665" s="38"/>
      <c r="B665" s="574">
        <v>0.45</v>
      </c>
      <c r="C665" s="571">
        <v>1047</v>
      </c>
      <c r="D665" s="571">
        <v>1122</v>
      </c>
      <c r="E665" s="571">
        <v>1346</v>
      </c>
      <c r="F665" s="571">
        <v>1556</v>
      </c>
      <c r="G665" s="571">
        <v>1735</v>
      </c>
      <c r="H665" s="571">
        <v>41895</v>
      </c>
      <c r="I665" s="571">
        <v>47880</v>
      </c>
      <c r="J665" s="571">
        <v>53865</v>
      </c>
      <c r="K665" s="571">
        <v>59850</v>
      </c>
      <c r="L665" s="571">
        <v>64665</v>
      </c>
      <c r="M665" s="573">
        <v>69435</v>
      </c>
      <c r="N665" s="573">
        <v>74250</v>
      </c>
      <c r="O665" s="573">
        <v>79020</v>
      </c>
      <c r="P665" s="39"/>
      <c r="Q665" s="39"/>
    </row>
    <row r="666" spans="1:17">
      <c r="A666" s="38"/>
      <c r="B666" s="574">
        <v>0.4</v>
      </c>
      <c r="C666" s="571">
        <v>931</v>
      </c>
      <c r="D666" s="571">
        <v>997</v>
      </c>
      <c r="E666" s="571">
        <v>1197</v>
      </c>
      <c r="F666" s="571">
        <v>1383</v>
      </c>
      <c r="G666" s="571">
        <v>1543</v>
      </c>
      <c r="H666" s="571">
        <v>37240</v>
      </c>
      <c r="I666" s="571">
        <v>42560</v>
      </c>
      <c r="J666" s="571">
        <v>47880</v>
      </c>
      <c r="K666" s="571">
        <v>53200</v>
      </c>
      <c r="L666" s="571">
        <v>57480</v>
      </c>
      <c r="M666" s="573">
        <v>61720</v>
      </c>
      <c r="N666" s="573">
        <v>66000</v>
      </c>
      <c r="O666" s="573">
        <v>70240</v>
      </c>
      <c r="P666" s="39"/>
      <c r="Q666" s="39"/>
    </row>
    <row r="667" spans="1:17">
      <c r="A667" s="38"/>
      <c r="B667" s="510">
        <v>0.3</v>
      </c>
      <c r="C667" s="571">
        <v>698</v>
      </c>
      <c r="D667" s="571">
        <v>748</v>
      </c>
      <c r="E667" s="571">
        <v>897</v>
      </c>
      <c r="F667" s="571">
        <v>1037</v>
      </c>
      <c r="G667" s="571">
        <v>1157</v>
      </c>
      <c r="H667" s="572">
        <v>27930</v>
      </c>
      <c r="I667" s="572">
        <v>31920</v>
      </c>
      <c r="J667" s="572">
        <v>35910</v>
      </c>
      <c r="K667" s="572">
        <v>39900</v>
      </c>
      <c r="L667" s="572">
        <v>43110</v>
      </c>
      <c r="M667" s="572">
        <v>46290</v>
      </c>
      <c r="N667" s="572">
        <v>49500</v>
      </c>
      <c r="O667" s="572">
        <v>52680</v>
      </c>
      <c r="P667" s="39"/>
      <c r="Q667" s="39"/>
    </row>
    <row r="668" spans="1:17" ht="13.8" thickBot="1">
      <c r="A668" s="575"/>
      <c r="B668" s="40">
        <v>0.2</v>
      </c>
      <c r="C668" s="512">
        <v>465</v>
      </c>
      <c r="D668" s="512">
        <v>498</v>
      </c>
      <c r="E668" s="512">
        <v>598</v>
      </c>
      <c r="F668" s="512">
        <v>691</v>
      </c>
      <c r="G668" s="512">
        <v>771</v>
      </c>
      <c r="H668" s="513">
        <v>18620</v>
      </c>
      <c r="I668" s="513">
        <v>21280</v>
      </c>
      <c r="J668" s="513">
        <v>23940</v>
      </c>
      <c r="K668" s="513">
        <v>26600</v>
      </c>
      <c r="L668" s="513">
        <v>28740</v>
      </c>
      <c r="M668" s="513">
        <v>30860</v>
      </c>
      <c r="N668" s="513">
        <v>33000</v>
      </c>
      <c r="O668" s="513">
        <v>35120</v>
      </c>
      <c r="P668" s="39"/>
      <c r="Q668" s="39"/>
    </row>
    <row r="669" spans="1:17" ht="13.8" thickTop="1">
      <c r="A669" s="38"/>
      <c r="B669" s="37">
        <v>1.2</v>
      </c>
      <c r="C669" s="514">
        <v>2163</v>
      </c>
      <c r="D669" s="514">
        <v>2317</v>
      </c>
      <c r="E669" s="514">
        <v>2781</v>
      </c>
      <c r="F669" s="514">
        <v>3214</v>
      </c>
      <c r="G669" s="514">
        <v>3582</v>
      </c>
      <c r="H669" s="514">
        <v>86520</v>
      </c>
      <c r="I669" s="514">
        <v>98880</v>
      </c>
      <c r="J669" s="514">
        <v>111240</v>
      </c>
      <c r="K669" s="514">
        <v>123600</v>
      </c>
      <c r="L669" s="514">
        <v>133560</v>
      </c>
      <c r="M669" s="514">
        <v>143280</v>
      </c>
      <c r="N669" s="514">
        <v>153360</v>
      </c>
      <c r="O669" s="514">
        <v>163080</v>
      </c>
      <c r="P669" s="47"/>
      <c r="Q669" s="47"/>
    </row>
    <row r="670" spans="1:17">
      <c r="A670" s="38"/>
      <c r="B670" s="574">
        <v>1</v>
      </c>
      <c r="C670" s="571">
        <v>1802</v>
      </c>
      <c r="D670" s="571">
        <v>1931</v>
      </c>
      <c r="E670" s="571">
        <v>2317</v>
      </c>
      <c r="F670" s="571">
        <v>2678</v>
      </c>
      <c r="G670" s="571">
        <v>2985</v>
      </c>
      <c r="H670" s="571">
        <v>72100</v>
      </c>
      <c r="I670" s="571">
        <v>82400</v>
      </c>
      <c r="J670" s="571">
        <v>92700</v>
      </c>
      <c r="K670" s="571">
        <v>103000</v>
      </c>
      <c r="L670" s="571">
        <v>111300</v>
      </c>
      <c r="M670" s="571">
        <v>119400</v>
      </c>
      <c r="N670" s="571">
        <v>127800</v>
      </c>
      <c r="O670" s="571">
        <v>135900</v>
      </c>
      <c r="P670" s="48"/>
      <c r="Q670" s="48"/>
    </row>
    <row r="671" spans="1:17">
      <c r="A671" s="38" t="s">
        <v>1176</v>
      </c>
      <c r="B671" s="574">
        <v>0.8</v>
      </c>
      <c r="C671" s="571">
        <v>1442</v>
      </c>
      <c r="D671" s="571">
        <v>1545</v>
      </c>
      <c r="E671" s="571">
        <v>1854</v>
      </c>
      <c r="F671" s="571">
        <v>2143</v>
      </c>
      <c r="G671" s="571">
        <v>2388</v>
      </c>
      <c r="H671" s="572">
        <v>57680</v>
      </c>
      <c r="I671" s="572">
        <v>65920</v>
      </c>
      <c r="J671" s="572">
        <v>74160</v>
      </c>
      <c r="K671" s="572">
        <v>82400</v>
      </c>
      <c r="L671" s="572">
        <v>89040</v>
      </c>
      <c r="M671" s="572">
        <v>95520</v>
      </c>
      <c r="N671" s="572">
        <v>102240</v>
      </c>
      <c r="O671" s="572">
        <v>108720</v>
      </c>
      <c r="P671" s="242"/>
      <c r="Q671" s="242"/>
    </row>
    <row r="672" spans="1:17">
      <c r="A672" s="38"/>
      <c r="B672" s="574">
        <v>0.7</v>
      </c>
      <c r="C672" s="571">
        <v>1261</v>
      </c>
      <c r="D672" s="571">
        <v>1351</v>
      </c>
      <c r="E672" s="571">
        <v>1622</v>
      </c>
      <c r="F672" s="571">
        <v>1875</v>
      </c>
      <c r="G672" s="571">
        <v>2089</v>
      </c>
      <c r="H672" s="572">
        <v>50470</v>
      </c>
      <c r="I672" s="572">
        <v>57679.999999999993</v>
      </c>
      <c r="J672" s="572">
        <v>64889.999999999993</v>
      </c>
      <c r="K672" s="572">
        <v>72100</v>
      </c>
      <c r="L672" s="572">
        <v>77910</v>
      </c>
      <c r="M672" s="572">
        <v>83580</v>
      </c>
      <c r="N672" s="572">
        <v>89460</v>
      </c>
      <c r="O672" s="572">
        <v>95130</v>
      </c>
      <c r="P672" s="242"/>
      <c r="Q672" s="242"/>
    </row>
    <row r="673" spans="1:17">
      <c r="A673" s="38"/>
      <c r="B673" s="574">
        <v>0.6</v>
      </c>
      <c r="C673" s="571">
        <v>1081</v>
      </c>
      <c r="D673" s="571">
        <v>1158</v>
      </c>
      <c r="E673" s="571">
        <v>1390</v>
      </c>
      <c r="F673" s="571">
        <v>1607</v>
      </c>
      <c r="G673" s="571">
        <v>1791</v>
      </c>
      <c r="H673" s="571">
        <v>43260</v>
      </c>
      <c r="I673" s="571">
        <v>49440</v>
      </c>
      <c r="J673" s="571">
        <v>55620</v>
      </c>
      <c r="K673" s="571">
        <v>61800</v>
      </c>
      <c r="L673" s="571">
        <v>66780</v>
      </c>
      <c r="M673" s="573">
        <v>71640</v>
      </c>
      <c r="N673" s="573">
        <v>76680</v>
      </c>
      <c r="O673" s="573">
        <v>81540</v>
      </c>
      <c r="P673" s="242"/>
      <c r="Q673" s="242"/>
    </row>
    <row r="674" spans="1:17">
      <c r="A674" s="38"/>
      <c r="B674" s="574">
        <v>0.55000000000000004</v>
      </c>
      <c r="C674" s="571">
        <v>991</v>
      </c>
      <c r="D674" s="571">
        <v>1062</v>
      </c>
      <c r="E674" s="571">
        <v>1274</v>
      </c>
      <c r="F674" s="571">
        <v>1473</v>
      </c>
      <c r="G674" s="571">
        <v>1641</v>
      </c>
      <c r="H674" s="571">
        <v>39655</v>
      </c>
      <c r="I674" s="571">
        <v>45320.000000000007</v>
      </c>
      <c r="J674" s="571">
        <v>50985.000000000007</v>
      </c>
      <c r="K674" s="571">
        <v>56650.000000000007</v>
      </c>
      <c r="L674" s="571">
        <v>61215.000000000007</v>
      </c>
      <c r="M674" s="571">
        <v>65670</v>
      </c>
      <c r="N674" s="571">
        <v>70290</v>
      </c>
      <c r="O674" s="571">
        <v>74745</v>
      </c>
      <c r="P674" s="242"/>
      <c r="Q674" s="242"/>
    </row>
    <row r="675" spans="1:17">
      <c r="A675" s="38"/>
      <c r="B675" s="574">
        <v>0.5</v>
      </c>
      <c r="C675" s="571">
        <v>901</v>
      </c>
      <c r="D675" s="571">
        <v>965</v>
      </c>
      <c r="E675" s="571">
        <v>1158</v>
      </c>
      <c r="F675" s="571">
        <v>1339</v>
      </c>
      <c r="G675" s="571">
        <v>1492</v>
      </c>
      <c r="H675" s="572">
        <v>36050</v>
      </c>
      <c r="I675" s="572">
        <v>41200</v>
      </c>
      <c r="J675" s="572">
        <v>46350</v>
      </c>
      <c r="K675" s="572">
        <v>51500</v>
      </c>
      <c r="L675" s="572">
        <v>55650</v>
      </c>
      <c r="M675" s="572">
        <v>59700</v>
      </c>
      <c r="N675" s="572">
        <v>63900</v>
      </c>
      <c r="O675" s="572">
        <v>67950</v>
      </c>
      <c r="P675" s="242"/>
      <c r="Q675" s="242"/>
    </row>
    <row r="676" spans="1:17">
      <c r="A676" s="38"/>
      <c r="B676" s="574">
        <v>0.45</v>
      </c>
      <c r="C676" s="571">
        <v>811</v>
      </c>
      <c r="D676" s="571">
        <v>869</v>
      </c>
      <c r="E676" s="571">
        <v>1042</v>
      </c>
      <c r="F676" s="571">
        <v>1205</v>
      </c>
      <c r="G676" s="571">
        <v>1343</v>
      </c>
      <c r="H676" s="571">
        <v>32445</v>
      </c>
      <c r="I676" s="571">
        <v>37080</v>
      </c>
      <c r="J676" s="571">
        <v>41715</v>
      </c>
      <c r="K676" s="571">
        <v>46350</v>
      </c>
      <c r="L676" s="571">
        <v>50085</v>
      </c>
      <c r="M676" s="573">
        <v>53730</v>
      </c>
      <c r="N676" s="573">
        <v>57510</v>
      </c>
      <c r="O676" s="573">
        <v>61155</v>
      </c>
      <c r="P676" s="242"/>
      <c r="Q676" s="242"/>
    </row>
    <row r="677" spans="1:17">
      <c r="A677" s="38"/>
      <c r="B677" s="574">
        <v>0.4</v>
      </c>
      <c r="C677" s="571">
        <v>721</v>
      </c>
      <c r="D677" s="571">
        <v>772</v>
      </c>
      <c r="E677" s="571">
        <v>927</v>
      </c>
      <c r="F677" s="571">
        <v>1071</v>
      </c>
      <c r="G677" s="571">
        <v>1194</v>
      </c>
      <c r="H677" s="571">
        <v>28840</v>
      </c>
      <c r="I677" s="571">
        <v>32960</v>
      </c>
      <c r="J677" s="571">
        <v>37080</v>
      </c>
      <c r="K677" s="571">
        <v>41200</v>
      </c>
      <c r="L677" s="571">
        <v>44520</v>
      </c>
      <c r="M677" s="573">
        <v>47760</v>
      </c>
      <c r="N677" s="573">
        <v>51120</v>
      </c>
      <c r="O677" s="573">
        <v>54360</v>
      </c>
      <c r="P677" s="242"/>
      <c r="Q677" s="242"/>
    </row>
    <row r="678" spans="1:17">
      <c r="A678" s="38"/>
      <c r="B678" s="510">
        <v>0.3</v>
      </c>
      <c r="C678" s="571">
        <v>540</v>
      </c>
      <c r="D678" s="571">
        <v>579</v>
      </c>
      <c r="E678" s="571">
        <v>695</v>
      </c>
      <c r="F678" s="571">
        <v>803</v>
      </c>
      <c r="G678" s="571">
        <v>895</v>
      </c>
      <c r="H678" s="572">
        <v>21630</v>
      </c>
      <c r="I678" s="572">
        <v>24720</v>
      </c>
      <c r="J678" s="572">
        <v>27810</v>
      </c>
      <c r="K678" s="572">
        <v>30900</v>
      </c>
      <c r="L678" s="572">
        <v>33390</v>
      </c>
      <c r="M678" s="572">
        <v>35820</v>
      </c>
      <c r="N678" s="572">
        <v>38340</v>
      </c>
      <c r="O678" s="572">
        <v>40770</v>
      </c>
      <c r="P678" s="242"/>
      <c r="Q678" s="242"/>
    </row>
    <row r="679" spans="1:17" ht="13.8" thickBot="1">
      <c r="A679" s="575"/>
      <c r="B679" s="40">
        <v>0.2</v>
      </c>
      <c r="C679" s="512">
        <v>360</v>
      </c>
      <c r="D679" s="512">
        <v>386</v>
      </c>
      <c r="E679" s="512">
        <v>463</v>
      </c>
      <c r="F679" s="512">
        <v>535</v>
      </c>
      <c r="G679" s="512">
        <v>597</v>
      </c>
      <c r="H679" s="513">
        <v>14420</v>
      </c>
      <c r="I679" s="513">
        <v>16480</v>
      </c>
      <c r="J679" s="513">
        <v>18540</v>
      </c>
      <c r="K679" s="513">
        <v>20600</v>
      </c>
      <c r="L679" s="513">
        <v>22260</v>
      </c>
      <c r="M679" s="513">
        <v>23880</v>
      </c>
      <c r="N679" s="513">
        <v>25560</v>
      </c>
      <c r="O679" s="513">
        <v>27180</v>
      </c>
      <c r="P679" s="242"/>
      <c r="Q679" s="242"/>
    </row>
    <row r="680" spans="1:17" ht="13.8" thickTop="1">
      <c r="A680" s="38"/>
      <c r="B680" s="37">
        <v>1.2</v>
      </c>
      <c r="C680" s="514">
        <v>2142</v>
      </c>
      <c r="D680" s="514">
        <v>2295</v>
      </c>
      <c r="E680" s="514">
        <v>2754</v>
      </c>
      <c r="F680" s="514">
        <v>3183</v>
      </c>
      <c r="G680" s="514">
        <v>3552</v>
      </c>
      <c r="H680" s="514">
        <v>85680</v>
      </c>
      <c r="I680" s="514">
        <v>97920</v>
      </c>
      <c r="J680" s="514">
        <v>110160</v>
      </c>
      <c r="K680" s="514">
        <v>122400</v>
      </c>
      <c r="L680" s="514">
        <v>132240</v>
      </c>
      <c r="M680" s="514">
        <v>142080</v>
      </c>
      <c r="N680" s="514">
        <v>151800</v>
      </c>
      <c r="O680" s="514">
        <v>161640</v>
      </c>
      <c r="P680" s="242"/>
      <c r="Q680" s="242"/>
    </row>
    <row r="681" spans="1:17">
      <c r="A681" s="38"/>
      <c r="B681" s="574">
        <v>1</v>
      </c>
      <c r="C681" s="571">
        <v>1785</v>
      </c>
      <c r="D681" s="571">
        <v>1912</v>
      </c>
      <c r="E681" s="571">
        <v>2295</v>
      </c>
      <c r="F681" s="571">
        <v>2652</v>
      </c>
      <c r="G681" s="571">
        <v>2960</v>
      </c>
      <c r="H681" s="571">
        <v>71400</v>
      </c>
      <c r="I681" s="571">
        <v>81600</v>
      </c>
      <c r="J681" s="571">
        <v>91800</v>
      </c>
      <c r="K681" s="571">
        <v>102000</v>
      </c>
      <c r="L681" s="571">
        <v>110200</v>
      </c>
      <c r="M681" s="571">
        <v>118400</v>
      </c>
      <c r="N681" s="571">
        <v>126500</v>
      </c>
      <c r="O681" s="571">
        <v>134700</v>
      </c>
      <c r="P681" s="242"/>
      <c r="Q681" s="242"/>
    </row>
    <row r="682" spans="1:17">
      <c r="A682" s="38" t="s">
        <v>1177</v>
      </c>
      <c r="B682" s="574">
        <v>0.8</v>
      </c>
      <c r="C682" s="571">
        <v>1428</v>
      </c>
      <c r="D682" s="571">
        <v>1530</v>
      </c>
      <c r="E682" s="571">
        <v>1836</v>
      </c>
      <c r="F682" s="571">
        <v>2122</v>
      </c>
      <c r="G682" s="571">
        <v>2368</v>
      </c>
      <c r="H682" s="572">
        <v>57120</v>
      </c>
      <c r="I682" s="572">
        <v>65280</v>
      </c>
      <c r="J682" s="572">
        <v>73440</v>
      </c>
      <c r="K682" s="572">
        <v>81600</v>
      </c>
      <c r="L682" s="572">
        <v>88160</v>
      </c>
      <c r="M682" s="572">
        <v>94720</v>
      </c>
      <c r="N682" s="572">
        <v>101200</v>
      </c>
      <c r="O682" s="572">
        <v>107760</v>
      </c>
      <c r="P682" s="242"/>
      <c r="Q682" s="242"/>
    </row>
    <row r="683" spans="1:17">
      <c r="A683" s="38"/>
      <c r="B683" s="574">
        <v>0.7</v>
      </c>
      <c r="C683" s="571">
        <v>1249</v>
      </c>
      <c r="D683" s="571">
        <v>1338</v>
      </c>
      <c r="E683" s="571">
        <v>1606</v>
      </c>
      <c r="F683" s="571">
        <v>1856</v>
      </c>
      <c r="G683" s="571">
        <v>2072</v>
      </c>
      <c r="H683" s="572">
        <v>49980</v>
      </c>
      <c r="I683" s="572">
        <v>57120</v>
      </c>
      <c r="J683" s="572">
        <v>64259.999999999993</v>
      </c>
      <c r="K683" s="572">
        <v>71400</v>
      </c>
      <c r="L683" s="572">
        <v>77140</v>
      </c>
      <c r="M683" s="572">
        <v>82880</v>
      </c>
      <c r="N683" s="572">
        <v>88550</v>
      </c>
      <c r="O683" s="572">
        <v>94290</v>
      </c>
      <c r="P683" s="242"/>
      <c r="Q683" s="242"/>
    </row>
    <row r="684" spans="1:17">
      <c r="A684" s="38"/>
      <c r="B684" s="574">
        <v>0.6</v>
      </c>
      <c r="C684" s="571">
        <v>1071</v>
      </c>
      <c r="D684" s="571">
        <v>1147</v>
      </c>
      <c r="E684" s="571">
        <v>1377</v>
      </c>
      <c r="F684" s="571">
        <v>1591</v>
      </c>
      <c r="G684" s="571">
        <v>1776</v>
      </c>
      <c r="H684" s="571">
        <v>42840</v>
      </c>
      <c r="I684" s="571">
        <v>48960</v>
      </c>
      <c r="J684" s="571">
        <v>55080</v>
      </c>
      <c r="K684" s="571">
        <v>61200</v>
      </c>
      <c r="L684" s="571">
        <v>66120</v>
      </c>
      <c r="M684" s="573">
        <v>71040</v>
      </c>
      <c r="N684" s="573">
        <v>75900</v>
      </c>
      <c r="O684" s="573">
        <v>80820</v>
      </c>
      <c r="P684" s="242"/>
      <c r="Q684" s="242"/>
    </row>
    <row r="685" spans="1:17">
      <c r="A685" s="38"/>
      <c r="B685" s="574">
        <v>0.55000000000000004</v>
      </c>
      <c r="C685" s="571">
        <v>981</v>
      </c>
      <c r="D685" s="571">
        <v>1051</v>
      </c>
      <c r="E685" s="571">
        <v>1262</v>
      </c>
      <c r="F685" s="571">
        <v>1458</v>
      </c>
      <c r="G685" s="571">
        <v>1628</v>
      </c>
      <c r="H685" s="571">
        <v>39270</v>
      </c>
      <c r="I685" s="571">
        <v>44880</v>
      </c>
      <c r="J685" s="571">
        <v>50490.000000000007</v>
      </c>
      <c r="K685" s="571">
        <v>56100.000000000007</v>
      </c>
      <c r="L685" s="571">
        <v>60610.000000000007</v>
      </c>
      <c r="M685" s="571">
        <v>65120.000000000007</v>
      </c>
      <c r="N685" s="571">
        <v>69575</v>
      </c>
      <c r="O685" s="571">
        <v>74085</v>
      </c>
      <c r="P685" s="242"/>
      <c r="Q685" s="242"/>
    </row>
    <row r="686" spans="1:17">
      <c r="A686" s="38"/>
      <c r="B686" s="574">
        <v>0.5</v>
      </c>
      <c r="C686" s="571">
        <v>892</v>
      </c>
      <c r="D686" s="571">
        <v>956</v>
      </c>
      <c r="E686" s="571">
        <v>1147</v>
      </c>
      <c r="F686" s="571">
        <v>1326</v>
      </c>
      <c r="G686" s="571">
        <v>1480</v>
      </c>
      <c r="H686" s="572">
        <v>35700</v>
      </c>
      <c r="I686" s="572">
        <v>40800</v>
      </c>
      <c r="J686" s="572">
        <v>45900</v>
      </c>
      <c r="K686" s="572">
        <v>51000</v>
      </c>
      <c r="L686" s="572">
        <v>55100</v>
      </c>
      <c r="M686" s="572">
        <v>59200</v>
      </c>
      <c r="N686" s="572">
        <v>63250</v>
      </c>
      <c r="O686" s="572">
        <v>67350</v>
      </c>
      <c r="P686" s="242"/>
      <c r="Q686" s="242"/>
    </row>
    <row r="687" spans="1:17">
      <c r="A687" s="38"/>
      <c r="B687" s="574">
        <v>0.45</v>
      </c>
      <c r="C687" s="571">
        <v>803</v>
      </c>
      <c r="D687" s="571">
        <v>860</v>
      </c>
      <c r="E687" s="571">
        <v>1032</v>
      </c>
      <c r="F687" s="571">
        <v>1193</v>
      </c>
      <c r="G687" s="571">
        <v>1332</v>
      </c>
      <c r="H687" s="571">
        <v>32130</v>
      </c>
      <c r="I687" s="571">
        <v>36720</v>
      </c>
      <c r="J687" s="571">
        <v>41310</v>
      </c>
      <c r="K687" s="571">
        <v>45900</v>
      </c>
      <c r="L687" s="571">
        <v>49590</v>
      </c>
      <c r="M687" s="573">
        <v>53280</v>
      </c>
      <c r="N687" s="573">
        <v>56925</v>
      </c>
      <c r="O687" s="573">
        <v>60615</v>
      </c>
      <c r="P687" s="242"/>
      <c r="Q687" s="242"/>
    </row>
    <row r="688" spans="1:17">
      <c r="A688" s="38"/>
      <c r="B688" s="574">
        <v>0.4</v>
      </c>
      <c r="C688" s="571">
        <v>714</v>
      </c>
      <c r="D688" s="571">
        <v>765</v>
      </c>
      <c r="E688" s="571">
        <v>918</v>
      </c>
      <c r="F688" s="571">
        <v>1061</v>
      </c>
      <c r="G688" s="571">
        <v>1184</v>
      </c>
      <c r="H688" s="571">
        <v>28560</v>
      </c>
      <c r="I688" s="571">
        <v>32640</v>
      </c>
      <c r="J688" s="571">
        <v>36720</v>
      </c>
      <c r="K688" s="571">
        <v>40800</v>
      </c>
      <c r="L688" s="571">
        <v>44080</v>
      </c>
      <c r="M688" s="573">
        <v>47360</v>
      </c>
      <c r="N688" s="573">
        <v>50600</v>
      </c>
      <c r="O688" s="573">
        <v>53880</v>
      </c>
      <c r="P688" s="242"/>
      <c r="Q688" s="242"/>
    </row>
    <row r="689" spans="1:17">
      <c r="A689" s="38"/>
      <c r="B689" s="510">
        <v>0.3</v>
      </c>
      <c r="C689" s="571">
        <v>535</v>
      </c>
      <c r="D689" s="571">
        <v>573</v>
      </c>
      <c r="E689" s="571">
        <v>688</v>
      </c>
      <c r="F689" s="571">
        <v>795</v>
      </c>
      <c r="G689" s="571">
        <v>888</v>
      </c>
      <c r="H689" s="572">
        <v>21420</v>
      </c>
      <c r="I689" s="572">
        <v>24480</v>
      </c>
      <c r="J689" s="572">
        <v>27540</v>
      </c>
      <c r="K689" s="572">
        <v>30600</v>
      </c>
      <c r="L689" s="572">
        <v>33060</v>
      </c>
      <c r="M689" s="572">
        <v>35520</v>
      </c>
      <c r="N689" s="572">
        <v>37950</v>
      </c>
      <c r="O689" s="572">
        <v>40410</v>
      </c>
      <c r="P689" s="242"/>
      <c r="Q689" s="242"/>
    </row>
    <row r="690" spans="1:17" ht="13.8" thickBot="1">
      <c r="A690" s="575"/>
      <c r="B690" s="40">
        <v>0.2</v>
      </c>
      <c r="C690" s="512">
        <v>357</v>
      </c>
      <c r="D690" s="512">
        <v>382</v>
      </c>
      <c r="E690" s="512">
        <v>459</v>
      </c>
      <c r="F690" s="512">
        <v>530</v>
      </c>
      <c r="G690" s="512">
        <v>592</v>
      </c>
      <c r="H690" s="513">
        <v>14280</v>
      </c>
      <c r="I690" s="513">
        <v>16320</v>
      </c>
      <c r="J690" s="513">
        <v>18360</v>
      </c>
      <c r="K690" s="513">
        <v>20400</v>
      </c>
      <c r="L690" s="513">
        <v>22040</v>
      </c>
      <c r="M690" s="513">
        <v>23680</v>
      </c>
      <c r="N690" s="513">
        <v>25300</v>
      </c>
      <c r="O690" s="513">
        <v>26940</v>
      </c>
      <c r="P690" s="242"/>
      <c r="Q690" s="242"/>
    </row>
    <row r="691" spans="1:17" ht="13.8" thickTop="1">
      <c r="A691" s="46"/>
      <c r="B691" s="37">
        <v>1.2</v>
      </c>
      <c r="C691" s="514">
        <v>2388</v>
      </c>
      <c r="D691" s="514">
        <v>2557</v>
      </c>
      <c r="E691" s="514">
        <v>3069</v>
      </c>
      <c r="F691" s="514">
        <v>3544</v>
      </c>
      <c r="G691" s="514">
        <v>3954</v>
      </c>
      <c r="H691" s="514">
        <v>95520</v>
      </c>
      <c r="I691" s="514">
        <v>109080</v>
      </c>
      <c r="J691" s="514">
        <v>122760</v>
      </c>
      <c r="K691" s="514">
        <v>136320</v>
      </c>
      <c r="L691" s="514">
        <v>147240</v>
      </c>
      <c r="M691" s="514">
        <v>158160</v>
      </c>
      <c r="N691" s="514">
        <v>169080</v>
      </c>
      <c r="O691" s="514">
        <v>180000</v>
      </c>
      <c r="P691" s="242"/>
      <c r="Q691" s="242"/>
    </row>
    <row r="692" spans="1:17">
      <c r="A692" s="38"/>
      <c r="B692" s="574">
        <v>1</v>
      </c>
      <c r="C692" s="571">
        <v>1990</v>
      </c>
      <c r="D692" s="571">
        <v>2131</v>
      </c>
      <c r="E692" s="571">
        <v>2557</v>
      </c>
      <c r="F692" s="571">
        <v>2953</v>
      </c>
      <c r="G692" s="571">
        <v>3295</v>
      </c>
      <c r="H692" s="571">
        <v>79600</v>
      </c>
      <c r="I692" s="571">
        <v>90900</v>
      </c>
      <c r="J692" s="571">
        <v>102300</v>
      </c>
      <c r="K692" s="571">
        <v>113600</v>
      </c>
      <c r="L692" s="571">
        <v>122700</v>
      </c>
      <c r="M692" s="571">
        <v>131800</v>
      </c>
      <c r="N692" s="571">
        <v>140900</v>
      </c>
      <c r="O692" s="571">
        <v>150000</v>
      </c>
      <c r="P692" s="242"/>
      <c r="Q692" s="242"/>
    </row>
    <row r="693" spans="1:17">
      <c r="A693" s="38" t="s">
        <v>1178</v>
      </c>
      <c r="B693" s="574">
        <v>0.8</v>
      </c>
      <c r="C693" s="571">
        <v>1592</v>
      </c>
      <c r="D693" s="571">
        <v>1705</v>
      </c>
      <c r="E693" s="571">
        <v>2046</v>
      </c>
      <c r="F693" s="571">
        <v>2363</v>
      </c>
      <c r="G693" s="571">
        <v>2636</v>
      </c>
      <c r="H693" s="572">
        <v>63680</v>
      </c>
      <c r="I693" s="572">
        <v>72720</v>
      </c>
      <c r="J693" s="572">
        <v>81840</v>
      </c>
      <c r="K693" s="572">
        <v>90880</v>
      </c>
      <c r="L693" s="572">
        <v>98160</v>
      </c>
      <c r="M693" s="572">
        <v>105440</v>
      </c>
      <c r="N693" s="572">
        <v>112720</v>
      </c>
      <c r="O693" s="572">
        <v>120000</v>
      </c>
      <c r="P693" s="242"/>
      <c r="Q693" s="242"/>
    </row>
    <row r="694" spans="1:17">
      <c r="A694" s="38"/>
      <c r="B694" s="574">
        <v>0.7</v>
      </c>
      <c r="C694" s="571">
        <v>1393</v>
      </c>
      <c r="D694" s="571">
        <v>1491</v>
      </c>
      <c r="E694" s="571">
        <v>1790</v>
      </c>
      <c r="F694" s="571">
        <v>2067</v>
      </c>
      <c r="G694" s="571">
        <v>2306</v>
      </c>
      <c r="H694" s="572">
        <v>55720</v>
      </c>
      <c r="I694" s="572">
        <v>63629.999999999993</v>
      </c>
      <c r="J694" s="572">
        <v>71610</v>
      </c>
      <c r="K694" s="572">
        <v>79520</v>
      </c>
      <c r="L694" s="572">
        <v>85890</v>
      </c>
      <c r="M694" s="572">
        <v>92260</v>
      </c>
      <c r="N694" s="572">
        <v>98630</v>
      </c>
      <c r="O694" s="572">
        <v>105000</v>
      </c>
      <c r="P694" s="242"/>
      <c r="Q694" s="242"/>
    </row>
    <row r="695" spans="1:17">
      <c r="A695" s="38"/>
      <c r="B695" s="574">
        <v>0.6</v>
      </c>
      <c r="C695" s="571">
        <v>1194</v>
      </c>
      <c r="D695" s="571">
        <v>1278</v>
      </c>
      <c r="E695" s="571">
        <v>1534</v>
      </c>
      <c r="F695" s="571">
        <v>1772</v>
      </c>
      <c r="G695" s="571">
        <v>1977</v>
      </c>
      <c r="H695" s="571">
        <v>47760</v>
      </c>
      <c r="I695" s="571">
        <v>54540</v>
      </c>
      <c r="J695" s="571">
        <v>61380</v>
      </c>
      <c r="K695" s="571">
        <v>68160</v>
      </c>
      <c r="L695" s="571">
        <v>73620</v>
      </c>
      <c r="M695" s="573">
        <v>79080</v>
      </c>
      <c r="N695" s="573">
        <v>84540</v>
      </c>
      <c r="O695" s="573">
        <v>90000</v>
      </c>
      <c r="P695" s="242"/>
      <c r="Q695" s="242"/>
    </row>
    <row r="696" spans="1:17">
      <c r="A696" s="38"/>
      <c r="B696" s="574">
        <v>0.55000000000000004</v>
      </c>
      <c r="C696" s="571">
        <v>1094</v>
      </c>
      <c r="D696" s="571">
        <v>1172</v>
      </c>
      <c r="E696" s="571">
        <v>1406</v>
      </c>
      <c r="F696" s="571">
        <v>1624</v>
      </c>
      <c r="G696" s="571">
        <v>1812</v>
      </c>
      <c r="H696" s="571">
        <v>43780</v>
      </c>
      <c r="I696" s="571">
        <v>49995.000000000007</v>
      </c>
      <c r="J696" s="571">
        <v>56265.000000000007</v>
      </c>
      <c r="K696" s="571">
        <v>62480.000000000007</v>
      </c>
      <c r="L696" s="571">
        <v>67485</v>
      </c>
      <c r="M696" s="571">
        <v>72490</v>
      </c>
      <c r="N696" s="571">
        <v>77495</v>
      </c>
      <c r="O696" s="571">
        <v>82500</v>
      </c>
      <c r="P696" s="242"/>
      <c r="Q696" s="242"/>
    </row>
    <row r="697" spans="1:17">
      <c r="A697" s="38"/>
      <c r="B697" s="574">
        <v>0.5</v>
      </c>
      <c r="C697" s="571">
        <v>995</v>
      </c>
      <c r="D697" s="571">
        <v>1065</v>
      </c>
      <c r="E697" s="571">
        <v>1278</v>
      </c>
      <c r="F697" s="571">
        <v>1476</v>
      </c>
      <c r="G697" s="571">
        <v>1647</v>
      </c>
      <c r="H697" s="572">
        <v>39800</v>
      </c>
      <c r="I697" s="572">
        <v>45450</v>
      </c>
      <c r="J697" s="572">
        <v>51150</v>
      </c>
      <c r="K697" s="572">
        <v>56800</v>
      </c>
      <c r="L697" s="572">
        <v>61350</v>
      </c>
      <c r="M697" s="572">
        <v>65900</v>
      </c>
      <c r="N697" s="572">
        <v>70450</v>
      </c>
      <c r="O697" s="572">
        <v>75000</v>
      </c>
      <c r="P697" s="242"/>
      <c r="Q697" s="242"/>
    </row>
    <row r="698" spans="1:17">
      <c r="A698" s="38"/>
      <c r="B698" s="574">
        <v>0.45</v>
      </c>
      <c r="C698" s="571">
        <v>895</v>
      </c>
      <c r="D698" s="571">
        <v>959</v>
      </c>
      <c r="E698" s="571">
        <v>1150</v>
      </c>
      <c r="F698" s="571">
        <v>1329</v>
      </c>
      <c r="G698" s="571">
        <v>1482</v>
      </c>
      <c r="H698" s="571">
        <v>35820</v>
      </c>
      <c r="I698" s="571">
        <v>40905</v>
      </c>
      <c r="J698" s="571">
        <v>46035</v>
      </c>
      <c r="K698" s="571">
        <v>51120</v>
      </c>
      <c r="L698" s="571">
        <v>55215</v>
      </c>
      <c r="M698" s="573">
        <v>59310</v>
      </c>
      <c r="N698" s="573">
        <v>63405</v>
      </c>
      <c r="O698" s="573">
        <v>67500</v>
      </c>
      <c r="P698" s="242"/>
      <c r="Q698" s="242"/>
    </row>
    <row r="699" spans="1:17">
      <c r="A699" s="38"/>
      <c r="B699" s="574">
        <v>0.4</v>
      </c>
      <c r="C699" s="571">
        <v>796</v>
      </c>
      <c r="D699" s="571">
        <v>852</v>
      </c>
      <c r="E699" s="571">
        <v>1023</v>
      </c>
      <c r="F699" s="571">
        <v>1181</v>
      </c>
      <c r="G699" s="571">
        <v>1318</v>
      </c>
      <c r="H699" s="571">
        <v>31840</v>
      </c>
      <c r="I699" s="571">
        <v>36360</v>
      </c>
      <c r="J699" s="571">
        <v>40920</v>
      </c>
      <c r="K699" s="571">
        <v>45440</v>
      </c>
      <c r="L699" s="571">
        <v>49080</v>
      </c>
      <c r="M699" s="573">
        <v>52720</v>
      </c>
      <c r="N699" s="573">
        <v>56360</v>
      </c>
      <c r="O699" s="573">
        <v>60000</v>
      </c>
      <c r="P699" s="242"/>
      <c r="Q699" s="242"/>
    </row>
    <row r="700" spans="1:17">
      <c r="A700" s="38"/>
      <c r="B700" s="510">
        <v>0.3</v>
      </c>
      <c r="C700" s="571">
        <v>597</v>
      </c>
      <c r="D700" s="571">
        <v>639</v>
      </c>
      <c r="E700" s="571">
        <v>767</v>
      </c>
      <c r="F700" s="571">
        <v>886</v>
      </c>
      <c r="G700" s="571">
        <v>988</v>
      </c>
      <c r="H700" s="572">
        <v>23880</v>
      </c>
      <c r="I700" s="572">
        <v>27270</v>
      </c>
      <c r="J700" s="572">
        <v>30690</v>
      </c>
      <c r="K700" s="572">
        <v>34080</v>
      </c>
      <c r="L700" s="572">
        <v>36810</v>
      </c>
      <c r="M700" s="572">
        <v>39540</v>
      </c>
      <c r="N700" s="572">
        <v>42270</v>
      </c>
      <c r="O700" s="572">
        <v>45000</v>
      </c>
      <c r="P700" s="242"/>
      <c r="Q700" s="242"/>
    </row>
    <row r="701" spans="1:17" ht="13.8" thickBot="1">
      <c r="A701" s="575"/>
      <c r="B701" s="40">
        <v>0.2</v>
      </c>
      <c r="C701" s="512">
        <v>398</v>
      </c>
      <c r="D701" s="512">
        <v>426</v>
      </c>
      <c r="E701" s="512">
        <v>511</v>
      </c>
      <c r="F701" s="512">
        <v>590</v>
      </c>
      <c r="G701" s="512">
        <v>659</v>
      </c>
      <c r="H701" s="513">
        <v>15920</v>
      </c>
      <c r="I701" s="513">
        <v>18180</v>
      </c>
      <c r="J701" s="513">
        <v>20460</v>
      </c>
      <c r="K701" s="513">
        <v>22720</v>
      </c>
      <c r="L701" s="513">
        <v>24540</v>
      </c>
      <c r="M701" s="513">
        <v>26360</v>
      </c>
      <c r="N701" s="513">
        <v>28180</v>
      </c>
      <c r="O701" s="513">
        <v>30000</v>
      </c>
      <c r="P701" s="242"/>
      <c r="Q701" s="242"/>
    </row>
    <row r="702" spans="1:17" ht="13.8" thickTop="1">
      <c r="A702" s="44"/>
      <c r="B702" s="37">
        <v>1.2</v>
      </c>
      <c r="C702" s="514">
        <v>2142</v>
      </c>
      <c r="D702" s="514">
        <v>2295</v>
      </c>
      <c r="E702" s="514">
        <v>2754</v>
      </c>
      <c r="F702" s="514">
        <v>3183</v>
      </c>
      <c r="G702" s="514">
        <v>3552</v>
      </c>
      <c r="H702" s="514">
        <v>85680</v>
      </c>
      <c r="I702" s="514">
        <v>97920</v>
      </c>
      <c r="J702" s="514">
        <v>110160</v>
      </c>
      <c r="K702" s="514">
        <v>122400</v>
      </c>
      <c r="L702" s="514">
        <v>132240</v>
      </c>
      <c r="M702" s="514">
        <v>142080</v>
      </c>
      <c r="N702" s="514">
        <v>151800</v>
      </c>
      <c r="O702" s="514">
        <v>161640</v>
      </c>
      <c r="P702" s="242"/>
      <c r="Q702" s="242"/>
    </row>
    <row r="703" spans="1:17">
      <c r="A703" s="38"/>
      <c r="B703" s="574">
        <v>1</v>
      </c>
      <c r="C703" s="571">
        <v>1785</v>
      </c>
      <c r="D703" s="571">
        <v>1912</v>
      </c>
      <c r="E703" s="571">
        <v>2295</v>
      </c>
      <c r="F703" s="571">
        <v>2652</v>
      </c>
      <c r="G703" s="571">
        <v>2960</v>
      </c>
      <c r="H703" s="571">
        <v>71400</v>
      </c>
      <c r="I703" s="571">
        <v>81600</v>
      </c>
      <c r="J703" s="571">
        <v>91800</v>
      </c>
      <c r="K703" s="571">
        <v>102000</v>
      </c>
      <c r="L703" s="571">
        <v>110200</v>
      </c>
      <c r="M703" s="571">
        <v>118400</v>
      </c>
      <c r="N703" s="571">
        <v>126500</v>
      </c>
      <c r="O703" s="571">
        <v>134700</v>
      </c>
      <c r="P703" s="242"/>
      <c r="Q703" s="242"/>
    </row>
    <row r="704" spans="1:17">
      <c r="A704" s="38" t="s">
        <v>1179</v>
      </c>
      <c r="B704" s="574">
        <v>0.8</v>
      </c>
      <c r="C704" s="571">
        <v>1428</v>
      </c>
      <c r="D704" s="571">
        <v>1530</v>
      </c>
      <c r="E704" s="571">
        <v>1836</v>
      </c>
      <c r="F704" s="571">
        <v>2122</v>
      </c>
      <c r="G704" s="571">
        <v>2368</v>
      </c>
      <c r="H704" s="572">
        <v>57120</v>
      </c>
      <c r="I704" s="572">
        <v>65280</v>
      </c>
      <c r="J704" s="572">
        <v>73440</v>
      </c>
      <c r="K704" s="572">
        <v>81600</v>
      </c>
      <c r="L704" s="572">
        <v>88160</v>
      </c>
      <c r="M704" s="572">
        <v>94720</v>
      </c>
      <c r="N704" s="572">
        <v>101200</v>
      </c>
      <c r="O704" s="572">
        <v>107760</v>
      </c>
      <c r="P704" s="242"/>
      <c r="Q704" s="242"/>
    </row>
    <row r="705" spans="1:19">
      <c r="A705" s="38"/>
      <c r="B705" s="574">
        <v>0.7</v>
      </c>
      <c r="C705" s="571">
        <v>1249</v>
      </c>
      <c r="D705" s="571">
        <v>1338</v>
      </c>
      <c r="E705" s="571">
        <v>1606</v>
      </c>
      <c r="F705" s="571">
        <v>1856</v>
      </c>
      <c r="G705" s="571">
        <v>2072</v>
      </c>
      <c r="H705" s="572">
        <v>49980</v>
      </c>
      <c r="I705" s="572">
        <v>57120</v>
      </c>
      <c r="J705" s="572">
        <v>64259.999999999993</v>
      </c>
      <c r="K705" s="572">
        <v>71400</v>
      </c>
      <c r="L705" s="572">
        <v>77140</v>
      </c>
      <c r="M705" s="572">
        <v>82880</v>
      </c>
      <c r="N705" s="572">
        <v>88550</v>
      </c>
      <c r="O705" s="572">
        <v>94290</v>
      </c>
      <c r="P705" s="242"/>
      <c r="Q705" s="242"/>
      <c r="R705" s="242"/>
      <c r="S705" s="242"/>
    </row>
    <row r="706" spans="1:19">
      <c r="A706" s="242"/>
      <c r="B706" s="574">
        <v>0.6</v>
      </c>
      <c r="C706" s="571">
        <v>1071</v>
      </c>
      <c r="D706" s="571">
        <v>1147</v>
      </c>
      <c r="E706" s="571">
        <v>1377</v>
      </c>
      <c r="F706" s="571">
        <v>1591</v>
      </c>
      <c r="G706" s="571">
        <v>1776</v>
      </c>
      <c r="H706" s="571">
        <v>42840</v>
      </c>
      <c r="I706" s="571">
        <v>48960</v>
      </c>
      <c r="J706" s="571">
        <v>55080</v>
      </c>
      <c r="K706" s="571">
        <v>61200</v>
      </c>
      <c r="L706" s="571">
        <v>66120</v>
      </c>
      <c r="M706" s="573">
        <v>71040</v>
      </c>
      <c r="N706" s="573">
        <v>75900</v>
      </c>
      <c r="O706" s="573">
        <v>80820</v>
      </c>
      <c r="P706" s="242"/>
      <c r="Q706" s="242"/>
      <c r="R706" s="242"/>
      <c r="S706" s="242"/>
    </row>
    <row r="707" spans="1:19">
      <c r="A707" s="242"/>
      <c r="B707" s="574">
        <v>0.55000000000000004</v>
      </c>
      <c r="C707" s="571">
        <v>981</v>
      </c>
      <c r="D707" s="571">
        <v>1051</v>
      </c>
      <c r="E707" s="571">
        <v>1262</v>
      </c>
      <c r="F707" s="571">
        <v>1458</v>
      </c>
      <c r="G707" s="571">
        <v>1628</v>
      </c>
      <c r="H707" s="571">
        <v>39270</v>
      </c>
      <c r="I707" s="571">
        <v>44880</v>
      </c>
      <c r="J707" s="571">
        <v>50490.000000000007</v>
      </c>
      <c r="K707" s="571">
        <v>56100.000000000007</v>
      </c>
      <c r="L707" s="571">
        <v>60610.000000000007</v>
      </c>
      <c r="M707" s="571">
        <v>65120.000000000007</v>
      </c>
      <c r="N707" s="571">
        <v>69575</v>
      </c>
      <c r="O707" s="571">
        <v>74085</v>
      </c>
      <c r="P707" s="242"/>
      <c r="Q707" s="242"/>
      <c r="R707" s="242"/>
      <c r="S707" s="242"/>
    </row>
    <row r="708" spans="1:19">
      <c r="A708" s="38"/>
      <c r="B708" s="574">
        <v>0.5</v>
      </c>
      <c r="C708" s="571">
        <v>892</v>
      </c>
      <c r="D708" s="571">
        <v>956</v>
      </c>
      <c r="E708" s="571">
        <v>1147</v>
      </c>
      <c r="F708" s="571">
        <v>1326</v>
      </c>
      <c r="G708" s="571">
        <v>1480</v>
      </c>
      <c r="H708" s="572">
        <v>35700</v>
      </c>
      <c r="I708" s="572">
        <v>40800</v>
      </c>
      <c r="J708" s="572">
        <v>45900</v>
      </c>
      <c r="K708" s="572">
        <v>51000</v>
      </c>
      <c r="L708" s="572">
        <v>55100</v>
      </c>
      <c r="M708" s="572">
        <v>59200</v>
      </c>
      <c r="N708" s="572">
        <v>63250</v>
      </c>
      <c r="O708" s="572">
        <v>67350</v>
      </c>
      <c r="P708" s="242"/>
      <c r="Q708" s="242"/>
      <c r="R708" s="242"/>
      <c r="S708" s="242"/>
    </row>
    <row r="709" spans="1:19">
      <c r="A709" s="38"/>
      <c r="B709" s="574">
        <v>0.45</v>
      </c>
      <c r="C709" s="571">
        <v>803</v>
      </c>
      <c r="D709" s="571">
        <v>860</v>
      </c>
      <c r="E709" s="571">
        <v>1032</v>
      </c>
      <c r="F709" s="571">
        <v>1193</v>
      </c>
      <c r="G709" s="571">
        <v>1332</v>
      </c>
      <c r="H709" s="571">
        <v>32130</v>
      </c>
      <c r="I709" s="571">
        <v>36720</v>
      </c>
      <c r="J709" s="571">
        <v>41310</v>
      </c>
      <c r="K709" s="571">
        <v>45900</v>
      </c>
      <c r="L709" s="571">
        <v>49590</v>
      </c>
      <c r="M709" s="573">
        <v>53280</v>
      </c>
      <c r="N709" s="573">
        <v>56925</v>
      </c>
      <c r="O709" s="573">
        <v>60615</v>
      </c>
      <c r="P709" s="242"/>
      <c r="Q709" s="242"/>
      <c r="R709" s="242"/>
      <c r="S709" s="242"/>
    </row>
    <row r="710" spans="1:19">
      <c r="A710" s="38"/>
      <c r="B710" s="574">
        <v>0.4</v>
      </c>
      <c r="C710" s="571">
        <v>714</v>
      </c>
      <c r="D710" s="571">
        <v>765</v>
      </c>
      <c r="E710" s="571">
        <v>918</v>
      </c>
      <c r="F710" s="571">
        <v>1061</v>
      </c>
      <c r="G710" s="571">
        <v>1184</v>
      </c>
      <c r="H710" s="571">
        <v>28560</v>
      </c>
      <c r="I710" s="571">
        <v>32640</v>
      </c>
      <c r="J710" s="571">
        <v>36720</v>
      </c>
      <c r="K710" s="571">
        <v>40800</v>
      </c>
      <c r="L710" s="571">
        <v>44080</v>
      </c>
      <c r="M710" s="573">
        <v>47360</v>
      </c>
      <c r="N710" s="573">
        <v>50600</v>
      </c>
      <c r="O710" s="573">
        <v>53880</v>
      </c>
      <c r="P710" s="242"/>
      <c r="Q710" s="242"/>
      <c r="R710" s="242"/>
      <c r="S710" s="242"/>
    </row>
    <row r="711" spans="1:19">
      <c r="A711" s="38"/>
      <c r="B711" s="510">
        <v>0.3</v>
      </c>
      <c r="C711" s="571">
        <v>535</v>
      </c>
      <c r="D711" s="571">
        <v>573</v>
      </c>
      <c r="E711" s="571">
        <v>688</v>
      </c>
      <c r="F711" s="571">
        <v>795</v>
      </c>
      <c r="G711" s="571">
        <v>888</v>
      </c>
      <c r="H711" s="572">
        <v>21420</v>
      </c>
      <c r="I711" s="572">
        <v>24480</v>
      </c>
      <c r="J711" s="572">
        <v>27540</v>
      </c>
      <c r="K711" s="572">
        <v>30600</v>
      </c>
      <c r="L711" s="572">
        <v>33060</v>
      </c>
      <c r="M711" s="572">
        <v>35520</v>
      </c>
      <c r="N711" s="572">
        <v>37950</v>
      </c>
      <c r="O711" s="572">
        <v>40410</v>
      </c>
      <c r="P711" s="242"/>
      <c r="Q711" s="242"/>
      <c r="R711" s="242"/>
      <c r="S711" s="242"/>
    </row>
    <row r="712" spans="1:19" ht="13.8" thickBot="1">
      <c r="A712" s="578"/>
      <c r="B712" s="40">
        <v>0.2</v>
      </c>
      <c r="C712" s="512">
        <v>357</v>
      </c>
      <c r="D712" s="512">
        <v>382</v>
      </c>
      <c r="E712" s="512">
        <v>459</v>
      </c>
      <c r="F712" s="512">
        <v>530</v>
      </c>
      <c r="G712" s="512">
        <v>592</v>
      </c>
      <c r="H712" s="513">
        <v>14280</v>
      </c>
      <c r="I712" s="513">
        <v>16320</v>
      </c>
      <c r="J712" s="513">
        <v>18360</v>
      </c>
      <c r="K712" s="513">
        <v>20400</v>
      </c>
      <c r="L712" s="513">
        <v>22040</v>
      </c>
      <c r="M712" s="513">
        <v>23680</v>
      </c>
      <c r="N712" s="513">
        <v>25300</v>
      </c>
      <c r="O712" s="513">
        <v>26940</v>
      </c>
      <c r="P712" s="242"/>
      <c r="Q712" s="242"/>
      <c r="R712" s="242"/>
      <c r="S712" s="242"/>
    </row>
    <row r="713" spans="1:19" ht="61.5" customHeight="1">
      <c r="A713" s="1198" t="s">
        <v>4119</v>
      </c>
      <c r="B713" s="1198"/>
      <c r="C713" s="1198"/>
      <c r="D713" s="1198"/>
      <c r="E713" s="1198"/>
      <c r="F713" s="1198"/>
      <c r="G713" s="1198"/>
      <c r="H713" s="1198"/>
      <c r="I713" s="1198"/>
      <c r="J713" s="1198"/>
      <c r="K713" s="1198"/>
      <c r="L713" s="1198"/>
      <c r="M713" s="1198"/>
      <c r="N713" s="1198"/>
      <c r="O713" s="1198"/>
      <c r="P713" s="1198"/>
      <c r="Q713" s="1198"/>
      <c r="R713" s="1198"/>
      <c r="S713" s="1198"/>
    </row>
    <row r="714" spans="1:19">
      <c r="A714" s="458"/>
      <c r="B714" s="242"/>
      <c r="C714" s="242"/>
      <c r="D714" s="242"/>
      <c r="E714" s="242"/>
      <c r="F714" s="242"/>
      <c r="G714" s="242"/>
      <c r="H714" s="242"/>
      <c r="I714" s="242"/>
      <c r="J714" s="242"/>
      <c r="K714" s="242"/>
      <c r="L714" s="242"/>
      <c r="M714" s="242"/>
      <c r="N714" s="242"/>
      <c r="O714" s="242"/>
      <c r="P714" s="242"/>
      <c r="Q714" s="242"/>
      <c r="R714" s="242"/>
      <c r="S714" s="242"/>
    </row>
  </sheetData>
  <sheetProtection algorithmName="SHA-512" hashValue="6E8DSX/YbV+6ispkm7+HCSRv+P7soCLMaMxzYdChNd/w1zVq/3lgJHyCvcn8ggAnzjeGK8/fWBLDX8i7yLU/Zg==" saltValue="0Budyl5SOCwt5wsOztXprA==" spinCount="100000" sheet="1" objects="1" scenarios="1"/>
  <mergeCells count="5">
    <mergeCell ref="A1:O1"/>
    <mergeCell ref="A2:O2"/>
    <mergeCell ref="A3:O3"/>
    <mergeCell ref="A4:O4"/>
    <mergeCell ref="A713:S713"/>
  </mergeCells>
  <conditionalFormatting sqref="C9:O712">
    <cfRule type="expression" dxfId="3" priority="1">
      <formula>MOD(ROW(),2)=1</formula>
    </cfRule>
  </conditionalFormatting>
  <pageMargins left="0.75" right="0.75" top="1" bottom="1" header="0.5" footer="0.5"/>
  <pageSetup paperSize="5"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7030A0"/>
  </sheetPr>
  <dimension ref="A1:AA104"/>
  <sheetViews>
    <sheetView showGridLines="0" workbookViewId="0">
      <selection activeCell="A2" sqref="A2"/>
    </sheetView>
  </sheetViews>
  <sheetFormatPr defaultRowHeight="14.4"/>
  <cols>
    <col min="1" max="1" width="10" customWidth="1"/>
    <col min="2" max="2" width="12" customWidth="1"/>
    <col min="3" max="3" width="11.109375" customWidth="1"/>
    <col min="4" max="4" width="12.109375" customWidth="1"/>
    <col min="5" max="5" width="15" customWidth="1"/>
    <col min="6" max="6" width="14.5546875" customWidth="1"/>
    <col min="7" max="7" width="15" customWidth="1"/>
    <col min="8" max="8" width="17" customWidth="1"/>
    <col min="9" max="10" width="16.5546875" customWidth="1"/>
    <col min="11" max="11" width="14.5546875" customWidth="1"/>
    <col min="12" max="12" width="17" customWidth="1"/>
    <col min="13" max="14" width="14.5546875" customWidth="1"/>
    <col min="15" max="16" width="16" customWidth="1"/>
    <col min="17" max="17" width="14.5546875" customWidth="1"/>
    <col min="18" max="18" width="16.5546875" customWidth="1"/>
    <col min="19" max="27" width="14.5546875" customWidth="1"/>
  </cols>
  <sheetData>
    <row r="1" spans="1:27" ht="21">
      <c r="A1" s="4" t="s">
        <v>1180</v>
      </c>
      <c r="B1" s="4"/>
      <c r="C1" s="4"/>
      <c r="D1" s="4"/>
      <c r="E1" s="4"/>
      <c r="F1" s="4"/>
      <c r="G1" s="4"/>
      <c r="H1" s="4"/>
      <c r="I1" s="4"/>
      <c r="J1" s="4"/>
      <c r="K1" s="4"/>
      <c r="L1" s="4"/>
      <c r="M1" s="4"/>
      <c r="N1" s="4"/>
      <c r="O1" s="4"/>
      <c r="P1" s="4"/>
      <c r="Q1" s="4"/>
      <c r="R1" s="4"/>
      <c r="S1" s="4"/>
      <c r="T1" s="4"/>
      <c r="U1" s="4"/>
      <c r="V1" s="4"/>
      <c r="W1" s="4"/>
      <c r="X1" s="4"/>
      <c r="Y1" s="4"/>
      <c r="Z1" s="4"/>
      <c r="AA1" s="4"/>
    </row>
    <row r="4" spans="1:27" ht="45" customHeight="1">
      <c r="A4" s="502" t="str">
        <f>Calculations!A708</f>
        <v>Building #</v>
      </c>
      <c r="B4" s="502" t="str">
        <f>Calculations!B708</f>
        <v>Total Units in Building</v>
      </c>
      <c r="C4" s="502" t="str">
        <f>Calculations!C708</f>
        <v>Employee Units</v>
      </c>
      <c r="D4" s="502" t="str">
        <f>Calculations!D708</f>
        <v>Low-Income Units</v>
      </c>
      <c r="E4" s="502" t="str">
        <f>Calculations!E708</f>
        <v>Residential Square Footage</v>
      </c>
      <c r="F4" s="502" t="str">
        <f>Calculations!F708</f>
        <v>Square Footage of Employee Units</v>
      </c>
      <c r="G4" s="502" t="str">
        <f>Calculations!G708</f>
        <v>Square Footage of Low-Income Units</v>
      </c>
      <c r="H4" s="502" t="str">
        <f>Calculations!H708</f>
        <v>Low-Income Unit Applicable Fraction</v>
      </c>
      <c r="I4" s="502" t="str">
        <f>Calculations!I708</f>
        <v>Square Footage Applicable Fraction</v>
      </c>
      <c r="J4" s="502" t="str">
        <f>Calculations!J708</f>
        <v xml:space="preserve">Lowest Applicable for Calculating Credit </v>
      </c>
      <c r="K4" s="502" t="str">
        <f>Calculations!K708</f>
        <v>New Construction Eligible Basis</v>
      </c>
      <c r="L4" s="502" t="str">
        <f>Calculations!L708</f>
        <v>Boosted New Con Eligible Basis</v>
      </c>
      <c r="M4" s="502" t="str">
        <f>Calculations!M708</f>
        <v>Rehab Eligible Basis</v>
      </c>
      <c r="N4" s="502" t="str">
        <f>Calculations!N708</f>
        <v>Boosted Rehab Eligible Basis</v>
      </c>
      <c r="O4" s="502" t="str">
        <f>Calculations!O708</f>
        <v>New Con/Rehab Total Eligible Basis</v>
      </c>
      <c r="P4" s="502" t="str">
        <f>Calculations!P708</f>
        <v>New Con/Rehab Total Qualified Basis</v>
      </c>
      <c r="Q4" s="502" t="str">
        <f>Calculations!Q708</f>
        <v>New Con/Rehab APR</v>
      </c>
      <c r="R4" s="502" t="str">
        <f>Calculations!R708</f>
        <v>New Con/Rehab Annual Credit Amount</v>
      </c>
      <c r="S4" s="502" t="str">
        <f>Calculations!S708</f>
        <v>Total Acquisition Eligible Basis</v>
      </c>
      <c r="T4" s="502" t="str">
        <f>Calculations!T708</f>
        <v>Acq Total Qualified Basis</v>
      </c>
      <c r="U4" s="502" t="str">
        <f>Calculations!U708</f>
        <v>Acq APR</v>
      </c>
      <c r="V4" s="502" t="str">
        <f>Calculations!V708</f>
        <v>Acq Annual Credit Amount</v>
      </c>
      <c r="W4" s="502" t="str">
        <f>Calculations!W708</f>
        <v>New Con/Rehab Applicable Percentage</v>
      </c>
      <c r="X4" s="502" t="str">
        <f>Calculations!X708</f>
        <v>Acq Applicable Percentage</v>
      </c>
      <c r="Y4" s="502" t="str">
        <f>Calculations!Y708</f>
        <v>Applicable Fraction Sq Footage</v>
      </c>
      <c r="Z4" s="502" t="str">
        <f>Calculations!Z708</f>
        <v>Applicable Fraction LI Units</v>
      </c>
      <c r="AA4" s="502" t="str">
        <f>Calculations!AA708</f>
        <v>Lowest Applicable Fraction</v>
      </c>
    </row>
    <row r="5" spans="1:27">
      <c r="A5" s="3">
        <f>Calculations!A709</f>
        <v>1</v>
      </c>
      <c r="B5">
        <f>Calculations!B709</f>
        <v>0</v>
      </c>
      <c r="C5">
        <f>Calculations!C709</f>
        <v>0</v>
      </c>
      <c r="D5">
        <f>Calculations!D709</f>
        <v>0</v>
      </c>
      <c r="E5" s="265">
        <f>Calculations!E709</f>
        <v>0</v>
      </c>
      <c r="F5" s="265">
        <f>Calculations!F709</f>
        <v>0</v>
      </c>
      <c r="G5" s="265">
        <f>Calculations!G709</f>
        <v>0</v>
      </c>
      <c r="H5" s="197">
        <f>Calculations!H709</f>
        <v>0</v>
      </c>
      <c r="I5" s="197">
        <f>Calculations!I709</f>
        <v>0</v>
      </c>
      <c r="J5" s="137">
        <f>Calculations!J709</f>
        <v>0</v>
      </c>
      <c r="K5" s="66">
        <f>Calculations!K709</f>
        <v>0</v>
      </c>
      <c r="L5" s="66">
        <f>Calculations!L709</f>
        <v>0</v>
      </c>
      <c r="M5">
        <f>Calculations!M709</f>
        <v>0</v>
      </c>
      <c r="N5" s="66">
        <f>Calculations!N709</f>
        <v>0</v>
      </c>
      <c r="O5" s="66">
        <f>Calculations!O709</f>
        <v>0</v>
      </c>
      <c r="P5" s="66">
        <f>Calculations!P709</f>
        <v>0</v>
      </c>
      <c r="Q5" s="204">
        <f>Calculations!Q709</f>
        <v>0</v>
      </c>
      <c r="R5" s="66">
        <f>Calculations!R709</f>
        <v>0</v>
      </c>
      <c r="S5" s="65">
        <f>Calculations!S709</f>
        <v>0</v>
      </c>
      <c r="T5" s="65">
        <f>Calculations!T709</f>
        <v>0</v>
      </c>
      <c r="U5" s="204">
        <f>Calculations!U709</f>
        <v>0</v>
      </c>
      <c r="V5" s="65">
        <f>Calculations!V709</f>
        <v>0</v>
      </c>
      <c r="W5" s="266">
        <f>Calculations!W709</f>
        <v>0</v>
      </c>
      <c r="X5" s="266">
        <f>Calculations!X709</f>
        <v>0</v>
      </c>
      <c r="Y5" s="266" t="e">
        <f>Calculations!Y709</f>
        <v>#DIV/0!</v>
      </c>
      <c r="Z5" s="266" t="e">
        <f>Calculations!Z709</f>
        <v>#DIV/0!</v>
      </c>
      <c r="AA5" s="266" t="e">
        <f>Calculations!AA709</f>
        <v>#DIV/0!</v>
      </c>
    </row>
    <row r="6" spans="1:27">
      <c r="A6" s="3">
        <f>Calculations!A710</f>
        <v>2</v>
      </c>
      <c r="B6">
        <f>Calculations!B710</f>
        <v>0</v>
      </c>
      <c r="C6">
        <f>Calculations!C710</f>
        <v>0</v>
      </c>
      <c r="D6">
        <f>Calculations!D710</f>
        <v>0</v>
      </c>
      <c r="E6" s="265">
        <f>Calculations!E710</f>
        <v>0</v>
      </c>
      <c r="F6" s="265">
        <f>Calculations!F710</f>
        <v>0</v>
      </c>
      <c r="G6" s="265">
        <f>Calculations!G710</f>
        <v>0</v>
      </c>
      <c r="H6" s="197">
        <f>Calculations!H710</f>
        <v>0</v>
      </c>
      <c r="I6" s="197">
        <f>Calculations!I710</f>
        <v>0</v>
      </c>
      <c r="J6" s="137">
        <f>Calculations!J710</f>
        <v>0</v>
      </c>
      <c r="K6" s="66">
        <f>Calculations!K710</f>
        <v>0</v>
      </c>
      <c r="L6" s="66">
        <f>Calculations!L710</f>
        <v>0</v>
      </c>
      <c r="M6">
        <f>Calculations!M710</f>
        <v>0</v>
      </c>
      <c r="N6" s="66">
        <f>Calculations!N710</f>
        <v>0</v>
      </c>
      <c r="O6" s="66">
        <f>Calculations!O710</f>
        <v>0</v>
      </c>
      <c r="P6" s="66">
        <f>Calculations!P710</f>
        <v>0</v>
      </c>
      <c r="Q6" s="204">
        <f>Calculations!Q710</f>
        <v>0</v>
      </c>
      <c r="R6" s="66">
        <f>Calculations!R710</f>
        <v>0</v>
      </c>
      <c r="S6" s="65">
        <f>Calculations!S710</f>
        <v>0</v>
      </c>
      <c r="T6" s="65">
        <f>Calculations!T710</f>
        <v>0</v>
      </c>
      <c r="U6" s="204">
        <f>Calculations!U710</f>
        <v>0</v>
      </c>
      <c r="V6" s="65">
        <f>Calculations!V710</f>
        <v>0</v>
      </c>
      <c r="W6" s="266">
        <f>Calculations!W710</f>
        <v>0</v>
      </c>
      <c r="X6" s="266">
        <f>Calculations!X710</f>
        <v>0</v>
      </c>
      <c r="Y6" s="266" t="e">
        <f>Calculations!Y710</f>
        <v>#DIV/0!</v>
      </c>
      <c r="Z6" s="266" t="e">
        <f>Calculations!Z710</f>
        <v>#DIV/0!</v>
      </c>
      <c r="AA6" s="266" t="e">
        <f>Calculations!AA710</f>
        <v>#DIV/0!</v>
      </c>
    </row>
    <row r="7" spans="1:27">
      <c r="A7" s="3">
        <f>Calculations!A711</f>
        <v>3</v>
      </c>
      <c r="B7">
        <f>Calculations!B711</f>
        <v>0</v>
      </c>
      <c r="C7">
        <f>Calculations!C711</f>
        <v>0</v>
      </c>
      <c r="D7">
        <f>Calculations!D711</f>
        <v>0</v>
      </c>
      <c r="E7" s="265">
        <f>Calculations!E711</f>
        <v>0</v>
      </c>
      <c r="F7" s="265">
        <f>Calculations!F711</f>
        <v>0</v>
      </c>
      <c r="G7" s="265">
        <f>Calculations!G711</f>
        <v>0</v>
      </c>
      <c r="H7" s="197">
        <f>Calculations!H711</f>
        <v>0</v>
      </c>
      <c r="I7" s="197">
        <f>Calculations!I711</f>
        <v>0</v>
      </c>
      <c r="J7" s="137">
        <f>Calculations!J711</f>
        <v>0</v>
      </c>
      <c r="K7" s="66">
        <f>Calculations!K711</f>
        <v>0</v>
      </c>
      <c r="L7" s="66">
        <f>Calculations!L711</f>
        <v>0</v>
      </c>
      <c r="M7">
        <f>Calculations!M711</f>
        <v>0</v>
      </c>
      <c r="N7" s="66">
        <f>Calculations!N711</f>
        <v>0</v>
      </c>
      <c r="O7" s="66">
        <f>Calculations!O711</f>
        <v>0</v>
      </c>
      <c r="P7" s="66">
        <f>Calculations!P711</f>
        <v>0</v>
      </c>
      <c r="Q7" s="204">
        <f>Calculations!Q711</f>
        <v>0</v>
      </c>
      <c r="R7" s="66">
        <f>Calculations!R711</f>
        <v>0</v>
      </c>
      <c r="S7" s="65">
        <f>Calculations!S711</f>
        <v>0</v>
      </c>
      <c r="T7" s="65">
        <f>Calculations!T711</f>
        <v>0</v>
      </c>
      <c r="U7" s="204">
        <f>Calculations!U711</f>
        <v>0</v>
      </c>
      <c r="V7" s="65">
        <f>Calculations!V711</f>
        <v>0</v>
      </c>
      <c r="W7" s="266">
        <f>Calculations!W711</f>
        <v>0</v>
      </c>
      <c r="X7" s="266">
        <f>Calculations!X711</f>
        <v>0</v>
      </c>
      <c r="Y7" s="266" t="e">
        <f>Calculations!Y711</f>
        <v>#DIV/0!</v>
      </c>
      <c r="Z7" s="266" t="e">
        <f>Calculations!Z711</f>
        <v>#DIV/0!</v>
      </c>
      <c r="AA7" s="266" t="e">
        <f>Calculations!AA711</f>
        <v>#DIV/0!</v>
      </c>
    </row>
    <row r="8" spans="1:27">
      <c r="A8" s="3">
        <f>Calculations!A712</f>
        <v>4</v>
      </c>
      <c r="B8">
        <f>Calculations!B712</f>
        <v>0</v>
      </c>
      <c r="C8">
        <f>Calculations!C712</f>
        <v>0</v>
      </c>
      <c r="D8">
        <f>Calculations!D712</f>
        <v>0</v>
      </c>
      <c r="E8" s="265">
        <f>Calculations!E712</f>
        <v>0</v>
      </c>
      <c r="F8" s="265">
        <f>Calculations!F712</f>
        <v>0</v>
      </c>
      <c r="G8" s="265">
        <f>Calculations!G712</f>
        <v>0</v>
      </c>
      <c r="H8" s="197">
        <f>Calculations!H712</f>
        <v>0</v>
      </c>
      <c r="I8" s="197">
        <f>Calculations!I712</f>
        <v>0</v>
      </c>
      <c r="J8" s="137">
        <f>Calculations!J712</f>
        <v>0</v>
      </c>
      <c r="K8" s="66">
        <f>Calculations!K712</f>
        <v>0</v>
      </c>
      <c r="L8" s="66">
        <f>Calculations!L712</f>
        <v>0</v>
      </c>
      <c r="M8">
        <f>Calculations!M712</f>
        <v>0</v>
      </c>
      <c r="N8" s="66">
        <f>Calculations!N712</f>
        <v>0</v>
      </c>
      <c r="O8" s="66">
        <f>Calculations!O712</f>
        <v>0</v>
      </c>
      <c r="P8" s="66">
        <f>Calculations!P712</f>
        <v>0</v>
      </c>
      <c r="Q8" s="204">
        <f>Calculations!Q712</f>
        <v>0</v>
      </c>
      <c r="R8" s="66">
        <f>Calculations!R712</f>
        <v>0</v>
      </c>
      <c r="S8" s="65">
        <f>Calculations!S712</f>
        <v>0</v>
      </c>
      <c r="T8" s="65">
        <f>Calculations!T712</f>
        <v>0</v>
      </c>
      <c r="U8" s="204">
        <f>Calculations!U712</f>
        <v>0</v>
      </c>
      <c r="V8" s="65">
        <f>Calculations!V712</f>
        <v>0</v>
      </c>
      <c r="W8" s="266">
        <f>Calculations!W712</f>
        <v>0</v>
      </c>
      <c r="X8" s="266">
        <f>Calculations!X712</f>
        <v>0</v>
      </c>
      <c r="Y8" s="266" t="e">
        <f>Calculations!Y712</f>
        <v>#DIV/0!</v>
      </c>
      <c r="Z8" s="266" t="e">
        <f>Calculations!Z712</f>
        <v>#DIV/0!</v>
      </c>
      <c r="AA8" s="266" t="e">
        <f>Calculations!AA712</f>
        <v>#DIV/0!</v>
      </c>
    </row>
    <row r="9" spans="1:27">
      <c r="A9" s="3">
        <f>Calculations!A713</f>
        <v>5</v>
      </c>
      <c r="B9">
        <f>Calculations!B713</f>
        <v>0</v>
      </c>
      <c r="C9">
        <f>Calculations!C713</f>
        <v>0</v>
      </c>
      <c r="D9">
        <f>Calculations!D713</f>
        <v>0</v>
      </c>
      <c r="E9" s="265">
        <f>Calculations!E713</f>
        <v>0</v>
      </c>
      <c r="F9" s="265">
        <f>Calculations!F713</f>
        <v>0</v>
      </c>
      <c r="G9" s="265">
        <f>Calculations!G713</f>
        <v>0</v>
      </c>
      <c r="H9" s="197">
        <f>Calculations!H713</f>
        <v>0</v>
      </c>
      <c r="I9" s="197">
        <f>Calculations!I713</f>
        <v>0</v>
      </c>
      <c r="J9" s="137">
        <f>Calculations!J713</f>
        <v>0</v>
      </c>
      <c r="K9" s="66">
        <f>Calculations!K713</f>
        <v>0</v>
      </c>
      <c r="L9" s="66">
        <f>Calculations!L713</f>
        <v>0</v>
      </c>
      <c r="M9">
        <f>Calculations!M713</f>
        <v>0</v>
      </c>
      <c r="N9" s="66">
        <f>Calculations!N713</f>
        <v>0</v>
      </c>
      <c r="O9" s="66">
        <f>Calculations!O713</f>
        <v>0</v>
      </c>
      <c r="P9" s="66">
        <f>Calculations!P713</f>
        <v>0</v>
      </c>
      <c r="Q9" s="204">
        <f>Calculations!Q713</f>
        <v>0</v>
      </c>
      <c r="R9" s="66">
        <f>Calculations!R713</f>
        <v>0</v>
      </c>
      <c r="S9" s="65">
        <f>Calculations!S713</f>
        <v>0</v>
      </c>
      <c r="T9" s="65">
        <f>Calculations!T713</f>
        <v>0</v>
      </c>
      <c r="U9" s="204">
        <f>Calculations!U713</f>
        <v>0</v>
      </c>
      <c r="V9" s="65">
        <f>Calculations!V713</f>
        <v>0</v>
      </c>
      <c r="W9" s="266">
        <f>Calculations!W713</f>
        <v>0</v>
      </c>
      <c r="X9" s="266">
        <f>Calculations!X713</f>
        <v>0</v>
      </c>
      <c r="Y9" s="266" t="e">
        <f>Calculations!Y713</f>
        <v>#DIV/0!</v>
      </c>
      <c r="Z9" s="266" t="e">
        <f>Calculations!Z713</f>
        <v>#DIV/0!</v>
      </c>
      <c r="AA9" s="266" t="e">
        <f>Calculations!AA713</f>
        <v>#DIV/0!</v>
      </c>
    </row>
    <row r="10" spans="1:27">
      <c r="A10" s="3">
        <f>Calculations!A714</f>
        <v>6</v>
      </c>
      <c r="B10">
        <f>Calculations!B714</f>
        <v>0</v>
      </c>
      <c r="C10">
        <f>Calculations!C714</f>
        <v>0</v>
      </c>
      <c r="D10">
        <f>Calculations!D714</f>
        <v>0</v>
      </c>
      <c r="E10" s="265">
        <f>Calculations!E714</f>
        <v>0</v>
      </c>
      <c r="F10" s="265">
        <f>Calculations!F714</f>
        <v>0</v>
      </c>
      <c r="G10" s="265">
        <f>Calculations!G714</f>
        <v>0</v>
      </c>
      <c r="H10" s="197">
        <f>Calculations!H714</f>
        <v>0</v>
      </c>
      <c r="I10" s="197">
        <f>Calculations!I714</f>
        <v>0</v>
      </c>
      <c r="J10" s="137">
        <f>Calculations!J714</f>
        <v>0</v>
      </c>
      <c r="K10" s="66">
        <f>Calculations!K714</f>
        <v>0</v>
      </c>
      <c r="L10" s="66">
        <f>Calculations!L714</f>
        <v>0</v>
      </c>
      <c r="M10">
        <f>Calculations!M714</f>
        <v>0</v>
      </c>
      <c r="N10" s="66">
        <f>Calculations!N714</f>
        <v>0</v>
      </c>
      <c r="O10" s="66">
        <f>Calculations!O714</f>
        <v>0</v>
      </c>
      <c r="P10" s="66">
        <f>Calculations!P714</f>
        <v>0</v>
      </c>
      <c r="Q10" s="204">
        <f>Calculations!Q714</f>
        <v>0</v>
      </c>
      <c r="R10" s="66">
        <f>Calculations!R714</f>
        <v>0</v>
      </c>
      <c r="S10" s="65">
        <f>Calculations!S714</f>
        <v>0</v>
      </c>
      <c r="T10" s="65">
        <f>Calculations!T714</f>
        <v>0</v>
      </c>
      <c r="U10" s="204">
        <f>Calculations!U714</f>
        <v>0</v>
      </c>
      <c r="V10" s="65">
        <f>Calculations!V714</f>
        <v>0</v>
      </c>
      <c r="W10" s="266">
        <f>Calculations!W714</f>
        <v>0</v>
      </c>
      <c r="X10" s="266">
        <f>Calculations!X714</f>
        <v>0</v>
      </c>
      <c r="Y10" s="266" t="e">
        <f>Calculations!Y714</f>
        <v>#DIV/0!</v>
      </c>
      <c r="Z10" s="266" t="e">
        <f>Calculations!Z714</f>
        <v>#DIV/0!</v>
      </c>
      <c r="AA10" s="266" t="e">
        <f>Calculations!AA714</f>
        <v>#DIV/0!</v>
      </c>
    </row>
    <row r="11" spans="1:27">
      <c r="A11" s="3">
        <f>Calculations!A715</f>
        <v>7</v>
      </c>
      <c r="B11">
        <f>Calculations!B715</f>
        <v>0</v>
      </c>
      <c r="C11">
        <f>Calculations!C715</f>
        <v>0</v>
      </c>
      <c r="D11">
        <f>Calculations!D715</f>
        <v>0</v>
      </c>
      <c r="E11" s="265">
        <f>Calculations!E715</f>
        <v>0</v>
      </c>
      <c r="F11" s="265">
        <f>Calculations!F715</f>
        <v>0</v>
      </c>
      <c r="G11" s="265">
        <f>Calculations!G715</f>
        <v>0</v>
      </c>
      <c r="H11" s="197">
        <f>Calculations!H715</f>
        <v>0</v>
      </c>
      <c r="I11" s="197">
        <f>Calculations!I715</f>
        <v>0</v>
      </c>
      <c r="J11" s="137">
        <f>Calculations!J715</f>
        <v>0</v>
      </c>
      <c r="K11" s="66">
        <f>Calculations!K715</f>
        <v>0</v>
      </c>
      <c r="L11" s="66">
        <f>Calculations!L715</f>
        <v>0</v>
      </c>
      <c r="M11">
        <f>Calculations!M715</f>
        <v>0</v>
      </c>
      <c r="N11" s="66">
        <f>Calculations!N715</f>
        <v>0</v>
      </c>
      <c r="O11" s="66">
        <f>Calculations!O715</f>
        <v>0</v>
      </c>
      <c r="P11" s="66">
        <f>Calculations!P715</f>
        <v>0</v>
      </c>
      <c r="Q11" s="204">
        <f>Calculations!Q715</f>
        <v>0</v>
      </c>
      <c r="R11" s="66">
        <f>Calculations!R715</f>
        <v>0</v>
      </c>
      <c r="S11" s="65">
        <f>Calculations!S715</f>
        <v>0</v>
      </c>
      <c r="T11" s="65">
        <f>Calculations!T715</f>
        <v>0</v>
      </c>
      <c r="U11" s="204">
        <f>Calculations!U715</f>
        <v>0</v>
      </c>
      <c r="V11" s="65">
        <f>Calculations!V715</f>
        <v>0</v>
      </c>
      <c r="W11" s="266">
        <f>Calculations!W715</f>
        <v>0</v>
      </c>
      <c r="X11" s="266">
        <f>Calculations!X715</f>
        <v>0</v>
      </c>
      <c r="Y11" s="266" t="e">
        <f>Calculations!Y715</f>
        <v>#DIV/0!</v>
      </c>
      <c r="Z11" s="266" t="e">
        <f>Calculations!Z715</f>
        <v>#DIV/0!</v>
      </c>
      <c r="AA11" s="266" t="e">
        <f>Calculations!AA715</f>
        <v>#DIV/0!</v>
      </c>
    </row>
    <row r="12" spans="1:27">
      <c r="A12" s="3">
        <f>Calculations!A716</f>
        <v>8</v>
      </c>
      <c r="B12">
        <f>Calculations!B716</f>
        <v>0</v>
      </c>
      <c r="C12">
        <f>Calculations!C716</f>
        <v>0</v>
      </c>
      <c r="D12">
        <f>Calculations!D716</f>
        <v>0</v>
      </c>
      <c r="E12" s="265">
        <f>Calculations!E716</f>
        <v>0</v>
      </c>
      <c r="F12" s="265">
        <f>Calculations!F716</f>
        <v>0</v>
      </c>
      <c r="G12" s="265">
        <f>Calculations!G716</f>
        <v>0</v>
      </c>
      <c r="H12" s="197">
        <f>Calculations!H716</f>
        <v>0</v>
      </c>
      <c r="I12" s="197">
        <f>Calculations!I716</f>
        <v>0</v>
      </c>
      <c r="J12" s="137">
        <f>Calculations!J716</f>
        <v>0</v>
      </c>
      <c r="K12" s="66">
        <f>Calculations!K716</f>
        <v>0</v>
      </c>
      <c r="L12" s="66">
        <f>Calculations!L716</f>
        <v>0</v>
      </c>
      <c r="M12">
        <f>Calculations!M716</f>
        <v>0</v>
      </c>
      <c r="N12" s="66">
        <f>Calculations!N716</f>
        <v>0</v>
      </c>
      <c r="O12" s="66">
        <f>Calculations!O716</f>
        <v>0</v>
      </c>
      <c r="P12" s="66">
        <f>Calculations!P716</f>
        <v>0</v>
      </c>
      <c r="Q12" s="204">
        <f>Calculations!Q716</f>
        <v>0</v>
      </c>
      <c r="R12" s="66">
        <f>Calculations!R716</f>
        <v>0</v>
      </c>
      <c r="S12" s="65">
        <f>Calculations!S716</f>
        <v>0</v>
      </c>
      <c r="T12" s="65">
        <f>Calculations!T716</f>
        <v>0</v>
      </c>
      <c r="U12" s="204">
        <f>Calculations!U716</f>
        <v>0</v>
      </c>
      <c r="V12" s="65">
        <f>Calculations!V716</f>
        <v>0</v>
      </c>
      <c r="W12" s="266">
        <f>Calculations!W716</f>
        <v>0</v>
      </c>
      <c r="X12" s="266">
        <f>Calculations!X716</f>
        <v>0</v>
      </c>
      <c r="Y12" s="266" t="e">
        <f>Calculations!Y716</f>
        <v>#DIV/0!</v>
      </c>
      <c r="Z12" s="266" t="e">
        <f>Calculations!Z716</f>
        <v>#DIV/0!</v>
      </c>
      <c r="AA12" s="266" t="e">
        <f>Calculations!AA716</f>
        <v>#DIV/0!</v>
      </c>
    </row>
    <row r="13" spans="1:27">
      <c r="A13" s="3">
        <f>Calculations!A717</f>
        <v>9</v>
      </c>
      <c r="B13">
        <f>Calculations!B717</f>
        <v>0</v>
      </c>
      <c r="C13">
        <f>Calculations!C717</f>
        <v>0</v>
      </c>
      <c r="D13">
        <f>Calculations!D717</f>
        <v>0</v>
      </c>
      <c r="E13" s="265">
        <f>Calculations!E717</f>
        <v>0</v>
      </c>
      <c r="F13" s="265">
        <f>Calculations!F717</f>
        <v>0</v>
      </c>
      <c r="G13" s="265">
        <f>Calculations!G717</f>
        <v>0</v>
      </c>
      <c r="H13" s="197">
        <f>Calculations!H717</f>
        <v>0</v>
      </c>
      <c r="I13" s="197">
        <f>Calculations!I717</f>
        <v>0</v>
      </c>
      <c r="J13" s="137">
        <f>Calculations!J717</f>
        <v>0</v>
      </c>
      <c r="K13" s="66">
        <f>Calculations!K717</f>
        <v>0</v>
      </c>
      <c r="L13" s="66">
        <f>Calculations!L717</f>
        <v>0</v>
      </c>
      <c r="M13">
        <f>Calculations!M717</f>
        <v>0</v>
      </c>
      <c r="N13" s="66">
        <f>Calculations!N717</f>
        <v>0</v>
      </c>
      <c r="O13" s="66">
        <f>Calculations!O717</f>
        <v>0</v>
      </c>
      <c r="P13" s="66">
        <f>Calculations!P717</f>
        <v>0</v>
      </c>
      <c r="Q13" s="204">
        <f>Calculations!Q717</f>
        <v>0</v>
      </c>
      <c r="R13" s="66">
        <f>Calculations!R717</f>
        <v>0</v>
      </c>
      <c r="S13" s="65">
        <f>Calculations!S717</f>
        <v>0</v>
      </c>
      <c r="T13" s="65">
        <f>Calculations!T717</f>
        <v>0</v>
      </c>
      <c r="U13" s="204">
        <f>Calculations!U717</f>
        <v>0</v>
      </c>
      <c r="V13" s="65">
        <f>Calculations!V717</f>
        <v>0</v>
      </c>
      <c r="W13" s="266">
        <f>Calculations!W717</f>
        <v>0</v>
      </c>
      <c r="X13" s="266">
        <f>Calculations!X717</f>
        <v>0</v>
      </c>
      <c r="Y13" s="266" t="e">
        <f>Calculations!Y717</f>
        <v>#DIV/0!</v>
      </c>
      <c r="Z13" s="266" t="e">
        <f>Calculations!Z717</f>
        <v>#DIV/0!</v>
      </c>
      <c r="AA13" s="266" t="e">
        <f>Calculations!AA717</f>
        <v>#DIV/0!</v>
      </c>
    </row>
    <row r="14" spans="1:27">
      <c r="A14" s="3">
        <f>Calculations!A718</f>
        <v>10</v>
      </c>
      <c r="B14">
        <f>Calculations!B718</f>
        <v>0</v>
      </c>
      <c r="C14">
        <f>Calculations!C718</f>
        <v>0</v>
      </c>
      <c r="D14">
        <f>Calculations!D718</f>
        <v>0</v>
      </c>
      <c r="E14" s="265">
        <f>Calculations!E718</f>
        <v>0</v>
      </c>
      <c r="F14" s="265">
        <f>Calculations!F718</f>
        <v>0</v>
      </c>
      <c r="G14" s="265">
        <f>Calculations!G718</f>
        <v>0</v>
      </c>
      <c r="H14" s="197">
        <f>Calculations!H718</f>
        <v>0</v>
      </c>
      <c r="I14" s="197">
        <f>Calculations!I718</f>
        <v>0</v>
      </c>
      <c r="J14" s="137">
        <f>Calculations!J718</f>
        <v>0</v>
      </c>
      <c r="K14" s="66">
        <f>Calculations!K718</f>
        <v>0</v>
      </c>
      <c r="L14" s="66">
        <f>Calculations!L718</f>
        <v>0</v>
      </c>
      <c r="M14">
        <f>Calculations!M718</f>
        <v>0</v>
      </c>
      <c r="N14" s="66">
        <f>Calculations!N718</f>
        <v>0</v>
      </c>
      <c r="O14" s="66">
        <f>Calculations!O718</f>
        <v>0</v>
      </c>
      <c r="P14" s="66">
        <f>Calculations!P718</f>
        <v>0</v>
      </c>
      <c r="Q14" s="204">
        <f>Calculations!Q718</f>
        <v>0</v>
      </c>
      <c r="R14" s="66">
        <f>Calculations!R718</f>
        <v>0</v>
      </c>
      <c r="S14" s="65">
        <f>Calculations!S718</f>
        <v>0</v>
      </c>
      <c r="T14" s="65">
        <f>Calculations!T718</f>
        <v>0</v>
      </c>
      <c r="U14" s="204">
        <f>Calculations!U718</f>
        <v>0</v>
      </c>
      <c r="V14" s="65">
        <f>Calculations!V718</f>
        <v>0</v>
      </c>
      <c r="W14" s="266">
        <f>Calculations!W718</f>
        <v>0</v>
      </c>
      <c r="X14" s="266">
        <f>Calculations!X718</f>
        <v>0</v>
      </c>
      <c r="Y14" s="266" t="e">
        <f>Calculations!Y718</f>
        <v>#DIV/0!</v>
      </c>
      <c r="Z14" s="266" t="e">
        <f>Calculations!Z718</f>
        <v>#DIV/0!</v>
      </c>
      <c r="AA14" s="266" t="e">
        <f>Calculations!AA718</f>
        <v>#DIV/0!</v>
      </c>
    </row>
    <row r="15" spans="1:27">
      <c r="A15" s="3">
        <f>Calculations!A719</f>
        <v>11</v>
      </c>
      <c r="B15">
        <f>Calculations!B719</f>
        <v>0</v>
      </c>
      <c r="C15">
        <f>Calculations!C719</f>
        <v>0</v>
      </c>
      <c r="D15">
        <f>Calculations!D719</f>
        <v>0</v>
      </c>
      <c r="E15" s="265">
        <f>Calculations!E719</f>
        <v>0</v>
      </c>
      <c r="F15" s="265">
        <f>Calculations!F719</f>
        <v>0</v>
      </c>
      <c r="G15" s="265">
        <f>Calculations!G719</f>
        <v>0</v>
      </c>
      <c r="H15" s="197">
        <f>Calculations!H719</f>
        <v>0</v>
      </c>
      <c r="I15" s="197">
        <f>Calculations!I719</f>
        <v>0</v>
      </c>
      <c r="J15" s="137">
        <f>Calculations!J719</f>
        <v>0</v>
      </c>
      <c r="K15" s="66">
        <f>Calculations!K719</f>
        <v>0</v>
      </c>
      <c r="L15" s="66">
        <f>Calculations!L719</f>
        <v>0</v>
      </c>
      <c r="M15">
        <f>Calculations!M719</f>
        <v>0</v>
      </c>
      <c r="N15" s="66">
        <f>Calculations!N719</f>
        <v>0</v>
      </c>
      <c r="O15" s="66">
        <f>Calculations!O719</f>
        <v>0</v>
      </c>
      <c r="P15" s="66">
        <f>Calculations!P719</f>
        <v>0</v>
      </c>
      <c r="Q15" s="204">
        <f>Calculations!Q719</f>
        <v>0</v>
      </c>
      <c r="R15" s="66">
        <f>Calculations!R719</f>
        <v>0</v>
      </c>
      <c r="S15" s="65">
        <f>Calculations!S719</f>
        <v>0</v>
      </c>
      <c r="T15" s="65">
        <f>Calculations!T719</f>
        <v>0</v>
      </c>
      <c r="U15" s="204">
        <f>Calculations!U719</f>
        <v>0</v>
      </c>
      <c r="V15" s="65">
        <f>Calculations!V719</f>
        <v>0</v>
      </c>
      <c r="W15" s="266">
        <f>Calculations!W719</f>
        <v>0</v>
      </c>
      <c r="X15" s="266">
        <f>Calculations!X719</f>
        <v>0</v>
      </c>
      <c r="Y15" s="266" t="e">
        <f>Calculations!Y719</f>
        <v>#DIV/0!</v>
      </c>
      <c r="Z15" s="266" t="e">
        <f>Calculations!Z719</f>
        <v>#DIV/0!</v>
      </c>
      <c r="AA15" s="266" t="e">
        <f>Calculations!AA719</f>
        <v>#DIV/0!</v>
      </c>
    </row>
    <row r="16" spans="1:27">
      <c r="A16" s="3">
        <f>Calculations!A720</f>
        <v>12</v>
      </c>
      <c r="B16">
        <f>Calculations!B720</f>
        <v>0</v>
      </c>
      <c r="C16">
        <f>Calculations!C720</f>
        <v>0</v>
      </c>
      <c r="D16">
        <f>Calculations!D720</f>
        <v>0</v>
      </c>
      <c r="E16" s="265">
        <f>Calculations!E720</f>
        <v>0</v>
      </c>
      <c r="F16" s="265">
        <f>Calculations!F720</f>
        <v>0</v>
      </c>
      <c r="G16" s="265">
        <f>Calculations!G720</f>
        <v>0</v>
      </c>
      <c r="H16" s="197">
        <f>Calculations!H720</f>
        <v>0</v>
      </c>
      <c r="I16" s="197">
        <f>Calculations!I720</f>
        <v>0</v>
      </c>
      <c r="J16" s="137">
        <f>Calculations!J720</f>
        <v>0</v>
      </c>
      <c r="K16" s="66">
        <f>Calculations!K720</f>
        <v>0</v>
      </c>
      <c r="L16" s="66">
        <f>Calculations!L720</f>
        <v>0</v>
      </c>
      <c r="M16">
        <f>Calculations!M720</f>
        <v>0</v>
      </c>
      <c r="N16" s="66">
        <f>Calculations!N720</f>
        <v>0</v>
      </c>
      <c r="O16" s="66">
        <f>Calculations!O720</f>
        <v>0</v>
      </c>
      <c r="P16" s="66">
        <f>Calculations!P720</f>
        <v>0</v>
      </c>
      <c r="Q16" s="204">
        <f>Calculations!Q720</f>
        <v>0</v>
      </c>
      <c r="R16" s="66">
        <f>Calculations!R720</f>
        <v>0</v>
      </c>
      <c r="S16" s="65">
        <f>Calculations!S720</f>
        <v>0</v>
      </c>
      <c r="T16" s="65">
        <f>Calculations!T720</f>
        <v>0</v>
      </c>
      <c r="U16" s="204">
        <f>Calculations!U720</f>
        <v>0</v>
      </c>
      <c r="V16" s="65">
        <f>Calculations!V720</f>
        <v>0</v>
      </c>
      <c r="W16" s="266">
        <f>Calculations!W720</f>
        <v>0</v>
      </c>
      <c r="X16" s="266">
        <f>Calculations!X720</f>
        <v>0</v>
      </c>
      <c r="Y16" s="266" t="e">
        <f>Calculations!Y720</f>
        <v>#DIV/0!</v>
      </c>
      <c r="Z16" s="266" t="e">
        <f>Calculations!Z720</f>
        <v>#DIV/0!</v>
      </c>
      <c r="AA16" s="266" t="e">
        <f>Calculations!AA720</f>
        <v>#DIV/0!</v>
      </c>
    </row>
    <row r="17" spans="1:27">
      <c r="A17" s="3">
        <f>Calculations!A721</f>
        <v>13</v>
      </c>
      <c r="B17">
        <f>Calculations!B721</f>
        <v>0</v>
      </c>
      <c r="C17">
        <f>Calculations!C721</f>
        <v>0</v>
      </c>
      <c r="D17">
        <f>Calculations!D721</f>
        <v>0</v>
      </c>
      <c r="E17" s="265">
        <f>Calculations!E721</f>
        <v>0</v>
      </c>
      <c r="F17" s="265">
        <f>Calculations!F721</f>
        <v>0</v>
      </c>
      <c r="G17" s="265">
        <f>Calculations!G721</f>
        <v>0</v>
      </c>
      <c r="H17" s="197">
        <f>Calculations!H721</f>
        <v>0</v>
      </c>
      <c r="I17" s="197">
        <f>Calculations!I721</f>
        <v>0</v>
      </c>
      <c r="J17" s="137">
        <f>Calculations!J721</f>
        <v>0</v>
      </c>
      <c r="K17" s="66">
        <f>Calculations!K721</f>
        <v>0</v>
      </c>
      <c r="L17" s="66">
        <f>Calculations!L721</f>
        <v>0</v>
      </c>
      <c r="M17">
        <f>Calculations!M721</f>
        <v>0</v>
      </c>
      <c r="N17" s="66">
        <f>Calculations!N721</f>
        <v>0</v>
      </c>
      <c r="O17" s="66">
        <f>Calculations!O721</f>
        <v>0</v>
      </c>
      <c r="P17" s="66">
        <f>Calculations!P721</f>
        <v>0</v>
      </c>
      <c r="Q17" s="204">
        <f>Calculations!Q721</f>
        <v>0</v>
      </c>
      <c r="R17" s="66">
        <f>Calculations!R721</f>
        <v>0</v>
      </c>
      <c r="S17" s="65">
        <f>Calculations!S721</f>
        <v>0</v>
      </c>
      <c r="T17" s="65">
        <f>Calculations!T721</f>
        <v>0</v>
      </c>
      <c r="U17" s="204">
        <f>Calculations!U721</f>
        <v>0</v>
      </c>
      <c r="V17" s="65">
        <f>Calculations!V721</f>
        <v>0</v>
      </c>
      <c r="W17" s="266">
        <f>Calculations!W721</f>
        <v>0</v>
      </c>
      <c r="X17" s="266">
        <f>Calculations!X721</f>
        <v>0</v>
      </c>
      <c r="Y17" s="266" t="e">
        <f>Calculations!Y721</f>
        <v>#DIV/0!</v>
      </c>
      <c r="Z17" s="266" t="e">
        <f>Calculations!Z721</f>
        <v>#DIV/0!</v>
      </c>
      <c r="AA17" s="266" t="e">
        <f>Calculations!AA721</f>
        <v>#DIV/0!</v>
      </c>
    </row>
    <row r="18" spans="1:27">
      <c r="A18" s="3">
        <f>Calculations!A722</f>
        <v>14</v>
      </c>
      <c r="B18">
        <f>Calculations!B722</f>
        <v>0</v>
      </c>
      <c r="C18">
        <f>Calculations!C722</f>
        <v>0</v>
      </c>
      <c r="D18">
        <f>Calculations!D722</f>
        <v>0</v>
      </c>
      <c r="E18" s="265">
        <f>Calculations!E722</f>
        <v>0</v>
      </c>
      <c r="F18" s="265">
        <f>Calculations!F722</f>
        <v>0</v>
      </c>
      <c r="G18" s="265">
        <f>Calculations!G722</f>
        <v>0</v>
      </c>
      <c r="H18" s="197">
        <f>Calculations!H722</f>
        <v>0</v>
      </c>
      <c r="I18" s="197">
        <f>Calculations!I722</f>
        <v>0</v>
      </c>
      <c r="J18" s="137">
        <f>Calculations!J722</f>
        <v>0</v>
      </c>
      <c r="K18" s="66">
        <f>Calculations!K722</f>
        <v>0</v>
      </c>
      <c r="L18" s="66">
        <f>Calculations!L722</f>
        <v>0</v>
      </c>
      <c r="M18">
        <f>Calculations!M722</f>
        <v>0</v>
      </c>
      <c r="N18" s="66">
        <f>Calculations!N722</f>
        <v>0</v>
      </c>
      <c r="O18" s="66">
        <f>Calculations!O722</f>
        <v>0</v>
      </c>
      <c r="P18" s="66">
        <f>Calculations!P722</f>
        <v>0</v>
      </c>
      <c r="Q18" s="204">
        <f>Calculations!Q722</f>
        <v>0</v>
      </c>
      <c r="R18" s="66">
        <f>Calculations!R722</f>
        <v>0</v>
      </c>
      <c r="S18" s="65">
        <f>Calculations!S722</f>
        <v>0</v>
      </c>
      <c r="T18" s="65">
        <f>Calculations!T722</f>
        <v>0</v>
      </c>
      <c r="U18" s="204">
        <f>Calculations!U722</f>
        <v>0</v>
      </c>
      <c r="V18" s="65">
        <f>Calculations!V722</f>
        <v>0</v>
      </c>
      <c r="W18" s="266">
        <f>Calculations!W722</f>
        <v>0</v>
      </c>
      <c r="X18" s="266">
        <f>Calculations!X722</f>
        <v>0</v>
      </c>
      <c r="Y18" s="266" t="e">
        <f>Calculations!Y722</f>
        <v>#DIV/0!</v>
      </c>
      <c r="Z18" s="266" t="e">
        <f>Calculations!Z722</f>
        <v>#DIV/0!</v>
      </c>
      <c r="AA18" s="266" t="e">
        <f>Calculations!AA722</f>
        <v>#DIV/0!</v>
      </c>
    </row>
    <row r="19" spans="1:27">
      <c r="A19" s="3">
        <f>Calculations!A723</f>
        <v>15</v>
      </c>
      <c r="B19">
        <f>Calculations!B723</f>
        <v>0</v>
      </c>
      <c r="C19">
        <f>Calculations!C723</f>
        <v>0</v>
      </c>
      <c r="D19">
        <f>Calculations!D723</f>
        <v>0</v>
      </c>
      <c r="E19" s="265">
        <f>Calculations!E723</f>
        <v>0</v>
      </c>
      <c r="F19" s="265">
        <f>Calculations!F723</f>
        <v>0</v>
      </c>
      <c r="G19" s="265">
        <f>Calculations!G723</f>
        <v>0</v>
      </c>
      <c r="H19" s="197">
        <f>Calculations!H723</f>
        <v>0</v>
      </c>
      <c r="I19" s="197">
        <f>Calculations!I723</f>
        <v>0</v>
      </c>
      <c r="J19" s="137">
        <f>Calculations!J723</f>
        <v>0</v>
      </c>
      <c r="K19" s="66">
        <f>Calculations!K723</f>
        <v>0</v>
      </c>
      <c r="L19" s="66">
        <f>Calculations!L723</f>
        <v>0</v>
      </c>
      <c r="M19">
        <f>Calculations!M723</f>
        <v>0</v>
      </c>
      <c r="N19" s="66">
        <f>Calculations!N723</f>
        <v>0</v>
      </c>
      <c r="O19" s="66">
        <f>Calculations!O723</f>
        <v>0</v>
      </c>
      <c r="P19" s="66">
        <f>Calculations!P723</f>
        <v>0</v>
      </c>
      <c r="Q19" s="204">
        <f>Calculations!Q723</f>
        <v>0</v>
      </c>
      <c r="R19" s="66">
        <f>Calculations!R723</f>
        <v>0</v>
      </c>
      <c r="S19" s="65">
        <f>Calculations!S723</f>
        <v>0</v>
      </c>
      <c r="T19" s="65">
        <f>Calculations!T723</f>
        <v>0</v>
      </c>
      <c r="U19" s="204">
        <f>Calculations!U723</f>
        <v>0</v>
      </c>
      <c r="V19" s="65">
        <f>Calculations!V723</f>
        <v>0</v>
      </c>
      <c r="W19" s="266">
        <f>Calculations!W723</f>
        <v>0</v>
      </c>
      <c r="X19" s="266">
        <f>Calculations!X723</f>
        <v>0</v>
      </c>
      <c r="Y19" s="266" t="e">
        <f>Calculations!Y723</f>
        <v>#DIV/0!</v>
      </c>
      <c r="Z19" s="266" t="e">
        <f>Calculations!Z723</f>
        <v>#DIV/0!</v>
      </c>
      <c r="AA19" s="266" t="e">
        <f>Calculations!AA723</f>
        <v>#DIV/0!</v>
      </c>
    </row>
    <row r="20" spans="1:27">
      <c r="A20" s="3">
        <f>Calculations!A724</f>
        <v>16</v>
      </c>
      <c r="B20">
        <f>Calculations!B724</f>
        <v>0</v>
      </c>
      <c r="C20">
        <f>Calculations!C724</f>
        <v>0</v>
      </c>
      <c r="D20">
        <f>Calculations!D724</f>
        <v>0</v>
      </c>
      <c r="E20" s="265">
        <f>Calculations!E724</f>
        <v>0</v>
      </c>
      <c r="F20" s="265">
        <f>Calculations!F724</f>
        <v>0</v>
      </c>
      <c r="G20" s="265">
        <f>Calculations!G724</f>
        <v>0</v>
      </c>
      <c r="H20" s="197">
        <f>Calculations!H724</f>
        <v>0</v>
      </c>
      <c r="I20" s="197">
        <f>Calculations!I724</f>
        <v>0</v>
      </c>
      <c r="J20" s="137">
        <f>Calculations!J724</f>
        <v>0</v>
      </c>
      <c r="K20" s="66">
        <f>Calculations!K724</f>
        <v>0</v>
      </c>
      <c r="L20" s="66">
        <f>Calculations!L724</f>
        <v>0</v>
      </c>
      <c r="M20">
        <f>Calculations!M724</f>
        <v>0</v>
      </c>
      <c r="N20" s="66">
        <f>Calculations!N724</f>
        <v>0</v>
      </c>
      <c r="O20" s="66">
        <f>Calculations!O724</f>
        <v>0</v>
      </c>
      <c r="P20" s="66">
        <f>Calculations!P724</f>
        <v>0</v>
      </c>
      <c r="Q20" s="204">
        <f>Calculations!Q724</f>
        <v>0</v>
      </c>
      <c r="R20" s="66">
        <f>Calculations!R724</f>
        <v>0</v>
      </c>
      <c r="S20" s="65">
        <f>Calculations!S724</f>
        <v>0</v>
      </c>
      <c r="T20" s="65">
        <f>Calculations!T724</f>
        <v>0</v>
      </c>
      <c r="U20" s="204">
        <f>Calculations!U724</f>
        <v>0</v>
      </c>
      <c r="V20" s="65">
        <f>Calculations!V724</f>
        <v>0</v>
      </c>
      <c r="W20" s="266">
        <f>Calculations!W724</f>
        <v>0</v>
      </c>
      <c r="X20" s="266">
        <f>Calculations!X724</f>
        <v>0</v>
      </c>
      <c r="Y20" s="266" t="e">
        <f>Calculations!Y724</f>
        <v>#DIV/0!</v>
      </c>
      <c r="Z20" s="266" t="e">
        <f>Calculations!Z724</f>
        <v>#DIV/0!</v>
      </c>
      <c r="AA20" s="266" t="e">
        <f>Calculations!AA724</f>
        <v>#DIV/0!</v>
      </c>
    </row>
    <row r="21" spans="1:27">
      <c r="A21" s="3">
        <f>Calculations!A725</f>
        <v>17</v>
      </c>
      <c r="B21">
        <f>Calculations!B725</f>
        <v>0</v>
      </c>
      <c r="C21">
        <f>Calculations!C725</f>
        <v>0</v>
      </c>
      <c r="D21">
        <f>Calculations!D725</f>
        <v>0</v>
      </c>
      <c r="E21" s="265">
        <f>Calculations!E725</f>
        <v>0</v>
      </c>
      <c r="F21" s="265">
        <f>Calculations!F725</f>
        <v>0</v>
      </c>
      <c r="G21" s="265">
        <f>Calculations!G725</f>
        <v>0</v>
      </c>
      <c r="H21" s="197">
        <f>Calculations!H725</f>
        <v>0</v>
      </c>
      <c r="I21" s="197">
        <f>Calculations!I725</f>
        <v>0</v>
      </c>
      <c r="J21" s="137">
        <f>Calculations!J725</f>
        <v>0</v>
      </c>
      <c r="K21" s="66">
        <f>Calculations!K725</f>
        <v>0</v>
      </c>
      <c r="L21" s="66">
        <f>Calculations!L725</f>
        <v>0</v>
      </c>
      <c r="M21">
        <f>Calculations!M725</f>
        <v>0</v>
      </c>
      <c r="N21" s="66">
        <f>Calculations!N725</f>
        <v>0</v>
      </c>
      <c r="O21" s="66">
        <f>Calculations!O725</f>
        <v>0</v>
      </c>
      <c r="P21" s="66">
        <f>Calculations!P725</f>
        <v>0</v>
      </c>
      <c r="Q21" s="204">
        <f>Calculations!Q725</f>
        <v>0</v>
      </c>
      <c r="R21" s="66">
        <f>Calculations!R725</f>
        <v>0</v>
      </c>
      <c r="S21" s="65">
        <f>Calculations!S725</f>
        <v>0</v>
      </c>
      <c r="T21" s="65">
        <f>Calculations!T725</f>
        <v>0</v>
      </c>
      <c r="U21" s="204">
        <f>Calculations!U725</f>
        <v>0</v>
      </c>
      <c r="V21" s="65">
        <f>Calculations!V725</f>
        <v>0</v>
      </c>
      <c r="W21" s="266">
        <f>Calculations!W725</f>
        <v>0</v>
      </c>
      <c r="X21" s="266">
        <f>Calculations!X725</f>
        <v>0</v>
      </c>
      <c r="Y21" s="266" t="e">
        <f>Calculations!Y725</f>
        <v>#DIV/0!</v>
      </c>
      <c r="Z21" s="266" t="e">
        <f>Calculations!Z725</f>
        <v>#DIV/0!</v>
      </c>
      <c r="AA21" s="266" t="e">
        <f>Calculations!AA725</f>
        <v>#DIV/0!</v>
      </c>
    </row>
    <row r="22" spans="1:27">
      <c r="A22" s="3">
        <f>Calculations!A726</f>
        <v>18</v>
      </c>
      <c r="B22">
        <f>Calculations!B726</f>
        <v>0</v>
      </c>
      <c r="C22">
        <f>Calculations!C726</f>
        <v>0</v>
      </c>
      <c r="D22">
        <f>Calculations!D726</f>
        <v>0</v>
      </c>
      <c r="E22" s="265">
        <f>Calculations!E726</f>
        <v>0</v>
      </c>
      <c r="F22" s="265">
        <f>Calculations!F726</f>
        <v>0</v>
      </c>
      <c r="G22" s="265">
        <f>Calculations!G726</f>
        <v>0</v>
      </c>
      <c r="H22" s="197">
        <f>Calculations!H726</f>
        <v>0</v>
      </c>
      <c r="I22" s="197">
        <f>Calculations!I726</f>
        <v>0</v>
      </c>
      <c r="J22" s="137">
        <f>Calculations!J726</f>
        <v>0</v>
      </c>
      <c r="K22" s="66">
        <f>Calculations!K726</f>
        <v>0</v>
      </c>
      <c r="L22" s="66">
        <f>Calculations!L726</f>
        <v>0</v>
      </c>
      <c r="M22">
        <f>Calculations!M726</f>
        <v>0</v>
      </c>
      <c r="N22" s="66">
        <f>Calculations!N726</f>
        <v>0</v>
      </c>
      <c r="O22" s="66">
        <f>Calculations!O726</f>
        <v>0</v>
      </c>
      <c r="P22" s="66">
        <f>Calculations!P726</f>
        <v>0</v>
      </c>
      <c r="Q22" s="204">
        <f>Calculations!Q726</f>
        <v>0</v>
      </c>
      <c r="R22" s="66">
        <f>Calculations!R726</f>
        <v>0</v>
      </c>
      <c r="S22" s="65">
        <f>Calculations!S726</f>
        <v>0</v>
      </c>
      <c r="T22" s="65">
        <f>Calculations!T726</f>
        <v>0</v>
      </c>
      <c r="U22" s="204">
        <f>Calculations!U726</f>
        <v>0</v>
      </c>
      <c r="V22" s="65">
        <f>Calculations!V726</f>
        <v>0</v>
      </c>
      <c r="W22" s="266">
        <f>Calculations!W726</f>
        <v>0</v>
      </c>
      <c r="X22" s="266">
        <f>Calculations!X726</f>
        <v>0</v>
      </c>
      <c r="Y22" s="266" t="e">
        <f>Calculations!Y726</f>
        <v>#DIV/0!</v>
      </c>
      <c r="Z22" s="266" t="e">
        <f>Calculations!Z726</f>
        <v>#DIV/0!</v>
      </c>
      <c r="AA22" s="266" t="e">
        <f>Calculations!AA726</f>
        <v>#DIV/0!</v>
      </c>
    </row>
    <row r="23" spans="1:27">
      <c r="A23" s="3">
        <f>Calculations!A727</f>
        <v>19</v>
      </c>
      <c r="B23">
        <f>Calculations!B727</f>
        <v>0</v>
      </c>
      <c r="C23">
        <f>Calculations!C727</f>
        <v>0</v>
      </c>
      <c r="D23">
        <f>Calculations!D727</f>
        <v>0</v>
      </c>
      <c r="E23" s="265">
        <f>Calculations!E727</f>
        <v>0</v>
      </c>
      <c r="F23" s="265">
        <f>Calculations!F727</f>
        <v>0</v>
      </c>
      <c r="G23" s="265">
        <f>Calculations!G727</f>
        <v>0</v>
      </c>
      <c r="H23" s="197">
        <f>Calculations!H727</f>
        <v>0</v>
      </c>
      <c r="I23" s="197">
        <f>Calculations!I727</f>
        <v>0</v>
      </c>
      <c r="J23" s="137">
        <f>Calculations!J727</f>
        <v>0</v>
      </c>
      <c r="K23" s="66">
        <f>Calculations!K727</f>
        <v>0</v>
      </c>
      <c r="L23" s="66">
        <f>Calculations!L727</f>
        <v>0</v>
      </c>
      <c r="M23">
        <f>Calculations!M727</f>
        <v>0</v>
      </c>
      <c r="N23" s="66">
        <f>Calculations!N727</f>
        <v>0</v>
      </c>
      <c r="O23" s="66">
        <f>Calculations!O727</f>
        <v>0</v>
      </c>
      <c r="P23" s="66">
        <f>Calculations!P727</f>
        <v>0</v>
      </c>
      <c r="Q23" s="204">
        <f>Calculations!Q727</f>
        <v>0</v>
      </c>
      <c r="R23" s="66">
        <f>Calculations!R727</f>
        <v>0</v>
      </c>
      <c r="S23" s="65">
        <f>Calculations!S727</f>
        <v>0</v>
      </c>
      <c r="T23" s="65">
        <f>Calculations!T727</f>
        <v>0</v>
      </c>
      <c r="U23" s="204">
        <f>Calculations!U727</f>
        <v>0</v>
      </c>
      <c r="V23" s="65">
        <f>Calculations!V727</f>
        <v>0</v>
      </c>
      <c r="W23" s="266">
        <f>Calculations!W727</f>
        <v>0</v>
      </c>
      <c r="X23" s="266">
        <f>Calculations!X727</f>
        <v>0</v>
      </c>
      <c r="Y23" s="266" t="e">
        <f>Calculations!Y727</f>
        <v>#DIV/0!</v>
      </c>
      <c r="Z23" s="266" t="e">
        <f>Calculations!Z727</f>
        <v>#DIV/0!</v>
      </c>
      <c r="AA23" s="266" t="e">
        <f>Calculations!AA727</f>
        <v>#DIV/0!</v>
      </c>
    </row>
    <row r="24" spans="1:27">
      <c r="A24" s="3">
        <f>Calculations!A728</f>
        <v>20</v>
      </c>
      <c r="B24">
        <f>Calculations!B728</f>
        <v>0</v>
      </c>
      <c r="C24">
        <f>Calculations!C728</f>
        <v>0</v>
      </c>
      <c r="D24">
        <f>Calculations!D728</f>
        <v>0</v>
      </c>
      <c r="E24" s="265">
        <f>Calculations!E728</f>
        <v>0</v>
      </c>
      <c r="F24" s="265">
        <f>Calculations!F728</f>
        <v>0</v>
      </c>
      <c r="G24" s="265">
        <f>Calculations!G728</f>
        <v>0</v>
      </c>
      <c r="H24" s="197">
        <f>Calculations!H728</f>
        <v>0</v>
      </c>
      <c r="I24" s="197">
        <f>Calculations!I728</f>
        <v>0</v>
      </c>
      <c r="J24" s="137">
        <f>Calculations!J728</f>
        <v>0</v>
      </c>
      <c r="K24" s="66">
        <f>Calculations!K728</f>
        <v>0</v>
      </c>
      <c r="L24" s="66">
        <f>Calculations!L728</f>
        <v>0</v>
      </c>
      <c r="M24">
        <f>Calculations!M728</f>
        <v>0</v>
      </c>
      <c r="N24" s="66">
        <f>Calculations!N728</f>
        <v>0</v>
      </c>
      <c r="O24" s="66">
        <f>Calculations!O728</f>
        <v>0</v>
      </c>
      <c r="P24" s="66">
        <f>Calculations!P728</f>
        <v>0</v>
      </c>
      <c r="Q24" s="204">
        <f>Calculations!Q728</f>
        <v>0</v>
      </c>
      <c r="R24" s="66">
        <f>Calculations!R728</f>
        <v>0</v>
      </c>
      <c r="S24" s="65">
        <f>Calculations!S728</f>
        <v>0</v>
      </c>
      <c r="T24" s="65">
        <f>Calculations!T728</f>
        <v>0</v>
      </c>
      <c r="U24" s="204">
        <f>Calculations!U728</f>
        <v>0</v>
      </c>
      <c r="V24" s="65">
        <f>Calculations!V728</f>
        <v>0</v>
      </c>
      <c r="W24" s="266">
        <f>Calculations!W728</f>
        <v>0</v>
      </c>
      <c r="X24" s="266">
        <f>Calculations!X728</f>
        <v>0</v>
      </c>
      <c r="Y24" s="266" t="e">
        <f>Calculations!Y728</f>
        <v>#DIV/0!</v>
      </c>
      <c r="Z24" s="266" t="e">
        <f>Calculations!Z728</f>
        <v>#DIV/0!</v>
      </c>
      <c r="AA24" s="266" t="e">
        <f>Calculations!AA728</f>
        <v>#DIV/0!</v>
      </c>
    </row>
    <row r="25" spans="1:27">
      <c r="A25" s="3">
        <f>Calculations!A729</f>
        <v>21</v>
      </c>
      <c r="B25">
        <f>Calculations!B729</f>
        <v>0</v>
      </c>
      <c r="C25">
        <f>Calculations!C729</f>
        <v>0</v>
      </c>
      <c r="D25">
        <f>Calculations!D729</f>
        <v>0</v>
      </c>
      <c r="E25" s="265">
        <f>Calculations!E729</f>
        <v>0</v>
      </c>
      <c r="F25" s="265">
        <f>Calculations!F729</f>
        <v>0</v>
      </c>
      <c r="G25" s="265">
        <f>Calculations!G729</f>
        <v>0</v>
      </c>
      <c r="H25" s="197">
        <f>Calculations!H729</f>
        <v>0</v>
      </c>
      <c r="I25" s="197">
        <f>Calculations!I729</f>
        <v>0</v>
      </c>
      <c r="J25" s="137">
        <f>Calculations!J729</f>
        <v>0</v>
      </c>
      <c r="K25" s="66">
        <f>Calculations!K729</f>
        <v>0</v>
      </c>
      <c r="L25" s="66">
        <f>Calculations!L729</f>
        <v>0</v>
      </c>
      <c r="M25">
        <f>Calculations!M729</f>
        <v>0</v>
      </c>
      <c r="N25" s="66">
        <f>Calculations!N729</f>
        <v>0</v>
      </c>
      <c r="O25" s="66">
        <f>Calculations!O729</f>
        <v>0</v>
      </c>
      <c r="P25" s="66">
        <f>Calculations!P729</f>
        <v>0</v>
      </c>
      <c r="Q25" s="204">
        <f>Calculations!Q729</f>
        <v>0</v>
      </c>
      <c r="R25" s="66">
        <f>Calculations!R729</f>
        <v>0</v>
      </c>
      <c r="S25" s="65">
        <f>Calculations!S729</f>
        <v>0</v>
      </c>
      <c r="T25" s="65">
        <f>Calculations!T729</f>
        <v>0</v>
      </c>
      <c r="U25" s="204">
        <f>Calculations!U729</f>
        <v>0</v>
      </c>
      <c r="V25" s="65">
        <f>Calculations!V729</f>
        <v>0</v>
      </c>
      <c r="W25" s="266">
        <f>Calculations!W729</f>
        <v>0</v>
      </c>
      <c r="X25" s="266">
        <f>Calculations!X729</f>
        <v>0</v>
      </c>
      <c r="Y25" s="266" t="e">
        <f>Calculations!Y729</f>
        <v>#DIV/0!</v>
      </c>
      <c r="Z25" s="266" t="e">
        <f>Calculations!Z729</f>
        <v>#DIV/0!</v>
      </c>
      <c r="AA25" s="266" t="e">
        <f>Calculations!AA729</f>
        <v>#DIV/0!</v>
      </c>
    </row>
    <row r="26" spans="1:27">
      <c r="A26" s="3">
        <f>Calculations!A730</f>
        <v>22</v>
      </c>
      <c r="B26">
        <f>Calculations!B730</f>
        <v>0</v>
      </c>
      <c r="C26">
        <f>Calculations!C730</f>
        <v>0</v>
      </c>
      <c r="D26">
        <f>Calculations!D730</f>
        <v>0</v>
      </c>
      <c r="E26" s="265">
        <f>Calculations!E730</f>
        <v>0</v>
      </c>
      <c r="F26" s="265">
        <f>Calculations!F730</f>
        <v>0</v>
      </c>
      <c r="G26" s="265">
        <f>Calculations!G730</f>
        <v>0</v>
      </c>
      <c r="H26" s="197">
        <f>Calculations!H730</f>
        <v>0</v>
      </c>
      <c r="I26" s="197">
        <f>Calculations!I730</f>
        <v>0</v>
      </c>
      <c r="J26" s="137">
        <f>Calculations!J730</f>
        <v>0</v>
      </c>
      <c r="K26" s="66">
        <f>Calculations!K730</f>
        <v>0</v>
      </c>
      <c r="L26" s="66">
        <f>Calculations!L730</f>
        <v>0</v>
      </c>
      <c r="M26">
        <f>Calculations!M730</f>
        <v>0</v>
      </c>
      <c r="N26" s="66">
        <f>Calculations!N730</f>
        <v>0</v>
      </c>
      <c r="O26" s="66">
        <f>Calculations!O730</f>
        <v>0</v>
      </c>
      <c r="P26" s="66">
        <f>Calculations!P730</f>
        <v>0</v>
      </c>
      <c r="Q26" s="204">
        <f>Calculations!Q730</f>
        <v>0</v>
      </c>
      <c r="R26" s="66">
        <f>Calculations!R730</f>
        <v>0</v>
      </c>
      <c r="S26" s="65">
        <f>Calculations!S730</f>
        <v>0</v>
      </c>
      <c r="T26" s="65">
        <f>Calculations!T730</f>
        <v>0</v>
      </c>
      <c r="U26" s="204">
        <f>Calculations!U730</f>
        <v>0</v>
      </c>
      <c r="V26" s="65">
        <f>Calculations!V730</f>
        <v>0</v>
      </c>
      <c r="W26" s="266">
        <f>Calculations!W730</f>
        <v>0</v>
      </c>
      <c r="X26" s="266">
        <f>Calculations!X730</f>
        <v>0</v>
      </c>
      <c r="Y26" s="266" t="e">
        <f>Calculations!Y730</f>
        <v>#DIV/0!</v>
      </c>
      <c r="Z26" s="266" t="e">
        <f>Calculations!Z730</f>
        <v>#DIV/0!</v>
      </c>
      <c r="AA26" s="266" t="e">
        <f>Calculations!AA730</f>
        <v>#DIV/0!</v>
      </c>
    </row>
    <row r="27" spans="1:27">
      <c r="A27" s="3">
        <f>Calculations!A731</f>
        <v>23</v>
      </c>
      <c r="B27">
        <f>Calculations!B731</f>
        <v>0</v>
      </c>
      <c r="C27">
        <f>Calculations!C731</f>
        <v>0</v>
      </c>
      <c r="D27">
        <f>Calculations!D731</f>
        <v>0</v>
      </c>
      <c r="E27" s="265">
        <f>Calculations!E731</f>
        <v>0</v>
      </c>
      <c r="F27" s="265">
        <f>Calculations!F731</f>
        <v>0</v>
      </c>
      <c r="G27" s="265">
        <f>Calculations!G731</f>
        <v>0</v>
      </c>
      <c r="H27" s="197">
        <f>Calculations!H731</f>
        <v>0</v>
      </c>
      <c r="I27" s="197">
        <f>Calculations!I731</f>
        <v>0</v>
      </c>
      <c r="J27" s="137">
        <f>Calculations!J731</f>
        <v>0</v>
      </c>
      <c r="K27" s="66">
        <f>Calculations!K731</f>
        <v>0</v>
      </c>
      <c r="L27" s="66">
        <f>Calculations!L731</f>
        <v>0</v>
      </c>
      <c r="M27">
        <f>Calculations!M731</f>
        <v>0</v>
      </c>
      <c r="N27" s="66">
        <f>Calculations!N731</f>
        <v>0</v>
      </c>
      <c r="O27" s="66">
        <f>Calculations!O731</f>
        <v>0</v>
      </c>
      <c r="P27" s="66">
        <f>Calculations!P731</f>
        <v>0</v>
      </c>
      <c r="Q27" s="204">
        <f>Calculations!Q731</f>
        <v>0</v>
      </c>
      <c r="R27" s="66">
        <f>Calculations!R731</f>
        <v>0</v>
      </c>
      <c r="S27" s="65">
        <f>Calculations!S731</f>
        <v>0</v>
      </c>
      <c r="T27" s="65">
        <f>Calculations!T731</f>
        <v>0</v>
      </c>
      <c r="U27" s="204">
        <f>Calculations!U731</f>
        <v>0</v>
      </c>
      <c r="V27" s="65">
        <f>Calculations!V731</f>
        <v>0</v>
      </c>
      <c r="W27" s="266">
        <f>Calculations!W731</f>
        <v>0</v>
      </c>
      <c r="X27" s="266">
        <f>Calculations!X731</f>
        <v>0</v>
      </c>
      <c r="Y27" s="266" t="e">
        <f>Calculations!Y731</f>
        <v>#DIV/0!</v>
      </c>
      <c r="Z27" s="266" t="e">
        <f>Calculations!Z731</f>
        <v>#DIV/0!</v>
      </c>
      <c r="AA27" s="266" t="e">
        <f>Calculations!AA731</f>
        <v>#DIV/0!</v>
      </c>
    </row>
    <row r="28" spans="1:27">
      <c r="A28" s="3">
        <f>Calculations!A732</f>
        <v>24</v>
      </c>
      <c r="B28">
        <f>Calculations!B732</f>
        <v>0</v>
      </c>
      <c r="C28">
        <f>Calculations!C732</f>
        <v>0</v>
      </c>
      <c r="D28">
        <f>Calculations!D732</f>
        <v>0</v>
      </c>
      <c r="E28" s="265">
        <f>Calculations!E732</f>
        <v>0</v>
      </c>
      <c r="F28" s="265">
        <f>Calculations!F732</f>
        <v>0</v>
      </c>
      <c r="G28" s="265">
        <f>Calculations!G732</f>
        <v>0</v>
      </c>
      <c r="H28" s="197">
        <f>Calculations!H732</f>
        <v>0</v>
      </c>
      <c r="I28" s="197">
        <f>Calculations!I732</f>
        <v>0</v>
      </c>
      <c r="J28" s="137">
        <f>Calculations!J732</f>
        <v>0</v>
      </c>
      <c r="K28" s="66">
        <f>Calculations!K732</f>
        <v>0</v>
      </c>
      <c r="L28" s="66">
        <f>Calculations!L732</f>
        <v>0</v>
      </c>
      <c r="M28">
        <f>Calculations!M732</f>
        <v>0</v>
      </c>
      <c r="N28" s="66">
        <f>Calculations!N732</f>
        <v>0</v>
      </c>
      <c r="O28" s="66">
        <f>Calculations!O732</f>
        <v>0</v>
      </c>
      <c r="P28" s="66">
        <f>Calculations!P732</f>
        <v>0</v>
      </c>
      <c r="Q28" s="204">
        <f>Calculations!Q732</f>
        <v>0</v>
      </c>
      <c r="R28" s="66">
        <f>Calculations!R732</f>
        <v>0</v>
      </c>
      <c r="S28" s="65">
        <f>Calculations!S732</f>
        <v>0</v>
      </c>
      <c r="T28" s="65">
        <f>Calculations!T732</f>
        <v>0</v>
      </c>
      <c r="U28" s="204">
        <f>Calculations!U732</f>
        <v>0</v>
      </c>
      <c r="V28" s="65">
        <f>Calculations!V732</f>
        <v>0</v>
      </c>
      <c r="W28" s="266">
        <f>Calculations!W732</f>
        <v>0</v>
      </c>
      <c r="X28" s="266">
        <f>Calculations!X732</f>
        <v>0</v>
      </c>
      <c r="Y28" s="266" t="e">
        <f>Calculations!Y732</f>
        <v>#DIV/0!</v>
      </c>
      <c r="Z28" s="266" t="e">
        <f>Calculations!Z732</f>
        <v>#DIV/0!</v>
      </c>
      <c r="AA28" s="266" t="e">
        <f>Calculations!AA732</f>
        <v>#DIV/0!</v>
      </c>
    </row>
    <row r="29" spans="1:27">
      <c r="A29" s="3">
        <f>Calculations!A733</f>
        <v>25</v>
      </c>
      <c r="B29">
        <f>Calculations!B733</f>
        <v>0</v>
      </c>
      <c r="C29">
        <f>Calculations!C733</f>
        <v>0</v>
      </c>
      <c r="D29">
        <f>Calculations!D733</f>
        <v>0</v>
      </c>
      <c r="E29" s="265">
        <f>Calculations!E733</f>
        <v>0</v>
      </c>
      <c r="F29" s="265">
        <f>Calculations!F733</f>
        <v>0</v>
      </c>
      <c r="G29" s="265">
        <f>Calculations!G733</f>
        <v>0</v>
      </c>
      <c r="H29" s="197">
        <f>Calculations!H733</f>
        <v>0</v>
      </c>
      <c r="I29" s="197">
        <f>Calculations!I733</f>
        <v>0</v>
      </c>
      <c r="J29" s="137">
        <f>Calculations!J733</f>
        <v>0</v>
      </c>
      <c r="K29" s="66">
        <f>Calculations!K733</f>
        <v>0</v>
      </c>
      <c r="L29" s="66">
        <f>Calculations!L733</f>
        <v>0</v>
      </c>
      <c r="M29">
        <f>Calculations!M733</f>
        <v>0</v>
      </c>
      <c r="N29" s="66">
        <f>Calculations!N733</f>
        <v>0</v>
      </c>
      <c r="O29" s="66">
        <f>Calculations!O733</f>
        <v>0</v>
      </c>
      <c r="P29" s="66">
        <f>Calculations!P733</f>
        <v>0</v>
      </c>
      <c r="Q29" s="204">
        <f>Calculations!Q733</f>
        <v>0</v>
      </c>
      <c r="R29" s="66">
        <f>Calculations!R733</f>
        <v>0</v>
      </c>
      <c r="S29" s="65">
        <f>Calculations!S733</f>
        <v>0</v>
      </c>
      <c r="T29" s="65">
        <f>Calculations!T733</f>
        <v>0</v>
      </c>
      <c r="U29" s="204">
        <f>Calculations!U733</f>
        <v>0</v>
      </c>
      <c r="V29" s="65">
        <f>Calculations!V733</f>
        <v>0</v>
      </c>
      <c r="W29" s="266">
        <f>Calculations!W733</f>
        <v>0</v>
      </c>
      <c r="X29" s="266">
        <f>Calculations!X733</f>
        <v>0</v>
      </c>
      <c r="Y29" s="266" t="e">
        <f>Calculations!Y733</f>
        <v>#DIV/0!</v>
      </c>
      <c r="Z29" s="266" t="e">
        <f>Calculations!Z733</f>
        <v>#DIV/0!</v>
      </c>
      <c r="AA29" s="266" t="e">
        <f>Calculations!AA733</f>
        <v>#DIV/0!</v>
      </c>
    </row>
    <row r="30" spans="1:27">
      <c r="A30" s="3">
        <f>Calculations!A734</f>
        <v>26</v>
      </c>
      <c r="B30">
        <f>Calculations!B734</f>
        <v>0</v>
      </c>
      <c r="C30">
        <f>Calculations!C734</f>
        <v>0</v>
      </c>
      <c r="D30">
        <f>Calculations!D734</f>
        <v>0</v>
      </c>
      <c r="E30" s="265">
        <f>Calculations!E734</f>
        <v>0</v>
      </c>
      <c r="F30" s="265">
        <f>Calculations!F734</f>
        <v>0</v>
      </c>
      <c r="G30" s="265">
        <f>Calculations!G734</f>
        <v>0</v>
      </c>
      <c r="H30" s="197">
        <f>Calculations!H734</f>
        <v>0</v>
      </c>
      <c r="I30" s="197">
        <f>Calculations!I734</f>
        <v>0</v>
      </c>
      <c r="J30" s="137">
        <f>Calculations!J734</f>
        <v>0</v>
      </c>
      <c r="K30" s="66">
        <f>Calculations!K734</f>
        <v>0</v>
      </c>
      <c r="L30" s="66">
        <f>Calculations!L734</f>
        <v>0</v>
      </c>
      <c r="M30">
        <f>Calculations!M734</f>
        <v>0</v>
      </c>
      <c r="N30" s="66">
        <f>Calculations!N734</f>
        <v>0</v>
      </c>
      <c r="O30" s="66">
        <f>Calculations!O734</f>
        <v>0</v>
      </c>
      <c r="P30" s="66">
        <f>Calculations!P734</f>
        <v>0</v>
      </c>
      <c r="Q30" s="204">
        <f>Calculations!Q734</f>
        <v>0</v>
      </c>
      <c r="R30" s="66">
        <f>Calculations!R734</f>
        <v>0</v>
      </c>
      <c r="S30" s="65">
        <f>Calculations!S734</f>
        <v>0</v>
      </c>
      <c r="T30" s="65">
        <f>Calculations!T734</f>
        <v>0</v>
      </c>
      <c r="U30" s="204">
        <f>Calculations!U734</f>
        <v>0</v>
      </c>
      <c r="V30" s="65">
        <f>Calculations!V734</f>
        <v>0</v>
      </c>
      <c r="W30" s="266">
        <f>Calculations!W734</f>
        <v>0</v>
      </c>
      <c r="X30" s="266">
        <f>Calculations!X734</f>
        <v>0</v>
      </c>
      <c r="Y30" s="266" t="e">
        <f>Calculations!Y734</f>
        <v>#DIV/0!</v>
      </c>
      <c r="Z30" s="266" t="e">
        <f>Calculations!Z734</f>
        <v>#DIV/0!</v>
      </c>
      <c r="AA30" s="266" t="e">
        <f>Calculations!AA734</f>
        <v>#DIV/0!</v>
      </c>
    </row>
    <row r="31" spans="1:27">
      <c r="A31" s="3">
        <f>Calculations!A735</f>
        <v>27</v>
      </c>
      <c r="B31">
        <f>Calculations!B735</f>
        <v>0</v>
      </c>
      <c r="C31">
        <f>Calculations!C735</f>
        <v>0</v>
      </c>
      <c r="D31">
        <f>Calculations!D735</f>
        <v>0</v>
      </c>
      <c r="E31" s="265">
        <f>Calculations!E735</f>
        <v>0</v>
      </c>
      <c r="F31" s="265">
        <f>Calculations!F735</f>
        <v>0</v>
      </c>
      <c r="G31" s="265">
        <f>Calculations!G735</f>
        <v>0</v>
      </c>
      <c r="H31" s="197">
        <f>Calculations!H735</f>
        <v>0</v>
      </c>
      <c r="I31" s="197">
        <f>Calculations!I735</f>
        <v>0</v>
      </c>
      <c r="J31" s="137">
        <f>Calculations!J735</f>
        <v>0</v>
      </c>
      <c r="K31" s="66">
        <f>Calculations!K735</f>
        <v>0</v>
      </c>
      <c r="L31" s="66">
        <f>Calculations!L735</f>
        <v>0</v>
      </c>
      <c r="M31">
        <f>Calculations!M735</f>
        <v>0</v>
      </c>
      <c r="N31" s="66">
        <f>Calculations!N735</f>
        <v>0</v>
      </c>
      <c r="O31" s="66">
        <f>Calculations!O735</f>
        <v>0</v>
      </c>
      <c r="P31" s="66">
        <f>Calculations!P735</f>
        <v>0</v>
      </c>
      <c r="Q31" s="204">
        <f>Calculations!Q735</f>
        <v>0</v>
      </c>
      <c r="R31" s="66">
        <f>Calculations!R735</f>
        <v>0</v>
      </c>
      <c r="S31" s="65">
        <f>Calculations!S735</f>
        <v>0</v>
      </c>
      <c r="T31" s="65">
        <f>Calculations!T735</f>
        <v>0</v>
      </c>
      <c r="U31" s="204">
        <f>Calculations!U735</f>
        <v>0</v>
      </c>
      <c r="V31" s="65">
        <f>Calculations!V735</f>
        <v>0</v>
      </c>
      <c r="W31" s="266">
        <f>Calculations!W735</f>
        <v>0</v>
      </c>
      <c r="X31" s="266">
        <f>Calculations!X735</f>
        <v>0</v>
      </c>
      <c r="Y31" s="266" t="e">
        <f>Calculations!Y735</f>
        <v>#DIV/0!</v>
      </c>
      <c r="Z31" s="266" t="e">
        <f>Calculations!Z735</f>
        <v>#DIV/0!</v>
      </c>
      <c r="AA31" s="266" t="e">
        <f>Calculations!AA735</f>
        <v>#DIV/0!</v>
      </c>
    </row>
    <row r="32" spans="1:27">
      <c r="A32" s="3">
        <f>Calculations!A736</f>
        <v>28</v>
      </c>
      <c r="B32">
        <f>Calculations!B736</f>
        <v>0</v>
      </c>
      <c r="C32">
        <f>Calculations!C736</f>
        <v>0</v>
      </c>
      <c r="D32">
        <f>Calculations!D736</f>
        <v>0</v>
      </c>
      <c r="E32" s="265">
        <f>Calculations!E736</f>
        <v>0</v>
      </c>
      <c r="F32" s="265">
        <f>Calculations!F736</f>
        <v>0</v>
      </c>
      <c r="G32" s="265">
        <f>Calculations!G736</f>
        <v>0</v>
      </c>
      <c r="H32" s="197">
        <f>Calculations!H736</f>
        <v>0</v>
      </c>
      <c r="I32" s="197">
        <f>Calculations!I736</f>
        <v>0</v>
      </c>
      <c r="J32" s="137">
        <f>Calculations!J736</f>
        <v>0</v>
      </c>
      <c r="K32" s="66">
        <f>Calculations!K736</f>
        <v>0</v>
      </c>
      <c r="L32" s="66">
        <f>Calculations!L736</f>
        <v>0</v>
      </c>
      <c r="M32">
        <f>Calculations!M736</f>
        <v>0</v>
      </c>
      <c r="N32" s="66">
        <f>Calculations!N736</f>
        <v>0</v>
      </c>
      <c r="O32" s="66">
        <f>Calculations!O736</f>
        <v>0</v>
      </c>
      <c r="P32" s="66">
        <f>Calculations!P736</f>
        <v>0</v>
      </c>
      <c r="Q32" s="204">
        <f>Calculations!Q736</f>
        <v>0</v>
      </c>
      <c r="R32" s="66">
        <f>Calculations!R736</f>
        <v>0</v>
      </c>
      <c r="S32" s="65">
        <f>Calculations!S736</f>
        <v>0</v>
      </c>
      <c r="T32" s="65">
        <f>Calculations!T736</f>
        <v>0</v>
      </c>
      <c r="U32" s="204">
        <f>Calculations!U736</f>
        <v>0</v>
      </c>
      <c r="V32" s="65">
        <f>Calculations!V736</f>
        <v>0</v>
      </c>
      <c r="W32" s="266">
        <f>Calculations!W736</f>
        <v>0</v>
      </c>
      <c r="X32" s="266">
        <f>Calculations!X736</f>
        <v>0</v>
      </c>
      <c r="Y32" s="266" t="e">
        <f>Calculations!Y736</f>
        <v>#DIV/0!</v>
      </c>
      <c r="Z32" s="266" t="e">
        <f>Calculations!Z736</f>
        <v>#DIV/0!</v>
      </c>
      <c r="AA32" s="266" t="e">
        <f>Calculations!AA736</f>
        <v>#DIV/0!</v>
      </c>
    </row>
    <row r="33" spans="1:27">
      <c r="A33" s="3">
        <f>Calculations!A737</f>
        <v>29</v>
      </c>
      <c r="B33">
        <f>Calculations!B737</f>
        <v>0</v>
      </c>
      <c r="C33">
        <f>Calculations!C737</f>
        <v>0</v>
      </c>
      <c r="D33">
        <f>Calculations!D737</f>
        <v>0</v>
      </c>
      <c r="E33" s="265">
        <f>Calculations!E737</f>
        <v>0</v>
      </c>
      <c r="F33" s="265">
        <f>Calculations!F737</f>
        <v>0</v>
      </c>
      <c r="G33" s="265">
        <f>Calculations!G737</f>
        <v>0</v>
      </c>
      <c r="H33" s="197">
        <f>Calculations!H737</f>
        <v>0</v>
      </c>
      <c r="I33" s="197">
        <f>Calculations!I737</f>
        <v>0</v>
      </c>
      <c r="J33" s="137">
        <f>Calculations!J737</f>
        <v>0</v>
      </c>
      <c r="K33" s="66">
        <f>Calculations!K737</f>
        <v>0</v>
      </c>
      <c r="L33" s="66">
        <f>Calculations!L737</f>
        <v>0</v>
      </c>
      <c r="M33">
        <f>Calculations!M737</f>
        <v>0</v>
      </c>
      <c r="N33" s="66">
        <f>Calculations!N737</f>
        <v>0</v>
      </c>
      <c r="O33" s="66">
        <f>Calculations!O737</f>
        <v>0</v>
      </c>
      <c r="P33" s="66">
        <f>Calculations!P737</f>
        <v>0</v>
      </c>
      <c r="Q33" s="204">
        <f>Calculations!Q737</f>
        <v>0</v>
      </c>
      <c r="R33" s="66">
        <f>Calculations!R737</f>
        <v>0</v>
      </c>
      <c r="S33" s="65">
        <f>Calculations!S737</f>
        <v>0</v>
      </c>
      <c r="T33" s="65">
        <f>Calculations!T737</f>
        <v>0</v>
      </c>
      <c r="U33" s="204">
        <f>Calculations!U737</f>
        <v>0</v>
      </c>
      <c r="V33" s="65">
        <f>Calculations!V737</f>
        <v>0</v>
      </c>
      <c r="W33" s="266">
        <f>Calculations!W737</f>
        <v>0</v>
      </c>
      <c r="X33" s="266">
        <f>Calculations!X737</f>
        <v>0</v>
      </c>
      <c r="Y33" s="266" t="e">
        <f>Calculations!Y737</f>
        <v>#DIV/0!</v>
      </c>
      <c r="Z33" s="266" t="e">
        <f>Calculations!Z737</f>
        <v>#DIV/0!</v>
      </c>
      <c r="AA33" s="266" t="e">
        <f>Calculations!AA737</f>
        <v>#DIV/0!</v>
      </c>
    </row>
    <row r="34" spans="1:27">
      <c r="A34" s="3">
        <f>Calculations!A738</f>
        <v>30</v>
      </c>
      <c r="B34">
        <f>Calculations!B738</f>
        <v>0</v>
      </c>
      <c r="C34">
        <f>Calculations!C738</f>
        <v>0</v>
      </c>
      <c r="D34">
        <f>Calculations!D738</f>
        <v>0</v>
      </c>
      <c r="E34" s="265">
        <f>Calculations!E738</f>
        <v>0</v>
      </c>
      <c r="F34" s="265">
        <f>Calculations!F738</f>
        <v>0</v>
      </c>
      <c r="G34" s="265">
        <f>Calculations!G738</f>
        <v>0</v>
      </c>
      <c r="H34" s="197">
        <f>Calculations!H738</f>
        <v>0</v>
      </c>
      <c r="I34" s="197">
        <f>Calculations!I738</f>
        <v>0</v>
      </c>
      <c r="J34" s="137">
        <f>Calculations!J738</f>
        <v>0</v>
      </c>
      <c r="K34" s="66">
        <f>Calculations!K738</f>
        <v>0</v>
      </c>
      <c r="L34" s="66">
        <f>Calculations!L738</f>
        <v>0</v>
      </c>
      <c r="M34">
        <f>Calculations!M738</f>
        <v>0</v>
      </c>
      <c r="N34" s="66">
        <f>Calculations!N738</f>
        <v>0</v>
      </c>
      <c r="O34" s="66">
        <f>Calculations!O738</f>
        <v>0</v>
      </c>
      <c r="P34" s="66">
        <f>Calculations!P738</f>
        <v>0</v>
      </c>
      <c r="Q34" s="204">
        <f>Calculations!Q738</f>
        <v>0</v>
      </c>
      <c r="R34" s="66">
        <f>Calculations!R738</f>
        <v>0</v>
      </c>
      <c r="S34" s="65">
        <f>Calculations!S738</f>
        <v>0</v>
      </c>
      <c r="T34" s="65">
        <f>Calculations!T738</f>
        <v>0</v>
      </c>
      <c r="U34" s="204">
        <f>Calculations!U738</f>
        <v>0</v>
      </c>
      <c r="V34" s="65">
        <f>Calculations!V738</f>
        <v>0</v>
      </c>
      <c r="W34" s="266">
        <f>Calculations!W738</f>
        <v>0</v>
      </c>
      <c r="X34" s="266">
        <f>Calculations!X738</f>
        <v>0</v>
      </c>
      <c r="Y34" s="266" t="e">
        <f>Calculations!Y738</f>
        <v>#DIV/0!</v>
      </c>
      <c r="Z34" s="266" t="e">
        <f>Calculations!Z738</f>
        <v>#DIV/0!</v>
      </c>
      <c r="AA34" s="266" t="e">
        <f>Calculations!AA738</f>
        <v>#DIV/0!</v>
      </c>
    </row>
    <row r="35" spans="1:27">
      <c r="A35" s="3">
        <f>Calculations!A739</f>
        <v>31</v>
      </c>
      <c r="B35">
        <f>Calculations!B739</f>
        <v>0</v>
      </c>
      <c r="C35">
        <f>Calculations!C739</f>
        <v>0</v>
      </c>
      <c r="D35">
        <f>Calculations!D739</f>
        <v>0</v>
      </c>
      <c r="E35" s="265">
        <f>Calculations!E739</f>
        <v>0</v>
      </c>
      <c r="F35" s="265">
        <f>Calculations!F739</f>
        <v>0</v>
      </c>
      <c r="G35" s="265">
        <f>Calculations!G739</f>
        <v>0</v>
      </c>
      <c r="H35" s="197">
        <f>Calculations!H739</f>
        <v>0</v>
      </c>
      <c r="I35" s="197">
        <f>Calculations!I739</f>
        <v>0</v>
      </c>
      <c r="J35" s="137">
        <f>Calculations!J739</f>
        <v>0</v>
      </c>
      <c r="K35" s="66">
        <f>Calculations!K739</f>
        <v>0</v>
      </c>
      <c r="L35" s="66">
        <f>Calculations!L739</f>
        <v>0</v>
      </c>
      <c r="M35">
        <f>Calculations!M739</f>
        <v>0</v>
      </c>
      <c r="N35" s="66">
        <f>Calculations!N739</f>
        <v>0</v>
      </c>
      <c r="O35" s="66">
        <f>Calculations!O739</f>
        <v>0</v>
      </c>
      <c r="P35" s="66">
        <f>Calculations!P739</f>
        <v>0</v>
      </c>
      <c r="Q35" s="204">
        <f>Calculations!Q739</f>
        <v>0</v>
      </c>
      <c r="R35" s="66">
        <f>Calculations!R739</f>
        <v>0</v>
      </c>
      <c r="S35" s="65">
        <f>Calculations!S739</f>
        <v>0</v>
      </c>
      <c r="T35" s="65">
        <f>Calculations!T739</f>
        <v>0</v>
      </c>
      <c r="U35" s="204">
        <f>Calculations!U739</f>
        <v>0</v>
      </c>
      <c r="V35" s="65">
        <f>Calculations!V739</f>
        <v>0</v>
      </c>
      <c r="W35" s="266">
        <f>Calculations!W739</f>
        <v>0</v>
      </c>
      <c r="X35" s="266">
        <f>Calculations!X739</f>
        <v>0</v>
      </c>
      <c r="Y35" s="266" t="e">
        <f>Calculations!Y739</f>
        <v>#DIV/0!</v>
      </c>
      <c r="Z35" s="266" t="e">
        <f>Calculations!Z739</f>
        <v>#DIV/0!</v>
      </c>
      <c r="AA35" s="266" t="e">
        <f>Calculations!AA739</f>
        <v>#DIV/0!</v>
      </c>
    </row>
    <row r="36" spans="1:27">
      <c r="A36" s="3">
        <f>Calculations!A740</f>
        <v>32</v>
      </c>
      <c r="B36">
        <f>Calculations!B740</f>
        <v>0</v>
      </c>
      <c r="C36">
        <f>Calculations!C740</f>
        <v>0</v>
      </c>
      <c r="D36">
        <f>Calculations!D740</f>
        <v>0</v>
      </c>
      <c r="E36" s="265">
        <f>Calculations!E740</f>
        <v>0</v>
      </c>
      <c r="F36" s="265">
        <f>Calculations!F740</f>
        <v>0</v>
      </c>
      <c r="G36" s="265">
        <f>Calculations!G740</f>
        <v>0</v>
      </c>
      <c r="H36" s="197">
        <f>Calculations!H740</f>
        <v>0</v>
      </c>
      <c r="I36" s="197">
        <f>Calculations!I740</f>
        <v>0</v>
      </c>
      <c r="J36" s="137">
        <f>Calculations!J740</f>
        <v>0</v>
      </c>
      <c r="K36" s="66">
        <f>Calculations!K740</f>
        <v>0</v>
      </c>
      <c r="L36" s="66">
        <f>Calculations!L740</f>
        <v>0</v>
      </c>
      <c r="M36">
        <f>Calculations!M740</f>
        <v>0</v>
      </c>
      <c r="N36" s="66">
        <f>Calculations!N740</f>
        <v>0</v>
      </c>
      <c r="O36" s="66">
        <f>Calculations!O740</f>
        <v>0</v>
      </c>
      <c r="P36" s="66">
        <f>Calculations!P740</f>
        <v>0</v>
      </c>
      <c r="Q36" s="204">
        <f>Calculations!Q740</f>
        <v>0</v>
      </c>
      <c r="R36" s="66">
        <f>Calculations!R740</f>
        <v>0</v>
      </c>
      <c r="S36" s="65">
        <f>Calculations!S740</f>
        <v>0</v>
      </c>
      <c r="T36" s="65">
        <f>Calculations!T740</f>
        <v>0</v>
      </c>
      <c r="U36" s="204">
        <f>Calculations!U740</f>
        <v>0</v>
      </c>
      <c r="V36" s="65">
        <f>Calculations!V740</f>
        <v>0</v>
      </c>
      <c r="W36" s="266">
        <f>Calculations!W740</f>
        <v>0</v>
      </c>
      <c r="X36" s="266">
        <f>Calculations!X740</f>
        <v>0</v>
      </c>
      <c r="Y36" s="266" t="e">
        <f>Calculations!Y740</f>
        <v>#DIV/0!</v>
      </c>
      <c r="Z36" s="266" t="e">
        <f>Calculations!Z740</f>
        <v>#DIV/0!</v>
      </c>
      <c r="AA36" s="266" t="e">
        <f>Calculations!AA740</f>
        <v>#DIV/0!</v>
      </c>
    </row>
    <row r="37" spans="1:27">
      <c r="A37" s="3">
        <f>Calculations!A741</f>
        <v>33</v>
      </c>
      <c r="B37">
        <f>Calculations!B741</f>
        <v>0</v>
      </c>
      <c r="C37">
        <f>Calculations!C741</f>
        <v>0</v>
      </c>
      <c r="D37">
        <f>Calculations!D741</f>
        <v>0</v>
      </c>
      <c r="E37" s="265">
        <f>Calculations!E741</f>
        <v>0</v>
      </c>
      <c r="F37" s="265">
        <f>Calculations!F741</f>
        <v>0</v>
      </c>
      <c r="G37" s="265">
        <f>Calculations!G741</f>
        <v>0</v>
      </c>
      <c r="H37" s="197">
        <f>Calculations!H741</f>
        <v>0</v>
      </c>
      <c r="I37" s="197">
        <f>Calculations!I741</f>
        <v>0</v>
      </c>
      <c r="J37" s="137">
        <f>Calculations!J741</f>
        <v>0</v>
      </c>
      <c r="K37" s="66">
        <f>Calculations!K741</f>
        <v>0</v>
      </c>
      <c r="L37" s="66">
        <f>Calculations!L741</f>
        <v>0</v>
      </c>
      <c r="M37">
        <f>Calculations!M741</f>
        <v>0</v>
      </c>
      <c r="N37" s="66">
        <f>Calculations!N741</f>
        <v>0</v>
      </c>
      <c r="O37" s="66">
        <f>Calculations!O741</f>
        <v>0</v>
      </c>
      <c r="P37" s="66">
        <f>Calculations!P741</f>
        <v>0</v>
      </c>
      <c r="Q37" s="204">
        <f>Calculations!Q741</f>
        <v>0</v>
      </c>
      <c r="R37" s="66">
        <f>Calculations!R741</f>
        <v>0</v>
      </c>
      <c r="S37" s="65">
        <f>Calculations!S741</f>
        <v>0</v>
      </c>
      <c r="T37" s="65">
        <f>Calculations!T741</f>
        <v>0</v>
      </c>
      <c r="U37" s="204">
        <f>Calculations!U741</f>
        <v>0</v>
      </c>
      <c r="V37" s="65">
        <f>Calculations!V741</f>
        <v>0</v>
      </c>
      <c r="W37" s="266">
        <f>Calculations!W741</f>
        <v>0</v>
      </c>
      <c r="X37" s="266">
        <f>Calculations!X741</f>
        <v>0</v>
      </c>
      <c r="Y37" s="266" t="e">
        <f>Calculations!Y741</f>
        <v>#DIV/0!</v>
      </c>
      <c r="Z37" s="266" t="e">
        <f>Calculations!Z741</f>
        <v>#DIV/0!</v>
      </c>
      <c r="AA37" s="266" t="e">
        <f>Calculations!AA741</f>
        <v>#DIV/0!</v>
      </c>
    </row>
    <row r="38" spans="1:27">
      <c r="A38" s="3">
        <f>Calculations!A742</f>
        <v>34</v>
      </c>
      <c r="B38">
        <f>Calculations!B742</f>
        <v>0</v>
      </c>
      <c r="C38">
        <f>Calculations!C742</f>
        <v>0</v>
      </c>
      <c r="D38">
        <f>Calculations!D742</f>
        <v>0</v>
      </c>
      <c r="E38" s="265">
        <f>Calculations!E742</f>
        <v>0</v>
      </c>
      <c r="F38" s="265">
        <f>Calculations!F742</f>
        <v>0</v>
      </c>
      <c r="G38" s="265">
        <f>Calculations!G742</f>
        <v>0</v>
      </c>
      <c r="H38" s="197">
        <f>Calculations!H742</f>
        <v>0</v>
      </c>
      <c r="I38" s="197">
        <f>Calculations!I742</f>
        <v>0</v>
      </c>
      <c r="J38" s="137">
        <f>Calculations!J742</f>
        <v>0</v>
      </c>
      <c r="K38" s="66">
        <f>Calculations!K742</f>
        <v>0</v>
      </c>
      <c r="L38" s="66">
        <f>Calculations!L742</f>
        <v>0</v>
      </c>
      <c r="M38">
        <f>Calculations!M742</f>
        <v>0</v>
      </c>
      <c r="N38" s="66">
        <f>Calculations!N742</f>
        <v>0</v>
      </c>
      <c r="O38" s="66">
        <f>Calculations!O742</f>
        <v>0</v>
      </c>
      <c r="P38" s="66">
        <f>Calculations!P742</f>
        <v>0</v>
      </c>
      <c r="Q38" s="204">
        <f>Calculations!Q742</f>
        <v>0</v>
      </c>
      <c r="R38" s="66">
        <f>Calculations!R742</f>
        <v>0</v>
      </c>
      <c r="S38" s="65">
        <f>Calculations!S742</f>
        <v>0</v>
      </c>
      <c r="T38" s="65">
        <f>Calculations!T742</f>
        <v>0</v>
      </c>
      <c r="U38" s="204">
        <f>Calculations!U742</f>
        <v>0</v>
      </c>
      <c r="V38" s="65">
        <f>Calculations!V742</f>
        <v>0</v>
      </c>
      <c r="W38" s="266">
        <f>Calculations!W742</f>
        <v>0</v>
      </c>
      <c r="X38" s="266">
        <f>Calculations!X742</f>
        <v>0</v>
      </c>
      <c r="Y38" s="266" t="e">
        <f>Calculations!Y742</f>
        <v>#DIV/0!</v>
      </c>
      <c r="Z38" s="266" t="e">
        <f>Calculations!Z742</f>
        <v>#DIV/0!</v>
      </c>
      <c r="AA38" s="266" t="e">
        <f>Calculations!AA742</f>
        <v>#DIV/0!</v>
      </c>
    </row>
    <row r="39" spans="1:27">
      <c r="A39" s="3">
        <f>Calculations!A743</f>
        <v>35</v>
      </c>
      <c r="B39">
        <f>Calculations!B743</f>
        <v>0</v>
      </c>
      <c r="C39">
        <f>Calculations!C743</f>
        <v>0</v>
      </c>
      <c r="D39">
        <f>Calculations!D743</f>
        <v>0</v>
      </c>
      <c r="E39" s="265">
        <f>Calculations!E743</f>
        <v>0</v>
      </c>
      <c r="F39" s="265">
        <f>Calculations!F743</f>
        <v>0</v>
      </c>
      <c r="G39" s="265">
        <f>Calculations!G743</f>
        <v>0</v>
      </c>
      <c r="H39" s="197">
        <f>Calculations!H743</f>
        <v>0</v>
      </c>
      <c r="I39" s="197">
        <f>Calculations!I743</f>
        <v>0</v>
      </c>
      <c r="J39" s="137">
        <f>Calculations!J743</f>
        <v>0</v>
      </c>
      <c r="K39" s="66">
        <f>Calculations!K743</f>
        <v>0</v>
      </c>
      <c r="L39" s="66">
        <f>Calculations!L743</f>
        <v>0</v>
      </c>
      <c r="M39">
        <f>Calculations!M743</f>
        <v>0</v>
      </c>
      <c r="N39" s="66">
        <f>Calculations!N743</f>
        <v>0</v>
      </c>
      <c r="O39" s="66">
        <f>Calculations!O743</f>
        <v>0</v>
      </c>
      <c r="P39" s="66">
        <f>Calculations!P743</f>
        <v>0</v>
      </c>
      <c r="Q39" s="204">
        <f>Calculations!Q743</f>
        <v>0</v>
      </c>
      <c r="R39" s="66">
        <f>Calculations!R743</f>
        <v>0</v>
      </c>
      <c r="S39" s="65">
        <f>Calculations!S743</f>
        <v>0</v>
      </c>
      <c r="T39" s="65">
        <f>Calculations!T743</f>
        <v>0</v>
      </c>
      <c r="U39" s="204">
        <f>Calculations!U743</f>
        <v>0</v>
      </c>
      <c r="V39" s="65">
        <f>Calculations!V743</f>
        <v>0</v>
      </c>
      <c r="W39" s="266">
        <f>Calculations!W743</f>
        <v>0</v>
      </c>
      <c r="X39" s="266">
        <f>Calculations!X743</f>
        <v>0</v>
      </c>
      <c r="Y39" s="266" t="e">
        <f>Calculations!Y743</f>
        <v>#DIV/0!</v>
      </c>
      <c r="Z39" s="266" t="e">
        <f>Calculations!Z743</f>
        <v>#DIV/0!</v>
      </c>
      <c r="AA39" s="266" t="e">
        <f>Calculations!AA743</f>
        <v>#DIV/0!</v>
      </c>
    </row>
    <row r="40" spans="1:27">
      <c r="A40" s="3">
        <f>Calculations!A744</f>
        <v>36</v>
      </c>
      <c r="B40">
        <f>Calculations!B744</f>
        <v>0</v>
      </c>
      <c r="C40">
        <f>Calculations!C744</f>
        <v>0</v>
      </c>
      <c r="D40">
        <f>Calculations!D744</f>
        <v>0</v>
      </c>
      <c r="E40" s="265">
        <f>Calculations!E744</f>
        <v>0</v>
      </c>
      <c r="F40" s="265">
        <f>Calculations!F744</f>
        <v>0</v>
      </c>
      <c r="G40" s="265">
        <f>Calculations!G744</f>
        <v>0</v>
      </c>
      <c r="H40" s="197">
        <f>Calculations!H744</f>
        <v>0</v>
      </c>
      <c r="I40" s="197">
        <f>Calculations!I744</f>
        <v>0</v>
      </c>
      <c r="J40" s="137">
        <f>Calculations!J744</f>
        <v>0</v>
      </c>
      <c r="K40" s="66">
        <f>Calculations!K744</f>
        <v>0</v>
      </c>
      <c r="L40" s="66">
        <f>Calculations!L744</f>
        <v>0</v>
      </c>
      <c r="M40">
        <f>Calculations!M744</f>
        <v>0</v>
      </c>
      <c r="N40" s="66">
        <f>Calculations!N744</f>
        <v>0</v>
      </c>
      <c r="O40" s="66">
        <f>Calculations!O744</f>
        <v>0</v>
      </c>
      <c r="P40" s="66">
        <f>Calculations!P744</f>
        <v>0</v>
      </c>
      <c r="Q40" s="204">
        <f>Calculations!Q744</f>
        <v>0</v>
      </c>
      <c r="R40" s="66">
        <f>Calculations!R744</f>
        <v>0</v>
      </c>
      <c r="S40" s="65">
        <f>Calculations!S744</f>
        <v>0</v>
      </c>
      <c r="T40" s="65">
        <f>Calculations!T744</f>
        <v>0</v>
      </c>
      <c r="U40" s="204">
        <f>Calculations!U744</f>
        <v>0</v>
      </c>
      <c r="V40" s="65">
        <f>Calculations!V744</f>
        <v>0</v>
      </c>
      <c r="W40" s="266">
        <f>Calculations!W744</f>
        <v>0</v>
      </c>
      <c r="X40" s="266">
        <f>Calculations!X744</f>
        <v>0</v>
      </c>
      <c r="Y40" s="266" t="e">
        <f>Calculations!Y744</f>
        <v>#DIV/0!</v>
      </c>
      <c r="Z40" s="266" t="e">
        <f>Calculations!Z744</f>
        <v>#DIV/0!</v>
      </c>
      <c r="AA40" s="266" t="e">
        <f>Calculations!AA744</f>
        <v>#DIV/0!</v>
      </c>
    </row>
    <row r="41" spans="1:27">
      <c r="A41" s="3">
        <f>Calculations!A745</f>
        <v>37</v>
      </c>
      <c r="B41">
        <f>Calculations!B745</f>
        <v>0</v>
      </c>
      <c r="C41">
        <f>Calculations!C745</f>
        <v>0</v>
      </c>
      <c r="D41">
        <f>Calculations!D745</f>
        <v>0</v>
      </c>
      <c r="E41" s="265">
        <f>Calculations!E745</f>
        <v>0</v>
      </c>
      <c r="F41" s="265">
        <f>Calculations!F745</f>
        <v>0</v>
      </c>
      <c r="G41" s="265">
        <f>Calculations!G745</f>
        <v>0</v>
      </c>
      <c r="H41" s="197">
        <f>Calculations!H745</f>
        <v>0</v>
      </c>
      <c r="I41" s="197">
        <f>Calculations!I745</f>
        <v>0</v>
      </c>
      <c r="J41" s="137">
        <f>Calculations!J745</f>
        <v>0</v>
      </c>
      <c r="K41" s="66">
        <f>Calculations!K745</f>
        <v>0</v>
      </c>
      <c r="L41" s="66">
        <f>Calculations!L745</f>
        <v>0</v>
      </c>
      <c r="M41">
        <f>Calculations!M745</f>
        <v>0</v>
      </c>
      <c r="N41" s="66">
        <f>Calculations!N745</f>
        <v>0</v>
      </c>
      <c r="O41" s="66">
        <f>Calculations!O745</f>
        <v>0</v>
      </c>
      <c r="P41" s="66">
        <f>Calculations!P745</f>
        <v>0</v>
      </c>
      <c r="Q41" s="204">
        <f>Calculations!Q745</f>
        <v>0</v>
      </c>
      <c r="R41" s="66">
        <f>Calculations!R745</f>
        <v>0</v>
      </c>
      <c r="S41" s="65">
        <f>Calculations!S745</f>
        <v>0</v>
      </c>
      <c r="T41" s="65">
        <f>Calculations!T745</f>
        <v>0</v>
      </c>
      <c r="U41" s="204">
        <f>Calculations!U745</f>
        <v>0</v>
      </c>
      <c r="V41" s="65">
        <f>Calculations!V745</f>
        <v>0</v>
      </c>
      <c r="W41" s="266">
        <f>Calculations!W745</f>
        <v>0</v>
      </c>
      <c r="X41" s="266">
        <f>Calculations!X745</f>
        <v>0</v>
      </c>
      <c r="Y41" s="266" t="e">
        <f>Calculations!Y745</f>
        <v>#DIV/0!</v>
      </c>
      <c r="Z41" s="266" t="e">
        <f>Calculations!Z745</f>
        <v>#DIV/0!</v>
      </c>
      <c r="AA41" s="266" t="e">
        <f>Calculations!AA745</f>
        <v>#DIV/0!</v>
      </c>
    </row>
    <row r="42" spans="1:27">
      <c r="A42" s="3">
        <f>Calculations!A746</f>
        <v>38</v>
      </c>
      <c r="B42">
        <f>Calculations!B746</f>
        <v>0</v>
      </c>
      <c r="C42">
        <f>Calculations!C746</f>
        <v>0</v>
      </c>
      <c r="D42">
        <f>Calculations!D746</f>
        <v>0</v>
      </c>
      <c r="E42" s="265">
        <f>Calculations!E746</f>
        <v>0</v>
      </c>
      <c r="F42" s="265">
        <f>Calculations!F746</f>
        <v>0</v>
      </c>
      <c r="G42" s="265">
        <f>Calculations!G746</f>
        <v>0</v>
      </c>
      <c r="H42" s="197">
        <f>Calculations!H746</f>
        <v>0</v>
      </c>
      <c r="I42" s="197">
        <f>Calculations!I746</f>
        <v>0</v>
      </c>
      <c r="J42" s="137">
        <f>Calculations!J746</f>
        <v>0</v>
      </c>
      <c r="K42" s="66">
        <f>Calculations!K746</f>
        <v>0</v>
      </c>
      <c r="L42" s="66">
        <f>Calculations!L746</f>
        <v>0</v>
      </c>
      <c r="M42">
        <f>Calculations!M746</f>
        <v>0</v>
      </c>
      <c r="N42" s="66">
        <f>Calculations!N746</f>
        <v>0</v>
      </c>
      <c r="O42" s="66">
        <f>Calculations!O746</f>
        <v>0</v>
      </c>
      <c r="P42" s="66">
        <f>Calculations!P746</f>
        <v>0</v>
      </c>
      <c r="Q42" s="204">
        <f>Calculations!Q746</f>
        <v>0</v>
      </c>
      <c r="R42" s="66">
        <f>Calculations!R746</f>
        <v>0</v>
      </c>
      <c r="S42" s="65">
        <f>Calculations!S746</f>
        <v>0</v>
      </c>
      <c r="T42" s="65">
        <f>Calculations!T746</f>
        <v>0</v>
      </c>
      <c r="U42" s="204">
        <f>Calculations!U746</f>
        <v>0</v>
      </c>
      <c r="V42" s="65">
        <f>Calculations!V746</f>
        <v>0</v>
      </c>
      <c r="W42" s="266">
        <f>Calculations!W746</f>
        <v>0</v>
      </c>
      <c r="X42" s="266">
        <f>Calculations!X746</f>
        <v>0</v>
      </c>
      <c r="Y42" s="266" t="e">
        <f>Calculations!Y746</f>
        <v>#DIV/0!</v>
      </c>
      <c r="Z42" s="266" t="e">
        <f>Calculations!Z746</f>
        <v>#DIV/0!</v>
      </c>
      <c r="AA42" s="266" t="e">
        <f>Calculations!AA746</f>
        <v>#DIV/0!</v>
      </c>
    </row>
    <row r="43" spans="1:27">
      <c r="A43" s="3">
        <f>Calculations!A747</f>
        <v>39</v>
      </c>
      <c r="B43">
        <f>Calculations!B747</f>
        <v>0</v>
      </c>
      <c r="C43">
        <f>Calculations!C747</f>
        <v>0</v>
      </c>
      <c r="D43">
        <f>Calculations!D747</f>
        <v>0</v>
      </c>
      <c r="E43" s="265">
        <f>Calculations!E747</f>
        <v>0</v>
      </c>
      <c r="F43" s="265">
        <f>Calculations!F747</f>
        <v>0</v>
      </c>
      <c r="G43" s="265">
        <f>Calculations!G747</f>
        <v>0</v>
      </c>
      <c r="H43" s="197">
        <f>Calculations!H747</f>
        <v>0</v>
      </c>
      <c r="I43" s="197">
        <f>Calculations!I747</f>
        <v>0</v>
      </c>
      <c r="J43" s="137">
        <f>Calculations!J747</f>
        <v>0</v>
      </c>
      <c r="K43" s="66">
        <f>Calculations!K747</f>
        <v>0</v>
      </c>
      <c r="L43" s="66">
        <f>Calculations!L747</f>
        <v>0</v>
      </c>
      <c r="M43">
        <f>Calculations!M747</f>
        <v>0</v>
      </c>
      <c r="N43" s="66">
        <f>Calculations!N747</f>
        <v>0</v>
      </c>
      <c r="O43" s="66">
        <f>Calculations!O747</f>
        <v>0</v>
      </c>
      <c r="P43" s="66">
        <f>Calculations!P747</f>
        <v>0</v>
      </c>
      <c r="Q43" s="204">
        <f>Calculations!Q747</f>
        <v>0</v>
      </c>
      <c r="R43" s="66">
        <f>Calculations!R747</f>
        <v>0</v>
      </c>
      <c r="S43" s="65">
        <f>Calculations!S747</f>
        <v>0</v>
      </c>
      <c r="T43" s="65">
        <f>Calculations!T747</f>
        <v>0</v>
      </c>
      <c r="U43" s="204">
        <f>Calculations!U747</f>
        <v>0</v>
      </c>
      <c r="V43" s="65">
        <f>Calculations!V747</f>
        <v>0</v>
      </c>
      <c r="W43" s="266">
        <f>Calculations!W747</f>
        <v>0</v>
      </c>
      <c r="X43" s="266">
        <f>Calculations!X747</f>
        <v>0</v>
      </c>
      <c r="Y43" s="266" t="e">
        <f>Calculations!Y747</f>
        <v>#DIV/0!</v>
      </c>
      <c r="Z43" s="266" t="e">
        <f>Calculations!Z747</f>
        <v>#DIV/0!</v>
      </c>
      <c r="AA43" s="266" t="e">
        <f>Calculations!AA747</f>
        <v>#DIV/0!</v>
      </c>
    </row>
    <row r="44" spans="1:27">
      <c r="A44" s="3">
        <f>Calculations!A748</f>
        <v>40</v>
      </c>
      <c r="B44">
        <f>Calculations!B748</f>
        <v>0</v>
      </c>
      <c r="C44">
        <f>Calculations!C748</f>
        <v>0</v>
      </c>
      <c r="D44">
        <f>Calculations!D748</f>
        <v>0</v>
      </c>
      <c r="E44" s="265">
        <f>Calculations!E748</f>
        <v>0</v>
      </c>
      <c r="F44" s="265">
        <f>Calculations!F748</f>
        <v>0</v>
      </c>
      <c r="G44" s="265">
        <f>Calculations!G748</f>
        <v>0</v>
      </c>
      <c r="H44" s="197">
        <f>Calculations!H748</f>
        <v>0</v>
      </c>
      <c r="I44" s="197">
        <f>Calculations!I748</f>
        <v>0</v>
      </c>
      <c r="J44" s="137">
        <f>Calculations!J748</f>
        <v>0</v>
      </c>
      <c r="K44" s="66">
        <f>Calculations!K748</f>
        <v>0</v>
      </c>
      <c r="L44" s="66">
        <f>Calculations!L748</f>
        <v>0</v>
      </c>
      <c r="M44">
        <f>Calculations!M748</f>
        <v>0</v>
      </c>
      <c r="N44" s="66">
        <f>Calculations!N748</f>
        <v>0</v>
      </c>
      <c r="O44" s="66">
        <f>Calculations!O748</f>
        <v>0</v>
      </c>
      <c r="P44" s="66">
        <f>Calculations!P748</f>
        <v>0</v>
      </c>
      <c r="Q44" s="204">
        <f>Calculations!Q748</f>
        <v>0</v>
      </c>
      <c r="R44" s="66">
        <f>Calculations!R748</f>
        <v>0</v>
      </c>
      <c r="S44" s="65">
        <f>Calculations!S748</f>
        <v>0</v>
      </c>
      <c r="T44" s="65">
        <f>Calculations!T748</f>
        <v>0</v>
      </c>
      <c r="U44" s="204">
        <f>Calculations!U748</f>
        <v>0</v>
      </c>
      <c r="V44" s="65">
        <f>Calculations!V748</f>
        <v>0</v>
      </c>
      <c r="W44" s="266">
        <f>Calculations!W748</f>
        <v>0</v>
      </c>
      <c r="X44" s="266">
        <f>Calculations!X748</f>
        <v>0</v>
      </c>
      <c r="Y44" s="266" t="e">
        <f>Calculations!Y748</f>
        <v>#DIV/0!</v>
      </c>
      <c r="Z44" s="266" t="e">
        <f>Calculations!Z748</f>
        <v>#DIV/0!</v>
      </c>
      <c r="AA44" s="266" t="e">
        <f>Calculations!AA748</f>
        <v>#DIV/0!</v>
      </c>
    </row>
    <row r="45" spans="1:27">
      <c r="A45" s="3">
        <f>Calculations!A749</f>
        <v>41</v>
      </c>
      <c r="B45">
        <f>Calculations!B749</f>
        <v>0</v>
      </c>
      <c r="C45">
        <f>Calculations!C749</f>
        <v>0</v>
      </c>
      <c r="D45">
        <f>Calculations!D749</f>
        <v>0</v>
      </c>
      <c r="E45" s="265">
        <f>Calculations!E749</f>
        <v>0</v>
      </c>
      <c r="F45" s="265">
        <f>Calculations!F749</f>
        <v>0</v>
      </c>
      <c r="G45" s="265">
        <f>Calculations!G749</f>
        <v>0</v>
      </c>
      <c r="H45" s="197">
        <f>Calculations!H749</f>
        <v>0</v>
      </c>
      <c r="I45" s="197">
        <f>Calculations!I749</f>
        <v>0</v>
      </c>
      <c r="J45" s="137">
        <f>Calculations!J749</f>
        <v>0</v>
      </c>
      <c r="K45" s="66">
        <f>Calculations!K749</f>
        <v>0</v>
      </c>
      <c r="L45" s="66">
        <f>Calculations!L749</f>
        <v>0</v>
      </c>
      <c r="M45">
        <f>Calculations!M749</f>
        <v>0</v>
      </c>
      <c r="N45" s="66">
        <f>Calculations!N749</f>
        <v>0</v>
      </c>
      <c r="O45" s="66">
        <f>Calculations!O749</f>
        <v>0</v>
      </c>
      <c r="P45" s="66">
        <f>Calculations!P749</f>
        <v>0</v>
      </c>
      <c r="Q45" s="204">
        <f>Calculations!Q749</f>
        <v>0</v>
      </c>
      <c r="R45" s="66">
        <f>Calculations!R749</f>
        <v>0</v>
      </c>
      <c r="S45" s="65">
        <f>Calculations!S749</f>
        <v>0</v>
      </c>
      <c r="T45" s="65">
        <f>Calculations!T749</f>
        <v>0</v>
      </c>
      <c r="U45" s="204">
        <f>Calculations!U749</f>
        <v>0</v>
      </c>
      <c r="V45" s="65">
        <f>Calculations!V749</f>
        <v>0</v>
      </c>
      <c r="W45" s="266">
        <f>Calculations!W749</f>
        <v>0</v>
      </c>
      <c r="X45" s="266">
        <f>Calculations!X749</f>
        <v>0</v>
      </c>
      <c r="Y45" s="266" t="e">
        <f>Calculations!Y749</f>
        <v>#DIV/0!</v>
      </c>
      <c r="Z45" s="266" t="e">
        <f>Calculations!Z749</f>
        <v>#DIV/0!</v>
      </c>
      <c r="AA45" s="266" t="e">
        <f>Calculations!AA749</f>
        <v>#DIV/0!</v>
      </c>
    </row>
    <row r="46" spans="1:27">
      <c r="A46" s="3">
        <f>Calculations!A750</f>
        <v>42</v>
      </c>
      <c r="B46">
        <f>Calculations!B750</f>
        <v>0</v>
      </c>
      <c r="C46">
        <f>Calculations!C750</f>
        <v>0</v>
      </c>
      <c r="D46">
        <f>Calculations!D750</f>
        <v>0</v>
      </c>
      <c r="E46" s="265">
        <f>Calculations!E750</f>
        <v>0</v>
      </c>
      <c r="F46" s="265">
        <f>Calculations!F750</f>
        <v>0</v>
      </c>
      <c r="G46" s="265">
        <f>Calculations!G750</f>
        <v>0</v>
      </c>
      <c r="H46" s="197">
        <f>Calculations!H750</f>
        <v>0</v>
      </c>
      <c r="I46" s="197">
        <f>Calculations!I750</f>
        <v>0</v>
      </c>
      <c r="J46" s="137">
        <f>Calculations!J750</f>
        <v>0</v>
      </c>
      <c r="K46" s="66">
        <f>Calculations!K750</f>
        <v>0</v>
      </c>
      <c r="L46" s="66">
        <f>Calculations!L750</f>
        <v>0</v>
      </c>
      <c r="M46">
        <f>Calculations!M750</f>
        <v>0</v>
      </c>
      <c r="N46" s="66">
        <f>Calculations!N750</f>
        <v>0</v>
      </c>
      <c r="O46" s="66">
        <f>Calculations!O750</f>
        <v>0</v>
      </c>
      <c r="P46" s="66">
        <f>Calculations!P750</f>
        <v>0</v>
      </c>
      <c r="Q46" s="204">
        <f>Calculations!Q750</f>
        <v>0</v>
      </c>
      <c r="R46" s="66">
        <f>Calculations!R750</f>
        <v>0</v>
      </c>
      <c r="S46" s="65">
        <f>Calculations!S750</f>
        <v>0</v>
      </c>
      <c r="T46" s="65">
        <f>Calculations!T750</f>
        <v>0</v>
      </c>
      <c r="U46" s="204">
        <f>Calculations!U750</f>
        <v>0</v>
      </c>
      <c r="V46" s="65">
        <f>Calculations!V750</f>
        <v>0</v>
      </c>
      <c r="W46" s="266">
        <f>Calculations!W750</f>
        <v>0</v>
      </c>
      <c r="X46" s="266">
        <f>Calculations!X750</f>
        <v>0</v>
      </c>
      <c r="Y46" s="266" t="e">
        <f>Calculations!Y750</f>
        <v>#DIV/0!</v>
      </c>
      <c r="Z46" s="266" t="e">
        <f>Calculations!Z750</f>
        <v>#DIV/0!</v>
      </c>
      <c r="AA46" s="266" t="e">
        <f>Calculations!AA750</f>
        <v>#DIV/0!</v>
      </c>
    </row>
    <row r="47" spans="1:27">
      <c r="A47" s="3">
        <f>Calculations!A751</f>
        <v>43</v>
      </c>
      <c r="B47">
        <f>Calculations!B751</f>
        <v>0</v>
      </c>
      <c r="C47">
        <f>Calculations!C751</f>
        <v>0</v>
      </c>
      <c r="D47">
        <f>Calculations!D751</f>
        <v>0</v>
      </c>
      <c r="E47" s="265">
        <f>Calculations!E751</f>
        <v>0</v>
      </c>
      <c r="F47" s="265">
        <f>Calculations!F751</f>
        <v>0</v>
      </c>
      <c r="G47" s="265">
        <f>Calculations!G751</f>
        <v>0</v>
      </c>
      <c r="H47" s="197">
        <f>Calculations!H751</f>
        <v>0</v>
      </c>
      <c r="I47" s="197">
        <f>Calculations!I751</f>
        <v>0</v>
      </c>
      <c r="J47" s="137">
        <f>Calculations!J751</f>
        <v>0</v>
      </c>
      <c r="K47" s="66">
        <f>Calculations!K751</f>
        <v>0</v>
      </c>
      <c r="L47" s="66">
        <f>Calculations!L751</f>
        <v>0</v>
      </c>
      <c r="M47">
        <f>Calculations!M751</f>
        <v>0</v>
      </c>
      <c r="N47" s="66">
        <f>Calculations!N751</f>
        <v>0</v>
      </c>
      <c r="O47" s="66">
        <f>Calculations!O751</f>
        <v>0</v>
      </c>
      <c r="P47" s="66">
        <f>Calculations!P751</f>
        <v>0</v>
      </c>
      <c r="Q47" s="204">
        <f>Calculations!Q751</f>
        <v>0</v>
      </c>
      <c r="R47" s="66">
        <f>Calculations!R751</f>
        <v>0</v>
      </c>
      <c r="S47" s="65">
        <f>Calculations!S751</f>
        <v>0</v>
      </c>
      <c r="T47" s="65">
        <f>Calculations!T751</f>
        <v>0</v>
      </c>
      <c r="U47" s="204">
        <f>Calculations!U751</f>
        <v>0</v>
      </c>
      <c r="V47" s="65">
        <f>Calculations!V751</f>
        <v>0</v>
      </c>
      <c r="W47" s="266">
        <f>Calculations!W751</f>
        <v>0</v>
      </c>
      <c r="X47" s="266">
        <f>Calculations!X751</f>
        <v>0</v>
      </c>
      <c r="Y47" s="266" t="e">
        <f>Calculations!Y751</f>
        <v>#DIV/0!</v>
      </c>
      <c r="Z47" s="266" t="e">
        <f>Calculations!Z751</f>
        <v>#DIV/0!</v>
      </c>
      <c r="AA47" s="266" t="e">
        <f>Calculations!AA751</f>
        <v>#DIV/0!</v>
      </c>
    </row>
    <row r="48" spans="1:27">
      <c r="A48" s="3">
        <f>Calculations!A752</f>
        <v>44</v>
      </c>
      <c r="B48">
        <f>Calculations!B752</f>
        <v>0</v>
      </c>
      <c r="C48">
        <f>Calculations!C752</f>
        <v>0</v>
      </c>
      <c r="D48">
        <f>Calculations!D752</f>
        <v>0</v>
      </c>
      <c r="E48" s="265">
        <f>Calculations!E752</f>
        <v>0</v>
      </c>
      <c r="F48" s="265">
        <f>Calculations!F752</f>
        <v>0</v>
      </c>
      <c r="G48" s="265">
        <f>Calculations!G752</f>
        <v>0</v>
      </c>
      <c r="H48" s="197">
        <f>Calculations!H752</f>
        <v>0</v>
      </c>
      <c r="I48" s="197">
        <f>Calculations!I752</f>
        <v>0</v>
      </c>
      <c r="J48" s="137">
        <f>Calculations!J752</f>
        <v>0</v>
      </c>
      <c r="K48" s="66">
        <f>Calculations!K752</f>
        <v>0</v>
      </c>
      <c r="L48" s="66">
        <f>Calculations!L752</f>
        <v>0</v>
      </c>
      <c r="M48">
        <f>Calculations!M752</f>
        <v>0</v>
      </c>
      <c r="N48" s="66">
        <f>Calculations!N752</f>
        <v>0</v>
      </c>
      <c r="O48" s="66">
        <f>Calculations!O752</f>
        <v>0</v>
      </c>
      <c r="P48" s="66">
        <f>Calculations!P752</f>
        <v>0</v>
      </c>
      <c r="Q48" s="204">
        <f>Calculations!Q752</f>
        <v>0</v>
      </c>
      <c r="R48" s="66">
        <f>Calculations!R752</f>
        <v>0</v>
      </c>
      <c r="S48" s="65">
        <f>Calculations!S752</f>
        <v>0</v>
      </c>
      <c r="T48" s="65">
        <f>Calculations!T752</f>
        <v>0</v>
      </c>
      <c r="U48" s="204">
        <f>Calculations!U752</f>
        <v>0</v>
      </c>
      <c r="V48" s="65">
        <f>Calculations!V752</f>
        <v>0</v>
      </c>
      <c r="W48" s="266">
        <f>Calculations!W752</f>
        <v>0</v>
      </c>
      <c r="X48" s="266">
        <f>Calculations!X752</f>
        <v>0</v>
      </c>
      <c r="Y48" s="266" t="e">
        <f>Calculations!Y752</f>
        <v>#DIV/0!</v>
      </c>
      <c r="Z48" s="266" t="e">
        <f>Calculations!Z752</f>
        <v>#DIV/0!</v>
      </c>
      <c r="AA48" s="266" t="e">
        <f>Calculations!AA752</f>
        <v>#DIV/0!</v>
      </c>
    </row>
    <row r="49" spans="1:27">
      <c r="A49" s="3">
        <f>Calculations!A753</f>
        <v>45</v>
      </c>
      <c r="B49">
        <f>Calculations!B753</f>
        <v>0</v>
      </c>
      <c r="C49">
        <f>Calculations!C753</f>
        <v>0</v>
      </c>
      <c r="D49">
        <f>Calculations!D753</f>
        <v>0</v>
      </c>
      <c r="E49" s="265">
        <f>Calculations!E753</f>
        <v>0</v>
      </c>
      <c r="F49" s="265">
        <f>Calculations!F753</f>
        <v>0</v>
      </c>
      <c r="G49" s="265">
        <f>Calculations!G753</f>
        <v>0</v>
      </c>
      <c r="H49" s="197">
        <f>Calculations!H753</f>
        <v>0</v>
      </c>
      <c r="I49" s="197">
        <f>Calculations!I753</f>
        <v>0</v>
      </c>
      <c r="J49" s="137">
        <f>Calculations!J753</f>
        <v>0</v>
      </c>
      <c r="K49" s="66">
        <f>Calculations!K753</f>
        <v>0</v>
      </c>
      <c r="L49" s="66">
        <f>Calculations!L753</f>
        <v>0</v>
      </c>
      <c r="M49">
        <f>Calculations!M753</f>
        <v>0</v>
      </c>
      <c r="N49" s="66">
        <f>Calculations!N753</f>
        <v>0</v>
      </c>
      <c r="O49" s="66">
        <f>Calculations!O753</f>
        <v>0</v>
      </c>
      <c r="P49" s="66">
        <f>Calculations!P753</f>
        <v>0</v>
      </c>
      <c r="Q49" s="204">
        <f>Calculations!Q753</f>
        <v>0</v>
      </c>
      <c r="R49" s="66">
        <f>Calculations!R753</f>
        <v>0</v>
      </c>
      <c r="S49" s="65">
        <f>Calculations!S753</f>
        <v>0</v>
      </c>
      <c r="T49" s="65">
        <f>Calculations!T753</f>
        <v>0</v>
      </c>
      <c r="U49" s="204">
        <f>Calculations!U753</f>
        <v>0</v>
      </c>
      <c r="V49" s="65">
        <f>Calculations!V753</f>
        <v>0</v>
      </c>
      <c r="W49" s="266">
        <f>Calculations!W753</f>
        <v>0</v>
      </c>
      <c r="X49" s="266">
        <f>Calculations!X753</f>
        <v>0</v>
      </c>
      <c r="Y49" s="266" t="e">
        <f>Calculations!Y753</f>
        <v>#DIV/0!</v>
      </c>
      <c r="Z49" s="266" t="e">
        <f>Calculations!Z753</f>
        <v>#DIV/0!</v>
      </c>
      <c r="AA49" s="266" t="e">
        <f>Calculations!AA753</f>
        <v>#DIV/0!</v>
      </c>
    </row>
    <row r="50" spans="1:27">
      <c r="A50" s="3">
        <f>Calculations!A754</f>
        <v>46</v>
      </c>
      <c r="B50">
        <f>Calculations!B754</f>
        <v>0</v>
      </c>
      <c r="C50">
        <f>Calculations!C754</f>
        <v>0</v>
      </c>
      <c r="D50">
        <f>Calculations!D754</f>
        <v>0</v>
      </c>
      <c r="E50" s="265">
        <f>Calculations!E754</f>
        <v>0</v>
      </c>
      <c r="F50" s="265">
        <f>Calculations!F754</f>
        <v>0</v>
      </c>
      <c r="G50" s="265">
        <f>Calculations!G754</f>
        <v>0</v>
      </c>
      <c r="H50" s="197">
        <f>Calculations!H754</f>
        <v>0</v>
      </c>
      <c r="I50" s="197">
        <f>Calculations!I754</f>
        <v>0</v>
      </c>
      <c r="J50" s="137">
        <f>Calculations!J754</f>
        <v>0</v>
      </c>
      <c r="K50" s="66">
        <f>Calculations!K754</f>
        <v>0</v>
      </c>
      <c r="L50" s="66">
        <f>Calculations!L754</f>
        <v>0</v>
      </c>
      <c r="M50">
        <f>Calculations!M754</f>
        <v>0</v>
      </c>
      <c r="N50" s="66">
        <f>Calculations!N754</f>
        <v>0</v>
      </c>
      <c r="O50" s="66">
        <f>Calculations!O754</f>
        <v>0</v>
      </c>
      <c r="P50" s="66">
        <f>Calculations!P754</f>
        <v>0</v>
      </c>
      <c r="Q50" s="204">
        <f>Calculations!Q754</f>
        <v>0</v>
      </c>
      <c r="R50" s="66">
        <f>Calculations!R754</f>
        <v>0</v>
      </c>
      <c r="S50" s="65">
        <f>Calculations!S754</f>
        <v>0</v>
      </c>
      <c r="T50" s="65">
        <f>Calculations!T754</f>
        <v>0</v>
      </c>
      <c r="U50" s="204">
        <f>Calculations!U754</f>
        <v>0</v>
      </c>
      <c r="V50" s="65">
        <f>Calculations!V754</f>
        <v>0</v>
      </c>
      <c r="W50" s="266">
        <f>Calculations!W754</f>
        <v>0</v>
      </c>
      <c r="X50" s="266">
        <f>Calculations!X754</f>
        <v>0</v>
      </c>
      <c r="Y50" s="266" t="e">
        <f>Calculations!Y754</f>
        <v>#DIV/0!</v>
      </c>
      <c r="Z50" s="266" t="e">
        <f>Calculations!Z754</f>
        <v>#DIV/0!</v>
      </c>
      <c r="AA50" s="266" t="e">
        <f>Calculations!AA754</f>
        <v>#DIV/0!</v>
      </c>
    </row>
    <row r="51" spans="1:27">
      <c r="A51" s="3">
        <f>Calculations!A755</f>
        <v>47</v>
      </c>
      <c r="B51">
        <f>Calculations!B755</f>
        <v>0</v>
      </c>
      <c r="C51">
        <f>Calculations!C755</f>
        <v>0</v>
      </c>
      <c r="D51">
        <f>Calculations!D755</f>
        <v>0</v>
      </c>
      <c r="E51" s="265">
        <f>Calculations!E755</f>
        <v>0</v>
      </c>
      <c r="F51" s="265">
        <f>Calculations!F755</f>
        <v>0</v>
      </c>
      <c r="G51" s="265">
        <f>Calculations!G755</f>
        <v>0</v>
      </c>
      <c r="H51" s="197">
        <f>Calculations!H755</f>
        <v>0</v>
      </c>
      <c r="I51" s="197">
        <f>Calculations!I755</f>
        <v>0</v>
      </c>
      <c r="J51" s="137">
        <f>Calculations!J755</f>
        <v>0</v>
      </c>
      <c r="K51" s="66">
        <f>Calculations!K755</f>
        <v>0</v>
      </c>
      <c r="L51" s="66">
        <f>Calculations!L755</f>
        <v>0</v>
      </c>
      <c r="M51">
        <f>Calculations!M755</f>
        <v>0</v>
      </c>
      <c r="N51" s="66">
        <f>Calculations!N755</f>
        <v>0</v>
      </c>
      <c r="O51" s="66">
        <f>Calculations!O755</f>
        <v>0</v>
      </c>
      <c r="P51" s="66">
        <f>Calculations!P755</f>
        <v>0</v>
      </c>
      <c r="Q51" s="204">
        <f>Calculations!Q755</f>
        <v>0</v>
      </c>
      <c r="R51" s="66">
        <f>Calculations!R755</f>
        <v>0</v>
      </c>
      <c r="S51" s="65">
        <f>Calculations!S755</f>
        <v>0</v>
      </c>
      <c r="T51" s="65">
        <f>Calculations!T755</f>
        <v>0</v>
      </c>
      <c r="U51" s="204">
        <f>Calculations!U755</f>
        <v>0</v>
      </c>
      <c r="V51" s="65">
        <f>Calculations!V755</f>
        <v>0</v>
      </c>
      <c r="W51" s="266">
        <f>Calculations!W755</f>
        <v>0</v>
      </c>
      <c r="X51" s="266">
        <f>Calculations!X755</f>
        <v>0</v>
      </c>
      <c r="Y51" s="266" t="e">
        <f>Calculations!Y755</f>
        <v>#DIV/0!</v>
      </c>
      <c r="Z51" s="266" t="e">
        <f>Calculations!Z755</f>
        <v>#DIV/0!</v>
      </c>
      <c r="AA51" s="266" t="e">
        <f>Calculations!AA755</f>
        <v>#DIV/0!</v>
      </c>
    </row>
    <row r="52" spans="1:27">
      <c r="A52" s="3">
        <f>Calculations!A756</f>
        <v>48</v>
      </c>
      <c r="B52">
        <f>Calculations!B756</f>
        <v>0</v>
      </c>
      <c r="C52">
        <f>Calculations!C756</f>
        <v>0</v>
      </c>
      <c r="D52">
        <f>Calculations!D756</f>
        <v>0</v>
      </c>
      <c r="E52" s="265">
        <f>Calculations!E756</f>
        <v>0</v>
      </c>
      <c r="F52" s="265">
        <f>Calculations!F756</f>
        <v>0</v>
      </c>
      <c r="G52" s="265">
        <f>Calculations!G756</f>
        <v>0</v>
      </c>
      <c r="H52" s="197">
        <f>Calculations!H756</f>
        <v>0</v>
      </c>
      <c r="I52" s="197">
        <f>Calculations!I756</f>
        <v>0</v>
      </c>
      <c r="J52" s="137">
        <f>Calculations!J756</f>
        <v>0</v>
      </c>
      <c r="K52" s="66">
        <f>Calculations!K756</f>
        <v>0</v>
      </c>
      <c r="L52" s="66">
        <f>Calculations!L756</f>
        <v>0</v>
      </c>
      <c r="M52">
        <f>Calculations!M756</f>
        <v>0</v>
      </c>
      <c r="N52" s="66">
        <f>Calculations!N756</f>
        <v>0</v>
      </c>
      <c r="O52" s="66">
        <f>Calculations!O756</f>
        <v>0</v>
      </c>
      <c r="P52" s="66">
        <f>Calculations!P756</f>
        <v>0</v>
      </c>
      <c r="Q52" s="204">
        <f>Calculations!Q756</f>
        <v>0</v>
      </c>
      <c r="R52" s="66">
        <f>Calculations!R756</f>
        <v>0</v>
      </c>
      <c r="S52" s="65">
        <f>Calculations!S756</f>
        <v>0</v>
      </c>
      <c r="T52" s="65">
        <f>Calculations!T756</f>
        <v>0</v>
      </c>
      <c r="U52" s="204">
        <f>Calculations!U756</f>
        <v>0</v>
      </c>
      <c r="V52" s="65">
        <f>Calculations!V756</f>
        <v>0</v>
      </c>
      <c r="W52" s="266">
        <f>Calculations!W756</f>
        <v>0</v>
      </c>
      <c r="X52" s="266">
        <f>Calculations!X756</f>
        <v>0</v>
      </c>
      <c r="Y52" s="266" t="e">
        <f>Calculations!Y756</f>
        <v>#DIV/0!</v>
      </c>
      <c r="Z52" s="266" t="e">
        <f>Calculations!Z756</f>
        <v>#DIV/0!</v>
      </c>
      <c r="AA52" s="266" t="e">
        <f>Calculations!AA756</f>
        <v>#DIV/0!</v>
      </c>
    </row>
    <row r="53" spans="1:27">
      <c r="A53" s="3">
        <f>Calculations!A757</f>
        <v>49</v>
      </c>
      <c r="B53">
        <f>Calculations!B757</f>
        <v>0</v>
      </c>
      <c r="C53">
        <f>Calculations!C757</f>
        <v>0</v>
      </c>
      <c r="D53">
        <f>Calculations!D757</f>
        <v>0</v>
      </c>
      <c r="E53" s="265">
        <f>Calculations!E757</f>
        <v>0</v>
      </c>
      <c r="F53" s="265">
        <f>Calculations!F757</f>
        <v>0</v>
      </c>
      <c r="G53" s="265">
        <f>Calculations!G757</f>
        <v>0</v>
      </c>
      <c r="H53" s="197">
        <f>Calculations!H757</f>
        <v>0</v>
      </c>
      <c r="I53" s="197">
        <f>Calculations!I757</f>
        <v>0</v>
      </c>
      <c r="J53" s="137">
        <f>Calculations!J757</f>
        <v>0</v>
      </c>
      <c r="K53" s="66">
        <f>Calculations!K757</f>
        <v>0</v>
      </c>
      <c r="L53" s="66">
        <f>Calculations!L757</f>
        <v>0</v>
      </c>
      <c r="M53">
        <f>Calculations!M757</f>
        <v>0</v>
      </c>
      <c r="N53" s="66">
        <f>Calculations!N757</f>
        <v>0</v>
      </c>
      <c r="O53" s="66">
        <f>Calculations!O757</f>
        <v>0</v>
      </c>
      <c r="P53" s="66">
        <f>Calculations!P757</f>
        <v>0</v>
      </c>
      <c r="Q53" s="204">
        <f>Calculations!Q757</f>
        <v>0</v>
      </c>
      <c r="R53" s="66">
        <f>Calculations!R757</f>
        <v>0</v>
      </c>
      <c r="S53" s="65">
        <f>Calculations!S757</f>
        <v>0</v>
      </c>
      <c r="T53" s="65">
        <f>Calculations!T757</f>
        <v>0</v>
      </c>
      <c r="U53" s="204">
        <f>Calculations!U757</f>
        <v>0</v>
      </c>
      <c r="V53" s="65">
        <f>Calculations!V757</f>
        <v>0</v>
      </c>
      <c r="W53" s="266">
        <f>Calculations!W757</f>
        <v>0</v>
      </c>
      <c r="X53" s="266">
        <f>Calculations!X757</f>
        <v>0</v>
      </c>
      <c r="Y53" s="266" t="e">
        <f>Calculations!Y757</f>
        <v>#DIV/0!</v>
      </c>
      <c r="Z53" s="266" t="e">
        <f>Calculations!Z757</f>
        <v>#DIV/0!</v>
      </c>
      <c r="AA53" s="266" t="e">
        <f>Calculations!AA757</f>
        <v>#DIV/0!</v>
      </c>
    </row>
    <row r="54" spans="1:27">
      <c r="A54" s="3">
        <f>Calculations!A758</f>
        <v>50</v>
      </c>
      <c r="B54">
        <f>Calculations!B758</f>
        <v>0</v>
      </c>
      <c r="C54">
        <f>Calculations!C758</f>
        <v>0</v>
      </c>
      <c r="D54">
        <f>Calculations!D758</f>
        <v>0</v>
      </c>
      <c r="E54" s="265">
        <f>Calculations!E758</f>
        <v>0</v>
      </c>
      <c r="F54" s="265">
        <f>Calculations!F758</f>
        <v>0</v>
      </c>
      <c r="G54" s="265">
        <f>Calculations!G758</f>
        <v>0</v>
      </c>
      <c r="H54" s="197">
        <f>Calculations!H758</f>
        <v>0</v>
      </c>
      <c r="I54" s="197">
        <f>Calculations!I758</f>
        <v>0</v>
      </c>
      <c r="J54" s="137">
        <f>Calculations!J758</f>
        <v>0</v>
      </c>
      <c r="K54" s="66">
        <f>Calculations!K758</f>
        <v>0</v>
      </c>
      <c r="L54" s="66">
        <f>Calculations!L758</f>
        <v>0</v>
      </c>
      <c r="M54">
        <f>Calculations!M758</f>
        <v>0</v>
      </c>
      <c r="N54" s="66">
        <f>Calculations!N758</f>
        <v>0</v>
      </c>
      <c r="O54" s="66">
        <f>Calculations!O758</f>
        <v>0</v>
      </c>
      <c r="P54" s="66">
        <f>Calculations!P758</f>
        <v>0</v>
      </c>
      <c r="Q54" s="204">
        <f>Calculations!Q758</f>
        <v>0</v>
      </c>
      <c r="R54" s="66">
        <f>Calculations!R758</f>
        <v>0</v>
      </c>
      <c r="S54" s="65">
        <f>Calculations!S758</f>
        <v>0</v>
      </c>
      <c r="T54" s="65">
        <f>Calculations!T758</f>
        <v>0</v>
      </c>
      <c r="U54" s="204">
        <f>Calculations!U758</f>
        <v>0</v>
      </c>
      <c r="V54" s="65">
        <f>Calculations!V758</f>
        <v>0</v>
      </c>
      <c r="W54" s="266">
        <f>Calculations!W758</f>
        <v>0</v>
      </c>
      <c r="X54" s="266">
        <f>Calculations!X758</f>
        <v>0</v>
      </c>
      <c r="Y54" s="266" t="e">
        <f>Calculations!Y758</f>
        <v>#DIV/0!</v>
      </c>
      <c r="Z54" s="266" t="e">
        <f>Calculations!Z758</f>
        <v>#DIV/0!</v>
      </c>
      <c r="AA54" s="266" t="e">
        <f>Calculations!AA758</f>
        <v>#DIV/0!</v>
      </c>
    </row>
    <row r="55" spans="1:27">
      <c r="A55" s="3">
        <f>Calculations!A759</f>
        <v>51</v>
      </c>
      <c r="B55">
        <f>Calculations!B759</f>
        <v>0</v>
      </c>
      <c r="C55">
        <f>Calculations!C759</f>
        <v>0</v>
      </c>
      <c r="D55">
        <f>Calculations!D759</f>
        <v>0</v>
      </c>
      <c r="E55" s="265">
        <f>Calculations!E759</f>
        <v>0</v>
      </c>
      <c r="F55" s="265">
        <f>Calculations!F759</f>
        <v>0</v>
      </c>
      <c r="G55" s="265">
        <f>Calculations!G759</f>
        <v>0</v>
      </c>
      <c r="H55" s="197">
        <f>Calculations!H759</f>
        <v>0</v>
      </c>
      <c r="I55" s="197">
        <f>Calculations!I759</f>
        <v>0</v>
      </c>
      <c r="J55" s="137">
        <f>Calculations!J759</f>
        <v>0</v>
      </c>
      <c r="K55" s="66">
        <f>Calculations!K759</f>
        <v>0</v>
      </c>
      <c r="L55" s="66">
        <f>Calculations!L759</f>
        <v>0</v>
      </c>
      <c r="M55">
        <f>Calculations!M759</f>
        <v>0</v>
      </c>
      <c r="N55" s="66">
        <f>Calculations!N759</f>
        <v>0</v>
      </c>
      <c r="O55" s="66">
        <f>Calculations!O759</f>
        <v>0</v>
      </c>
      <c r="P55" s="66">
        <f>Calculations!P759</f>
        <v>0</v>
      </c>
      <c r="Q55" s="204">
        <f>Calculations!Q759</f>
        <v>0</v>
      </c>
      <c r="R55" s="66">
        <f>Calculations!R759</f>
        <v>0</v>
      </c>
      <c r="S55" s="65">
        <f>Calculations!S759</f>
        <v>0</v>
      </c>
      <c r="T55" s="65">
        <f>Calculations!T759</f>
        <v>0</v>
      </c>
      <c r="U55" s="204">
        <f>Calculations!U759</f>
        <v>0</v>
      </c>
      <c r="V55" s="65">
        <f>Calculations!V759</f>
        <v>0</v>
      </c>
      <c r="W55" s="266">
        <f>Calculations!W759</f>
        <v>0</v>
      </c>
      <c r="X55" s="266">
        <f>Calculations!X759</f>
        <v>0</v>
      </c>
      <c r="Y55" s="266" t="e">
        <f>Calculations!Y759</f>
        <v>#DIV/0!</v>
      </c>
      <c r="Z55" s="266" t="e">
        <f>Calculations!Z759</f>
        <v>#DIV/0!</v>
      </c>
      <c r="AA55" s="266" t="e">
        <f>Calculations!AA759</f>
        <v>#DIV/0!</v>
      </c>
    </row>
    <row r="56" spans="1:27">
      <c r="A56" s="3">
        <f>Calculations!A760</f>
        <v>52</v>
      </c>
      <c r="B56">
        <f>Calculations!B760</f>
        <v>0</v>
      </c>
      <c r="C56">
        <f>Calculations!C760</f>
        <v>0</v>
      </c>
      <c r="D56">
        <f>Calculations!D760</f>
        <v>0</v>
      </c>
      <c r="E56" s="265">
        <f>Calculations!E760</f>
        <v>0</v>
      </c>
      <c r="F56" s="265">
        <f>Calculations!F760</f>
        <v>0</v>
      </c>
      <c r="G56" s="265">
        <f>Calculations!G760</f>
        <v>0</v>
      </c>
      <c r="H56" s="197">
        <f>Calculations!H760</f>
        <v>0</v>
      </c>
      <c r="I56" s="197">
        <f>Calculations!I760</f>
        <v>0</v>
      </c>
      <c r="J56" s="137">
        <f>Calculations!J760</f>
        <v>0</v>
      </c>
      <c r="K56" s="66">
        <f>Calculations!K760</f>
        <v>0</v>
      </c>
      <c r="L56" s="66">
        <f>Calculations!L760</f>
        <v>0</v>
      </c>
      <c r="M56">
        <f>Calculations!M760</f>
        <v>0</v>
      </c>
      <c r="N56" s="66">
        <f>Calculations!N760</f>
        <v>0</v>
      </c>
      <c r="O56" s="66">
        <f>Calculations!O760</f>
        <v>0</v>
      </c>
      <c r="P56" s="66">
        <f>Calculations!P760</f>
        <v>0</v>
      </c>
      <c r="Q56" s="204">
        <f>Calculations!Q760</f>
        <v>0</v>
      </c>
      <c r="R56" s="66">
        <f>Calculations!R760</f>
        <v>0</v>
      </c>
      <c r="S56" s="65">
        <f>Calculations!S760</f>
        <v>0</v>
      </c>
      <c r="T56" s="65">
        <f>Calculations!T760</f>
        <v>0</v>
      </c>
      <c r="U56" s="204">
        <f>Calculations!U760</f>
        <v>0</v>
      </c>
      <c r="V56" s="65">
        <f>Calculations!V760</f>
        <v>0</v>
      </c>
      <c r="W56" s="266">
        <f>Calculations!W760</f>
        <v>0</v>
      </c>
      <c r="X56" s="266">
        <f>Calculations!X760</f>
        <v>0</v>
      </c>
      <c r="Y56" s="266" t="e">
        <f>Calculations!Y760</f>
        <v>#DIV/0!</v>
      </c>
      <c r="Z56" s="266" t="e">
        <f>Calculations!Z760</f>
        <v>#DIV/0!</v>
      </c>
      <c r="AA56" s="266" t="e">
        <f>Calculations!AA760</f>
        <v>#DIV/0!</v>
      </c>
    </row>
    <row r="57" spans="1:27">
      <c r="A57" s="3">
        <f>Calculations!A761</f>
        <v>53</v>
      </c>
      <c r="B57">
        <f>Calculations!B761</f>
        <v>0</v>
      </c>
      <c r="C57">
        <f>Calculations!C761</f>
        <v>0</v>
      </c>
      <c r="D57">
        <f>Calculations!D761</f>
        <v>0</v>
      </c>
      <c r="E57" s="265">
        <f>Calculations!E761</f>
        <v>0</v>
      </c>
      <c r="F57" s="265">
        <f>Calculations!F761</f>
        <v>0</v>
      </c>
      <c r="G57" s="265">
        <f>Calculations!G761</f>
        <v>0</v>
      </c>
      <c r="H57" s="197">
        <f>Calculations!H761</f>
        <v>0</v>
      </c>
      <c r="I57" s="197">
        <f>Calculations!I761</f>
        <v>0</v>
      </c>
      <c r="J57" s="137">
        <f>Calculations!J761</f>
        <v>0</v>
      </c>
      <c r="K57" s="66">
        <f>Calculations!K761</f>
        <v>0</v>
      </c>
      <c r="L57" s="66">
        <f>Calculations!L761</f>
        <v>0</v>
      </c>
      <c r="M57">
        <f>Calculations!M761</f>
        <v>0</v>
      </c>
      <c r="N57" s="66">
        <f>Calculations!N761</f>
        <v>0</v>
      </c>
      <c r="O57" s="66">
        <f>Calculations!O761</f>
        <v>0</v>
      </c>
      <c r="P57" s="66">
        <f>Calculations!P761</f>
        <v>0</v>
      </c>
      <c r="Q57" s="204">
        <f>Calculations!Q761</f>
        <v>0</v>
      </c>
      <c r="R57" s="66">
        <f>Calculations!R761</f>
        <v>0</v>
      </c>
      <c r="S57" s="65">
        <f>Calculations!S761</f>
        <v>0</v>
      </c>
      <c r="T57" s="65">
        <f>Calculations!T761</f>
        <v>0</v>
      </c>
      <c r="U57" s="204">
        <f>Calculations!U761</f>
        <v>0</v>
      </c>
      <c r="V57" s="65">
        <f>Calculations!V761</f>
        <v>0</v>
      </c>
      <c r="W57" s="266">
        <f>Calculations!W761</f>
        <v>0</v>
      </c>
      <c r="X57" s="266">
        <f>Calculations!X761</f>
        <v>0</v>
      </c>
      <c r="Y57" s="266" t="e">
        <f>Calculations!Y761</f>
        <v>#DIV/0!</v>
      </c>
      <c r="Z57" s="266" t="e">
        <f>Calculations!Z761</f>
        <v>#DIV/0!</v>
      </c>
      <c r="AA57" s="266" t="e">
        <f>Calculations!AA761</f>
        <v>#DIV/0!</v>
      </c>
    </row>
    <row r="58" spans="1:27">
      <c r="A58" s="3">
        <f>Calculations!A762</f>
        <v>54</v>
      </c>
      <c r="B58">
        <f>Calculations!B762</f>
        <v>0</v>
      </c>
      <c r="C58">
        <f>Calculations!C762</f>
        <v>0</v>
      </c>
      <c r="D58">
        <f>Calculations!D762</f>
        <v>0</v>
      </c>
      <c r="E58" s="265">
        <f>Calculations!E762</f>
        <v>0</v>
      </c>
      <c r="F58" s="265">
        <f>Calculations!F762</f>
        <v>0</v>
      </c>
      <c r="G58" s="265">
        <f>Calculations!G762</f>
        <v>0</v>
      </c>
      <c r="H58" s="197">
        <f>Calculations!H762</f>
        <v>0</v>
      </c>
      <c r="I58" s="197">
        <f>Calculations!I762</f>
        <v>0</v>
      </c>
      <c r="J58" s="137">
        <f>Calculations!J762</f>
        <v>0</v>
      </c>
      <c r="K58" s="66">
        <f>Calculations!K762</f>
        <v>0</v>
      </c>
      <c r="L58" s="66">
        <f>Calculations!L762</f>
        <v>0</v>
      </c>
      <c r="M58">
        <f>Calculations!M762</f>
        <v>0</v>
      </c>
      <c r="N58" s="66">
        <f>Calculations!N762</f>
        <v>0</v>
      </c>
      <c r="O58" s="66">
        <f>Calculations!O762</f>
        <v>0</v>
      </c>
      <c r="P58" s="66">
        <f>Calculations!P762</f>
        <v>0</v>
      </c>
      <c r="Q58" s="204">
        <f>Calculations!Q762</f>
        <v>0</v>
      </c>
      <c r="R58" s="66">
        <f>Calculations!R762</f>
        <v>0</v>
      </c>
      <c r="S58" s="65">
        <f>Calculations!S762</f>
        <v>0</v>
      </c>
      <c r="T58" s="65">
        <f>Calculations!T762</f>
        <v>0</v>
      </c>
      <c r="U58" s="204">
        <f>Calculations!U762</f>
        <v>0</v>
      </c>
      <c r="V58" s="65">
        <f>Calculations!V762</f>
        <v>0</v>
      </c>
      <c r="W58" s="266">
        <f>Calculations!W762</f>
        <v>0</v>
      </c>
      <c r="X58" s="266">
        <f>Calculations!X762</f>
        <v>0</v>
      </c>
      <c r="Y58" s="266" t="e">
        <f>Calculations!Y762</f>
        <v>#DIV/0!</v>
      </c>
      <c r="Z58" s="266" t="e">
        <f>Calculations!Z762</f>
        <v>#DIV/0!</v>
      </c>
      <c r="AA58" s="266" t="e">
        <f>Calculations!AA762</f>
        <v>#DIV/0!</v>
      </c>
    </row>
    <row r="59" spans="1:27">
      <c r="A59" s="3">
        <f>Calculations!A763</f>
        <v>55</v>
      </c>
      <c r="B59">
        <f>Calculations!B763</f>
        <v>0</v>
      </c>
      <c r="C59">
        <f>Calculations!C763</f>
        <v>0</v>
      </c>
      <c r="D59">
        <f>Calculations!D763</f>
        <v>0</v>
      </c>
      <c r="E59" s="265">
        <f>Calculations!E763</f>
        <v>0</v>
      </c>
      <c r="F59" s="265">
        <f>Calculations!F763</f>
        <v>0</v>
      </c>
      <c r="G59" s="265">
        <f>Calculations!G763</f>
        <v>0</v>
      </c>
      <c r="H59" s="197">
        <f>Calculations!H763</f>
        <v>0</v>
      </c>
      <c r="I59" s="197">
        <f>Calculations!I763</f>
        <v>0</v>
      </c>
      <c r="J59" s="137">
        <f>Calculations!J763</f>
        <v>0</v>
      </c>
      <c r="K59" s="66">
        <f>Calculations!K763</f>
        <v>0</v>
      </c>
      <c r="L59" s="66">
        <f>Calculations!L763</f>
        <v>0</v>
      </c>
      <c r="M59">
        <f>Calculations!M763</f>
        <v>0</v>
      </c>
      <c r="N59" s="66">
        <f>Calculations!N763</f>
        <v>0</v>
      </c>
      <c r="O59" s="66">
        <f>Calculations!O763</f>
        <v>0</v>
      </c>
      <c r="P59" s="66">
        <f>Calculations!P763</f>
        <v>0</v>
      </c>
      <c r="Q59" s="204">
        <f>Calculations!Q763</f>
        <v>0</v>
      </c>
      <c r="R59" s="66">
        <f>Calculations!R763</f>
        <v>0</v>
      </c>
      <c r="S59" s="65">
        <f>Calculations!S763</f>
        <v>0</v>
      </c>
      <c r="T59" s="65">
        <f>Calculations!T763</f>
        <v>0</v>
      </c>
      <c r="U59" s="204">
        <f>Calculations!U763</f>
        <v>0</v>
      </c>
      <c r="V59" s="65">
        <f>Calculations!V763</f>
        <v>0</v>
      </c>
      <c r="W59" s="266">
        <f>Calculations!W763</f>
        <v>0</v>
      </c>
      <c r="X59" s="266">
        <f>Calculations!X763</f>
        <v>0</v>
      </c>
      <c r="Y59" s="266" t="e">
        <f>Calculations!Y763</f>
        <v>#DIV/0!</v>
      </c>
      <c r="Z59" s="266" t="e">
        <f>Calculations!Z763</f>
        <v>#DIV/0!</v>
      </c>
      <c r="AA59" s="266" t="e">
        <f>Calculations!AA763</f>
        <v>#DIV/0!</v>
      </c>
    </row>
    <row r="60" spans="1:27">
      <c r="A60" s="3">
        <f>Calculations!A764</f>
        <v>56</v>
      </c>
      <c r="B60">
        <f>Calculations!B764</f>
        <v>0</v>
      </c>
      <c r="C60">
        <f>Calculations!C764</f>
        <v>0</v>
      </c>
      <c r="D60">
        <f>Calculations!D764</f>
        <v>0</v>
      </c>
      <c r="E60" s="265">
        <f>Calculations!E764</f>
        <v>0</v>
      </c>
      <c r="F60" s="265">
        <f>Calculations!F764</f>
        <v>0</v>
      </c>
      <c r="G60" s="265">
        <f>Calculations!G764</f>
        <v>0</v>
      </c>
      <c r="H60" s="197">
        <f>Calculations!H764</f>
        <v>0</v>
      </c>
      <c r="I60" s="197">
        <f>Calculations!I764</f>
        <v>0</v>
      </c>
      <c r="J60" s="137">
        <f>Calculations!J764</f>
        <v>0</v>
      </c>
      <c r="K60" s="66">
        <f>Calculations!K764</f>
        <v>0</v>
      </c>
      <c r="L60" s="66">
        <f>Calculations!L764</f>
        <v>0</v>
      </c>
      <c r="M60">
        <f>Calculations!M764</f>
        <v>0</v>
      </c>
      <c r="N60" s="66">
        <f>Calculations!N764</f>
        <v>0</v>
      </c>
      <c r="O60" s="66">
        <f>Calculations!O764</f>
        <v>0</v>
      </c>
      <c r="P60" s="66">
        <f>Calculations!P764</f>
        <v>0</v>
      </c>
      <c r="Q60" s="204">
        <f>Calculations!Q764</f>
        <v>0</v>
      </c>
      <c r="R60" s="66">
        <f>Calculations!R764</f>
        <v>0</v>
      </c>
      <c r="S60" s="65">
        <f>Calculations!S764</f>
        <v>0</v>
      </c>
      <c r="T60" s="65">
        <f>Calculations!T764</f>
        <v>0</v>
      </c>
      <c r="U60" s="204">
        <f>Calculations!U764</f>
        <v>0</v>
      </c>
      <c r="V60" s="65">
        <f>Calculations!V764</f>
        <v>0</v>
      </c>
      <c r="W60" s="266">
        <f>Calculations!W764</f>
        <v>0</v>
      </c>
      <c r="X60" s="266">
        <f>Calculations!X764</f>
        <v>0</v>
      </c>
      <c r="Y60" s="266" t="e">
        <f>Calculations!Y764</f>
        <v>#DIV/0!</v>
      </c>
      <c r="Z60" s="266" t="e">
        <f>Calculations!Z764</f>
        <v>#DIV/0!</v>
      </c>
      <c r="AA60" s="266" t="e">
        <f>Calculations!AA764</f>
        <v>#DIV/0!</v>
      </c>
    </row>
    <row r="61" spans="1:27">
      <c r="A61" s="3">
        <f>Calculations!A765</f>
        <v>57</v>
      </c>
      <c r="B61">
        <f>Calculations!B765</f>
        <v>0</v>
      </c>
      <c r="C61">
        <f>Calculations!C765</f>
        <v>0</v>
      </c>
      <c r="D61">
        <f>Calculations!D765</f>
        <v>0</v>
      </c>
      <c r="E61" s="265">
        <f>Calculations!E765</f>
        <v>0</v>
      </c>
      <c r="F61" s="265">
        <f>Calculations!F765</f>
        <v>0</v>
      </c>
      <c r="G61" s="265">
        <f>Calculations!G765</f>
        <v>0</v>
      </c>
      <c r="H61" s="197">
        <f>Calculations!H765</f>
        <v>0</v>
      </c>
      <c r="I61" s="197">
        <f>Calculations!I765</f>
        <v>0</v>
      </c>
      <c r="J61" s="137">
        <f>Calculations!J765</f>
        <v>0</v>
      </c>
      <c r="K61" s="66">
        <f>Calculations!K765</f>
        <v>0</v>
      </c>
      <c r="L61" s="66">
        <f>Calculations!L765</f>
        <v>0</v>
      </c>
      <c r="M61">
        <f>Calculations!M765</f>
        <v>0</v>
      </c>
      <c r="N61" s="66">
        <f>Calculations!N765</f>
        <v>0</v>
      </c>
      <c r="O61" s="66">
        <f>Calculations!O765</f>
        <v>0</v>
      </c>
      <c r="P61" s="66">
        <f>Calculations!P765</f>
        <v>0</v>
      </c>
      <c r="Q61" s="204">
        <f>Calculations!Q765</f>
        <v>0</v>
      </c>
      <c r="R61" s="66">
        <f>Calculations!R765</f>
        <v>0</v>
      </c>
      <c r="S61" s="65">
        <f>Calculations!S765</f>
        <v>0</v>
      </c>
      <c r="T61" s="65">
        <f>Calculations!T765</f>
        <v>0</v>
      </c>
      <c r="U61" s="204">
        <f>Calculations!U765</f>
        <v>0</v>
      </c>
      <c r="V61" s="65">
        <f>Calculations!V765</f>
        <v>0</v>
      </c>
      <c r="W61" s="266">
        <f>Calculations!W765</f>
        <v>0</v>
      </c>
      <c r="X61" s="266">
        <f>Calculations!X765</f>
        <v>0</v>
      </c>
      <c r="Y61" s="266" t="e">
        <f>Calculations!Y765</f>
        <v>#DIV/0!</v>
      </c>
      <c r="Z61" s="266" t="e">
        <f>Calculations!Z765</f>
        <v>#DIV/0!</v>
      </c>
      <c r="AA61" s="266" t="e">
        <f>Calculations!AA765</f>
        <v>#DIV/0!</v>
      </c>
    </row>
    <row r="62" spans="1:27">
      <c r="A62" s="3">
        <f>Calculations!A766</f>
        <v>58</v>
      </c>
      <c r="B62">
        <f>Calculations!B766</f>
        <v>0</v>
      </c>
      <c r="C62">
        <f>Calculations!C766</f>
        <v>0</v>
      </c>
      <c r="D62">
        <f>Calculations!D766</f>
        <v>0</v>
      </c>
      <c r="E62" s="265">
        <f>Calculations!E766</f>
        <v>0</v>
      </c>
      <c r="F62" s="265">
        <f>Calculations!F766</f>
        <v>0</v>
      </c>
      <c r="G62" s="265">
        <f>Calculations!G766</f>
        <v>0</v>
      </c>
      <c r="H62" s="197">
        <f>Calculations!H766</f>
        <v>0</v>
      </c>
      <c r="I62" s="197">
        <f>Calculations!I766</f>
        <v>0</v>
      </c>
      <c r="J62" s="137">
        <f>Calculations!J766</f>
        <v>0</v>
      </c>
      <c r="K62" s="66">
        <f>Calculations!K766</f>
        <v>0</v>
      </c>
      <c r="L62" s="66">
        <f>Calculations!L766</f>
        <v>0</v>
      </c>
      <c r="M62">
        <f>Calculations!M766</f>
        <v>0</v>
      </c>
      <c r="N62" s="66">
        <f>Calculations!N766</f>
        <v>0</v>
      </c>
      <c r="O62" s="66">
        <f>Calculations!O766</f>
        <v>0</v>
      </c>
      <c r="P62" s="66">
        <f>Calculations!P766</f>
        <v>0</v>
      </c>
      <c r="Q62" s="204">
        <f>Calculations!Q766</f>
        <v>0</v>
      </c>
      <c r="R62" s="66">
        <f>Calculations!R766</f>
        <v>0</v>
      </c>
      <c r="S62" s="65">
        <f>Calculations!S766</f>
        <v>0</v>
      </c>
      <c r="T62" s="65">
        <f>Calculations!T766</f>
        <v>0</v>
      </c>
      <c r="U62" s="204">
        <f>Calculations!U766</f>
        <v>0</v>
      </c>
      <c r="V62" s="65">
        <f>Calculations!V766</f>
        <v>0</v>
      </c>
      <c r="W62" s="266">
        <f>Calculations!W766</f>
        <v>0</v>
      </c>
      <c r="X62" s="266">
        <f>Calculations!X766</f>
        <v>0</v>
      </c>
      <c r="Y62" s="266" t="e">
        <f>Calculations!Y766</f>
        <v>#DIV/0!</v>
      </c>
      <c r="Z62" s="266" t="e">
        <f>Calculations!Z766</f>
        <v>#DIV/0!</v>
      </c>
      <c r="AA62" s="266" t="e">
        <f>Calculations!AA766</f>
        <v>#DIV/0!</v>
      </c>
    </row>
    <row r="63" spans="1:27">
      <c r="A63" s="3">
        <f>Calculations!A767</f>
        <v>59</v>
      </c>
      <c r="B63">
        <f>Calculations!B767</f>
        <v>0</v>
      </c>
      <c r="C63">
        <f>Calculations!C767</f>
        <v>0</v>
      </c>
      <c r="D63">
        <f>Calculations!D767</f>
        <v>0</v>
      </c>
      <c r="E63" s="265">
        <f>Calculations!E767</f>
        <v>0</v>
      </c>
      <c r="F63" s="265">
        <f>Calculations!F767</f>
        <v>0</v>
      </c>
      <c r="G63" s="265">
        <f>Calculations!G767</f>
        <v>0</v>
      </c>
      <c r="H63" s="197">
        <f>Calculations!H767</f>
        <v>0</v>
      </c>
      <c r="I63" s="197">
        <f>Calculations!I767</f>
        <v>0</v>
      </c>
      <c r="J63" s="137">
        <f>Calculations!J767</f>
        <v>0</v>
      </c>
      <c r="K63" s="66">
        <f>Calculations!K767</f>
        <v>0</v>
      </c>
      <c r="L63" s="66">
        <f>Calculations!L767</f>
        <v>0</v>
      </c>
      <c r="M63">
        <f>Calculations!M767</f>
        <v>0</v>
      </c>
      <c r="N63" s="66">
        <f>Calculations!N767</f>
        <v>0</v>
      </c>
      <c r="O63" s="66">
        <f>Calculations!O767</f>
        <v>0</v>
      </c>
      <c r="P63" s="66">
        <f>Calculations!P767</f>
        <v>0</v>
      </c>
      <c r="Q63" s="204">
        <f>Calculations!Q767</f>
        <v>0</v>
      </c>
      <c r="R63" s="66">
        <f>Calculations!R767</f>
        <v>0</v>
      </c>
      <c r="S63" s="65">
        <f>Calculations!S767</f>
        <v>0</v>
      </c>
      <c r="T63" s="65">
        <f>Calculations!T767</f>
        <v>0</v>
      </c>
      <c r="U63" s="204">
        <f>Calculations!U767</f>
        <v>0</v>
      </c>
      <c r="V63" s="65">
        <f>Calculations!V767</f>
        <v>0</v>
      </c>
      <c r="W63" s="266">
        <f>Calculations!W767</f>
        <v>0</v>
      </c>
      <c r="X63" s="266">
        <f>Calculations!X767</f>
        <v>0</v>
      </c>
      <c r="Y63" s="266" t="e">
        <f>Calculations!Y767</f>
        <v>#DIV/0!</v>
      </c>
      <c r="Z63" s="266" t="e">
        <f>Calculations!Z767</f>
        <v>#DIV/0!</v>
      </c>
      <c r="AA63" s="266" t="e">
        <f>Calculations!AA767</f>
        <v>#DIV/0!</v>
      </c>
    </row>
    <row r="64" spans="1:27">
      <c r="A64" s="3">
        <f>Calculations!A768</f>
        <v>60</v>
      </c>
      <c r="B64">
        <f>Calculations!B768</f>
        <v>0</v>
      </c>
      <c r="C64">
        <f>Calculations!C768</f>
        <v>0</v>
      </c>
      <c r="D64">
        <f>Calculations!D768</f>
        <v>0</v>
      </c>
      <c r="E64" s="265">
        <f>Calculations!E768</f>
        <v>0</v>
      </c>
      <c r="F64" s="265">
        <f>Calculations!F768</f>
        <v>0</v>
      </c>
      <c r="G64" s="265">
        <f>Calculations!G768</f>
        <v>0</v>
      </c>
      <c r="H64" s="197">
        <f>Calculations!H768</f>
        <v>0</v>
      </c>
      <c r="I64" s="197">
        <f>Calculations!I768</f>
        <v>0</v>
      </c>
      <c r="J64" s="137">
        <f>Calculations!J768</f>
        <v>0</v>
      </c>
      <c r="K64" s="66">
        <f>Calculations!K768</f>
        <v>0</v>
      </c>
      <c r="L64" s="66">
        <f>Calculations!L768</f>
        <v>0</v>
      </c>
      <c r="M64">
        <f>Calculations!M768</f>
        <v>0</v>
      </c>
      <c r="N64" s="66">
        <f>Calculations!N768</f>
        <v>0</v>
      </c>
      <c r="O64" s="66">
        <f>Calculations!O768</f>
        <v>0</v>
      </c>
      <c r="P64" s="66">
        <f>Calculations!P768</f>
        <v>0</v>
      </c>
      <c r="Q64" s="204">
        <f>Calculations!Q768</f>
        <v>0</v>
      </c>
      <c r="R64" s="66">
        <f>Calculations!R768</f>
        <v>0</v>
      </c>
      <c r="S64" s="65">
        <f>Calculations!S768</f>
        <v>0</v>
      </c>
      <c r="T64" s="65">
        <f>Calculations!T768</f>
        <v>0</v>
      </c>
      <c r="U64" s="204">
        <f>Calculations!U768</f>
        <v>0</v>
      </c>
      <c r="V64" s="65">
        <f>Calculations!V768</f>
        <v>0</v>
      </c>
      <c r="W64" s="266">
        <f>Calculations!W768</f>
        <v>0</v>
      </c>
      <c r="X64" s="266">
        <f>Calculations!X768</f>
        <v>0</v>
      </c>
      <c r="Y64" s="266" t="e">
        <f>Calculations!Y768</f>
        <v>#DIV/0!</v>
      </c>
      <c r="Z64" s="266" t="e">
        <f>Calculations!Z768</f>
        <v>#DIV/0!</v>
      </c>
      <c r="AA64" s="266" t="e">
        <f>Calculations!AA768</f>
        <v>#DIV/0!</v>
      </c>
    </row>
    <row r="65" spans="1:27">
      <c r="A65" s="3">
        <f>Calculations!A769</f>
        <v>61</v>
      </c>
      <c r="B65">
        <f>Calculations!B769</f>
        <v>0</v>
      </c>
      <c r="C65">
        <f>Calculations!C769</f>
        <v>0</v>
      </c>
      <c r="D65">
        <f>Calculations!D769</f>
        <v>0</v>
      </c>
      <c r="E65" s="265">
        <f>Calculations!E769</f>
        <v>0</v>
      </c>
      <c r="F65" s="265">
        <f>Calculations!F769</f>
        <v>0</v>
      </c>
      <c r="G65" s="265">
        <f>Calculations!G769</f>
        <v>0</v>
      </c>
      <c r="H65" s="197">
        <f>Calculations!H769</f>
        <v>0</v>
      </c>
      <c r="I65" s="197">
        <f>Calculations!I769</f>
        <v>0</v>
      </c>
      <c r="J65" s="137">
        <f>Calculations!J769</f>
        <v>0</v>
      </c>
      <c r="K65" s="66">
        <f>Calculations!K769</f>
        <v>0</v>
      </c>
      <c r="L65" s="66">
        <f>Calculations!L769</f>
        <v>0</v>
      </c>
      <c r="M65">
        <f>Calculations!M769</f>
        <v>0</v>
      </c>
      <c r="N65" s="66">
        <f>Calculations!N769</f>
        <v>0</v>
      </c>
      <c r="O65" s="66">
        <f>Calculations!O769</f>
        <v>0</v>
      </c>
      <c r="P65" s="66">
        <f>Calculations!P769</f>
        <v>0</v>
      </c>
      <c r="Q65" s="204">
        <f>Calculations!Q769</f>
        <v>0</v>
      </c>
      <c r="R65" s="66">
        <f>Calculations!R769</f>
        <v>0</v>
      </c>
      <c r="S65" s="65">
        <f>Calculations!S769</f>
        <v>0</v>
      </c>
      <c r="T65" s="65">
        <f>Calculations!T769</f>
        <v>0</v>
      </c>
      <c r="U65" s="204">
        <f>Calculations!U769</f>
        <v>0</v>
      </c>
      <c r="V65" s="65">
        <f>Calculations!V769</f>
        <v>0</v>
      </c>
      <c r="W65" s="266">
        <f>Calculations!W769</f>
        <v>0</v>
      </c>
      <c r="X65" s="266">
        <f>Calculations!X769</f>
        <v>0</v>
      </c>
      <c r="Y65" s="266" t="e">
        <f>Calculations!Y769</f>
        <v>#DIV/0!</v>
      </c>
      <c r="Z65" s="266" t="e">
        <f>Calculations!Z769</f>
        <v>#DIV/0!</v>
      </c>
      <c r="AA65" s="266" t="e">
        <f>Calculations!AA769</f>
        <v>#DIV/0!</v>
      </c>
    </row>
    <row r="66" spans="1:27">
      <c r="A66" s="3">
        <f>Calculations!A770</f>
        <v>62</v>
      </c>
      <c r="B66">
        <f>Calculations!B770</f>
        <v>0</v>
      </c>
      <c r="C66">
        <f>Calculations!C770</f>
        <v>0</v>
      </c>
      <c r="D66">
        <f>Calculations!D770</f>
        <v>0</v>
      </c>
      <c r="E66" s="265">
        <f>Calculations!E770</f>
        <v>0</v>
      </c>
      <c r="F66" s="265">
        <f>Calculations!F770</f>
        <v>0</v>
      </c>
      <c r="G66" s="265">
        <f>Calculations!G770</f>
        <v>0</v>
      </c>
      <c r="H66" s="197">
        <f>Calculations!H770</f>
        <v>0</v>
      </c>
      <c r="I66" s="197">
        <f>Calculations!I770</f>
        <v>0</v>
      </c>
      <c r="J66" s="137">
        <f>Calculations!J770</f>
        <v>0</v>
      </c>
      <c r="K66" s="66">
        <f>Calculations!K770</f>
        <v>0</v>
      </c>
      <c r="L66" s="66">
        <f>Calculations!L770</f>
        <v>0</v>
      </c>
      <c r="M66">
        <f>Calculations!M770</f>
        <v>0</v>
      </c>
      <c r="N66" s="66">
        <f>Calculations!N770</f>
        <v>0</v>
      </c>
      <c r="O66" s="66">
        <f>Calculations!O770</f>
        <v>0</v>
      </c>
      <c r="P66" s="66">
        <f>Calculations!P770</f>
        <v>0</v>
      </c>
      <c r="Q66" s="204">
        <f>Calculations!Q770</f>
        <v>0</v>
      </c>
      <c r="R66" s="66">
        <f>Calculations!R770</f>
        <v>0</v>
      </c>
      <c r="S66" s="65">
        <f>Calculations!S770</f>
        <v>0</v>
      </c>
      <c r="T66" s="65">
        <f>Calculations!T770</f>
        <v>0</v>
      </c>
      <c r="U66" s="204">
        <f>Calculations!U770</f>
        <v>0</v>
      </c>
      <c r="V66" s="65">
        <f>Calculations!V770</f>
        <v>0</v>
      </c>
      <c r="W66" s="266">
        <f>Calculations!W770</f>
        <v>0</v>
      </c>
      <c r="X66" s="266">
        <f>Calculations!X770</f>
        <v>0</v>
      </c>
      <c r="Y66" s="266" t="e">
        <f>Calculations!Y770</f>
        <v>#DIV/0!</v>
      </c>
      <c r="Z66" s="266" t="e">
        <f>Calculations!Z770</f>
        <v>#DIV/0!</v>
      </c>
      <c r="AA66" s="266" t="e">
        <f>Calculations!AA770</f>
        <v>#DIV/0!</v>
      </c>
    </row>
    <row r="67" spans="1:27">
      <c r="A67" s="3">
        <f>Calculations!A771</f>
        <v>63</v>
      </c>
      <c r="B67">
        <f>Calculations!B771</f>
        <v>0</v>
      </c>
      <c r="C67">
        <f>Calculations!C771</f>
        <v>0</v>
      </c>
      <c r="D67">
        <f>Calculations!D771</f>
        <v>0</v>
      </c>
      <c r="E67" s="265">
        <f>Calculations!E771</f>
        <v>0</v>
      </c>
      <c r="F67" s="265">
        <f>Calculations!F771</f>
        <v>0</v>
      </c>
      <c r="G67" s="265">
        <f>Calculations!G771</f>
        <v>0</v>
      </c>
      <c r="H67" s="197">
        <f>Calculations!H771</f>
        <v>0</v>
      </c>
      <c r="I67" s="197">
        <f>Calculations!I771</f>
        <v>0</v>
      </c>
      <c r="J67" s="137">
        <f>Calculations!J771</f>
        <v>0</v>
      </c>
      <c r="K67" s="66">
        <f>Calculations!K771</f>
        <v>0</v>
      </c>
      <c r="L67" s="66">
        <f>Calculations!L771</f>
        <v>0</v>
      </c>
      <c r="M67">
        <f>Calculations!M771</f>
        <v>0</v>
      </c>
      <c r="N67" s="66">
        <f>Calculations!N771</f>
        <v>0</v>
      </c>
      <c r="O67" s="66">
        <f>Calculations!O771</f>
        <v>0</v>
      </c>
      <c r="P67" s="66">
        <f>Calculations!P771</f>
        <v>0</v>
      </c>
      <c r="Q67" s="204">
        <f>Calculations!Q771</f>
        <v>0</v>
      </c>
      <c r="R67" s="66">
        <f>Calculations!R771</f>
        <v>0</v>
      </c>
      <c r="S67" s="65">
        <f>Calculations!S771</f>
        <v>0</v>
      </c>
      <c r="T67" s="65">
        <f>Calculations!T771</f>
        <v>0</v>
      </c>
      <c r="U67" s="204">
        <f>Calculations!U771</f>
        <v>0</v>
      </c>
      <c r="V67" s="65">
        <f>Calculations!V771</f>
        <v>0</v>
      </c>
      <c r="W67" s="266">
        <f>Calculations!W771</f>
        <v>0</v>
      </c>
      <c r="X67" s="266">
        <f>Calculations!X771</f>
        <v>0</v>
      </c>
      <c r="Y67" s="266" t="e">
        <f>Calculations!Y771</f>
        <v>#DIV/0!</v>
      </c>
      <c r="Z67" s="266" t="e">
        <f>Calculations!Z771</f>
        <v>#DIV/0!</v>
      </c>
      <c r="AA67" s="266" t="e">
        <f>Calculations!AA771</f>
        <v>#DIV/0!</v>
      </c>
    </row>
    <row r="68" spans="1:27">
      <c r="A68" s="3">
        <f>Calculations!A772</f>
        <v>64</v>
      </c>
      <c r="B68">
        <f>Calculations!B772</f>
        <v>0</v>
      </c>
      <c r="C68">
        <f>Calculations!C772</f>
        <v>0</v>
      </c>
      <c r="D68">
        <f>Calculations!D772</f>
        <v>0</v>
      </c>
      <c r="E68" s="265">
        <f>Calculations!E772</f>
        <v>0</v>
      </c>
      <c r="F68" s="265">
        <f>Calculations!F772</f>
        <v>0</v>
      </c>
      <c r="G68" s="265">
        <f>Calculations!G772</f>
        <v>0</v>
      </c>
      <c r="H68" s="197">
        <f>Calculations!H772</f>
        <v>0</v>
      </c>
      <c r="I68" s="197">
        <f>Calculations!I772</f>
        <v>0</v>
      </c>
      <c r="J68" s="137">
        <f>Calculations!J772</f>
        <v>0</v>
      </c>
      <c r="K68" s="66">
        <f>Calculations!K772</f>
        <v>0</v>
      </c>
      <c r="L68" s="66">
        <f>Calculations!L772</f>
        <v>0</v>
      </c>
      <c r="M68">
        <f>Calculations!M772</f>
        <v>0</v>
      </c>
      <c r="N68" s="66">
        <f>Calculations!N772</f>
        <v>0</v>
      </c>
      <c r="O68" s="66">
        <f>Calculations!O772</f>
        <v>0</v>
      </c>
      <c r="P68" s="66">
        <f>Calculations!P772</f>
        <v>0</v>
      </c>
      <c r="Q68" s="204">
        <f>Calculations!Q772</f>
        <v>0</v>
      </c>
      <c r="R68" s="66">
        <f>Calculations!R772</f>
        <v>0</v>
      </c>
      <c r="S68" s="65">
        <f>Calculations!S772</f>
        <v>0</v>
      </c>
      <c r="T68" s="65">
        <f>Calculations!T772</f>
        <v>0</v>
      </c>
      <c r="U68" s="204">
        <f>Calculations!U772</f>
        <v>0</v>
      </c>
      <c r="V68" s="65">
        <f>Calculations!V772</f>
        <v>0</v>
      </c>
      <c r="W68" s="266">
        <f>Calculations!W772</f>
        <v>0</v>
      </c>
      <c r="X68" s="266">
        <f>Calculations!X772</f>
        <v>0</v>
      </c>
      <c r="Y68" s="266" t="e">
        <f>Calculations!Y772</f>
        <v>#DIV/0!</v>
      </c>
      <c r="Z68" s="266" t="e">
        <f>Calculations!Z772</f>
        <v>#DIV/0!</v>
      </c>
      <c r="AA68" s="266" t="e">
        <f>Calculations!AA772</f>
        <v>#DIV/0!</v>
      </c>
    </row>
    <row r="69" spans="1:27">
      <c r="A69" s="3">
        <f>Calculations!A773</f>
        <v>65</v>
      </c>
      <c r="B69">
        <f>Calculations!B773</f>
        <v>0</v>
      </c>
      <c r="C69">
        <f>Calculations!C773</f>
        <v>0</v>
      </c>
      <c r="D69">
        <f>Calculations!D773</f>
        <v>0</v>
      </c>
      <c r="E69" s="265">
        <f>Calculations!E773</f>
        <v>0</v>
      </c>
      <c r="F69" s="265">
        <f>Calculations!F773</f>
        <v>0</v>
      </c>
      <c r="G69" s="265">
        <f>Calculations!G773</f>
        <v>0</v>
      </c>
      <c r="H69" s="197">
        <f>Calculations!H773</f>
        <v>0</v>
      </c>
      <c r="I69" s="197">
        <f>Calculations!I773</f>
        <v>0</v>
      </c>
      <c r="J69" s="137">
        <f>Calculations!J773</f>
        <v>0</v>
      </c>
      <c r="K69" s="66">
        <f>Calculations!K773</f>
        <v>0</v>
      </c>
      <c r="L69" s="66">
        <f>Calculations!L773</f>
        <v>0</v>
      </c>
      <c r="M69">
        <f>Calculations!M773</f>
        <v>0</v>
      </c>
      <c r="N69" s="66">
        <f>Calculations!N773</f>
        <v>0</v>
      </c>
      <c r="O69" s="66">
        <f>Calculations!O773</f>
        <v>0</v>
      </c>
      <c r="P69" s="66">
        <f>Calculations!P773</f>
        <v>0</v>
      </c>
      <c r="Q69" s="204">
        <f>Calculations!Q773</f>
        <v>0</v>
      </c>
      <c r="R69" s="66">
        <f>Calculations!R773</f>
        <v>0</v>
      </c>
      <c r="S69" s="65">
        <f>Calculations!S773</f>
        <v>0</v>
      </c>
      <c r="T69" s="65">
        <f>Calculations!T773</f>
        <v>0</v>
      </c>
      <c r="U69" s="204">
        <f>Calculations!U773</f>
        <v>0</v>
      </c>
      <c r="V69" s="65">
        <f>Calculations!V773</f>
        <v>0</v>
      </c>
      <c r="W69" s="266">
        <f>Calculations!W773</f>
        <v>0</v>
      </c>
      <c r="X69" s="266">
        <f>Calculations!X773</f>
        <v>0</v>
      </c>
      <c r="Y69" s="266" t="e">
        <f>Calculations!Y773</f>
        <v>#DIV/0!</v>
      </c>
      <c r="Z69" s="266" t="e">
        <f>Calculations!Z773</f>
        <v>#DIV/0!</v>
      </c>
      <c r="AA69" s="266" t="e">
        <f>Calculations!AA773</f>
        <v>#DIV/0!</v>
      </c>
    </row>
    <row r="70" spans="1:27">
      <c r="A70" s="3">
        <f>Calculations!A774</f>
        <v>66</v>
      </c>
      <c r="B70">
        <f>Calculations!B774</f>
        <v>0</v>
      </c>
      <c r="C70">
        <f>Calculations!C774</f>
        <v>0</v>
      </c>
      <c r="D70">
        <f>Calculations!D774</f>
        <v>0</v>
      </c>
      <c r="E70" s="265">
        <f>Calculations!E774</f>
        <v>0</v>
      </c>
      <c r="F70" s="265">
        <f>Calculations!F774</f>
        <v>0</v>
      </c>
      <c r="G70" s="265">
        <f>Calculations!G774</f>
        <v>0</v>
      </c>
      <c r="H70" s="197">
        <f>Calculations!H774</f>
        <v>0</v>
      </c>
      <c r="I70" s="197">
        <f>Calculations!I774</f>
        <v>0</v>
      </c>
      <c r="J70" s="137">
        <f>Calculations!J774</f>
        <v>0</v>
      </c>
      <c r="K70" s="66">
        <f>Calculations!K774</f>
        <v>0</v>
      </c>
      <c r="L70" s="66">
        <f>Calculations!L774</f>
        <v>0</v>
      </c>
      <c r="M70">
        <f>Calculations!M774</f>
        <v>0</v>
      </c>
      <c r="N70" s="66">
        <f>Calculations!N774</f>
        <v>0</v>
      </c>
      <c r="O70" s="66">
        <f>Calculations!O774</f>
        <v>0</v>
      </c>
      <c r="P70" s="66">
        <f>Calculations!P774</f>
        <v>0</v>
      </c>
      <c r="Q70" s="204">
        <f>Calculations!Q774</f>
        <v>0</v>
      </c>
      <c r="R70" s="66">
        <f>Calculations!R774</f>
        <v>0</v>
      </c>
      <c r="S70" s="65">
        <f>Calculations!S774</f>
        <v>0</v>
      </c>
      <c r="T70" s="65">
        <f>Calculations!T774</f>
        <v>0</v>
      </c>
      <c r="U70" s="204">
        <f>Calculations!U774</f>
        <v>0</v>
      </c>
      <c r="V70" s="65">
        <f>Calculations!V774</f>
        <v>0</v>
      </c>
      <c r="W70" s="266">
        <f>Calculations!W774</f>
        <v>0</v>
      </c>
      <c r="X70" s="266">
        <f>Calculations!X774</f>
        <v>0</v>
      </c>
      <c r="Y70" s="266" t="e">
        <f>Calculations!Y774</f>
        <v>#DIV/0!</v>
      </c>
      <c r="Z70" s="266" t="e">
        <f>Calculations!Z774</f>
        <v>#DIV/0!</v>
      </c>
      <c r="AA70" s="266" t="e">
        <f>Calculations!AA774</f>
        <v>#DIV/0!</v>
      </c>
    </row>
    <row r="71" spans="1:27">
      <c r="A71" s="3">
        <f>Calculations!A775</f>
        <v>67</v>
      </c>
      <c r="B71">
        <f>Calculations!B775</f>
        <v>0</v>
      </c>
      <c r="C71">
        <f>Calculations!C775</f>
        <v>0</v>
      </c>
      <c r="D71">
        <f>Calculations!D775</f>
        <v>0</v>
      </c>
      <c r="E71" s="265">
        <f>Calculations!E775</f>
        <v>0</v>
      </c>
      <c r="F71" s="265">
        <f>Calculations!F775</f>
        <v>0</v>
      </c>
      <c r="G71" s="265">
        <f>Calculations!G775</f>
        <v>0</v>
      </c>
      <c r="H71" s="197">
        <f>Calculations!H775</f>
        <v>0</v>
      </c>
      <c r="I71" s="197">
        <f>Calculations!I775</f>
        <v>0</v>
      </c>
      <c r="J71" s="137">
        <f>Calculations!J775</f>
        <v>0</v>
      </c>
      <c r="K71" s="66">
        <f>Calculations!K775</f>
        <v>0</v>
      </c>
      <c r="L71" s="66">
        <f>Calculations!L775</f>
        <v>0</v>
      </c>
      <c r="M71">
        <f>Calculations!M775</f>
        <v>0</v>
      </c>
      <c r="N71" s="66">
        <f>Calculations!N775</f>
        <v>0</v>
      </c>
      <c r="O71" s="66">
        <f>Calculations!O775</f>
        <v>0</v>
      </c>
      <c r="P71" s="66">
        <f>Calculations!P775</f>
        <v>0</v>
      </c>
      <c r="Q71" s="204">
        <f>Calculations!Q775</f>
        <v>0</v>
      </c>
      <c r="R71" s="66">
        <f>Calculations!R775</f>
        <v>0</v>
      </c>
      <c r="S71" s="65">
        <f>Calculations!S775</f>
        <v>0</v>
      </c>
      <c r="T71" s="65">
        <f>Calculations!T775</f>
        <v>0</v>
      </c>
      <c r="U71" s="204">
        <f>Calculations!U775</f>
        <v>0</v>
      </c>
      <c r="V71" s="65">
        <f>Calculations!V775</f>
        <v>0</v>
      </c>
      <c r="W71" s="266">
        <f>Calculations!W775</f>
        <v>0</v>
      </c>
      <c r="X71" s="266">
        <f>Calculations!X775</f>
        <v>0</v>
      </c>
      <c r="Y71" s="266" t="e">
        <f>Calculations!Y775</f>
        <v>#DIV/0!</v>
      </c>
      <c r="Z71" s="266" t="e">
        <f>Calculations!Z775</f>
        <v>#DIV/0!</v>
      </c>
      <c r="AA71" s="266" t="e">
        <f>Calculations!AA775</f>
        <v>#DIV/0!</v>
      </c>
    </row>
    <row r="72" spans="1:27">
      <c r="A72" s="3">
        <f>Calculations!A776</f>
        <v>68</v>
      </c>
      <c r="B72">
        <f>Calculations!B776</f>
        <v>0</v>
      </c>
      <c r="C72">
        <f>Calculations!C776</f>
        <v>0</v>
      </c>
      <c r="D72">
        <f>Calculations!D776</f>
        <v>0</v>
      </c>
      <c r="E72" s="265">
        <f>Calculations!E776</f>
        <v>0</v>
      </c>
      <c r="F72" s="265">
        <f>Calculations!F776</f>
        <v>0</v>
      </c>
      <c r="G72" s="265">
        <f>Calculations!G776</f>
        <v>0</v>
      </c>
      <c r="H72" s="197">
        <f>Calculations!H776</f>
        <v>0</v>
      </c>
      <c r="I72" s="197">
        <f>Calculations!I776</f>
        <v>0</v>
      </c>
      <c r="J72" s="137">
        <f>Calculations!J776</f>
        <v>0</v>
      </c>
      <c r="K72" s="66">
        <f>Calculations!K776</f>
        <v>0</v>
      </c>
      <c r="L72" s="66">
        <f>Calculations!L776</f>
        <v>0</v>
      </c>
      <c r="M72">
        <f>Calculations!M776</f>
        <v>0</v>
      </c>
      <c r="N72" s="66">
        <f>Calculations!N776</f>
        <v>0</v>
      </c>
      <c r="O72" s="66">
        <f>Calculations!O776</f>
        <v>0</v>
      </c>
      <c r="P72" s="66">
        <f>Calculations!P776</f>
        <v>0</v>
      </c>
      <c r="Q72" s="204">
        <f>Calculations!Q776</f>
        <v>0</v>
      </c>
      <c r="R72" s="66">
        <f>Calculations!R776</f>
        <v>0</v>
      </c>
      <c r="S72" s="65">
        <f>Calculations!S776</f>
        <v>0</v>
      </c>
      <c r="T72" s="65">
        <f>Calculations!T776</f>
        <v>0</v>
      </c>
      <c r="U72" s="204">
        <f>Calculations!U776</f>
        <v>0</v>
      </c>
      <c r="V72" s="65">
        <f>Calculations!V776</f>
        <v>0</v>
      </c>
      <c r="W72" s="266">
        <f>Calculations!W776</f>
        <v>0</v>
      </c>
      <c r="X72" s="266">
        <f>Calculations!X776</f>
        <v>0</v>
      </c>
      <c r="Y72" s="266" t="e">
        <f>Calculations!Y776</f>
        <v>#DIV/0!</v>
      </c>
      <c r="Z72" s="266" t="e">
        <f>Calculations!Z776</f>
        <v>#DIV/0!</v>
      </c>
      <c r="AA72" s="266" t="e">
        <f>Calculations!AA776</f>
        <v>#DIV/0!</v>
      </c>
    </row>
    <row r="73" spans="1:27">
      <c r="A73" s="3">
        <f>Calculations!A777</f>
        <v>69</v>
      </c>
      <c r="B73">
        <f>Calculations!B777</f>
        <v>0</v>
      </c>
      <c r="C73">
        <f>Calculations!C777</f>
        <v>0</v>
      </c>
      <c r="D73">
        <f>Calculations!D777</f>
        <v>0</v>
      </c>
      <c r="E73" s="265">
        <f>Calculations!E777</f>
        <v>0</v>
      </c>
      <c r="F73" s="265">
        <f>Calculations!F777</f>
        <v>0</v>
      </c>
      <c r="G73" s="265">
        <f>Calculations!G777</f>
        <v>0</v>
      </c>
      <c r="H73" s="197">
        <f>Calculations!H777</f>
        <v>0</v>
      </c>
      <c r="I73" s="197">
        <f>Calculations!I777</f>
        <v>0</v>
      </c>
      <c r="J73" s="137">
        <f>Calculations!J777</f>
        <v>0</v>
      </c>
      <c r="K73" s="66">
        <f>Calculations!K777</f>
        <v>0</v>
      </c>
      <c r="L73" s="66">
        <f>Calculations!L777</f>
        <v>0</v>
      </c>
      <c r="M73">
        <f>Calculations!M777</f>
        <v>0</v>
      </c>
      <c r="N73" s="66">
        <f>Calculations!N777</f>
        <v>0</v>
      </c>
      <c r="O73" s="66">
        <f>Calculations!O777</f>
        <v>0</v>
      </c>
      <c r="P73" s="66">
        <f>Calculations!P777</f>
        <v>0</v>
      </c>
      <c r="Q73" s="204">
        <f>Calculations!Q777</f>
        <v>0</v>
      </c>
      <c r="R73" s="66">
        <f>Calculations!R777</f>
        <v>0</v>
      </c>
      <c r="S73" s="65">
        <f>Calculations!S777</f>
        <v>0</v>
      </c>
      <c r="T73" s="65">
        <f>Calculations!T777</f>
        <v>0</v>
      </c>
      <c r="U73" s="204">
        <f>Calculations!U777</f>
        <v>0</v>
      </c>
      <c r="V73" s="65">
        <f>Calculations!V777</f>
        <v>0</v>
      </c>
      <c r="W73" s="266">
        <f>Calculations!W777</f>
        <v>0</v>
      </c>
      <c r="X73" s="266">
        <f>Calculations!X777</f>
        <v>0</v>
      </c>
      <c r="Y73" s="266" t="e">
        <f>Calculations!Y777</f>
        <v>#DIV/0!</v>
      </c>
      <c r="Z73" s="266" t="e">
        <f>Calculations!Z777</f>
        <v>#DIV/0!</v>
      </c>
      <c r="AA73" s="266" t="e">
        <f>Calculations!AA777</f>
        <v>#DIV/0!</v>
      </c>
    </row>
    <row r="74" spans="1:27">
      <c r="A74" s="3">
        <f>Calculations!A778</f>
        <v>70</v>
      </c>
      <c r="B74">
        <f>Calculations!B778</f>
        <v>0</v>
      </c>
      <c r="C74">
        <f>Calculations!C778</f>
        <v>0</v>
      </c>
      <c r="D74">
        <f>Calculations!D778</f>
        <v>0</v>
      </c>
      <c r="E74" s="265">
        <f>Calculations!E778</f>
        <v>0</v>
      </c>
      <c r="F74" s="265">
        <f>Calculations!F778</f>
        <v>0</v>
      </c>
      <c r="G74" s="265">
        <f>Calculations!G778</f>
        <v>0</v>
      </c>
      <c r="H74" s="197">
        <f>Calculations!H778</f>
        <v>0</v>
      </c>
      <c r="I74" s="197">
        <f>Calculations!I778</f>
        <v>0</v>
      </c>
      <c r="J74" s="137">
        <f>Calculations!J778</f>
        <v>0</v>
      </c>
      <c r="K74" s="66">
        <f>Calculations!K778</f>
        <v>0</v>
      </c>
      <c r="L74" s="66">
        <f>Calculations!L778</f>
        <v>0</v>
      </c>
      <c r="M74">
        <f>Calculations!M778</f>
        <v>0</v>
      </c>
      <c r="N74" s="66">
        <f>Calculations!N778</f>
        <v>0</v>
      </c>
      <c r="O74" s="66">
        <f>Calculations!O778</f>
        <v>0</v>
      </c>
      <c r="P74" s="66">
        <f>Calculations!P778</f>
        <v>0</v>
      </c>
      <c r="Q74" s="204">
        <f>Calculations!Q778</f>
        <v>0</v>
      </c>
      <c r="R74" s="66">
        <f>Calculations!R778</f>
        <v>0</v>
      </c>
      <c r="S74" s="65">
        <f>Calculations!S778</f>
        <v>0</v>
      </c>
      <c r="T74" s="65">
        <f>Calculations!T778</f>
        <v>0</v>
      </c>
      <c r="U74" s="204">
        <f>Calculations!U778</f>
        <v>0</v>
      </c>
      <c r="V74" s="65">
        <f>Calculations!V778</f>
        <v>0</v>
      </c>
      <c r="W74" s="266">
        <f>Calculations!W778</f>
        <v>0</v>
      </c>
      <c r="X74" s="266">
        <f>Calculations!X778</f>
        <v>0</v>
      </c>
      <c r="Y74" s="266" t="e">
        <f>Calculations!Y778</f>
        <v>#DIV/0!</v>
      </c>
      <c r="Z74" s="266" t="e">
        <f>Calculations!Z778</f>
        <v>#DIV/0!</v>
      </c>
      <c r="AA74" s="266" t="e">
        <f>Calculations!AA778</f>
        <v>#DIV/0!</v>
      </c>
    </row>
    <row r="75" spans="1:27">
      <c r="A75" s="3">
        <f>Calculations!A779</f>
        <v>71</v>
      </c>
      <c r="B75">
        <f>Calculations!B779</f>
        <v>0</v>
      </c>
      <c r="C75">
        <f>Calculations!C779</f>
        <v>0</v>
      </c>
      <c r="D75">
        <f>Calculations!D779</f>
        <v>0</v>
      </c>
      <c r="E75" s="265">
        <f>Calculations!E779</f>
        <v>0</v>
      </c>
      <c r="F75" s="265">
        <f>Calculations!F779</f>
        <v>0</v>
      </c>
      <c r="G75" s="265">
        <f>Calculations!G779</f>
        <v>0</v>
      </c>
      <c r="H75" s="197">
        <f>Calculations!H779</f>
        <v>0</v>
      </c>
      <c r="I75" s="197">
        <f>Calculations!I779</f>
        <v>0</v>
      </c>
      <c r="J75" s="137">
        <f>Calculations!J779</f>
        <v>0</v>
      </c>
      <c r="K75" s="66">
        <f>Calculations!K779</f>
        <v>0</v>
      </c>
      <c r="L75" s="66">
        <f>Calculations!L779</f>
        <v>0</v>
      </c>
      <c r="M75">
        <f>Calculations!M779</f>
        <v>0</v>
      </c>
      <c r="N75" s="66">
        <f>Calculations!N779</f>
        <v>0</v>
      </c>
      <c r="O75" s="66">
        <f>Calculations!O779</f>
        <v>0</v>
      </c>
      <c r="P75" s="66">
        <f>Calculations!P779</f>
        <v>0</v>
      </c>
      <c r="Q75" s="204">
        <f>Calculations!Q779</f>
        <v>0</v>
      </c>
      <c r="R75" s="66">
        <f>Calculations!R779</f>
        <v>0</v>
      </c>
      <c r="S75" s="65">
        <f>Calculations!S779</f>
        <v>0</v>
      </c>
      <c r="T75" s="65">
        <f>Calculations!T779</f>
        <v>0</v>
      </c>
      <c r="U75" s="204">
        <f>Calculations!U779</f>
        <v>0</v>
      </c>
      <c r="V75" s="65">
        <f>Calculations!V779</f>
        <v>0</v>
      </c>
      <c r="W75" s="266">
        <f>Calculations!W779</f>
        <v>0</v>
      </c>
      <c r="X75" s="266">
        <f>Calculations!X779</f>
        <v>0</v>
      </c>
      <c r="Y75" s="266" t="e">
        <f>Calculations!Y779</f>
        <v>#DIV/0!</v>
      </c>
      <c r="Z75" s="266" t="e">
        <f>Calculations!Z779</f>
        <v>#DIV/0!</v>
      </c>
      <c r="AA75" s="266" t="e">
        <f>Calculations!AA779</f>
        <v>#DIV/0!</v>
      </c>
    </row>
    <row r="76" spans="1:27">
      <c r="A76" s="3">
        <f>Calculations!A780</f>
        <v>72</v>
      </c>
      <c r="B76">
        <f>Calculations!B780</f>
        <v>0</v>
      </c>
      <c r="C76">
        <f>Calculations!C780</f>
        <v>0</v>
      </c>
      <c r="D76">
        <f>Calculations!D780</f>
        <v>0</v>
      </c>
      <c r="E76" s="265">
        <f>Calculations!E780</f>
        <v>0</v>
      </c>
      <c r="F76" s="265">
        <f>Calculations!F780</f>
        <v>0</v>
      </c>
      <c r="G76" s="265">
        <f>Calculations!G780</f>
        <v>0</v>
      </c>
      <c r="H76" s="197">
        <f>Calculations!H780</f>
        <v>0</v>
      </c>
      <c r="I76" s="197">
        <f>Calculations!I780</f>
        <v>0</v>
      </c>
      <c r="J76" s="137">
        <f>Calculations!J780</f>
        <v>0</v>
      </c>
      <c r="K76" s="66">
        <f>Calculations!K780</f>
        <v>0</v>
      </c>
      <c r="L76" s="66">
        <f>Calculations!L780</f>
        <v>0</v>
      </c>
      <c r="M76">
        <f>Calculations!M780</f>
        <v>0</v>
      </c>
      <c r="N76" s="66">
        <f>Calculations!N780</f>
        <v>0</v>
      </c>
      <c r="O76" s="66">
        <f>Calculations!O780</f>
        <v>0</v>
      </c>
      <c r="P76" s="66">
        <f>Calculations!P780</f>
        <v>0</v>
      </c>
      <c r="Q76" s="204">
        <f>Calculations!Q780</f>
        <v>0</v>
      </c>
      <c r="R76" s="66">
        <f>Calculations!R780</f>
        <v>0</v>
      </c>
      <c r="S76" s="65">
        <f>Calculations!S780</f>
        <v>0</v>
      </c>
      <c r="T76" s="65">
        <f>Calculations!T780</f>
        <v>0</v>
      </c>
      <c r="U76" s="204">
        <f>Calculations!U780</f>
        <v>0</v>
      </c>
      <c r="V76" s="65">
        <f>Calculations!V780</f>
        <v>0</v>
      </c>
      <c r="W76" s="266">
        <f>Calculations!W780</f>
        <v>0</v>
      </c>
      <c r="X76" s="266">
        <f>Calculations!X780</f>
        <v>0</v>
      </c>
      <c r="Y76" s="266" t="e">
        <f>Calculations!Y780</f>
        <v>#DIV/0!</v>
      </c>
      <c r="Z76" s="266" t="e">
        <f>Calculations!Z780</f>
        <v>#DIV/0!</v>
      </c>
      <c r="AA76" s="266" t="e">
        <f>Calculations!AA780</f>
        <v>#DIV/0!</v>
      </c>
    </row>
    <row r="77" spans="1:27">
      <c r="A77" s="3">
        <f>Calculations!A781</f>
        <v>73</v>
      </c>
      <c r="B77">
        <f>Calculations!B781</f>
        <v>0</v>
      </c>
      <c r="C77">
        <f>Calculations!C781</f>
        <v>0</v>
      </c>
      <c r="D77">
        <f>Calculations!D781</f>
        <v>0</v>
      </c>
      <c r="E77" s="265">
        <f>Calculations!E781</f>
        <v>0</v>
      </c>
      <c r="F77" s="265">
        <f>Calculations!F781</f>
        <v>0</v>
      </c>
      <c r="G77" s="265">
        <f>Calculations!G781</f>
        <v>0</v>
      </c>
      <c r="H77" s="197">
        <f>Calculations!H781</f>
        <v>0</v>
      </c>
      <c r="I77" s="197">
        <f>Calculations!I781</f>
        <v>0</v>
      </c>
      <c r="J77" s="137">
        <f>Calculations!J781</f>
        <v>0</v>
      </c>
      <c r="K77" s="66">
        <f>Calculations!K781</f>
        <v>0</v>
      </c>
      <c r="L77" s="66">
        <f>Calculations!L781</f>
        <v>0</v>
      </c>
      <c r="M77">
        <f>Calculations!M781</f>
        <v>0</v>
      </c>
      <c r="N77" s="66">
        <f>Calculations!N781</f>
        <v>0</v>
      </c>
      <c r="O77" s="66">
        <f>Calculations!O781</f>
        <v>0</v>
      </c>
      <c r="P77" s="66">
        <f>Calculations!P781</f>
        <v>0</v>
      </c>
      <c r="Q77" s="204">
        <f>Calculations!Q781</f>
        <v>0</v>
      </c>
      <c r="R77" s="66">
        <f>Calculations!R781</f>
        <v>0</v>
      </c>
      <c r="S77" s="65">
        <f>Calculations!S781</f>
        <v>0</v>
      </c>
      <c r="T77" s="65">
        <f>Calculations!T781</f>
        <v>0</v>
      </c>
      <c r="U77" s="204">
        <f>Calculations!U781</f>
        <v>0</v>
      </c>
      <c r="V77" s="65">
        <f>Calculations!V781</f>
        <v>0</v>
      </c>
      <c r="W77" s="266">
        <f>Calculations!W781</f>
        <v>0</v>
      </c>
      <c r="X77" s="266">
        <f>Calculations!X781</f>
        <v>0</v>
      </c>
      <c r="Y77" s="266" t="e">
        <f>Calculations!Y781</f>
        <v>#DIV/0!</v>
      </c>
      <c r="Z77" s="266" t="e">
        <f>Calculations!Z781</f>
        <v>#DIV/0!</v>
      </c>
      <c r="AA77" s="266" t="e">
        <f>Calculations!AA781</f>
        <v>#DIV/0!</v>
      </c>
    </row>
    <row r="78" spans="1:27">
      <c r="A78" s="3">
        <f>Calculations!A782</f>
        <v>74</v>
      </c>
      <c r="B78">
        <f>Calculations!B782</f>
        <v>0</v>
      </c>
      <c r="C78">
        <f>Calculations!C782</f>
        <v>0</v>
      </c>
      <c r="D78">
        <f>Calculations!D782</f>
        <v>0</v>
      </c>
      <c r="E78" s="265">
        <f>Calculations!E782</f>
        <v>0</v>
      </c>
      <c r="F78" s="265">
        <f>Calculations!F782</f>
        <v>0</v>
      </c>
      <c r="G78" s="265">
        <f>Calculations!G782</f>
        <v>0</v>
      </c>
      <c r="H78" s="197">
        <f>Calculations!H782</f>
        <v>0</v>
      </c>
      <c r="I78" s="197">
        <f>Calculations!I782</f>
        <v>0</v>
      </c>
      <c r="J78" s="137">
        <f>Calculations!J782</f>
        <v>0</v>
      </c>
      <c r="K78" s="66">
        <f>Calculations!K782</f>
        <v>0</v>
      </c>
      <c r="L78" s="66">
        <f>Calculations!L782</f>
        <v>0</v>
      </c>
      <c r="M78">
        <f>Calculations!M782</f>
        <v>0</v>
      </c>
      <c r="N78" s="66">
        <f>Calculations!N782</f>
        <v>0</v>
      </c>
      <c r="O78" s="66">
        <f>Calculations!O782</f>
        <v>0</v>
      </c>
      <c r="P78" s="66">
        <f>Calculations!P782</f>
        <v>0</v>
      </c>
      <c r="Q78" s="204">
        <f>Calculations!Q782</f>
        <v>0</v>
      </c>
      <c r="R78" s="66">
        <f>Calculations!R782</f>
        <v>0</v>
      </c>
      <c r="S78" s="65">
        <f>Calculations!S782</f>
        <v>0</v>
      </c>
      <c r="T78" s="65">
        <f>Calculations!T782</f>
        <v>0</v>
      </c>
      <c r="U78" s="204">
        <f>Calculations!U782</f>
        <v>0</v>
      </c>
      <c r="V78" s="65">
        <f>Calculations!V782</f>
        <v>0</v>
      </c>
      <c r="W78" s="266">
        <f>Calculations!W782</f>
        <v>0</v>
      </c>
      <c r="X78" s="266">
        <f>Calculations!X782</f>
        <v>0</v>
      </c>
      <c r="Y78" s="266" t="e">
        <f>Calculations!Y782</f>
        <v>#DIV/0!</v>
      </c>
      <c r="Z78" s="266" t="e">
        <f>Calculations!Z782</f>
        <v>#DIV/0!</v>
      </c>
      <c r="AA78" s="266" t="e">
        <f>Calculations!AA782</f>
        <v>#DIV/0!</v>
      </c>
    </row>
    <row r="79" spans="1:27">
      <c r="A79" s="3">
        <f>Calculations!A783</f>
        <v>75</v>
      </c>
      <c r="B79">
        <f>Calculations!B783</f>
        <v>0</v>
      </c>
      <c r="C79">
        <f>Calculations!C783</f>
        <v>0</v>
      </c>
      <c r="D79">
        <f>Calculations!D783</f>
        <v>0</v>
      </c>
      <c r="E79" s="265">
        <f>Calculations!E783</f>
        <v>0</v>
      </c>
      <c r="F79" s="265">
        <f>Calculations!F783</f>
        <v>0</v>
      </c>
      <c r="G79" s="265">
        <f>Calculations!G783</f>
        <v>0</v>
      </c>
      <c r="H79" s="197">
        <f>Calculations!H783</f>
        <v>0</v>
      </c>
      <c r="I79" s="197">
        <f>Calculations!I783</f>
        <v>0</v>
      </c>
      <c r="J79" s="137">
        <f>Calculations!J783</f>
        <v>0</v>
      </c>
      <c r="K79" s="66">
        <f>Calculations!K783</f>
        <v>0</v>
      </c>
      <c r="L79" s="66">
        <f>Calculations!L783</f>
        <v>0</v>
      </c>
      <c r="M79">
        <f>Calculations!M783</f>
        <v>0</v>
      </c>
      <c r="N79" s="66">
        <f>Calculations!N783</f>
        <v>0</v>
      </c>
      <c r="O79" s="66">
        <f>Calculations!O783</f>
        <v>0</v>
      </c>
      <c r="P79" s="66">
        <f>Calculations!P783</f>
        <v>0</v>
      </c>
      <c r="Q79" s="204">
        <f>Calculations!Q783</f>
        <v>0</v>
      </c>
      <c r="R79" s="66">
        <f>Calculations!R783</f>
        <v>0</v>
      </c>
      <c r="S79" s="65">
        <f>Calculations!S783</f>
        <v>0</v>
      </c>
      <c r="T79" s="65">
        <f>Calculations!T783</f>
        <v>0</v>
      </c>
      <c r="U79" s="204">
        <f>Calculations!U783</f>
        <v>0</v>
      </c>
      <c r="V79" s="65">
        <f>Calculations!V783</f>
        <v>0</v>
      </c>
      <c r="W79" s="266">
        <f>Calculations!W783</f>
        <v>0</v>
      </c>
      <c r="X79" s="266">
        <f>Calculations!X783</f>
        <v>0</v>
      </c>
      <c r="Y79" s="266" t="e">
        <f>Calculations!Y783</f>
        <v>#DIV/0!</v>
      </c>
      <c r="Z79" s="266" t="e">
        <f>Calculations!Z783</f>
        <v>#DIV/0!</v>
      </c>
      <c r="AA79" s="266" t="e">
        <f>Calculations!AA783</f>
        <v>#DIV/0!</v>
      </c>
    </row>
    <row r="80" spans="1:27">
      <c r="A80" s="3">
        <f>Calculations!A784</f>
        <v>76</v>
      </c>
      <c r="B80">
        <f>Calculations!B784</f>
        <v>0</v>
      </c>
      <c r="C80">
        <f>Calculations!C784</f>
        <v>0</v>
      </c>
      <c r="D80">
        <f>Calculations!D784</f>
        <v>0</v>
      </c>
      <c r="E80" s="265">
        <f>Calculations!E784</f>
        <v>0</v>
      </c>
      <c r="F80" s="265">
        <f>Calculations!F784</f>
        <v>0</v>
      </c>
      <c r="G80" s="265">
        <f>Calculations!G784</f>
        <v>0</v>
      </c>
      <c r="H80" s="197">
        <f>Calculations!H784</f>
        <v>0</v>
      </c>
      <c r="I80" s="197">
        <f>Calculations!I784</f>
        <v>0</v>
      </c>
      <c r="J80" s="137">
        <f>Calculations!J784</f>
        <v>0</v>
      </c>
      <c r="K80" s="66">
        <f>Calculations!K784</f>
        <v>0</v>
      </c>
      <c r="L80" s="66">
        <f>Calculations!L784</f>
        <v>0</v>
      </c>
      <c r="M80">
        <f>Calculations!M784</f>
        <v>0</v>
      </c>
      <c r="N80" s="66">
        <f>Calculations!N784</f>
        <v>0</v>
      </c>
      <c r="O80" s="66">
        <f>Calculations!O784</f>
        <v>0</v>
      </c>
      <c r="P80" s="66">
        <f>Calculations!P784</f>
        <v>0</v>
      </c>
      <c r="Q80" s="204">
        <f>Calculations!Q784</f>
        <v>0</v>
      </c>
      <c r="R80" s="66">
        <f>Calculations!R784</f>
        <v>0</v>
      </c>
      <c r="S80" s="65">
        <f>Calculations!S784</f>
        <v>0</v>
      </c>
      <c r="T80" s="65">
        <f>Calculations!T784</f>
        <v>0</v>
      </c>
      <c r="U80" s="204">
        <f>Calculations!U784</f>
        <v>0</v>
      </c>
      <c r="V80" s="65">
        <f>Calculations!V784</f>
        <v>0</v>
      </c>
      <c r="W80" s="266">
        <f>Calculations!W784</f>
        <v>0</v>
      </c>
      <c r="X80" s="266">
        <f>Calculations!X784</f>
        <v>0</v>
      </c>
      <c r="Y80" s="266" t="e">
        <f>Calculations!Y784</f>
        <v>#DIV/0!</v>
      </c>
      <c r="Z80" s="266" t="e">
        <f>Calculations!Z784</f>
        <v>#DIV/0!</v>
      </c>
      <c r="AA80" s="266" t="e">
        <f>Calculations!AA784</f>
        <v>#DIV/0!</v>
      </c>
    </row>
    <row r="81" spans="1:27">
      <c r="A81" s="3">
        <f>Calculations!A785</f>
        <v>77</v>
      </c>
      <c r="B81">
        <f>Calculations!B785</f>
        <v>0</v>
      </c>
      <c r="C81">
        <f>Calculations!C785</f>
        <v>0</v>
      </c>
      <c r="D81">
        <f>Calculations!D785</f>
        <v>0</v>
      </c>
      <c r="E81" s="265">
        <f>Calculations!E785</f>
        <v>0</v>
      </c>
      <c r="F81" s="265">
        <f>Calculations!F785</f>
        <v>0</v>
      </c>
      <c r="G81" s="265">
        <f>Calculations!G785</f>
        <v>0</v>
      </c>
      <c r="H81" s="197">
        <f>Calculations!H785</f>
        <v>0</v>
      </c>
      <c r="I81" s="197">
        <f>Calculations!I785</f>
        <v>0</v>
      </c>
      <c r="J81" s="137">
        <f>Calculations!J785</f>
        <v>0</v>
      </c>
      <c r="K81" s="66">
        <f>Calculations!K785</f>
        <v>0</v>
      </c>
      <c r="L81" s="66">
        <f>Calculations!L785</f>
        <v>0</v>
      </c>
      <c r="M81">
        <f>Calculations!M785</f>
        <v>0</v>
      </c>
      <c r="N81" s="66">
        <f>Calculations!N785</f>
        <v>0</v>
      </c>
      <c r="O81" s="66">
        <f>Calculations!O785</f>
        <v>0</v>
      </c>
      <c r="P81" s="66">
        <f>Calculations!P785</f>
        <v>0</v>
      </c>
      <c r="Q81" s="204">
        <f>Calculations!Q785</f>
        <v>0</v>
      </c>
      <c r="R81" s="66">
        <f>Calculations!R785</f>
        <v>0</v>
      </c>
      <c r="S81" s="65">
        <f>Calculations!S785</f>
        <v>0</v>
      </c>
      <c r="T81" s="65">
        <f>Calculations!T785</f>
        <v>0</v>
      </c>
      <c r="U81" s="204">
        <f>Calculations!U785</f>
        <v>0</v>
      </c>
      <c r="V81" s="65">
        <f>Calculations!V785</f>
        <v>0</v>
      </c>
      <c r="W81" s="266">
        <f>Calculations!W785</f>
        <v>0</v>
      </c>
      <c r="X81" s="266">
        <f>Calculations!X785</f>
        <v>0</v>
      </c>
      <c r="Y81" s="266" t="e">
        <f>Calculations!Y785</f>
        <v>#DIV/0!</v>
      </c>
      <c r="Z81" s="266" t="e">
        <f>Calculations!Z785</f>
        <v>#DIV/0!</v>
      </c>
      <c r="AA81" s="266" t="e">
        <f>Calculations!AA785</f>
        <v>#DIV/0!</v>
      </c>
    </row>
    <row r="82" spans="1:27">
      <c r="A82" s="3">
        <f>Calculations!A786</f>
        <v>78</v>
      </c>
      <c r="B82">
        <f>Calculations!B786</f>
        <v>0</v>
      </c>
      <c r="C82">
        <f>Calculations!C786</f>
        <v>0</v>
      </c>
      <c r="D82">
        <f>Calculations!D786</f>
        <v>0</v>
      </c>
      <c r="E82" s="265">
        <f>Calculations!E786</f>
        <v>0</v>
      </c>
      <c r="F82" s="265">
        <f>Calculations!F786</f>
        <v>0</v>
      </c>
      <c r="G82" s="265">
        <f>Calculations!G786</f>
        <v>0</v>
      </c>
      <c r="H82" s="197">
        <f>Calculations!H786</f>
        <v>0</v>
      </c>
      <c r="I82" s="197">
        <f>Calculations!I786</f>
        <v>0</v>
      </c>
      <c r="J82" s="137">
        <f>Calculations!J786</f>
        <v>0</v>
      </c>
      <c r="K82" s="66">
        <f>Calculations!K786</f>
        <v>0</v>
      </c>
      <c r="L82" s="66">
        <f>Calculations!L786</f>
        <v>0</v>
      </c>
      <c r="M82">
        <f>Calculations!M786</f>
        <v>0</v>
      </c>
      <c r="N82" s="66">
        <f>Calculations!N786</f>
        <v>0</v>
      </c>
      <c r="O82" s="66">
        <f>Calculations!O786</f>
        <v>0</v>
      </c>
      <c r="P82" s="66">
        <f>Calculations!P786</f>
        <v>0</v>
      </c>
      <c r="Q82" s="204">
        <f>Calculations!Q786</f>
        <v>0</v>
      </c>
      <c r="R82" s="66">
        <f>Calculations!R786</f>
        <v>0</v>
      </c>
      <c r="S82" s="65">
        <f>Calculations!S786</f>
        <v>0</v>
      </c>
      <c r="T82" s="65">
        <f>Calculations!T786</f>
        <v>0</v>
      </c>
      <c r="U82" s="204">
        <f>Calculations!U786</f>
        <v>0</v>
      </c>
      <c r="V82" s="65">
        <f>Calculations!V786</f>
        <v>0</v>
      </c>
      <c r="W82" s="266">
        <f>Calculations!W786</f>
        <v>0</v>
      </c>
      <c r="X82" s="266">
        <f>Calculations!X786</f>
        <v>0</v>
      </c>
      <c r="Y82" s="266" t="e">
        <f>Calculations!Y786</f>
        <v>#DIV/0!</v>
      </c>
      <c r="Z82" s="266" t="e">
        <f>Calculations!Z786</f>
        <v>#DIV/0!</v>
      </c>
      <c r="AA82" s="266" t="e">
        <f>Calculations!AA786</f>
        <v>#DIV/0!</v>
      </c>
    </row>
    <row r="83" spans="1:27">
      <c r="A83" s="3">
        <f>Calculations!A787</f>
        <v>79</v>
      </c>
      <c r="B83">
        <f>Calculations!B787</f>
        <v>0</v>
      </c>
      <c r="C83">
        <f>Calculations!C787</f>
        <v>0</v>
      </c>
      <c r="D83">
        <f>Calculations!D787</f>
        <v>0</v>
      </c>
      <c r="E83" s="265">
        <f>Calculations!E787</f>
        <v>0</v>
      </c>
      <c r="F83" s="265">
        <f>Calculations!F787</f>
        <v>0</v>
      </c>
      <c r="G83" s="265">
        <f>Calculations!G787</f>
        <v>0</v>
      </c>
      <c r="H83" s="197">
        <f>Calculations!H787</f>
        <v>0</v>
      </c>
      <c r="I83" s="197">
        <f>Calculations!I787</f>
        <v>0</v>
      </c>
      <c r="J83" s="137">
        <f>Calculations!J787</f>
        <v>0</v>
      </c>
      <c r="K83" s="66">
        <f>Calculations!K787</f>
        <v>0</v>
      </c>
      <c r="L83" s="66">
        <f>Calculations!L787</f>
        <v>0</v>
      </c>
      <c r="M83">
        <f>Calculations!M787</f>
        <v>0</v>
      </c>
      <c r="N83" s="66">
        <f>Calculations!N787</f>
        <v>0</v>
      </c>
      <c r="O83" s="66">
        <f>Calculations!O787</f>
        <v>0</v>
      </c>
      <c r="P83" s="66">
        <f>Calculations!P787</f>
        <v>0</v>
      </c>
      <c r="Q83" s="204">
        <f>Calculations!Q787</f>
        <v>0</v>
      </c>
      <c r="R83" s="66">
        <f>Calculations!R787</f>
        <v>0</v>
      </c>
      <c r="S83" s="65">
        <f>Calculations!S787</f>
        <v>0</v>
      </c>
      <c r="T83" s="65">
        <f>Calculations!T787</f>
        <v>0</v>
      </c>
      <c r="U83" s="204">
        <f>Calculations!U787</f>
        <v>0</v>
      </c>
      <c r="V83" s="65">
        <f>Calculations!V787</f>
        <v>0</v>
      </c>
      <c r="W83" s="266">
        <f>Calculations!W787</f>
        <v>0</v>
      </c>
      <c r="X83" s="266">
        <f>Calculations!X787</f>
        <v>0</v>
      </c>
      <c r="Y83" s="266" t="e">
        <f>Calculations!Y787</f>
        <v>#DIV/0!</v>
      </c>
      <c r="Z83" s="266" t="e">
        <f>Calculations!Z787</f>
        <v>#DIV/0!</v>
      </c>
      <c r="AA83" s="266" t="e">
        <f>Calculations!AA787</f>
        <v>#DIV/0!</v>
      </c>
    </row>
    <row r="84" spans="1:27">
      <c r="A84" s="3">
        <f>Calculations!A788</f>
        <v>80</v>
      </c>
      <c r="B84">
        <f>Calculations!B788</f>
        <v>0</v>
      </c>
      <c r="C84">
        <f>Calculations!C788</f>
        <v>0</v>
      </c>
      <c r="D84">
        <f>Calculations!D788</f>
        <v>0</v>
      </c>
      <c r="E84" s="265">
        <f>Calculations!E788</f>
        <v>0</v>
      </c>
      <c r="F84" s="265">
        <f>Calculations!F788</f>
        <v>0</v>
      </c>
      <c r="G84" s="265">
        <f>Calculations!G788</f>
        <v>0</v>
      </c>
      <c r="H84" s="197">
        <f>Calculations!H788</f>
        <v>0</v>
      </c>
      <c r="I84" s="197">
        <f>Calculations!I788</f>
        <v>0</v>
      </c>
      <c r="J84" s="137">
        <f>Calculations!J788</f>
        <v>0</v>
      </c>
      <c r="K84" s="66">
        <f>Calculations!K788</f>
        <v>0</v>
      </c>
      <c r="L84" s="66">
        <f>Calculations!L788</f>
        <v>0</v>
      </c>
      <c r="M84">
        <f>Calculations!M788</f>
        <v>0</v>
      </c>
      <c r="N84" s="66">
        <f>Calculations!N788</f>
        <v>0</v>
      </c>
      <c r="O84" s="66">
        <f>Calculations!O788</f>
        <v>0</v>
      </c>
      <c r="P84" s="66">
        <f>Calculations!P788</f>
        <v>0</v>
      </c>
      <c r="Q84" s="204">
        <f>Calculations!Q788</f>
        <v>0</v>
      </c>
      <c r="R84" s="66">
        <f>Calculations!R788</f>
        <v>0</v>
      </c>
      <c r="S84" s="65">
        <f>Calculations!S788</f>
        <v>0</v>
      </c>
      <c r="T84" s="65">
        <f>Calculations!T788</f>
        <v>0</v>
      </c>
      <c r="U84" s="204">
        <f>Calculations!U788</f>
        <v>0</v>
      </c>
      <c r="V84" s="65">
        <f>Calculations!V788</f>
        <v>0</v>
      </c>
      <c r="W84" s="266">
        <f>Calculations!W788</f>
        <v>0</v>
      </c>
      <c r="X84" s="266">
        <f>Calculations!X788</f>
        <v>0</v>
      </c>
      <c r="Y84" s="266" t="e">
        <f>Calculations!Y788</f>
        <v>#DIV/0!</v>
      </c>
      <c r="Z84" s="266" t="e">
        <f>Calculations!Z788</f>
        <v>#DIV/0!</v>
      </c>
      <c r="AA84" s="266" t="e">
        <f>Calculations!AA788</f>
        <v>#DIV/0!</v>
      </c>
    </row>
    <row r="85" spans="1:27">
      <c r="A85" s="3">
        <f>Calculations!A789</f>
        <v>81</v>
      </c>
      <c r="B85">
        <f>Calculations!B789</f>
        <v>0</v>
      </c>
      <c r="C85">
        <f>Calculations!C789</f>
        <v>0</v>
      </c>
      <c r="D85">
        <f>Calculations!D789</f>
        <v>0</v>
      </c>
      <c r="E85" s="265">
        <f>Calculations!E789</f>
        <v>0</v>
      </c>
      <c r="F85" s="265">
        <f>Calculations!F789</f>
        <v>0</v>
      </c>
      <c r="G85" s="265">
        <f>Calculations!G789</f>
        <v>0</v>
      </c>
      <c r="H85" s="197">
        <f>Calculations!H789</f>
        <v>0</v>
      </c>
      <c r="I85" s="197">
        <f>Calculations!I789</f>
        <v>0</v>
      </c>
      <c r="J85" s="137">
        <f>Calculations!J789</f>
        <v>0</v>
      </c>
      <c r="K85" s="66">
        <f>Calculations!K789</f>
        <v>0</v>
      </c>
      <c r="L85" s="66">
        <f>Calculations!L789</f>
        <v>0</v>
      </c>
      <c r="M85">
        <f>Calculations!M789</f>
        <v>0</v>
      </c>
      <c r="N85" s="66">
        <f>Calculations!N789</f>
        <v>0</v>
      </c>
      <c r="O85" s="66">
        <f>Calculations!O789</f>
        <v>0</v>
      </c>
      <c r="P85" s="66">
        <f>Calculations!P789</f>
        <v>0</v>
      </c>
      <c r="Q85" s="204">
        <f>Calculations!Q789</f>
        <v>0</v>
      </c>
      <c r="R85" s="66">
        <f>Calculations!R789</f>
        <v>0</v>
      </c>
      <c r="S85" s="65">
        <f>Calculations!S789</f>
        <v>0</v>
      </c>
      <c r="T85" s="65">
        <f>Calculations!T789</f>
        <v>0</v>
      </c>
      <c r="U85" s="204">
        <f>Calculations!U789</f>
        <v>0</v>
      </c>
      <c r="V85" s="65">
        <f>Calculations!V789</f>
        <v>0</v>
      </c>
      <c r="W85" s="266">
        <f>Calculations!W789</f>
        <v>0</v>
      </c>
      <c r="X85" s="266">
        <f>Calculations!X789</f>
        <v>0</v>
      </c>
      <c r="Y85" s="266" t="e">
        <f>Calculations!Y789</f>
        <v>#DIV/0!</v>
      </c>
      <c r="Z85" s="266" t="e">
        <f>Calculations!Z789</f>
        <v>#DIV/0!</v>
      </c>
      <c r="AA85" s="266" t="e">
        <f>Calculations!AA789</f>
        <v>#DIV/0!</v>
      </c>
    </row>
    <row r="86" spans="1:27">
      <c r="A86" s="3">
        <f>Calculations!A790</f>
        <v>82</v>
      </c>
      <c r="B86">
        <f>Calculations!B790</f>
        <v>0</v>
      </c>
      <c r="C86">
        <f>Calculations!C790</f>
        <v>0</v>
      </c>
      <c r="D86">
        <f>Calculations!D790</f>
        <v>0</v>
      </c>
      <c r="E86" s="265">
        <f>Calculations!E790</f>
        <v>0</v>
      </c>
      <c r="F86" s="265">
        <f>Calculations!F790</f>
        <v>0</v>
      </c>
      <c r="G86" s="265">
        <f>Calculations!G790</f>
        <v>0</v>
      </c>
      <c r="H86" s="197">
        <f>Calculations!H790</f>
        <v>0</v>
      </c>
      <c r="I86" s="197">
        <f>Calculations!I790</f>
        <v>0</v>
      </c>
      <c r="J86" s="137">
        <f>Calculations!J790</f>
        <v>0</v>
      </c>
      <c r="K86" s="66">
        <f>Calculations!K790</f>
        <v>0</v>
      </c>
      <c r="L86" s="66">
        <f>Calculations!L790</f>
        <v>0</v>
      </c>
      <c r="M86">
        <f>Calculations!M790</f>
        <v>0</v>
      </c>
      <c r="N86" s="66">
        <f>Calculations!N790</f>
        <v>0</v>
      </c>
      <c r="O86" s="66">
        <f>Calculations!O790</f>
        <v>0</v>
      </c>
      <c r="P86" s="66">
        <f>Calculations!P790</f>
        <v>0</v>
      </c>
      <c r="Q86" s="204">
        <f>Calculations!Q790</f>
        <v>0</v>
      </c>
      <c r="R86" s="66">
        <f>Calculations!R790</f>
        <v>0</v>
      </c>
      <c r="S86" s="65">
        <f>Calculations!S790</f>
        <v>0</v>
      </c>
      <c r="T86" s="65">
        <f>Calculations!T790</f>
        <v>0</v>
      </c>
      <c r="U86" s="204">
        <f>Calculations!U790</f>
        <v>0</v>
      </c>
      <c r="V86" s="65">
        <f>Calculations!V790</f>
        <v>0</v>
      </c>
      <c r="W86" s="266">
        <f>Calculations!W790</f>
        <v>0</v>
      </c>
      <c r="X86" s="266">
        <f>Calculations!X790</f>
        <v>0</v>
      </c>
      <c r="Y86" s="266" t="e">
        <f>Calculations!Y790</f>
        <v>#DIV/0!</v>
      </c>
      <c r="Z86" s="266" t="e">
        <f>Calculations!Z790</f>
        <v>#DIV/0!</v>
      </c>
      <c r="AA86" s="266" t="e">
        <f>Calculations!AA790</f>
        <v>#DIV/0!</v>
      </c>
    </row>
    <row r="87" spans="1:27">
      <c r="A87" s="3">
        <f>Calculations!A791</f>
        <v>83</v>
      </c>
      <c r="B87">
        <f>Calculations!B791</f>
        <v>0</v>
      </c>
      <c r="C87">
        <f>Calculations!C791</f>
        <v>0</v>
      </c>
      <c r="D87">
        <f>Calculations!D791</f>
        <v>0</v>
      </c>
      <c r="E87" s="265">
        <f>Calculations!E791</f>
        <v>0</v>
      </c>
      <c r="F87" s="265">
        <f>Calculations!F791</f>
        <v>0</v>
      </c>
      <c r="G87" s="265">
        <f>Calculations!G791</f>
        <v>0</v>
      </c>
      <c r="H87" s="197">
        <f>Calculations!H791</f>
        <v>0</v>
      </c>
      <c r="I87" s="197">
        <f>Calculations!I791</f>
        <v>0</v>
      </c>
      <c r="J87" s="137">
        <f>Calculations!J791</f>
        <v>0</v>
      </c>
      <c r="K87" s="66">
        <f>Calculations!K791</f>
        <v>0</v>
      </c>
      <c r="L87" s="66">
        <f>Calculations!L791</f>
        <v>0</v>
      </c>
      <c r="M87">
        <f>Calculations!M791</f>
        <v>0</v>
      </c>
      <c r="N87" s="66">
        <f>Calculations!N791</f>
        <v>0</v>
      </c>
      <c r="O87" s="66">
        <f>Calculations!O791</f>
        <v>0</v>
      </c>
      <c r="P87" s="66">
        <f>Calculations!P791</f>
        <v>0</v>
      </c>
      <c r="Q87" s="204">
        <f>Calculations!Q791</f>
        <v>0</v>
      </c>
      <c r="R87" s="66">
        <f>Calculations!R791</f>
        <v>0</v>
      </c>
      <c r="S87" s="65">
        <f>Calculations!S791</f>
        <v>0</v>
      </c>
      <c r="T87" s="65">
        <f>Calculations!T791</f>
        <v>0</v>
      </c>
      <c r="U87" s="204">
        <f>Calculations!U791</f>
        <v>0</v>
      </c>
      <c r="V87" s="65">
        <f>Calculations!V791</f>
        <v>0</v>
      </c>
      <c r="W87" s="266">
        <f>Calculations!W791</f>
        <v>0</v>
      </c>
      <c r="X87" s="266">
        <f>Calculations!X791</f>
        <v>0</v>
      </c>
      <c r="Y87" s="266" t="e">
        <f>Calculations!Y791</f>
        <v>#DIV/0!</v>
      </c>
      <c r="Z87" s="266" t="e">
        <f>Calculations!Z791</f>
        <v>#DIV/0!</v>
      </c>
      <c r="AA87" s="266" t="e">
        <f>Calculations!AA791</f>
        <v>#DIV/0!</v>
      </c>
    </row>
    <row r="88" spans="1:27">
      <c r="A88" s="3">
        <f>Calculations!A792</f>
        <v>84</v>
      </c>
      <c r="B88">
        <f>Calculations!B792</f>
        <v>0</v>
      </c>
      <c r="C88">
        <f>Calculations!C792</f>
        <v>0</v>
      </c>
      <c r="D88">
        <f>Calculations!D792</f>
        <v>0</v>
      </c>
      <c r="E88" s="265">
        <f>Calculations!E792</f>
        <v>0</v>
      </c>
      <c r="F88" s="265">
        <f>Calculations!F792</f>
        <v>0</v>
      </c>
      <c r="G88" s="265">
        <f>Calculations!G792</f>
        <v>0</v>
      </c>
      <c r="H88" s="197">
        <f>Calculations!H792</f>
        <v>0</v>
      </c>
      <c r="I88" s="197">
        <f>Calculations!I792</f>
        <v>0</v>
      </c>
      <c r="J88" s="137">
        <f>Calculations!J792</f>
        <v>0</v>
      </c>
      <c r="K88" s="66">
        <f>Calculations!K792</f>
        <v>0</v>
      </c>
      <c r="L88" s="66">
        <f>Calculations!L792</f>
        <v>0</v>
      </c>
      <c r="M88">
        <f>Calculations!M792</f>
        <v>0</v>
      </c>
      <c r="N88" s="66">
        <f>Calculations!N792</f>
        <v>0</v>
      </c>
      <c r="O88" s="66">
        <f>Calculations!O792</f>
        <v>0</v>
      </c>
      <c r="P88" s="66">
        <f>Calculations!P792</f>
        <v>0</v>
      </c>
      <c r="Q88" s="204">
        <f>Calculations!Q792</f>
        <v>0</v>
      </c>
      <c r="R88" s="66">
        <f>Calculations!R792</f>
        <v>0</v>
      </c>
      <c r="S88" s="65">
        <f>Calculations!S792</f>
        <v>0</v>
      </c>
      <c r="T88" s="65">
        <f>Calculations!T792</f>
        <v>0</v>
      </c>
      <c r="U88" s="204">
        <f>Calculations!U792</f>
        <v>0</v>
      </c>
      <c r="V88" s="65">
        <f>Calculations!V792</f>
        <v>0</v>
      </c>
      <c r="W88" s="266">
        <f>Calculations!W792</f>
        <v>0</v>
      </c>
      <c r="X88" s="266">
        <f>Calculations!X792</f>
        <v>0</v>
      </c>
      <c r="Y88" s="266" t="e">
        <f>Calculations!Y792</f>
        <v>#DIV/0!</v>
      </c>
      <c r="Z88" s="266" t="e">
        <f>Calculations!Z792</f>
        <v>#DIV/0!</v>
      </c>
      <c r="AA88" s="266" t="e">
        <f>Calculations!AA792</f>
        <v>#DIV/0!</v>
      </c>
    </row>
    <row r="89" spans="1:27">
      <c r="A89" s="3">
        <f>Calculations!A793</f>
        <v>85</v>
      </c>
      <c r="B89">
        <f>Calculations!B793</f>
        <v>0</v>
      </c>
      <c r="C89">
        <f>Calculations!C793</f>
        <v>0</v>
      </c>
      <c r="D89">
        <f>Calculations!D793</f>
        <v>0</v>
      </c>
      <c r="E89" s="265">
        <f>Calculations!E793</f>
        <v>0</v>
      </c>
      <c r="F89" s="265">
        <f>Calculations!F793</f>
        <v>0</v>
      </c>
      <c r="G89" s="265">
        <f>Calculations!G793</f>
        <v>0</v>
      </c>
      <c r="H89" s="197">
        <f>Calculations!H793</f>
        <v>0</v>
      </c>
      <c r="I89" s="197">
        <f>Calculations!I793</f>
        <v>0</v>
      </c>
      <c r="J89" s="137">
        <f>Calculations!J793</f>
        <v>0</v>
      </c>
      <c r="K89" s="66">
        <f>Calculations!K793</f>
        <v>0</v>
      </c>
      <c r="L89" s="66">
        <f>Calculations!L793</f>
        <v>0</v>
      </c>
      <c r="M89">
        <f>Calculations!M793</f>
        <v>0</v>
      </c>
      <c r="N89" s="66">
        <f>Calculations!N793</f>
        <v>0</v>
      </c>
      <c r="O89" s="66">
        <f>Calculations!O793</f>
        <v>0</v>
      </c>
      <c r="P89" s="66">
        <f>Calculations!P793</f>
        <v>0</v>
      </c>
      <c r="Q89" s="204">
        <f>Calculations!Q793</f>
        <v>0</v>
      </c>
      <c r="R89" s="66">
        <f>Calculations!R793</f>
        <v>0</v>
      </c>
      <c r="S89" s="65">
        <f>Calculations!S793</f>
        <v>0</v>
      </c>
      <c r="T89" s="65">
        <f>Calculations!T793</f>
        <v>0</v>
      </c>
      <c r="U89" s="204">
        <f>Calculations!U793</f>
        <v>0</v>
      </c>
      <c r="V89" s="65">
        <f>Calculations!V793</f>
        <v>0</v>
      </c>
      <c r="W89" s="266">
        <f>Calculations!W793</f>
        <v>0</v>
      </c>
      <c r="X89" s="266">
        <f>Calculations!X793</f>
        <v>0</v>
      </c>
      <c r="Y89" s="266" t="e">
        <f>Calculations!Y793</f>
        <v>#DIV/0!</v>
      </c>
      <c r="Z89" s="266" t="e">
        <f>Calculations!Z793</f>
        <v>#DIV/0!</v>
      </c>
      <c r="AA89" s="266" t="e">
        <f>Calculations!AA793</f>
        <v>#DIV/0!</v>
      </c>
    </row>
    <row r="90" spans="1:27">
      <c r="A90" s="3">
        <f>Calculations!A794</f>
        <v>86</v>
      </c>
      <c r="B90">
        <f>Calculations!B794</f>
        <v>0</v>
      </c>
      <c r="C90">
        <f>Calculations!C794</f>
        <v>0</v>
      </c>
      <c r="D90">
        <f>Calculations!D794</f>
        <v>0</v>
      </c>
      <c r="E90" s="265">
        <f>Calculations!E794</f>
        <v>0</v>
      </c>
      <c r="F90" s="265">
        <f>Calculations!F794</f>
        <v>0</v>
      </c>
      <c r="G90" s="265">
        <f>Calculations!G794</f>
        <v>0</v>
      </c>
      <c r="H90" s="197">
        <f>Calculations!H794</f>
        <v>0</v>
      </c>
      <c r="I90" s="197">
        <f>Calculations!I794</f>
        <v>0</v>
      </c>
      <c r="J90" s="137">
        <f>Calculations!J794</f>
        <v>0</v>
      </c>
      <c r="K90" s="66">
        <f>Calculations!K794</f>
        <v>0</v>
      </c>
      <c r="L90" s="66">
        <f>Calculations!L794</f>
        <v>0</v>
      </c>
      <c r="M90">
        <f>Calculations!M794</f>
        <v>0</v>
      </c>
      <c r="N90" s="66">
        <f>Calculations!N794</f>
        <v>0</v>
      </c>
      <c r="O90" s="66">
        <f>Calculations!O794</f>
        <v>0</v>
      </c>
      <c r="P90" s="66">
        <f>Calculations!P794</f>
        <v>0</v>
      </c>
      <c r="Q90" s="204">
        <f>Calculations!Q794</f>
        <v>0</v>
      </c>
      <c r="R90" s="66">
        <f>Calculations!R794</f>
        <v>0</v>
      </c>
      <c r="S90" s="65">
        <f>Calculations!S794</f>
        <v>0</v>
      </c>
      <c r="T90" s="65">
        <f>Calculations!T794</f>
        <v>0</v>
      </c>
      <c r="U90" s="204">
        <f>Calculations!U794</f>
        <v>0</v>
      </c>
      <c r="V90" s="65">
        <f>Calculations!V794</f>
        <v>0</v>
      </c>
      <c r="W90" s="266">
        <f>Calculations!W794</f>
        <v>0</v>
      </c>
      <c r="X90" s="266">
        <f>Calculations!X794</f>
        <v>0</v>
      </c>
      <c r="Y90" s="266" t="e">
        <f>Calculations!Y794</f>
        <v>#DIV/0!</v>
      </c>
      <c r="Z90" s="266" t="e">
        <f>Calculations!Z794</f>
        <v>#DIV/0!</v>
      </c>
      <c r="AA90" s="266" t="e">
        <f>Calculations!AA794</f>
        <v>#DIV/0!</v>
      </c>
    </row>
    <row r="91" spans="1:27">
      <c r="A91" s="3">
        <f>Calculations!A795</f>
        <v>87</v>
      </c>
      <c r="B91">
        <f>Calculations!B795</f>
        <v>0</v>
      </c>
      <c r="C91">
        <f>Calculations!C795</f>
        <v>0</v>
      </c>
      <c r="D91">
        <f>Calculations!D795</f>
        <v>0</v>
      </c>
      <c r="E91" s="265">
        <f>Calculations!E795</f>
        <v>0</v>
      </c>
      <c r="F91" s="265">
        <f>Calculations!F795</f>
        <v>0</v>
      </c>
      <c r="G91" s="265">
        <f>Calculations!G795</f>
        <v>0</v>
      </c>
      <c r="H91" s="197">
        <f>Calculations!H795</f>
        <v>0</v>
      </c>
      <c r="I91" s="197">
        <f>Calculations!I795</f>
        <v>0</v>
      </c>
      <c r="J91" s="137">
        <f>Calculations!J795</f>
        <v>0</v>
      </c>
      <c r="K91" s="66">
        <f>Calculations!K795</f>
        <v>0</v>
      </c>
      <c r="L91" s="66">
        <f>Calculations!L795</f>
        <v>0</v>
      </c>
      <c r="M91">
        <f>Calculations!M795</f>
        <v>0</v>
      </c>
      <c r="N91" s="66">
        <f>Calculations!N795</f>
        <v>0</v>
      </c>
      <c r="O91" s="66">
        <f>Calculations!O795</f>
        <v>0</v>
      </c>
      <c r="P91" s="66">
        <f>Calculations!P795</f>
        <v>0</v>
      </c>
      <c r="Q91" s="204">
        <f>Calculations!Q795</f>
        <v>0</v>
      </c>
      <c r="R91" s="66">
        <f>Calculations!R795</f>
        <v>0</v>
      </c>
      <c r="S91" s="65">
        <f>Calculations!S795</f>
        <v>0</v>
      </c>
      <c r="T91" s="65">
        <f>Calculations!T795</f>
        <v>0</v>
      </c>
      <c r="U91" s="204">
        <f>Calculations!U795</f>
        <v>0</v>
      </c>
      <c r="V91" s="65">
        <f>Calculations!V795</f>
        <v>0</v>
      </c>
      <c r="W91" s="266">
        <f>Calculations!W795</f>
        <v>0</v>
      </c>
      <c r="X91" s="266">
        <f>Calculations!X795</f>
        <v>0</v>
      </c>
      <c r="Y91" s="266" t="e">
        <f>Calculations!Y795</f>
        <v>#DIV/0!</v>
      </c>
      <c r="Z91" s="266" t="e">
        <f>Calculations!Z795</f>
        <v>#DIV/0!</v>
      </c>
      <c r="AA91" s="266" t="e">
        <f>Calculations!AA795</f>
        <v>#DIV/0!</v>
      </c>
    </row>
    <row r="92" spans="1:27">
      <c r="A92" s="3">
        <f>Calculations!A796</f>
        <v>88</v>
      </c>
      <c r="B92">
        <f>Calculations!B796</f>
        <v>0</v>
      </c>
      <c r="C92">
        <f>Calculations!C796</f>
        <v>0</v>
      </c>
      <c r="D92">
        <f>Calculations!D796</f>
        <v>0</v>
      </c>
      <c r="E92" s="265">
        <f>Calculations!E796</f>
        <v>0</v>
      </c>
      <c r="F92" s="265">
        <f>Calculations!F796</f>
        <v>0</v>
      </c>
      <c r="G92" s="265">
        <f>Calculations!G796</f>
        <v>0</v>
      </c>
      <c r="H92" s="197">
        <f>Calculations!H796</f>
        <v>0</v>
      </c>
      <c r="I92" s="197">
        <f>Calculations!I796</f>
        <v>0</v>
      </c>
      <c r="J92" s="137">
        <f>Calculations!J796</f>
        <v>0</v>
      </c>
      <c r="K92" s="66">
        <f>Calculations!K796</f>
        <v>0</v>
      </c>
      <c r="L92" s="66">
        <f>Calculations!L796</f>
        <v>0</v>
      </c>
      <c r="M92">
        <f>Calculations!M796</f>
        <v>0</v>
      </c>
      <c r="N92" s="66">
        <f>Calculations!N796</f>
        <v>0</v>
      </c>
      <c r="O92" s="66">
        <f>Calculations!O796</f>
        <v>0</v>
      </c>
      <c r="P92" s="66">
        <f>Calculations!P796</f>
        <v>0</v>
      </c>
      <c r="Q92" s="204">
        <f>Calculations!Q796</f>
        <v>0</v>
      </c>
      <c r="R92" s="66">
        <f>Calculations!R796</f>
        <v>0</v>
      </c>
      <c r="S92" s="65">
        <f>Calculations!S796</f>
        <v>0</v>
      </c>
      <c r="T92" s="65">
        <f>Calculations!T796</f>
        <v>0</v>
      </c>
      <c r="U92" s="204">
        <f>Calculations!U796</f>
        <v>0</v>
      </c>
      <c r="V92" s="65">
        <f>Calculations!V796</f>
        <v>0</v>
      </c>
      <c r="W92" s="266">
        <f>Calculations!W796</f>
        <v>0</v>
      </c>
      <c r="X92" s="266">
        <f>Calculations!X796</f>
        <v>0</v>
      </c>
      <c r="Y92" s="266" t="e">
        <f>Calculations!Y796</f>
        <v>#DIV/0!</v>
      </c>
      <c r="Z92" s="266" t="e">
        <f>Calculations!Z796</f>
        <v>#DIV/0!</v>
      </c>
      <c r="AA92" s="266" t="e">
        <f>Calculations!AA796</f>
        <v>#DIV/0!</v>
      </c>
    </row>
    <row r="93" spans="1:27">
      <c r="A93" s="3">
        <f>Calculations!A797</f>
        <v>89</v>
      </c>
      <c r="B93">
        <f>Calculations!B797</f>
        <v>0</v>
      </c>
      <c r="C93">
        <f>Calculations!C797</f>
        <v>0</v>
      </c>
      <c r="D93">
        <f>Calculations!D797</f>
        <v>0</v>
      </c>
      <c r="E93" s="265">
        <f>Calculations!E797</f>
        <v>0</v>
      </c>
      <c r="F93" s="265">
        <f>Calculations!F797</f>
        <v>0</v>
      </c>
      <c r="G93" s="265">
        <f>Calculations!G797</f>
        <v>0</v>
      </c>
      <c r="H93" s="197">
        <f>Calculations!H797</f>
        <v>0</v>
      </c>
      <c r="I93" s="197">
        <f>Calculations!I797</f>
        <v>0</v>
      </c>
      <c r="J93" s="137">
        <f>Calculations!J797</f>
        <v>0</v>
      </c>
      <c r="K93" s="66">
        <f>Calculations!K797</f>
        <v>0</v>
      </c>
      <c r="L93" s="66">
        <f>Calculations!L797</f>
        <v>0</v>
      </c>
      <c r="M93">
        <f>Calculations!M797</f>
        <v>0</v>
      </c>
      <c r="N93" s="66">
        <f>Calculations!N797</f>
        <v>0</v>
      </c>
      <c r="O93" s="66">
        <f>Calculations!O797</f>
        <v>0</v>
      </c>
      <c r="P93" s="66">
        <f>Calculations!P797</f>
        <v>0</v>
      </c>
      <c r="Q93" s="204">
        <f>Calculations!Q797</f>
        <v>0</v>
      </c>
      <c r="R93" s="66">
        <f>Calculations!R797</f>
        <v>0</v>
      </c>
      <c r="S93" s="65">
        <f>Calculations!S797</f>
        <v>0</v>
      </c>
      <c r="T93" s="65">
        <f>Calculations!T797</f>
        <v>0</v>
      </c>
      <c r="U93" s="204">
        <f>Calculations!U797</f>
        <v>0</v>
      </c>
      <c r="V93" s="65">
        <f>Calculations!V797</f>
        <v>0</v>
      </c>
      <c r="W93" s="266">
        <f>Calculations!W797</f>
        <v>0</v>
      </c>
      <c r="X93" s="266">
        <f>Calculations!X797</f>
        <v>0</v>
      </c>
      <c r="Y93" s="266" t="e">
        <f>Calculations!Y797</f>
        <v>#DIV/0!</v>
      </c>
      <c r="Z93" s="266" t="e">
        <f>Calculations!Z797</f>
        <v>#DIV/0!</v>
      </c>
      <c r="AA93" s="266" t="e">
        <f>Calculations!AA797</f>
        <v>#DIV/0!</v>
      </c>
    </row>
    <row r="94" spans="1:27">
      <c r="A94" s="3">
        <f>Calculations!A798</f>
        <v>90</v>
      </c>
      <c r="B94">
        <f>Calculations!B798</f>
        <v>0</v>
      </c>
      <c r="C94">
        <f>Calculations!C798</f>
        <v>0</v>
      </c>
      <c r="D94">
        <f>Calculations!D798</f>
        <v>0</v>
      </c>
      <c r="E94" s="265">
        <f>Calculations!E798</f>
        <v>0</v>
      </c>
      <c r="F94" s="265">
        <f>Calculations!F798</f>
        <v>0</v>
      </c>
      <c r="G94" s="265">
        <f>Calculations!G798</f>
        <v>0</v>
      </c>
      <c r="H94" s="197">
        <f>Calculations!H798</f>
        <v>0</v>
      </c>
      <c r="I94" s="197">
        <f>Calculations!I798</f>
        <v>0</v>
      </c>
      <c r="J94" s="137">
        <f>Calculations!J798</f>
        <v>0</v>
      </c>
      <c r="K94" s="66">
        <f>Calculations!K798</f>
        <v>0</v>
      </c>
      <c r="L94" s="66">
        <f>Calculations!L798</f>
        <v>0</v>
      </c>
      <c r="M94">
        <f>Calculations!M798</f>
        <v>0</v>
      </c>
      <c r="N94" s="66">
        <f>Calculations!N798</f>
        <v>0</v>
      </c>
      <c r="O94" s="66">
        <f>Calculations!O798</f>
        <v>0</v>
      </c>
      <c r="P94" s="66">
        <f>Calculations!P798</f>
        <v>0</v>
      </c>
      <c r="Q94" s="204">
        <f>Calculations!Q798</f>
        <v>0</v>
      </c>
      <c r="R94" s="66">
        <f>Calculations!R798</f>
        <v>0</v>
      </c>
      <c r="S94" s="65">
        <f>Calculations!S798</f>
        <v>0</v>
      </c>
      <c r="T94" s="65">
        <f>Calculations!T798</f>
        <v>0</v>
      </c>
      <c r="U94" s="204">
        <f>Calculations!U798</f>
        <v>0</v>
      </c>
      <c r="V94" s="65">
        <f>Calculations!V798</f>
        <v>0</v>
      </c>
      <c r="W94" s="266">
        <f>Calculations!W798</f>
        <v>0</v>
      </c>
      <c r="X94" s="266">
        <f>Calculations!X798</f>
        <v>0</v>
      </c>
      <c r="Y94" s="266" t="e">
        <f>Calculations!Y798</f>
        <v>#DIV/0!</v>
      </c>
      <c r="Z94" s="266" t="e">
        <f>Calculations!Z798</f>
        <v>#DIV/0!</v>
      </c>
      <c r="AA94" s="266" t="e">
        <f>Calculations!AA798</f>
        <v>#DIV/0!</v>
      </c>
    </row>
    <row r="95" spans="1:27">
      <c r="A95" s="3">
        <f>Calculations!A799</f>
        <v>91</v>
      </c>
      <c r="B95">
        <f>Calculations!B799</f>
        <v>0</v>
      </c>
      <c r="C95">
        <f>Calculations!C799</f>
        <v>0</v>
      </c>
      <c r="D95">
        <f>Calculations!D799</f>
        <v>0</v>
      </c>
      <c r="E95" s="265">
        <f>Calculations!E799</f>
        <v>0</v>
      </c>
      <c r="F95" s="265">
        <f>Calculations!F799</f>
        <v>0</v>
      </c>
      <c r="G95" s="265">
        <f>Calculations!G799</f>
        <v>0</v>
      </c>
      <c r="H95" s="197">
        <f>Calculations!H799</f>
        <v>0</v>
      </c>
      <c r="I95" s="197">
        <f>Calculations!I799</f>
        <v>0</v>
      </c>
      <c r="J95" s="137">
        <f>Calculations!J799</f>
        <v>0</v>
      </c>
      <c r="K95" s="66">
        <f>Calculations!K799</f>
        <v>0</v>
      </c>
      <c r="L95" s="66">
        <f>Calculations!L799</f>
        <v>0</v>
      </c>
      <c r="M95">
        <f>Calculations!M799</f>
        <v>0</v>
      </c>
      <c r="N95" s="66">
        <f>Calculations!N799</f>
        <v>0</v>
      </c>
      <c r="O95" s="66">
        <f>Calculations!O799</f>
        <v>0</v>
      </c>
      <c r="P95" s="66">
        <f>Calculations!P799</f>
        <v>0</v>
      </c>
      <c r="Q95" s="204">
        <f>Calculations!Q799</f>
        <v>0</v>
      </c>
      <c r="R95" s="66">
        <f>Calculations!R799</f>
        <v>0</v>
      </c>
      <c r="S95" s="65">
        <f>Calculations!S799</f>
        <v>0</v>
      </c>
      <c r="T95" s="65">
        <f>Calculations!T799</f>
        <v>0</v>
      </c>
      <c r="U95" s="204">
        <f>Calculations!U799</f>
        <v>0</v>
      </c>
      <c r="V95" s="65">
        <f>Calculations!V799</f>
        <v>0</v>
      </c>
      <c r="W95" s="266">
        <f>Calculations!W799</f>
        <v>0</v>
      </c>
      <c r="X95" s="266">
        <f>Calculations!X799</f>
        <v>0</v>
      </c>
      <c r="Y95" s="266" t="e">
        <f>Calculations!Y799</f>
        <v>#DIV/0!</v>
      </c>
      <c r="Z95" s="266" t="e">
        <f>Calculations!Z799</f>
        <v>#DIV/0!</v>
      </c>
      <c r="AA95" s="266" t="e">
        <f>Calculations!AA799</f>
        <v>#DIV/0!</v>
      </c>
    </row>
    <row r="96" spans="1:27">
      <c r="A96" s="3">
        <f>Calculations!A800</f>
        <v>92</v>
      </c>
      <c r="B96">
        <f>Calculations!B800</f>
        <v>0</v>
      </c>
      <c r="C96">
        <f>Calculations!C800</f>
        <v>0</v>
      </c>
      <c r="D96">
        <f>Calculations!D800</f>
        <v>0</v>
      </c>
      <c r="E96" s="265">
        <f>Calculations!E800</f>
        <v>0</v>
      </c>
      <c r="F96" s="265">
        <f>Calculations!F800</f>
        <v>0</v>
      </c>
      <c r="G96" s="265">
        <f>Calculations!G800</f>
        <v>0</v>
      </c>
      <c r="H96" s="197">
        <f>Calculations!H800</f>
        <v>0</v>
      </c>
      <c r="I96" s="197">
        <f>Calculations!I800</f>
        <v>0</v>
      </c>
      <c r="J96" s="137">
        <f>Calculations!J800</f>
        <v>0</v>
      </c>
      <c r="K96" s="66">
        <f>Calculations!K800</f>
        <v>0</v>
      </c>
      <c r="L96" s="66">
        <f>Calculations!L800</f>
        <v>0</v>
      </c>
      <c r="M96">
        <f>Calculations!M800</f>
        <v>0</v>
      </c>
      <c r="N96" s="66">
        <f>Calculations!N800</f>
        <v>0</v>
      </c>
      <c r="O96" s="66">
        <f>Calculations!O800</f>
        <v>0</v>
      </c>
      <c r="P96" s="66">
        <f>Calculations!P800</f>
        <v>0</v>
      </c>
      <c r="Q96" s="204">
        <f>Calculations!Q800</f>
        <v>0</v>
      </c>
      <c r="R96" s="66">
        <f>Calculations!R800</f>
        <v>0</v>
      </c>
      <c r="S96" s="65">
        <f>Calculations!S800</f>
        <v>0</v>
      </c>
      <c r="T96" s="65">
        <f>Calculations!T800</f>
        <v>0</v>
      </c>
      <c r="U96" s="204">
        <f>Calculations!U800</f>
        <v>0</v>
      </c>
      <c r="V96" s="65">
        <f>Calculations!V800</f>
        <v>0</v>
      </c>
      <c r="W96" s="266">
        <f>Calculations!W800</f>
        <v>0</v>
      </c>
      <c r="X96" s="266">
        <f>Calculations!X800</f>
        <v>0</v>
      </c>
      <c r="Y96" s="266" t="e">
        <f>Calculations!Y800</f>
        <v>#DIV/0!</v>
      </c>
      <c r="Z96" s="266" t="e">
        <f>Calculations!Z800</f>
        <v>#DIV/0!</v>
      </c>
      <c r="AA96" s="266" t="e">
        <f>Calculations!AA800</f>
        <v>#DIV/0!</v>
      </c>
    </row>
    <row r="97" spans="1:27">
      <c r="A97" s="3">
        <f>Calculations!A801</f>
        <v>93</v>
      </c>
      <c r="B97">
        <f>Calculations!B801</f>
        <v>0</v>
      </c>
      <c r="C97">
        <f>Calculations!C801</f>
        <v>0</v>
      </c>
      <c r="D97">
        <f>Calculations!D801</f>
        <v>0</v>
      </c>
      <c r="E97" s="265">
        <f>Calculations!E801</f>
        <v>0</v>
      </c>
      <c r="F97" s="265">
        <f>Calculations!F801</f>
        <v>0</v>
      </c>
      <c r="G97" s="265">
        <f>Calculations!G801</f>
        <v>0</v>
      </c>
      <c r="H97" s="197">
        <f>Calculations!H801</f>
        <v>0</v>
      </c>
      <c r="I97" s="197">
        <f>Calculations!I801</f>
        <v>0</v>
      </c>
      <c r="J97" s="137">
        <f>Calculations!J801</f>
        <v>0</v>
      </c>
      <c r="K97" s="66">
        <f>Calculations!K801</f>
        <v>0</v>
      </c>
      <c r="L97" s="66">
        <f>Calculations!L801</f>
        <v>0</v>
      </c>
      <c r="M97">
        <f>Calculations!M801</f>
        <v>0</v>
      </c>
      <c r="N97" s="66">
        <f>Calculations!N801</f>
        <v>0</v>
      </c>
      <c r="O97" s="66">
        <f>Calculations!O801</f>
        <v>0</v>
      </c>
      <c r="P97" s="66">
        <f>Calculations!P801</f>
        <v>0</v>
      </c>
      <c r="Q97" s="204">
        <f>Calculations!Q801</f>
        <v>0</v>
      </c>
      <c r="R97" s="66">
        <f>Calculations!R801</f>
        <v>0</v>
      </c>
      <c r="S97" s="65">
        <f>Calculations!S801</f>
        <v>0</v>
      </c>
      <c r="T97" s="65">
        <f>Calculations!T801</f>
        <v>0</v>
      </c>
      <c r="U97" s="204">
        <f>Calculations!U801</f>
        <v>0</v>
      </c>
      <c r="V97" s="65">
        <f>Calculations!V801</f>
        <v>0</v>
      </c>
      <c r="W97" s="266">
        <f>Calculations!W801</f>
        <v>0</v>
      </c>
      <c r="X97" s="266">
        <f>Calculations!X801</f>
        <v>0</v>
      </c>
      <c r="Y97" s="266" t="e">
        <f>Calculations!Y801</f>
        <v>#DIV/0!</v>
      </c>
      <c r="Z97" s="266" t="e">
        <f>Calculations!Z801</f>
        <v>#DIV/0!</v>
      </c>
      <c r="AA97" s="266" t="e">
        <f>Calculations!AA801</f>
        <v>#DIV/0!</v>
      </c>
    </row>
    <row r="98" spans="1:27">
      <c r="A98" s="3">
        <f>Calculations!A802</f>
        <v>94</v>
      </c>
      <c r="B98">
        <f>Calculations!B802</f>
        <v>0</v>
      </c>
      <c r="C98">
        <f>Calculations!C802</f>
        <v>0</v>
      </c>
      <c r="D98">
        <f>Calculations!D802</f>
        <v>0</v>
      </c>
      <c r="E98" s="265">
        <f>Calculations!E802</f>
        <v>0</v>
      </c>
      <c r="F98" s="265">
        <f>Calculations!F802</f>
        <v>0</v>
      </c>
      <c r="G98" s="265">
        <f>Calculations!G802</f>
        <v>0</v>
      </c>
      <c r="H98" s="197">
        <f>Calculations!H802</f>
        <v>0</v>
      </c>
      <c r="I98" s="197">
        <f>Calculations!I802</f>
        <v>0</v>
      </c>
      <c r="J98" s="137">
        <f>Calculations!J802</f>
        <v>0</v>
      </c>
      <c r="K98" s="66">
        <f>Calculations!K802</f>
        <v>0</v>
      </c>
      <c r="L98" s="66">
        <f>Calculations!L802</f>
        <v>0</v>
      </c>
      <c r="M98">
        <f>Calculations!M802</f>
        <v>0</v>
      </c>
      <c r="N98" s="66">
        <f>Calculations!N802</f>
        <v>0</v>
      </c>
      <c r="O98" s="66">
        <f>Calculations!O802</f>
        <v>0</v>
      </c>
      <c r="P98" s="66">
        <f>Calculations!P802</f>
        <v>0</v>
      </c>
      <c r="Q98" s="204">
        <f>Calculations!Q802</f>
        <v>0</v>
      </c>
      <c r="R98" s="66">
        <f>Calculations!R802</f>
        <v>0</v>
      </c>
      <c r="S98" s="65">
        <f>Calculations!S802</f>
        <v>0</v>
      </c>
      <c r="T98" s="65">
        <f>Calculations!T802</f>
        <v>0</v>
      </c>
      <c r="U98" s="204">
        <f>Calculations!U802</f>
        <v>0</v>
      </c>
      <c r="V98" s="65">
        <f>Calculations!V802</f>
        <v>0</v>
      </c>
      <c r="W98" s="266">
        <f>Calculations!W802</f>
        <v>0</v>
      </c>
      <c r="X98" s="266">
        <f>Calculations!X802</f>
        <v>0</v>
      </c>
      <c r="Y98" s="266" t="e">
        <f>Calculations!Y802</f>
        <v>#DIV/0!</v>
      </c>
      <c r="Z98" s="266" t="e">
        <f>Calculations!Z802</f>
        <v>#DIV/0!</v>
      </c>
      <c r="AA98" s="266" t="e">
        <f>Calculations!AA802</f>
        <v>#DIV/0!</v>
      </c>
    </row>
    <row r="99" spans="1:27">
      <c r="A99" s="3">
        <f>Calculations!A803</f>
        <v>95</v>
      </c>
      <c r="B99">
        <f>Calculations!B803</f>
        <v>0</v>
      </c>
      <c r="C99">
        <f>Calculations!C803</f>
        <v>0</v>
      </c>
      <c r="D99">
        <f>Calculations!D803</f>
        <v>0</v>
      </c>
      <c r="E99" s="265">
        <f>Calculations!E803</f>
        <v>0</v>
      </c>
      <c r="F99" s="265">
        <f>Calculations!F803</f>
        <v>0</v>
      </c>
      <c r="G99" s="265">
        <f>Calculations!G803</f>
        <v>0</v>
      </c>
      <c r="H99" s="197">
        <f>Calculations!H803</f>
        <v>0</v>
      </c>
      <c r="I99" s="197">
        <f>Calculations!I803</f>
        <v>0</v>
      </c>
      <c r="J99" s="137">
        <f>Calculations!J803</f>
        <v>0</v>
      </c>
      <c r="K99" s="66">
        <f>Calculations!K803</f>
        <v>0</v>
      </c>
      <c r="L99" s="66">
        <f>Calculations!L803</f>
        <v>0</v>
      </c>
      <c r="M99">
        <f>Calculations!M803</f>
        <v>0</v>
      </c>
      <c r="N99" s="66">
        <f>Calculations!N803</f>
        <v>0</v>
      </c>
      <c r="O99" s="66">
        <f>Calculations!O803</f>
        <v>0</v>
      </c>
      <c r="P99" s="66">
        <f>Calculations!P803</f>
        <v>0</v>
      </c>
      <c r="Q99" s="204">
        <f>Calculations!Q803</f>
        <v>0</v>
      </c>
      <c r="R99" s="66">
        <f>Calculations!R803</f>
        <v>0</v>
      </c>
      <c r="S99" s="65">
        <f>Calculations!S803</f>
        <v>0</v>
      </c>
      <c r="T99" s="65">
        <f>Calculations!T803</f>
        <v>0</v>
      </c>
      <c r="U99" s="204">
        <f>Calculations!U803</f>
        <v>0</v>
      </c>
      <c r="V99" s="65">
        <f>Calculations!V803</f>
        <v>0</v>
      </c>
      <c r="W99" s="266">
        <f>Calculations!W803</f>
        <v>0</v>
      </c>
      <c r="X99" s="266">
        <f>Calculations!X803</f>
        <v>0</v>
      </c>
      <c r="Y99" s="266" t="e">
        <f>Calculations!Y803</f>
        <v>#DIV/0!</v>
      </c>
      <c r="Z99" s="266" t="e">
        <f>Calculations!Z803</f>
        <v>#DIV/0!</v>
      </c>
      <c r="AA99" s="266" t="e">
        <f>Calculations!AA803</f>
        <v>#DIV/0!</v>
      </c>
    </row>
    <row r="100" spans="1:27">
      <c r="A100" s="3">
        <f>Calculations!A804</f>
        <v>96</v>
      </c>
      <c r="B100">
        <f>Calculations!B804</f>
        <v>0</v>
      </c>
      <c r="C100">
        <f>Calculations!C804</f>
        <v>0</v>
      </c>
      <c r="D100">
        <f>Calculations!D804</f>
        <v>0</v>
      </c>
      <c r="E100" s="265">
        <f>Calculations!E804</f>
        <v>0</v>
      </c>
      <c r="F100" s="265">
        <f>Calculations!F804</f>
        <v>0</v>
      </c>
      <c r="G100" s="265">
        <f>Calculations!G804</f>
        <v>0</v>
      </c>
      <c r="H100" s="197">
        <f>Calculations!H804</f>
        <v>0</v>
      </c>
      <c r="I100" s="197">
        <f>Calculations!I804</f>
        <v>0</v>
      </c>
      <c r="J100" s="137">
        <f>Calculations!J804</f>
        <v>0</v>
      </c>
      <c r="K100" s="66">
        <f>Calculations!K804</f>
        <v>0</v>
      </c>
      <c r="L100" s="66">
        <f>Calculations!L804</f>
        <v>0</v>
      </c>
      <c r="M100">
        <f>Calculations!M804</f>
        <v>0</v>
      </c>
      <c r="N100" s="66">
        <f>Calculations!N804</f>
        <v>0</v>
      </c>
      <c r="O100" s="66">
        <f>Calculations!O804</f>
        <v>0</v>
      </c>
      <c r="P100" s="66">
        <f>Calculations!P804</f>
        <v>0</v>
      </c>
      <c r="Q100" s="204">
        <f>Calculations!Q804</f>
        <v>0</v>
      </c>
      <c r="R100" s="66">
        <f>Calculations!R804</f>
        <v>0</v>
      </c>
      <c r="S100" s="65">
        <f>Calculations!S804</f>
        <v>0</v>
      </c>
      <c r="T100" s="65">
        <f>Calculations!T804</f>
        <v>0</v>
      </c>
      <c r="U100" s="204">
        <f>Calculations!U804</f>
        <v>0</v>
      </c>
      <c r="V100" s="65">
        <f>Calculations!V804</f>
        <v>0</v>
      </c>
      <c r="W100" s="266">
        <f>Calculations!W804</f>
        <v>0</v>
      </c>
      <c r="X100" s="266">
        <f>Calculations!X804</f>
        <v>0</v>
      </c>
      <c r="Y100" s="266" t="e">
        <f>Calculations!Y804</f>
        <v>#DIV/0!</v>
      </c>
      <c r="Z100" s="266" t="e">
        <f>Calculations!Z804</f>
        <v>#DIV/0!</v>
      </c>
      <c r="AA100" s="266" t="e">
        <f>Calculations!AA804</f>
        <v>#DIV/0!</v>
      </c>
    </row>
    <row r="101" spans="1:27">
      <c r="A101" s="3">
        <f>Calculations!A805</f>
        <v>97</v>
      </c>
      <c r="B101">
        <f>Calculations!B805</f>
        <v>0</v>
      </c>
      <c r="C101">
        <f>Calculations!C805</f>
        <v>0</v>
      </c>
      <c r="D101">
        <f>Calculations!D805</f>
        <v>0</v>
      </c>
      <c r="E101" s="265">
        <f>Calculations!E805</f>
        <v>0</v>
      </c>
      <c r="F101" s="265">
        <f>Calculations!F805</f>
        <v>0</v>
      </c>
      <c r="G101" s="265">
        <f>Calculations!G805</f>
        <v>0</v>
      </c>
      <c r="H101" s="197">
        <f>Calculations!H805</f>
        <v>0</v>
      </c>
      <c r="I101" s="197">
        <f>Calculations!I805</f>
        <v>0</v>
      </c>
      <c r="J101" s="137">
        <f>Calculations!J805</f>
        <v>0</v>
      </c>
      <c r="K101" s="66">
        <f>Calculations!K805</f>
        <v>0</v>
      </c>
      <c r="L101" s="66">
        <f>Calculations!L805</f>
        <v>0</v>
      </c>
      <c r="M101">
        <f>Calculations!M805</f>
        <v>0</v>
      </c>
      <c r="N101" s="66">
        <f>Calculations!N805</f>
        <v>0</v>
      </c>
      <c r="O101" s="66">
        <f>Calculations!O805</f>
        <v>0</v>
      </c>
      <c r="P101" s="66">
        <f>Calculations!P805</f>
        <v>0</v>
      </c>
      <c r="Q101" s="204">
        <f>Calculations!Q805</f>
        <v>0</v>
      </c>
      <c r="R101" s="66">
        <f>Calculations!R805</f>
        <v>0</v>
      </c>
      <c r="S101" s="65">
        <f>Calculations!S805</f>
        <v>0</v>
      </c>
      <c r="T101" s="65">
        <f>Calculations!T805</f>
        <v>0</v>
      </c>
      <c r="U101" s="204">
        <f>Calculations!U805</f>
        <v>0</v>
      </c>
      <c r="V101" s="65">
        <f>Calculations!V805</f>
        <v>0</v>
      </c>
      <c r="W101" s="266">
        <f>Calculations!W805</f>
        <v>0</v>
      </c>
      <c r="X101" s="266">
        <f>Calculations!X805</f>
        <v>0</v>
      </c>
      <c r="Y101" s="266" t="e">
        <f>Calculations!Y805</f>
        <v>#DIV/0!</v>
      </c>
      <c r="Z101" s="266" t="e">
        <f>Calculations!Z805</f>
        <v>#DIV/0!</v>
      </c>
      <c r="AA101" s="266" t="e">
        <f>Calculations!AA805</f>
        <v>#DIV/0!</v>
      </c>
    </row>
    <row r="102" spans="1:27">
      <c r="A102" s="3">
        <f>Calculations!A806</f>
        <v>98</v>
      </c>
      <c r="B102">
        <f>Calculations!B806</f>
        <v>0</v>
      </c>
      <c r="C102">
        <f>Calculations!C806</f>
        <v>0</v>
      </c>
      <c r="D102">
        <f>Calculations!D806</f>
        <v>0</v>
      </c>
      <c r="E102" s="265">
        <f>Calculations!E806</f>
        <v>0</v>
      </c>
      <c r="F102" s="265">
        <f>Calculations!F806</f>
        <v>0</v>
      </c>
      <c r="G102" s="265">
        <f>Calculations!G806</f>
        <v>0</v>
      </c>
      <c r="H102" s="197">
        <f>Calculations!H806</f>
        <v>0</v>
      </c>
      <c r="I102" s="197">
        <f>Calculations!I806</f>
        <v>0</v>
      </c>
      <c r="J102" s="137">
        <f>Calculations!J806</f>
        <v>0</v>
      </c>
      <c r="K102" s="66">
        <f>Calculations!K806</f>
        <v>0</v>
      </c>
      <c r="L102" s="66">
        <f>Calculations!L806</f>
        <v>0</v>
      </c>
      <c r="M102">
        <f>Calculations!M806</f>
        <v>0</v>
      </c>
      <c r="N102" s="66">
        <f>Calculations!N806</f>
        <v>0</v>
      </c>
      <c r="O102" s="66">
        <f>Calculations!O806</f>
        <v>0</v>
      </c>
      <c r="P102" s="66">
        <f>Calculations!P806</f>
        <v>0</v>
      </c>
      <c r="Q102" s="204">
        <f>Calculations!Q806</f>
        <v>0</v>
      </c>
      <c r="R102" s="66">
        <f>Calculations!R806</f>
        <v>0</v>
      </c>
      <c r="S102" s="65">
        <f>Calculations!S806</f>
        <v>0</v>
      </c>
      <c r="T102" s="65">
        <f>Calculations!T806</f>
        <v>0</v>
      </c>
      <c r="U102" s="204">
        <f>Calculations!U806</f>
        <v>0</v>
      </c>
      <c r="V102" s="65">
        <f>Calculations!V806</f>
        <v>0</v>
      </c>
      <c r="W102" s="266">
        <f>Calculations!W806</f>
        <v>0</v>
      </c>
      <c r="X102" s="266">
        <f>Calculations!X806</f>
        <v>0</v>
      </c>
      <c r="Y102" s="266" t="e">
        <f>Calculations!Y806</f>
        <v>#DIV/0!</v>
      </c>
      <c r="Z102" s="266" t="e">
        <f>Calculations!Z806</f>
        <v>#DIV/0!</v>
      </c>
      <c r="AA102" s="266" t="e">
        <f>Calculations!AA806</f>
        <v>#DIV/0!</v>
      </c>
    </row>
    <row r="103" spans="1:27" ht="15" thickBot="1">
      <c r="A103" s="3">
        <f>Calculations!A807</f>
        <v>99</v>
      </c>
      <c r="B103">
        <f>Calculations!B807</f>
        <v>0</v>
      </c>
      <c r="C103">
        <f>Calculations!C807</f>
        <v>0</v>
      </c>
      <c r="D103">
        <f>Calculations!D807</f>
        <v>0</v>
      </c>
      <c r="E103" s="265">
        <f>Calculations!E807</f>
        <v>0</v>
      </c>
      <c r="F103" s="265">
        <f>Calculations!F807</f>
        <v>0</v>
      </c>
      <c r="G103" s="265">
        <f>Calculations!G807</f>
        <v>0</v>
      </c>
      <c r="H103" s="197">
        <f>Calculations!H807</f>
        <v>0</v>
      </c>
      <c r="I103" s="197">
        <f>Calculations!I807</f>
        <v>0</v>
      </c>
      <c r="J103" s="137">
        <f>Calculations!J807</f>
        <v>0</v>
      </c>
      <c r="K103" s="66">
        <f>Calculations!K807</f>
        <v>0</v>
      </c>
      <c r="L103" s="66">
        <f>Calculations!L807</f>
        <v>0</v>
      </c>
      <c r="M103">
        <f>Calculations!M807</f>
        <v>0</v>
      </c>
      <c r="N103" s="66">
        <f>Calculations!N807</f>
        <v>0</v>
      </c>
      <c r="O103" s="66">
        <f>Calculations!O807</f>
        <v>0</v>
      </c>
      <c r="P103" s="66">
        <f>Calculations!P807</f>
        <v>0</v>
      </c>
      <c r="Q103" s="204">
        <f>Calculations!Q807</f>
        <v>0</v>
      </c>
      <c r="R103" s="66">
        <f>Calculations!R807</f>
        <v>0</v>
      </c>
      <c r="S103" s="65">
        <f>Calculations!S807</f>
        <v>0</v>
      </c>
      <c r="T103" s="65">
        <f>Calculations!T807</f>
        <v>0</v>
      </c>
      <c r="U103" s="204">
        <f>Calculations!U807</f>
        <v>0</v>
      </c>
      <c r="V103" s="65">
        <f>Calculations!V807</f>
        <v>0</v>
      </c>
      <c r="W103" s="266">
        <f>Calculations!W807</f>
        <v>0</v>
      </c>
      <c r="X103" s="266">
        <f>Calculations!X807</f>
        <v>0</v>
      </c>
      <c r="Y103" s="266" t="e">
        <f>Calculations!Y807</f>
        <v>#DIV/0!</v>
      </c>
      <c r="Z103" s="266" t="e">
        <f>Calculations!Z807</f>
        <v>#DIV/0!</v>
      </c>
      <c r="AA103" s="266" t="e">
        <f>Calculations!AA807</f>
        <v>#DIV/0!</v>
      </c>
    </row>
    <row r="104" spans="1:27" ht="15" thickTop="1">
      <c r="A104" s="68" t="str">
        <f>Calculations!A808</f>
        <v>Total</v>
      </c>
      <c r="H104" s="197"/>
      <c r="I104" s="197"/>
      <c r="K104" s="440">
        <f>Calculations!K808</f>
        <v>0</v>
      </c>
      <c r="M104" s="440">
        <f>Calculations!M808</f>
        <v>0</v>
      </c>
      <c r="O104" s="440">
        <f>Calculations!O808</f>
        <v>0</v>
      </c>
      <c r="P104" s="440">
        <f>Calculations!P808</f>
        <v>0</v>
      </c>
      <c r="Q104" s="66"/>
      <c r="R104" s="440">
        <f>Calculations!R808</f>
        <v>0</v>
      </c>
      <c r="S104" s="440">
        <f>Calculations!S808</f>
        <v>0</v>
      </c>
      <c r="T104" s="440">
        <f>Calculations!T808</f>
        <v>0</v>
      </c>
      <c r="U104" s="66"/>
      <c r="V104" s="440">
        <f>Calculations!V808</f>
        <v>0</v>
      </c>
    </row>
  </sheetData>
  <sheetProtection algorithmName="SHA-512" hashValue="TYBoguJcrM9AEg5sDPgA41lLwKL2o4qPiBRc46TJgG4FD8pgpXfpCetqGbSsDpBoN1sN9wlMysSe9KAinJWA8w==" saltValue="IYquW+95Xu8au7n0tlTH4w==" spinCount="100000" sheet="1" objects="1" scenarios="1"/>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7030A0"/>
  </sheetPr>
  <dimension ref="A1:S217"/>
  <sheetViews>
    <sheetView showGridLines="0" zoomScaleNormal="100" zoomScaleSheetLayoutView="100" workbookViewId="0">
      <selection sqref="A1:L1"/>
    </sheetView>
  </sheetViews>
  <sheetFormatPr defaultColWidth="9" defaultRowHeight="13.2"/>
  <cols>
    <col min="1" max="1" width="0.5546875" style="212" customWidth="1"/>
    <col min="2" max="2" width="26" style="212" customWidth="1"/>
    <col min="3" max="12" width="14.5546875" style="212" customWidth="1"/>
    <col min="13" max="16" width="11.109375" style="212" customWidth="1"/>
    <col min="17" max="22" width="12" style="212" customWidth="1"/>
    <col min="23" max="16384" width="9" style="212"/>
  </cols>
  <sheetData>
    <row r="1" spans="1:12" customFormat="1" ht="14.4">
      <c r="A1" s="1088" t="s">
        <v>62</v>
      </c>
      <c r="B1" s="1088"/>
      <c r="C1" s="1088"/>
      <c r="D1" s="1088"/>
      <c r="E1" s="1088"/>
      <c r="F1" s="1088"/>
      <c r="G1" s="1088"/>
      <c r="H1" s="1088"/>
      <c r="I1" s="1088"/>
      <c r="J1" s="1088"/>
      <c r="K1" s="1088"/>
      <c r="L1" s="1088"/>
    </row>
    <row r="2" spans="1:12" customFormat="1" ht="14.4"/>
    <row r="3" spans="1:12" customFormat="1" ht="14.4">
      <c r="B3" s="1" t="s">
        <v>829</v>
      </c>
      <c r="D3" s="73">
        <f>Application!B29</f>
        <v>0</v>
      </c>
      <c r="K3" s="1"/>
    </row>
    <row r="4" spans="1:12" customFormat="1" ht="14.4">
      <c r="B4" s="1" t="s">
        <v>215</v>
      </c>
      <c r="D4" s="73">
        <f>Application!B6</f>
        <v>0</v>
      </c>
      <c r="K4" s="1"/>
    </row>
    <row r="5" spans="1:12" customFormat="1" ht="14.4">
      <c r="B5" s="1" t="s">
        <v>221</v>
      </c>
      <c r="D5" s="73">
        <f>Application!B10</f>
        <v>0</v>
      </c>
      <c r="K5" s="1"/>
    </row>
    <row r="6" spans="1:12" customFormat="1" ht="14.4">
      <c r="B6" s="1" t="s">
        <v>224</v>
      </c>
      <c r="D6" s="73">
        <f>Application!B13</f>
        <v>0</v>
      </c>
      <c r="I6" s="1"/>
      <c r="J6" s="152"/>
      <c r="K6" s="1"/>
    </row>
    <row r="7" spans="1:12" customFormat="1" ht="14.4">
      <c r="B7" s="1"/>
      <c r="D7" s="73"/>
      <c r="I7" s="1"/>
      <c r="J7" s="152"/>
      <c r="K7" s="1"/>
    </row>
    <row r="8" spans="1:12" ht="15" customHeight="1">
      <c r="A8" s="1088" t="s">
        <v>1181</v>
      </c>
      <c r="B8" s="1088"/>
      <c r="C8" s="1088"/>
      <c r="D8" s="1088"/>
      <c r="E8" s="1088"/>
      <c r="F8" s="1088"/>
      <c r="G8" s="1088"/>
      <c r="H8" s="1088"/>
      <c r="I8" s="1088"/>
      <c r="J8" s="1088"/>
      <c r="K8" s="1088"/>
      <c r="L8" s="1088"/>
    </row>
    <row r="9" spans="1:12" ht="15.75" customHeight="1" thickBot="1">
      <c r="B9" s="1199" t="s">
        <v>1182</v>
      </c>
      <c r="C9" s="1199"/>
      <c r="D9" s="1199"/>
      <c r="E9" s="1199"/>
      <c r="F9" s="1199"/>
      <c r="G9" s="1199"/>
      <c r="H9" s="1199"/>
      <c r="I9" s="1199"/>
      <c r="J9" s="1199"/>
      <c r="K9" s="1199"/>
      <c r="L9" s="1199"/>
    </row>
    <row r="10" spans="1:12">
      <c r="B10" s="213" t="s">
        <v>889</v>
      </c>
      <c r="C10" s="214">
        <v>1</v>
      </c>
      <c r="D10" s="214">
        <v>2</v>
      </c>
      <c r="E10" s="214">
        <v>3</v>
      </c>
      <c r="F10" s="214">
        <v>4</v>
      </c>
      <c r="G10" s="214">
        <v>5</v>
      </c>
      <c r="H10" s="214">
        <v>6</v>
      </c>
      <c r="I10" s="214">
        <v>7</v>
      </c>
      <c r="J10" s="214">
        <v>8</v>
      </c>
      <c r="K10" s="214">
        <v>9</v>
      </c>
      <c r="L10" s="215">
        <v>10</v>
      </c>
    </row>
    <row r="11" spans="1:12">
      <c r="B11" s="216" t="s">
        <v>4436</v>
      </c>
      <c r="C11" s="217">
        <f>Calculations!B363</f>
        <v>0</v>
      </c>
      <c r="D11" s="217">
        <f>C11*1.02</f>
        <v>0</v>
      </c>
      <c r="E11" s="217">
        <f t="shared" ref="E11:L11" si="0">D11*1.02</f>
        <v>0</v>
      </c>
      <c r="F11" s="217">
        <f t="shared" si="0"/>
        <v>0</v>
      </c>
      <c r="G11" s="217">
        <f t="shared" si="0"/>
        <v>0</v>
      </c>
      <c r="H11" s="217">
        <f t="shared" si="0"/>
        <v>0</v>
      </c>
      <c r="I11" s="217">
        <f t="shared" si="0"/>
        <v>0</v>
      </c>
      <c r="J11" s="217">
        <f t="shared" si="0"/>
        <v>0</v>
      </c>
      <c r="K11" s="217">
        <f t="shared" si="0"/>
        <v>0</v>
      </c>
      <c r="L11" s="218">
        <f t="shared" si="0"/>
        <v>0</v>
      </c>
    </row>
    <row r="12" spans="1:12">
      <c r="B12" s="216" t="s">
        <v>1183</v>
      </c>
      <c r="C12" s="219">
        <f>-Calculations!B352</f>
        <v>0</v>
      </c>
      <c r="D12" s="219">
        <f t="shared" ref="D12:L12" si="1">C12*1.03</f>
        <v>0</v>
      </c>
      <c r="E12" s="219">
        <f t="shared" si="1"/>
        <v>0</v>
      </c>
      <c r="F12" s="219">
        <f t="shared" si="1"/>
        <v>0</v>
      </c>
      <c r="G12" s="219">
        <f t="shared" si="1"/>
        <v>0</v>
      </c>
      <c r="H12" s="219">
        <f t="shared" si="1"/>
        <v>0</v>
      </c>
      <c r="I12" s="219">
        <f t="shared" si="1"/>
        <v>0</v>
      </c>
      <c r="J12" s="219">
        <f t="shared" si="1"/>
        <v>0</v>
      </c>
      <c r="K12" s="219">
        <f t="shared" si="1"/>
        <v>0</v>
      </c>
      <c r="L12" s="219">
        <f t="shared" si="1"/>
        <v>0</v>
      </c>
    </row>
    <row r="13" spans="1:12">
      <c r="B13" s="216" t="s">
        <v>1184</v>
      </c>
      <c r="C13" s="217">
        <f>SUM(C11:C12)</f>
        <v>0</v>
      </c>
      <c r="D13" s="217">
        <f t="shared" ref="D13:L13" si="2">SUM(D11:D12)</f>
        <v>0</v>
      </c>
      <c r="E13" s="217">
        <f t="shared" si="2"/>
        <v>0</v>
      </c>
      <c r="F13" s="217">
        <f t="shared" si="2"/>
        <v>0</v>
      </c>
      <c r="G13" s="217">
        <f t="shared" si="2"/>
        <v>0</v>
      </c>
      <c r="H13" s="217">
        <f t="shared" si="2"/>
        <v>0</v>
      </c>
      <c r="I13" s="217">
        <f t="shared" si="2"/>
        <v>0</v>
      </c>
      <c r="J13" s="217">
        <f t="shared" si="2"/>
        <v>0</v>
      </c>
      <c r="K13" s="217">
        <f t="shared" si="2"/>
        <v>0</v>
      </c>
      <c r="L13" s="218">
        <f t="shared" si="2"/>
        <v>0</v>
      </c>
    </row>
    <row r="14" spans="1:12">
      <c r="B14" s="216" t="s">
        <v>1185</v>
      </c>
      <c r="C14" s="219">
        <f>-Calculations!E126</f>
        <v>0</v>
      </c>
      <c r="D14" s="219">
        <f>C14</f>
        <v>0</v>
      </c>
      <c r="E14" s="219">
        <f t="shared" ref="E14:L14" si="3">D14</f>
        <v>0</v>
      </c>
      <c r="F14" s="219">
        <f t="shared" si="3"/>
        <v>0</v>
      </c>
      <c r="G14" s="219">
        <f t="shared" si="3"/>
        <v>0</v>
      </c>
      <c r="H14" s="219">
        <f t="shared" si="3"/>
        <v>0</v>
      </c>
      <c r="I14" s="219">
        <f t="shared" si="3"/>
        <v>0</v>
      </c>
      <c r="J14" s="219">
        <f t="shared" si="3"/>
        <v>0</v>
      </c>
      <c r="K14" s="219">
        <f t="shared" si="3"/>
        <v>0</v>
      </c>
      <c r="L14" s="220">
        <f t="shared" si="3"/>
        <v>0</v>
      </c>
    </row>
    <row r="15" spans="1:12">
      <c r="B15" s="216" t="s">
        <v>1186</v>
      </c>
      <c r="C15" s="217">
        <f>SUM(C13:C14)</f>
        <v>0</v>
      </c>
      <c r="D15" s="217">
        <f>SUM(D13:D14)</f>
        <v>0</v>
      </c>
      <c r="E15" s="217">
        <f t="shared" ref="E15:L15" si="4">SUM(E13:E14)</f>
        <v>0</v>
      </c>
      <c r="F15" s="217">
        <f t="shared" si="4"/>
        <v>0</v>
      </c>
      <c r="G15" s="217">
        <f t="shared" si="4"/>
        <v>0</v>
      </c>
      <c r="H15" s="217">
        <f t="shared" si="4"/>
        <v>0</v>
      </c>
      <c r="I15" s="217">
        <f t="shared" si="4"/>
        <v>0</v>
      </c>
      <c r="J15" s="217">
        <f t="shared" si="4"/>
        <v>0</v>
      </c>
      <c r="K15" s="217">
        <f t="shared" si="4"/>
        <v>0</v>
      </c>
      <c r="L15" s="218">
        <f t="shared" si="4"/>
        <v>0</v>
      </c>
    </row>
    <row r="16" spans="1:12">
      <c r="B16" s="216"/>
      <c r="C16" s="221"/>
      <c r="D16" s="221"/>
      <c r="E16" s="221"/>
      <c r="F16" s="221"/>
      <c r="G16" s="221"/>
      <c r="H16" s="221"/>
      <c r="I16" s="221"/>
      <c r="J16" s="221"/>
      <c r="K16" s="221"/>
      <c r="L16" s="222"/>
    </row>
    <row r="17" spans="2:13" ht="13.8" thickBot="1">
      <c r="B17" s="595" t="s">
        <v>1187</v>
      </c>
      <c r="C17" s="596" t="e">
        <f>C15/C11</f>
        <v>#DIV/0!</v>
      </c>
      <c r="D17" s="596" t="e">
        <f>D15/D11</f>
        <v>#DIV/0!</v>
      </c>
      <c r="E17" s="596" t="e">
        <f t="shared" ref="E17:L17" si="5">E15/E11</f>
        <v>#DIV/0!</v>
      </c>
      <c r="F17" s="596" t="e">
        <f t="shared" si="5"/>
        <v>#DIV/0!</v>
      </c>
      <c r="G17" s="596" t="e">
        <f t="shared" si="5"/>
        <v>#DIV/0!</v>
      </c>
      <c r="H17" s="596" t="e">
        <f t="shared" si="5"/>
        <v>#DIV/0!</v>
      </c>
      <c r="I17" s="596" t="e">
        <f t="shared" si="5"/>
        <v>#DIV/0!</v>
      </c>
      <c r="J17" s="596" t="e">
        <f t="shared" si="5"/>
        <v>#DIV/0!</v>
      </c>
      <c r="K17" s="596" t="e">
        <f t="shared" si="5"/>
        <v>#DIV/0!</v>
      </c>
      <c r="L17" s="597" t="e">
        <f t="shared" si="5"/>
        <v>#DIV/0!</v>
      </c>
    </row>
    <row r="18" spans="2:13">
      <c r="B18" s="223"/>
      <c r="L18" s="224"/>
    </row>
    <row r="19" spans="2:13">
      <c r="B19" s="511"/>
      <c r="C19" s="576">
        <v>11</v>
      </c>
      <c r="D19" s="576">
        <v>12</v>
      </c>
      <c r="E19" s="576">
        <v>13</v>
      </c>
      <c r="F19" s="576">
        <v>14</v>
      </c>
      <c r="G19" s="576">
        <v>15</v>
      </c>
      <c r="H19" s="225"/>
      <c r="I19" s="225"/>
      <c r="J19" s="225"/>
      <c r="K19" s="225"/>
      <c r="L19" s="226"/>
    </row>
    <row r="20" spans="2:13">
      <c r="B20" s="216" t="s">
        <v>4436</v>
      </c>
      <c r="C20" s="217">
        <f>L11*1.02</f>
        <v>0</v>
      </c>
      <c r="D20" s="217">
        <f>C20*1.02</f>
        <v>0</v>
      </c>
      <c r="E20" s="217">
        <f>D20*1.02</f>
        <v>0</v>
      </c>
      <c r="F20" s="217">
        <f>E20*1.02</f>
        <v>0</v>
      </c>
      <c r="G20" s="217">
        <f>F20*1.02</f>
        <v>0</v>
      </c>
      <c r="H20" s="227"/>
      <c r="I20" s="227"/>
      <c r="J20" s="227"/>
      <c r="K20" s="227"/>
      <c r="L20" s="228"/>
    </row>
    <row r="21" spans="2:13">
      <c r="B21" s="216" t="s">
        <v>1183</v>
      </c>
      <c r="C21" s="219">
        <f>L12*1.03</f>
        <v>0</v>
      </c>
      <c r="D21" s="219">
        <f>C21*1.03</f>
        <v>0</v>
      </c>
      <c r="E21" s="219">
        <f>D21*1.03</f>
        <v>0</v>
      </c>
      <c r="F21" s="219">
        <f>E21*1.03</f>
        <v>0</v>
      </c>
      <c r="G21" s="219">
        <f>F21*1.03</f>
        <v>0</v>
      </c>
      <c r="H21" s="227"/>
      <c r="I21" s="227"/>
      <c r="J21" s="227"/>
      <c r="K21" s="227"/>
      <c r="L21" s="228"/>
    </row>
    <row r="22" spans="2:13">
      <c r="B22" s="216" t="s">
        <v>1184</v>
      </c>
      <c r="C22" s="217">
        <f>SUM(C20:C21)</f>
        <v>0</v>
      </c>
      <c r="D22" s="217">
        <f>SUM(D20:D21)</f>
        <v>0</v>
      </c>
      <c r="E22" s="217">
        <f>SUM(E20:E21)</f>
        <v>0</v>
      </c>
      <c r="F22" s="217">
        <f>SUM(F20:F21)</f>
        <v>0</v>
      </c>
      <c r="G22" s="217">
        <f>SUM(G20:G21)</f>
        <v>0</v>
      </c>
      <c r="H22" s="229"/>
      <c r="I22" s="229"/>
      <c r="J22" s="229"/>
      <c r="K22" s="229"/>
      <c r="L22" s="230"/>
    </row>
    <row r="23" spans="2:13">
      <c r="B23" s="216" t="s">
        <v>1185</v>
      </c>
      <c r="C23" s="219">
        <f>L14</f>
        <v>0</v>
      </c>
      <c r="D23" s="219">
        <f>C23</f>
        <v>0</v>
      </c>
      <c r="E23" s="219">
        <f>D23</f>
        <v>0</v>
      </c>
      <c r="F23" s="219">
        <f>E23</f>
        <v>0</v>
      </c>
      <c r="G23" s="219">
        <f>F23</f>
        <v>0</v>
      </c>
      <c r="H23" s="227"/>
      <c r="I23" s="227"/>
      <c r="J23" s="227"/>
      <c r="K23" s="227"/>
      <c r="L23" s="228"/>
    </row>
    <row r="24" spans="2:13">
      <c r="B24" s="216" t="s">
        <v>1186</v>
      </c>
      <c r="C24" s="217">
        <f>SUM(C22:C23)</f>
        <v>0</v>
      </c>
      <c r="D24" s="217">
        <f>SUM(D22:D23)</f>
        <v>0</v>
      </c>
      <c r="E24" s="217">
        <f>SUM(E22:E23)</f>
        <v>0</v>
      </c>
      <c r="F24" s="217">
        <f>SUM(F22:F23)</f>
        <v>0</v>
      </c>
      <c r="G24" s="217">
        <f>SUM(G22:G23)</f>
        <v>0</v>
      </c>
      <c r="H24" s="227"/>
      <c r="I24" s="227"/>
      <c r="J24" s="227"/>
      <c r="K24" s="227"/>
      <c r="L24" s="228"/>
    </row>
    <row r="25" spans="2:13">
      <c r="B25" s="223"/>
      <c r="C25" s="221"/>
      <c r="D25" s="221"/>
      <c r="E25" s="221"/>
      <c r="F25" s="221"/>
      <c r="G25" s="221"/>
      <c r="H25" s="227"/>
      <c r="I25" s="227"/>
      <c r="J25" s="227"/>
      <c r="K25" s="227"/>
      <c r="L25" s="228"/>
    </row>
    <row r="26" spans="2:13" ht="13.8" thickBot="1">
      <c r="B26" s="595" t="s">
        <v>1187</v>
      </c>
      <c r="C26" s="598" t="e">
        <f>C24/C20</f>
        <v>#DIV/0!</v>
      </c>
      <c r="D26" s="598" t="e">
        <f>D24/D20</f>
        <v>#DIV/0!</v>
      </c>
      <c r="E26" s="598" t="e">
        <f>E24/E20</f>
        <v>#DIV/0!</v>
      </c>
      <c r="F26" s="598" t="e">
        <f>F24/F20</f>
        <v>#DIV/0!</v>
      </c>
      <c r="G26" s="598" t="e">
        <f>G24/G20</f>
        <v>#DIV/0!</v>
      </c>
      <c r="H26" s="459"/>
      <c r="I26" s="459"/>
      <c r="J26" s="459"/>
      <c r="K26" s="459"/>
      <c r="L26" s="599"/>
    </row>
    <row r="27" spans="2:13">
      <c r="H27" s="231"/>
      <c r="I27" s="231"/>
      <c r="J27" s="231"/>
      <c r="K27" s="231"/>
      <c r="L27" s="231"/>
    </row>
    <row r="28" spans="2:13" ht="15.75" customHeight="1" thickBot="1">
      <c r="B28" s="1199" t="s">
        <v>1188</v>
      </c>
      <c r="C28" s="1199"/>
      <c r="D28" s="1199"/>
      <c r="E28" s="1199"/>
      <c r="F28" s="1199"/>
      <c r="G28" s="1199"/>
      <c r="H28" s="1199"/>
      <c r="I28" s="1199"/>
      <c r="J28" s="1199"/>
      <c r="K28" s="1199"/>
      <c r="L28" s="1199"/>
    </row>
    <row r="29" spans="2:13">
      <c r="B29" s="213" t="s">
        <v>889</v>
      </c>
      <c r="C29" s="214">
        <v>1</v>
      </c>
      <c r="D29" s="214">
        <v>2</v>
      </c>
      <c r="E29" s="214">
        <v>3</v>
      </c>
      <c r="F29" s="214">
        <v>4</v>
      </c>
      <c r="G29" s="214">
        <v>5</v>
      </c>
      <c r="H29" s="214">
        <v>6</v>
      </c>
      <c r="I29" s="214">
        <v>7</v>
      </c>
      <c r="J29" s="214">
        <v>8</v>
      </c>
      <c r="K29" s="214">
        <v>9</v>
      </c>
      <c r="L29" s="215">
        <v>10</v>
      </c>
    </row>
    <row r="30" spans="2:13">
      <c r="B30" s="216" t="s">
        <v>1085</v>
      </c>
      <c r="C30" s="217">
        <f>Calculations!B366</f>
        <v>0</v>
      </c>
      <c r="D30" s="217">
        <f>C30*1.02</f>
        <v>0</v>
      </c>
      <c r="E30" s="217">
        <f t="shared" ref="E30:L30" si="6">D30*1.02</f>
        <v>0</v>
      </c>
      <c r="F30" s="217">
        <f t="shared" si="6"/>
        <v>0</v>
      </c>
      <c r="G30" s="217">
        <f t="shared" si="6"/>
        <v>0</v>
      </c>
      <c r="H30" s="217">
        <f t="shared" si="6"/>
        <v>0</v>
      </c>
      <c r="I30" s="217">
        <f t="shared" si="6"/>
        <v>0</v>
      </c>
      <c r="J30" s="217">
        <f t="shared" si="6"/>
        <v>0</v>
      </c>
      <c r="K30" s="217">
        <f t="shared" si="6"/>
        <v>0</v>
      </c>
      <c r="L30" s="217">
        <f t="shared" si="6"/>
        <v>0</v>
      </c>
      <c r="M30" s="227"/>
    </row>
    <row r="31" spans="2:13">
      <c r="B31" s="216" t="s">
        <v>1183</v>
      </c>
      <c r="C31" s="219">
        <f>C12</f>
        <v>0</v>
      </c>
      <c r="D31" s="219">
        <f>C31*1.03</f>
        <v>0</v>
      </c>
      <c r="E31" s="219">
        <f t="shared" ref="E31:L31" si="7">D31*1.03</f>
        <v>0</v>
      </c>
      <c r="F31" s="219">
        <f t="shared" si="7"/>
        <v>0</v>
      </c>
      <c r="G31" s="219">
        <f t="shared" si="7"/>
        <v>0</v>
      </c>
      <c r="H31" s="219">
        <f t="shared" si="7"/>
        <v>0</v>
      </c>
      <c r="I31" s="219">
        <f t="shared" si="7"/>
        <v>0</v>
      </c>
      <c r="J31" s="219">
        <f t="shared" si="7"/>
        <v>0</v>
      </c>
      <c r="K31" s="219">
        <f t="shared" si="7"/>
        <v>0</v>
      </c>
      <c r="L31" s="219">
        <f t="shared" si="7"/>
        <v>0</v>
      </c>
      <c r="M31" s="227"/>
    </row>
    <row r="32" spans="2:13">
      <c r="B32" s="216" t="s">
        <v>1185</v>
      </c>
      <c r="C32" s="219">
        <f>C14</f>
        <v>0</v>
      </c>
      <c r="D32" s="219">
        <f>D14</f>
        <v>0</v>
      </c>
      <c r="E32" s="219">
        <f t="shared" ref="E32:L32" si="8">E14</f>
        <v>0</v>
      </c>
      <c r="F32" s="219">
        <f t="shared" si="8"/>
        <v>0</v>
      </c>
      <c r="G32" s="219">
        <f t="shared" si="8"/>
        <v>0</v>
      </c>
      <c r="H32" s="219">
        <f t="shared" si="8"/>
        <v>0</v>
      </c>
      <c r="I32" s="219">
        <f t="shared" si="8"/>
        <v>0</v>
      </c>
      <c r="J32" s="219">
        <f t="shared" si="8"/>
        <v>0</v>
      </c>
      <c r="K32" s="219">
        <f t="shared" si="8"/>
        <v>0</v>
      </c>
      <c r="L32" s="219">
        <f t="shared" si="8"/>
        <v>0</v>
      </c>
      <c r="M32" s="227"/>
    </row>
    <row r="33" spans="2:13">
      <c r="B33" s="216" t="s">
        <v>1186</v>
      </c>
      <c r="C33" s="217">
        <f>SUM(C30:C32)</f>
        <v>0</v>
      </c>
      <c r="D33" s="217">
        <f>SUM(D30:D32)</f>
        <v>0</v>
      </c>
      <c r="E33" s="217">
        <f t="shared" ref="E33:L33" si="9">SUM(E30:E32)</f>
        <v>0</v>
      </c>
      <c r="F33" s="217">
        <f t="shared" si="9"/>
        <v>0</v>
      </c>
      <c r="G33" s="217">
        <f t="shared" si="9"/>
        <v>0</v>
      </c>
      <c r="H33" s="217">
        <f t="shared" si="9"/>
        <v>0</v>
      </c>
      <c r="I33" s="217">
        <f t="shared" si="9"/>
        <v>0</v>
      </c>
      <c r="J33" s="217">
        <f t="shared" si="9"/>
        <v>0</v>
      </c>
      <c r="K33" s="217">
        <f t="shared" si="9"/>
        <v>0</v>
      </c>
      <c r="L33" s="217">
        <f t="shared" si="9"/>
        <v>0</v>
      </c>
      <c r="M33" s="227"/>
    </row>
    <row r="34" spans="2:13">
      <c r="B34" s="216"/>
      <c r="C34" s="217"/>
      <c r="D34" s="348"/>
      <c r="E34" s="217"/>
      <c r="F34" s="217"/>
      <c r="G34" s="217"/>
      <c r="H34" s="217"/>
      <c r="I34" s="217"/>
      <c r="J34" s="217"/>
      <c r="K34" s="217"/>
      <c r="L34" s="218"/>
      <c r="M34" s="227"/>
    </row>
    <row r="35" spans="2:13">
      <c r="B35" s="232" t="s">
        <v>1189</v>
      </c>
      <c r="C35" s="233"/>
      <c r="D35" s="349"/>
      <c r="E35" s="233"/>
      <c r="F35" s="233"/>
      <c r="G35" s="233"/>
      <c r="H35" s="233"/>
      <c r="I35" s="233"/>
      <c r="J35" s="233"/>
      <c r="K35" s="233"/>
      <c r="L35" s="234"/>
      <c r="M35" s="227"/>
    </row>
    <row r="36" spans="2:13" ht="13.8" thickBot="1">
      <c r="B36" s="235" t="s">
        <v>1190</v>
      </c>
      <c r="C36" s="600" t="e">
        <f>C33/12/Calculations!$H$41</f>
        <v>#DIV/0!</v>
      </c>
      <c r="D36" s="600" t="e">
        <f>D33/12/Calculations!$H$41</f>
        <v>#DIV/0!</v>
      </c>
      <c r="E36" s="600" t="e">
        <f>E33/12/Calculations!$H$41</f>
        <v>#DIV/0!</v>
      </c>
      <c r="F36" s="600" t="e">
        <f>F33/12/Calculations!$H$41</f>
        <v>#DIV/0!</v>
      </c>
      <c r="G36" s="600" t="e">
        <f>G33/12/Calculations!$H$41</f>
        <v>#DIV/0!</v>
      </c>
      <c r="H36" s="600" t="e">
        <f>H33/12/Calculations!$H$41</f>
        <v>#DIV/0!</v>
      </c>
      <c r="I36" s="600" t="e">
        <f>I33/12/Calculations!$H$41</f>
        <v>#DIV/0!</v>
      </c>
      <c r="J36" s="600" t="e">
        <f>J33/12/Calculations!$H$41</f>
        <v>#DIV/0!</v>
      </c>
      <c r="K36" s="600" t="e">
        <f>K33/12/Calculations!$H$41</f>
        <v>#DIV/0!</v>
      </c>
      <c r="L36" s="600" t="e">
        <f>L33/12/Calculations!$H$41</f>
        <v>#DIV/0!</v>
      </c>
      <c r="M36" s="227"/>
    </row>
    <row r="37" spans="2:13" ht="13.8" thickBot="1">
      <c r="B37" s="595" t="s">
        <v>1191</v>
      </c>
      <c r="C37" s="601" t="e">
        <f>C36/SUM(Calculations!$H$56/Calculations!$H$41)</f>
        <v>#DIV/0!</v>
      </c>
      <c r="D37" s="601" t="e">
        <f>D36/SUM(Calculations!$H$56/Calculations!$H$41)</f>
        <v>#DIV/0!</v>
      </c>
      <c r="E37" s="602" t="e">
        <f>E36/SUM(Calculations!$H$56/Calculations!$H$41)</f>
        <v>#DIV/0!</v>
      </c>
      <c r="F37" s="602" t="e">
        <f>F36/SUM(Calculations!$H$56/Calculations!$H$41)</f>
        <v>#DIV/0!</v>
      </c>
      <c r="G37" s="602" t="e">
        <f>G36/SUM(Calculations!$H$56/Calculations!$H$41)</f>
        <v>#DIV/0!</v>
      </c>
      <c r="H37" s="602" t="e">
        <f>H36/SUM(Calculations!$H$56/Calculations!$H$41)</f>
        <v>#DIV/0!</v>
      </c>
      <c r="I37" s="602" t="e">
        <f>I36/SUM(Calculations!$H$56/Calculations!$H$41)</f>
        <v>#DIV/0!</v>
      </c>
      <c r="J37" s="602" t="e">
        <f>J36/SUM(Calculations!$H$56/Calculations!$H$41)</f>
        <v>#DIV/0!</v>
      </c>
      <c r="K37" s="602" t="e">
        <f>K36/SUM(Calculations!$H$56/Calculations!$H$41)</f>
        <v>#DIV/0!</v>
      </c>
      <c r="L37" s="602" t="e">
        <f>L36/SUM(Calculations!$H$56/Calculations!$H$41)</f>
        <v>#DIV/0!</v>
      </c>
    </row>
    <row r="38" spans="2:13">
      <c r="B38" s="223"/>
      <c r="C38" s="236"/>
      <c r="D38" s="236"/>
      <c r="E38" s="236"/>
      <c r="F38" s="236"/>
      <c r="G38" s="236"/>
      <c r="H38" s="236"/>
      <c r="I38" s="236"/>
      <c r="J38" s="236"/>
      <c r="K38" s="236"/>
      <c r="L38" s="237"/>
    </row>
    <row r="39" spans="2:13">
      <c r="B39" s="577" t="s">
        <v>889</v>
      </c>
      <c r="C39" s="576">
        <v>11</v>
      </c>
      <c r="D39" s="576">
        <v>12</v>
      </c>
      <c r="E39" s="576">
        <v>13</v>
      </c>
      <c r="F39" s="576">
        <v>14</v>
      </c>
      <c r="G39" s="576">
        <v>15</v>
      </c>
      <c r="H39" s="225"/>
      <c r="I39" s="225"/>
      <c r="J39" s="225"/>
      <c r="K39" s="225"/>
      <c r="L39" s="226"/>
    </row>
    <row r="40" spans="2:13">
      <c r="B40" s="216" t="s">
        <v>1085</v>
      </c>
      <c r="C40" s="217">
        <f>L30*1.02</f>
        <v>0</v>
      </c>
      <c r="D40" s="217">
        <f>C40*1.02</f>
        <v>0</v>
      </c>
      <c r="E40" s="217">
        <f>D40*1.02</f>
        <v>0</v>
      </c>
      <c r="F40" s="217">
        <f>E40*1.02</f>
        <v>0</v>
      </c>
      <c r="G40" s="217">
        <f>F40*1.02</f>
        <v>0</v>
      </c>
      <c r="H40" s="229"/>
      <c r="I40" s="229"/>
      <c r="J40" s="229"/>
      <c r="K40" s="229"/>
      <c r="L40" s="230"/>
      <c r="M40" s="227"/>
    </row>
    <row r="41" spans="2:13">
      <c r="B41" s="216" t="s">
        <v>1183</v>
      </c>
      <c r="C41" s="219">
        <f>L31*1.03</f>
        <v>0</v>
      </c>
      <c r="D41" s="219">
        <f>C41*1.03</f>
        <v>0</v>
      </c>
      <c r="E41" s="219">
        <f>D41*1.03</f>
        <v>0</v>
      </c>
      <c r="F41" s="219">
        <f>E41*1.03</f>
        <v>0</v>
      </c>
      <c r="G41" s="219">
        <f>F41*1.03</f>
        <v>0</v>
      </c>
      <c r="H41" s="227"/>
      <c r="I41" s="227"/>
      <c r="J41" s="227"/>
      <c r="K41" s="227"/>
      <c r="L41" s="228"/>
      <c r="M41" s="227"/>
    </row>
    <row r="42" spans="2:13">
      <c r="B42" s="216" t="s">
        <v>1185</v>
      </c>
      <c r="C42" s="219">
        <f>C32</f>
        <v>0</v>
      </c>
      <c r="D42" s="219">
        <f>C42</f>
        <v>0</v>
      </c>
      <c r="E42" s="219">
        <f>D42</f>
        <v>0</v>
      </c>
      <c r="F42" s="219">
        <f>E42</f>
        <v>0</v>
      </c>
      <c r="G42" s="219">
        <f>F42</f>
        <v>0</v>
      </c>
      <c r="H42" s="227"/>
      <c r="I42" s="227"/>
      <c r="J42" s="227"/>
      <c r="K42" s="227"/>
      <c r="L42" s="228"/>
      <c r="M42" s="227"/>
    </row>
    <row r="43" spans="2:13">
      <c r="B43" s="216" t="s">
        <v>1186</v>
      </c>
      <c r="C43" s="217">
        <f>SUM(C40:C42)</f>
        <v>0</v>
      </c>
      <c r="D43" s="217">
        <f>SUM(D40:D42)</f>
        <v>0</v>
      </c>
      <c r="E43" s="217">
        <f>SUM(E40:E42)</f>
        <v>0</v>
      </c>
      <c r="F43" s="217">
        <f>SUM(F40:F42)</f>
        <v>0</v>
      </c>
      <c r="G43" s="217">
        <f>SUM(G40:G42)</f>
        <v>0</v>
      </c>
      <c r="H43" s="227"/>
      <c r="I43" s="227"/>
      <c r="J43" s="227"/>
      <c r="K43" s="227"/>
      <c r="L43" s="228"/>
      <c r="M43" s="227"/>
    </row>
    <row r="44" spans="2:13">
      <c r="B44" s="216"/>
      <c r="C44" s="217"/>
      <c r="D44" s="217"/>
      <c r="E44" s="217"/>
      <c r="F44" s="217"/>
      <c r="G44" s="217"/>
      <c r="H44" s="227"/>
      <c r="I44" s="227"/>
      <c r="J44" s="227"/>
      <c r="K44" s="227"/>
      <c r="L44" s="228"/>
      <c r="M44" s="227"/>
    </row>
    <row r="45" spans="2:13">
      <c r="B45" s="232" t="s">
        <v>1189</v>
      </c>
      <c r="C45" s="233"/>
      <c r="D45" s="233"/>
      <c r="E45" s="233"/>
      <c r="F45" s="233"/>
      <c r="G45" s="233"/>
      <c r="H45" s="238"/>
      <c r="I45" s="238"/>
      <c r="J45" s="238"/>
      <c r="K45" s="238"/>
      <c r="L45" s="239"/>
      <c r="M45" s="227"/>
    </row>
    <row r="46" spans="2:13" ht="13.8" thickBot="1">
      <c r="B46" s="235" t="s">
        <v>1190</v>
      </c>
      <c r="C46" s="603" t="e">
        <f>C43/12/Calculations!$H$41</f>
        <v>#DIV/0!</v>
      </c>
      <c r="D46" s="603" t="e">
        <f>D43/12/Calculations!$H$41</f>
        <v>#DIV/0!</v>
      </c>
      <c r="E46" s="603" t="e">
        <f>E43/12/Calculations!$H$41</f>
        <v>#DIV/0!</v>
      </c>
      <c r="F46" s="603" t="e">
        <f>F43/12/Calculations!$H$41</f>
        <v>#DIV/0!</v>
      </c>
      <c r="G46" s="603" t="e">
        <f>G43/12/Calculations!$H$41</f>
        <v>#DIV/0!</v>
      </c>
      <c r="H46" s="240"/>
      <c r="I46" s="240"/>
      <c r="J46" s="240"/>
      <c r="K46" s="240"/>
      <c r="L46" s="241"/>
      <c r="M46" s="227"/>
    </row>
    <row r="47" spans="2:13" ht="13.8" thickBot="1">
      <c r="B47" s="595" t="s">
        <v>1191</v>
      </c>
      <c r="C47" s="602" t="e">
        <f>C46/SUM(Calculations!$H$56/Calculations!$H$41)</f>
        <v>#DIV/0!</v>
      </c>
      <c r="D47" s="602" t="e">
        <f>D46/SUM(Calculations!$H$56/Calculations!$H$41)</f>
        <v>#DIV/0!</v>
      </c>
      <c r="E47" s="602" t="e">
        <f>E46/SUM(Calculations!$H$56/Calculations!$H$41)</f>
        <v>#DIV/0!</v>
      </c>
      <c r="F47" s="602" t="e">
        <f>F46/SUM(Calculations!$H$56/Calculations!$H$41)</f>
        <v>#DIV/0!</v>
      </c>
      <c r="G47" s="602" t="e">
        <f>G46/SUM(Calculations!$H$56/Calculations!$H$41)</f>
        <v>#DIV/0!</v>
      </c>
      <c r="H47" s="460"/>
      <c r="I47" s="460"/>
      <c r="J47" s="460"/>
      <c r="K47" s="460"/>
      <c r="L47" s="604"/>
    </row>
    <row r="49" spans="1:12" customFormat="1" ht="15" customHeight="1">
      <c r="A49" s="1088" t="s">
        <v>361</v>
      </c>
      <c r="B49" s="1088"/>
      <c r="C49" s="1088"/>
      <c r="D49" s="1088"/>
      <c r="E49" s="1088"/>
      <c r="F49" s="1088"/>
      <c r="G49" s="1088"/>
      <c r="H49" s="1088"/>
      <c r="I49" s="1088"/>
      <c r="J49" s="1088"/>
      <c r="K49" s="1088"/>
      <c r="L49" s="1088"/>
    </row>
    <row r="50" spans="1:12" customFormat="1" ht="15" customHeight="1">
      <c r="B50" s="1"/>
      <c r="E50" s="134"/>
      <c r="F50" s="134"/>
      <c r="G50" s="134"/>
      <c r="H50" s="133"/>
    </row>
    <row r="51" spans="1:12" customFormat="1" ht="30" customHeight="1">
      <c r="B51" s="136"/>
      <c r="C51" s="104" t="s">
        <v>921</v>
      </c>
      <c r="D51" s="135" t="s">
        <v>922</v>
      </c>
      <c r="E51" s="135" t="s">
        <v>923</v>
      </c>
      <c r="F51" s="134"/>
      <c r="G51" s="134"/>
      <c r="H51" s="133"/>
    </row>
    <row r="52" spans="1:12" customFormat="1" ht="15" customHeight="1">
      <c r="B52" s="1"/>
      <c r="C52" s="67" t="s">
        <v>925</v>
      </c>
      <c r="D52" s="106">
        <f>Calculations!B138</f>
        <v>0</v>
      </c>
      <c r="E52" s="106">
        <f>Calculations!C138</f>
        <v>0</v>
      </c>
      <c r="F52" s="134"/>
      <c r="G52" s="129" t="s">
        <v>939</v>
      </c>
      <c r="H52" s="133"/>
      <c r="J52" s="149"/>
      <c r="K52" s="1200" t="e">
        <f>Calculations!B427</f>
        <v>#N/A</v>
      </c>
      <c r="L52" s="1200"/>
    </row>
    <row r="53" spans="1:12" customFormat="1" ht="15" customHeight="1">
      <c r="C53" s="67" t="s">
        <v>926</v>
      </c>
      <c r="D53" s="106">
        <f>Calculations!B139</f>
        <v>0</v>
      </c>
      <c r="G53" s="129" t="s">
        <v>940</v>
      </c>
      <c r="K53" s="1200">
        <f>Calculations!E430</f>
        <v>0</v>
      </c>
      <c r="L53" s="1200"/>
    </row>
    <row r="54" spans="1:12" customFormat="1" ht="15" customHeight="1">
      <c r="C54" s="67" t="s">
        <v>378</v>
      </c>
      <c r="D54" s="106">
        <f>Calculations!B140</f>
        <v>0</v>
      </c>
      <c r="G54" s="129" t="s">
        <v>1192</v>
      </c>
      <c r="J54" s="274"/>
      <c r="K54" s="137">
        <f>Calculations!B886</f>
        <v>0</v>
      </c>
    </row>
    <row r="55" spans="1:12" customFormat="1" ht="15" customHeight="1">
      <c r="C55" s="67" t="s">
        <v>379</v>
      </c>
      <c r="D55" s="106">
        <f>Calculations!B141</f>
        <v>0</v>
      </c>
      <c r="F55" s="274"/>
      <c r="G55" s="129"/>
    </row>
    <row r="56" spans="1:12" customFormat="1" ht="30" customHeight="1">
      <c r="B56" s="1097" t="s">
        <v>1193</v>
      </c>
      <c r="C56" s="1097"/>
      <c r="D56" s="132">
        <f>Calculations!B145</f>
        <v>0</v>
      </c>
      <c r="G56" s="73" t="e">
        <f>Calculations!E562</f>
        <v>#N/A</v>
      </c>
    </row>
    <row r="57" spans="1:12" customFormat="1" ht="15" customHeight="1">
      <c r="B57" s="102"/>
      <c r="C57" s="121"/>
      <c r="D57" s="131"/>
      <c r="E57" s="119"/>
      <c r="F57" s="275" t="e">
        <f>Calculations!B562</f>
        <v>#N/A</v>
      </c>
      <c r="G57" s="129" t="s">
        <v>1194</v>
      </c>
      <c r="I57" s="118"/>
    </row>
    <row r="58" spans="1:12" customFormat="1" ht="15" customHeight="1">
      <c r="C58" s="67" t="s">
        <v>929</v>
      </c>
      <c r="D58" s="106">
        <f>Calculations!E618</f>
        <v>0</v>
      </c>
      <c r="E58" s="119"/>
      <c r="F58" s="130">
        <f>Calculations!B629</f>
        <v>0</v>
      </c>
      <c r="G58" s="129" t="s">
        <v>1195</v>
      </c>
    </row>
    <row r="59" spans="1:12" customFormat="1" ht="15" customHeight="1">
      <c r="C59" s="67" t="s">
        <v>4082</v>
      </c>
      <c r="D59" s="106">
        <f>Calculations!C631</f>
        <v>0</v>
      </c>
      <c r="E59" s="119"/>
      <c r="F59" s="130">
        <f>Calculations!C629</f>
        <v>0</v>
      </c>
      <c r="G59" s="129" t="s">
        <v>4099</v>
      </c>
    </row>
    <row r="60" spans="1:12" customFormat="1" ht="15" customHeight="1">
      <c r="C60" s="67" t="s">
        <v>930</v>
      </c>
      <c r="D60" s="106" t="e">
        <f>Calculations!E619</f>
        <v>#N/A</v>
      </c>
      <c r="E60" s="119"/>
      <c r="F60" s="130">
        <f>Calculations!B618</f>
        <v>0</v>
      </c>
      <c r="G60" s="129" t="s">
        <v>1196</v>
      </c>
    </row>
    <row r="61" spans="1:12" customFormat="1" ht="15" customHeight="1">
      <c r="C61" s="67" t="s">
        <v>931</v>
      </c>
      <c r="D61" s="106">
        <f>Calculations!E620</f>
        <v>0</v>
      </c>
      <c r="E61" s="119"/>
      <c r="F61" s="130"/>
      <c r="G61" s="129"/>
      <c r="I61" s="129"/>
    </row>
    <row r="62" spans="1:12" customFormat="1" ht="15" customHeight="1">
      <c r="B62" s="128"/>
      <c r="C62" s="127" t="s">
        <v>1197</v>
      </c>
      <c r="D62" s="126" t="e">
        <f>Calculations!E621</f>
        <v>#N/A</v>
      </c>
      <c r="E62" s="119"/>
      <c r="F62" s="118"/>
    </row>
    <row r="63" spans="1:12" customFormat="1" ht="15" customHeight="1">
      <c r="C63" s="121" t="s">
        <v>980</v>
      </c>
      <c r="D63" s="126">
        <f>Calculations!E622</f>
        <v>0</v>
      </c>
      <c r="E63" s="119"/>
      <c r="F63" s="118"/>
    </row>
    <row r="64" spans="1:12" customFormat="1" ht="15" customHeight="1">
      <c r="B64" s="128"/>
      <c r="C64" s="127" t="s">
        <v>935</v>
      </c>
      <c r="D64" s="126" t="e">
        <f>Calculations!E623</f>
        <v>#N/A</v>
      </c>
      <c r="E64" s="119"/>
      <c r="F64" s="125"/>
    </row>
    <row r="65" spans="1:12" customFormat="1" ht="15" customHeight="1">
      <c r="B65" s="102"/>
      <c r="C65" s="121"/>
      <c r="D65" s="106"/>
      <c r="E65" s="119"/>
      <c r="F65" s="118"/>
    </row>
    <row r="66" spans="1:12" customFormat="1" ht="14.4">
      <c r="B66" s="114"/>
      <c r="C66" s="124" t="s">
        <v>937</v>
      </c>
      <c r="D66" s="106">
        <f>Calculations!H129</f>
        <v>0</v>
      </c>
      <c r="F66" s="118"/>
    </row>
    <row r="67" spans="1:12" customFormat="1" ht="14.4">
      <c r="C67" s="124" t="s">
        <v>938</v>
      </c>
      <c r="D67" s="106">
        <f>Calculations!H130</f>
        <v>0</v>
      </c>
      <c r="E67" s="122"/>
      <c r="F67" s="283" t="str">
        <f>Calculations!K130</f>
        <v>Construction interest actual exceeds construction interest test</v>
      </c>
      <c r="G67" s="423"/>
    </row>
    <row r="68" spans="1:12" customFormat="1" ht="14.4">
      <c r="C68" s="121"/>
    </row>
    <row r="69" spans="1:12" customFormat="1" ht="14.4">
      <c r="A69" s="1088" t="s">
        <v>850</v>
      </c>
      <c r="B69" s="1088"/>
      <c r="C69" s="1088"/>
      <c r="D69" s="1088"/>
      <c r="E69" s="1088"/>
      <c r="F69" s="1088"/>
      <c r="G69" s="1088"/>
      <c r="H69" s="1088"/>
      <c r="I69" s="1088"/>
      <c r="J69" s="1088"/>
      <c r="K69" s="1088"/>
      <c r="L69" s="1088"/>
    </row>
    <row r="70" spans="1:12" customFormat="1" ht="14.4"/>
    <row r="71" spans="1:12" customFormat="1" ht="14.4">
      <c r="E71" s="174" t="s">
        <v>852</v>
      </c>
      <c r="F71" s="174" t="s">
        <v>124</v>
      </c>
      <c r="I71" s="1062"/>
      <c r="J71" s="1062"/>
    </row>
    <row r="72" spans="1:12" customFormat="1" ht="14.4">
      <c r="B72" s="136" t="s">
        <v>915</v>
      </c>
      <c r="C72" s="328"/>
      <c r="E72" s="503" t="s">
        <v>874</v>
      </c>
      <c r="F72" s="503" t="s">
        <v>874</v>
      </c>
      <c r="I72" s="360"/>
      <c r="J72" s="360"/>
    </row>
    <row r="73" spans="1:12" customFormat="1" ht="14.4">
      <c r="B73" s="209" t="s">
        <v>916</v>
      </c>
      <c r="D73" s="147"/>
      <c r="E73" s="146" t="e">
        <f>Calculations!B474</f>
        <v>#N/A</v>
      </c>
      <c r="F73" s="146" t="str">
        <f>Calculations!C527</f>
        <v/>
      </c>
      <c r="I73" s="146"/>
      <c r="J73" s="146"/>
    </row>
    <row r="74" spans="1:12" customFormat="1" ht="14.4">
      <c r="B74" s="209" t="s">
        <v>917</v>
      </c>
      <c r="E74" s="149">
        <f>Calculations!B481</f>
        <v>0</v>
      </c>
      <c r="F74" s="149" t="str">
        <f>Calculations!C535</f>
        <v/>
      </c>
      <c r="I74" s="146"/>
    </row>
    <row r="75" spans="1:12" customFormat="1" ht="14.4">
      <c r="B75" s="209" t="s">
        <v>918</v>
      </c>
      <c r="E75" s="149">
        <f>Calculations!B502</f>
        <v>0</v>
      </c>
      <c r="F75" s="149" t="str">
        <f>Calculations!C556</f>
        <v/>
      </c>
      <c r="G75" s="283" t="str">
        <f>Calculations!$D$502</f>
        <v/>
      </c>
      <c r="I75" s="114" t="s">
        <v>860</v>
      </c>
      <c r="J75" s="70">
        <f>Calculations!K74</f>
        <v>0</v>
      </c>
    </row>
    <row r="76" spans="1:12" customFormat="1" ht="14.4">
      <c r="B76" s="209"/>
      <c r="E76" s="149"/>
      <c r="F76" s="149"/>
    </row>
    <row r="77" spans="1:12" customFormat="1" ht="14.4">
      <c r="B77" s="1" t="s">
        <v>877</v>
      </c>
      <c r="E77" s="503" t="s">
        <v>852</v>
      </c>
      <c r="F77" s="503" t="s">
        <v>124</v>
      </c>
      <c r="G77" s="503" t="str">
        <f>IF(Calculations!H518, "TOC Credit", "")</f>
        <v/>
      </c>
    </row>
    <row r="78" spans="1:12" customFormat="1" ht="14.4">
      <c r="D78" s="121" t="s">
        <v>878</v>
      </c>
      <c r="E78" s="149" t="e">
        <f>Calculations!B507</f>
        <v>#N/A</v>
      </c>
      <c r="F78" s="149">
        <f>Calculations!B628</f>
        <v>0</v>
      </c>
      <c r="G78" s="149" t="str">
        <f>IF(Calculations!H518, Calculations!C628, "")</f>
        <v/>
      </c>
    </row>
    <row r="79" spans="1:12" customFormat="1" ht="14.4">
      <c r="D79" s="121" t="s">
        <v>879</v>
      </c>
      <c r="E79" s="149">
        <f>Calculations!B508</f>
        <v>0</v>
      </c>
      <c r="F79" s="150" t="s">
        <v>880</v>
      </c>
      <c r="G79" s="150" t="str">
        <f>IF(Calculations!H518, "N/A", "")</f>
        <v/>
      </c>
    </row>
    <row r="80" spans="1:12" customFormat="1" ht="14.4">
      <c r="C80" s="147"/>
      <c r="D80" s="127" t="s">
        <v>877</v>
      </c>
      <c r="E80" s="146" t="e">
        <f>Calculations!B511</f>
        <v>#N/A</v>
      </c>
      <c r="F80" s="146">
        <f>Calculations!B628</f>
        <v>0</v>
      </c>
      <c r="G80" s="146" t="str">
        <f>IF(Calculations!H518,Calculations!C628,"")</f>
        <v/>
      </c>
    </row>
    <row r="81" spans="1:12" customFormat="1" ht="14.4"/>
    <row r="82" spans="1:12" customFormat="1" ht="14.4">
      <c r="B82" s="1" t="s">
        <v>919</v>
      </c>
      <c r="D82" s="495" t="str">
        <f>CONCATENATE(Calculations!C18," ",Calculations!C19," ",Calculations!C20)</f>
        <v xml:space="preserve">  </v>
      </c>
      <c r="E82" s="423"/>
      <c r="F82" s="149"/>
    </row>
    <row r="83" spans="1:12" customFormat="1" ht="14.4">
      <c r="B83" s="1"/>
      <c r="D83" s="151"/>
      <c r="E83" s="149"/>
      <c r="F83" s="149"/>
    </row>
    <row r="84" spans="1:12" s="88" customFormat="1" ht="14.4">
      <c r="A84" s="1088" t="s">
        <v>961</v>
      </c>
      <c r="B84" s="1088"/>
      <c r="C84" s="1088"/>
      <c r="D84" s="1088"/>
      <c r="E84" s="1088"/>
      <c r="F84" s="1088"/>
      <c r="G84" s="1088"/>
      <c r="H84" s="1088"/>
      <c r="I84" s="1088"/>
      <c r="J84" s="1088"/>
      <c r="K84" s="1088"/>
      <c r="L84" s="1088"/>
    </row>
    <row r="85" spans="1:12" s="88" customFormat="1" ht="14.4">
      <c r="A85" s="1100" t="s">
        <v>962</v>
      </c>
      <c r="B85" s="1100"/>
      <c r="C85" s="1100"/>
      <c r="D85" s="1100"/>
      <c r="E85" s="1100"/>
      <c r="F85" s="1100"/>
      <c r="G85" s="1100"/>
      <c r="H85" s="1100"/>
      <c r="I85" s="1100"/>
      <c r="J85" s="1100"/>
      <c r="K85" s="1100"/>
      <c r="L85" s="1100"/>
    </row>
    <row r="86" spans="1:12" s="88" customFormat="1" ht="14.4">
      <c r="C86" s="74" t="s">
        <v>531</v>
      </c>
      <c r="D86" s="74" t="s">
        <v>963</v>
      </c>
      <c r="E86" s="74" t="s">
        <v>533</v>
      </c>
      <c r="F86" s="74" t="s">
        <v>534</v>
      </c>
      <c r="G86" s="74" t="s">
        <v>535</v>
      </c>
      <c r="H86" s="74" t="s">
        <v>536</v>
      </c>
      <c r="I86" s="74" t="s">
        <v>537</v>
      </c>
      <c r="J86" s="74" t="s">
        <v>538</v>
      </c>
    </row>
    <row r="87" spans="1:12" s="88" customFormat="1" ht="14.4">
      <c r="B87" s="187" t="str">
        <f>Calculations!A379</f>
        <v>Effective Gross Income</v>
      </c>
      <c r="C87" s="335">
        <f>Calculations!B379</f>
        <v>0</v>
      </c>
      <c r="D87" s="335">
        <f>Calculations!C379</f>
        <v>0</v>
      </c>
      <c r="E87" s="335">
        <f>Calculations!D379</f>
        <v>0</v>
      </c>
      <c r="F87" s="335">
        <f>Calculations!E379</f>
        <v>0</v>
      </c>
      <c r="G87" s="335">
        <f>Calculations!F379</f>
        <v>0</v>
      </c>
      <c r="H87" s="335">
        <f>Calculations!G379</f>
        <v>0</v>
      </c>
      <c r="I87" s="335">
        <f>Calculations!H379</f>
        <v>0</v>
      </c>
      <c r="J87" s="335">
        <f>Calculations!I379</f>
        <v>0</v>
      </c>
    </row>
    <row r="88" spans="1:12" s="88" customFormat="1" ht="14.4">
      <c r="B88" s="187" t="str">
        <f>Calculations!A380</f>
        <v>Total Project Expenses</v>
      </c>
      <c r="C88" s="335">
        <f>Calculations!B380</f>
        <v>0</v>
      </c>
      <c r="D88" s="335">
        <f>Calculations!C380</f>
        <v>0</v>
      </c>
      <c r="E88" s="335">
        <f>Calculations!D380</f>
        <v>0</v>
      </c>
      <c r="F88" s="335">
        <f>Calculations!E380</f>
        <v>0</v>
      </c>
      <c r="G88" s="335">
        <f>Calculations!F380</f>
        <v>0</v>
      </c>
      <c r="H88" s="335">
        <f>Calculations!G380</f>
        <v>0</v>
      </c>
      <c r="I88" s="335">
        <f>Calculations!H380</f>
        <v>0</v>
      </c>
      <c r="J88" s="335">
        <f>Calculations!I380</f>
        <v>0</v>
      </c>
    </row>
    <row r="89" spans="1:12" s="88" customFormat="1" ht="14.4">
      <c r="B89" s="187" t="str">
        <f>Calculations!A381</f>
        <v>Net Operating Income</v>
      </c>
      <c r="C89" s="335">
        <f>Calculations!B381</f>
        <v>0</v>
      </c>
      <c r="D89" s="335">
        <f>Calculations!C381</f>
        <v>0</v>
      </c>
      <c r="E89" s="335">
        <f>Calculations!D381</f>
        <v>0</v>
      </c>
      <c r="F89" s="335">
        <f>Calculations!E381</f>
        <v>0</v>
      </c>
      <c r="G89" s="335">
        <f>Calculations!F381</f>
        <v>0</v>
      </c>
      <c r="H89" s="335">
        <f>Calculations!G381</f>
        <v>0</v>
      </c>
      <c r="I89" s="335">
        <f>Calculations!H381</f>
        <v>0</v>
      </c>
      <c r="J89" s="335">
        <f>Calculations!I381</f>
        <v>0</v>
      </c>
    </row>
    <row r="90" spans="1:12" s="88" customFormat="1" ht="14.4">
      <c r="B90" s="187" t="str">
        <f>Calculations!A382</f>
        <v>First Mortgage</v>
      </c>
      <c r="C90" s="335">
        <f>Calculations!B382</f>
        <v>0</v>
      </c>
      <c r="D90" s="335">
        <f>Calculations!C382</f>
        <v>0</v>
      </c>
      <c r="E90" s="335">
        <f>Calculations!D382</f>
        <v>0</v>
      </c>
      <c r="F90" s="335">
        <f>Calculations!E382</f>
        <v>0</v>
      </c>
      <c r="G90" s="335">
        <f>Calculations!F382</f>
        <v>0</v>
      </c>
      <c r="H90" s="335">
        <f>Calculations!G382</f>
        <v>0</v>
      </c>
      <c r="I90" s="335">
        <f>Calculations!H382</f>
        <v>0</v>
      </c>
      <c r="J90" s="335">
        <f>Calculations!I382</f>
        <v>0</v>
      </c>
    </row>
    <row r="91" spans="1:12" s="88" customFormat="1" ht="14.4">
      <c r="B91" s="187" t="str">
        <f>Calculations!A383</f>
        <v>Second Mortgage</v>
      </c>
      <c r="C91" s="335">
        <f>Calculations!B383</f>
        <v>0</v>
      </c>
      <c r="D91" s="335">
        <f>Calculations!C383</f>
        <v>0</v>
      </c>
      <c r="E91" s="335">
        <f>Calculations!D383</f>
        <v>0</v>
      </c>
      <c r="F91" s="335">
        <f>Calculations!E383</f>
        <v>0</v>
      </c>
      <c r="G91" s="335">
        <f>Calculations!F383</f>
        <v>0</v>
      </c>
      <c r="H91" s="335">
        <f>Calculations!G383</f>
        <v>0</v>
      </c>
      <c r="I91" s="335">
        <f>Calculations!H383</f>
        <v>0</v>
      </c>
      <c r="J91" s="335">
        <f>Calculations!I383</f>
        <v>0</v>
      </c>
    </row>
    <row r="92" spans="1:12" s="88" customFormat="1" ht="14.4">
      <c r="B92" s="187" t="str">
        <f>Calculations!A384</f>
        <v>Third Mortgage</v>
      </c>
      <c r="C92" s="335">
        <f>Calculations!B384</f>
        <v>0</v>
      </c>
      <c r="D92" s="335">
        <f>Calculations!C384</f>
        <v>0</v>
      </c>
      <c r="E92" s="335">
        <f>Calculations!D384</f>
        <v>0</v>
      </c>
      <c r="F92" s="335">
        <f>Calculations!E384</f>
        <v>0</v>
      </c>
      <c r="G92" s="335">
        <f>Calculations!F384</f>
        <v>0</v>
      </c>
      <c r="H92" s="335">
        <f>Calculations!G384</f>
        <v>0</v>
      </c>
      <c r="I92" s="335">
        <f>Calculations!H384</f>
        <v>0</v>
      </c>
      <c r="J92" s="335">
        <f>Calculations!I384</f>
        <v>0</v>
      </c>
    </row>
    <row r="93" spans="1:12" s="88" customFormat="1" ht="14.4">
      <c r="B93" s="187" t="str">
        <f>Calculations!A385</f>
        <v>Net Project Cash Flow</v>
      </c>
      <c r="C93" s="335">
        <f>Calculations!B385</f>
        <v>0</v>
      </c>
      <c r="D93" s="335">
        <f>Calculations!C385</f>
        <v>0</v>
      </c>
      <c r="E93" s="335">
        <f>Calculations!D385</f>
        <v>0</v>
      </c>
      <c r="F93" s="335">
        <f>Calculations!E385</f>
        <v>0</v>
      </c>
      <c r="G93" s="335">
        <f>Calculations!F385</f>
        <v>0</v>
      </c>
      <c r="H93" s="335">
        <f>Calculations!G385</f>
        <v>0</v>
      </c>
      <c r="I93" s="335">
        <f>Calculations!H385</f>
        <v>0</v>
      </c>
      <c r="J93" s="335">
        <f>Calculations!I385</f>
        <v>0</v>
      </c>
    </row>
    <row r="94" spans="1:12" s="88" customFormat="1" ht="14.4">
      <c r="B94" s="187" t="str">
        <f>Calculations!A386</f>
        <v>Debt Coverage Ratio</v>
      </c>
      <c r="C94" s="338" t="str">
        <f>Calculations!B386</f>
        <v>Loans Missing</v>
      </c>
      <c r="D94" s="338" t="str">
        <f>Calculations!C386</f>
        <v>Loans Missing</v>
      </c>
      <c r="E94" s="338" t="str">
        <f>Calculations!D386</f>
        <v>Loans Missing</v>
      </c>
      <c r="F94" s="338" t="str">
        <f>Calculations!E386</f>
        <v>Loans Missing</v>
      </c>
      <c r="G94" s="338" t="str">
        <f>Calculations!F386</f>
        <v>Loans Missing</v>
      </c>
      <c r="H94" s="338" t="str">
        <f>Calculations!G386</f>
        <v>Loans Missing</v>
      </c>
      <c r="I94" s="338" t="str">
        <f>Calculations!H386</f>
        <v>Loans Missing</v>
      </c>
      <c r="J94" s="338" t="str">
        <f>Calculations!I386</f>
        <v>Loans Missing</v>
      </c>
    </row>
    <row r="95" spans="1:12" s="88" customFormat="1" ht="28.8">
      <c r="B95" s="614" t="str">
        <f>Calculations!A388</f>
        <v>Cash Flow Available for Distribution</v>
      </c>
      <c r="C95" s="113">
        <f>Calculations!B388</f>
        <v>0</v>
      </c>
      <c r="D95" s="113">
        <f>Calculations!C388</f>
        <v>0</v>
      </c>
      <c r="E95" s="113">
        <f>Calculations!D388</f>
        <v>0</v>
      </c>
      <c r="F95" s="113">
        <f>Calculations!E388</f>
        <v>0</v>
      </c>
      <c r="G95" s="113">
        <f>Calculations!F388</f>
        <v>0</v>
      </c>
      <c r="H95" s="113">
        <f>Calculations!G388</f>
        <v>0</v>
      </c>
      <c r="I95" s="113">
        <f>Calculations!H388</f>
        <v>0</v>
      </c>
      <c r="J95" s="113">
        <f>Calculations!I388</f>
        <v>0</v>
      </c>
    </row>
    <row r="96" spans="1:12" s="88" customFormat="1" ht="14.4">
      <c r="B96" s="615" t="str">
        <f>Calculations!A389</f>
        <v>Partnership/Asset Mgt. Fees</v>
      </c>
      <c r="C96" s="113">
        <f>Calculations!B389</f>
        <v>0</v>
      </c>
      <c r="D96" s="113">
        <f>Calculations!C389</f>
        <v>0</v>
      </c>
      <c r="E96" s="113">
        <f>Calculations!D389</f>
        <v>0</v>
      </c>
      <c r="F96" s="113">
        <f>Calculations!E389</f>
        <v>0</v>
      </c>
      <c r="G96" s="113">
        <f>Calculations!F389</f>
        <v>0</v>
      </c>
      <c r="H96" s="113">
        <f>Calculations!G389</f>
        <v>0</v>
      </c>
      <c r="I96" s="113">
        <f>Calculations!H389</f>
        <v>0</v>
      </c>
      <c r="J96" s="113">
        <f>Calculations!I389</f>
        <v>0</v>
      </c>
    </row>
    <row r="97" spans="2:10" s="88" customFormat="1" ht="14.4" hidden="1">
      <c r="B97" s="615" t="str">
        <f>Calculations!A390</f>
        <v>Bond Fees (if applicable)</v>
      </c>
      <c r="C97" s="113">
        <f>Calculations!B390</f>
        <v>0</v>
      </c>
      <c r="D97" s="113">
        <f>Calculations!C390</f>
        <v>0</v>
      </c>
      <c r="E97" s="113">
        <f>Calculations!D390</f>
        <v>0</v>
      </c>
      <c r="F97" s="113">
        <f>Calculations!E390</f>
        <v>0</v>
      </c>
      <c r="G97" s="113">
        <f>Calculations!F390</f>
        <v>0</v>
      </c>
      <c r="H97" s="113">
        <f>Calculations!G390</f>
        <v>0</v>
      </c>
      <c r="I97" s="113">
        <f>Calculations!H390</f>
        <v>0</v>
      </c>
      <c r="J97" s="113">
        <f>Calculations!I390</f>
        <v>0</v>
      </c>
    </row>
    <row r="98" spans="2:10" s="88" customFormat="1" ht="14.4">
      <c r="B98" s="615" t="str">
        <f>Calculations!A391</f>
        <v>Deferred Developer Fee Repayment*</v>
      </c>
      <c r="C98" s="113">
        <f>Calculations!B391</f>
        <v>0</v>
      </c>
      <c r="D98" s="113">
        <f>Calculations!C391</f>
        <v>0</v>
      </c>
      <c r="E98" s="113">
        <f>Calculations!D391</f>
        <v>0</v>
      </c>
      <c r="F98" s="113">
        <f>Calculations!E391</f>
        <v>0</v>
      </c>
      <c r="G98" s="113">
        <f>Calculations!F391</f>
        <v>0</v>
      </c>
      <c r="H98" s="113">
        <f>Calculations!G391</f>
        <v>0</v>
      </c>
      <c r="I98" s="113">
        <f>Calculations!H391</f>
        <v>0</v>
      </c>
      <c r="J98" s="113">
        <f>Calculations!I391</f>
        <v>0</v>
      </c>
    </row>
    <row r="99" spans="2:10" s="88" customFormat="1" ht="14.4">
      <c r="B99" s="615" t="str">
        <f>Calculations!A392</f>
        <v>Other (Specify)</v>
      </c>
      <c r="C99" s="113">
        <f>Calculations!B392</f>
        <v>0</v>
      </c>
      <c r="D99" s="113">
        <f>Calculations!C392</f>
        <v>0</v>
      </c>
      <c r="E99" s="113">
        <f>Calculations!D392</f>
        <v>0</v>
      </c>
      <c r="F99" s="113">
        <f>Calculations!E392</f>
        <v>0</v>
      </c>
      <c r="G99" s="113">
        <f>Calculations!F392</f>
        <v>0</v>
      </c>
      <c r="H99" s="113">
        <f>Calculations!G392</f>
        <v>0</v>
      </c>
      <c r="I99" s="113">
        <f>Calculations!H392</f>
        <v>0</v>
      </c>
      <c r="J99" s="113">
        <f>Calculations!I392</f>
        <v>0</v>
      </c>
    </row>
    <row r="100" spans="2:10" s="88" customFormat="1" ht="14.4">
      <c r="B100" s="614" t="str">
        <f>Calculations!A393</f>
        <v>Cash Flow Paid for Services</v>
      </c>
      <c r="C100" s="113">
        <f>Calculations!B393</f>
        <v>0</v>
      </c>
      <c r="D100" s="113">
        <f>Calculations!C393</f>
        <v>0</v>
      </c>
      <c r="E100" s="113">
        <f>Calculations!D393</f>
        <v>0</v>
      </c>
      <c r="F100" s="113">
        <f>Calculations!E393</f>
        <v>0</v>
      </c>
      <c r="G100" s="113">
        <f>Calculations!F393</f>
        <v>0</v>
      </c>
      <c r="H100" s="113">
        <f>Calculations!G393</f>
        <v>0</v>
      </c>
      <c r="I100" s="113">
        <f>Calculations!H393</f>
        <v>0</v>
      </c>
      <c r="J100" s="113">
        <f>Calculations!I393</f>
        <v>0</v>
      </c>
    </row>
    <row r="101" spans="2:10" s="88" customFormat="1" ht="28.8">
      <c r="B101" s="614" t="str">
        <f>Calculations!A394</f>
        <v>Cash Flow Available after above obligations</v>
      </c>
      <c r="C101" s="113">
        <f>Calculations!B394</f>
        <v>0</v>
      </c>
      <c r="D101" s="113">
        <f>Calculations!C394</f>
        <v>0</v>
      </c>
      <c r="E101" s="113">
        <f>Calculations!D394</f>
        <v>0</v>
      </c>
      <c r="F101" s="113">
        <f>Calculations!E394</f>
        <v>0</v>
      </c>
      <c r="G101" s="113">
        <f>Calculations!F394</f>
        <v>0</v>
      </c>
      <c r="H101" s="113">
        <f>Calculations!G394</f>
        <v>0</v>
      </c>
      <c r="I101" s="113">
        <f>Calculations!H394</f>
        <v>0</v>
      </c>
      <c r="J101" s="113">
        <f>Calculations!I394</f>
        <v>0</v>
      </c>
    </row>
    <row r="102" spans="2:10" s="88" customFormat="1" ht="14.4"/>
    <row r="103" spans="2:10" s="88" customFormat="1" ht="14.4">
      <c r="C103" s="74" t="s">
        <v>539</v>
      </c>
      <c r="D103" s="74" t="s">
        <v>540</v>
      </c>
      <c r="E103" s="74" t="s">
        <v>541</v>
      </c>
      <c r="F103" s="74" t="s">
        <v>542</v>
      </c>
      <c r="G103" s="74" t="s">
        <v>543</v>
      </c>
      <c r="H103" s="74" t="s">
        <v>544</v>
      </c>
      <c r="I103" s="74" t="s">
        <v>545</v>
      </c>
      <c r="J103" s="182"/>
    </row>
    <row r="104" spans="2:10" s="88" customFormat="1" ht="14.4">
      <c r="B104" s="187" t="str">
        <f>Calculations!A379</f>
        <v>Effective Gross Income</v>
      </c>
      <c r="C104" s="428">
        <f>Calculations!J379</f>
        <v>0</v>
      </c>
      <c r="D104" s="428">
        <f>Calculations!K379</f>
        <v>0</v>
      </c>
      <c r="E104" s="428">
        <f>Calculations!L379</f>
        <v>0</v>
      </c>
      <c r="F104" s="428">
        <f>Calculations!M379</f>
        <v>0</v>
      </c>
      <c r="G104" s="428">
        <f>Calculations!N379</f>
        <v>0</v>
      </c>
      <c r="H104" s="428">
        <f>Calculations!O379</f>
        <v>0</v>
      </c>
      <c r="I104" s="428">
        <f>Calculations!P379</f>
        <v>0</v>
      </c>
    </row>
    <row r="105" spans="2:10" s="88" customFormat="1" ht="14.4">
      <c r="B105" s="187" t="str">
        <f>Calculations!A380</f>
        <v>Total Project Expenses</v>
      </c>
      <c r="C105" s="428">
        <f>Calculations!J380</f>
        <v>0</v>
      </c>
      <c r="D105" s="428">
        <f>Calculations!K380</f>
        <v>0</v>
      </c>
      <c r="E105" s="428">
        <f>Calculations!L380</f>
        <v>0</v>
      </c>
      <c r="F105" s="428">
        <f>Calculations!M380</f>
        <v>0</v>
      </c>
      <c r="G105" s="428">
        <f>Calculations!N380</f>
        <v>0</v>
      </c>
      <c r="H105" s="428">
        <f>Calculations!O380</f>
        <v>0</v>
      </c>
      <c r="I105" s="428">
        <f>Calculations!P380</f>
        <v>0</v>
      </c>
    </row>
    <row r="106" spans="2:10" s="88" customFormat="1" ht="14.4">
      <c r="B106" s="187" t="str">
        <f>Calculations!A381</f>
        <v>Net Operating Income</v>
      </c>
      <c r="C106" s="428">
        <f>Calculations!J381</f>
        <v>0</v>
      </c>
      <c r="D106" s="428">
        <f>Calculations!K381</f>
        <v>0</v>
      </c>
      <c r="E106" s="428">
        <f>Calculations!L381</f>
        <v>0</v>
      </c>
      <c r="F106" s="428">
        <f>Calculations!M381</f>
        <v>0</v>
      </c>
      <c r="G106" s="428">
        <f>Calculations!N381</f>
        <v>0</v>
      </c>
      <c r="H106" s="428">
        <f>Calculations!O381</f>
        <v>0</v>
      </c>
      <c r="I106" s="428">
        <f>Calculations!P381</f>
        <v>0</v>
      </c>
    </row>
    <row r="107" spans="2:10" s="88" customFormat="1" ht="14.4">
      <c r="B107" s="187" t="str">
        <f>Calculations!A382</f>
        <v>First Mortgage</v>
      </c>
      <c r="C107" s="428">
        <f>Calculations!J382</f>
        <v>0</v>
      </c>
      <c r="D107" s="428">
        <f>Calculations!K382</f>
        <v>0</v>
      </c>
      <c r="E107" s="428">
        <f>Calculations!L382</f>
        <v>0</v>
      </c>
      <c r="F107" s="428">
        <f>Calculations!M382</f>
        <v>0</v>
      </c>
      <c r="G107" s="428">
        <f>Calculations!N382</f>
        <v>0</v>
      </c>
      <c r="H107" s="428">
        <f>Calculations!O382</f>
        <v>0</v>
      </c>
      <c r="I107" s="428">
        <f>Calculations!P382</f>
        <v>0</v>
      </c>
    </row>
    <row r="108" spans="2:10" s="88" customFormat="1" ht="14.4">
      <c r="B108" s="187" t="str">
        <f>Calculations!A383</f>
        <v>Second Mortgage</v>
      </c>
      <c r="C108" s="428">
        <f>Calculations!J383</f>
        <v>0</v>
      </c>
      <c r="D108" s="428">
        <f>Calculations!K383</f>
        <v>0</v>
      </c>
      <c r="E108" s="428">
        <f>Calculations!L383</f>
        <v>0</v>
      </c>
      <c r="F108" s="428">
        <f>Calculations!M383</f>
        <v>0</v>
      </c>
      <c r="G108" s="428">
        <f>Calculations!N383</f>
        <v>0</v>
      </c>
      <c r="H108" s="428">
        <f>Calculations!O383</f>
        <v>0</v>
      </c>
      <c r="I108" s="428">
        <f>Calculations!P383</f>
        <v>0</v>
      </c>
    </row>
    <row r="109" spans="2:10" s="88" customFormat="1" ht="14.4">
      <c r="B109" s="187" t="str">
        <f>Calculations!A384</f>
        <v>Third Mortgage</v>
      </c>
      <c r="C109" s="428">
        <f>Calculations!J384</f>
        <v>0</v>
      </c>
      <c r="D109" s="428">
        <f>Calculations!K384</f>
        <v>0</v>
      </c>
      <c r="E109" s="428">
        <f>Calculations!L384</f>
        <v>0</v>
      </c>
      <c r="F109" s="428">
        <f>Calculations!M384</f>
        <v>0</v>
      </c>
      <c r="G109" s="428">
        <f>Calculations!N384</f>
        <v>0</v>
      </c>
      <c r="H109" s="428">
        <f>Calculations!O384</f>
        <v>0</v>
      </c>
      <c r="I109" s="428">
        <f>Calculations!P384</f>
        <v>0</v>
      </c>
    </row>
    <row r="110" spans="2:10" s="88" customFormat="1" ht="14.4">
      <c r="B110" s="187" t="str">
        <f>Calculations!A385</f>
        <v>Net Project Cash Flow</v>
      </c>
      <c r="C110" s="428">
        <f>Calculations!J385</f>
        <v>0</v>
      </c>
      <c r="D110" s="428">
        <f>Calculations!K385</f>
        <v>0</v>
      </c>
      <c r="E110" s="428">
        <f>Calculations!L385</f>
        <v>0</v>
      </c>
      <c r="F110" s="428">
        <f>Calculations!M385</f>
        <v>0</v>
      </c>
      <c r="G110" s="428">
        <f>Calculations!N385</f>
        <v>0</v>
      </c>
      <c r="H110" s="428">
        <f>Calculations!O385</f>
        <v>0</v>
      </c>
      <c r="I110" s="428">
        <f>Calculations!P385</f>
        <v>0</v>
      </c>
    </row>
    <row r="111" spans="2:10" s="88" customFormat="1" ht="14.4">
      <c r="B111" s="187" t="str">
        <f>Calculations!A386</f>
        <v>Debt Coverage Ratio</v>
      </c>
      <c r="C111" s="427" t="str">
        <f>Calculations!J386</f>
        <v>Loans Missing</v>
      </c>
      <c r="D111" s="427" t="str">
        <f>Calculations!K386</f>
        <v>Loans Missing</v>
      </c>
      <c r="E111" s="427" t="str">
        <f>Calculations!L386</f>
        <v>Loans Missing</v>
      </c>
      <c r="F111" s="427" t="str">
        <f>Calculations!M386</f>
        <v>Loans Missing</v>
      </c>
      <c r="G111" s="427" t="str">
        <f>Calculations!N386</f>
        <v>Loans Missing</v>
      </c>
      <c r="H111" s="427" t="str">
        <f>Calculations!O386</f>
        <v>Loans Missing</v>
      </c>
      <c r="I111" s="427" t="str">
        <f>Calculations!P386</f>
        <v>Loans Missing</v>
      </c>
    </row>
    <row r="112" spans="2:10" s="88" customFormat="1" ht="28.8">
      <c r="B112" s="614" t="str">
        <f>Calculations!A388</f>
        <v>Cash Flow Available for Distribution</v>
      </c>
      <c r="C112" s="613">
        <f>Calculations!J388</f>
        <v>0</v>
      </c>
      <c r="D112" s="613">
        <f>Calculations!K388</f>
        <v>0</v>
      </c>
      <c r="E112" s="613">
        <f>Calculations!L388</f>
        <v>0</v>
      </c>
      <c r="F112" s="613">
        <f>Calculations!M388</f>
        <v>0</v>
      </c>
      <c r="G112" s="613">
        <f>Calculations!N388</f>
        <v>0</v>
      </c>
      <c r="H112" s="613">
        <f>Calculations!O388</f>
        <v>0</v>
      </c>
      <c r="I112" s="613">
        <f>Calculations!P388</f>
        <v>0</v>
      </c>
    </row>
    <row r="113" spans="1:11" s="88" customFormat="1" ht="14.4">
      <c r="B113" s="614" t="str">
        <f>Calculations!A389</f>
        <v>Partnership/Asset Mgt. Fees</v>
      </c>
      <c r="C113" s="613">
        <f>Calculations!J389</f>
        <v>0</v>
      </c>
      <c r="D113" s="613">
        <f>Calculations!K389</f>
        <v>0</v>
      </c>
      <c r="E113" s="613">
        <f>Calculations!L389</f>
        <v>0</v>
      </c>
      <c r="F113" s="613">
        <f>Calculations!M389</f>
        <v>0</v>
      </c>
      <c r="G113" s="613">
        <f>Calculations!N389</f>
        <v>0</v>
      </c>
      <c r="H113" s="613">
        <f>Calculations!O389</f>
        <v>0</v>
      </c>
      <c r="I113" s="613">
        <f>Calculations!P389</f>
        <v>0</v>
      </c>
    </row>
    <row r="114" spans="1:11" s="88" customFormat="1" ht="14.4" hidden="1">
      <c r="B114" s="614" t="str">
        <f>Calculations!A390</f>
        <v>Bond Fees (if applicable)</v>
      </c>
      <c r="C114" s="613">
        <f>Calculations!J390</f>
        <v>0</v>
      </c>
      <c r="D114" s="613">
        <f>Calculations!K390</f>
        <v>0</v>
      </c>
      <c r="E114" s="613">
        <f>Calculations!L390</f>
        <v>0</v>
      </c>
      <c r="F114" s="613">
        <f>Calculations!M390</f>
        <v>0</v>
      </c>
      <c r="G114" s="613">
        <f>Calculations!N390</f>
        <v>0</v>
      </c>
      <c r="H114" s="613">
        <f>Calculations!O390</f>
        <v>0</v>
      </c>
      <c r="I114" s="613">
        <f>Calculations!P390</f>
        <v>0</v>
      </c>
    </row>
    <row r="115" spans="1:11" s="88" customFormat="1" ht="28.8">
      <c r="B115" s="614" t="str">
        <f>Calculations!A391</f>
        <v>Deferred Developer Fee Repayment*</v>
      </c>
      <c r="C115" s="613">
        <f>Calculations!J391</f>
        <v>0</v>
      </c>
      <c r="D115" s="613">
        <f>Calculations!K391</f>
        <v>0</v>
      </c>
      <c r="E115" s="613">
        <f>Calculations!L391</f>
        <v>0</v>
      </c>
      <c r="F115" s="613">
        <f>Calculations!M391</f>
        <v>0</v>
      </c>
      <c r="G115" s="613">
        <f>Calculations!N391</f>
        <v>0</v>
      </c>
      <c r="H115" s="613">
        <f>Calculations!O391</f>
        <v>0</v>
      </c>
      <c r="I115" s="613">
        <f>Calculations!P391</f>
        <v>0</v>
      </c>
    </row>
    <row r="116" spans="1:11" s="88" customFormat="1" ht="14.4">
      <c r="B116" s="614" t="str">
        <f>Calculations!A392</f>
        <v>Other (Specify)</v>
      </c>
      <c r="C116" s="613">
        <f>Calculations!J392</f>
        <v>0</v>
      </c>
      <c r="D116" s="613">
        <f>Calculations!K392</f>
        <v>0</v>
      </c>
      <c r="E116" s="613">
        <f>Calculations!L392</f>
        <v>0</v>
      </c>
      <c r="F116" s="613">
        <f>Calculations!M392</f>
        <v>0</v>
      </c>
      <c r="G116" s="613">
        <f>Calculations!N392</f>
        <v>0</v>
      </c>
      <c r="H116" s="613">
        <f>Calculations!O392</f>
        <v>0</v>
      </c>
      <c r="I116" s="613">
        <f>Calculations!P392</f>
        <v>0</v>
      </c>
    </row>
    <row r="117" spans="1:11" s="88" customFormat="1" ht="14.4">
      <c r="B117" s="614" t="str">
        <f>Calculations!A393</f>
        <v>Cash Flow Paid for Services</v>
      </c>
      <c r="C117" s="613">
        <f>Calculations!J393</f>
        <v>0</v>
      </c>
      <c r="D117" s="613">
        <f>Calculations!K393</f>
        <v>0</v>
      </c>
      <c r="E117" s="613">
        <f>Calculations!L393</f>
        <v>0</v>
      </c>
      <c r="F117" s="613">
        <f>Calculations!M393</f>
        <v>0</v>
      </c>
      <c r="G117" s="613">
        <f>Calculations!N393</f>
        <v>0</v>
      </c>
      <c r="H117" s="613">
        <f>Calculations!O393</f>
        <v>0</v>
      </c>
      <c r="I117" s="613">
        <f>Calculations!P393</f>
        <v>0</v>
      </c>
    </row>
    <row r="118" spans="1:11" s="88" customFormat="1" ht="28.8">
      <c r="B118" s="614" t="str">
        <f>Calculations!A394</f>
        <v>Cash Flow Available after above obligations</v>
      </c>
      <c r="C118" s="613">
        <f>Calculations!J394</f>
        <v>0</v>
      </c>
      <c r="D118" s="613">
        <f>Calculations!K394</f>
        <v>0</v>
      </c>
      <c r="E118" s="613">
        <f>Calculations!L394</f>
        <v>0</v>
      </c>
      <c r="F118" s="613">
        <f>Calculations!M394</f>
        <v>0</v>
      </c>
      <c r="G118" s="613">
        <f>Calculations!N394</f>
        <v>0</v>
      </c>
      <c r="H118" s="613">
        <f>Calculations!O394</f>
        <v>0</v>
      </c>
      <c r="I118" s="613">
        <f>Calculations!P394</f>
        <v>0</v>
      </c>
    </row>
    <row r="119" spans="1:11" s="88" customFormat="1" ht="14.4">
      <c r="B119" s="188"/>
      <c r="C119" s="327"/>
      <c r="D119" s="327"/>
      <c r="E119" s="327"/>
      <c r="F119" s="327"/>
      <c r="G119" s="327"/>
      <c r="H119" s="327"/>
      <c r="I119" s="327"/>
    </row>
    <row r="120" spans="1:11" s="88" customFormat="1" ht="14.4">
      <c r="B120" s="188"/>
      <c r="C120" s="114" t="s">
        <v>378</v>
      </c>
      <c r="D120" s="327">
        <f>Calculations!B140</f>
        <v>0</v>
      </c>
      <c r="E120" s="327"/>
      <c r="F120" t="str">
        <f>Calculations!C396</f>
        <v>DDF could be repaid as early as</v>
      </c>
      <c r="G120" s="152" t="str">
        <f>Calculations!D396</f>
        <v>IN YEAR 1</v>
      </c>
    </row>
    <row r="121" spans="1:11" ht="14.4">
      <c r="C121" s="114" t="s">
        <v>964</v>
      </c>
      <c r="D121" s="327">
        <f>Calculations!B397</f>
        <v>0</v>
      </c>
      <c r="F121" s="283" t="str">
        <f>Calculations!G397</f>
        <v>The 10 Year cash flow available after obligations payable test has been met</v>
      </c>
      <c r="H121" s="327"/>
      <c r="I121" s="327"/>
    </row>
    <row r="122" spans="1:11" ht="14.4">
      <c r="C122" s="114" t="s">
        <v>965</v>
      </c>
      <c r="D122" s="327">
        <f>Calculations!B398</f>
        <v>0</v>
      </c>
      <c r="F122" s="283" t="str">
        <f>Calculations!G398</f>
        <v>The 15 Year cash flow available after obligations payable test has been met</v>
      </c>
      <c r="H122" s="327"/>
      <c r="I122" s="327"/>
    </row>
    <row r="123" spans="1:11" customFormat="1" ht="15" customHeight="1">
      <c r="A123" s="1088" t="s">
        <v>990</v>
      </c>
      <c r="B123" s="1088"/>
      <c r="C123" s="1088"/>
      <c r="D123" s="1088"/>
      <c r="E123" s="1088"/>
      <c r="F123" s="1088"/>
      <c r="G123" s="1088"/>
      <c r="H123" s="1088"/>
      <c r="I123" s="1088"/>
      <c r="J123" s="1088"/>
      <c r="K123" s="1088"/>
    </row>
    <row r="124" spans="1:11" customFormat="1" ht="14.4"/>
    <row r="125" spans="1:11" customFormat="1" ht="28.8">
      <c r="B125" s="145" t="s">
        <v>881</v>
      </c>
      <c r="C125" s="74" t="s">
        <v>882</v>
      </c>
      <c r="D125" s="74"/>
      <c r="E125" s="74" t="str">
        <f>Calculations!B33</f>
        <v>0 Bed*</v>
      </c>
      <c r="F125" s="74" t="str">
        <f>Calculations!C33</f>
        <v>1 Bed*</v>
      </c>
      <c r="G125" s="74" t="str">
        <f>Calculations!D33</f>
        <v>2 Bed*</v>
      </c>
      <c r="H125" s="74" t="str">
        <f>Calculations!E33</f>
        <v>3 Bed*</v>
      </c>
      <c r="I125" s="74" t="str">
        <f>Calculations!F33</f>
        <v>4 Bed*</v>
      </c>
      <c r="J125" s="74" t="str">
        <f>Calculations!G33</f>
        <v>5 Bed*</v>
      </c>
      <c r="K125" s="74" t="str">
        <f>Calculations!H33</f>
        <v>Total Units</v>
      </c>
    </row>
    <row r="126" spans="1:11" customFormat="1" ht="14.4">
      <c r="B126" s="143" t="s">
        <v>991</v>
      </c>
      <c r="C126" s="182">
        <f>Calculations!H34</f>
        <v>0</v>
      </c>
      <c r="D126" s="182"/>
      <c r="E126" s="74">
        <f>Calculations!B34</f>
        <v>0</v>
      </c>
      <c r="F126" s="74">
        <f>Calculations!C34</f>
        <v>0</v>
      </c>
      <c r="G126" s="74">
        <f>Calculations!D34</f>
        <v>0</v>
      </c>
      <c r="H126" s="74">
        <f>Calculations!E34</f>
        <v>0</v>
      </c>
      <c r="I126" s="74">
        <f>Calculations!F34</f>
        <v>0</v>
      </c>
      <c r="J126" s="74">
        <f>Calculations!G34</f>
        <v>0</v>
      </c>
      <c r="K126" s="74">
        <f>Calculations!H34</f>
        <v>0</v>
      </c>
    </row>
    <row r="127" spans="1:11" customFormat="1" ht="14.4">
      <c r="B127" s="143" t="s">
        <v>992</v>
      </c>
      <c r="C127" s="182">
        <f>Calculations!H35</f>
        <v>0</v>
      </c>
      <c r="D127" s="80"/>
      <c r="E127" s="74">
        <f>Calculations!B35</f>
        <v>0</v>
      </c>
      <c r="F127" s="74">
        <f>Calculations!C35</f>
        <v>0</v>
      </c>
      <c r="G127" s="74">
        <f>Calculations!D35</f>
        <v>0</v>
      </c>
      <c r="H127" s="74">
        <f>Calculations!E35</f>
        <v>0</v>
      </c>
      <c r="I127" s="74">
        <f>Calculations!F35</f>
        <v>0</v>
      </c>
      <c r="J127" s="74">
        <f>Calculations!G35</f>
        <v>0</v>
      </c>
      <c r="K127" s="74">
        <f>Calculations!H35</f>
        <v>0</v>
      </c>
    </row>
    <row r="128" spans="1:11" customFormat="1" ht="14.4">
      <c r="B128" s="143" t="s">
        <v>993</v>
      </c>
      <c r="C128" s="182">
        <f>Calculations!H36</f>
        <v>0</v>
      </c>
      <c r="D128" s="80"/>
      <c r="E128" s="74">
        <f>Calculations!B36</f>
        <v>0</v>
      </c>
      <c r="F128" s="74">
        <f>Calculations!C36</f>
        <v>0</v>
      </c>
      <c r="G128" s="74">
        <f>Calculations!D36</f>
        <v>0</v>
      </c>
      <c r="H128" s="74">
        <f>Calculations!E36</f>
        <v>0</v>
      </c>
      <c r="I128" s="74">
        <f>Calculations!F36</f>
        <v>0</v>
      </c>
      <c r="J128" s="74">
        <f>Calculations!G36</f>
        <v>0</v>
      </c>
      <c r="K128" s="74">
        <f>Calculations!H36</f>
        <v>0</v>
      </c>
    </row>
    <row r="129" spans="2:11" customFormat="1" ht="14.4">
      <c r="B129" s="143" t="s">
        <v>994</v>
      </c>
      <c r="C129" s="182">
        <f>Calculations!H37</f>
        <v>0</v>
      </c>
      <c r="D129" s="80"/>
      <c r="E129" s="74">
        <f>Calculations!B37</f>
        <v>0</v>
      </c>
      <c r="F129" s="74">
        <f>Calculations!C37</f>
        <v>0</v>
      </c>
      <c r="G129" s="74">
        <f>Calculations!D37</f>
        <v>0</v>
      </c>
      <c r="H129" s="74">
        <f>Calculations!E37</f>
        <v>0</v>
      </c>
      <c r="I129" s="74">
        <f>Calculations!F37</f>
        <v>0</v>
      </c>
      <c r="J129" s="74">
        <f>Calculations!G37</f>
        <v>0</v>
      </c>
      <c r="K129" s="74">
        <f>Calculations!H37</f>
        <v>0</v>
      </c>
    </row>
    <row r="130" spans="2:11" customFormat="1" ht="14.4">
      <c r="B130" s="143" t="s">
        <v>995</v>
      </c>
      <c r="C130" s="182">
        <f>Calculations!H38</f>
        <v>0</v>
      </c>
      <c r="D130" s="80"/>
      <c r="E130" s="74">
        <f>Calculations!B38</f>
        <v>0</v>
      </c>
      <c r="F130" s="74">
        <f>Calculations!C38</f>
        <v>0</v>
      </c>
      <c r="G130" s="74">
        <f>Calculations!D38</f>
        <v>0</v>
      </c>
      <c r="H130" s="74">
        <f>Calculations!E38</f>
        <v>0</v>
      </c>
      <c r="I130" s="74">
        <f>Calculations!F38</f>
        <v>0</v>
      </c>
      <c r="J130" s="74">
        <f>Calculations!G38</f>
        <v>0</v>
      </c>
      <c r="K130" s="74">
        <f>Calculations!H38</f>
        <v>0</v>
      </c>
    </row>
    <row r="131" spans="2:11" customFormat="1" ht="14.4">
      <c r="B131" s="143" t="s">
        <v>996</v>
      </c>
      <c r="C131" s="182">
        <f>Calculations!H39</f>
        <v>0</v>
      </c>
      <c r="D131" s="80"/>
      <c r="E131" s="74">
        <f>Calculations!B39</f>
        <v>0</v>
      </c>
      <c r="F131" s="74">
        <f>Calculations!C39</f>
        <v>0</v>
      </c>
      <c r="G131" s="74">
        <f>Calculations!D39</f>
        <v>0</v>
      </c>
      <c r="H131" s="74">
        <f>Calculations!E39</f>
        <v>0</v>
      </c>
      <c r="I131" s="74">
        <f>Calculations!F39</f>
        <v>0</v>
      </c>
      <c r="J131" s="74">
        <f>Calculations!G39</f>
        <v>0</v>
      </c>
      <c r="K131" s="74">
        <f>Calculations!H39</f>
        <v>0</v>
      </c>
    </row>
    <row r="132" spans="2:11" customFormat="1" ht="14.4">
      <c r="B132" s="143" t="s">
        <v>997</v>
      </c>
      <c r="C132" s="182">
        <f>Calculations!H40</f>
        <v>0</v>
      </c>
      <c r="D132" s="79"/>
      <c r="E132" s="74">
        <f>Calculations!B40</f>
        <v>0</v>
      </c>
      <c r="F132" s="74">
        <f>Calculations!C40</f>
        <v>0</v>
      </c>
      <c r="G132" s="74">
        <f>Calculations!D40</f>
        <v>0</v>
      </c>
      <c r="H132" s="74">
        <f>Calculations!E40</f>
        <v>0</v>
      </c>
      <c r="I132" s="74">
        <f>Calculations!F40</f>
        <v>0</v>
      </c>
      <c r="J132" s="74">
        <f>Calculations!G40</f>
        <v>0</v>
      </c>
      <c r="K132" s="74">
        <f>Calculations!H40</f>
        <v>0</v>
      </c>
    </row>
    <row r="133" spans="2:11" customFormat="1" ht="14.4">
      <c r="B133" s="144" t="s">
        <v>998</v>
      </c>
      <c r="C133" s="182">
        <f>Calculations!H41</f>
        <v>0</v>
      </c>
      <c r="D133" s="80"/>
      <c r="E133" s="74">
        <f>Calculations!B41</f>
        <v>0</v>
      </c>
      <c r="F133" s="74">
        <f>Calculations!C41</f>
        <v>0</v>
      </c>
      <c r="G133" s="74">
        <f>Calculations!D41</f>
        <v>0</v>
      </c>
      <c r="H133" s="74">
        <f>Calculations!E41</f>
        <v>0</v>
      </c>
      <c r="I133" s="74">
        <f>Calculations!F41</f>
        <v>0</v>
      </c>
      <c r="J133" s="74">
        <f>Calculations!G41</f>
        <v>0</v>
      </c>
      <c r="K133" s="74">
        <f>Calculations!H41</f>
        <v>0</v>
      </c>
    </row>
    <row r="134" spans="2:11" customFormat="1" ht="14.4">
      <c r="B134" s="143" t="s">
        <v>999</v>
      </c>
      <c r="C134" s="182">
        <f>Calculations!H43</f>
        <v>0</v>
      </c>
      <c r="D134" s="80"/>
      <c r="E134" s="139"/>
    </row>
    <row r="135" spans="2:11" customFormat="1" ht="15" customHeight="1">
      <c r="B135" s="142" t="s">
        <v>1198</v>
      </c>
      <c r="C135" s="182">
        <f>Calculations!H44</f>
        <v>0</v>
      </c>
      <c r="D135" s="79"/>
      <c r="E135" s="141"/>
    </row>
    <row r="136" spans="2:11" customFormat="1" ht="14.4">
      <c r="B136" s="1" t="s">
        <v>1001</v>
      </c>
      <c r="C136" s="182">
        <f>Calculations!H45</f>
        <v>0</v>
      </c>
      <c r="D136" s="80"/>
      <c r="E136" s="140"/>
    </row>
    <row r="137" spans="2:11" customFormat="1" ht="30" customHeight="1">
      <c r="B137" s="1" t="s">
        <v>1002</v>
      </c>
      <c r="C137" s="74"/>
      <c r="D137" s="74" t="s">
        <v>1003</v>
      </c>
      <c r="E137" s="115" t="s">
        <v>1004</v>
      </c>
    </row>
    <row r="138" spans="2:11" customFormat="1" ht="15" customHeight="1">
      <c r="B138" s="76" t="s">
        <v>1005</v>
      </c>
      <c r="D138" s="80">
        <f>Calculations!M53</f>
        <v>0</v>
      </c>
      <c r="E138" s="367" t="e">
        <f>Calculations!O53</f>
        <v>#DIV/0!</v>
      </c>
    </row>
    <row r="139" spans="2:11" customFormat="1" ht="15" customHeight="1">
      <c r="B139" s="78" t="s">
        <v>1006</v>
      </c>
      <c r="C139" s="78"/>
      <c r="D139" s="80">
        <f>Calculations!M54</f>
        <v>0</v>
      </c>
      <c r="E139" s="367" t="e">
        <f>Calculations!O54</f>
        <v>#DIV/0!</v>
      </c>
    </row>
    <row r="140" spans="2:11" customFormat="1" ht="15" customHeight="1">
      <c r="B140" s="1" t="s">
        <v>1007</v>
      </c>
      <c r="C140" s="1"/>
      <c r="D140" s="80">
        <f>Calculations!M55</f>
        <v>0</v>
      </c>
      <c r="E140" s="367" t="e">
        <f>Calculations!O55</f>
        <v>#DIV/0!</v>
      </c>
    </row>
    <row r="141" spans="2:11" customFormat="1" ht="15" customHeight="1">
      <c r="B141" s="78" t="s">
        <v>1001</v>
      </c>
      <c r="C141" s="78"/>
      <c r="D141" s="80">
        <f>Calculations!H60</f>
        <v>0</v>
      </c>
      <c r="E141" s="367" t="e">
        <f>Calculations!O49</f>
        <v>#DIV/0!</v>
      </c>
    </row>
    <row r="142" spans="2:11" customFormat="1" ht="15" customHeight="1">
      <c r="B142" s="1" t="s">
        <v>1008</v>
      </c>
      <c r="C142" s="1"/>
      <c r="D142" s="80">
        <f>Calculations!M56</f>
        <v>0</v>
      </c>
      <c r="E142" s="80"/>
    </row>
    <row r="143" spans="2:11" customFormat="1" ht="15" customHeight="1">
      <c r="D143" s="77"/>
    </row>
    <row r="144" spans="2:11" customFormat="1" ht="28.5" customHeight="1">
      <c r="C144" s="74" t="s">
        <v>882</v>
      </c>
      <c r="D144" s="74" t="s">
        <v>1003</v>
      </c>
    </row>
    <row r="145" spans="1:12" customFormat="1" ht="14.4">
      <c r="B145" s="506" t="s">
        <v>860</v>
      </c>
      <c r="C145" s="137">
        <f>Calculations!K73</f>
        <v>0</v>
      </c>
      <c r="D145" s="137">
        <f>Calculations!L73</f>
        <v>0</v>
      </c>
    </row>
    <row r="146" spans="1:12" customFormat="1" ht="28.5" customHeight="1">
      <c r="B146" s="1103" t="s">
        <v>1010</v>
      </c>
      <c r="C146" s="1103"/>
      <c r="D146" s="383">
        <f>Calculations!K74</f>
        <v>0</v>
      </c>
      <c r="H146" s="121" t="s">
        <v>1199</v>
      </c>
      <c r="I146" s="137">
        <f>Calculations!L41</f>
        <v>0</v>
      </c>
    </row>
    <row r="147" spans="1:12" customFormat="1" ht="15" customHeight="1">
      <c r="B147" s="138"/>
      <c r="D147" s="137"/>
    </row>
    <row r="148" spans="1:12" s="88" customFormat="1" ht="14.4">
      <c r="A148" s="1088" t="s">
        <v>1011</v>
      </c>
      <c r="B148" s="1088"/>
      <c r="C148" s="1088"/>
      <c r="D148" s="1088"/>
      <c r="E148" s="1088"/>
      <c r="F148" s="1088"/>
      <c r="G148" s="1088"/>
      <c r="H148" s="1088"/>
      <c r="I148" s="1088"/>
      <c r="J148" s="1088"/>
      <c r="K148" s="1088"/>
      <c r="L148" s="1088"/>
    </row>
    <row r="149" spans="1:12" s="88" customFormat="1" ht="14.4">
      <c r="A149" s="1100" t="s">
        <v>1200</v>
      </c>
      <c r="B149" s="1100"/>
      <c r="C149" s="1100"/>
      <c r="D149" s="1100"/>
      <c r="E149" s="1100"/>
      <c r="F149" s="1100"/>
      <c r="G149" s="1100"/>
      <c r="H149" s="1100"/>
      <c r="I149" s="1100"/>
      <c r="J149" s="1100"/>
      <c r="K149" s="1100"/>
      <c r="L149" s="1100"/>
    </row>
    <row r="150" spans="1:12" s="88" customFormat="1" ht="14.4"/>
    <row r="151" spans="1:12" s="88" customFormat="1" ht="45" customHeight="1">
      <c r="B151" s="115" t="s">
        <v>108</v>
      </c>
      <c r="C151" s="1201" t="s">
        <v>109</v>
      </c>
      <c r="D151" s="1201"/>
      <c r="E151" s="115" t="s">
        <v>1201</v>
      </c>
      <c r="F151" s="115" t="s">
        <v>872</v>
      </c>
      <c r="G151" s="115" t="s">
        <v>112</v>
      </c>
      <c r="H151" s="425" t="s">
        <v>1013</v>
      </c>
      <c r="I151" s="115" t="s">
        <v>1202</v>
      </c>
      <c r="K151" s="182"/>
    </row>
    <row r="152" spans="1:12" s="88" customFormat="1" ht="15" customHeight="1">
      <c r="B152" s="404">
        <f>Calculations!A890</f>
        <v>0</v>
      </c>
      <c r="C152" s="1202">
        <f>Calculations!B890</f>
        <v>0</v>
      </c>
      <c r="D152" s="1202"/>
      <c r="E152" s="471">
        <f>Calculations!C890</f>
        <v>0</v>
      </c>
      <c r="F152" s="472">
        <f>Calculations!D890</f>
        <v>0</v>
      </c>
      <c r="G152" s="402">
        <f>Calculations!E890</f>
        <v>0</v>
      </c>
      <c r="H152" s="426">
        <f>Calculations!F890</f>
        <v>0</v>
      </c>
      <c r="I152" s="402">
        <f>Calculations!G890</f>
        <v>0</v>
      </c>
      <c r="J152" s="405" t="str">
        <f>Calculations!H890</f>
        <v/>
      </c>
      <c r="K152" s="182"/>
    </row>
    <row r="153" spans="1:12" s="88" customFormat="1" ht="15" customHeight="1">
      <c r="B153" s="404">
        <f>Calculations!A891</f>
        <v>0</v>
      </c>
      <c r="C153" s="1202">
        <f>Calculations!B891</f>
        <v>0</v>
      </c>
      <c r="D153" s="1202"/>
      <c r="E153" s="403">
        <f>Calculations!C891</f>
        <v>0</v>
      </c>
      <c r="F153" s="400">
        <f>Calculations!D891</f>
        <v>0</v>
      </c>
      <c r="G153" s="402">
        <f>Calculations!E891</f>
        <v>0</v>
      </c>
      <c r="H153" s="426">
        <f>Calculations!F891</f>
        <v>0</v>
      </c>
      <c r="I153" s="402">
        <f>Calculations!G891</f>
        <v>0</v>
      </c>
      <c r="J153" s="405" t="str">
        <f>Calculations!H891</f>
        <v/>
      </c>
      <c r="K153" s="183"/>
    </row>
    <row r="154" spans="1:12" s="88" customFormat="1" ht="15" customHeight="1">
      <c r="B154" s="404">
        <f>Calculations!A892</f>
        <v>0</v>
      </c>
      <c r="C154" s="1202">
        <f>Calculations!B892</f>
        <v>0</v>
      </c>
      <c r="D154" s="1202"/>
      <c r="E154" s="403">
        <f>Calculations!C892</f>
        <v>0</v>
      </c>
      <c r="F154" s="400">
        <f>Calculations!D892</f>
        <v>0</v>
      </c>
      <c r="G154" s="402">
        <f>Calculations!E892</f>
        <v>0</v>
      </c>
      <c r="H154" s="426">
        <f>Calculations!F892</f>
        <v>0</v>
      </c>
      <c r="I154" s="402">
        <f>Calculations!G892</f>
        <v>0</v>
      </c>
      <c r="J154" s="405" t="str">
        <f>Calculations!H892</f>
        <v/>
      </c>
      <c r="K154" s="183"/>
    </row>
    <row r="155" spans="1:12" s="88" customFormat="1" ht="15" customHeight="1">
      <c r="B155" s="404">
        <f>Calculations!A893</f>
        <v>0</v>
      </c>
      <c r="C155" s="1202">
        <f>Calculations!B893</f>
        <v>0</v>
      </c>
      <c r="D155" s="1202"/>
      <c r="E155" s="403">
        <f>Calculations!C893</f>
        <v>0</v>
      </c>
      <c r="F155" s="400">
        <f>Calculations!D893</f>
        <v>0</v>
      </c>
      <c r="G155" s="402">
        <f>Calculations!E893</f>
        <v>0</v>
      </c>
      <c r="H155" s="426">
        <f>Calculations!F893</f>
        <v>0</v>
      </c>
      <c r="I155" s="402">
        <f>Calculations!G893</f>
        <v>0</v>
      </c>
      <c r="J155" s="405" t="str">
        <f>Calculations!H893</f>
        <v/>
      </c>
      <c r="K155" s="183"/>
    </row>
    <row r="156" spans="1:12" s="88" customFormat="1" ht="15" customHeight="1">
      <c r="B156" s="404">
        <f>Calculations!A894</f>
        <v>0</v>
      </c>
      <c r="C156" s="1202">
        <f>Calculations!B894</f>
        <v>0</v>
      </c>
      <c r="D156" s="1202"/>
      <c r="E156" s="403">
        <f>Calculations!C894</f>
        <v>0</v>
      </c>
      <c r="F156" s="400">
        <f>Calculations!D894</f>
        <v>0</v>
      </c>
      <c r="G156" s="402">
        <f>Calculations!E894</f>
        <v>0</v>
      </c>
      <c r="H156" s="426">
        <f>Calculations!F894</f>
        <v>0</v>
      </c>
      <c r="I156" s="402">
        <f>Calculations!G894</f>
        <v>0</v>
      </c>
      <c r="J156" s="405" t="str">
        <f>Calculations!H894</f>
        <v/>
      </c>
      <c r="K156" s="183"/>
    </row>
    <row r="157" spans="1:12" s="88" customFormat="1" ht="15" customHeight="1">
      <c r="B157" s="404">
        <f>Calculations!A895</f>
        <v>0</v>
      </c>
      <c r="C157" s="1202">
        <f>Calculations!B895</f>
        <v>0</v>
      </c>
      <c r="D157" s="1202"/>
      <c r="E157" s="471">
        <f>Calculations!C895</f>
        <v>0</v>
      </c>
      <c r="F157" s="472">
        <f>Calculations!D895</f>
        <v>0</v>
      </c>
      <c r="G157" s="402">
        <f>Calculations!E895</f>
        <v>0</v>
      </c>
      <c r="H157" s="426">
        <f>Calculations!F895</f>
        <v>0</v>
      </c>
      <c r="I157" s="402">
        <f>Calculations!G895</f>
        <v>0</v>
      </c>
      <c r="J157" s="405" t="str">
        <f>Calculations!H895</f>
        <v/>
      </c>
      <c r="K157" s="473"/>
    </row>
    <row r="158" spans="1:12" s="88" customFormat="1" ht="15" customHeight="1">
      <c r="B158" s="404">
        <f>Calculations!A896</f>
        <v>0</v>
      </c>
      <c r="C158" s="1202">
        <f>Calculations!B896</f>
        <v>0</v>
      </c>
      <c r="D158" s="1202"/>
      <c r="E158" s="471">
        <f>Calculations!C896</f>
        <v>0</v>
      </c>
      <c r="F158" s="472">
        <f>Calculations!D896</f>
        <v>0</v>
      </c>
      <c r="G158" s="402">
        <f>Calculations!E896</f>
        <v>0</v>
      </c>
      <c r="H158" s="426">
        <f>Calculations!F896</f>
        <v>0</v>
      </c>
      <c r="I158" s="402">
        <f>Calculations!G896</f>
        <v>0</v>
      </c>
      <c r="J158" s="405" t="str">
        <f>Calculations!H896</f>
        <v/>
      </c>
      <c r="K158" s="473"/>
    </row>
    <row r="159" spans="1:12" s="88" customFormat="1" ht="15" customHeight="1">
      <c r="B159" s="404">
        <f>Calculations!A897</f>
        <v>0</v>
      </c>
      <c r="C159" s="1202">
        <f>Calculations!B897</f>
        <v>0</v>
      </c>
      <c r="D159" s="1202"/>
      <c r="E159" s="403">
        <f>Calculations!C897</f>
        <v>0</v>
      </c>
      <c r="F159" s="400">
        <f>Calculations!D897</f>
        <v>0</v>
      </c>
      <c r="G159" s="402">
        <f>Calculations!E897</f>
        <v>0</v>
      </c>
      <c r="H159" s="426">
        <f>Calculations!F897</f>
        <v>0</v>
      </c>
      <c r="I159" s="402">
        <f>Calculations!G897</f>
        <v>0</v>
      </c>
      <c r="J159" s="405" t="str">
        <f>Calculations!H897</f>
        <v/>
      </c>
      <c r="K159" s="183"/>
    </row>
    <row r="160" spans="1:12" s="88" customFormat="1" ht="15" customHeight="1">
      <c r="B160" s="404">
        <f>Calculations!A898</f>
        <v>0</v>
      </c>
      <c r="C160" s="1202">
        <f>Calculations!B898</f>
        <v>0</v>
      </c>
      <c r="D160" s="1202"/>
      <c r="E160" s="403">
        <f>Calculations!C898</f>
        <v>0</v>
      </c>
      <c r="F160" s="400">
        <f>Calculations!D898</f>
        <v>0</v>
      </c>
      <c r="G160" s="402">
        <f>Calculations!E898</f>
        <v>0</v>
      </c>
      <c r="H160" s="426">
        <f>Calculations!F898</f>
        <v>0</v>
      </c>
      <c r="I160" s="402">
        <f>Calculations!G898</f>
        <v>0</v>
      </c>
      <c r="J160" s="405" t="str">
        <f>Calculations!H898</f>
        <v/>
      </c>
    </row>
    <row r="161" spans="2:19" s="88" customFormat="1" ht="15" customHeight="1">
      <c r="B161" s="404">
        <f>Calculations!A899</f>
        <v>0</v>
      </c>
      <c r="C161" s="1202">
        <f>Calculations!B899</f>
        <v>0</v>
      </c>
      <c r="D161" s="1202"/>
      <c r="E161" s="403">
        <f>Calculations!C899</f>
        <v>0</v>
      </c>
      <c r="F161" s="400">
        <f>Calculations!D899</f>
        <v>0</v>
      </c>
      <c r="G161" s="402">
        <f>Calculations!E899</f>
        <v>0</v>
      </c>
      <c r="H161" s="426">
        <f>Calculations!F899</f>
        <v>0</v>
      </c>
      <c r="I161" s="402">
        <f>Calculations!G899</f>
        <v>0</v>
      </c>
      <c r="J161" s="405" t="str">
        <f>Calculations!H899</f>
        <v/>
      </c>
    </row>
    <row r="162" spans="2:19" s="88" customFormat="1" ht="15" customHeight="1">
      <c r="B162" s="404">
        <f>Calculations!A900</f>
        <v>0</v>
      </c>
      <c r="C162" s="1202">
        <f>Calculations!B900</f>
        <v>0</v>
      </c>
      <c r="D162" s="1202"/>
      <c r="E162" s="403">
        <f>Calculations!C900</f>
        <v>0</v>
      </c>
      <c r="F162" s="400">
        <f>Calculations!D900</f>
        <v>0</v>
      </c>
      <c r="G162" s="402">
        <f>Calculations!E900</f>
        <v>0</v>
      </c>
      <c r="H162" s="426">
        <f>Calculations!F900</f>
        <v>0</v>
      </c>
      <c r="I162" s="402">
        <f>Calculations!G900</f>
        <v>0</v>
      </c>
      <c r="J162" s="405" t="str">
        <f>Calculations!H900</f>
        <v/>
      </c>
      <c r="K162" s="183"/>
    </row>
    <row r="163" spans="2:19" s="88" customFormat="1" ht="14.4">
      <c r="B163" s="404">
        <f>Calculations!A901</f>
        <v>0</v>
      </c>
      <c r="C163" s="1202">
        <f>Calculations!B901</f>
        <v>0</v>
      </c>
      <c r="D163" s="1202"/>
      <c r="E163" s="403">
        <f>Calculations!C901</f>
        <v>0</v>
      </c>
      <c r="F163" s="400">
        <f>Calculations!D901</f>
        <v>0</v>
      </c>
      <c r="G163" s="402">
        <f>Calculations!E901</f>
        <v>0</v>
      </c>
      <c r="H163" s="426">
        <f>Calculations!F901</f>
        <v>0</v>
      </c>
      <c r="I163" s="402">
        <f>Calculations!G901</f>
        <v>0</v>
      </c>
      <c r="J163" s="405" t="str">
        <f>Calculations!H901</f>
        <v/>
      </c>
      <c r="K163" s="183"/>
    </row>
    <row r="164" spans="2:19" s="88" customFormat="1" ht="14.4">
      <c r="B164" s="404">
        <f>Calculations!A902</f>
        <v>0</v>
      </c>
      <c r="C164" s="1202">
        <f>Calculations!B902</f>
        <v>0</v>
      </c>
      <c r="D164" s="1202"/>
      <c r="E164" s="403">
        <f>Calculations!C902</f>
        <v>0</v>
      </c>
      <c r="F164" s="400">
        <f>Calculations!D902</f>
        <v>0</v>
      </c>
      <c r="G164" s="402">
        <f>Calculations!E902</f>
        <v>0</v>
      </c>
      <c r="H164" s="426">
        <f>Calculations!F902</f>
        <v>0</v>
      </c>
      <c r="I164" s="402">
        <f>Calculations!G902</f>
        <v>0</v>
      </c>
      <c r="J164" s="405" t="str">
        <f>Calculations!H902</f>
        <v/>
      </c>
    </row>
    <row r="165" spans="2:19" ht="14.4">
      <c r="B165" s="404">
        <f>Calculations!A903</f>
        <v>0</v>
      </c>
      <c r="C165" s="1202">
        <f>Calculations!B903</f>
        <v>0</v>
      </c>
      <c r="D165" s="1202"/>
      <c r="E165" s="403">
        <f>Calculations!C903</f>
        <v>0</v>
      </c>
      <c r="F165" s="400">
        <f>Calculations!D903</f>
        <v>0</v>
      </c>
      <c r="G165" s="402">
        <f>Calculations!E903</f>
        <v>0</v>
      </c>
      <c r="H165" s="426">
        <f>Calculations!F903</f>
        <v>0</v>
      </c>
      <c r="I165" s="402">
        <f>Calculations!G903</f>
        <v>0</v>
      </c>
      <c r="J165" s="405" t="str">
        <f>Calculations!H903</f>
        <v/>
      </c>
      <c r="K165" s="242"/>
      <c r="L165" s="242"/>
      <c r="M165" s="242"/>
      <c r="N165" s="242"/>
      <c r="O165" s="242"/>
      <c r="P165" s="242"/>
      <c r="Q165" s="242"/>
      <c r="R165" s="242"/>
      <c r="S165" s="242"/>
    </row>
    <row r="166" spans="2:19" ht="14.4">
      <c r="B166" s="404">
        <f>Calculations!A904</f>
        <v>0</v>
      </c>
      <c r="C166" s="1202">
        <f>Calculations!B904</f>
        <v>0</v>
      </c>
      <c r="D166" s="1202"/>
      <c r="E166" s="403">
        <f>Calculations!C904</f>
        <v>0</v>
      </c>
      <c r="F166" s="400">
        <f>Calculations!D904</f>
        <v>0</v>
      </c>
      <c r="G166" s="402">
        <f>Calculations!E904</f>
        <v>0</v>
      </c>
      <c r="H166" s="426">
        <f>Calculations!F904</f>
        <v>0</v>
      </c>
      <c r="I166" s="402">
        <f>Calculations!G904</f>
        <v>0</v>
      </c>
      <c r="J166" s="405" t="str">
        <f>Calculations!H904</f>
        <v/>
      </c>
      <c r="K166" s="242"/>
      <c r="L166" s="242"/>
      <c r="M166" s="242"/>
      <c r="N166" s="242"/>
      <c r="O166" s="242"/>
      <c r="P166" s="242"/>
      <c r="Q166" s="242"/>
      <c r="R166" s="242"/>
      <c r="S166" s="242"/>
    </row>
    <row r="167" spans="2:19" ht="14.4">
      <c r="B167" s="404">
        <f>Calculations!A905</f>
        <v>0</v>
      </c>
      <c r="C167" s="1202">
        <f>Calculations!B905</f>
        <v>0</v>
      </c>
      <c r="D167" s="1202"/>
      <c r="E167" s="403">
        <f>Calculations!C905</f>
        <v>0</v>
      </c>
      <c r="F167" s="400">
        <f>Calculations!D905</f>
        <v>0</v>
      </c>
      <c r="G167" s="402">
        <f>Calculations!E905</f>
        <v>0</v>
      </c>
      <c r="H167" s="426">
        <f>Calculations!F905</f>
        <v>0</v>
      </c>
      <c r="I167" s="402">
        <f>Calculations!G905</f>
        <v>0</v>
      </c>
      <c r="J167" s="405" t="str">
        <f>Calculations!H905</f>
        <v/>
      </c>
      <c r="K167" s="242"/>
      <c r="L167" s="242"/>
      <c r="M167" s="242"/>
      <c r="N167" s="242"/>
      <c r="O167" s="242"/>
      <c r="P167" s="242"/>
      <c r="Q167" s="242"/>
      <c r="R167" s="242"/>
      <c r="S167" s="242"/>
    </row>
    <row r="168" spans="2:19" ht="14.4">
      <c r="B168" s="404">
        <f>Calculations!A906</f>
        <v>0</v>
      </c>
      <c r="C168" s="1202">
        <f>Calculations!B906</f>
        <v>0</v>
      </c>
      <c r="D168" s="1202"/>
      <c r="E168" s="403">
        <f>Calculations!C906</f>
        <v>0</v>
      </c>
      <c r="F168" s="400">
        <f>Calculations!D906</f>
        <v>0</v>
      </c>
      <c r="G168" s="402">
        <f>Calculations!E906</f>
        <v>0</v>
      </c>
      <c r="H168" s="426">
        <f>Calculations!F906</f>
        <v>0</v>
      </c>
      <c r="I168" s="402">
        <f>Calculations!G906</f>
        <v>0</v>
      </c>
      <c r="J168" s="405" t="str">
        <f>Calculations!H906</f>
        <v/>
      </c>
      <c r="K168" s="242"/>
      <c r="L168" s="242"/>
      <c r="M168" s="242"/>
      <c r="N168" s="242"/>
      <c r="O168" s="242"/>
      <c r="P168" s="242"/>
      <c r="Q168" s="242"/>
      <c r="R168" s="242"/>
      <c r="S168" s="242"/>
    </row>
    <row r="169" spans="2:19" ht="14.4">
      <c r="B169" s="404">
        <f>Calculations!A907</f>
        <v>0</v>
      </c>
      <c r="C169" s="1202">
        <f>Calculations!B907</f>
        <v>0</v>
      </c>
      <c r="D169" s="1202"/>
      <c r="E169" s="403">
        <f>Calculations!C907</f>
        <v>0</v>
      </c>
      <c r="F169" s="400">
        <f>Calculations!D907</f>
        <v>0</v>
      </c>
      <c r="G169" s="402">
        <f>Calculations!E907</f>
        <v>0</v>
      </c>
      <c r="H169" s="426">
        <f>Calculations!F907</f>
        <v>0</v>
      </c>
      <c r="I169" s="402">
        <f>Calculations!G907</f>
        <v>0</v>
      </c>
      <c r="J169" s="405" t="str">
        <f>Calculations!H907</f>
        <v/>
      </c>
      <c r="K169" s="242"/>
      <c r="L169" s="242"/>
      <c r="M169" s="242"/>
      <c r="N169" s="242"/>
      <c r="O169" s="242"/>
      <c r="P169" s="242"/>
      <c r="Q169" s="242"/>
      <c r="R169" s="242"/>
      <c r="S169" s="242"/>
    </row>
    <row r="170" spans="2:19" ht="14.4">
      <c r="B170" s="404">
        <f>Calculations!A908</f>
        <v>0</v>
      </c>
      <c r="C170" s="1202">
        <f>Calculations!B908</f>
        <v>0</v>
      </c>
      <c r="D170" s="1202"/>
      <c r="E170" s="403">
        <f>Calculations!C908</f>
        <v>0</v>
      </c>
      <c r="F170" s="400">
        <f>Calculations!D908</f>
        <v>0</v>
      </c>
      <c r="G170" s="402">
        <f>Calculations!E908</f>
        <v>0</v>
      </c>
      <c r="H170" s="426">
        <f>Calculations!F908</f>
        <v>0</v>
      </c>
      <c r="I170" s="402">
        <f>Calculations!G908</f>
        <v>0</v>
      </c>
      <c r="J170" s="405" t="str">
        <f>Calculations!H908</f>
        <v/>
      </c>
      <c r="K170" s="242"/>
      <c r="L170" s="242"/>
      <c r="M170" s="242"/>
      <c r="N170" s="242"/>
      <c r="O170" s="242"/>
      <c r="P170" s="242"/>
      <c r="Q170" s="242"/>
      <c r="R170" s="242"/>
      <c r="S170" s="242"/>
    </row>
    <row r="171" spans="2:19" ht="14.4">
      <c r="B171" s="404">
        <f>Calculations!A909</f>
        <v>0</v>
      </c>
      <c r="C171" s="1202">
        <f>Calculations!B909</f>
        <v>0</v>
      </c>
      <c r="D171" s="1202"/>
      <c r="E171" s="403">
        <f>Calculations!C909</f>
        <v>0</v>
      </c>
      <c r="F171" s="400">
        <f>Calculations!D909</f>
        <v>0</v>
      </c>
      <c r="G171" s="402">
        <f>Calculations!E909</f>
        <v>0</v>
      </c>
      <c r="H171" s="426">
        <f>Calculations!F909</f>
        <v>0</v>
      </c>
      <c r="I171" s="402">
        <f>Calculations!G909</f>
        <v>0</v>
      </c>
      <c r="J171" s="405" t="str">
        <f>Calculations!H909</f>
        <v/>
      </c>
      <c r="K171" s="242"/>
      <c r="L171" s="242"/>
      <c r="M171" s="242"/>
      <c r="N171" s="242"/>
      <c r="O171" s="242"/>
      <c r="P171" s="242"/>
      <c r="Q171" s="242"/>
      <c r="R171" s="242"/>
      <c r="S171" s="242"/>
    </row>
    <row r="172" spans="2:19" ht="14.4">
      <c r="B172" s="404">
        <f>Calculations!A910</f>
        <v>0</v>
      </c>
      <c r="C172" s="1202">
        <f>Calculations!B910</f>
        <v>0</v>
      </c>
      <c r="D172" s="1202"/>
      <c r="E172" s="403">
        <f>Calculations!C910</f>
        <v>0</v>
      </c>
      <c r="F172" s="400">
        <f>Calculations!D910</f>
        <v>0</v>
      </c>
      <c r="G172" s="402">
        <f>Calculations!E910</f>
        <v>0</v>
      </c>
      <c r="H172" s="426">
        <f>Calculations!F910</f>
        <v>0</v>
      </c>
      <c r="I172" s="402">
        <f>Calculations!G910</f>
        <v>0</v>
      </c>
      <c r="J172" s="405" t="str">
        <f>Calculations!H910</f>
        <v/>
      </c>
      <c r="K172" s="242"/>
      <c r="L172" s="242"/>
      <c r="M172" s="242"/>
      <c r="N172" s="242"/>
      <c r="O172" s="242"/>
      <c r="P172" s="242"/>
      <c r="Q172" s="242"/>
      <c r="R172" s="242"/>
      <c r="S172" s="242"/>
    </row>
    <row r="173" spans="2:19" ht="14.4">
      <c r="B173" s="404">
        <f>Calculations!A911</f>
        <v>0</v>
      </c>
      <c r="C173" s="1202">
        <f>Calculations!B911</f>
        <v>0</v>
      </c>
      <c r="D173" s="1202"/>
      <c r="E173" s="403">
        <f>Calculations!C911</f>
        <v>0</v>
      </c>
      <c r="F173" s="400">
        <f>Calculations!D911</f>
        <v>0</v>
      </c>
      <c r="G173" s="402">
        <f>Calculations!E911</f>
        <v>0</v>
      </c>
      <c r="H173" s="426">
        <f>Calculations!F911</f>
        <v>0</v>
      </c>
      <c r="I173" s="402">
        <f>Calculations!G911</f>
        <v>0</v>
      </c>
      <c r="J173" s="405" t="str">
        <f>Calculations!H911</f>
        <v/>
      </c>
      <c r="K173" s="242"/>
      <c r="L173" s="242"/>
      <c r="M173" s="242"/>
      <c r="N173" s="242"/>
      <c r="O173" s="242"/>
      <c r="P173" s="242"/>
      <c r="Q173" s="242"/>
      <c r="R173" s="242"/>
      <c r="S173" s="242"/>
    </row>
    <row r="174" spans="2:19" ht="14.4">
      <c r="B174" s="404">
        <f>Calculations!A912</f>
        <v>0</v>
      </c>
      <c r="C174" s="1202">
        <f>Calculations!B912</f>
        <v>0</v>
      </c>
      <c r="D174" s="1202"/>
      <c r="E174" s="403">
        <f>Calculations!C912</f>
        <v>0</v>
      </c>
      <c r="F174" s="400">
        <f>Calculations!D912</f>
        <v>0</v>
      </c>
      <c r="G174" s="402">
        <f>Calculations!E912</f>
        <v>0</v>
      </c>
      <c r="H174" s="426">
        <f>Calculations!F912</f>
        <v>0</v>
      </c>
      <c r="I174" s="402">
        <f>Calculations!G912</f>
        <v>0</v>
      </c>
      <c r="J174" s="405" t="str">
        <f>Calculations!H912</f>
        <v/>
      </c>
      <c r="K174" s="242"/>
      <c r="L174" s="242"/>
      <c r="M174" s="242"/>
      <c r="N174" s="242"/>
      <c r="O174" s="242"/>
      <c r="P174" s="242"/>
      <c r="Q174" s="242"/>
      <c r="R174" s="242"/>
      <c r="S174" s="242"/>
    </row>
    <row r="175" spans="2:19" ht="14.4">
      <c r="B175" s="404">
        <f>Calculations!A913</f>
        <v>0</v>
      </c>
      <c r="C175" s="1202">
        <f>Calculations!B913</f>
        <v>0</v>
      </c>
      <c r="D175" s="1202"/>
      <c r="E175" s="403">
        <f>Calculations!C913</f>
        <v>0</v>
      </c>
      <c r="F175" s="400">
        <f>Calculations!D913</f>
        <v>0</v>
      </c>
      <c r="G175" s="402">
        <f>Calculations!E913</f>
        <v>0</v>
      </c>
      <c r="H175" s="426">
        <f>Calculations!F913</f>
        <v>0</v>
      </c>
      <c r="I175" s="402">
        <f>Calculations!G913</f>
        <v>0</v>
      </c>
      <c r="J175" s="405" t="str">
        <f>Calculations!H913</f>
        <v/>
      </c>
      <c r="K175" s="242"/>
      <c r="L175" s="242"/>
      <c r="M175" s="242"/>
      <c r="N175" s="242"/>
      <c r="O175" s="242"/>
      <c r="P175" s="242"/>
      <c r="Q175" s="242"/>
      <c r="R175" s="242"/>
      <c r="S175" s="242"/>
    </row>
    <row r="176" spans="2:19" ht="14.4">
      <c r="B176" s="404">
        <f>Calculations!A914</f>
        <v>0</v>
      </c>
      <c r="C176" s="1202">
        <f>Calculations!B914</f>
        <v>0</v>
      </c>
      <c r="D176" s="1202"/>
      <c r="E176" s="403">
        <f>Calculations!C914</f>
        <v>0</v>
      </c>
      <c r="F176" s="400">
        <f>Calculations!D914</f>
        <v>0</v>
      </c>
      <c r="G176" s="402">
        <f>Calculations!E914</f>
        <v>0</v>
      </c>
      <c r="H176" s="426">
        <f>Calculations!F914</f>
        <v>0</v>
      </c>
      <c r="I176" s="402">
        <f>Calculations!G914</f>
        <v>0</v>
      </c>
      <c r="J176" s="405" t="str">
        <f>Calculations!H914</f>
        <v/>
      </c>
      <c r="K176" s="242"/>
      <c r="L176" s="242"/>
      <c r="M176" s="242"/>
      <c r="N176" s="242"/>
      <c r="O176" s="242"/>
      <c r="P176" s="242"/>
      <c r="Q176" s="242"/>
      <c r="R176" s="242"/>
      <c r="S176" s="242"/>
    </row>
    <row r="177" spans="2:19" ht="14.4">
      <c r="B177" s="404">
        <f>Calculations!A915</f>
        <v>0</v>
      </c>
      <c r="C177" s="1202">
        <f>Calculations!B915</f>
        <v>0</v>
      </c>
      <c r="D177" s="1202"/>
      <c r="E177" s="403">
        <f>Calculations!C915</f>
        <v>0</v>
      </c>
      <c r="F177" s="400">
        <f>Calculations!D915</f>
        <v>0</v>
      </c>
      <c r="G177" s="402">
        <f>Calculations!E915</f>
        <v>0</v>
      </c>
      <c r="H177" s="426">
        <f>Calculations!F915</f>
        <v>0</v>
      </c>
      <c r="I177" s="402">
        <f>Calculations!G915</f>
        <v>0</v>
      </c>
      <c r="J177" s="405" t="str">
        <f>Calculations!H915</f>
        <v/>
      </c>
      <c r="K177" s="242"/>
      <c r="L177" s="242"/>
      <c r="M177" s="242"/>
      <c r="N177" s="242"/>
      <c r="O177" s="242"/>
      <c r="P177" s="242"/>
      <c r="Q177" s="242"/>
      <c r="R177" s="242"/>
      <c r="S177" s="242"/>
    </row>
    <row r="178" spans="2:19" ht="15" customHeight="1">
      <c r="B178" s="404">
        <f>Calculations!A916</f>
        <v>0</v>
      </c>
      <c r="C178" s="1202">
        <f>Calculations!B916</f>
        <v>0</v>
      </c>
      <c r="D178" s="1202"/>
      <c r="E178" s="403">
        <f>Calculations!C916</f>
        <v>0</v>
      </c>
      <c r="F178" s="400">
        <f>Calculations!D916</f>
        <v>0</v>
      </c>
      <c r="G178" s="402">
        <f>Calculations!E916</f>
        <v>0</v>
      </c>
      <c r="H178" s="426">
        <f>Calculations!F916</f>
        <v>0</v>
      </c>
      <c r="I178" s="402">
        <f>Calculations!G916</f>
        <v>0</v>
      </c>
      <c r="J178" s="405" t="str">
        <f>Calculations!H916</f>
        <v/>
      </c>
      <c r="K178" s="242"/>
      <c r="L178" s="242"/>
      <c r="M178" s="242"/>
      <c r="N178" s="242"/>
      <c r="O178" s="242"/>
      <c r="P178" s="242"/>
      <c r="Q178" s="242"/>
      <c r="R178" s="242"/>
      <c r="S178" s="242"/>
    </row>
    <row r="179" spans="2:19" s="88" customFormat="1" ht="14.4">
      <c r="B179" s="404">
        <f>Calculations!A917</f>
        <v>0</v>
      </c>
      <c r="C179" s="1202">
        <f>Calculations!B917</f>
        <v>0</v>
      </c>
      <c r="D179" s="1202"/>
      <c r="E179" s="403">
        <f>Calculations!C917</f>
        <v>0</v>
      </c>
      <c r="F179" s="400">
        <f>Calculations!D917</f>
        <v>0</v>
      </c>
      <c r="G179" s="402">
        <f>Calculations!E917</f>
        <v>0</v>
      </c>
      <c r="H179" s="402">
        <f>Calculations!F917</f>
        <v>0</v>
      </c>
      <c r="I179" s="402">
        <f>Calculations!G917</f>
        <v>0</v>
      </c>
      <c r="J179" s="405" t="str">
        <f>Calculations!H917</f>
        <v/>
      </c>
    </row>
    <row r="180" spans="2:19" ht="14.4">
      <c r="B180" s="404">
        <f>Calculations!A918</f>
        <v>0</v>
      </c>
      <c r="C180" s="1202">
        <f>Calculations!B918</f>
        <v>0</v>
      </c>
      <c r="D180" s="1202"/>
      <c r="E180" s="403">
        <f>Calculations!C918</f>
        <v>0</v>
      </c>
      <c r="F180" s="400">
        <f>Calculations!D918</f>
        <v>0</v>
      </c>
      <c r="G180" s="402">
        <f>Calculations!E918</f>
        <v>0</v>
      </c>
      <c r="H180" s="402">
        <f>Calculations!F918</f>
        <v>0</v>
      </c>
      <c r="I180" s="402">
        <f>Calculations!G918</f>
        <v>0</v>
      </c>
      <c r="J180" s="405" t="str">
        <f>Calculations!H918</f>
        <v/>
      </c>
    </row>
    <row r="181" spans="2:19" s="88" customFormat="1" ht="14.4">
      <c r="B181" s="404">
        <f>Calculations!A919</f>
        <v>0</v>
      </c>
      <c r="C181" s="1202">
        <f>Calculations!B919</f>
        <v>0</v>
      </c>
      <c r="D181" s="1202"/>
      <c r="E181" s="403">
        <f>Calculations!C919</f>
        <v>0</v>
      </c>
      <c r="F181" s="400">
        <f>Calculations!D919</f>
        <v>0</v>
      </c>
      <c r="G181" s="402">
        <f>Calculations!E919</f>
        <v>0</v>
      </c>
      <c r="H181" s="402">
        <f>Calculations!F919</f>
        <v>0</v>
      </c>
      <c r="I181" s="402">
        <f>Calculations!G919</f>
        <v>0</v>
      </c>
      <c r="J181" s="405" t="str">
        <f>Calculations!H919</f>
        <v/>
      </c>
    </row>
    <row r="182" spans="2:19" s="88" customFormat="1" ht="14.4">
      <c r="B182" s="404">
        <f>Calculations!A920</f>
        <v>0</v>
      </c>
      <c r="C182" s="1202">
        <f>Calculations!B920</f>
        <v>0</v>
      </c>
      <c r="D182" s="1202"/>
      <c r="E182" s="403">
        <f>Calculations!C920</f>
        <v>0</v>
      </c>
      <c r="F182" s="400">
        <f>Calculations!D920</f>
        <v>0</v>
      </c>
      <c r="G182" s="402">
        <f>Calculations!E920</f>
        <v>0</v>
      </c>
      <c r="H182" s="402">
        <f>Calculations!F920</f>
        <v>0</v>
      </c>
      <c r="I182" s="402">
        <f>Calculations!G920</f>
        <v>0</v>
      </c>
      <c r="J182" s="405" t="str">
        <f>Calculations!H920</f>
        <v/>
      </c>
    </row>
    <row r="183" spans="2:19" s="88" customFormat="1" ht="14.4">
      <c r="B183" s="404">
        <f>Calculations!A921</f>
        <v>0</v>
      </c>
      <c r="C183" s="1202">
        <f>Calculations!B921</f>
        <v>0</v>
      </c>
      <c r="D183" s="1202"/>
      <c r="E183" s="403">
        <f>Calculations!C921</f>
        <v>0</v>
      </c>
      <c r="F183" s="400">
        <f>Calculations!D921</f>
        <v>0</v>
      </c>
      <c r="G183" s="402">
        <f>Calculations!E921</f>
        <v>0</v>
      </c>
      <c r="H183" s="402">
        <f>Calculations!F921</f>
        <v>0</v>
      </c>
      <c r="I183" s="402">
        <f>Calculations!G921</f>
        <v>0</v>
      </c>
      <c r="J183" s="405" t="str">
        <f>Calculations!H921</f>
        <v/>
      </c>
    </row>
    <row r="184" spans="2:19" s="88" customFormat="1" ht="14.4">
      <c r="B184" s="404">
        <f>Calculations!A922</f>
        <v>0</v>
      </c>
      <c r="C184" s="1202">
        <f>Calculations!B922</f>
        <v>0</v>
      </c>
      <c r="D184" s="1202"/>
      <c r="E184" s="403">
        <f>Calculations!C922</f>
        <v>0</v>
      </c>
      <c r="F184" s="400">
        <f>Calculations!D922</f>
        <v>0</v>
      </c>
      <c r="G184" s="402">
        <f>Calculations!E922</f>
        <v>0</v>
      </c>
      <c r="H184" s="402">
        <f>Calculations!F922</f>
        <v>0</v>
      </c>
      <c r="I184" s="402">
        <f>Calculations!G922</f>
        <v>0</v>
      </c>
      <c r="J184" s="405" t="str">
        <f>Calculations!H922</f>
        <v/>
      </c>
    </row>
    <row r="185" spans="2:19" s="88" customFormat="1" ht="14.4">
      <c r="B185" s="404">
        <f>Calculations!A923</f>
        <v>0</v>
      </c>
      <c r="C185" s="1202">
        <f>Calculations!B923</f>
        <v>0</v>
      </c>
      <c r="D185" s="1202"/>
      <c r="E185" s="403">
        <f>Calculations!C923</f>
        <v>0</v>
      </c>
      <c r="F185" s="400">
        <f>Calculations!D923</f>
        <v>0</v>
      </c>
      <c r="G185" s="402">
        <f>Calculations!E923</f>
        <v>0</v>
      </c>
      <c r="H185" s="402">
        <f>Calculations!F923</f>
        <v>0</v>
      </c>
      <c r="I185" s="402">
        <f>Calculations!G923</f>
        <v>0</v>
      </c>
      <c r="J185" s="405" t="str">
        <f>Calculations!H923</f>
        <v/>
      </c>
    </row>
    <row r="186" spans="2:19" s="88" customFormat="1" ht="14.4">
      <c r="B186" s="404">
        <f>Calculations!A924</f>
        <v>0</v>
      </c>
      <c r="C186" s="1202">
        <f>Calculations!B924</f>
        <v>0</v>
      </c>
      <c r="D186" s="1202"/>
      <c r="E186" s="403">
        <f>Calculations!C924</f>
        <v>0</v>
      </c>
      <c r="F186" s="400">
        <f>Calculations!D924</f>
        <v>0</v>
      </c>
      <c r="G186" s="402">
        <f>Calculations!E924</f>
        <v>0</v>
      </c>
      <c r="H186" s="402">
        <f>Calculations!F924</f>
        <v>0</v>
      </c>
      <c r="I186" s="402">
        <f>Calculations!G924</f>
        <v>0</v>
      </c>
      <c r="J186" s="405" t="str">
        <f>Calculations!H924</f>
        <v/>
      </c>
    </row>
    <row r="187" spans="2:19" s="88" customFormat="1" ht="14.4">
      <c r="B187" s="404">
        <f>Calculations!A925</f>
        <v>0</v>
      </c>
      <c r="C187" s="1202">
        <f>Calculations!B925</f>
        <v>0</v>
      </c>
      <c r="D187" s="1202"/>
      <c r="E187" s="403">
        <f>Calculations!C925</f>
        <v>0</v>
      </c>
      <c r="F187" s="400">
        <f>Calculations!D925</f>
        <v>0</v>
      </c>
      <c r="G187" s="402">
        <f>Calculations!E925</f>
        <v>0</v>
      </c>
      <c r="H187" s="402">
        <f>Calculations!F925</f>
        <v>0</v>
      </c>
      <c r="I187" s="402">
        <f>Calculations!G925</f>
        <v>0</v>
      </c>
      <c r="J187" s="405" t="str">
        <f>Calculations!H925</f>
        <v/>
      </c>
    </row>
    <row r="188" spans="2:19" s="88" customFormat="1" ht="14.4">
      <c r="B188" s="404">
        <f>Calculations!A926</f>
        <v>0</v>
      </c>
      <c r="C188" s="1202">
        <f>Calculations!B926</f>
        <v>0</v>
      </c>
      <c r="D188" s="1202"/>
      <c r="E188" s="403">
        <f>Calculations!C926</f>
        <v>0</v>
      </c>
      <c r="F188" s="400">
        <f>Calculations!D926</f>
        <v>0</v>
      </c>
      <c r="G188" s="402">
        <f>Calculations!E926</f>
        <v>0</v>
      </c>
      <c r="H188" s="402">
        <f>Calculations!F926</f>
        <v>0</v>
      </c>
      <c r="I188" s="402">
        <f>Calculations!G926</f>
        <v>0</v>
      </c>
      <c r="J188" s="405" t="str">
        <f>Calculations!H926</f>
        <v/>
      </c>
    </row>
    <row r="189" spans="2:19" s="88" customFormat="1" ht="14.4">
      <c r="B189" s="404">
        <f>Calculations!A927</f>
        <v>0</v>
      </c>
      <c r="C189" s="1202">
        <f>Calculations!B927</f>
        <v>0</v>
      </c>
      <c r="D189" s="1202"/>
      <c r="E189" s="403">
        <f>Calculations!C927</f>
        <v>0</v>
      </c>
      <c r="F189" s="400">
        <f>Calculations!D927</f>
        <v>0</v>
      </c>
      <c r="G189" s="402">
        <f>Calculations!E927</f>
        <v>0</v>
      </c>
      <c r="H189" s="402">
        <f>Calculations!F927</f>
        <v>0</v>
      </c>
      <c r="I189" s="402">
        <f>Calculations!G927</f>
        <v>0</v>
      </c>
      <c r="J189" s="405" t="str">
        <f>Calculations!H927</f>
        <v/>
      </c>
    </row>
    <row r="190" spans="2:19" s="88" customFormat="1" ht="14.4">
      <c r="B190" s="404">
        <f>Calculations!A928</f>
        <v>0</v>
      </c>
      <c r="C190" s="1202">
        <f>Calculations!B928</f>
        <v>0</v>
      </c>
      <c r="D190" s="1202"/>
      <c r="E190" s="403">
        <f>Calculations!C928</f>
        <v>0</v>
      </c>
      <c r="F190" s="400">
        <f>Calculations!D928</f>
        <v>0</v>
      </c>
      <c r="G190" s="402">
        <f>Calculations!E928</f>
        <v>0</v>
      </c>
      <c r="H190" s="402">
        <f>Calculations!F928</f>
        <v>0</v>
      </c>
      <c r="I190" s="402">
        <f>Calculations!G928</f>
        <v>0</v>
      </c>
      <c r="J190" s="405" t="str">
        <f>Calculations!H928</f>
        <v/>
      </c>
    </row>
    <row r="191" spans="2:19" s="88" customFormat="1" ht="14.4">
      <c r="B191" s="404">
        <f>Calculations!A929</f>
        <v>0</v>
      </c>
      <c r="C191" s="1202">
        <f>Calculations!B929</f>
        <v>0</v>
      </c>
      <c r="D191" s="1202"/>
      <c r="E191" s="403">
        <f>Calculations!C929</f>
        <v>0</v>
      </c>
      <c r="F191" s="400">
        <f>Calculations!D929</f>
        <v>0</v>
      </c>
      <c r="G191" s="402">
        <f>Calculations!E929</f>
        <v>0</v>
      </c>
      <c r="H191" s="402">
        <f>Calculations!F929</f>
        <v>0</v>
      </c>
      <c r="I191" s="402">
        <f>Calculations!G929</f>
        <v>0</v>
      </c>
      <c r="J191" s="405" t="str">
        <f>Calculations!H929</f>
        <v/>
      </c>
    </row>
    <row r="192" spans="2:19" s="88" customFormat="1" ht="14.4">
      <c r="B192" s="404">
        <f>Calculations!A930</f>
        <v>0</v>
      </c>
      <c r="C192" s="1202">
        <f>Calculations!B930</f>
        <v>0</v>
      </c>
      <c r="D192" s="1202"/>
      <c r="E192" s="403">
        <f>Calculations!C930</f>
        <v>0</v>
      </c>
      <c r="F192" s="400">
        <f>Calculations!D930</f>
        <v>0</v>
      </c>
      <c r="G192" s="402">
        <f>Calculations!E930</f>
        <v>0</v>
      </c>
      <c r="H192" s="402">
        <f>Calculations!F930</f>
        <v>0</v>
      </c>
      <c r="I192" s="402">
        <f>Calculations!G930</f>
        <v>0</v>
      </c>
      <c r="J192" s="405" t="str">
        <f>Calculations!H930</f>
        <v/>
      </c>
    </row>
    <row r="193" spans="2:10" s="88" customFormat="1" ht="14.4">
      <c r="B193" s="404">
        <f>Calculations!A931</f>
        <v>0</v>
      </c>
      <c r="C193" s="1202">
        <f>Calculations!B931</f>
        <v>0</v>
      </c>
      <c r="D193" s="1202"/>
      <c r="E193" s="403">
        <f>Calculations!C931</f>
        <v>0</v>
      </c>
      <c r="F193" s="400">
        <f>Calculations!D931</f>
        <v>0</v>
      </c>
      <c r="G193" s="402">
        <f>Calculations!E931</f>
        <v>0</v>
      </c>
      <c r="H193" s="402">
        <f>Calculations!F931</f>
        <v>0</v>
      </c>
      <c r="I193" s="402">
        <f>Calculations!G931</f>
        <v>0</v>
      </c>
      <c r="J193" s="405" t="str">
        <f>Calculations!H931</f>
        <v/>
      </c>
    </row>
    <row r="194" spans="2:10" s="88" customFormat="1" ht="14.4">
      <c r="B194" s="404">
        <f>Calculations!A932</f>
        <v>0</v>
      </c>
      <c r="C194" s="1202">
        <f>Calculations!B932</f>
        <v>0</v>
      </c>
      <c r="D194" s="1202"/>
      <c r="E194" s="403">
        <f>Calculations!C932</f>
        <v>0</v>
      </c>
      <c r="F194" s="400">
        <f>Calculations!D932</f>
        <v>0</v>
      </c>
      <c r="G194" s="402">
        <f>Calculations!E932</f>
        <v>0</v>
      </c>
      <c r="H194" s="402">
        <f>Calculations!F932</f>
        <v>0</v>
      </c>
      <c r="I194" s="402">
        <f>Calculations!G932</f>
        <v>0</v>
      </c>
      <c r="J194" s="405" t="str">
        <f>Calculations!H932</f>
        <v/>
      </c>
    </row>
    <row r="195" spans="2:10" s="88" customFormat="1" ht="14.4">
      <c r="B195" s="404">
        <f>Calculations!A933</f>
        <v>0</v>
      </c>
      <c r="C195" s="1202">
        <f>Calculations!B933</f>
        <v>0</v>
      </c>
      <c r="D195" s="1202"/>
      <c r="E195" s="403">
        <f>Calculations!C933</f>
        <v>0</v>
      </c>
      <c r="F195" s="400">
        <f>Calculations!D933</f>
        <v>0</v>
      </c>
      <c r="G195" s="402">
        <f>Calculations!E933</f>
        <v>0</v>
      </c>
      <c r="H195" s="402">
        <f>Calculations!F933</f>
        <v>0</v>
      </c>
      <c r="I195" s="402">
        <f>Calculations!G933</f>
        <v>0</v>
      </c>
      <c r="J195" s="405" t="str">
        <f>Calculations!H933</f>
        <v/>
      </c>
    </row>
    <row r="196" spans="2:10" s="88" customFormat="1" ht="14.4">
      <c r="B196" s="404">
        <f>Calculations!A934</f>
        <v>0</v>
      </c>
      <c r="C196" s="1202">
        <f>Calculations!B934</f>
        <v>0</v>
      </c>
      <c r="D196" s="1202"/>
      <c r="E196" s="403">
        <f>Calculations!C934</f>
        <v>0</v>
      </c>
      <c r="F196" s="400">
        <f>Calculations!D934</f>
        <v>0</v>
      </c>
      <c r="G196" s="402">
        <f>Calculations!E934</f>
        <v>0</v>
      </c>
      <c r="H196" s="402">
        <f>Calculations!F934</f>
        <v>0</v>
      </c>
      <c r="I196" s="402">
        <f>Calculations!G934</f>
        <v>0</v>
      </c>
      <c r="J196" s="405" t="str">
        <f>Calculations!H934</f>
        <v/>
      </c>
    </row>
    <row r="197" spans="2:10" s="88" customFormat="1" ht="14.4">
      <c r="B197" s="404">
        <f>Calculations!A935</f>
        <v>0</v>
      </c>
      <c r="C197" s="1202">
        <f>Calculations!B935</f>
        <v>0</v>
      </c>
      <c r="D197" s="1202"/>
      <c r="E197" s="403">
        <f>Calculations!C935</f>
        <v>0</v>
      </c>
      <c r="F197" s="400">
        <f>Calculations!D935</f>
        <v>0</v>
      </c>
      <c r="G197" s="402">
        <f>Calculations!E935</f>
        <v>0</v>
      </c>
      <c r="H197" s="402">
        <f>Calculations!F935</f>
        <v>0</v>
      </c>
      <c r="I197" s="402">
        <f>Calculations!G935</f>
        <v>0</v>
      </c>
      <c r="J197" s="405" t="str">
        <f>Calculations!H935</f>
        <v/>
      </c>
    </row>
    <row r="198" spans="2:10" s="88" customFormat="1" ht="14.4">
      <c r="B198" s="404">
        <f>Calculations!A936</f>
        <v>0</v>
      </c>
      <c r="C198" s="1202">
        <f>Calculations!B936</f>
        <v>0</v>
      </c>
      <c r="D198" s="1202"/>
      <c r="E198" s="403">
        <f>Calculations!C936</f>
        <v>0</v>
      </c>
      <c r="F198" s="400">
        <f>Calculations!D936</f>
        <v>0</v>
      </c>
      <c r="G198" s="402">
        <f>Calculations!E936</f>
        <v>0</v>
      </c>
      <c r="H198" s="402">
        <f>Calculations!F936</f>
        <v>0</v>
      </c>
      <c r="I198" s="402">
        <f>Calculations!G936</f>
        <v>0</v>
      </c>
      <c r="J198" s="405" t="str">
        <f>Calculations!H936</f>
        <v/>
      </c>
    </row>
    <row r="199" spans="2:10" s="88" customFormat="1" ht="14.4">
      <c r="B199" s="404">
        <f>Calculations!A937</f>
        <v>0</v>
      </c>
      <c r="C199" s="1202">
        <f>Calculations!B937</f>
        <v>0</v>
      </c>
      <c r="D199" s="1202"/>
      <c r="E199" s="403">
        <f>Calculations!C937</f>
        <v>0</v>
      </c>
      <c r="F199" s="400">
        <f>Calculations!D937</f>
        <v>0</v>
      </c>
      <c r="G199" s="402">
        <f>Calculations!E937</f>
        <v>0</v>
      </c>
      <c r="H199" s="402">
        <f>Calculations!F937</f>
        <v>0</v>
      </c>
      <c r="I199" s="402">
        <f>Calculations!G937</f>
        <v>0</v>
      </c>
      <c r="J199" s="405" t="str">
        <f>Calculations!H937</f>
        <v/>
      </c>
    </row>
    <row r="200" spans="2:10" s="88" customFormat="1" ht="14.4">
      <c r="B200" s="404">
        <f>Calculations!A938</f>
        <v>0</v>
      </c>
      <c r="C200" s="1202">
        <f>Calculations!B938</f>
        <v>0</v>
      </c>
      <c r="D200" s="1202"/>
      <c r="E200" s="403">
        <f>Calculations!C938</f>
        <v>0</v>
      </c>
      <c r="F200" s="400">
        <f>Calculations!D938</f>
        <v>0</v>
      </c>
      <c r="G200" s="402">
        <f>Calculations!E938</f>
        <v>0</v>
      </c>
      <c r="H200" s="402">
        <f>Calculations!F938</f>
        <v>0</v>
      </c>
      <c r="I200" s="402">
        <f>Calculations!G938</f>
        <v>0</v>
      </c>
      <c r="J200" s="405" t="str">
        <f>Calculations!H938</f>
        <v/>
      </c>
    </row>
    <row r="201" spans="2:10" s="88" customFormat="1" ht="14.4">
      <c r="B201" s="404">
        <f>Calculations!A939</f>
        <v>0</v>
      </c>
      <c r="C201" s="1202">
        <f>Calculations!B939</f>
        <v>0</v>
      </c>
      <c r="D201" s="1202"/>
      <c r="E201" s="403">
        <f>Calculations!C939</f>
        <v>0</v>
      </c>
      <c r="F201" s="400">
        <f>Calculations!D939</f>
        <v>0</v>
      </c>
      <c r="G201" s="402">
        <f>Calculations!E939</f>
        <v>0</v>
      </c>
      <c r="H201" s="402">
        <f>Calculations!F939</f>
        <v>0</v>
      </c>
      <c r="I201" s="402">
        <f>Calculations!G939</f>
        <v>0</v>
      </c>
      <c r="J201" s="405" t="str">
        <f>Calculations!H939</f>
        <v/>
      </c>
    </row>
    <row r="202" spans="2:10" s="88" customFormat="1" ht="14.4">
      <c r="B202" s="404">
        <f>Calculations!A940</f>
        <v>0</v>
      </c>
      <c r="C202" s="1202">
        <f>Calculations!B940</f>
        <v>0</v>
      </c>
      <c r="D202" s="1202"/>
      <c r="E202" s="403">
        <f>Calculations!C940</f>
        <v>0</v>
      </c>
      <c r="F202" s="400">
        <f>Calculations!D940</f>
        <v>0</v>
      </c>
      <c r="G202" s="402">
        <f>Calculations!E940</f>
        <v>0</v>
      </c>
      <c r="H202" s="402">
        <f>Calculations!F940</f>
        <v>0</v>
      </c>
      <c r="I202" s="402">
        <f>Calculations!G940</f>
        <v>0</v>
      </c>
      <c r="J202" s="405" t="str">
        <f>Calculations!H940</f>
        <v/>
      </c>
    </row>
    <row r="203" spans="2:10" s="88" customFormat="1" ht="14.4">
      <c r="B203" s="404">
        <f>Calculations!A941</f>
        <v>0</v>
      </c>
      <c r="C203" s="1202">
        <f>Calculations!B941</f>
        <v>0</v>
      </c>
      <c r="D203" s="1202"/>
      <c r="E203" s="403">
        <f>Calculations!C941</f>
        <v>0</v>
      </c>
      <c r="F203" s="400">
        <f>Calculations!D941</f>
        <v>0</v>
      </c>
      <c r="G203" s="402">
        <f>Calculations!E941</f>
        <v>0</v>
      </c>
      <c r="H203" s="402">
        <f>Calculations!F941</f>
        <v>0</v>
      </c>
      <c r="I203" s="402">
        <f>Calculations!G941</f>
        <v>0</v>
      </c>
      <c r="J203" s="405" t="str">
        <f>Calculations!H941</f>
        <v/>
      </c>
    </row>
    <row r="204" spans="2:10" s="88" customFormat="1" ht="14.4">
      <c r="B204" s="404">
        <f>Calculations!A942</f>
        <v>0</v>
      </c>
      <c r="C204" s="1202">
        <f>Calculations!B942</f>
        <v>0</v>
      </c>
      <c r="D204" s="1202"/>
      <c r="E204" s="403">
        <f>Calculations!C942</f>
        <v>0</v>
      </c>
      <c r="F204" s="400">
        <f>Calculations!D942</f>
        <v>0</v>
      </c>
      <c r="G204" s="402">
        <f>Calculations!E942</f>
        <v>0</v>
      </c>
      <c r="H204" s="402">
        <f>Calculations!F942</f>
        <v>0</v>
      </c>
      <c r="I204" s="402">
        <f>Calculations!G942</f>
        <v>0</v>
      </c>
      <c r="J204" s="405" t="str">
        <f>Calculations!H942</f>
        <v/>
      </c>
    </row>
    <row r="205" spans="2:10" s="88" customFormat="1" ht="14.4">
      <c r="B205" s="404">
        <f>Calculations!A943</f>
        <v>0</v>
      </c>
      <c r="C205" s="1202">
        <f>Calculations!B943</f>
        <v>0</v>
      </c>
      <c r="D205" s="1202"/>
      <c r="E205" s="403">
        <f>Calculations!C943</f>
        <v>0</v>
      </c>
      <c r="F205" s="400">
        <f>Calculations!D943</f>
        <v>0</v>
      </c>
      <c r="G205" s="402">
        <f>Calculations!E943</f>
        <v>0</v>
      </c>
      <c r="H205" s="402">
        <f>Calculations!F943</f>
        <v>0</v>
      </c>
      <c r="I205" s="402">
        <f>Calculations!G943</f>
        <v>0</v>
      </c>
      <c r="J205" s="405" t="str">
        <f>Calculations!H943</f>
        <v/>
      </c>
    </row>
    <row r="206" spans="2:10" s="88" customFormat="1" ht="14.4">
      <c r="B206" s="404">
        <f>Calculations!A944</f>
        <v>0</v>
      </c>
      <c r="C206" s="1202">
        <f>Calculations!B944</f>
        <v>0</v>
      </c>
      <c r="D206" s="1202"/>
      <c r="E206" s="403">
        <f>Calculations!C944</f>
        <v>0</v>
      </c>
      <c r="F206" s="400">
        <f>Calculations!D944</f>
        <v>0</v>
      </c>
      <c r="G206" s="402">
        <f>Calculations!E944</f>
        <v>0</v>
      </c>
      <c r="H206" s="402">
        <f>Calculations!F944</f>
        <v>0</v>
      </c>
      <c r="I206" s="402">
        <f>Calculations!G944</f>
        <v>0</v>
      </c>
      <c r="J206" s="405" t="str">
        <f>Calculations!H944</f>
        <v/>
      </c>
    </row>
    <row r="207" spans="2:10" s="88" customFormat="1" ht="14.4">
      <c r="B207" s="404">
        <f>Calculations!A945</f>
        <v>0</v>
      </c>
      <c r="C207" s="1202">
        <f>Calculations!B945</f>
        <v>0</v>
      </c>
      <c r="D207" s="1202"/>
      <c r="E207" s="403">
        <f>Calculations!C945</f>
        <v>0</v>
      </c>
      <c r="F207" s="400">
        <f>Calculations!D945</f>
        <v>0</v>
      </c>
      <c r="G207" s="402">
        <f>Calculations!E945</f>
        <v>0</v>
      </c>
      <c r="H207" s="402">
        <f>Calculations!F945</f>
        <v>0</v>
      </c>
      <c r="I207" s="402">
        <f>Calculations!G945</f>
        <v>0</v>
      </c>
      <c r="J207" s="405" t="str">
        <f>Calculations!H945</f>
        <v/>
      </c>
    </row>
    <row r="208" spans="2:10" s="88" customFormat="1" ht="14.4">
      <c r="B208" s="404">
        <f>Calculations!A946</f>
        <v>0</v>
      </c>
      <c r="C208" s="1202">
        <f>Calculations!B946</f>
        <v>0</v>
      </c>
      <c r="D208" s="1202"/>
      <c r="E208" s="403">
        <f>Calculations!C946</f>
        <v>0</v>
      </c>
      <c r="F208" s="400">
        <f>Calculations!D946</f>
        <v>0</v>
      </c>
      <c r="G208" s="402">
        <f>Calculations!E946</f>
        <v>0</v>
      </c>
      <c r="H208" s="402">
        <f>Calculations!F946</f>
        <v>0</v>
      </c>
      <c r="I208" s="402">
        <f>Calculations!G946</f>
        <v>0</v>
      </c>
      <c r="J208" s="405" t="str">
        <f>Calculations!H946</f>
        <v/>
      </c>
    </row>
    <row r="209" spans="2:10" s="88" customFormat="1" ht="14.4">
      <c r="B209" s="404">
        <f>Calculations!A947</f>
        <v>0</v>
      </c>
      <c r="C209" s="1202">
        <f>Calculations!B947</f>
        <v>0</v>
      </c>
      <c r="D209" s="1202"/>
      <c r="E209" s="403">
        <f>Calculations!C947</f>
        <v>0</v>
      </c>
      <c r="F209" s="400">
        <f>Calculations!D947</f>
        <v>0</v>
      </c>
      <c r="G209" s="402">
        <f>Calculations!E947</f>
        <v>0</v>
      </c>
      <c r="H209" s="402">
        <f>Calculations!F947</f>
        <v>0</v>
      </c>
      <c r="I209" s="402">
        <f>Calculations!G947</f>
        <v>0</v>
      </c>
      <c r="J209" s="405" t="str">
        <f>Calculations!H947</f>
        <v/>
      </c>
    </row>
    <row r="210" spans="2:10" s="88" customFormat="1" ht="14.4">
      <c r="B210" s="404">
        <f>Calculations!A948</f>
        <v>0</v>
      </c>
      <c r="C210" s="1202">
        <f>Calculations!B948</f>
        <v>0</v>
      </c>
      <c r="D210" s="1202"/>
      <c r="E210" s="403">
        <f>Calculations!C948</f>
        <v>0</v>
      </c>
      <c r="F210" s="400">
        <f>Calculations!D948</f>
        <v>0</v>
      </c>
      <c r="G210" s="402">
        <f>Calculations!E948</f>
        <v>0</v>
      </c>
      <c r="H210" s="402">
        <f>Calculations!F948</f>
        <v>0</v>
      </c>
      <c r="I210" s="402">
        <f>Calculations!G948</f>
        <v>0</v>
      </c>
      <c r="J210" s="405" t="str">
        <f>Calculations!H948</f>
        <v/>
      </c>
    </row>
    <row r="211" spans="2:10" s="88" customFormat="1" ht="14.4">
      <c r="B211" s="404">
        <f>Calculations!A949</f>
        <v>0</v>
      </c>
      <c r="C211" s="1202">
        <f>Calculations!B949</f>
        <v>0</v>
      </c>
      <c r="D211" s="1202"/>
      <c r="E211" s="403">
        <f>Calculations!C949</f>
        <v>0</v>
      </c>
      <c r="F211" s="400">
        <f>Calculations!D949</f>
        <v>0</v>
      </c>
      <c r="G211" s="402">
        <f>Calculations!E949</f>
        <v>0</v>
      </c>
      <c r="H211" s="402">
        <f>Calculations!F949</f>
        <v>0</v>
      </c>
      <c r="I211" s="402">
        <f>Calculations!G949</f>
        <v>0</v>
      </c>
      <c r="J211" s="405" t="str">
        <f>Calculations!H949</f>
        <v/>
      </c>
    </row>
    <row r="212" spans="2:10" s="88" customFormat="1" ht="14.4">
      <c r="B212" s="398"/>
      <c r="C212" s="398"/>
      <c r="D212" s="399"/>
      <c r="E212" s="400"/>
      <c r="F212" s="401"/>
      <c r="G212" s="401"/>
      <c r="H212" s="401"/>
      <c r="I212" s="183"/>
      <c r="J212" s="183"/>
    </row>
    <row r="213" spans="2:10" s="88" customFormat="1" ht="14.4">
      <c r="B213" s="398"/>
      <c r="C213" s="398"/>
      <c r="D213" s="399"/>
      <c r="E213" s="400"/>
      <c r="F213" s="401"/>
      <c r="G213" s="401"/>
      <c r="H213" s="401"/>
      <c r="I213" s="183"/>
      <c r="J213" s="183"/>
    </row>
    <row r="214" spans="2:10" s="88" customFormat="1" ht="14.4">
      <c r="B214" s="398"/>
      <c r="C214" s="398"/>
      <c r="D214" s="399"/>
      <c r="E214" s="400"/>
      <c r="F214" s="401"/>
      <c r="G214" s="401"/>
      <c r="H214" s="401"/>
      <c r="I214" s="183"/>
      <c r="J214" s="183"/>
    </row>
    <row r="215" spans="2:10" s="88" customFormat="1" ht="14.4">
      <c r="B215" s="398"/>
      <c r="C215" s="398"/>
      <c r="D215" s="399"/>
      <c r="E215" s="400"/>
      <c r="F215" s="401"/>
      <c r="G215" s="401"/>
      <c r="H215" s="401"/>
      <c r="I215" s="183"/>
      <c r="J215" s="183"/>
    </row>
    <row r="216" spans="2:10" s="88" customFormat="1" ht="14.4">
      <c r="B216" s="398"/>
      <c r="C216" s="398"/>
      <c r="D216" s="399"/>
      <c r="E216" s="400"/>
      <c r="F216" s="401"/>
      <c r="G216" s="401"/>
      <c r="H216" s="401"/>
      <c r="I216" s="183"/>
      <c r="J216" s="183"/>
    </row>
    <row r="217" spans="2:10" s="88" customFormat="1" ht="14.4">
      <c r="B217" s="398"/>
      <c r="C217" s="398"/>
      <c r="D217" s="399"/>
      <c r="E217" s="400"/>
      <c r="F217" s="401"/>
      <c r="G217" s="401"/>
      <c r="H217" s="401"/>
      <c r="I217" s="183"/>
      <c r="J217" s="183"/>
    </row>
  </sheetData>
  <sheetProtection algorithmName="SHA-512" hashValue="odgAImeVKfAjQasDqbgH9qt7AcqAcYfHDrKgFuCnfczAtXZlU8d+IsUTr6t2zLR1KHEOh/C7VUamN5jz3YYWuA==" saltValue="iFoDfO8ZAbV68yyCQt+EMA==" spinCount="100000" sheet="1" objects="1" scenarios="1"/>
  <mergeCells count="77">
    <mergeCell ref="C211:D211"/>
    <mergeCell ref="C206:D206"/>
    <mergeCell ref="C207:D207"/>
    <mergeCell ref="C208:D208"/>
    <mergeCell ref="C209:D209"/>
    <mergeCell ref="C210:D210"/>
    <mergeCell ref="C201:D201"/>
    <mergeCell ref="C202:D202"/>
    <mergeCell ref="C203:D203"/>
    <mergeCell ref="C204:D204"/>
    <mergeCell ref="C205:D205"/>
    <mergeCell ref="C196:D196"/>
    <mergeCell ref="C197:D197"/>
    <mergeCell ref="C198:D198"/>
    <mergeCell ref="C199:D199"/>
    <mergeCell ref="C200:D200"/>
    <mergeCell ref="C191:D191"/>
    <mergeCell ref="C192:D192"/>
    <mergeCell ref="C193:D193"/>
    <mergeCell ref="C194:D194"/>
    <mergeCell ref="C195:D195"/>
    <mergeCell ref="C186:D186"/>
    <mergeCell ref="C187:D187"/>
    <mergeCell ref="C188:D188"/>
    <mergeCell ref="C189:D189"/>
    <mergeCell ref="C190:D190"/>
    <mergeCell ref="C181:D181"/>
    <mergeCell ref="C182:D182"/>
    <mergeCell ref="C183:D183"/>
    <mergeCell ref="C184:D184"/>
    <mergeCell ref="C185:D185"/>
    <mergeCell ref="C176:D176"/>
    <mergeCell ref="C177:D177"/>
    <mergeCell ref="C178:D178"/>
    <mergeCell ref="C179:D179"/>
    <mergeCell ref="C180:D180"/>
    <mergeCell ref="C171:D171"/>
    <mergeCell ref="C172:D172"/>
    <mergeCell ref="C173:D173"/>
    <mergeCell ref="C174:D174"/>
    <mergeCell ref="C175:D175"/>
    <mergeCell ref="C166:D166"/>
    <mergeCell ref="C167:D167"/>
    <mergeCell ref="C168:D168"/>
    <mergeCell ref="C169:D169"/>
    <mergeCell ref="C170:D170"/>
    <mergeCell ref="C161:D161"/>
    <mergeCell ref="C162:D162"/>
    <mergeCell ref="C163:D163"/>
    <mergeCell ref="C164:D164"/>
    <mergeCell ref="C165:D165"/>
    <mergeCell ref="C156:D156"/>
    <mergeCell ref="C157:D157"/>
    <mergeCell ref="C158:D158"/>
    <mergeCell ref="C159:D159"/>
    <mergeCell ref="C160:D160"/>
    <mergeCell ref="C151:D151"/>
    <mergeCell ref="C152:D152"/>
    <mergeCell ref="C153:D153"/>
    <mergeCell ref="C154:D154"/>
    <mergeCell ref="C155:D155"/>
    <mergeCell ref="A149:L149"/>
    <mergeCell ref="A1:L1"/>
    <mergeCell ref="A8:L8"/>
    <mergeCell ref="B56:C56"/>
    <mergeCell ref="A49:L49"/>
    <mergeCell ref="I71:J71"/>
    <mergeCell ref="A69:L69"/>
    <mergeCell ref="A84:L84"/>
    <mergeCell ref="A85:L85"/>
    <mergeCell ref="B9:L9"/>
    <mergeCell ref="B28:L28"/>
    <mergeCell ref="A123:K123"/>
    <mergeCell ref="B146:C146"/>
    <mergeCell ref="A148:L148"/>
    <mergeCell ref="K52:L52"/>
    <mergeCell ref="K53:L53"/>
  </mergeCells>
  <phoneticPr fontId="89" type="noConversion"/>
  <dataValidations disablePrompts="1" count="1">
    <dataValidation type="list" allowBlank="1" showInputMessage="1" showErrorMessage="1" errorTitle="Application Stage" error="Please select a valid value for Application Stage." sqref="G5" xr:uid="{00000000-0002-0000-1500-000000000000}">
      <formula1>#REF!</formula1>
    </dataValidation>
  </dataValidations>
  <hyperlinks>
    <hyperlink ref="A69:K69" location="Determination_TC_Range" display="Determination of Annual Tax Credit Amount" xr:uid="{00000000-0004-0000-1500-000000000000}"/>
    <hyperlink ref="A84:J84" location="'Proforma, Income &amp; Expense'!A1" display="15 Year Pro Forma" xr:uid="{00000000-0004-0000-1500-000001000000}"/>
    <hyperlink ref="A49:K49" location="Financing!A1" display="Development Financing" xr:uid="{00000000-0004-0000-1500-000002000000}"/>
    <hyperlink ref="A148:J148" location="'Unit Mix &amp; Rents'!A1" display="Units Mix &amp; Rents" xr:uid="{00000000-0004-0000-1500-000003000000}"/>
    <hyperlink ref="A123:K123" location="'Unit Mix &amp; Rents'!A1" display="Units Mix &amp; Rents" xr:uid="{00000000-0004-0000-1500-000004000000}"/>
  </hyperlinks>
  <printOptions horizontalCentered="1" verticalCentered="1"/>
  <pageMargins left="0.75" right="0.75" top="1" bottom="1" header="0.5" footer="0.5"/>
  <pageSetup scale="64" orientation="landscape" r:id="rId1"/>
  <headerFooter alignWithMargins="0">
    <oddFooter>&amp;R&amp;F</oddFooter>
  </headerFooter>
  <rowBreaks count="4" manualBreakCount="4">
    <brk id="48" max="16383" man="1"/>
    <brk id="83" max="16383" man="1"/>
    <brk id="122" max="11" man="1"/>
    <brk id="147"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theme="1"/>
  </sheetPr>
  <dimension ref="A1:AF4542"/>
  <sheetViews>
    <sheetView zoomScaleNormal="100" workbookViewId="0">
      <selection sqref="A1:M1"/>
    </sheetView>
  </sheetViews>
  <sheetFormatPr defaultRowHeight="14.4"/>
  <cols>
    <col min="1" max="1" width="78.6640625" customWidth="1"/>
    <col min="2" max="2" width="16" customWidth="1"/>
    <col min="3" max="3" width="35.44140625" customWidth="1"/>
    <col min="4" max="4" width="29.6640625" customWidth="1"/>
    <col min="5" max="5" width="15.109375" customWidth="1"/>
    <col min="6" max="6" width="48" customWidth="1"/>
    <col min="7" max="7" width="18.6640625" customWidth="1"/>
    <col min="8" max="14" width="14.5546875" customWidth="1"/>
    <col min="15" max="15" width="16.5546875" customWidth="1"/>
    <col min="16" max="16" width="16" customWidth="1"/>
    <col min="17" max="17" width="15" customWidth="1"/>
    <col min="18" max="18" width="15.5546875" customWidth="1"/>
    <col min="19" max="19" width="13" customWidth="1"/>
    <col min="20" max="20" width="14.109375" customWidth="1"/>
    <col min="21" max="21" width="15" customWidth="1"/>
    <col min="22" max="22" width="13.5546875" customWidth="1"/>
    <col min="23" max="23" width="14" customWidth="1"/>
    <col min="24" max="24" width="14.5546875" customWidth="1"/>
    <col min="25" max="25" width="14" customWidth="1"/>
    <col min="26" max="26" width="13" customWidth="1"/>
    <col min="27" max="27" width="14" customWidth="1"/>
    <col min="28" max="29" width="20.5546875" customWidth="1"/>
    <col min="30" max="31" width="14" customWidth="1"/>
  </cols>
  <sheetData>
    <row r="1" spans="1:29" ht="27" customHeight="1">
      <c r="A1" s="1203" t="s">
        <v>82</v>
      </c>
      <c r="B1" s="1203"/>
      <c r="C1" s="1203"/>
      <c r="D1" s="1203"/>
      <c r="E1" s="1203"/>
      <c r="F1" s="1203"/>
      <c r="G1" s="1203"/>
      <c r="H1" s="1203"/>
      <c r="I1" s="1203"/>
      <c r="J1" s="1203"/>
      <c r="K1" s="1203"/>
      <c r="L1" s="1203"/>
      <c r="M1" s="1203"/>
    </row>
    <row r="2" spans="1:29">
      <c r="A2" t="s">
        <v>2547</v>
      </c>
      <c r="B2" t="b">
        <f>IF(ISNA(MATCH(Application!$B$6, Application_Stage_Table[Application Stage],0)), FALSE, INDEX(Application_Stage_Table[Is Preliminary], MATCH(Application!$B$6, Application_Stage_Table[Application Stage],0), 1))</f>
        <v>0</v>
      </c>
      <c r="C2" s="18" t="str">
        <f>IF(ISNA(MATCH(Application!$B$6, Application_Stage_Table[Application Stage],0)), "APPLICATION STAGE NOT SELECTED", "")</f>
        <v>APPLICATION STAGE NOT SELECTED</v>
      </c>
    </row>
    <row r="3" spans="1:29" ht="43.2">
      <c r="A3" t="s">
        <v>2548</v>
      </c>
      <c r="B3" t="b">
        <f>IF(ISNA(MATCH(Application!$B$6, Application_Stage_Table[Application Stage],0)), FALSE, INDEX(Application_Stage_Table[Is Carryover], MATCH(Application!$B$6, Application_Stage_Table[Application Stage],0), 1))</f>
        <v>0</v>
      </c>
      <c r="C3" s="18" t="str">
        <f>IF(ISNA(MATCH(Application!$B$6, Application_Stage_Table[Application Stage],0)), "APPLICATION STAGE NOT SELECTED", "")</f>
        <v>APPLICATION STAGE NOT SELECTED</v>
      </c>
      <c r="E3" s="9" t="s">
        <v>896</v>
      </c>
      <c r="F3" s="92">
        <f>SUM(Amenities!B62:B67)</f>
        <v>0</v>
      </c>
      <c r="G3" s="9" t="s">
        <v>2549</v>
      </c>
      <c r="H3" s="92">
        <f>F3-Amenities!B72</f>
        <v>0</v>
      </c>
    </row>
    <row r="4" spans="1:29">
      <c r="A4" t="s">
        <v>2550</v>
      </c>
      <c r="B4" t="b">
        <f>IF(ISNA(MATCH(Application!$B$6, Application_Stage_Table[Application Stage],0)), FALSE, INDEX(Application_Stage_Table[Is Final], MATCH(Application!$B$6, Application_Stage_Table[Application Stage],0), 1))</f>
        <v>0</v>
      </c>
      <c r="C4" s="18" t="str">
        <f>IF(ISNA(MATCH(Application!$B$6, Application_Stage_Table[Application Stage],0)), "APPLICATION STAGE NOT SELECTED", "")</f>
        <v>APPLICATION STAGE NOT SELECTED</v>
      </c>
      <c r="E4" t="s">
        <v>898</v>
      </c>
      <c r="F4" s="94" t="str">
        <f>IF(H45=0,"",H3/H45)</f>
        <v/>
      </c>
    </row>
    <row r="5" spans="1:29">
      <c r="A5" t="s">
        <v>2551</v>
      </c>
      <c r="B5" t="b">
        <f>IF(ISNA(MATCH(Application!$B$10,Tax_Credit_Type_Table[Type Of Tax Credit],0)), FALSE,INDEX(Tax_Credit_Type_Table[Has 4%], MATCH(Application!$B$10,Tax_Credit_Type_Table[Type Of Tax Credit],0), 1))</f>
        <v>0</v>
      </c>
      <c r="C5" s="18" t="str">
        <f>IF(ISNA(MATCH(Application!$B$10,Tax_Credit_Type_Table[Type Of Tax Credit],0)), "TAX CREDIT TYPE NOT SELECTED", "")</f>
        <v>TAX CREDIT TYPE NOT SELECTED</v>
      </c>
    </row>
    <row r="6" spans="1:29">
      <c r="A6" t="s">
        <v>2552</v>
      </c>
      <c r="B6" t="b">
        <f>IF(ISNA(MATCH(Application!$B$10,Tax_Credit_Type_Table[Type Of Tax Credit],0)), FALSE,INDEX(Tax_Credit_Type_Table[Has 9%], MATCH(Application!B10,Tax_Credit_Type_Table[Type Of Tax Credit],0), 1))</f>
        <v>0</v>
      </c>
      <c r="C6" s="18" t="str">
        <f>IF(ISNA(MATCH(Application!$B$10,Tax_Credit_Type_Table[Type Of Tax Credit],0)), "TAX CREDIT TYPE NOT SELECTED", "")</f>
        <v>TAX CREDIT TYPE NOT SELECTED</v>
      </c>
    </row>
    <row r="7" spans="1:29">
      <c r="A7" t="s">
        <v>2553</v>
      </c>
      <c r="B7" t="b">
        <f>IF(ISNA(MATCH(Application!$B$13,Project_Type_Table[Project  Type],0)), FALSE,INDEX(Project_Type_Table[Has Acq/Rehab], MATCH(Application!$B$13,Project_Type_Table[Project  Type],0), 1))</f>
        <v>0</v>
      </c>
      <c r="C7" s="18" t="str">
        <f>IF(ISNA(MATCH(Application!$B$13,Project_Type_Table[Project  Type],0)), "PROJECT TYPE NOT SELECTED", "")</f>
        <v>PROJECT TYPE NOT SELECTED</v>
      </c>
    </row>
    <row r="8" spans="1:29">
      <c r="A8" t="s">
        <v>2554</v>
      </c>
      <c r="B8" t="b">
        <f>IF(ISNA(MATCH(Application!$B$13,Project_Type_Table[Project  Type],0)), FALSE,INDEX(Project_Type_Table[Has New Construction], MATCH(Application!$B$13,Project_Type_Table[Project  Type],0), 1))</f>
        <v>0</v>
      </c>
      <c r="C8" s="18" t="str">
        <f>IF(ISNA(MATCH(Application!$B$13,Project_Type_Table[Project  Type],0)), "PROJECT TYPE NOT SELECTED", "")</f>
        <v>PROJECT TYPE NOT SELECTED</v>
      </c>
    </row>
    <row r="9" spans="1:29">
      <c r="A9" t="s">
        <v>2555</v>
      </c>
      <c r="B9" t="b">
        <f>IF(ISNA(MATCH(Application!$B$13,Project_Type_Table[Project  Type],0)), FALSE,INDEX(Project_Type_Table[Has Rehab], MATCH(Application!$B$13,Project_Type_Table[Project  Type],0), 1))</f>
        <v>0</v>
      </c>
      <c r="C9" s="18" t="str">
        <f>IF(ISNA(MATCH(Application!$B$13,Project_Type_Table[Project  Type],0)), "PROJECT TYPE NOT SELECTED", "")</f>
        <v>PROJECT TYPE NOT SELECTED</v>
      </c>
    </row>
    <row r="10" spans="1:29">
      <c r="A10" t="s">
        <v>2556</v>
      </c>
      <c r="B10" t="b">
        <f>IF(ISNA(MATCH(Application!$B$10,Tax_Credit_Type_Table[Type Of Tax Credit],0)), FALSE,INDEX(Tax_Credit_Type_Table[Has State], MATCH(Application!$B$10,Tax_Credit_Type_Table[Type Of Tax Credit],0), 1))</f>
        <v>0</v>
      </c>
      <c r="C10" s="18" t="str">
        <f>IF(ISNA(MATCH(Application!$B$10,Tax_Credit_Type_Table[Type Of Tax Credit],0)), "TAX CREDIT TYPE NOT SELECTED", "")</f>
        <v>TAX CREDIT TYPE NOT SELECTED</v>
      </c>
    </row>
    <row r="11" spans="1:29">
      <c r="A11" t="s">
        <v>2557</v>
      </c>
      <c r="B11" s="150" t="str">
        <f>IF(OR(E11, F11), "", D11)</f>
        <v/>
      </c>
      <c r="D11" t="e">
        <f>INDEX(Tax_Credit_Type_Table[Type of State Tax Credit], MATCH(Application!$B$10,Tax_Credit_Type_Table[Type Of Tax Credit],0), 1)</f>
        <v>#N/A</v>
      </c>
      <c r="E11" t="b">
        <f>ISNA(D11)</f>
        <v>1</v>
      </c>
      <c r="F11" t="b">
        <f>IF(ISNA(D11=0),TRUE,D11=0)</f>
        <v>1</v>
      </c>
      <c r="G11" s="13"/>
    </row>
    <row r="12" spans="1:29">
      <c r="A12" t="s">
        <v>4090</v>
      </c>
      <c r="B12" s="150" t="b">
        <f>Application!B12 = "Yes"</f>
        <v>0</v>
      </c>
      <c r="G12" s="13"/>
    </row>
    <row r="13" spans="1:29">
      <c r="G13" s="13"/>
    </row>
    <row r="14" spans="1:29">
      <c r="A14" t="s">
        <v>240</v>
      </c>
      <c r="B14">
        <f>Application!B33</f>
        <v>0</v>
      </c>
      <c r="C14" s="18" t="str">
        <f>IF(B14=0, "COUNTY MISSING", "")</f>
        <v>COUNTY MISSING</v>
      </c>
      <c r="D14" t="e">
        <f>IF(OR(ISNA(INDEX(Tax_Credit_Type_Table[Type of State Tax Credit], MATCH(Application!$B$10,Tax_Credit_Type_Table[Type Of Tax Credit],0), 1)), INDEX(Tax_Credit_Type_Table[Type of State Tax Credit], MATCH(Application!$B$10,Tax_Credit_Type_Table[Type Of Tax Credit],0), 1) = 0), "", INDEX(Tax_Credit_Type_Table[Type of State Tax Credit], MATCH(Application!$B$10,Tax_Credit_Type_Table[Type Of Tax Credit],0), 1))</f>
        <v>#N/A</v>
      </c>
      <c r="G14" s="14"/>
      <c r="O14" s="12"/>
      <c r="P14" s="12"/>
      <c r="Q14" s="12"/>
      <c r="R14" s="12"/>
      <c r="S14" s="12"/>
      <c r="T14" s="12"/>
      <c r="U14" s="12"/>
      <c r="V14" s="12"/>
      <c r="W14" s="12"/>
      <c r="X14" s="12"/>
      <c r="Y14" s="12"/>
      <c r="Z14" s="12"/>
      <c r="AA14" s="12"/>
      <c r="AB14" s="12"/>
      <c r="AC14" s="12"/>
    </row>
    <row r="15" spans="1:29">
      <c r="A15" t="s">
        <v>2558</v>
      </c>
      <c r="B15">
        <f>IF(ISNA(MATCH(B14,Admin!$A$120:$A$183,0)), -1, MATCH(B14,Admin!$A$120:$A$183,0))</f>
        <v>-1</v>
      </c>
      <c r="G15" s="14"/>
    </row>
    <row r="16" spans="1:29">
      <c r="A16" t="s">
        <v>241</v>
      </c>
      <c r="B16">
        <f>Application!B34</f>
        <v>0</v>
      </c>
      <c r="C16" s="18" t="str">
        <f>IF(B16=0, "CENSUS TRACT MISSING", "")</f>
        <v>CENSUS TRACT MISSING</v>
      </c>
      <c r="G16" s="14"/>
    </row>
    <row r="17" spans="1:20">
      <c r="A17" t="s">
        <v>796</v>
      </c>
      <c r="B17" s="92" t="str">
        <f>IFERROR(VALUE(LEFT(Application!$B$32, 5)), "")</f>
        <v/>
      </c>
      <c r="C17" s="18" t="str">
        <f>IF(LEN(B17)&lt;&gt; 5, "ZIP MISSING OR INCORRECT", "")</f>
        <v>ZIP MISSING OR INCORRECT</v>
      </c>
      <c r="O17" s="70"/>
      <c r="P17" s="70"/>
      <c r="Q17" s="70"/>
      <c r="R17" s="70"/>
      <c r="S17" s="70"/>
      <c r="T17" s="70"/>
    </row>
    <row r="18" spans="1:20">
      <c r="A18" t="s">
        <v>2559</v>
      </c>
      <c r="B18" s="16" t="b" cm="1">
        <f t="array" ref="B18">IF($B$15 = -1, FALSE, INDEX(Admin!A120:F183, $B$15, COLUMN(Admin!F119)))</f>
        <v>0</v>
      </c>
      <c r="C18" s="16" t="str">
        <f>IF(B18,"DDA","")</f>
        <v/>
      </c>
      <c r="M18" s="70"/>
    </row>
    <row r="19" spans="1:20">
      <c r="A19" t="s">
        <v>1582</v>
      </c>
      <c r="B19" s="16" t="b">
        <f>IF(ISNA(MATCH(B17,SADDA_Zip_Table[SADDA Zip],0)), FALSE, MATCH(B17,SADDA_Zip_Table[SADDA Zip],0)  &gt; 0)</f>
        <v>0</v>
      </c>
      <c r="C19" s="16" t="str">
        <f>IF(B19,"SADDA","")</f>
        <v/>
      </c>
    </row>
    <row r="20" spans="1:20">
      <c r="A20" t="s">
        <v>2560</v>
      </c>
      <c r="B20" s="16" t="b">
        <f>IFERROR(MATCH(B16,INDEX(Admin!$G$120:$BF$183, B15,0),0), 0) &gt;0</f>
        <v>0</v>
      </c>
      <c r="C20" s="16" t="str">
        <f>IF(B20,"QCT","")</f>
        <v/>
      </c>
      <c r="M20" s="70"/>
    </row>
    <row r="21" spans="1:20">
      <c r="A21" t="s">
        <v>2561</v>
      </c>
      <c r="B21" t="b">
        <f>OR(B18,B19,B20)</f>
        <v>0</v>
      </c>
      <c r="M21" s="70"/>
    </row>
    <row r="22" spans="1:20">
      <c r="A22" t="s">
        <v>2562</v>
      </c>
      <c r="B22" t="b">
        <f>Application!$B$8="Yes"</f>
        <v>0</v>
      </c>
    </row>
    <row r="25" spans="1:20">
      <c r="A25" t="s">
        <v>2563</v>
      </c>
      <c r="B25" t="b">
        <f>Application!$B$65 &gt; 0</f>
        <v>0</v>
      </c>
      <c r="H25" s="92"/>
      <c r="I25" s="49"/>
    </row>
    <row r="26" spans="1:20">
      <c r="A26" t="s">
        <v>2564</v>
      </c>
      <c r="B26" s="65">
        <f>SUM(Financing!B46:B48,Financing!B53:B58,Financing!B63:B70,Financing!B75:B76)</f>
        <v>0</v>
      </c>
      <c r="G26" s="14"/>
    </row>
    <row r="27" spans="1:20">
      <c r="A27" t="s">
        <v>2565</v>
      </c>
      <c r="B27" s="65">
        <f>SUM(Financing!B9:B11,Financing!B26:B33,Financing!B38:B39)</f>
        <v>0</v>
      </c>
      <c r="G27" s="14"/>
    </row>
    <row r="28" spans="1:20">
      <c r="G28" s="14"/>
    </row>
    <row r="29" spans="1:20">
      <c r="A29" t="s">
        <v>2566</v>
      </c>
      <c r="B29" s="92">
        <f>Application!B59</f>
        <v>0</v>
      </c>
      <c r="G29" s="14"/>
    </row>
    <row r="30" spans="1:20">
      <c r="G30" s="14"/>
    </row>
    <row r="31" spans="1:20">
      <c r="A31" s="99" t="s">
        <v>18</v>
      </c>
      <c r="B31" s="99"/>
      <c r="C31" s="99"/>
      <c r="D31" s="99"/>
      <c r="E31" s="99"/>
      <c r="F31" s="99"/>
      <c r="G31" s="99"/>
      <c r="H31" s="71"/>
      <c r="I31" s="71"/>
      <c r="J31" s="71"/>
      <c r="K31" s="71"/>
      <c r="L31" s="71"/>
      <c r="M31" s="71"/>
    </row>
    <row r="32" spans="1:20">
      <c r="G32" s="14"/>
    </row>
    <row r="33" spans="1:15">
      <c r="A33" s="72" t="s">
        <v>108</v>
      </c>
      <c r="B33" s="72" t="s">
        <v>1087</v>
      </c>
      <c r="C33" s="72" t="s">
        <v>1088</v>
      </c>
      <c r="D33" s="72" t="s">
        <v>1089</v>
      </c>
      <c r="E33" s="72" t="s">
        <v>1090</v>
      </c>
      <c r="F33" s="72" t="s">
        <v>1091</v>
      </c>
      <c r="G33" s="72" t="s">
        <v>2567</v>
      </c>
      <c r="H33" s="72" t="s">
        <v>887</v>
      </c>
      <c r="I33" s="70"/>
    </row>
    <row r="34" spans="1:15">
      <c r="A34" s="70">
        <v>0.2</v>
      </c>
      <c r="B34">
        <f>SUMIFS('Unit Mix &amp; Rents'!$D$17:$D$76,'Unit Mix &amp; Rents'!$A$17:$A$76,$A34,'Unit Mix &amp; Rents'!$B$17:$B$76,B$33)</f>
        <v>0</v>
      </c>
      <c r="C34">
        <f>SUMIFS('Unit Mix &amp; Rents'!$D$17:$D$76,'Unit Mix &amp; Rents'!$A$17:$A$76,$A34,'Unit Mix &amp; Rents'!$B$17:$B$76,C$33)</f>
        <v>0</v>
      </c>
      <c r="D34">
        <f>SUMIFS('Unit Mix &amp; Rents'!$D$17:$D$76,'Unit Mix &amp; Rents'!$A$17:$A$76,$A34,'Unit Mix &amp; Rents'!$B$17:$B$76,D$33)</f>
        <v>0</v>
      </c>
      <c r="E34">
        <f>SUMIFS('Unit Mix &amp; Rents'!$D$17:$D$76,'Unit Mix &amp; Rents'!$A$17:$A$76,$A34,'Unit Mix &amp; Rents'!$B$17:$B$76,E$33)</f>
        <v>0</v>
      </c>
      <c r="F34">
        <f>SUMIFS('Unit Mix &amp; Rents'!$D$17:$D$76,'Unit Mix &amp; Rents'!$A$17:$A$76,$A34,'Unit Mix &amp; Rents'!$B$17:$B$76,F$33)</f>
        <v>0</v>
      </c>
      <c r="G34">
        <f>SUMIFS('Unit Mix &amp; Rents'!$D$17:$D$76,'Unit Mix &amp; Rents'!$A$17:$A$76,$A34,'Unit Mix &amp; Rents'!$B$17:$B$76,G$33)</f>
        <v>0</v>
      </c>
      <c r="H34">
        <f>SUM(B34:G34)</f>
        <v>0</v>
      </c>
      <c r="I34" s="70"/>
    </row>
    <row r="35" spans="1:15">
      <c r="A35" s="70">
        <v>0.3</v>
      </c>
      <c r="B35">
        <f>SUMIFS('Unit Mix &amp; Rents'!$D$17:$D$76,'Unit Mix &amp; Rents'!$A$17:$A$76,$A35,'Unit Mix &amp; Rents'!$B$17:$B$76,B$33)</f>
        <v>0</v>
      </c>
      <c r="C35">
        <f>SUMIFS('Unit Mix &amp; Rents'!$D$17:$D$76,'Unit Mix &amp; Rents'!$A$17:$A$76,$A35,'Unit Mix &amp; Rents'!$B$17:$B$76,C$33)</f>
        <v>0</v>
      </c>
      <c r="D35">
        <f>SUMIFS('Unit Mix &amp; Rents'!$D$17:$D$76,'Unit Mix &amp; Rents'!$A$17:$A$76,$A35,'Unit Mix &amp; Rents'!$B$17:$B$76,D$33)</f>
        <v>0</v>
      </c>
      <c r="E35">
        <f>SUMIFS('Unit Mix &amp; Rents'!$D$17:$D$76,'Unit Mix &amp; Rents'!$A$17:$A$76,$A35,'Unit Mix &amp; Rents'!$B$17:$B$76,E$33)</f>
        <v>0</v>
      </c>
      <c r="F35">
        <f>SUMIFS('Unit Mix &amp; Rents'!$D$17:$D$76,'Unit Mix &amp; Rents'!$A$17:$A$76,$A35,'Unit Mix &amp; Rents'!$B$17:$B$76,F$33)</f>
        <v>0</v>
      </c>
      <c r="G35">
        <f>SUMIFS('Unit Mix &amp; Rents'!$D$17:$D$76,'Unit Mix &amp; Rents'!$A$17:$A$76,$A35,'Unit Mix &amp; Rents'!$B$17:$B$76,G$33)</f>
        <v>0</v>
      </c>
      <c r="H35">
        <f>SUM(B35:G35)</f>
        <v>0</v>
      </c>
      <c r="I35" s="70"/>
    </row>
    <row r="36" spans="1:15">
      <c r="A36" s="70">
        <v>0.4</v>
      </c>
      <c r="B36">
        <f>SUMIFS('Unit Mix &amp; Rents'!$D$17:$D$76,'Unit Mix &amp; Rents'!$A$17:$A$76,$A36,'Unit Mix &amp; Rents'!$B$17:$B$76,B$33)</f>
        <v>0</v>
      </c>
      <c r="C36">
        <f>SUMIFS('Unit Mix &amp; Rents'!$D$17:$D$76,'Unit Mix &amp; Rents'!$A$17:$A$76,$A36,'Unit Mix &amp; Rents'!$B$17:$B$76,C$33)</f>
        <v>0</v>
      </c>
      <c r="D36">
        <f>SUMIFS('Unit Mix &amp; Rents'!$D$17:$D$76,'Unit Mix &amp; Rents'!$A$17:$A$76,$A36,'Unit Mix &amp; Rents'!$B$17:$B$76,D$33)</f>
        <v>0</v>
      </c>
      <c r="E36">
        <f>SUMIFS('Unit Mix &amp; Rents'!$D$17:$D$76,'Unit Mix &amp; Rents'!$A$17:$A$76,$A36,'Unit Mix &amp; Rents'!$B$17:$B$76,E$33)</f>
        <v>0</v>
      </c>
      <c r="F36">
        <f>SUMIFS('Unit Mix &amp; Rents'!$D$17:$D$76,'Unit Mix &amp; Rents'!$A$17:$A$76,$A36,'Unit Mix &amp; Rents'!$B$17:$B$76,F$33)</f>
        <v>0</v>
      </c>
      <c r="G36">
        <f>SUMIFS('Unit Mix &amp; Rents'!$D$17:$D$76,'Unit Mix &amp; Rents'!$A$17:$A$76,$A36,'Unit Mix &amp; Rents'!$B$17:$B$76,G$33)</f>
        <v>0</v>
      </c>
      <c r="H36">
        <f>SUM(B36:G36)</f>
        <v>0</v>
      </c>
      <c r="I36" s="70"/>
    </row>
    <row r="37" spans="1:15">
      <c r="A37" s="70">
        <v>0.5</v>
      </c>
      <c r="B37">
        <f>SUMIFS('Unit Mix &amp; Rents'!$D$17:$D$76,'Unit Mix &amp; Rents'!$A$17:$A$76,$A37,'Unit Mix &amp; Rents'!$B$17:$B$76,B$33)</f>
        <v>0</v>
      </c>
      <c r="C37">
        <f>SUMIFS('Unit Mix &amp; Rents'!$D$17:$D$76,'Unit Mix &amp; Rents'!$A$17:$A$76,$A37,'Unit Mix &amp; Rents'!$B$17:$B$76,C$33)</f>
        <v>0</v>
      </c>
      <c r="D37">
        <f>SUMIFS('Unit Mix &amp; Rents'!$D$17:$D$76,'Unit Mix &amp; Rents'!$A$17:$A$76,$A37,'Unit Mix &amp; Rents'!$B$17:$B$76,D$33)</f>
        <v>0</v>
      </c>
      <c r="E37">
        <f>SUMIFS('Unit Mix &amp; Rents'!$D$17:$D$76,'Unit Mix &amp; Rents'!$A$17:$A$76,$A37,'Unit Mix &amp; Rents'!$B$17:$B$76,E$33)</f>
        <v>0</v>
      </c>
      <c r="F37">
        <f>SUMIFS('Unit Mix &amp; Rents'!$D$17:$D$76,'Unit Mix &amp; Rents'!$A$17:$A$76,$A37,'Unit Mix &amp; Rents'!$B$17:$B$76,F$33)</f>
        <v>0</v>
      </c>
      <c r="G37">
        <f>SUMIFS('Unit Mix &amp; Rents'!$D$17:$D$76,'Unit Mix &amp; Rents'!$A$17:$A$76,$A37,'Unit Mix &amp; Rents'!$B$17:$B$76,G$33)</f>
        <v>0</v>
      </c>
      <c r="H37">
        <f>SUM(B37:G37)</f>
        <v>0</v>
      </c>
      <c r="I37" s="70"/>
    </row>
    <row r="38" spans="1:15">
      <c r="A38" s="70">
        <v>0.6</v>
      </c>
      <c r="B38">
        <f>SUMIFS('Unit Mix &amp; Rents'!$D$17:$D$76,'Unit Mix &amp; Rents'!$A$17:$A$76,$A38,'Unit Mix &amp; Rents'!$B$17:$B$76,B$33)</f>
        <v>0</v>
      </c>
      <c r="C38">
        <f>SUMIFS('Unit Mix &amp; Rents'!$D$17:$D$76,'Unit Mix &amp; Rents'!$A$17:$A$76,$A38,'Unit Mix &amp; Rents'!$B$17:$B$76,C$33)</f>
        <v>0</v>
      </c>
      <c r="D38">
        <f>SUMIFS('Unit Mix &amp; Rents'!$D$17:$D$76,'Unit Mix &amp; Rents'!$A$17:$A$76,$A38,'Unit Mix &amp; Rents'!$B$17:$B$76,D$33)</f>
        <v>0</v>
      </c>
      <c r="E38">
        <f>SUMIFS('Unit Mix &amp; Rents'!$D$17:$D$76,'Unit Mix &amp; Rents'!$A$17:$A$76,$A38,'Unit Mix &amp; Rents'!$B$17:$B$76,E$33)</f>
        <v>0</v>
      </c>
      <c r="F38">
        <f>SUMIFS('Unit Mix &amp; Rents'!$D$17:$D$76,'Unit Mix &amp; Rents'!$A$17:$A$76,$A38,'Unit Mix &amp; Rents'!$B$17:$B$76,F$33)</f>
        <v>0</v>
      </c>
      <c r="G38">
        <f>SUMIFS('Unit Mix &amp; Rents'!$D$17:$D$76,'Unit Mix &amp; Rents'!$A$17:$A$76,$A38,'Unit Mix &amp; Rents'!$B$17:$B$76,G$33)</f>
        <v>0</v>
      </c>
      <c r="H38">
        <f>SUM(B38:G38)</f>
        <v>0</v>
      </c>
      <c r="I38" s="70"/>
    </row>
    <row r="39" spans="1:15">
      <c r="A39" s="70">
        <v>0.7</v>
      </c>
      <c r="B39">
        <f>SUMIFS('Unit Mix &amp; Rents'!$D$17:$D$76,'Unit Mix &amp; Rents'!$A$17:$A$76,$A39,'Unit Mix &amp; Rents'!$B$17:$B$76,B$33)</f>
        <v>0</v>
      </c>
      <c r="C39">
        <f>SUMIFS('Unit Mix &amp; Rents'!$D$17:$D$76,'Unit Mix &amp; Rents'!$A$17:$A$76,$A39,'Unit Mix &amp; Rents'!$B$17:$B$76,C$33)</f>
        <v>0</v>
      </c>
      <c r="D39">
        <f>SUMIFS('Unit Mix &amp; Rents'!$D$17:$D$76,'Unit Mix &amp; Rents'!$A$17:$A$76,$A39,'Unit Mix &amp; Rents'!$B$17:$B$76,D$33)</f>
        <v>0</v>
      </c>
      <c r="E39">
        <f>SUMIFS('Unit Mix &amp; Rents'!$D$17:$D$76,'Unit Mix &amp; Rents'!$A$17:$A$76,$A39,'Unit Mix &amp; Rents'!$B$17:$B$76,E$33)</f>
        <v>0</v>
      </c>
      <c r="F39">
        <f>SUMIFS('Unit Mix &amp; Rents'!$D$17:$D$76,'Unit Mix &amp; Rents'!$A$17:$A$76,$A39,'Unit Mix &amp; Rents'!$B$17:$B$76,F$33)</f>
        <v>0</v>
      </c>
      <c r="G39">
        <f>SUMIFS('Unit Mix &amp; Rents'!$D$17:$D$76,'Unit Mix &amp; Rents'!$A$17:$A$76,$A39,'Unit Mix &amp; Rents'!$B$17:$B$76,G$33)</f>
        <v>0</v>
      </c>
      <c r="H39">
        <f t="shared" ref="H39:H40" si="0">SUM(B39:G39)</f>
        <v>0</v>
      </c>
      <c r="I39" s="70"/>
    </row>
    <row r="40" spans="1:15">
      <c r="A40" s="70">
        <v>0.8</v>
      </c>
      <c r="B40">
        <f>SUMIFS('Unit Mix &amp; Rents'!$D$17:$D$76,'Unit Mix &amp; Rents'!$A$17:$A$76,$A40,'Unit Mix &amp; Rents'!$B$17:$B$76,B$33)</f>
        <v>0</v>
      </c>
      <c r="C40">
        <f>SUMIFS('Unit Mix &amp; Rents'!$D$17:$D$76,'Unit Mix &amp; Rents'!$A$17:$A$76,$A40,'Unit Mix &amp; Rents'!$B$17:$B$76,C$33)</f>
        <v>0</v>
      </c>
      <c r="D40">
        <f>SUMIFS('Unit Mix &amp; Rents'!$D$17:$D$76,'Unit Mix &amp; Rents'!$A$17:$A$76,$A40,'Unit Mix &amp; Rents'!$B$17:$B$76,D$33)</f>
        <v>0</v>
      </c>
      <c r="E40">
        <f>SUMIFS('Unit Mix &amp; Rents'!$D$17:$D$76,'Unit Mix &amp; Rents'!$A$17:$A$76,$A40,'Unit Mix &amp; Rents'!$B$17:$B$76,E$33)</f>
        <v>0</v>
      </c>
      <c r="F40">
        <f>SUMIFS('Unit Mix &amp; Rents'!$D$17:$D$76,'Unit Mix &amp; Rents'!$A$17:$A$76,$A40,'Unit Mix &amp; Rents'!$B$17:$B$76,F$33)</f>
        <v>0</v>
      </c>
      <c r="G40">
        <f>SUMIFS('Unit Mix &amp; Rents'!$D$17:$D$76,'Unit Mix &amp; Rents'!$A$17:$A$76,$A40,'Unit Mix &amp; Rents'!$B$17:$B$76,G$33)</f>
        <v>0</v>
      </c>
      <c r="H40">
        <f t="shared" si="0"/>
        <v>0</v>
      </c>
      <c r="I40" s="70"/>
      <c r="K40" s="16" t="s">
        <v>2568</v>
      </c>
      <c r="L40" s="16"/>
      <c r="M40" s="16"/>
      <c r="N40" s="16"/>
      <c r="O40" s="16"/>
    </row>
    <row r="41" spans="1:15">
      <c r="A41" t="s">
        <v>2569</v>
      </c>
      <c r="B41" s="1">
        <f>SUM(B34:B40)</f>
        <v>0</v>
      </c>
      <c r="C41" s="1">
        <f t="shared" ref="C41:H41" si="1">SUM(C34:C40)</f>
        <v>0</v>
      </c>
      <c r="D41" s="1">
        <f t="shared" si="1"/>
        <v>0</v>
      </c>
      <c r="E41" s="1">
        <f t="shared" si="1"/>
        <v>0</v>
      </c>
      <c r="F41" s="1">
        <f t="shared" si="1"/>
        <v>0</v>
      </c>
      <c r="G41" s="1">
        <f t="shared" si="1"/>
        <v>0</v>
      </c>
      <c r="H41" s="121">
        <f t="shared" si="1"/>
        <v>0</v>
      </c>
      <c r="K41" s="384" t="s">
        <v>2570</v>
      </c>
      <c r="L41" s="385">
        <f>IFERROR(SUMPRODUCT(A34:A40,H34:H40)/H41,0)</f>
        <v>0</v>
      </c>
      <c r="M41" s="16"/>
      <c r="N41" s="16"/>
      <c r="O41" s="16"/>
    </row>
    <row r="42" spans="1:15">
      <c r="K42" s="384" t="s">
        <v>2571</v>
      </c>
      <c r="L42" s="16" t="b">
        <f>L41&lt;=0.6</f>
        <v>1</v>
      </c>
      <c r="M42" s="16" t="str">
        <f>IF(L41&lt;=0.6,"Average Income midpoint is less than 60%","Average Income midpoint exceeds 60%")</f>
        <v>Average Income midpoint is less than 60%</v>
      </c>
      <c r="N42" s="16"/>
      <c r="O42" s="16"/>
    </row>
    <row r="43" spans="1:15">
      <c r="A43" t="s">
        <v>2572</v>
      </c>
      <c r="B43">
        <f>SUMIFS('Unit Mix &amp; Rents'!$D$17:$D$76,'Unit Mix &amp; Rents'!$A$17:$A$76,$A43,'Unit Mix &amp; Rents'!$B$17:$B$76,B$33)</f>
        <v>0</v>
      </c>
      <c r="C43">
        <f>SUMIFS('Unit Mix &amp; Rents'!$D$17:$D$76,'Unit Mix &amp; Rents'!$A$17:$A$76,$A43,'Unit Mix &amp; Rents'!$B$17:$B$76,C$33)</f>
        <v>0</v>
      </c>
      <c r="D43">
        <f>SUMIFS('Unit Mix &amp; Rents'!$D$17:$D$76,'Unit Mix &amp; Rents'!$A$17:$A$76,$A43,'Unit Mix &amp; Rents'!$B$17:$B$76,D$33)</f>
        <v>0</v>
      </c>
      <c r="E43">
        <f>SUMIFS('Unit Mix &amp; Rents'!$D$17:$D$76,'Unit Mix &amp; Rents'!$A$17:$A$76,$A43,'Unit Mix &amp; Rents'!$B$17:$B$76,E$33)</f>
        <v>0</v>
      </c>
      <c r="F43">
        <f>SUMIFS('Unit Mix &amp; Rents'!$D$17:$D$76,'Unit Mix &amp; Rents'!$A$17:$A$76,$A43,'Unit Mix &amp; Rents'!$B$17:$B$76,F$33)</f>
        <v>0</v>
      </c>
      <c r="G43">
        <f>SUMIFS('Unit Mix &amp; Rents'!$D$17:$D$76,'Unit Mix &amp; Rents'!$A$17:$A$76,$A43,'Unit Mix &amp; Rents'!$B$17:$B$76,G$33)</f>
        <v>0</v>
      </c>
      <c r="H43">
        <f>SUM(B43:G43)</f>
        <v>0</v>
      </c>
      <c r="K43" t="s">
        <v>2570</v>
      </c>
      <c r="L43" t="b">
        <f>AND(B5,M43,NOT(OR(N43,O43)))</f>
        <v>0</v>
      </c>
      <c r="M43" t="b">
        <f>Scoring!B5 = "Average Income"</f>
        <v>0</v>
      </c>
      <c r="N43" t="b">
        <f>IF(H45 = 0, TRUE,  SUM(H34:H37)/H45 &gt;= 0.2)</f>
        <v>1</v>
      </c>
      <c r="O43" t="b">
        <f>IF(H45 = 0, TRUE,  SUM(H34:H38)/H45 &gt;= 0.4)</f>
        <v>1</v>
      </c>
    </row>
    <row r="44" spans="1:15">
      <c r="A44" s="70">
        <v>1</v>
      </c>
      <c r="B44">
        <f>SUMIFS('Unit Mix &amp; Rents'!$D$17:$D$76,'Unit Mix &amp; Rents'!$A$17:$A$76,$A44,'Unit Mix &amp; Rents'!$B$17:$B$76,B$33)</f>
        <v>0</v>
      </c>
      <c r="C44">
        <f>SUMIFS('Unit Mix &amp; Rents'!$D$17:$D$76,'Unit Mix &amp; Rents'!$A$17:$A$76,$A44,'Unit Mix &amp; Rents'!$B$17:$B$76,C$33)</f>
        <v>0</v>
      </c>
      <c r="D44">
        <f>SUMIFS('Unit Mix &amp; Rents'!$D$17:$D$76,'Unit Mix &amp; Rents'!$A$17:$A$76,$A44,'Unit Mix &amp; Rents'!$B$17:$B$76,D$33)</f>
        <v>0</v>
      </c>
      <c r="E44">
        <f>SUMIFS('Unit Mix &amp; Rents'!$D$17:$D$76,'Unit Mix &amp; Rents'!$A$17:$A$76,$A44,'Unit Mix &amp; Rents'!$B$17:$B$76,E$33)</f>
        <v>0</v>
      </c>
      <c r="F44">
        <f>SUMIFS('Unit Mix &amp; Rents'!$D$17:$D$76,'Unit Mix &amp; Rents'!$A$17:$A$76,$A44,'Unit Mix &amp; Rents'!$B$17:$B$76,F$33)</f>
        <v>0</v>
      </c>
      <c r="G44">
        <f>SUMIFS('Unit Mix &amp; Rents'!$D$17:$D$76,'Unit Mix &amp; Rents'!$A$17:$A$76,$A44,'Unit Mix &amp; Rents'!$B$17:$B$76,G$33)</f>
        <v>0</v>
      </c>
      <c r="H44">
        <f>SUM(B44:G44)</f>
        <v>0</v>
      </c>
      <c r="I44" s="70"/>
      <c r="L44" t="str">
        <f>INDEX(Comments_Average_Income_table[],MATCH(L43,Comments_Average_Income_table[Average Income],0),2)</f>
        <v xml:space="preserve">  </v>
      </c>
    </row>
    <row r="45" spans="1:15">
      <c r="A45" t="s">
        <v>887</v>
      </c>
      <c r="B45">
        <f t="shared" ref="B45:G45" si="2">SUM(B41:B44)</f>
        <v>0</v>
      </c>
      <c r="C45">
        <f t="shared" si="2"/>
        <v>0</v>
      </c>
      <c r="D45">
        <f t="shared" si="2"/>
        <v>0</v>
      </c>
      <c r="E45">
        <f t="shared" si="2"/>
        <v>0</v>
      </c>
      <c r="F45">
        <f t="shared" si="2"/>
        <v>0</v>
      </c>
      <c r="G45">
        <f t="shared" si="2"/>
        <v>0</v>
      </c>
      <c r="H45">
        <f>SUM(B45:G45)</f>
        <v>0</v>
      </c>
      <c r="K45" t="s">
        <v>2573</v>
      </c>
      <c r="L45" s="302">
        <f>SUM(H39:H40)</f>
        <v>0</v>
      </c>
      <c r="M45" t="b">
        <f>Scoring!B5 = "Average Income"</f>
        <v>0</v>
      </c>
      <c r="O45" s="67"/>
    </row>
    <row r="46" spans="1:15">
      <c r="A46" t="s">
        <v>1954</v>
      </c>
      <c r="B46">
        <f>1*B45</f>
        <v>0</v>
      </c>
      <c r="C46">
        <f>1*C45</f>
        <v>0</v>
      </c>
      <c r="D46">
        <f>2*D45</f>
        <v>0</v>
      </c>
      <c r="E46">
        <f>3*E45</f>
        <v>0</v>
      </c>
      <c r="F46">
        <f>4*F45</f>
        <v>0</v>
      </c>
      <c r="G46">
        <f>5*G45</f>
        <v>0</v>
      </c>
      <c r="H46">
        <f>SUM(B46:G46)</f>
        <v>0</v>
      </c>
      <c r="O46" s="67"/>
    </row>
    <row r="47" spans="1:15">
      <c r="A47" t="s">
        <v>2574</v>
      </c>
      <c r="H47">
        <f>H41+H43</f>
        <v>0</v>
      </c>
      <c r="O47" s="67"/>
    </row>
    <row r="48" spans="1:15">
      <c r="A48" s="72" t="s">
        <v>1003</v>
      </c>
      <c r="B48" s="72" t="s">
        <v>2575</v>
      </c>
      <c r="C48" s="72" t="s">
        <v>2576</v>
      </c>
      <c r="D48" s="72" t="s">
        <v>2577</v>
      </c>
      <c r="E48" s="72" t="s">
        <v>2578</v>
      </c>
      <c r="F48" s="72" t="s">
        <v>2579</v>
      </c>
      <c r="G48" s="72" t="s">
        <v>2580</v>
      </c>
      <c r="H48" s="72" t="s">
        <v>2581</v>
      </c>
      <c r="O48" t="s">
        <v>1004</v>
      </c>
    </row>
    <row r="49" spans="1:16">
      <c r="A49" s="70">
        <v>0.2</v>
      </c>
      <c r="B49" s="77">
        <f>SUMPRODUCT('Unit Mix &amp; Rents'!$C$17:$C$76,'Unit Mix &amp; Rents'!$D$17:$D$76 * ('Unit Mix &amp; Rents'!$A$17:$A$76=$A49) * (LEFT('Unit Mix &amp; Rents'!$B$17:$B$76, 5) =B$48))</f>
        <v>0</v>
      </c>
      <c r="C49" s="77">
        <f>SUMPRODUCT('Unit Mix &amp; Rents'!$C$17:$C$76,'Unit Mix &amp; Rents'!$D$17:$D$76 * ('Unit Mix &amp; Rents'!$A$17:$A$76=$A49) * (LEFT('Unit Mix &amp; Rents'!$B$17:$B$76, 5) =C$48))</f>
        <v>0</v>
      </c>
      <c r="D49" s="77">
        <f>SUMPRODUCT('Unit Mix &amp; Rents'!$C$17:$C$76,'Unit Mix &amp; Rents'!$D$17:$D$76 * ('Unit Mix &amp; Rents'!$A$17:$A$76=$A49) * (LEFT('Unit Mix &amp; Rents'!$B$17:$B$76, 5) =D$48))</f>
        <v>0</v>
      </c>
      <c r="E49" s="77">
        <f>SUMPRODUCT('Unit Mix &amp; Rents'!$C$17:$C$76,'Unit Mix &amp; Rents'!$D$17:$D$76 * ('Unit Mix &amp; Rents'!$A$17:$A$76=$A49) * (LEFT('Unit Mix &amp; Rents'!$B$17:$B$76, 5) =E$48))</f>
        <v>0</v>
      </c>
      <c r="F49" s="77">
        <f>SUMPRODUCT('Unit Mix &amp; Rents'!$C$17:$C$76,'Unit Mix &amp; Rents'!$D$17:$D$76 * ('Unit Mix &amp; Rents'!$A$17:$A$76=$A49) * (LEFT('Unit Mix &amp; Rents'!$B$17:$B$76, 5) =F$48))</f>
        <v>0</v>
      </c>
      <c r="G49" s="77">
        <f>SUMPRODUCT('Unit Mix &amp; Rents'!$C$17:$C$76,'Unit Mix &amp; Rents'!$D$17:$D$76 * ('Unit Mix &amp; Rents'!$A$17:$A$76=$A49) * (LEFT('Unit Mix &amp; Rents'!$B$17:$B$76, 5) =G$48))</f>
        <v>0</v>
      </c>
      <c r="H49" s="77">
        <f>SUM(B49:G49)</f>
        <v>0</v>
      </c>
      <c r="K49" t="s">
        <v>2582</v>
      </c>
      <c r="N49">
        <f>H60</f>
        <v>0</v>
      </c>
      <c r="O49" s="8" t="e">
        <f>N49/N50</f>
        <v>#DIV/0!</v>
      </c>
    </row>
    <row r="50" spans="1:16">
      <c r="A50" s="70">
        <v>0.3</v>
      </c>
      <c r="B50" s="77">
        <f>SUMPRODUCT('Unit Mix &amp; Rents'!$C$17:$C$76,'Unit Mix &amp; Rents'!$D$17:$D$76 * ('Unit Mix &amp; Rents'!$A$17:$A$76=$A50) * (LEFT('Unit Mix &amp; Rents'!$B$17:$B$76, 5) =B$48))</f>
        <v>0</v>
      </c>
      <c r="C50" s="77">
        <f>SUMPRODUCT('Unit Mix &amp; Rents'!$C$17:$C$76,'Unit Mix &amp; Rents'!$D$17:$D$76 * ('Unit Mix &amp; Rents'!$A$17:$A$76=$A50) * (LEFT('Unit Mix &amp; Rents'!$B$17:$B$76, 5) =C$48))</f>
        <v>0</v>
      </c>
      <c r="D50" s="77">
        <f>SUMPRODUCT('Unit Mix &amp; Rents'!$C$17:$C$76,'Unit Mix &amp; Rents'!$D$17:$D$76 * ('Unit Mix &amp; Rents'!$A$17:$A$76=$A50) * (LEFT('Unit Mix &amp; Rents'!$B$17:$B$76, 5) =D$48))</f>
        <v>0</v>
      </c>
      <c r="E50" s="77">
        <f>SUMPRODUCT('Unit Mix &amp; Rents'!$C$17:$C$76,'Unit Mix &amp; Rents'!$D$17:$D$76 * ('Unit Mix &amp; Rents'!$A$17:$A$76=$A50) * (LEFT('Unit Mix &amp; Rents'!$B$17:$B$76, 5) =E$48))</f>
        <v>0</v>
      </c>
      <c r="F50" s="77">
        <f>SUMPRODUCT('Unit Mix &amp; Rents'!$C$17:$C$76,'Unit Mix &amp; Rents'!$D$17:$D$76 * ('Unit Mix &amp; Rents'!$A$17:$A$76=$A50) * (LEFT('Unit Mix &amp; Rents'!$B$17:$B$76, 5) =F$48))</f>
        <v>0</v>
      </c>
      <c r="G50" s="77">
        <f>SUMPRODUCT('Unit Mix &amp; Rents'!$C$17:$C$76,'Unit Mix &amp; Rents'!$D$17:$D$76 * ('Unit Mix &amp; Rents'!$A$17:$A$76=$A50) * (LEFT('Unit Mix &amp; Rents'!$B$17:$B$76, 5) =G$48))</f>
        <v>0</v>
      </c>
      <c r="H50" s="77">
        <f>SUM(B50:G50)</f>
        <v>0</v>
      </c>
      <c r="K50" t="s">
        <v>2583</v>
      </c>
      <c r="N50" s="302">
        <f>M55+H60</f>
        <v>0</v>
      </c>
      <c r="P50" t="s">
        <v>2584</v>
      </c>
    </row>
    <row r="51" spans="1:16">
      <c r="A51" s="70">
        <v>0.4</v>
      </c>
      <c r="B51" s="77">
        <f>SUMPRODUCT('Unit Mix &amp; Rents'!$C$17:$C$76,'Unit Mix &amp; Rents'!$D$17:$D$76 * ('Unit Mix &amp; Rents'!$A$17:$A$76=$A51) * (LEFT('Unit Mix &amp; Rents'!$B$17:$B$76, 5) =B$48))</f>
        <v>0</v>
      </c>
      <c r="C51" s="77">
        <f>SUMPRODUCT('Unit Mix &amp; Rents'!$C$17:$C$76,'Unit Mix &amp; Rents'!$D$17:$D$76 * ('Unit Mix &amp; Rents'!$A$17:$A$76=$A51) * (LEFT('Unit Mix &amp; Rents'!$B$17:$B$76, 5) =C$48))</f>
        <v>0</v>
      </c>
      <c r="D51" s="77">
        <f>SUMPRODUCT('Unit Mix &amp; Rents'!$C$17:$C$76,'Unit Mix &amp; Rents'!$D$17:$D$76 * ('Unit Mix &amp; Rents'!$A$17:$A$76=$A51) * (LEFT('Unit Mix &amp; Rents'!$B$17:$B$76, 5) =D$48))</f>
        <v>0</v>
      </c>
      <c r="E51" s="77">
        <f>SUMPRODUCT('Unit Mix &amp; Rents'!$C$17:$C$76,'Unit Mix &amp; Rents'!$D$17:$D$76 * ('Unit Mix &amp; Rents'!$A$17:$A$76=$A51) * (LEFT('Unit Mix &amp; Rents'!$B$17:$B$76, 5) =E$48))</f>
        <v>0</v>
      </c>
      <c r="F51" s="77">
        <f>SUMPRODUCT('Unit Mix &amp; Rents'!$C$17:$C$76,'Unit Mix &amp; Rents'!$D$17:$D$76 * ('Unit Mix &amp; Rents'!$A$17:$A$76=$A51) * (LEFT('Unit Mix &amp; Rents'!$B$17:$B$76, 5) =F$48))</f>
        <v>0</v>
      </c>
      <c r="G51" s="77">
        <f>SUMPRODUCT('Unit Mix &amp; Rents'!$C$17:$C$76,'Unit Mix &amp; Rents'!$D$17:$D$76 * ('Unit Mix &amp; Rents'!$A$17:$A$76=$A51) * (LEFT('Unit Mix &amp; Rents'!$B$17:$B$76, 5) =G$48))</f>
        <v>0</v>
      </c>
      <c r="H51" s="77">
        <f>SUM(B51:G51)</f>
        <v>0</v>
      </c>
    </row>
    <row r="52" spans="1:16">
      <c r="A52" s="70">
        <v>0.5</v>
      </c>
      <c r="B52" s="77">
        <f>SUMPRODUCT('Unit Mix &amp; Rents'!$C$17:$C$76,'Unit Mix &amp; Rents'!$D$17:$D$76 * ('Unit Mix &amp; Rents'!$A$17:$A$76=$A52) * (LEFT('Unit Mix &amp; Rents'!$B$17:$B$76, 5) =B$48))</f>
        <v>0</v>
      </c>
      <c r="C52" s="77">
        <f>SUMPRODUCT('Unit Mix &amp; Rents'!$C$17:$C$76,'Unit Mix &amp; Rents'!$D$17:$D$76 * ('Unit Mix &amp; Rents'!$A$17:$A$76=$A52) * (LEFT('Unit Mix &amp; Rents'!$B$17:$B$76, 5) =C$48))</f>
        <v>0</v>
      </c>
      <c r="D52" s="77">
        <f>SUMPRODUCT('Unit Mix &amp; Rents'!$C$17:$C$76,'Unit Mix &amp; Rents'!$D$17:$D$76 * ('Unit Mix &amp; Rents'!$A$17:$A$76=$A52) * (LEFT('Unit Mix &amp; Rents'!$B$17:$B$76, 5) =D$48))</f>
        <v>0</v>
      </c>
      <c r="E52" s="77">
        <f>SUMPRODUCT('Unit Mix &amp; Rents'!$C$17:$C$76,'Unit Mix &amp; Rents'!$D$17:$D$76 * ('Unit Mix &amp; Rents'!$A$17:$A$76=$A52) * (LEFT('Unit Mix &amp; Rents'!$B$17:$B$76, 5) =E$48))</f>
        <v>0</v>
      </c>
      <c r="F52" s="77">
        <f>SUMPRODUCT('Unit Mix &amp; Rents'!$C$17:$C$76,'Unit Mix &amp; Rents'!$D$17:$D$76 * ('Unit Mix &amp; Rents'!$A$17:$A$76=$A52) * (LEFT('Unit Mix &amp; Rents'!$B$17:$B$76, 5) =F$48))</f>
        <v>0</v>
      </c>
      <c r="G52" s="77">
        <f>SUMPRODUCT('Unit Mix &amp; Rents'!$C$17:$C$76,'Unit Mix &amp; Rents'!$D$17:$D$76 * ('Unit Mix &amp; Rents'!$A$17:$A$76=$A52) * (LEFT('Unit Mix &amp; Rents'!$B$17:$B$76, 5) =G$48))</f>
        <v>0</v>
      </c>
      <c r="H52" s="77">
        <f>SUM(B52:G52)</f>
        <v>0</v>
      </c>
      <c r="K52" s="1" t="s">
        <v>1002</v>
      </c>
      <c r="L52" s="74"/>
      <c r="M52" s="75" t="s">
        <v>1003</v>
      </c>
    </row>
    <row r="53" spans="1:16">
      <c r="A53" s="70">
        <v>0.6</v>
      </c>
      <c r="B53" s="77">
        <f>SUMPRODUCT('Unit Mix &amp; Rents'!$C$17:$C$76,'Unit Mix &amp; Rents'!$D$17:$D$76 * ('Unit Mix &amp; Rents'!$A$17:$A$76=$A53) * (LEFT('Unit Mix &amp; Rents'!$B$17:$B$76, 5) =B$48))</f>
        <v>0</v>
      </c>
      <c r="C53" s="77">
        <f>SUMPRODUCT('Unit Mix &amp; Rents'!$C$17:$C$76,'Unit Mix &amp; Rents'!$D$17:$D$76 * ('Unit Mix &amp; Rents'!$A$17:$A$76=$A53) * (LEFT('Unit Mix &amp; Rents'!$B$17:$B$76, 5) =C$48))</f>
        <v>0</v>
      </c>
      <c r="D53" s="77">
        <f>SUMPRODUCT('Unit Mix &amp; Rents'!$C$17:$C$76,'Unit Mix &amp; Rents'!$D$17:$D$76 * ('Unit Mix &amp; Rents'!$A$17:$A$76=$A53) * (LEFT('Unit Mix &amp; Rents'!$B$17:$B$76, 5) =D$48))</f>
        <v>0</v>
      </c>
      <c r="E53" s="77">
        <f>SUMPRODUCT('Unit Mix &amp; Rents'!$C$17:$C$76,'Unit Mix &amp; Rents'!$D$17:$D$76 * ('Unit Mix &amp; Rents'!$A$17:$A$76=$A53) * (LEFT('Unit Mix &amp; Rents'!$B$17:$B$76, 5) =E$48))</f>
        <v>0</v>
      </c>
      <c r="F53" s="77">
        <f>SUMPRODUCT('Unit Mix &amp; Rents'!$C$17:$C$76,'Unit Mix &amp; Rents'!$D$17:$D$76 * ('Unit Mix &amp; Rents'!$A$17:$A$76=$A53) * (LEFT('Unit Mix &amp; Rents'!$B$17:$B$76, 5) =F$48))</f>
        <v>0</v>
      </c>
      <c r="G53" s="77">
        <f>SUMPRODUCT('Unit Mix &amp; Rents'!$C$17:$C$76,'Unit Mix &amp; Rents'!$D$17:$D$76 * ('Unit Mix &amp; Rents'!$A$17:$A$76=$A53) * (LEFT('Unit Mix &amp; Rents'!$B$17:$B$76, 5) =G$48))</f>
        <v>0</v>
      </c>
      <c r="H53" s="77">
        <f>SUM(B53:G53)</f>
        <v>0</v>
      </c>
      <c r="K53" s="76" t="s">
        <v>1005</v>
      </c>
      <c r="M53" s="77">
        <f>Application!B64</f>
        <v>0</v>
      </c>
      <c r="O53" s="8" t="e">
        <f>M53/N50</f>
        <v>#DIV/0!</v>
      </c>
    </row>
    <row r="54" spans="1:16">
      <c r="A54" s="70">
        <v>0.7</v>
      </c>
      <c r="B54" s="77">
        <f>SUMPRODUCT('Unit Mix &amp; Rents'!$C$17:$C$76,'Unit Mix &amp; Rents'!$D$17:$D$76 * ('Unit Mix &amp; Rents'!$A$17:$A$76=$A54) * (LEFT('Unit Mix &amp; Rents'!$B$17:$B$76, 5) =B$48))</f>
        <v>0</v>
      </c>
      <c r="C54" s="77">
        <f>SUMPRODUCT('Unit Mix &amp; Rents'!$C$17:$C$76,'Unit Mix &amp; Rents'!$D$17:$D$76 * ('Unit Mix &amp; Rents'!$A$17:$A$76=$A54) * (LEFT('Unit Mix &amp; Rents'!$B$17:$B$76, 5) =C$48))</f>
        <v>0</v>
      </c>
      <c r="D54" s="77">
        <f>SUMPRODUCT('Unit Mix &amp; Rents'!$C$17:$C$76,'Unit Mix &amp; Rents'!$D$17:$D$76 * ('Unit Mix &amp; Rents'!$A$17:$A$76=$A54) * (LEFT('Unit Mix &amp; Rents'!$B$17:$B$76, 5) =D$48))</f>
        <v>0</v>
      </c>
      <c r="E54" s="77">
        <f>SUMPRODUCT('Unit Mix &amp; Rents'!$C$17:$C$76,'Unit Mix &amp; Rents'!$D$17:$D$76 * ('Unit Mix &amp; Rents'!$A$17:$A$76=$A54) * (LEFT('Unit Mix &amp; Rents'!$B$17:$B$76, 5) =E$48))</f>
        <v>0</v>
      </c>
      <c r="F54" s="77">
        <f>SUMPRODUCT('Unit Mix &amp; Rents'!$C$17:$C$76,'Unit Mix &amp; Rents'!$D$17:$D$76 * ('Unit Mix &amp; Rents'!$A$17:$A$76=$A54) * (LEFT('Unit Mix &amp; Rents'!$B$17:$B$76, 5) =F$48))</f>
        <v>0</v>
      </c>
      <c r="G54" s="77">
        <f>SUMPRODUCT('Unit Mix &amp; Rents'!$C$17:$C$76,'Unit Mix &amp; Rents'!$D$17:$D$76 * ('Unit Mix &amp; Rents'!$A$17:$A$76=$A54) * (LEFT('Unit Mix &amp; Rents'!$B$17:$B$76, 5) =G$48))</f>
        <v>0</v>
      </c>
      <c r="H54" s="77">
        <f t="shared" ref="H54:H55" si="3">SUM(B54:G54)</f>
        <v>0</v>
      </c>
      <c r="K54" s="78" t="s">
        <v>1006</v>
      </c>
      <c r="M54" s="77">
        <f>Application!B65</f>
        <v>0</v>
      </c>
      <c r="O54" s="8" t="e">
        <f>M54/N50</f>
        <v>#DIV/0!</v>
      </c>
    </row>
    <row r="55" spans="1:16">
      <c r="A55" s="70">
        <v>0.8</v>
      </c>
      <c r="B55" s="77">
        <f>SUMPRODUCT('Unit Mix &amp; Rents'!$C$17:$C$76,'Unit Mix &amp; Rents'!$D$17:$D$76 * ('Unit Mix &amp; Rents'!$A$17:$A$76=$A55) * (LEFT('Unit Mix &amp; Rents'!$B$17:$B$76, 5) =B$48))</f>
        <v>0</v>
      </c>
      <c r="C55" s="77">
        <f>SUMPRODUCT('Unit Mix &amp; Rents'!$C$17:$C$76,'Unit Mix &amp; Rents'!$D$17:$D$76 * ('Unit Mix &amp; Rents'!$A$17:$A$76=$A55) * (LEFT('Unit Mix &amp; Rents'!$B$17:$B$76, 5) =C$48))</f>
        <v>0</v>
      </c>
      <c r="D55" s="77">
        <f>SUMPRODUCT('Unit Mix &amp; Rents'!$C$17:$C$76,'Unit Mix &amp; Rents'!$D$17:$D$76 * ('Unit Mix &amp; Rents'!$A$17:$A$76=$A55) * (LEFT('Unit Mix &amp; Rents'!$B$17:$B$76, 5) =D$48))</f>
        <v>0</v>
      </c>
      <c r="E55" s="77">
        <f>SUMPRODUCT('Unit Mix &amp; Rents'!$C$17:$C$76,'Unit Mix &amp; Rents'!$D$17:$D$76 * ('Unit Mix &amp; Rents'!$A$17:$A$76=$A55) * (LEFT('Unit Mix &amp; Rents'!$B$17:$B$76, 5) =E$48))</f>
        <v>0</v>
      </c>
      <c r="F55" s="77">
        <f>SUMPRODUCT('Unit Mix &amp; Rents'!$C$17:$C$76,'Unit Mix &amp; Rents'!$D$17:$D$76 * ('Unit Mix &amp; Rents'!$A$17:$A$76=$A55) * (LEFT('Unit Mix &amp; Rents'!$B$17:$B$76, 5) =F$48))</f>
        <v>0</v>
      </c>
      <c r="G55" s="77">
        <f>SUMPRODUCT('Unit Mix &amp; Rents'!$C$17:$C$76,'Unit Mix &amp; Rents'!$D$17:$D$76 * ('Unit Mix &amp; Rents'!$A$17:$A$76=$A55) * (LEFT('Unit Mix &amp; Rents'!$B$17:$B$76, 5) =G$48))</f>
        <v>0</v>
      </c>
      <c r="H55" s="77">
        <f t="shared" si="3"/>
        <v>0</v>
      </c>
      <c r="K55" s="1" t="s">
        <v>2585</v>
      </c>
      <c r="L55" s="80"/>
      <c r="M55" s="80">
        <f>SUM(M53:M54)</f>
        <v>0</v>
      </c>
      <c r="O55" s="8" t="e">
        <f>M55/N50</f>
        <v>#DIV/0!</v>
      </c>
    </row>
    <row r="56" spans="1:16">
      <c r="A56" t="s">
        <v>2569</v>
      </c>
      <c r="B56" s="77">
        <f>SUM(B49:B55)</f>
        <v>0</v>
      </c>
      <c r="C56" s="77">
        <f t="shared" ref="C56:H56" si="4">SUM(C49:C55)</f>
        <v>0</v>
      </c>
      <c r="D56" s="77">
        <f t="shared" si="4"/>
        <v>0</v>
      </c>
      <c r="E56" s="77">
        <f t="shared" si="4"/>
        <v>0</v>
      </c>
      <c r="F56" s="77">
        <f t="shared" si="4"/>
        <v>0</v>
      </c>
      <c r="G56" s="77">
        <f t="shared" si="4"/>
        <v>0</v>
      </c>
      <c r="H56" s="77">
        <f t="shared" si="4"/>
        <v>0</v>
      </c>
      <c r="K56" s="1" t="s">
        <v>1008</v>
      </c>
      <c r="M56" s="302">
        <f>H60+M55</f>
        <v>0</v>
      </c>
    </row>
    <row r="58" spans="1:16">
      <c r="A58" t="s">
        <v>2572</v>
      </c>
      <c r="B58" s="77">
        <f>SUMPRODUCT('Unit Mix &amp; Rents'!$C$17:$C$76,'Unit Mix &amp; Rents'!$D$17:$D$76 * ('Unit Mix &amp; Rents'!$A$17:$A$76=$A58) * (LEFT('Unit Mix &amp; Rents'!$B$17:$B$76, 5) =B$48))</f>
        <v>0</v>
      </c>
      <c r="C58" s="77">
        <f>SUMPRODUCT('Unit Mix &amp; Rents'!$C$17:$C$76,'Unit Mix &amp; Rents'!$D$17:$D$76 * ('Unit Mix &amp; Rents'!$A$17:$A$76=$A58) * (LEFT('Unit Mix &amp; Rents'!$B$17:$B$76, 5) =C$48))</f>
        <v>0</v>
      </c>
      <c r="D58" s="77">
        <f>SUMPRODUCT('Unit Mix &amp; Rents'!$C$17:$C$76,'Unit Mix &amp; Rents'!$D$17:$D$76 * ('Unit Mix &amp; Rents'!$A$17:$A$76=$A58) * (LEFT('Unit Mix &amp; Rents'!$B$17:$B$76, 5) =D$48))</f>
        <v>0</v>
      </c>
      <c r="E58" s="77">
        <f>SUMPRODUCT('Unit Mix &amp; Rents'!$C$17:$C$76,'Unit Mix &amp; Rents'!$D$17:$D$76 * ('Unit Mix &amp; Rents'!$A$17:$A$76=$A58) * (LEFT('Unit Mix &amp; Rents'!$B$17:$B$76, 5) =E$48))</f>
        <v>0</v>
      </c>
      <c r="F58" s="77">
        <f>SUMPRODUCT('Unit Mix &amp; Rents'!$C$17:$C$76,'Unit Mix &amp; Rents'!$D$17:$D$76 * ('Unit Mix &amp; Rents'!$A$17:$A$76=$A58) * (LEFT('Unit Mix &amp; Rents'!$B$17:$B$76, 5) =F$48))</f>
        <v>0</v>
      </c>
      <c r="G58" s="77">
        <f>SUMPRODUCT('Unit Mix &amp; Rents'!$C$17:$C$76,'Unit Mix &amp; Rents'!$D$17:$D$76 * ('Unit Mix &amp; Rents'!$A$17:$A$76=$A58) * (LEFT('Unit Mix &amp; Rents'!$B$17:$B$76, 5) =G$48))</f>
        <v>0</v>
      </c>
      <c r="H58" s="77">
        <f>SUM(B58:G58)</f>
        <v>0</v>
      </c>
    </row>
    <row r="59" spans="1:16">
      <c r="A59" s="70">
        <v>1</v>
      </c>
      <c r="B59" s="77">
        <f>SUMPRODUCT('Unit Mix &amp; Rents'!$C$17:$C$76,'Unit Mix &amp; Rents'!$D$17:$D$76 * ('Unit Mix &amp; Rents'!$A$17:$A$76=$A59) * (LEFT('Unit Mix &amp; Rents'!$B$17:$B$76, 5) =B$48))</f>
        <v>0</v>
      </c>
      <c r="C59" s="77">
        <f>SUMPRODUCT('Unit Mix &amp; Rents'!$C$17:$C$76,'Unit Mix &amp; Rents'!$D$17:$D$76 * ('Unit Mix &amp; Rents'!$A$17:$A$76=$A59) * (LEFT('Unit Mix &amp; Rents'!$B$17:$B$76, 5) =C$48))</f>
        <v>0</v>
      </c>
      <c r="D59" s="77">
        <f>SUMPRODUCT('Unit Mix &amp; Rents'!$C$17:$C$76,'Unit Mix &amp; Rents'!$D$17:$D$76 * ('Unit Mix &amp; Rents'!$A$17:$A$76=$A59) * (LEFT('Unit Mix &amp; Rents'!$B$17:$B$76, 5) =D$48))</f>
        <v>0</v>
      </c>
      <c r="E59" s="77">
        <f>SUMPRODUCT('Unit Mix &amp; Rents'!$C$17:$C$76,'Unit Mix &amp; Rents'!$D$17:$D$76 * ('Unit Mix &amp; Rents'!$A$17:$A$76=$A59) * (LEFT('Unit Mix &amp; Rents'!$B$17:$B$76, 5) =E$48))</f>
        <v>0</v>
      </c>
      <c r="F59" s="77">
        <f>SUMPRODUCT('Unit Mix &amp; Rents'!$C$17:$C$76,'Unit Mix &amp; Rents'!$D$17:$D$76 * ('Unit Mix &amp; Rents'!$A$17:$A$76=$A59) * (LEFT('Unit Mix &amp; Rents'!$B$17:$B$76, 5) =F$48))</f>
        <v>0</v>
      </c>
      <c r="G59" s="77">
        <f>SUMPRODUCT('Unit Mix &amp; Rents'!$C$17:$C$76,'Unit Mix &amp; Rents'!$D$17:$D$76 * ('Unit Mix &amp; Rents'!$A$17:$A$76=$A59) * (LEFT('Unit Mix &amp; Rents'!$B$17:$B$76, 5) =G$48))</f>
        <v>0</v>
      </c>
      <c r="H59" s="77">
        <f>SUM(B59:G59)</f>
        <v>0</v>
      </c>
    </row>
    <row r="60" spans="1:16">
      <c r="A60" t="s">
        <v>1008</v>
      </c>
      <c r="B60" s="77">
        <f t="shared" ref="B60:G60" si="5">SUM(B56:B59)</f>
        <v>0</v>
      </c>
      <c r="C60" s="77">
        <f t="shared" si="5"/>
        <v>0</v>
      </c>
      <c r="D60" s="77">
        <f t="shared" si="5"/>
        <v>0</v>
      </c>
      <c r="E60" s="77">
        <f t="shared" si="5"/>
        <v>0</v>
      </c>
      <c r="F60" s="77">
        <f t="shared" si="5"/>
        <v>0</v>
      </c>
      <c r="G60" s="77">
        <f t="shared" si="5"/>
        <v>0</v>
      </c>
      <c r="H60" s="77">
        <f>SUM(B60:G60)</f>
        <v>0</v>
      </c>
    </row>
    <row r="61" spans="1:16">
      <c r="K61" s="81" t="s">
        <v>881</v>
      </c>
      <c r="L61" s="72" t="s">
        <v>882</v>
      </c>
      <c r="M61" s="72" t="s">
        <v>883</v>
      </c>
    </row>
    <row r="62" spans="1:16">
      <c r="A62" s="72" t="s">
        <v>2586</v>
      </c>
      <c r="B62" s="72" t="s">
        <v>2575</v>
      </c>
      <c r="C62" s="72" t="s">
        <v>2576</v>
      </c>
      <c r="D62" s="72" t="s">
        <v>2577</v>
      </c>
      <c r="E62" s="72" t="s">
        <v>2578</v>
      </c>
      <c r="F62" s="72" t="s">
        <v>2579</v>
      </c>
      <c r="G62" s="72" t="s">
        <v>2580</v>
      </c>
      <c r="H62" s="72" t="s">
        <v>2586</v>
      </c>
      <c r="I62" s="72" t="s">
        <v>2587</v>
      </c>
      <c r="K62" s="82"/>
      <c r="M62">
        <f>IFERROR(L62/L$70,0)</f>
        <v>0</v>
      </c>
    </row>
    <row r="63" spans="1:16">
      <c r="A63" s="70">
        <v>0.2</v>
      </c>
      <c r="B63" s="149">
        <f>12*SUMPRODUCT('Unit Mix &amp; Rents'!$E$17:$E$76,'Unit Mix &amp; Rents'!$D$17:$D$76 * ('Unit Mix &amp; Rents'!$A$17:$A$76=$A63) * (LEFT('Unit Mix &amp; Rents'!$B$17:$B$76, 5) =B$62))</f>
        <v>0</v>
      </c>
      <c r="C63" s="149">
        <f>12*SUMPRODUCT('Unit Mix &amp; Rents'!$E$17:$E$76,'Unit Mix &amp; Rents'!$D$17:$D$76 * ('Unit Mix &amp; Rents'!$A$17:$A$76=$A63) * (LEFT('Unit Mix &amp; Rents'!$B$17:$B$76, 5) =C$62))</f>
        <v>0</v>
      </c>
      <c r="D63" s="149">
        <f>12*SUMPRODUCT('Unit Mix &amp; Rents'!$E$17:$E$76,'Unit Mix &amp; Rents'!$D$17:$D$76 * ('Unit Mix &amp; Rents'!$A$17:$A$76=$A63) * (LEFT('Unit Mix &amp; Rents'!$B$17:$B$76, 5) =D$62))</f>
        <v>0</v>
      </c>
      <c r="E63" s="149">
        <f>12*SUMPRODUCT('Unit Mix &amp; Rents'!$E$17:$E$76,'Unit Mix &amp; Rents'!$D$17:$D$76 * ('Unit Mix &amp; Rents'!$A$17:$A$76=$A63) * (LEFT('Unit Mix &amp; Rents'!$B$17:$B$76, 5) =E$62))</f>
        <v>0</v>
      </c>
      <c r="F63" s="149">
        <f>12*SUMPRODUCT('Unit Mix &amp; Rents'!$E$17:$E$76,'Unit Mix &amp; Rents'!$D$17:$D$76 * ('Unit Mix &amp; Rents'!$A$17:$A$76=$A63) * (LEFT('Unit Mix &amp; Rents'!$B$17:$B$76, 5) =F$62))</f>
        <v>0</v>
      </c>
      <c r="G63" s="149">
        <f>12*SUMPRODUCT('Unit Mix &amp; Rents'!$E$17:$E$76,'Unit Mix &amp; Rents'!$D$17:$D$76 * ('Unit Mix &amp; Rents'!$A$17:$A$76=$A63) * (LEFT('Unit Mix &amp; Rents'!$B$17:$B$76, 5) =G$62))</f>
        <v>0</v>
      </c>
      <c r="H63" s="149">
        <f>SUM(B63:G63)</f>
        <v>0</v>
      </c>
      <c r="I63" s="333">
        <f>IF(H49=0,0,H63/12/H49)</f>
        <v>0</v>
      </c>
      <c r="K63" s="82"/>
    </row>
    <row r="64" spans="1:16">
      <c r="A64" s="70">
        <v>0.3</v>
      </c>
      <c r="B64" s="149">
        <f>12*SUMPRODUCT('Unit Mix &amp; Rents'!$E$17:$E$76,'Unit Mix &amp; Rents'!$D$17:$D$76 * ('Unit Mix &amp; Rents'!$A$17:$A$76=$A64) * (LEFT('Unit Mix &amp; Rents'!$B$17:$B$76, 5) =B$62))</f>
        <v>0</v>
      </c>
      <c r="C64" s="149">
        <f>12*SUMPRODUCT('Unit Mix &amp; Rents'!$E$17:$E$76,'Unit Mix &amp; Rents'!$D$17:$D$76 * ('Unit Mix &amp; Rents'!$A$17:$A$76=$A64) * (LEFT('Unit Mix &amp; Rents'!$B$17:$B$76, 5) =C$62))</f>
        <v>0</v>
      </c>
      <c r="D64" s="149">
        <f>12*SUMPRODUCT('Unit Mix &amp; Rents'!$E$17:$E$76,'Unit Mix &amp; Rents'!$D$17:$D$76 * ('Unit Mix &amp; Rents'!$A$17:$A$76=$A64) * (LEFT('Unit Mix &amp; Rents'!$B$17:$B$76, 5) =D$62))</f>
        <v>0</v>
      </c>
      <c r="E64" s="149">
        <f>12*SUMPRODUCT('Unit Mix &amp; Rents'!$E$17:$E$76,'Unit Mix &amp; Rents'!$D$17:$D$76 * ('Unit Mix &amp; Rents'!$A$17:$A$76=$A64) * (LEFT('Unit Mix &amp; Rents'!$B$17:$B$76, 5) =E$62))</f>
        <v>0</v>
      </c>
      <c r="F64" s="149">
        <f>12*SUMPRODUCT('Unit Mix &amp; Rents'!$E$17:$E$76,'Unit Mix &amp; Rents'!$D$17:$D$76 * ('Unit Mix &amp; Rents'!$A$17:$A$76=$A64) * (LEFT('Unit Mix &amp; Rents'!$B$17:$B$76, 5) =F$62))</f>
        <v>0</v>
      </c>
      <c r="G64" s="149">
        <f>12*SUMPRODUCT('Unit Mix &amp; Rents'!$E$17:$E$76,'Unit Mix &amp; Rents'!$D$17:$D$76 * ('Unit Mix &amp; Rents'!$A$17:$A$76=$A64) * (LEFT('Unit Mix &amp; Rents'!$B$17:$B$76, 5) =G$62))</f>
        <v>0</v>
      </c>
      <c r="H64" s="149">
        <f>SUM(B64:G64)</f>
        <v>0</v>
      </c>
      <c r="I64" s="333">
        <f>IF(H50=0,0,H64/12/H50)</f>
        <v>0</v>
      </c>
      <c r="K64" s="82" t="s">
        <v>2588</v>
      </c>
      <c r="L64">
        <f>Application!B109</f>
        <v>0</v>
      </c>
      <c r="M64">
        <f t="shared" ref="M64:M69" si="6">IFERROR(L64/L$70,0)</f>
        <v>0</v>
      </c>
    </row>
    <row r="65" spans="1:23">
      <c r="A65" s="70">
        <v>0.4</v>
      </c>
      <c r="B65" s="149">
        <f>12*SUMPRODUCT('Unit Mix &amp; Rents'!$E$17:$E$76,'Unit Mix &amp; Rents'!$D$17:$D$76 * ('Unit Mix &amp; Rents'!$A$17:$A$76=$A65) * (LEFT('Unit Mix &amp; Rents'!$B$17:$B$76, 5) =B$62))</f>
        <v>0</v>
      </c>
      <c r="C65" s="149">
        <f>12*SUMPRODUCT('Unit Mix &amp; Rents'!$E$17:$E$76,'Unit Mix &amp; Rents'!$D$17:$D$76 * ('Unit Mix &amp; Rents'!$A$17:$A$76=$A65) * (LEFT('Unit Mix &amp; Rents'!$B$17:$B$76, 5) =C$62))</f>
        <v>0</v>
      </c>
      <c r="D65" s="149">
        <f>12*SUMPRODUCT('Unit Mix &amp; Rents'!$E$17:$E$76,'Unit Mix &amp; Rents'!$D$17:$D$76 * ('Unit Mix &amp; Rents'!$A$17:$A$76=$A65) * (LEFT('Unit Mix &amp; Rents'!$B$17:$B$76, 5) =D$62))</f>
        <v>0</v>
      </c>
      <c r="E65" s="149">
        <f>12*SUMPRODUCT('Unit Mix &amp; Rents'!$E$17:$E$76,'Unit Mix &amp; Rents'!$D$17:$D$76 * ('Unit Mix &amp; Rents'!$A$17:$A$76=$A65) * (LEFT('Unit Mix &amp; Rents'!$B$17:$B$76, 5) =E$62))</f>
        <v>0</v>
      </c>
      <c r="F65" s="149">
        <f>12*SUMPRODUCT('Unit Mix &amp; Rents'!$E$17:$E$76,'Unit Mix &amp; Rents'!$D$17:$D$76 * ('Unit Mix &amp; Rents'!$A$17:$A$76=$A65) * (LEFT('Unit Mix &amp; Rents'!$B$17:$B$76, 5) =F$62))</f>
        <v>0</v>
      </c>
      <c r="G65" s="149">
        <f>12*SUMPRODUCT('Unit Mix &amp; Rents'!$E$17:$E$76,'Unit Mix &amp; Rents'!$D$17:$D$76 * ('Unit Mix &amp; Rents'!$A$17:$A$76=$A65) * (LEFT('Unit Mix &amp; Rents'!$B$17:$B$76, 5) =G$62))</f>
        <v>0</v>
      </c>
      <c r="H65" s="149">
        <f t="shared" ref="H65:H74" si="7">SUM(B65:G65)</f>
        <v>0</v>
      </c>
      <c r="I65" s="333">
        <f>IF(H51=0,0,H65/12/H51)</f>
        <v>0</v>
      </c>
      <c r="K65" s="82" t="s">
        <v>323</v>
      </c>
      <c r="L65">
        <f>Application!B110</f>
        <v>0</v>
      </c>
      <c r="M65">
        <f t="shared" si="6"/>
        <v>0</v>
      </c>
    </row>
    <row r="66" spans="1:23">
      <c r="A66" s="70">
        <v>0.5</v>
      </c>
      <c r="B66" s="149">
        <f>12*SUMPRODUCT('Unit Mix &amp; Rents'!$E$17:$E$76,'Unit Mix &amp; Rents'!$D$17:$D$76 * ('Unit Mix &amp; Rents'!$A$17:$A$76=$A66) * (LEFT('Unit Mix &amp; Rents'!$B$17:$B$76, 5) =B$62))</f>
        <v>0</v>
      </c>
      <c r="C66" s="149">
        <f>12*SUMPRODUCT('Unit Mix &amp; Rents'!$E$17:$E$76,'Unit Mix &amp; Rents'!$D$17:$D$76 * ('Unit Mix &amp; Rents'!$A$17:$A$76=$A66) * (LEFT('Unit Mix &amp; Rents'!$B$17:$B$76, 5) =C$62))</f>
        <v>0</v>
      </c>
      <c r="D66" s="149">
        <f>12*SUMPRODUCT('Unit Mix &amp; Rents'!$E$17:$E$76,'Unit Mix &amp; Rents'!$D$17:$D$76 * ('Unit Mix &amp; Rents'!$A$17:$A$76=$A66) * (LEFT('Unit Mix &amp; Rents'!$B$17:$B$76, 5) =D$62))</f>
        <v>0</v>
      </c>
      <c r="E66" s="149">
        <f>12*SUMPRODUCT('Unit Mix &amp; Rents'!$E$17:$E$76,'Unit Mix &amp; Rents'!$D$17:$D$76 * ('Unit Mix &amp; Rents'!$A$17:$A$76=$A66) * (LEFT('Unit Mix &amp; Rents'!$B$17:$B$76, 5) =E$62))</f>
        <v>0</v>
      </c>
      <c r="F66" s="149">
        <f>12*SUMPRODUCT('Unit Mix &amp; Rents'!$E$17:$E$76,'Unit Mix &amp; Rents'!$D$17:$D$76 * ('Unit Mix &amp; Rents'!$A$17:$A$76=$A66) * (LEFT('Unit Mix &amp; Rents'!$B$17:$B$76, 5) =F$62))</f>
        <v>0</v>
      </c>
      <c r="G66" s="149">
        <f>12*SUMPRODUCT('Unit Mix &amp; Rents'!$E$17:$E$76,'Unit Mix &amp; Rents'!$D$17:$D$76 * ('Unit Mix &amp; Rents'!$A$17:$A$76=$A66) * (LEFT('Unit Mix &amp; Rents'!$B$17:$B$76, 5) =G$62))</f>
        <v>0</v>
      </c>
      <c r="H66" s="149">
        <f t="shared" si="7"/>
        <v>0</v>
      </c>
      <c r="I66" s="333">
        <f>IF(H52=0,0,H66/12/H52)</f>
        <v>0</v>
      </c>
      <c r="K66" s="82" t="s">
        <v>885</v>
      </c>
      <c r="L66">
        <f>Application!B111</f>
        <v>0</v>
      </c>
      <c r="M66">
        <f t="shared" si="6"/>
        <v>0</v>
      </c>
    </row>
    <row r="67" spans="1:23">
      <c r="A67" s="70">
        <v>0.6</v>
      </c>
      <c r="B67" s="149">
        <f>12*SUMPRODUCT('Unit Mix &amp; Rents'!$E$17:$E$76,'Unit Mix &amp; Rents'!$D$17:$D$76 * ('Unit Mix &amp; Rents'!$A$17:$A$76=$A67) * (LEFT('Unit Mix &amp; Rents'!$B$17:$B$76, 5) =B$62))</f>
        <v>0</v>
      </c>
      <c r="C67" s="149">
        <f>12*SUMPRODUCT('Unit Mix &amp; Rents'!$E$17:$E$76,'Unit Mix &amp; Rents'!$D$17:$D$76 * ('Unit Mix &amp; Rents'!$A$17:$A$76=$A67) * (LEFT('Unit Mix &amp; Rents'!$B$17:$B$76, 5) =C$62))</f>
        <v>0</v>
      </c>
      <c r="D67" s="149">
        <f>12*SUMPRODUCT('Unit Mix &amp; Rents'!$E$17:$E$76,'Unit Mix &amp; Rents'!$D$17:$D$76 * ('Unit Mix &amp; Rents'!$A$17:$A$76=$A67) * (LEFT('Unit Mix &amp; Rents'!$B$17:$B$76, 5) =D$62))</f>
        <v>0</v>
      </c>
      <c r="E67" s="149">
        <f>12*SUMPRODUCT('Unit Mix &amp; Rents'!$E$17:$E$76,'Unit Mix &amp; Rents'!$D$17:$D$76 * ('Unit Mix &amp; Rents'!$A$17:$A$76=$A67) * (LEFT('Unit Mix &amp; Rents'!$B$17:$B$76, 5) =E$62))</f>
        <v>0</v>
      </c>
      <c r="F67" s="149">
        <f>12*SUMPRODUCT('Unit Mix &amp; Rents'!$E$17:$E$76,'Unit Mix &amp; Rents'!$D$17:$D$76 * ('Unit Mix &amp; Rents'!$A$17:$A$76=$A67) * (LEFT('Unit Mix &amp; Rents'!$B$17:$B$76, 5) =F$62))</f>
        <v>0</v>
      </c>
      <c r="G67" s="149">
        <f>12*SUMPRODUCT('Unit Mix &amp; Rents'!$E$17:$E$76,'Unit Mix &amp; Rents'!$D$17:$D$76 * ('Unit Mix &amp; Rents'!$A$17:$A$76=$A67) * (LEFT('Unit Mix &amp; Rents'!$B$17:$B$76, 5) =G$62))</f>
        <v>0</v>
      </c>
      <c r="H67" s="149">
        <f t="shared" si="7"/>
        <v>0</v>
      </c>
      <c r="I67" s="333">
        <f>IF(H53=0,0,H67/12/H53)</f>
        <v>0</v>
      </c>
      <c r="K67" s="82" t="s">
        <v>325</v>
      </c>
      <c r="L67">
        <f>Application!B112</f>
        <v>0</v>
      </c>
      <c r="M67">
        <f t="shared" si="6"/>
        <v>0</v>
      </c>
      <c r="N67" s="74"/>
      <c r="O67" s="74"/>
    </row>
    <row r="68" spans="1:23">
      <c r="A68" s="70">
        <v>0.7</v>
      </c>
      <c r="B68" s="149">
        <f>12*SUMPRODUCT('Unit Mix &amp; Rents'!$E$17:$E$76,'Unit Mix &amp; Rents'!$D$17:$D$76 * ('Unit Mix &amp; Rents'!$A$17:$A$76=$A68) * (LEFT('Unit Mix &amp; Rents'!$B$17:$B$76, 5) =B$62))</f>
        <v>0</v>
      </c>
      <c r="C68" s="149">
        <f>12*SUMPRODUCT('Unit Mix &amp; Rents'!$E$17:$E$76,'Unit Mix &amp; Rents'!$D$17:$D$76 * ('Unit Mix &amp; Rents'!$A$17:$A$76=$A68) * (LEFT('Unit Mix &amp; Rents'!$B$17:$B$76, 5) =C$62))</f>
        <v>0</v>
      </c>
      <c r="D68" s="149">
        <f>12*SUMPRODUCT('Unit Mix &amp; Rents'!$E$17:$E$76,'Unit Mix &amp; Rents'!$D$17:$D$76 * ('Unit Mix &amp; Rents'!$A$17:$A$76=$A68) * (LEFT('Unit Mix &amp; Rents'!$B$17:$B$76, 5) =D$62))</f>
        <v>0</v>
      </c>
      <c r="E68" s="149">
        <f>12*SUMPRODUCT('Unit Mix &amp; Rents'!$E$17:$E$76,'Unit Mix &amp; Rents'!$D$17:$D$76 * ('Unit Mix &amp; Rents'!$A$17:$A$76=$A68) * (LEFT('Unit Mix &amp; Rents'!$B$17:$B$76, 5) =E$62))</f>
        <v>0</v>
      </c>
      <c r="F68" s="149">
        <f>12*SUMPRODUCT('Unit Mix &amp; Rents'!$E$17:$E$76,'Unit Mix &amp; Rents'!$D$17:$D$76 * ('Unit Mix &amp; Rents'!$A$17:$A$76=$A68) * (LEFT('Unit Mix &amp; Rents'!$B$17:$B$76, 5) =F$62))</f>
        <v>0</v>
      </c>
      <c r="G68" s="149">
        <f>12*SUMPRODUCT('Unit Mix &amp; Rents'!$E$17:$E$76,'Unit Mix &amp; Rents'!$D$17:$D$76 * ('Unit Mix &amp; Rents'!$A$17:$A$76=$A68) * (LEFT('Unit Mix &amp; Rents'!$B$17:$B$76, 5) =G$62))</f>
        <v>0</v>
      </c>
      <c r="H68" s="149">
        <f t="shared" si="7"/>
        <v>0</v>
      </c>
      <c r="I68" s="333">
        <f t="shared" ref="I68:I70" si="8">IF(H54=0,0,H68/12/H54)</f>
        <v>0</v>
      </c>
      <c r="K68" s="82" t="s">
        <v>326</v>
      </c>
      <c r="L68">
        <f>Application!B113</f>
        <v>0</v>
      </c>
      <c r="M68">
        <f t="shared" si="6"/>
        <v>0</v>
      </c>
      <c r="N68" s="182"/>
      <c r="O68" s="182"/>
    </row>
    <row r="69" spans="1:23">
      <c r="A69" s="70">
        <v>0.8</v>
      </c>
      <c r="B69" s="149">
        <f>12*SUMPRODUCT('Unit Mix &amp; Rents'!$E$17:$E$76,'Unit Mix &amp; Rents'!$D$17:$D$76 * ('Unit Mix &amp; Rents'!$A$17:$A$76=$A69) * (LEFT('Unit Mix &amp; Rents'!$B$17:$B$76, 5) =B$62))</f>
        <v>0</v>
      </c>
      <c r="C69" s="149">
        <f>12*SUMPRODUCT('Unit Mix &amp; Rents'!$E$17:$E$76,'Unit Mix &amp; Rents'!$D$17:$D$76 * ('Unit Mix &amp; Rents'!$A$17:$A$76=$A69) * (LEFT('Unit Mix &amp; Rents'!$B$17:$B$76, 5) =C$62))</f>
        <v>0</v>
      </c>
      <c r="D69" s="149">
        <f>12*SUMPRODUCT('Unit Mix &amp; Rents'!$E$17:$E$76,'Unit Mix &amp; Rents'!$D$17:$D$76 * ('Unit Mix &amp; Rents'!$A$17:$A$76=$A69) * (LEFT('Unit Mix &amp; Rents'!$B$17:$B$76, 5) =D$62))</f>
        <v>0</v>
      </c>
      <c r="E69" s="149">
        <f>12*SUMPRODUCT('Unit Mix &amp; Rents'!$E$17:$E$76,'Unit Mix &amp; Rents'!$D$17:$D$76 * ('Unit Mix &amp; Rents'!$A$17:$A$76=$A69) * (LEFT('Unit Mix &amp; Rents'!$B$17:$B$76, 5) =E$62))</f>
        <v>0</v>
      </c>
      <c r="F69" s="149">
        <f>12*SUMPRODUCT('Unit Mix &amp; Rents'!$E$17:$E$76,'Unit Mix &amp; Rents'!$D$17:$D$76 * ('Unit Mix &amp; Rents'!$A$17:$A$76=$A69) * (LEFT('Unit Mix &amp; Rents'!$B$17:$B$76, 5) =F$62))</f>
        <v>0</v>
      </c>
      <c r="G69" s="149">
        <f>12*SUMPRODUCT('Unit Mix &amp; Rents'!$E$17:$E$76,'Unit Mix &amp; Rents'!$D$17:$D$76 * ('Unit Mix &amp; Rents'!$A$17:$A$76=$A69) * (LEFT('Unit Mix &amp; Rents'!$B$17:$B$76, 5) =G$62))</f>
        <v>0</v>
      </c>
      <c r="H69" s="149">
        <f t="shared" si="7"/>
        <v>0</v>
      </c>
      <c r="I69" s="333">
        <f t="shared" si="8"/>
        <v>0</v>
      </c>
      <c r="K69" s="82" t="s">
        <v>2589</v>
      </c>
      <c r="L69">
        <f>Application!B114</f>
        <v>0</v>
      </c>
      <c r="M69">
        <f t="shared" si="6"/>
        <v>0</v>
      </c>
      <c r="N69" s="182"/>
      <c r="O69" s="182"/>
    </row>
    <row r="70" spans="1:23">
      <c r="A70" t="s">
        <v>2569</v>
      </c>
      <c r="B70" s="149">
        <f>SUM(B63:B69)</f>
        <v>0</v>
      </c>
      <c r="C70" s="149">
        <f t="shared" ref="C70:H70" si="9">SUM(C63:C69)</f>
        <v>0</v>
      </c>
      <c r="D70" s="149">
        <f t="shared" si="9"/>
        <v>0</v>
      </c>
      <c r="E70" s="149">
        <f t="shared" si="9"/>
        <v>0</v>
      </c>
      <c r="F70" s="149">
        <f t="shared" si="9"/>
        <v>0</v>
      </c>
      <c r="G70" s="149">
        <f t="shared" si="9"/>
        <v>0</v>
      </c>
      <c r="H70" s="149">
        <f t="shared" si="9"/>
        <v>0</v>
      </c>
      <c r="I70" s="333">
        <f t="shared" si="8"/>
        <v>0</v>
      </c>
      <c r="K70" s="82" t="s">
        <v>887</v>
      </c>
      <c r="L70">
        <f>SUM(L62:L69)</f>
        <v>0</v>
      </c>
      <c r="M70">
        <f>SUM(M62:M69)</f>
        <v>0</v>
      </c>
      <c r="N70" s="83"/>
      <c r="O70" s="83"/>
    </row>
    <row r="71" spans="1:23">
      <c r="J71" s="84"/>
      <c r="K71" s="83"/>
      <c r="L71" s="83"/>
      <c r="M71" s="83"/>
      <c r="N71" s="83"/>
      <c r="O71" s="83"/>
    </row>
    <row r="72" spans="1:23">
      <c r="A72" t="s">
        <v>2572</v>
      </c>
      <c r="B72" s="149">
        <f>12*SUMPRODUCT('Unit Mix &amp; Rents'!$E$17:$E$76,'Unit Mix &amp; Rents'!$D$17:$D$76 * ('Unit Mix &amp; Rents'!$A$17:$A$76=$A72) * (LEFT('Unit Mix &amp; Rents'!$B$17:$B$76, 5) =B$62))</f>
        <v>0</v>
      </c>
      <c r="C72" s="149">
        <f>12*SUMPRODUCT('Unit Mix &amp; Rents'!$E$17:$E$76,'Unit Mix &amp; Rents'!$D$17:$D$76 * ('Unit Mix &amp; Rents'!$A$17:$A$76=$A72) * (LEFT('Unit Mix &amp; Rents'!$B$17:$B$76, 5) =C$62))</f>
        <v>0</v>
      </c>
      <c r="D72" s="149">
        <f>12*SUMPRODUCT('Unit Mix &amp; Rents'!$E$17:$E$76,'Unit Mix &amp; Rents'!$D$17:$D$76 * ('Unit Mix &amp; Rents'!$A$17:$A$76=$A72) * (LEFT('Unit Mix &amp; Rents'!$B$17:$B$76, 5) =D$62))</f>
        <v>0</v>
      </c>
      <c r="E72" s="149">
        <f>12*SUMPRODUCT('Unit Mix &amp; Rents'!$E$17:$E$76,'Unit Mix &amp; Rents'!$D$17:$D$76 * ('Unit Mix &amp; Rents'!$A$17:$A$76=$A72) * (LEFT('Unit Mix &amp; Rents'!$B$17:$B$76, 5) =E$62))</f>
        <v>0</v>
      </c>
      <c r="F72" s="149">
        <f>12*SUMPRODUCT('Unit Mix &amp; Rents'!$E$17:$E$76,'Unit Mix &amp; Rents'!$D$17:$D$76 * ('Unit Mix &amp; Rents'!$A$17:$A$76=$A72) * (LEFT('Unit Mix &amp; Rents'!$B$17:$B$76, 5) =F$62))</f>
        <v>0</v>
      </c>
      <c r="G72" s="149">
        <f>12*SUMPRODUCT('Unit Mix &amp; Rents'!$E$17:$E$76,'Unit Mix &amp; Rents'!$D$17:$D$76 * ('Unit Mix &amp; Rents'!$A$17:$A$76=$A72) * (LEFT('Unit Mix &amp; Rents'!$B$17:$B$76, 5) =G$62))</f>
        <v>0</v>
      </c>
      <c r="H72" s="149">
        <f t="shared" si="7"/>
        <v>0</v>
      </c>
      <c r="I72" s="149">
        <f>IF(H58=0,0,H72/12/H58)</f>
        <v>0</v>
      </c>
      <c r="K72" s="87" t="s">
        <v>882</v>
      </c>
      <c r="L72" s="72" t="s">
        <v>1003</v>
      </c>
      <c r="O72" s="83"/>
    </row>
    <row r="73" spans="1:23">
      <c r="A73" s="70">
        <v>1</v>
      </c>
      <c r="B73" s="149">
        <f>12*SUMPRODUCT('Unit Mix &amp; Rents'!$E$17:$E$76,'Unit Mix &amp; Rents'!$D$17:$D$76 * ('Unit Mix &amp; Rents'!$A$17:$A$76=$A73) * (LEFT('Unit Mix &amp; Rents'!$B$17:$B$76, 5) =B$62))</f>
        <v>0</v>
      </c>
      <c r="C73" s="149">
        <f>12*SUMPRODUCT('Unit Mix &amp; Rents'!$E$17:$E$76,'Unit Mix &amp; Rents'!$D$17:$D$76 * ('Unit Mix &amp; Rents'!$A$17:$A$76=$A73) * (LEFT('Unit Mix &amp; Rents'!$B$17:$B$76, 5) =C$62))</f>
        <v>0</v>
      </c>
      <c r="D73" s="149">
        <f>12*SUMPRODUCT('Unit Mix &amp; Rents'!$E$17:$E$76,'Unit Mix &amp; Rents'!$D$17:$D$76 * ('Unit Mix &amp; Rents'!$A$17:$A$76=$A73) * (LEFT('Unit Mix &amp; Rents'!$B$17:$B$76, 5) =D$62))</f>
        <v>0</v>
      </c>
      <c r="E73" s="149">
        <f>12*SUMPRODUCT('Unit Mix &amp; Rents'!$E$17:$E$76,'Unit Mix &amp; Rents'!$D$17:$D$76 * ('Unit Mix &amp; Rents'!$A$17:$A$76=$A73) * (LEFT('Unit Mix &amp; Rents'!$B$17:$B$76, 5) =E$62))</f>
        <v>0</v>
      </c>
      <c r="F73" s="149">
        <f>12*SUMPRODUCT('Unit Mix &amp; Rents'!$E$17:$E$76,'Unit Mix &amp; Rents'!$D$17:$D$76 * ('Unit Mix &amp; Rents'!$A$17:$A$76=$A73) * (LEFT('Unit Mix &amp; Rents'!$B$17:$B$76, 5) =F$62))</f>
        <v>0</v>
      </c>
      <c r="G73" s="149">
        <f>12*SUMPRODUCT('Unit Mix &amp; Rents'!$E$17:$E$76,'Unit Mix &amp; Rents'!$D$17:$D$76 * ('Unit Mix &amp; Rents'!$A$17:$A$76=$A73) * (LEFT('Unit Mix &amp; Rents'!$B$17:$B$76, 5) =G$62))</f>
        <v>0</v>
      </c>
      <c r="H73" s="149">
        <f t="shared" si="7"/>
        <v>0</v>
      </c>
      <c r="I73" s="149">
        <f>IF(H59=0,0,H73/12/H59)</f>
        <v>0</v>
      </c>
      <c r="J73" t="s">
        <v>2590</v>
      </c>
      <c r="K73" s="197">
        <f>IF(H45=0,0,TRUNC(H41/(H45-H43), 4))</f>
        <v>0</v>
      </c>
      <c r="L73" s="197">
        <f>IF(H60=0,0,TRUNC((H56/(H60-H58)), 4))</f>
        <v>0</v>
      </c>
      <c r="O73" s="83"/>
    </row>
    <row r="74" spans="1:23">
      <c r="A74" t="s">
        <v>2586</v>
      </c>
      <c r="B74" s="149">
        <f t="shared" ref="B74:G74" si="10">SUM(B70:B73)</f>
        <v>0</v>
      </c>
      <c r="C74" s="149">
        <f t="shared" si="10"/>
        <v>0</v>
      </c>
      <c r="D74" s="149">
        <f t="shared" si="10"/>
        <v>0</v>
      </c>
      <c r="E74" s="149">
        <f t="shared" si="10"/>
        <v>0</v>
      </c>
      <c r="F74" s="149">
        <f t="shared" si="10"/>
        <v>0</v>
      </c>
      <c r="G74" s="149">
        <f t="shared" si="10"/>
        <v>0</v>
      </c>
      <c r="H74" s="149">
        <f t="shared" si="7"/>
        <v>0</v>
      </c>
      <c r="I74" s="333">
        <f>IF(H60=0,0,H74/12/H60)</f>
        <v>0</v>
      </c>
      <c r="K74" s="197">
        <f>MIN(K73:L73)</f>
        <v>0</v>
      </c>
      <c r="L74" s="8" t="str">
        <f>IF(L73&lt;K73,L73,"")</f>
        <v/>
      </c>
      <c r="M74" s="363" t="s">
        <v>1010</v>
      </c>
      <c r="O74" s="83"/>
    </row>
    <row r="75" spans="1:23">
      <c r="J75" s="74"/>
      <c r="K75" s="74"/>
      <c r="L75" s="74"/>
      <c r="M75" s="74"/>
      <c r="N75" s="74"/>
      <c r="O75" s="74"/>
    </row>
    <row r="76" spans="1:23">
      <c r="A76" s="70"/>
      <c r="B76" s="70"/>
      <c r="C76" s="85"/>
      <c r="D76" s="85"/>
      <c r="E76" s="86"/>
      <c r="U76" s="83"/>
      <c r="V76" s="83"/>
      <c r="W76" s="83"/>
    </row>
    <row r="77" spans="1:23">
      <c r="A77" s="74" t="s">
        <v>2591</v>
      </c>
      <c r="B77" s="34" t="s">
        <v>1103</v>
      </c>
      <c r="C77" s="34" t="s">
        <v>1104</v>
      </c>
      <c r="D77" s="34" t="s">
        <v>1105</v>
      </c>
      <c r="E77" s="34" t="s">
        <v>1106</v>
      </c>
      <c r="F77" s="35" t="s">
        <v>1107</v>
      </c>
      <c r="G77" s="34" t="s">
        <v>2592</v>
      </c>
      <c r="H77" t="str">
        <f>CONCATENATE("* for ",Application!B33," county")</f>
        <v>* for  county</v>
      </c>
      <c r="J77" t="s">
        <v>2593</v>
      </c>
      <c r="U77" s="88"/>
      <c r="V77" s="88"/>
      <c r="W77" s="88"/>
    </row>
    <row r="78" spans="1:23">
      <c r="A78" s="89">
        <v>0.2</v>
      </c>
      <c r="B78" s="336">
        <f t="shared" ref="B78:E82" ca="1" si="11">INDIRECT(CONCATENATE($B$103, G$99, $E101))</f>
        <v>357</v>
      </c>
      <c r="C78" s="336">
        <f t="shared" ca="1" si="11"/>
        <v>382</v>
      </c>
      <c r="D78" s="336">
        <f t="shared" ca="1" si="11"/>
        <v>459</v>
      </c>
      <c r="E78" s="336">
        <f t="shared" ca="1" si="11"/>
        <v>530</v>
      </c>
      <c r="F78" s="336">
        <f t="shared" ref="F78:F84" ca="1" si="12">INDIRECT(CONCATENATE($B$103, K$99, $E101))</f>
        <v>592</v>
      </c>
      <c r="G78" s="336">
        <f ca="1">ROUND(AVERAGE(J78:K78)/12*0.3,0)</f>
        <v>653</v>
      </c>
      <c r="J78">
        <f t="shared" ref="J78:J82" ca="1" si="13">INDIRECT(CONCATENATE($B$114, G$110, $E112))</f>
        <v>25300</v>
      </c>
      <c r="K78">
        <f t="shared" ref="K78:K84" ca="1" si="14">INDIRECT(CONCATENATE($B$114, H$110, $E112))</f>
        <v>26940</v>
      </c>
      <c r="U78" s="88"/>
      <c r="V78" s="88"/>
      <c r="W78" s="88"/>
    </row>
    <row r="79" spans="1:23">
      <c r="A79" s="89">
        <v>0.3</v>
      </c>
      <c r="B79" s="336">
        <f t="shared" ca="1" si="11"/>
        <v>535</v>
      </c>
      <c r="C79" s="336">
        <f t="shared" ca="1" si="11"/>
        <v>573</v>
      </c>
      <c r="D79" s="336">
        <f t="shared" ca="1" si="11"/>
        <v>688</v>
      </c>
      <c r="E79" s="336">
        <f t="shared" ca="1" si="11"/>
        <v>795</v>
      </c>
      <c r="F79" s="336">
        <f t="shared" ca="1" si="12"/>
        <v>888</v>
      </c>
      <c r="G79" s="336">
        <f ca="1">ROUND(AVERAGE(J79:K79)/12*0.3,0)</f>
        <v>980</v>
      </c>
      <c r="J79">
        <f t="shared" ca="1" si="13"/>
        <v>37950</v>
      </c>
      <c r="K79">
        <f t="shared" ca="1" si="14"/>
        <v>40410</v>
      </c>
      <c r="U79" s="74"/>
      <c r="V79" s="74"/>
      <c r="W79" s="74"/>
    </row>
    <row r="80" spans="1:23">
      <c r="A80" s="89">
        <v>0.4</v>
      </c>
      <c r="B80" s="336">
        <f t="shared" ca="1" si="11"/>
        <v>714</v>
      </c>
      <c r="C80" s="336">
        <f t="shared" ca="1" si="11"/>
        <v>765</v>
      </c>
      <c r="D80" s="336">
        <f t="shared" ca="1" si="11"/>
        <v>918</v>
      </c>
      <c r="E80" s="336">
        <f t="shared" ca="1" si="11"/>
        <v>1061</v>
      </c>
      <c r="F80" s="336">
        <f t="shared" ca="1" si="12"/>
        <v>1184</v>
      </c>
      <c r="G80" s="336">
        <f ca="1">ROUND(AVERAGE(J80:K80)/12*0.3,0)</f>
        <v>1306</v>
      </c>
      <c r="J80">
        <f t="shared" ca="1" si="13"/>
        <v>50600</v>
      </c>
      <c r="K80">
        <f t="shared" ca="1" si="14"/>
        <v>53880</v>
      </c>
      <c r="U80" s="74"/>
      <c r="V80" s="74"/>
      <c r="W80" s="74"/>
    </row>
    <row r="81" spans="1:23">
      <c r="A81" s="89">
        <v>0.5</v>
      </c>
      <c r="B81" s="336">
        <f t="shared" ca="1" si="11"/>
        <v>892</v>
      </c>
      <c r="C81" s="336">
        <f t="shared" ca="1" si="11"/>
        <v>956</v>
      </c>
      <c r="D81" s="336">
        <f t="shared" ca="1" si="11"/>
        <v>1147</v>
      </c>
      <c r="E81" s="336">
        <f t="shared" ca="1" si="11"/>
        <v>1326</v>
      </c>
      <c r="F81" s="336">
        <f t="shared" ca="1" si="12"/>
        <v>1480</v>
      </c>
      <c r="G81" s="336">
        <f ca="1">ROUND(AVERAGE(J81:K81)/12*0.3,0)</f>
        <v>1633</v>
      </c>
      <c r="J81">
        <f t="shared" ca="1" si="13"/>
        <v>63250</v>
      </c>
      <c r="K81">
        <f t="shared" ca="1" si="14"/>
        <v>67350</v>
      </c>
      <c r="U81" s="74"/>
      <c r="V81" s="74"/>
      <c r="W81" s="74"/>
    </row>
    <row r="82" spans="1:23">
      <c r="A82" s="89">
        <v>0.6</v>
      </c>
      <c r="B82" s="336">
        <f t="shared" ca="1" si="11"/>
        <v>1071</v>
      </c>
      <c r="C82" s="336">
        <f t="shared" ca="1" si="11"/>
        <v>1147</v>
      </c>
      <c r="D82" s="336">
        <f t="shared" ca="1" si="11"/>
        <v>1377</v>
      </c>
      <c r="E82" s="336">
        <f t="shared" ca="1" si="11"/>
        <v>1591</v>
      </c>
      <c r="F82" s="336">
        <f t="shared" ca="1" si="12"/>
        <v>1776</v>
      </c>
      <c r="G82" s="336">
        <f ca="1">ROUND(AVERAGE(J82:K82)/12*0.3,0)</f>
        <v>1959</v>
      </c>
      <c r="J82">
        <f t="shared" ca="1" si="13"/>
        <v>75900</v>
      </c>
      <c r="K82">
        <f t="shared" ca="1" si="14"/>
        <v>80820</v>
      </c>
      <c r="U82" s="74"/>
      <c r="V82" s="74"/>
      <c r="W82" s="74"/>
    </row>
    <row r="83" spans="1:23">
      <c r="A83" s="89">
        <v>0.7</v>
      </c>
      <c r="B83" s="336">
        <f t="shared" ref="B83:B84" ca="1" si="15">INDIRECT(CONCATENATE($B$103, G$99, $E106))</f>
        <v>1249</v>
      </c>
      <c r="C83" s="336">
        <f t="shared" ref="C83:C84" ca="1" si="16">INDIRECT(CONCATENATE($B$103, H$99, $E106))</f>
        <v>1338</v>
      </c>
      <c r="D83" s="336">
        <f t="shared" ref="D83:D84" ca="1" si="17">INDIRECT(CONCATENATE($B$103, I$99, $E106))</f>
        <v>1606</v>
      </c>
      <c r="E83" s="336">
        <f t="shared" ref="E83:E84" ca="1" si="18">INDIRECT(CONCATENATE($B$103, J$99, $E106))</f>
        <v>1856</v>
      </c>
      <c r="F83" s="336">
        <f t="shared" ca="1" si="12"/>
        <v>2072</v>
      </c>
      <c r="G83" s="336">
        <f t="shared" ref="G83:G84" ca="1" si="19">ROUND(AVERAGE(J83:K83)/12*0.3,0)</f>
        <v>2286</v>
      </c>
      <c r="J83">
        <f t="shared" ref="J83:J84" ca="1" si="20">INDIRECT(CONCATENATE($B$114, G$110, $E117))</f>
        <v>88550</v>
      </c>
      <c r="K83">
        <f t="shared" ca="1" si="14"/>
        <v>94290</v>
      </c>
      <c r="U83" s="74"/>
      <c r="V83" s="74"/>
      <c r="W83" s="74"/>
    </row>
    <row r="84" spans="1:23">
      <c r="A84" s="89">
        <v>0.8</v>
      </c>
      <c r="B84" s="336">
        <f t="shared" ca="1" si="15"/>
        <v>1428</v>
      </c>
      <c r="C84" s="336">
        <f t="shared" ca="1" si="16"/>
        <v>1530</v>
      </c>
      <c r="D84" s="336">
        <f t="shared" ca="1" si="17"/>
        <v>1836</v>
      </c>
      <c r="E84" s="336">
        <f t="shared" ca="1" si="18"/>
        <v>2122</v>
      </c>
      <c r="F84" s="336">
        <f t="shared" ca="1" si="12"/>
        <v>2368</v>
      </c>
      <c r="G84" s="336">
        <f t="shared" ca="1" si="19"/>
        <v>2612</v>
      </c>
      <c r="J84">
        <f t="shared" ca="1" si="20"/>
        <v>101200</v>
      </c>
      <c r="K84">
        <f t="shared" ca="1" si="14"/>
        <v>107760</v>
      </c>
      <c r="U84" s="74"/>
      <c r="V84" s="74"/>
      <c r="W84" s="74"/>
    </row>
    <row r="85" spans="1:23">
      <c r="G85" s="74"/>
      <c r="U85" s="74"/>
      <c r="V85" s="74"/>
      <c r="W85" s="74"/>
    </row>
    <row r="86" spans="1:23">
      <c r="A86" s="74" t="s">
        <v>2594</v>
      </c>
      <c r="B86" s="74" t="s">
        <v>101</v>
      </c>
      <c r="C86" s="74" t="s">
        <v>102</v>
      </c>
      <c r="D86" s="74" t="s">
        <v>103</v>
      </c>
      <c r="E86" s="74" t="s">
        <v>104</v>
      </c>
      <c r="F86" s="74" t="s">
        <v>105</v>
      </c>
      <c r="G86" s="74" t="s">
        <v>106</v>
      </c>
      <c r="U86" s="74"/>
      <c r="V86" s="74"/>
      <c r="W86" s="74"/>
    </row>
    <row r="87" spans="1:23">
      <c r="A87" s="84" t="s">
        <v>2595</v>
      </c>
      <c r="B87" s="83">
        <f>'Unit Mix &amp; Rents'!B7</f>
        <v>0</v>
      </c>
      <c r="C87" s="83">
        <f>'Unit Mix &amp; Rents'!B8</f>
        <v>0</v>
      </c>
      <c r="D87" s="83">
        <f>'Unit Mix &amp; Rents'!B9</f>
        <v>0</v>
      </c>
      <c r="E87" s="83">
        <f>'Unit Mix &amp; Rents'!B10</f>
        <v>0</v>
      </c>
      <c r="F87" s="83">
        <f>'Unit Mix &amp; Rents'!B11</f>
        <v>0</v>
      </c>
      <c r="G87" s="83">
        <f>'Unit Mix &amp; Rents'!B12</f>
        <v>0</v>
      </c>
      <c r="U87" s="74"/>
      <c r="V87" s="74"/>
      <c r="W87" s="74"/>
    </row>
    <row r="88" spans="1:23">
      <c r="A88" s="74"/>
      <c r="B88" s="74"/>
      <c r="C88" s="74"/>
      <c r="D88" s="74"/>
      <c r="E88" s="74"/>
      <c r="F88" s="74"/>
      <c r="G88" s="74"/>
      <c r="U88" s="74"/>
      <c r="V88" s="74"/>
      <c r="W88" s="74"/>
    </row>
    <row r="89" spans="1:23">
      <c r="A89" s="74" t="s">
        <v>2596</v>
      </c>
      <c r="B89" s="74" t="s">
        <v>101</v>
      </c>
      <c r="C89" s="74" t="s">
        <v>102</v>
      </c>
      <c r="D89" s="74" t="s">
        <v>103</v>
      </c>
      <c r="E89" s="74" t="s">
        <v>104</v>
      </c>
      <c r="F89" s="74" t="s">
        <v>105</v>
      </c>
      <c r="G89" s="74" t="s">
        <v>106</v>
      </c>
      <c r="I89" s="182"/>
      <c r="U89" s="74"/>
      <c r="V89" s="74"/>
      <c r="W89" s="74"/>
    </row>
    <row r="90" spans="1:23">
      <c r="A90" s="84" t="s">
        <v>991</v>
      </c>
      <c r="B90" s="83">
        <f ca="1">B78-B$87</f>
        <v>357</v>
      </c>
      <c r="C90" s="83">
        <f t="shared" ref="C90:G90" ca="1" si="21">C78-C$87</f>
        <v>382</v>
      </c>
      <c r="D90" s="83">
        <f t="shared" ca="1" si="21"/>
        <v>459</v>
      </c>
      <c r="E90" s="83">
        <f t="shared" ca="1" si="21"/>
        <v>530</v>
      </c>
      <c r="F90" s="83">
        <f t="shared" ca="1" si="21"/>
        <v>592</v>
      </c>
      <c r="G90" s="83">
        <f t="shared" ca="1" si="21"/>
        <v>653</v>
      </c>
      <c r="U90" s="74"/>
      <c r="V90" s="74"/>
      <c r="W90" s="74"/>
    </row>
    <row r="91" spans="1:23">
      <c r="A91" s="84" t="s">
        <v>992</v>
      </c>
      <c r="B91" s="83">
        <f t="shared" ref="B91:G96" ca="1" si="22">B79-B$87</f>
        <v>535</v>
      </c>
      <c r="C91" s="83">
        <f t="shared" ca="1" si="22"/>
        <v>573</v>
      </c>
      <c r="D91" s="83">
        <f t="shared" ca="1" si="22"/>
        <v>688</v>
      </c>
      <c r="E91" s="83">
        <f t="shared" ca="1" si="22"/>
        <v>795</v>
      </c>
      <c r="F91" s="83">
        <f t="shared" ca="1" si="22"/>
        <v>888</v>
      </c>
      <c r="G91" s="83">
        <f t="shared" ca="1" si="22"/>
        <v>980</v>
      </c>
      <c r="U91" s="74"/>
      <c r="V91" s="74"/>
      <c r="W91" s="74"/>
    </row>
    <row r="92" spans="1:23">
      <c r="A92" s="84" t="s">
        <v>993</v>
      </c>
      <c r="B92" s="83">
        <f t="shared" ca="1" si="22"/>
        <v>714</v>
      </c>
      <c r="C92" s="83">
        <f t="shared" ca="1" si="22"/>
        <v>765</v>
      </c>
      <c r="D92" s="83">
        <f t="shared" ca="1" si="22"/>
        <v>918</v>
      </c>
      <c r="E92" s="83">
        <f t="shared" ca="1" si="22"/>
        <v>1061</v>
      </c>
      <c r="F92" s="83">
        <f t="shared" ca="1" si="22"/>
        <v>1184</v>
      </c>
      <c r="G92" s="83">
        <f t="shared" ca="1" si="22"/>
        <v>1306</v>
      </c>
      <c r="U92" s="74"/>
      <c r="V92" s="74"/>
      <c r="W92" s="74"/>
    </row>
    <row r="93" spans="1:23">
      <c r="A93" s="84" t="s">
        <v>994</v>
      </c>
      <c r="B93" s="83">
        <f t="shared" ca="1" si="22"/>
        <v>892</v>
      </c>
      <c r="C93" s="83">
        <f t="shared" ca="1" si="22"/>
        <v>956</v>
      </c>
      <c r="D93" s="83">
        <f t="shared" ca="1" si="22"/>
        <v>1147</v>
      </c>
      <c r="E93" s="83">
        <f t="shared" ca="1" si="22"/>
        <v>1326</v>
      </c>
      <c r="F93" s="83">
        <f t="shared" ca="1" si="22"/>
        <v>1480</v>
      </c>
      <c r="G93" s="83">
        <f t="shared" ca="1" si="22"/>
        <v>1633</v>
      </c>
      <c r="U93" s="74"/>
      <c r="V93" s="74"/>
    </row>
    <row r="94" spans="1:23">
      <c r="A94" s="84" t="s">
        <v>2597</v>
      </c>
      <c r="B94" s="83">
        <f t="shared" ca="1" si="22"/>
        <v>1071</v>
      </c>
      <c r="C94" s="83">
        <f t="shared" ca="1" si="22"/>
        <v>1147</v>
      </c>
      <c r="D94" s="83">
        <f t="shared" ca="1" si="22"/>
        <v>1377</v>
      </c>
      <c r="E94" s="83">
        <f t="shared" ca="1" si="22"/>
        <v>1591</v>
      </c>
      <c r="F94" s="83">
        <f t="shared" ca="1" si="22"/>
        <v>1776</v>
      </c>
      <c r="G94" s="83">
        <f t="shared" ca="1" si="22"/>
        <v>1959</v>
      </c>
      <c r="U94" s="74"/>
      <c r="V94" s="74"/>
    </row>
    <row r="95" spans="1:23">
      <c r="A95" s="164" t="s">
        <v>996</v>
      </c>
      <c r="B95" s="83">
        <f t="shared" ca="1" si="22"/>
        <v>1249</v>
      </c>
      <c r="C95" s="83">
        <f t="shared" ca="1" si="22"/>
        <v>1338</v>
      </c>
      <c r="D95" s="83">
        <f t="shared" ca="1" si="22"/>
        <v>1606</v>
      </c>
      <c r="E95" s="83">
        <f t="shared" ca="1" si="22"/>
        <v>1856</v>
      </c>
      <c r="F95" s="83">
        <f t="shared" ca="1" si="22"/>
        <v>2072</v>
      </c>
      <c r="G95" s="83">
        <f t="shared" ca="1" si="22"/>
        <v>2286</v>
      </c>
      <c r="U95" s="182"/>
      <c r="V95" s="182"/>
    </row>
    <row r="96" spans="1:23">
      <c r="A96" s="164" t="s">
        <v>997</v>
      </c>
      <c r="B96" s="83">
        <f t="shared" ca="1" si="22"/>
        <v>1428</v>
      </c>
      <c r="C96" s="83">
        <f t="shared" ca="1" si="22"/>
        <v>1530</v>
      </c>
      <c r="D96" s="83">
        <f t="shared" ca="1" si="22"/>
        <v>1836</v>
      </c>
      <c r="E96" s="83">
        <f t="shared" ca="1" si="22"/>
        <v>2122</v>
      </c>
      <c r="F96" s="83">
        <f t="shared" ca="1" si="22"/>
        <v>2368</v>
      </c>
      <c r="G96" s="83">
        <f t="shared" ca="1" si="22"/>
        <v>2612</v>
      </c>
      <c r="U96" s="182"/>
      <c r="V96" s="182"/>
    </row>
    <row r="97" spans="1:22">
      <c r="A97" s="84"/>
      <c r="B97" s="83"/>
      <c r="C97" s="83"/>
      <c r="D97" s="83"/>
      <c r="E97" s="83"/>
      <c r="F97" s="83"/>
      <c r="G97" s="83"/>
      <c r="L97" s="92"/>
      <c r="M97" s="92"/>
      <c r="N97" s="8"/>
      <c r="O97" s="182"/>
      <c r="P97" s="182"/>
      <c r="Q97" s="182"/>
      <c r="T97" s="182"/>
      <c r="U97" s="182"/>
      <c r="V97" s="182"/>
    </row>
    <row r="98" spans="1:22">
      <c r="A98" s="3" t="s">
        <v>2598</v>
      </c>
      <c r="B98" s="3"/>
      <c r="C98" s="3"/>
      <c r="D98" s="3"/>
      <c r="E98" s="3"/>
      <c r="F98" s="3"/>
      <c r="G98" s="3"/>
      <c r="H98" s="3"/>
      <c r="I98" s="3"/>
      <c r="J98" s="3"/>
      <c r="K98" s="3"/>
      <c r="L98" s="3"/>
      <c r="M98" s="92"/>
      <c r="N98" s="8"/>
      <c r="O98" s="182"/>
      <c r="P98" s="182"/>
      <c r="Q98" s="182"/>
      <c r="T98" s="182"/>
      <c r="U98" s="182"/>
      <c r="V98" s="182"/>
    </row>
    <row r="99" spans="1:22">
      <c r="A99" s="14"/>
      <c r="B99" t="str">
        <f t="array" ref="B99">T(TRIM('Rent &amp; Income Limits'!A9:A701))</f>
        <v/>
      </c>
      <c r="G99" t="str">
        <f>SUBSTITUTE(ADDRESS(ROW('Rent &amp; Income Limits'!C8), COLUMN('Rent &amp; Income Limits'!C8),4), ROW('Rent &amp; Income Limits'!C8), "")</f>
        <v>C</v>
      </c>
      <c r="H99" t="str">
        <f>SUBSTITUTE(ADDRESS(ROW('Rent &amp; Income Limits'!D8), COLUMN('Rent &amp; Income Limits'!D8),4), ROW('Rent &amp; Income Limits'!D8), "")</f>
        <v>D</v>
      </c>
      <c r="I99" t="str">
        <f>SUBSTITUTE(ADDRESS(ROW('Rent &amp; Income Limits'!E8), COLUMN('Rent &amp; Income Limits'!E8),4), ROW('Rent &amp; Income Limits'!E8), "")</f>
        <v>E</v>
      </c>
      <c r="J99" t="str">
        <f>SUBSTITUTE(ADDRESS(ROW('Rent &amp; Income Limits'!F8), COLUMN('Rent &amp; Income Limits'!F8),4), ROW('Rent &amp; Income Limits'!F8), "")</f>
        <v>F</v>
      </c>
      <c r="K99" t="str">
        <f>SUBSTITUTE(ADDRESS(ROW('Rent &amp; Income Limits'!G8), COLUMN('Rent &amp; Income Limits'!G8),4), ROW('Rent &amp; Income Limits'!G8), "")</f>
        <v>G</v>
      </c>
      <c r="M99" s="92"/>
      <c r="N99" s="8"/>
      <c r="O99" s="182"/>
      <c r="P99" s="182"/>
      <c r="Q99" s="182"/>
      <c r="T99" s="182"/>
      <c r="U99" s="182"/>
      <c r="V99" s="182"/>
    </row>
    <row r="100" spans="1:22">
      <c r="A100" t="s">
        <v>2599</v>
      </c>
      <c r="B100" t="e">
        <f t="array" ref="B100">MATCH($B$14, TRIM('Rent &amp; Income Limits'!A9:A709), 0) + ROW('Rent &amp; Income Limits'!A8)</f>
        <v>#N/A</v>
      </c>
      <c r="C100" t="s">
        <v>2600</v>
      </c>
      <c r="D100" t="s">
        <v>2601</v>
      </c>
      <c r="E100" t="s">
        <v>2602</v>
      </c>
      <c r="G100" t="s">
        <v>1103</v>
      </c>
      <c r="H100" t="s">
        <v>1104</v>
      </c>
      <c r="I100" t="s">
        <v>1105</v>
      </c>
      <c r="J100" t="s">
        <v>1106</v>
      </c>
      <c r="K100" t="s">
        <v>1107</v>
      </c>
      <c r="N100" s="8"/>
      <c r="O100" s="182"/>
      <c r="P100" s="182"/>
      <c r="Q100" s="182"/>
      <c r="T100" s="182"/>
      <c r="U100" s="182"/>
      <c r="V100" s="182"/>
    </row>
    <row r="101" spans="1:22">
      <c r="D101" s="92">
        <f ca="1">MATCH(F101, INDIRECT($B$105), 0)-3</f>
        <v>8</v>
      </c>
      <c r="E101" s="92">
        <f ca="1">$B$102 +D101</f>
        <v>712</v>
      </c>
      <c r="F101" s="70">
        <v>0.2</v>
      </c>
      <c r="N101" s="8"/>
      <c r="O101" s="182"/>
      <c r="P101" s="182"/>
      <c r="Q101" s="182"/>
      <c r="T101" s="182"/>
      <c r="U101" s="182"/>
      <c r="V101" s="182"/>
    </row>
    <row r="102" spans="1:22">
      <c r="A102" t="s">
        <v>2603</v>
      </c>
      <c r="B102">
        <f>IF(ISNA(B100), ROW('Rent &amp; Income Limits'!A704), Calculations!B100)</f>
        <v>704</v>
      </c>
      <c r="D102" s="92">
        <f ca="1">MATCH(F102, INDIRECT($B$105), 0)-3</f>
        <v>7</v>
      </c>
      <c r="E102" s="92">
        <f ca="1">$B$102 +D102</f>
        <v>711</v>
      </c>
      <c r="F102" s="8">
        <v>0.3</v>
      </c>
      <c r="N102" s="8"/>
      <c r="O102" s="182"/>
      <c r="P102" s="182"/>
      <c r="Q102" s="182"/>
      <c r="T102" s="182"/>
      <c r="U102" s="182"/>
      <c r="V102" s="182"/>
    </row>
    <row r="103" spans="1:22">
      <c r="A103" t="s">
        <v>2604</v>
      </c>
      <c r="B103" s="49" t="s">
        <v>2605</v>
      </c>
      <c r="D103" s="92">
        <f ca="1">MATCH(F103, INDIRECT($B$105), 0)-3</f>
        <v>6</v>
      </c>
      <c r="E103" s="92">
        <f ca="1">$B$102 +D103</f>
        <v>710</v>
      </c>
      <c r="F103" s="8">
        <v>0.4</v>
      </c>
      <c r="N103" s="8"/>
      <c r="O103" s="182"/>
      <c r="P103" s="182"/>
      <c r="Q103" s="182"/>
      <c r="T103" s="182"/>
      <c r="U103" s="182"/>
      <c r="V103" s="182"/>
    </row>
    <row r="104" spans="1:22">
      <c r="A104" t="s">
        <v>2606</v>
      </c>
      <c r="B104" t="s">
        <v>2607</v>
      </c>
      <c r="D104" s="92">
        <f ca="1">MATCH(F104, INDIRECT($B$105), 0)-3</f>
        <v>4</v>
      </c>
      <c r="E104" s="92">
        <f ca="1">$B$102 +D104</f>
        <v>708</v>
      </c>
      <c r="F104" s="8">
        <v>0.5</v>
      </c>
      <c r="N104" s="8"/>
      <c r="O104" s="182"/>
      <c r="P104" s="182"/>
      <c r="Q104" s="182"/>
      <c r="T104" s="182"/>
      <c r="U104" s="182"/>
      <c r="V104" s="182"/>
    </row>
    <row r="105" spans="1:22">
      <c r="A105" t="s">
        <v>2608</v>
      </c>
      <c r="B105" t="str">
        <f>CONCATENATE(B103, B104, B102 - 2, ":", B104, B102+ 8)</f>
        <v>'Rent &amp; Income Limits'!B702:B712</v>
      </c>
      <c r="D105" s="92">
        <f ca="1">MATCH(F105, INDIRECT($B$105), 0)-3</f>
        <v>2</v>
      </c>
      <c r="E105" s="92">
        <f ca="1">$B$102 +D105</f>
        <v>706</v>
      </c>
      <c r="F105" s="8">
        <v>0.6</v>
      </c>
      <c r="M105" s="92"/>
      <c r="N105" s="8"/>
      <c r="O105" s="182"/>
      <c r="P105" s="182"/>
      <c r="Q105" s="182"/>
      <c r="T105" s="182"/>
      <c r="U105" s="182"/>
      <c r="V105" s="182"/>
    </row>
    <row r="106" spans="1:22">
      <c r="D106" s="92">
        <f t="shared" ref="D106:D107" ca="1" si="23">MATCH(F106, INDIRECT($B$105), 0)-3</f>
        <v>1</v>
      </c>
      <c r="E106" s="92">
        <f t="shared" ref="E106:E107" ca="1" si="24">$B$102 +D106</f>
        <v>705</v>
      </c>
      <c r="F106" s="70">
        <v>0.7</v>
      </c>
      <c r="M106" s="92"/>
      <c r="N106" s="8"/>
      <c r="O106" s="182"/>
      <c r="P106" s="182"/>
      <c r="Q106" s="182"/>
      <c r="T106" s="182"/>
      <c r="U106" s="182"/>
      <c r="V106" s="182"/>
    </row>
    <row r="107" spans="1:22">
      <c r="D107" s="92">
        <f t="shared" ca="1" si="23"/>
        <v>0</v>
      </c>
      <c r="E107" s="92">
        <f t="shared" ca="1" si="24"/>
        <v>704</v>
      </c>
      <c r="F107" s="8">
        <v>0.8</v>
      </c>
      <c r="M107" s="92"/>
      <c r="N107" s="8"/>
      <c r="O107" s="182"/>
      <c r="P107" s="182"/>
      <c r="Q107" s="182"/>
      <c r="T107" s="182"/>
      <c r="U107" s="182"/>
      <c r="V107" s="182"/>
    </row>
    <row r="108" spans="1:22">
      <c r="M108" s="92"/>
      <c r="N108" s="8"/>
      <c r="O108" s="182"/>
      <c r="P108" s="182"/>
      <c r="Q108" s="182"/>
      <c r="T108" s="182"/>
      <c r="U108" s="182"/>
      <c r="V108" s="182"/>
    </row>
    <row r="109" spans="1:22">
      <c r="A109" s="3" t="s">
        <v>2598</v>
      </c>
      <c r="B109" s="3"/>
      <c r="C109" s="3"/>
      <c r="D109" s="3"/>
      <c r="E109" s="3"/>
      <c r="F109" s="3"/>
      <c r="G109" s="3"/>
      <c r="H109" s="3"/>
      <c r="I109" s="3"/>
      <c r="M109" s="92"/>
      <c r="N109" s="8"/>
      <c r="O109" s="182"/>
      <c r="P109" s="182"/>
      <c r="Q109" s="182"/>
      <c r="T109" s="182"/>
      <c r="U109" s="182"/>
      <c r="V109" s="182"/>
    </row>
    <row r="110" spans="1:22">
      <c r="A110" s="14"/>
      <c r="B110" t="str">
        <f t="array" ref="B110">T(TRIM('Rent &amp; Income Limits'!A17:A709))</f>
        <v/>
      </c>
      <c r="G110" t="s">
        <v>2609</v>
      </c>
      <c r="H110" t="s">
        <v>2610</v>
      </c>
      <c r="M110" s="92"/>
      <c r="N110" s="8"/>
      <c r="O110" s="182"/>
      <c r="P110" s="182"/>
      <c r="Q110" s="182"/>
      <c r="T110" s="182"/>
      <c r="U110" s="182"/>
      <c r="V110" s="182"/>
    </row>
    <row r="111" spans="1:22">
      <c r="A111" t="s">
        <v>2599</v>
      </c>
      <c r="B111" t="e">
        <f t="array" ref="B111">MATCH($B$14, TRIM('Rent &amp; Income Limits'!A9:A709), 0) + ROW('Rent &amp; Income Limits'!A8)</f>
        <v>#N/A</v>
      </c>
      <c r="C111" t="s">
        <v>2600</v>
      </c>
      <c r="D111" t="s">
        <v>2601</v>
      </c>
      <c r="E111" t="s">
        <v>2602</v>
      </c>
      <c r="G111" t="s">
        <v>1114</v>
      </c>
      <c r="H111" t="s">
        <v>1115</v>
      </c>
      <c r="M111" s="92"/>
      <c r="N111" s="8"/>
      <c r="O111" s="182"/>
      <c r="P111" s="182"/>
      <c r="Q111" s="182"/>
      <c r="T111" s="182"/>
      <c r="U111" s="182"/>
      <c r="V111" s="182"/>
    </row>
    <row r="112" spans="1:22">
      <c r="D112" s="92">
        <f ca="1">MATCH(F112, INDIRECT($B$105), 0)-3</f>
        <v>8</v>
      </c>
      <c r="E112" s="92">
        <f ca="1">$B$102 +D112</f>
        <v>712</v>
      </c>
      <c r="F112" s="8">
        <v>0.2</v>
      </c>
      <c r="M112" s="92"/>
      <c r="N112" s="8"/>
      <c r="O112" s="182"/>
      <c r="P112" s="182"/>
      <c r="Q112" s="182"/>
      <c r="T112" s="182"/>
      <c r="U112" s="182"/>
      <c r="V112" s="182"/>
    </row>
    <row r="113" spans="1:22">
      <c r="A113" t="s">
        <v>2603</v>
      </c>
      <c r="B113">
        <f>IF(ISNA(B111), ROW('Rent &amp; Income Limits'!A704), Calculations!B111)</f>
        <v>704</v>
      </c>
      <c r="D113" s="92">
        <f ca="1">MATCH(F113, INDIRECT($B$105), 0)-3</f>
        <v>7</v>
      </c>
      <c r="E113" s="92">
        <f ca="1">$B$102 +D113</f>
        <v>711</v>
      </c>
      <c r="F113" s="8">
        <v>0.3</v>
      </c>
      <c r="M113" s="92"/>
      <c r="N113" s="8"/>
      <c r="O113" s="182"/>
      <c r="P113" s="182"/>
      <c r="Q113" s="182"/>
      <c r="T113" s="182"/>
      <c r="U113" s="182"/>
      <c r="V113" s="182"/>
    </row>
    <row r="114" spans="1:22">
      <c r="A114" t="s">
        <v>2604</v>
      </c>
      <c r="B114" s="49" t="s">
        <v>2605</v>
      </c>
      <c r="D114" s="92">
        <f ca="1">MATCH(F114, INDIRECT($B$105), 0)-3</f>
        <v>6</v>
      </c>
      <c r="E114" s="92">
        <f ca="1">$B$102 +D114</f>
        <v>710</v>
      </c>
      <c r="F114" s="8">
        <v>0.4</v>
      </c>
      <c r="M114" s="92"/>
      <c r="N114" s="8"/>
      <c r="O114" s="182"/>
      <c r="P114" s="182"/>
      <c r="Q114" s="182"/>
      <c r="T114" s="182"/>
      <c r="U114" s="182"/>
      <c r="V114" s="182"/>
    </row>
    <row r="115" spans="1:22">
      <c r="A115" t="s">
        <v>2606</v>
      </c>
      <c r="B115" t="s">
        <v>2607</v>
      </c>
      <c r="D115" s="92">
        <f ca="1">MATCH(F115, INDIRECT($B$105), 0)-3</f>
        <v>4</v>
      </c>
      <c r="E115" s="92">
        <f ca="1">$B$102 +D115</f>
        <v>708</v>
      </c>
      <c r="F115" s="8">
        <v>0.5</v>
      </c>
      <c r="G115" s="74"/>
      <c r="H115" s="74"/>
      <c r="I115" s="74"/>
      <c r="M115" s="92"/>
      <c r="N115" s="8"/>
      <c r="O115" s="182"/>
      <c r="P115" s="182"/>
      <c r="Q115" s="182"/>
      <c r="T115" s="182"/>
      <c r="U115" s="182"/>
      <c r="V115" s="182"/>
    </row>
    <row r="116" spans="1:22">
      <c r="A116" t="s">
        <v>2608</v>
      </c>
      <c r="B116" t="str">
        <f>CONCATENATE(B114, B115, B113 - 2, ":", B115, B113+ 8)</f>
        <v>'Rent &amp; Income Limits'!B702:B712</v>
      </c>
      <c r="D116" s="92">
        <f ca="1">MATCH(F116, INDIRECT($B$105), 0)-3</f>
        <v>2</v>
      </c>
      <c r="E116" s="92">
        <f ca="1">$B$102 +D116</f>
        <v>706</v>
      </c>
      <c r="F116" s="8">
        <v>0.6</v>
      </c>
      <c r="G116" s="74"/>
      <c r="H116" s="74"/>
      <c r="I116" s="74"/>
      <c r="M116" s="92"/>
      <c r="N116" s="8"/>
      <c r="O116" s="182"/>
      <c r="P116" s="182"/>
      <c r="Q116" s="182"/>
      <c r="T116" s="182"/>
      <c r="U116" s="182"/>
      <c r="V116" s="182"/>
    </row>
    <row r="117" spans="1:22">
      <c r="D117" s="92">
        <f t="shared" ref="D117:D118" ca="1" si="25">MATCH(F117, INDIRECT($B$105), 0)-3</f>
        <v>1</v>
      </c>
      <c r="E117" s="92">
        <f t="shared" ref="E117:E118" ca="1" si="26">$B$102 +D117</f>
        <v>705</v>
      </c>
      <c r="F117" s="8">
        <v>0.7</v>
      </c>
      <c r="G117" s="182"/>
      <c r="H117" s="182"/>
      <c r="I117" s="182"/>
      <c r="M117" s="92"/>
      <c r="N117" s="8"/>
      <c r="O117" s="182"/>
      <c r="P117" s="182"/>
      <c r="Q117" s="182"/>
      <c r="T117" s="182"/>
      <c r="U117" s="182"/>
      <c r="V117" s="182"/>
    </row>
    <row r="118" spans="1:22">
      <c r="D118" s="92">
        <f t="shared" ca="1" si="25"/>
        <v>0</v>
      </c>
      <c r="E118" s="92">
        <f t="shared" ca="1" si="26"/>
        <v>704</v>
      </c>
      <c r="F118" s="8">
        <v>0.8</v>
      </c>
      <c r="G118" s="182"/>
      <c r="H118" s="182"/>
      <c r="I118" s="182"/>
      <c r="M118" s="92"/>
      <c r="N118" s="8"/>
      <c r="O118" s="182"/>
      <c r="P118" s="182"/>
      <c r="Q118" s="182"/>
      <c r="T118" s="182"/>
      <c r="U118" s="182"/>
      <c r="V118" s="182"/>
    </row>
    <row r="119" spans="1:22">
      <c r="G119" s="14"/>
    </row>
    <row r="120" spans="1:22">
      <c r="A120" s="99" t="s">
        <v>2611</v>
      </c>
      <c r="B120" s="99"/>
      <c r="C120" s="99"/>
      <c r="D120" s="99"/>
      <c r="E120" s="99"/>
      <c r="F120" s="99"/>
      <c r="G120" s="99"/>
      <c r="H120" s="71"/>
      <c r="I120" s="71"/>
      <c r="J120" s="71"/>
      <c r="K120" s="71"/>
      <c r="L120" s="71"/>
      <c r="M120" s="71"/>
    </row>
    <row r="121" spans="1:22">
      <c r="A121" s="205" t="s">
        <v>560</v>
      </c>
    </row>
    <row r="122" spans="1:22">
      <c r="A122" s="19" t="str">
        <f>Financing!A7</f>
        <v>Residential Loans (amortizing)</v>
      </c>
      <c r="B122" s="19" t="s">
        <v>367</v>
      </c>
      <c r="C122" s="19" t="s">
        <v>368</v>
      </c>
      <c r="D122" s="19" t="s">
        <v>370</v>
      </c>
      <c r="E122" s="19" t="s">
        <v>2612</v>
      </c>
    </row>
    <row r="123" spans="1:22">
      <c r="A123">
        <f>Financing!A9</f>
        <v>0</v>
      </c>
      <c r="B123" s="66">
        <f>Financing!B9</f>
        <v>0</v>
      </c>
      <c r="C123" s="204">
        <f>Financing!C9</f>
        <v>0</v>
      </c>
      <c r="D123">
        <f>Financing!E9</f>
        <v>0</v>
      </c>
      <c r="E123" s="66">
        <f>IF(D123=0,0,-PMT(C123/12,D123*12,B123)*12)</f>
        <v>0</v>
      </c>
    </row>
    <row r="124" spans="1:22">
      <c r="A124">
        <f>Financing!A10</f>
        <v>0</v>
      </c>
      <c r="B124" s="66">
        <f>Financing!B10</f>
        <v>0</v>
      </c>
      <c r="C124" s="204">
        <f>Financing!C10</f>
        <v>0</v>
      </c>
      <c r="D124">
        <f>Financing!E10</f>
        <v>0</v>
      </c>
      <c r="E124" s="66">
        <f>IF(D124=0,0,-PMT(C124/12,D124*12,B124)*12)</f>
        <v>0</v>
      </c>
      <c r="G124" s="67" t="s">
        <v>362</v>
      </c>
      <c r="H124" s="66">
        <f xml:space="preserve"> Financing!B3</f>
        <v>0</v>
      </c>
    </row>
    <row r="125" spans="1:22">
      <c r="A125">
        <f>Financing!A11</f>
        <v>0</v>
      </c>
      <c r="B125" s="66">
        <f>Financing!B11</f>
        <v>0</v>
      </c>
      <c r="C125" s="204">
        <f>Financing!C11</f>
        <v>0</v>
      </c>
      <c r="D125">
        <f>Financing!E11</f>
        <v>0</v>
      </c>
      <c r="E125" s="66">
        <f>IF(D125=0,0,-PMT(C125/12,D125*12,B125)*12)</f>
        <v>0</v>
      </c>
      <c r="G125" s="67" t="s">
        <v>363</v>
      </c>
      <c r="H125" s="197">
        <f xml:space="preserve"> Financing!B4</f>
        <v>0</v>
      </c>
    </row>
    <row r="126" spans="1:22">
      <c r="B126" s="199">
        <f>SUM(B123:B125)</f>
        <v>0</v>
      </c>
      <c r="E126" s="199">
        <f>SUM(E123:E125)</f>
        <v>0</v>
      </c>
      <c r="G126" s="67" t="s">
        <v>2613</v>
      </c>
      <c r="H126" s="66">
        <f>(H124/2) * H125/12</f>
        <v>0</v>
      </c>
    </row>
    <row r="127" spans="1:22">
      <c r="G127" s="67" t="s">
        <v>2614</v>
      </c>
      <c r="H127" s="497">
        <f>Application!B139</f>
        <v>0</v>
      </c>
    </row>
    <row r="128" spans="1:22">
      <c r="A128" s="19" t="str">
        <f>Financing!A14</f>
        <v>Residential Loans (cash flow only)</v>
      </c>
      <c r="B128" s="19" t="s">
        <v>367</v>
      </c>
      <c r="H128" s="65"/>
      <c r="I128" s="202"/>
      <c r="J128" s="100"/>
      <c r="K128" s="100"/>
      <c r="L128" s="100"/>
    </row>
    <row r="129" spans="1:12">
      <c r="A129">
        <f>Financing!A16</f>
        <v>0</v>
      </c>
      <c r="B129" s="66">
        <f>Financing!B16</f>
        <v>0</v>
      </c>
      <c r="E129" s="65"/>
      <c r="G129" s="124" t="s">
        <v>937</v>
      </c>
      <c r="H129" s="106">
        <f>H126*H127</f>
        <v>0</v>
      </c>
      <c r="I129" s="202"/>
      <c r="J129" s="22" t="s">
        <v>2615</v>
      </c>
      <c r="L129" s="100"/>
    </row>
    <row r="130" spans="1:12">
      <c r="A130">
        <f>Financing!A17</f>
        <v>0</v>
      </c>
      <c r="B130" s="66">
        <f>Financing!B17</f>
        <v>0</v>
      </c>
      <c r="E130" s="65"/>
      <c r="G130" s="124" t="s">
        <v>2616</v>
      </c>
      <c r="H130" s="487">
        <f>SUM('Development Budget'!C48:D48)</f>
        <v>0</v>
      </c>
      <c r="I130" s="202"/>
      <c r="J130" s="417" t="b">
        <f>H130&lt;H129</f>
        <v>0</v>
      </c>
      <c r="K130" t="str">
        <f>INDEX(Comments_Construction_Interest_table[],MATCH(J130,Comments_Construction_Interest_table[Construction Interest],0),2)</f>
        <v>Construction interest actual exceeds construction interest test</v>
      </c>
      <c r="L130" s="100"/>
    </row>
    <row r="131" spans="1:12">
      <c r="A131">
        <f>Financing!A18</f>
        <v>0</v>
      </c>
      <c r="B131" s="66">
        <f>Financing!B18</f>
        <v>0</v>
      </c>
      <c r="E131" s="65"/>
    </row>
    <row r="132" spans="1:12">
      <c r="A132">
        <f>Financing!A19</f>
        <v>0</v>
      </c>
      <c r="B132" s="66">
        <f>Financing!B19</f>
        <v>0</v>
      </c>
      <c r="E132" s="65"/>
    </row>
    <row r="133" spans="1:12">
      <c r="A133">
        <f>Financing!A20</f>
        <v>0</v>
      </c>
      <c r="B133" s="66">
        <f>Financing!B20</f>
        <v>0</v>
      </c>
      <c r="E133" s="65"/>
    </row>
    <row r="134" spans="1:12">
      <c r="A134">
        <f>Financing!A21</f>
        <v>0</v>
      </c>
      <c r="B134" s="66">
        <f>Financing!B21</f>
        <v>0</v>
      </c>
      <c r="E134" s="65"/>
    </row>
    <row r="135" spans="1:12">
      <c r="B135" s="199">
        <f>SUM(B129:B134)</f>
        <v>0</v>
      </c>
      <c r="E135" s="203"/>
    </row>
    <row r="137" spans="1:12">
      <c r="A137" s="19" t="s">
        <v>2617</v>
      </c>
      <c r="B137" s="19" t="s">
        <v>922</v>
      </c>
      <c r="C137" s="19" t="s">
        <v>923</v>
      </c>
    </row>
    <row r="138" spans="1:12">
      <c r="A138" t="s">
        <v>925</v>
      </c>
      <c r="B138" s="66">
        <f>B126+B135</f>
        <v>0</v>
      </c>
      <c r="C138" s="66">
        <f>E126</f>
        <v>0</v>
      </c>
    </row>
    <row r="139" spans="1:12">
      <c r="A139" t="s">
        <v>926</v>
      </c>
      <c r="B139" s="66">
        <f>SUM(Financing!B26:B33)</f>
        <v>0</v>
      </c>
      <c r="C139" s="66"/>
      <c r="K139" s="101"/>
      <c r="L139" s="102"/>
    </row>
    <row r="140" spans="1:12">
      <c r="A140" t="s">
        <v>378</v>
      </c>
      <c r="B140" s="66">
        <f>Financing!B38</f>
        <v>0</v>
      </c>
      <c r="C140" s="66"/>
      <c r="K140" s="103"/>
      <c r="L140" s="88"/>
    </row>
    <row r="141" spans="1:12">
      <c r="A141" t="s">
        <v>379</v>
      </c>
      <c r="B141" s="66">
        <f>Financing!B39</f>
        <v>0</v>
      </c>
      <c r="C141" s="66"/>
    </row>
    <row r="142" spans="1:12">
      <c r="A142" t="s">
        <v>380</v>
      </c>
      <c r="B142" s="66">
        <f>Financing!B40</f>
        <v>0</v>
      </c>
      <c r="C142" s="66"/>
    </row>
    <row r="143" spans="1:12">
      <c r="A143" t="s">
        <v>929</v>
      </c>
      <c r="B143" s="66" t="str">
        <f>Admin!B24</f>
        <v/>
      </c>
      <c r="C143" s="66"/>
    </row>
    <row r="144" spans="1:12" ht="15" thickBot="1">
      <c r="A144" t="s">
        <v>4086</v>
      </c>
      <c r="B144" s="66" t="str">
        <f>Admin!B25</f>
        <v/>
      </c>
      <c r="C144" s="66"/>
    </row>
    <row r="145" spans="1:5" ht="15" thickTop="1">
      <c r="A145" t="s">
        <v>4087</v>
      </c>
      <c r="B145" s="198">
        <f>SUM(B138:B144)</f>
        <v>0</v>
      </c>
      <c r="C145" s="66"/>
    </row>
    <row r="147" spans="1:5">
      <c r="A147" s="22" t="s">
        <v>561</v>
      </c>
    </row>
    <row r="148" spans="1:5">
      <c r="A148" s="19" t="str">
        <f>Financing!A44</f>
        <v>Commercial Loans (amortizing)</v>
      </c>
      <c r="B148" s="19" t="s">
        <v>367</v>
      </c>
      <c r="C148" s="19" t="s">
        <v>368</v>
      </c>
      <c r="D148" s="19" t="s">
        <v>370</v>
      </c>
      <c r="E148" s="19" t="s">
        <v>2612</v>
      </c>
    </row>
    <row r="149" spans="1:5">
      <c r="A149">
        <f>Financing!A46</f>
        <v>0</v>
      </c>
      <c r="B149" s="66">
        <f>Financing!B46</f>
        <v>0</v>
      </c>
      <c r="C149" s="204">
        <f>Financing!C46</f>
        <v>0</v>
      </c>
      <c r="D149">
        <f>Financing!E46</f>
        <v>0</v>
      </c>
      <c r="E149" s="66">
        <f>IF(D149=0,0,-PMT(C149/12,D149*12,B149)*12)</f>
        <v>0</v>
      </c>
    </row>
    <row r="150" spans="1:5">
      <c r="A150">
        <f>Financing!A47</f>
        <v>0</v>
      </c>
      <c r="B150" s="66">
        <f>Financing!B47</f>
        <v>0</v>
      </c>
      <c r="C150" s="204">
        <f>Financing!C47</f>
        <v>0</v>
      </c>
      <c r="D150">
        <f>Financing!E47</f>
        <v>0</v>
      </c>
      <c r="E150" s="66">
        <f>IF(D150=0,0,-PMT(C150/12,D150*12,B150)*12)</f>
        <v>0</v>
      </c>
    </row>
    <row r="151" spans="1:5">
      <c r="A151">
        <f>Financing!A48</f>
        <v>0</v>
      </c>
      <c r="B151" s="66">
        <f>Financing!B48</f>
        <v>0</v>
      </c>
      <c r="C151" s="204">
        <f>Financing!C48</f>
        <v>0</v>
      </c>
      <c r="D151">
        <f>Financing!E48</f>
        <v>0</v>
      </c>
      <c r="E151" s="66">
        <f>IF(D151=0,0,-PMT(C151/12,D151*12,B151)*12)</f>
        <v>0</v>
      </c>
    </row>
    <row r="152" spans="1:5">
      <c r="B152" s="199">
        <f>SUM(B149:B151)</f>
        <v>0</v>
      </c>
    </row>
    <row r="154" spans="1:5">
      <c r="A154" s="19" t="str">
        <f>Financing!A51</f>
        <v>Commercial Loans (cash flow only)</v>
      </c>
      <c r="B154" s="19" t="s">
        <v>367</v>
      </c>
    </row>
    <row r="155" spans="1:5">
      <c r="A155">
        <f>Financing!A53</f>
        <v>0</v>
      </c>
      <c r="B155" s="66">
        <f>Financing!B53</f>
        <v>0</v>
      </c>
    </row>
    <row r="156" spans="1:5">
      <c r="A156">
        <f>Financing!A54</f>
        <v>0</v>
      </c>
      <c r="B156" s="66">
        <f>Financing!B54</f>
        <v>0</v>
      </c>
    </row>
    <row r="157" spans="1:5">
      <c r="A157">
        <f>Financing!A55</f>
        <v>0</v>
      </c>
      <c r="B157" s="66">
        <f>Financing!B55</f>
        <v>0</v>
      </c>
    </row>
    <row r="158" spans="1:5">
      <c r="A158">
        <f>Financing!A56</f>
        <v>0</v>
      </c>
      <c r="B158" s="66">
        <f>Financing!B56</f>
        <v>0</v>
      </c>
    </row>
    <row r="159" spans="1:5">
      <c r="A159">
        <f>Financing!A57</f>
        <v>0</v>
      </c>
      <c r="B159" s="66">
        <f>Financing!B57</f>
        <v>0</v>
      </c>
    </row>
    <row r="160" spans="1:5">
      <c r="A160">
        <f>Financing!A58</f>
        <v>0</v>
      </c>
      <c r="B160" s="66">
        <f>Financing!B58</f>
        <v>0</v>
      </c>
    </row>
    <row r="161" spans="1:14">
      <c r="B161" s="199">
        <f>SUM(B155:B160)</f>
        <v>0</v>
      </c>
    </row>
    <row r="162" spans="1:14">
      <c r="B162" s="199"/>
    </row>
    <row r="163" spans="1:14">
      <c r="A163" t="s">
        <v>385</v>
      </c>
      <c r="B163" s="66">
        <f>SUM(Financing!B63:B70)</f>
        <v>0</v>
      </c>
    </row>
    <row r="164" spans="1:14">
      <c r="A164" t="str">
        <f>Financing!A75</f>
        <v>Deferred Developer Fee</v>
      </c>
      <c r="B164" s="66">
        <f>Financing!B75</f>
        <v>0</v>
      </c>
    </row>
    <row r="165" spans="1:14" ht="15" thickBot="1">
      <c r="A165" t="str">
        <f>Financing!A76</f>
        <v>Other Owner Equity</v>
      </c>
      <c r="B165" s="66">
        <f>Financing!B76</f>
        <v>0</v>
      </c>
    </row>
    <row r="166" spans="1:14" ht="15" thickTop="1">
      <c r="A166" t="s">
        <v>2618</v>
      </c>
      <c r="B166" s="198">
        <f>B152+B161+SUM(B163:B165)</f>
        <v>0</v>
      </c>
    </row>
    <row r="168" spans="1:14">
      <c r="A168" s="74"/>
      <c r="B168" s="74"/>
      <c r="C168" s="74"/>
      <c r="D168" s="74"/>
      <c r="E168" s="74"/>
      <c r="F168" s="74"/>
      <c r="G168" s="74"/>
    </row>
    <row r="169" spans="1:14">
      <c r="A169" s="99" t="s">
        <v>2619</v>
      </c>
      <c r="B169" s="99"/>
      <c r="C169" s="99"/>
      <c r="D169" s="99"/>
      <c r="E169" s="99"/>
      <c r="F169" s="99"/>
      <c r="G169" s="99"/>
      <c r="H169" s="71"/>
      <c r="I169" s="71"/>
      <c r="J169" s="71"/>
      <c r="K169" s="71"/>
      <c r="L169" s="71"/>
      <c r="M169" s="71"/>
    </row>
    <row r="170" spans="1:14">
      <c r="A170" s="74"/>
      <c r="B170" s="74"/>
      <c r="C170" s="74"/>
      <c r="D170" s="74"/>
      <c r="E170" s="74"/>
      <c r="F170" s="74"/>
      <c r="G170" s="74"/>
      <c r="J170" s="1" t="s">
        <v>48</v>
      </c>
    </row>
    <row r="171" spans="1:14" ht="43.2">
      <c r="A171" s="93" t="s">
        <v>392</v>
      </c>
      <c r="B171" s="93" t="str">
        <f>'Development Budget'!B3</f>
        <v>Amount</v>
      </c>
      <c r="C171" s="93" t="str">
        <f>'Development Budget'!C3</f>
        <v>4% LIHTC Basis Calculation</v>
      </c>
      <c r="D171" s="93" t="str">
        <f>'Development Budget'!D3</f>
        <v>9% LIHTC Basis Calculation</v>
      </c>
      <c r="E171" s="93" t="str">
        <f>'Development Budget'!E3</f>
        <v>Amount Last Provided to CHFA*</v>
      </c>
      <c r="F171" s="93" t="str">
        <f>'Budget Output'!F5</f>
        <v>% of Change from Last Provided</v>
      </c>
      <c r="G171" s="591" t="s">
        <v>2620</v>
      </c>
      <c r="H171" s="93" t="str">
        <f>'Development Budget'!F3</f>
        <v>10% Carryover Actual Incurred Costs</v>
      </c>
      <c r="I171" s="93" t="s">
        <v>2621</v>
      </c>
      <c r="K171" s="93" t="str">
        <f>'Commercial Budget'!A3</f>
        <v>Land &amp; Buildings</v>
      </c>
      <c r="L171" s="93" t="str">
        <f>'Commercial Budget'!B3</f>
        <v>Amount</v>
      </c>
      <c r="M171" s="93" t="str">
        <f>'Commercial Budget'!C3</f>
        <v>Amount Last Provided to CHFA*</v>
      </c>
      <c r="N171" s="93" t="s">
        <v>2622</v>
      </c>
    </row>
    <row r="172" spans="1:14">
      <c r="A172" t="str">
        <f>'Development Budget'!A4</f>
        <v>Land</v>
      </c>
      <c r="B172" s="66">
        <f>'Development Budget'!B4</f>
        <v>0</v>
      </c>
      <c r="C172" s="66"/>
      <c r="D172" s="66">
        <f>'Development Budget'!D4</f>
        <v>0</v>
      </c>
      <c r="E172" s="66">
        <f>'Development Budget'!E4</f>
        <v>0</v>
      </c>
      <c r="F172" s="583">
        <f>IF(OR(E172=0,B172=0),0,G172/B172)</f>
        <v>0</v>
      </c>
      <c r="G172" s="66">
        <f>B172-E172</f>
        <v>0</v>
      </c>
      <c r="H172" s="66" t="str">
        <f>IF(B$3,'Development Budget'!F4,"")</f>
        <v/>
      </c>
      <c r="I172" s="197" t="str">
        <f>IF(B$3,H172/$B$292,"")</f>
        <v/>
      </c>
      <c r="K172" t="str">
        <f>'Commercial Budget'!A4</f>
        <v>Land</v>
      </c>
      <c r="L172" s="66">
        <f>'Commercial Budget'!B4</f>
        <v>0</v>
      </c>
      <c r="M172" s="66">
        <f>'Commercial Budget'!C4</f>
        <v>0</v>
      </c>
      <c r="N172" s="66">
        <f>IF($B$2,"",M172-L172)</f>
        <v>0</v>
      </c>
    </row>
    <row r="173" spans="1:14">
      <c r="A173" t="str">
        <f>'Development Budget'!A5</f>
        <v>Existing Structures</v>
      </c>
      <c r="B173" s="66">
        <f>'Development Budget'!B5</f>
        <v>0</v>
      </c>
      <c r="C173" s="66">
        <f>'Development Budget'!C5</f>
        <v>0</v>
      </c>
      <c r="D173" s="66"/>
      <c r="E173" s="66">
        <f>'Development Budget'!E5</f>
        <v>0</v>
      </c>
      <c r="F173" s="583">
        <f t="shared" ref="F173:F178" si="27">IF(OR(E173=0,B173=0),0,G173/B173)</f>
        <v>0</v>
      </c>
      <c r="G173" s="66">
        <f t="shared" ref="G173:G175" si="28">B173-E173</f>
        <v>0</v>
      </c>
      <c r="H173" s="66" t="str">
        <f>IF(B$3,'Development Budget'!F5,"")</f>
        <v/>
      </c>
      <c r="I173" s="197" t="str">
        <f>IF(B$3,H173/$B$292,"")</f>
        <v/>
      </c>
      <c r="K173" t="str">
        <f>'Commercial Budget'!A5</f>
        <v>Existing Structures</v>
      </c>
      <c r="L173" s="66">
        <f>'Commercial Budget'!B5</f>
        <v>0</v>
      </c>
      <c r="M173" s="66">
        <f>'Commercial Budget'!C5</f>
        <v>0</v>
      </c>
      <c r="N173" s="66">
        <f>IF($B$2,"",M173-L173)</f>
        <v>0</v>
      </c>
    </row>
    <row r="174" spans="1:14">
      <c r="A174" t="str">
        <f>'Development Budget'!A6</f>
        <v>Demolition</v>
      </c>
      <c r="B174" s="66">
        <f>'Development Budget'!B6</f>
        <v>0</v>
      </c>
      <c r="C174" s="66"/>
      <c r="D174" s="66"/>
      <c r="E174" s="66">
        <f>'Development Budget'!E6</f>
        <v>0</v>
      </c>
      <c r="F174" s="583">
        <f t="shared" si="27"/>
        <v>0</v>
      </c>
      <c r="G174" s="66">
        <f t="shared" si="28"/>
        <v>0</v>
      </c>
      <c r="H174" s="66" t="str">
        <f>IF(B$3,'Development Budget'!F6,"")</f>
        <v/>
      </c>
      <c r="I174" s="197" t="str">
        <f>IF(B$3,H174/$B$292,"")</f>
        <v/>
      </c>
      <c r="K174" t="str">
        <f>'Commercial Budget'!A6</f>
        <v>Demolition</v>
      </c>
      <c r="L174" s="66">
        <f>'Commercial Budget'!B6</f>
        <v>0</v>
      </c>
      <c r="M174" s="66">
        <f>'Commercial Budget'!C6</f>
        <v>0</v>
      </c>
      <c r="N174" s="66">
        <f>IF($B$2,"",M174-L174)</f>
        <v>0</v>
      </c>
    </row>
    <row r="175" spans="1:14">
      <c r="A175" s="1"/>
      <c r="B175" s="199">
        <f>SUM(B172:B174)</f>
        <v>0</v>
      </c>
      <c r="C175" s="199">
        <f>SUM(C172:C174)</f>
        <v>0</v>
      </c>
      <c r="D175" s="199"/>
      <c r="E175" s="66">
        <f>'Development Budget'!E7</f>
        <v>0</v>
      </c>
      <c r="F175" s="583"/>
      <c r="G175" s="199">
        <f t="shared" si="28"/>
        <v>0</v>
      </c>
      <c r="H175" s="199" t="str">
        <f>IF(B$3,'Development Budget'!F7,"")</f>
        <v/>
      </c>
      <c r="I175" s="197" t="str">
        <f>IF(B$3,H175/$B$292,"")</f>
        <v/>
      </c>
      <c r="L175" s="199">
        <f>'Commercial Budget'!B7</f>
        <v>0</v>
      </c>
      <c r="M175" s="199">
        <f>'Commercial Budget'!C7</f>
        <v>0</v>
      </c>
      <c r="N175" s="66">
        <f>IF($B$2,"",M175-L175)</f>
        <v>0</v>
      </c>
    </row>
    <row r="176" spans="1:14">
      <c r="A176" s="19" t="s">
        <v>402</v>
      </c>
      <c r="B176" s="19"/>
      <c r="C176" s="19"/>
      <c r="D176" s="19"/>
      <c r="E176" s="19"/>
      <c r="F176" s="19"/>
      <c r="G176" s="19"/>
      <c r="H176" s="19"/>
      <c r="I176" s="19"/>
      <c r="K176" s="19" t="str">
        <f>'Commercial Budget'!A8</f>
        <v>Site Work</v>
      </c>
      <c r="L176" s="19"/>
      <c r="M176" s="19"/>
      <c r="N176" s="19"/>
    </row>
    <row r="177" spans="1:16">
      <c r="A177" t="str">
        <f>'Development Budget'!A9</f>
        <v>Onsite Work</v>
      </c>
      <c r="B177" s="66">
        <f>'Development Budget'!B9</f>
        <v>0</v>
      </c>
      <c r="C177" s="66">
        <f>'Development Budget'!C9</f>
        <v>0</v>
      </c>
      <c r="D177" s="66">
        <f>'Development Budget'!D9</f>
        <v>0</v>
      </c>
      <c r="E177" s="66">
        <f>'Development Budget'!E9</f>
        <v>0</v>
      </c>
      <c r="F177" s="583">
        <f t="shared" si="27"/>
        <v>0</v>
      </c>
      <c r="G177" s="66">
        <f>B177-E177</f>
        <v>0</v>
      </c>
      <c r="H177" s="66" t="str">
        <f>IF(B$3,'Development Budget'!F9,"")</f>
        <v/>
      </c>
      <c r="I177" s="197" t="str">
        <f>IF(B$3,H177/$B$292,"")</f>
        <v/>
      </c>
      <c r="K177" t="str">
        <f>'Commercial Budget'!A9</f>
        <v>On Site Work</v>
      </c>
      <c r="L177" s="66">
        <f>'Commercial Budget'!B9</f>
        <v>0</v>
      </c>
      <c r="M177" s="66">
        <f>'Commercial Budget'!C9</f>
        <v>0</v>
      </c>
      <c r="N177" s="66">
        <f>IF($B$2,"",M177-L177)</f>
        <v>0</v>
      </c>
    </row>
    <row r="178" spans="1:16">
      <c r="A178" t="str">
        <f>'Development Budget'!A10</f>
        <v>Off Site Work</v>
      </c>
      <c r="B178" s="66">
        <f>'Development Budget'!B10</f>
        <v>0</v>
      </c>
      <c r="C178" s="66">
        <f>'Development Budget'!C10</f>
        <v>0</v>
      </c>
      <c r="D178" s="66">
        <f>'Development Budget'!D10</f>
        <v>0</v>
      </c>
      <c r="E178" s="66">
        <f>'Development Budget'!E10</f>
        <v>0</v>
      </c>
      <c r="F178" s="583">
        <f t="shared" si="27"/>
        <v>0</v>
      </c>
      <c r="G178" s="66">
        <f t="shared" ref="G178:G179" si="29">B178-E178</f>
        <v>0</v>
      </c>
      <c r="H178" s="66" t="str">
        <f>IF(B$3,'Development Budget'!F10,"")</f>
        <v/>
      </c>
      <c r="I178" s="197" t="str">
        <f>IF(B$3,H178/$B$292,"")</f>
        <v/>
      </c>
      <c r="K178" t="str">
        <f>'Commercial Budget'!A10</f>
        <v>Off Site Work</v>
      </c>
      <c r="L178" s="66">
        <f>'Commercial Budget'!B10</f>
        <v>0</v>
      </c>
      <c r="M178" s="66">
        <f>'Commercial Budget'!C10</f>
        <v>0</v>
      </c>
      <c r="N178" s="66">
        <f>IF($B$2,"",M178-L178)</f>
        <v>0</v>
      </c>
    </row>
    <row r="179" spans="1:16">
      <c r="A179" s="1"/>
      <c r="B179" s="199">
        <f>SUM(B177:B178)</f>
        <v>0</v>
      </c>
      <c r="C179" s="199">
        <f>SUM(C177:C178)</f>
        <v>0</v>
      </c>
      <c r="D179" s="199">
        <f>SUM(D177:D178)</f>
        <v>0</v>
      </c>
      <c r="E179" s="66">
        <f>'Development Budget'!E11</f>
        <v>0</v>
      </c>
      <c r="F179" s="583"/>
      <c r="G179" s="199">
        <f t="shared" si="29"/>
        <v>0</v>
      </c>
      <c r="H179" s="199" t="str">
        <f>IF(B$3,'Development Budget'!F11,"")</f>
        <v/>
      </c>
      <c r="I179" s="197" t="str">
        <f>IF(B$3,H179/$B$292,"")</f>
        <v/>
      </c>
      <c r="L179" s="199">
        <f>'Commercial Budget'!B11</f>
        <v>0</v>
      </c>
      <c r="M179" s="199">
        <f>'Commercial Budget'!C11</f>
        <v>0</v>
      </c>
      <c r="N179" s="66">
        <f>IF($B$2,"",M179-L179)</f>
        <v>0</v>
      </c>
      <c r="O179" s="508"/>
      <c r="P179" s="88"/>
    </row>
    <row r="180" spans="1:16">
      <c r="A180" s="19" t="s">
        <v>405</v>
      </c>
      <c r="B180" s="19"/>
      <c r="C180" s="19"/>
      <c r="D180" s="19"/>
      <c r="E180" s="19"/>
      <c r="F180" s="19"/>
      <c r="G180" s="19"/>
      <c r="H180" s="19"/>
      <c r="I180" s="19"/>
      <c r="K180" s="19" t="str">
        <f>'Commercial Budget'!A12</f>
        <v>Rehab. &amp; New Construction</v>
      </c>
      <c r="L180" s="19"/>
      <c r="M180" s="19"/>
      <c r="N180" s="19"/>
      <c r="O180" s="508"/>
      <c r="P180" s="88"/>
    </row>
    <row r="181" spans="1:16">
      <c r="A181" t="str">
        <f>'Development Budget'!A13</f>
        <v>New Structures</v>
      </c>
      <c r="B181" s="66">
        <f>'Development Budget'!B13</f>
        <v>0</v>
      </c>
      <c r="C181" s="66">
        <f>'Development Budget'!C13</f>
        <v>0</v>
      </c>
      <c r="D181" s="66">
        <f>'Development Budget'!D13</f>
        <v>0</v>
      </c>
      <c r="E181" s="66">
        <f>'Development Budget'!E13</f>
        <v>0</v>
      </c>
      <c r="F181" s="583">
        <f t="shared" ref="F181:F244" si="30">IF(OR(E181=0,B181=0),0,G181/B181)</f>
        <v>0</v>
      </c>
      <c r="G181" s="66">
        <f>B181-E181</f>
        <v>0</v>
      </c>
      <c r="H181" s="66" t="str">
        <f>IF(B$3,'Development Budget'!F13,"")</f>
        <v/>
      </c>
      <c r="I181" s="197" t="str">
        <f t="shared" ref="I181:I195" si="31">IF(B$3,H181/$B$292,"")</f>
        <v/>
      </c>
      <c r="K181" t="str">
        <f>'Commercial Budget'!A13</f>
        <v>New Structures</v>
      </c>
      <c r="L181" s="66">
        <f>'Commercial Budget'!B13</f>
        <v>0</v>
      </c>
      <c r="M181" s="66">
        <f>'Commercial Budget'!C13</f>
        <v>0</v>
      </c>
      <c r="N181" s="66">
        <f t="shared" ref="N181:N192" si="32">IF($B$2,"",M181-L181)</f>
        <v>0</v>
      </c>
      <c r="O181" s="508"/>
      <c r="P181" s="88"/>
    </row>
    <row r="182" spans="1:16">
      <c r="A182" t="str">
        <f>'Development Budget'!A14</f>
        <v>Rehabilitation</v>
      </c>
      <c r="B182" s="66">
        <f>'Development Budget'!B14</f>
        <v>0</v>
      </c>
      <c r="C182" s="66">
        <f>'Development Budget'!C14</f>
        <v>0</v>
      </c>
      <c r="D182" s="66">
        <f>'Development Budget'!D14</f>
        <v>0</v>
      </c>
      <c r="E182" s="66">
        <f>'Development Budget'!E14</f>
        <v>0</v>
      </c>
      <c r="F182" s="583">
        <f t="shared" si="30"/>
        <v>0</v>
      </c>
      <c r="G182" s="66">
        <f t="shared" ref="G182:G195" si="33">B182-E182</f>
        <v>0</v>
      </c>
      <c r="H182" s="66" t="str">
        <f>IF(B$3,'Development Budget'!F14,"")</f>
        <v/>
      </c>
      <c r="I182" s="197" t="str">
        <f t="shared" si="31"/>
        <v/>
      </c>
      <c r="K182" t="str">
        <f>'Commercial Budget'!A14</f>
        <v>Rehabilitation</v>
      </c>
      <c r="L182" s="66">
        <f>'Commercial Budget'!B14</f>
        <v>0</v>
      </c>
      <c r="M182" s="66">
        <f>'Commercial Budget'!C14</f>
        <v>0</v>
      </c>
      <c r="N182" s="66">
        <f t="shared" si="32"/>
        <v>0</v>
      </c>
      <c r="O182" s="508"/>
      <c r="P182" s="88"/>
    </row>
    <row r="183" spans="1:16">
      <c r="A183" t="str">
        <f>'Development Budget'!A15</f>
        <v>Accessory Structures (CSF, storage, garage(s))</v>
      </c>
      <c r="B183" s="66">
        <f>'Development Budget'!B15</f>
        <v>0</v>
      </c>
      <c r="C183" s="66">
        <f>'Development Budget'!C15</f>
        <v>0</v>
      </c>
      <c r="D183" s="66">
        <f>'Development Budget'!D15</f>
        <v>0</v>
      </c>
      <c r="E183" s="66">
        <f>'Development Budget'!E15</f>
        <v>0</v>
      </c>
      <c r="F183" s="583">
        <f t="shared" si="30"/>
        <v>0</v>
      </c>
      <c r="G183" s="66">
        <f t="shared" si="33"/>
        <v>0</v>
      </c>
      <c r="H183" s="66" t="str">
        <f>IF(B$3,'Development Budget'!F15,"")</f>
        <v/>
      </c>
      <c r="I183" s="197" t="str">
        <f t="shared" si="31"/>
        <v/>
      </c>
      <c r="K183" t="str">
        <f>'Commercial Budget'!A15</f>
        <v>Accessory Structures</v>
      </c>
      <c r="L183" s="66">
        <f>'Commercial Budget'!B15</f>
        <v>0</v>
      </c>
      <c r="M183" s="66">
        <f>'Commercial Budget'!C15</f>
        <v>0</v>
      </c>
      <c r="N183" s="66">
        <f t="shared" si="32"/>
        <v>0</v>
      </c>
      <c r="O183" s="508"/>
      <c r="P183" s="88"/>
    </row>
    <row r="184" spans="1:16">
      <c r="A184" t="str">
        <f>'Development Budget'!A16</f>
        <v>Green Systems (Solar, Geothermal, Other, etc.)</v>
      </c>
      <c r="B184" s="66">
        <f>'Development Budget'!B16</f>
        <v>0</v>
      </c>
      <c r="C184" s="66">
        <f>'Development Budget'!C16</f>
        <v>0</v>
      </c>
      <c r="D184" s="66">
        <f>'Development Budget'!D16</f>
        <v>0</v>
      </c>
      <c r="E184" s="66">
        <f>'Development Budget'!E16</f>
        <v>0</v>
      </c>
      <c r="F184" s="583">
        <f t="shared" si="30"/>
        <v>0</v>
      </c>
      <c r="G184" s="66">
        <f t="shared" si="33"/>
        <v>0</v>
      </c>
      <c r="H184" s="66" t="str">
        <f>IF(B$3,'Development Budget'!F16,"")</f>
        <v/>
      </c>
      <c r="I184" s="197" t="str">
        <f t="shared" si="31"/>
        <v/>
      </c>
      <c r="K184" t="str">
        <f>'Commercial Budget'!A16</f>
        <v>General Requirements</v>
      </c>
      <c r="L184" s="66">
        <f>'Commercial Budget'!B16</f>
        <v>0</v>
      </c>
      <c r="M184" s="66">
        <f>'Commercial Budget'!C16</f>
        <v>0</v>
      </c>
      <c r="N184" s="66">
        <f t="shared" si="32"/>
        <v>0</v>
      </c>
      <c r="O184" s="508"/>
      <c r="P184" s="88"/>
    </row>
    <row r="185" spans="1:16">
      <c r="A185" t="str">
        <f>'Development Budget'!A17</f>
        <v>General Requirements</v>
      </c>
      <c r="B185" s="66">
        <f>'Development Budget'!B17</f>
        <v>0</v>
      </c>
      <c r="C185" s="66">
        <f>'Development Budget'!C17</f>
        <v>0</v>
      </c>
      <c r="D185" s="66">
        <f>'Development Budget'!D17</f>
        <v>0</v>
      </c>
      <c r="E185" s="66">
        <f>'Development Budget'!E17</f>
        <v>0</v>
      </c>
      <c r="F185" s="583">
        <f t="shared" si="30"/>
        <v>0</v>
      </c>
      <c r="G185" s="66">
        <f t="shared" si="33"/>
        <v>0</v>
      </c>
      <c r="H185" s="66" t="str">
        <f>IF(B$3,'Development Budget'!F17,"")</f>
        <v/>
      </c>
      <c r="I185" s="197" t="str">
        <f t="shared" si="31"/>
        <v/>
      </c>
      <c r="K185" t="str">
        <f>'Commercial Budget'!A17</f>
        <v>Contractor Overhead</v>
      </c>
      <c r="L185" s="66">
        <f>'Commercial Budget'!B17</f>
        <v>0</v>
      </c>
      <c r="M185" s="66">
        <f>'Commercial Budget'!C17</f>
        <v>0</v>
      </c>
      <c r="N185" s="66">
        <f t="shared" si="32"/>
        <v>0</v>
      </c>
      <c r="O185" s="508"/>
      <c r="P185" s="88"/>
    </row>
    <row r="186" spans="1:16">
      <c r="A186" t="str">
        <f>'Development Budget'!A18</f>
        <v>Contractor Overhead</v>
      </c>
      <c r="B186" s="66">
        <f>'Development Budget'!B18</f>
        <v>0</v>
      </c>
      <c r="C186" s="66">
        <f>'Development Budget'!C18</f>
        <v>0</v>
      </c>
      <c r="D186" s="66">
        <f>'Development Budget'!D18</f>
        <v>0</v>
      </c>
      <c r="E186" s="66">
        <f>'Development Budget'!E18</f>
        <v>0</v>
      </c>
      <c r="F186" s="583">
        <f t="shared" si="30"/>
        <v>0</v>
      </c>
      <c r="G186" s="66">
        <f t="shared" si="33"/>
        <v>0</v>
      </c>
      <c r="H186" s="66" t="str">
        <f>IF(B$3,'Development Budget'!F18,"")</f>
        <v/>
      </c>
      <c r="I186" s="197" t="str">
        <f t="shared" si="31"/>
        <v/>
      </c>
      <c r="K186" t="str">
        <f>'Commercial Budget'!A18</f>
        <v>Contractor Profit</v>
      </c>
      <c r="L186" s="66">
        <f>'Commercial Budget'!B18</f>
        <v>0</v>
      </c>
      <c r="M186" s="66">
        <f>'Commercial Budget'!C18</f>
        <v>0</v>
      </c>
      <c r="N186" s="66">
        <f t="shared" si="32"/>
        <v>0</v>
      </c>
      <c r="O186" s="508"/>
      <c r="P186" s="88"/>
    </row>
    <row r="187" spans="1:16">
      <c r="A187" t="str">
        <f>'Development Budget'!A19</f>
        <v>Contractor Profit</v>
      </c>
      <c r="B187" s="66">
        <f>'Development Budget'!B19</f>
        <v>0</v>
      </c>
      <c r="C187" s="66">
        <f>'Development Budget'!C19</f>
        <v>0</v>
      </c>
      <c r="D187" s="66">
        <f>'Development Budget'!D19</f>
        <v>0</v>
      </c>
      <c r="E187" s="66">
        <f>'Development Budget'!E19</f>
        <v>0</v>
      </c>
      <c r="F187" s="583">
        <f t="shared" si="30"/>
        <v>0</v>
      </c>
      <c r="G187" s="66">
        <f t="shared" si="33"/>
        <v>0</v>
      </c>
      <c r="H187" s="66" t="str">
        <f>IF(B$3,'Development Budget'!F19,"")</f>
        <v/>
      </c>
      <c r="I187" s="197" t="str">
        <f t="shared" si="31"/>
        <v/>
      </c>
      <c r="K187" t="str">
        <f>'Commercial Budget'!A19</f>
        <v>Construction Contingency</v>
      </c>
      <c r="L187" s="66">
        <f>'Commercial Budget'!B19</f>
        <v>0</v>
      </c>
      <c r="M187" s="66">
        <f>'Commercial Budget'!C19</f>
        <v>0</v>
      </c>
      <c r="N187" s="66">
        <f t="shared" si="32"/>
        <v>0</v>
      </c>
      <c r="O187" s="508"/>
      <c r="P187" s="88"/>
    </row>
    <row r="188" spans="1:16">
      <c r="A188" t="str">
        <f>'Development Budget'!A20</f>
        <v>Contractor Construction Contingency</v>
      </c>
      <c r="B188" s="66">
        <f>'Development Budget'!B20</f>
        <v>0</v>
      </c>
      <c r="C188" s="66">
        <f>'Development Budget'!C20</f>
        <v>0</v>
      </c>
      <c r="D188" s="66">
        <f>'Development Budget'!D20</f>
        <v>0</v>
      </c>
      <c r="E188" s="66">
        <f>'Development Budget'!E20</f>
        <v>0</v>
      </c>
      <c r="F188" s="583">
        <f t="shared" si="30"/>
        <v>0</v>
      </c>
      <c r="G188" s="66">
        <f t="shared" si="33"/>
        <v>0</v>
      </c>
      <c r="H188" s="66" t="str">
        <f>IF(B$3,'Development Budget'!F20,"")</f>
        <v/>
      </c>
      <c r="I188" s="197" t="str">
        <f t="shared" si="31"/>
        <v/>
      </c>
      <c r="K188" t="str">
        <f>'Commercial Budget'!A20</f>
        <v>Building Permits</v>
      </c>
      <c r="L188" s="66">
        <f>'Commercial Budget'!B20</f>
        <v>0</v>
      </c>
      <c r="M188" s="66">
        <f>'Commercial Budget'!C20</f>
        <v>0</v>
      </c>
      <c r="N188" s="66">
        <f t="shared" si="32"/>
        <v>0</v>
      </c>
      <c r="O188" s="508"/>
      <c r="P188" s="88"/>
    </row>
    <row r="189" spans="1:16">
      <c r="A189" t="str">
        <f>'Development Budget'!A21</f>
        <v>Owner Hard Cost Contingency</v>
      </c>
      <c r="B189" s="66">
        <f>'Development Budget'!B21</f>
        <v>0</v>
      </c>
      <c r="C189" s="66">
        <f>'Development Budget'!C21</f>
        <v>0</v>
      </c>
      <c r="D189" s="66">
        <f>'Development Budget'!D21</f>
        <v>0</v>
      </c>
      <c r="E189" s="66">
        <f>'Development Budget'!E21</f>
        <v>0</v>
      </c>
      <c r="F189" s="583">
        <f t="shared" si="30"/>
        <v>0</v>
      </c>
      <c r="G189" s="66">
        <f t="shared" si="33"/>
        <v>0</v>
      </c>
      <c r="H189" s="66" t="str">
        <f>IF(B$3,'Development Budget'!F21,"")</f>
        <v/>
      </c>
      <c r="I189" s="197" t="str">
        <f t="shared" si="31"/>
        <v/>
      </c>
      <c r="K189" t="str">
        <f>'Commercial Budget'!A21</f>
        <v>Other (Specify)</v>
      </c>
      <c r="L189" s="66">
        <f>'Commercial Budget'!B21</f>
        <v>0</v>
      </c>
      <c r="M189" s="66">
        <f>'Commercial Budget'!C21</f>
        <v>0</v>
      </c>
      <c r="N189" s="66">
        <f t="shared" si="32"/>
        <v>0</v>
      </c>
      <c r="O189" s="508"/>
      <c r="P189" s="88"/>
    </row>
    <row r="190" spans="1:16">
      <c r="A190" t="str">
        <f>'Development Budget'!A22</f>
        <v>Furniture, Fixtures, &amp; Equipment</v>
      </c>
      <c r="B190" s="66">
        <f>'Development Budget'!B22</f>
        <v>0</v>
      </c>
      <c r="C190" s="66">
        <f>'Development Budget'!C22</f>
        <v>0</v>
      </c>
      <c r="D190" s="66">
        <f>'Development Budget'!D22</f>
        <v>0</v>
      </c>
      <c r="E190" s="66">
        <f>'Development Budget'!E22</f>
        <v>0</v>
      </c>
      <c r="F190" s="583">
        <f t="shared" si="30"/>
        <v>0</v>
      </c>
      <c r="G190" s="66">
        <f t="shared" si="33"/>
        <v>0</v>
      </c>
      <c r="H190" s="66" t="str">
        <f>IF(B$3,'Development Budget'!F22,"")</f>
        <v/>
      </c>
      <c r="I190" s="197" t="str">
        <f t="shared" si="31"/>
        <v/>
      </c>
      <c r="K190" t="str">
        <f>'Commercial Budget'!A22</f>
        <v>Other (Specify)</v>
      </c>
      <c r="L190" s="66">
        <f>'Commercial Budget'!B22</f>
        <v>0</v>
      </c>
      <c r="M190" s="66">
        <f>'Commercial Budget'!C22</f>
        <v>0</v>
      </c>
      <c r="N190" s="66">
        <f t="shared" si="32"/>
        <v>0</v>
      </c>
      <c r="O190" s="508"/>
      <c r="P190" s="88"/>
    </row>
    <row r="191" spans="1:16">
      <c r="A191" t="str">
        <f>'Development Budget'!A23</f>
        <v>Building Permits</v>
      </c>
      <c r="B191" s="66">
        <f>'Development Budget'!B23</f>
        <v>0</v>
      </c>
      <c r="C191" s="66">
        <f>'Development Budget'!C23</f>
        <v>0</v>
      </c>
      <c r="D191" s="66">
        <f>'Development Budget'!D23</f>
        <v>0</v>
      </c>
      <c r="E191" s="66">
        <f>'Development Budget'!E23</f>
        <v>0</v>
      </c>
      <c r="F191" s="583">
        <f t="shared" si="30"/>
        <v>0</v>
      </c>
      <c r="G191" s="66">
        <f t="shared" si="33"/>
        <v>0</v>
      </c>
      <c r="H191" s="66" t="str">
        <f>IF(B$3,'Development Budget'!F23,"")</f>
        <v/>
      </c>
      <c r="I191" s="197" t="str">
        <f t="shared" si="31"/>
        <v/>
      </c>
      <c r="K191" t="str">
        <f>'Commercial Budget'!A23</f>
        <v>Other (Specify)</v>
      </c>
      <c r="L191" s="66">
        <f>'Commercial Budget'!B23</f>
        <v>0</v>
      </c>
      <c r="M191" s="66">
        <f>'Commercial Budget'!C23</f>
        <v>0</v>
      </c>
      <c r="N191" s="66">
        <f t="shared" si="32"/>
        <v>0</v>
      </c>
      <c r="O191" s="508"/>
      <c r="P191" s="88"/>
    </row>
    <row r="192" spans="1:16">
      <c r="A192" t="str">
        <f>'Development Budget'!A24</f>
        <v>Other (Specify)</v>
      </c>
      <c r="B192" s="66">
        <f>'Development Budget'!B24</f>
        <v>0</v>
      </c>
      <c r="C192" s="66">
        <f>'Development Budget'!C24</f>
        <v>0</v>
      </c>
      <c r="D192" s="66">
        <f>'Development Budget'!D24</f>
        <v>0</v>
      </c>
      <c r="E192" s="66">
        <f>'Development Budget'!E24</f>
        <v>0</v>
      </c>
      <c r="F192" s="583">
        <f t="shared" si="30"/>
        <v>0</v>
      </c>
      <c r="G192" s="66">
        <f t="shared" si="33"/>
        <v>0</v>
      </c>
      <c r="H192" s="66" t="str">
        <f>IF(B$3,'Development Budget'!F24,"")</f>
        <v/>
      </c>
      <c r="I192" s="197" t="str">
        <f t="shared" si="31"/>
        <v/>
      </c>
      <c r="L192" s="199">
        <f>'Commercial Budget'!B24</f>
        <v>0</v>
      </c>
      <c r="M192" s="199">
        <f>'Commercial Budget'!C24</f>
        <v>0</v>
      </c>
      <c r="N192" s="66">
        <f t="shared" si="32"/>
        <v>0</v>
      </c>
      <c r="O192" s="508"/>
      <c r="P192" s="88"/>
    </row>
    <row r="193" spans="1:16">
      <c r="A193" t="str">
        <f>'Development Budget'!A25</f>
        <v>Other (Specify)</v>
      </c>
      <c r="B193" s="66">
        <f>'Development Budget'!B25</f>
        <v>0</v>
      </c>
      <c r="C193" s="66">
        <f>'Development Budget'!C25</f>
        <v>0</v>
      </c>
      <c r="D193" s="66">
        <f>'Development Budget'!D25</f>
        <v>0</v>
      </c>
      <c r="E193" s="66">
        <f>'Development Budget'!E25</f>
        <v>0</v>
      </c>
      <c r="F193" s="583">
        <f t="shared" si="30"/>
        <v>0</v>
      </c>
      <c r="G193" s="66">
        <f t="shared" si="33"/>
        <v>0</v>
      </c>
      <c r="H193" s="66" t="str">
        <f>IF(B$3,'Development Budget'!F25,"")</f>
        <v/>
      </c>
      <c r="I193" s="197" t="str">
        <f t="shared" si="31"/>
        <v/>
      </c>
      <c r="K193" s="19" t="str">
        <f>'Commercial Budget'!A25</f>
        <v>Professional Fees</v>
      </c>
      <c r="L193" s="19"/>
      <c r="M193" s="19"/>
      <c r="N193" s="19"/>
      <c r="O193" s="508"/>
      <c r="P193" s="88"/>
    </row>
    <row r="194" spans="1:16">
      <c r="A194" t="str">
        <f>'Development Budget'!A26</f>
        <v>Other (Specify)</v>
      </c>
      <c r="B194" s="66">
        <f>'Development Budget'!B26</f>
        <v>0</v>
      </c>
      <c r="C194" s="66">
        <f>'Development Budget'!C26</f>
        <v>0</v>
      </c>
      <c r="D194" s="66">
        <f>'Development Budget'!D26</f>
        <v>0</v>
      </c>
      <c r="E194" s="66">
        <f>'Development Budget'!E26</f>
        <v>0</v>
      </c>
      <c r="F194" s="583">
        <f t="shared" si="30"/>
        <v>0</v>
      </c>
      <c r="G194" s="66">
        <f t="shared" si="33"/>
        <v>0</v>
      </c>
      <c r="H194" s="66" t="str">
        <f>IF(B$3,'Development Budget'!F26,"")</f>
        <v/>
      </c>
      <c r="I194" s="197" t="str">
        <f t="shared" si="31"/>
        <v/>
      </c>
      <c r="K194" t="str">
        <f>'Commercial Budget'!A26</f>
        <v>Architect, Design</v>
      </c>
      <c r="L194" s="66">
        <f>'Commercial Budget'!B26</f>
        <v>0</v>
      </c>
      <c r="M194" s="66">
        <f>'Commercial Budget'!C26</f>
        <v>0</v>
      </c>
      <c r="N194" s="66">
        <f t="shared" ref="N194:N202" si="34">IF($B$2,"",M194-L194)</f>
        <v>0</v>
      </c>
      <c r="O194" s="508"/>
      <c r="P194" s="88"/>
    </row>
    <row r="195" spans="1:16">
      <c r="A195" s="1"/>
      <c r="B195" s="199">
        <f>SUM(B181:B194)</f>
        <v>0</v>
      </c>
      <c r="C195" s="199">
        <f>SUM(C181:C194)</f>
        <v>0</v>
      </c>
      <c r="D195" s="199">
        <f>SUM(D181:D194)</f>
        <v>0</v>
      </c>
      <c r="E195" s="199">
        <f>SUM(E181:E194)</f>
        <v>0</v>
      </c>
      <c r="F195" s="583"/>
      <c r="G195" s="199">
        <f t="shared" si="33"/>
        <v>0</v>
      </c>
      <c r="H195" s="199" t="str">
        <f>IF(B$3,'Development Budget'!F27,"")</f>
        <v/>
      </c>
      <c r="I195" s="197" t="str">
        <f t="shared" si="31"/>
        <v/>
      </c>
      <c r="K195" t="str">
        <f>'Commercial Budget'!A27</f>
        <v>Architect, Supervision</v>
      </c>
      <c r="L195" s="66">
        <f>'Commercial Budget'!B27</f>
        <v>0</v>
      </c>
      <c r="M195" s="66">
        <f>'Commercial Budget'!C27</f>
        <v>0</v>
      </c>
      <c r="N195" s="66">
        <f t="shared" si="34"/>
        <v>0</v>
      </c>
      <c r="O195" s="508"/>
      <c r="P195" s="88"/>
    </row>
    <row r="196" spans="1:16">
      <c r="A196" s="19" t="s">
        <v>417</v>
      </c>
      <c r="B196" s="19"/>
      <c r="C196" s="19"/>
      <c r="D196" s="19"/>
      <c r="E196" s="19"/>
      <c r="F196" s="19"/>
      <c r="G196" s="19"/>
      <c r="H196" s="19"/>
      <c r="I196" s="19"/>
      <c r="K196" t="str">
        <f>'Commercial Budget'!A28</f>
        <v>Attorney, Real Estate</v>
      </c>
      <c r="L196" s="66">
        <f>'Commercial Budget'!B28</f>
        <v>0</v>
      </c>
      <c r="M196" s="66">
        <f>'Commercial Budget'!C28</f>
        <v>0</v>
      </c>
      <c r="N196" s="66">
        <f t="shared" si="34"/>
        <v>0</v>
      </c>
      <c r="O196" s="508"/>
      <c r="P196" s="88"/>
    </row>
    <row r="197" spans="1:16">
      <c r="A197" t="str">
        <f>'Development Budget'!A29</f>
        <v>Architect, Design</v>
      </c>
      <c r="B197" s="66">
        <f>'Development Budget'!B29</f>
        <v>0</v>
      </c>
      <c r="C197" s="66">
        <f>'Development Budget'!C29</f>
        <v>0</v>
      </c>
      <c r="D197" s="66">
        <f>'Development Budget'!D29</f>
        <v>0</v>
      </c>
      <c r="E197" s="66">
        <f>'Development Budget'!E29</f>
        <v>0</v>
      </c>
      <c r="F197" s="583">
        <f t="shared" si="30"/>
        <v>0</v>
      </c>
      <c r="G197" s="66">
        <f>B197-E197</f>
        <v>0</v>
      </c>
      <c r="H197" s="66" t="str">
        <f>IF(B$3,'Development Budget'!F29,"")</f>
        <v/>
      </c>
      <c r="I197" s="197" t="str">
        <f t="shared" ref="I197:I227" si="35">IF(B$3,H197/$B$292,"")</f>
        <v/>
      </c>
      <c r="K197" t="str">
        <f>'Commercial Budget'!A29</f>
        <v>Consultant/agent</v>
      </c>
      <c r="L197" s="66">
        <f>'Commercial Budget'!B29</f>
        <v>0</v>
      </c>
      <c r="M197" s="66">
        <f>'Commercial Budget'!C29</f>
        <v>0</v>
      </c>
      <c r="N197" s="66">
        <f t="shared" si="34"/>
        <v>0</v>
      </c>
      <c r="O197" s="508"/>
      <c r="P197" s="88"/>
    </row>
    <row r="198" spans="1:16">
      <c r="A198" t="str">
        <f>'Development Budget'!A30</f>
        <v>Architect Construction Management/Admin</v>
      </c>
      <c r="B198" s="66">
        <f>'Development Budget'!B30</f>
        <v>0</v>
      </c>
      <c r="C198" s="66">
        <f>'Development Budget'!C30</f>
        <v>0</v>
      </c>
      <c r="D198" s="66">
        <f>'Development Budget'!D30</f>
        <v>0</v>
      </c>
      <c r="E198" s="66">
        <f>'Development Budget'!E30</f>
        <v>0</v>
      </c>
      <c r="F198" s="583">
        <f t="shared" si="30"/>
        <v>0</v>
      </c>
      <c r="G198" s="66">
        <f t="shared" ref="G198:G211" si="36">B198-E198</f>
        <v>0</v>
      </c>
      <c r="H198" s="66" t="str">
        <f>IF(B$3,'Development Budget'!F30,"")</f>
        <v/>
      </c>
      <c r="I198" s="197" t="str">
        <f t="shared" si="35"/>
        <v/>
      </c>
      <c r="K198" t="str">
        <f>'Commercial Budget'!A30</f>
        <v>Engineer/Surveyor</v>
      </c>
      <c r="L198" s="66">
        <f>'Commercial Budget'!B30</f>
        <v>0</v>
      </c>
      <c r="M198" s="66">
        <f>'Commercial Budget'!C30</f>
        <v>0</v>
      </c>
      <c r="N198" s="66">
        <f t="shared" si="34"/>
        <v>0</v>
      </c>
      <c r="O198" s="508"/>
      <c r="P198" s="88"/>
    </row>
    <row r="199" spans="1:16">
      <c r="A199" t="str">
        <f>'Development Budget'!A31</f>
        <v>Landscape Design</v>
      </c>
      <c r="B199" s="66">
        <f>'Development Budget'!B31</f>
        <v>0</v>
      </c>
      <c r="C199" s="66">
        <f>'Development Budget'!C31</f>
        <v>0</v>
      </c>
      <c r="D199" s="66">
        <f>'Development Budget'!D31</f>
        <v>0</v>
      </c>
      <c r="E199" s="66">
        <f>'Development Budget'!E31</f>
        <v>0</v>
      </c>
      <c r="F199" s="583">
        <f t="shared" si="30"/>
        <v>0</v>
      </c>
      <c r="G199" s="66">
        <f t="shared" si="36"/>
        <v>0</v>
      </c>
      <c r="H199" s="66" t="str">
        <f>IF(B$3,'Development Budget'!F31,"")</f>
        <v/>
      </c>
      <c r="I199" s="197" t="str">
        <f t="shared" si="35"/>
        <v/>
      </c>
      <c r="K199" t="str">
        <f>'Commercial Budget'!A31</f>
        <v>Other (Specify)</v>
      </c>
      <c r="L199" s="66">
        <f>'Commercial Budget'!B31</f>
        <v>0</v>
      </c>
      <c r="M199" s="66">
        <f>'Commercial Budget'!C31</f>
        <v>0</v>
      </c>
      <c r="N199" s="66">
        <f t="shared" si="34"/>
        <v>0</v>
      </c>
      <c r="O199" s="508"/>
      <c r="P199" s="88"/>
    </row>
    <row r="200" spans="1:16">
      <c r="A200" t="str">
        <f>'Development Budget'!A32</f>
        <v>Structural Engineering</v>
      </c>
      <c r="B200" s="66">
        <f>'Development Budget'!B32</f>
        <v>0</v>
      </c>
      <c r="C200" s="66">
        <f>'Development Budget'!C32</f>
        <v>0</v>
      </c>
      <c r="D200" s="66">
        <f>'Development Budget'!D32</f>
        <v>0</v>
      </c>
      <c r="E200" s="66">
        <f>'Development Budget'!E32</f>
        <v>0</v>
      </c>
      <c r="F200" s="583">
        <f t="shared" si="30"/>
        <v>0</v>
      </c>
      <c r="G200" s="66">
        <f t="shared" si="36"/>
        <v>0</v>
      </c>
      <c r="H200" s="66" t="str">
        <f>IF(B$3,'Development Budget'!F32,"")</f>
        <v/>
      </c>
      <c r="I200" s="197" t="str">
        <f t="shared" si="35"/>
        <v/>
      </c>
      <c r="K200" t="str">
        <f>'Commercial Budget'!A32</f>
        <v>Other (Specify)</v>
      </c>
      <c r="L200" s="66">
        <f>'Commercial Budget'!B32</f>
        <v>0</v>
      </c>
      <c r="M200" s="66">
        <f>'Commercial Budget'!C32</f>
        <v>0</v>
      </c>
      <c r="N200" s="66">
        <f t="shared" si="34"/>
        <v>0</v>
      </c>
      <c r="O200" s="508"/>
      <c r="P200" s="88"/>
    </row>
    <row r="201" spans="1:16">
      <c r="A201" t="str">
        <f>'Development Budget'!A33</f>
        <v>Civil Engineering</v>
      </c>
      <c r="B201" s="66">
        <f>'Development Budget'!B33</f>
        <v>0</v>
      </c>
      <c r="C201" s="66">
        <f>'Development Budget'!C33</f>
        <v>0</v>
      </c>
      <c r="D201" s="66">
        <f>'Development Budget'!D33</f>
        <v>0</v>
      </c>
      <c r="E201" s="66">
        <f>'Development Budget'!E33</f>
        <v>0</v>
      </c>
      <c r="F201" s="583">
        <f t="shared" si="30"/>
        <v>0</v>
      </c>
      <c r="G201" s="66">
        <f t="shared" si="36"/>
        <v>0</v>
      </c>
      <c r="H201" s="66" t="str">
        <f>IF(B$3,'Development Budget'!F33,"")</f>
        <v/>
      </c>
      <c r="I201" s="197" t="str">
        <f t="shared" si="35"/>
        <v/>
      </c>
      <c r="K201" t="str">
        <f>'Commercial Budget'!A33</f>
        <v>Other-Accounting</v>
      </c>
      <c r="L201" s="66">
        <f>'Commercial Budget'!B33</f>
        <v>0</v>
      </c>
      <c r="M201" s="66">
        <f>'Commercial Budget'!C33</f>
        <v>0</v>
      </c>
      <c r="N201" s="66">
        <f t="shared" si="34"/>
        <v>0</v>
      </c>
      <c r="O201" s="508"/>
      <c r="P201" s="88"/>
    </row>
    <row r="202" spans="1:16">
      <c r="A202" t="str">
        <f>'Development Budget'!A34</f>
        <v>Other Engineering</v>
      </c>
      <c r="B202" s="66">
        <f>'Development Budget'!B34</f>
        <v>0</v>
      </c>
      <c r="C202" s="66">
        <f>'Development Budget'!C34</f>
        <v>0</v>
      </c>
      <c r="D202" s="66">
        <f>'Development Budget'!D34</f>
        <v>0</v>
      </c>
      <c r="E202" s="66">
        <f>'Development Budget'!E34</f>
        <v>0</v>
      </c>
      <c r="F202" s="583">
        <f t="shared" si="30"/>
        <v>0</v>
      </c>
      <c r="G202" s="66">
        <f t="shared" si="36"/>
        <v>0</v>
      </c>
      <c r="H202" s="66" t="str">
        <f>IF(B$3,'Development Budget'!F34,"")</f>
        <v/>
      </c>
      <c r="I202" s="197" t="str">
        <f t="shared" si="35"/>
        <v/>
      </c>
      <c r="L202" s="199">
        <f>'Commercial Budget'!B34</f>
        <v>0</v>
      </c>
      <c r="M202" s="199">
        <f>'Commercial Budget'!C34</f>
        <v>0</v>
      </c>
      <c r="N202" s="66">
        <f t="shared" si="34"/>
        <v>0</v>
      </c>
      <c r="O202" s="508"/>
      <c r="P202" s="88"/>
    </row>
    <row r="203" spans="1:16">
      <c r="A203" t="str">
        <f>'Development Budget'!A35</f>
        <v>Surveyor</v>
      </c>
      <c r="B203" s="66">
        <f>'Development Budget'!B35</f>
        <v>0</v>
      </c>
      <c r="C203" s="66">
        <f>'Development Budget'!C35</f>
        <v>0</v>
      </c>
      <c r="D203" s="66">
        <f>'Development Budget'!D35</f>
        <v>0</v>
      </c>
      <c r="E203" s="66">
        <f>'Development Budget'!E35</f>
        <v>0</v>
      </c>
      <c r="F203" s="583">
        <f t="shared" si="30"/>
        <v>0</v>
      </c>
      <c r="G203" s="66">
        <f t="shared" si="36"/>
        <v>0</v>
      </c>
      <c r="H203" s="66" t="str">
        <f>IF(B$3,'Development Budget'!F35,"")</f>
        <v/>
      </c>
      <c r="I203" s="197" t="str">
        <f t="shared" si="35"/>
        <v/>
      </c>
      <c r="K203" s="19" t="str">
        <f>'Commercial Budget'!A35</f>
        <v>Construction Interim Costs</v>
      </c>
      <c r="L203" s="19"/>
      <c r="M203" s="19"/>
      <c r="N203" s="19"/>
      <c r="O203" s="508"/>
      <c r="P203" s="88"/>
    </row>
    <row r="204" spans="1:16">
      <c r="A204" t="str">
        <f>'Development Budget'!A36</f>
        <v>Attorney, Real Estate</v>
      </c>
      <c r="B204" s="66">
        <f>'Development Budget'!B36</f>
        <v>0</v>
      </c>
      <c r="C204" s="66">
        <f>'Development Budget'!C36</f>
        <v>0</v>
      </c>
      <c r="D204" s="66">
        <f>'Development Budget'!D36</f>
        <v>0</v>
      </c>
      <c r="E204" s="66">
        <f>'Development Budget'!E36</f>
        <v>0</v>
      </c>
      <c r="F204" s="583">
        <f t="shared" si="30"/>
        <v>0</v>
      </c>
      <c r="G204" s="66">
        <f t="shared" si="36"/>
        <v>0</v>
      </c>
      <c r="H204" s="66" t="str">
        <f>IF(B$3,'Development Budget'!F36,"")</f>
        <v/>
      </c>
      <c r="I204" s="197" t="str">
        <f t="shared" si="35"/>
        <v/>
      </c>
      <c r="K204" t="str">
        <f>'Commercial Budget'!A36</f>
        <v>Hazard &amp; Liability Insurance</v>
      </c>
      <c r="L204" s="66">
        <f>'Commercial Budget'!B36</f>
        <v>0</v>
      </c>
      <c r="M204" s="66">
        <f>'Commercial Budget'!C36</f>
        <v>0</v>
      </c>
      <c r="N204" s="66">
        <f t="shared" ref="N204:N219" si="37">IF($B$2,"",M204-L204)</f>
        <v>0</v>
      </c>
      <c r="O204" s="508"/>
      <c r="P204" s="88"/>
    </row>
    <row r="205" spans="1:16">
      <c r="A205" t="str">
        <f>'Development Budget'!A37</f>
        <v>Green Consultant</v>
      </c>
      <c r="B205" s="66">
        <f>'Development Budget'!B37</f>
        <v>0</v>
      </c>
      <c r="C205" s="66">
        <f>'Development Budget'!C37</f>
        <v>0</v>
      </c>
      <c r="D205" s="66">
        <f>'Development Budget'!D37</f>
        <v>0</v>
      </c>
      <c r="E205" s="66">
        <f>'Development Budget'!E37</f>
        <v>0</v>
      </c>
      <c r="F205" s="583">
        <f t="shared" si="30"/>
        <v>0</v>
      </c>
      <c r="G205" s="66">
        <f t="shared" si="36"/>
        <v>0</v>
      </c>
      <c r="H205" s="66" t="str">
        <f>IF(B$3,'Development Budget'!F37,"")</f>
        <v/>
      </c>
      <c r="I205" s="197" t="str">
        <f t="shared" si="35"/>
        <v/>
      </c>
      <c r="K205" t="str">
        <f>'Commercial Budget'!A37</f>
        <v>Builder's Risk Insurance</v>
      </c>
      <c r="L205" s="66">
        <f>'Commercial Budget'!B37</f>
        <v>0</v>
      </c>
      <c r="M205" s="66">
        <f>'Commercial Budget'!C37</f>
        <v>0</v>
      </c>
      <c r="N205" s="66">
        <f t="shared" si="37"/>
        <v>0</v>
      </c>
      <c r="O205" s="508"/>
      <c r="P205" s="88"/>
    </row>
    <row r="206" spans="1:16">
      <c r="A206" t="str">
        <f>'Development Budget'!A38</f>
        <v>Green Charrette</v>
      </c>
      <c r="B206" s="66">
        <f>'Development Budget'!B38</f>
        <v>0</v>
      </c>
      <c r="C206" s="66">
        <f>'Development Budget'!C38</f>
        <v>0</v>
      </c>
      <c r="D206" s="66">
        <f>'Development Budget'!D38</f>
        <v>0</v>
      </c>
      <c r="E206" s="66">
        <f>'Development Budget'!E38</f>
        <v>0</v>
      </c>
      <c r="F206" s="583">
        <f t="shared" si="30"/>
        <v>0</v>
      </c>
      <c r="G206" s="66">
        <f t="shared" si="36"/>
        <v>0</v>
      </c>
      <c r="H206" s="66" t="str">
        <f>IF(B$3,'Development Budget'!F38,"")</f>
        <v/>
      </c>
      <c r="I206" s="197" t="str">
        <f t="shared" si="35"/>
        <v/>
      </c>
      <c r="K206" t="str">
        <f>'Commercial Budget'!A38</f>
        <v>Perform. &amp; Pymt Bonds</v>
      </c>
      <c r="L206" s="66">
        <f>'Commercial Budget'!B38</f>
        <v>0</v>
      </c>
      <c r="M206" s="66">
        <f>'Commercial Budget'!C38</f>
        <v>0</v>
      </c>
      <c r="N206" s="66">
        <f t="shared" si="37"/>
        <v>0</v>
      </c>
      <c r="O206" s="508"/>
      <c r="P206" s="88"/>
    </row>
    <row r="207" spans="1:16">
      <c r="A207" t="str">
        <f>'Development Budget'!A39</f>
        <v>Construction Accounting</v>
      </c>
      <c r="B207" s="66">
        <f>'Development Budget'!B39</f>
        <v>0</v>
      </c>
      <c r="C207" s="66">
        <f>'Development Budget'!C39</f>
        <v>0</v>
      </c>
      <c r="D207" s="66">
        <f>'Development Budget'!D39</f>
        <v>0</v>
      </c>
      <c r="E207" s="66">
        <f>'Development Budget'!E39</f>
        <v>0</v>
      </c>
      <c r="F207" s="583">
        <f t="shared" si="30"/>
        <v>0</v>
      </c>
      <c r="G207" s="66">
        <f t="shared" si="36"/>
        <v>0</v>
      </c>
      <c r="H207" s="66" t="str">
        <f>IF(B$3,'Development Budget'!F39,"")</f>
        <v/>
      </c>
      <c r="I207" s="197" t="str">
        <f t="shared" si="35"/>
        <v/>
      </c>
      <c r="K207" t="str">
        <f>'Commercial Budget'!A39</f>
        <v>Credit Report</v>
      </c>
      <c r="L207" s="66">
        <f>'Commercial Budget'!B39</f>
        <v>0</v>
      </c>
      <c r="M207" s="66">
        <f>'Commercial Budget'!C39</f>
        <v>0</v>
      </c>
      <c r="N207" s="66">
        <f t="shared" si="37"/>
        <v>0</v>
      </c>
      <c r="O207" s="508"/>
      <c r="P207" s="88"/>
    </row>
    <row r="208" spans="1:16">
      <c r="A208" t="str">
        <f>'Development Budget'!A40</f>
        <v>Other (Specify)</v>
      </c>
      <c r="B208" s="66">
        <f>'Development Budget'!B40</f>
        <v>0</v>
      </c>
      <c r="C208" s="66">
        <f>'Development Budget'!C40</f>
        <v>0</v>
      </c>
      <c r="D208" s="66">
        <f>'Development Budget'!D40</f>
        <v>0</v>
      </c>
      <c r="E208" s="66">
        <f>'Development Budget'!E40</f>
        <v>0</v>
      </c>
      <c r="F208" s="583">
        <f t="shared" si="30"/>
        <v>0</v>
      </c>
      <c r="G208" s="66">
        <f t="shared" si="36"/>
        <v>0</v>
      </c>
      <c r="H208" s="66" t="str">
        <f>IF(B$3,'Development Budget'!F40,"")</f>
        <v/>
      </c>
      <c r="I208" s="197" t="str">
        <f t="shared" si="35"/>
        <v/>
      </c>
      <c r="K208" t="str">
        <f>'Commercial Budget'!A40</f>
        <v>Construction Interest</v>
      </c>
      <c r="L208" s="66">
        <f>'Commercial Budget'!B40</f>
        <v>0</v>
      </c>
      <c r="M208" s="66">
        <f>'Commercial Budget'!C40</f>
        <v>0</v>
      </c>
      <c r="N208" s="66">
        <f t="shared" si="37"/>
        <v>0</v>
      </c>
      <c r="O208" s="508"/>
      <c r="P208" s="88"/>
    </row>
    <row r="209" spans="1:16">
      <c r="A209" t="str">
        <f>'Development Budget'!A41</f>
        <v>Other (Specify)</v>
      </c>
      <c r="B209" s="66">
        <f>'Development Budget'!B41</f>
        <v>0</v>
      </c>
      <c r="C209" s="66">
        <f>'Development Budget'!C41</f>
        <v>0</v>
      </c>
      <c r="D209" s="66">
        <f>'Development Budget'!D41</f>
        <v>0</v>
      </c>
      <c r="E209" s="66">
        <f>'Development Budget'!E41</f>
        <v>0</v>
      </c>
      <c r="F209" s="583">
        <f t="shared" si="30"/>
        <v>0</v>
      </c>
      <c r="G209" s="66">
        <f t="shared" si="36"/>
        <v>0</v>
      </c>
      <c r="H209" s="66" t="str">
        <f>IF(B$3,'Development Budget'!F41,"")</f>
        <v/>
      </c>
      <c r="I209" s="197" t="str">
        <f t="shared" si="35"/>
        <v/>
      </c>
      <c r="K209" t="str">
        <f>'Commercial Budget'!A41</f>
        <v>Constr. Origination Fees</v>
      </c>
      <c r="L209" s="66">
        <f>'Commercial Budget'!B41</f>
        <v>0</v>
      </c>
      <c r="M209" s="66">
        <f>'Commercial Budget'!C41</f>
        <v>0</v>
      </c>
      <c r="N209" s="66">
        <f t="shared" si="37"/>
        <v>0</v>
      </c>
      <c r="O209" s="508"/>
      <c r="P209" s="88"/>
    </row>
    <row r="210" spans="1:16">
      <c r="A210" t="str">
        <f>'Development Budget'!A42</f>
        <v>Other (Specify)</v>
      </c>
      <c r="B210" s="66">
        <f>'Development Budget'!B42</f>
        <v>0</v>
      </c>
      <c r="C210" s="66">
        <f>'Development Budget'!C42</f>
        <v>0</v>
      </c>
      <c r="D210" s="66">
        <f>'Development Budget'!D42</f>
        <v>0</v>
      </c>
      <c r="E210" s="66">
        <f>'Development Budget'!E42</f>
        <v>0</v>
      </c>
      <c r="F210" s="583">
        <f t="shared" si="30"/>
        <v>0</v>
      </c>
      <c r="G210" s="66">
        <f t="shared" si="36"/>
        <v>0</v>
      </c>
      <c r="H210" s="66" t="str">
        <f>IF(B$3,'Development Budget'!F42,"")</f>
        <v/>
      </c>
      <c r="I210" s="197" t="str">
        <f t="shared" si="35"/>
        <v/>
      </c>
      <c r="K210" t="str">
        <f>'Commercial Budget'!A42</f>
        <v>Tap Fees (Water/Sewer)</v>
      </c>
      <c r="L210" s="66">
        <f>'Commercial Budget'!B42</f>
        <v>0</v>
      </c>
      <c r="M210" s="66">
        <f>'Commercial Budget'!C42</f>
        <v>0</v>
      </c>
      <c r="N210" s="66">
        <f t="shared" si="37"/>
        <v>0</v>
      </c>
      <c r="O210" s="508"/>
      <c r="P210" s="88"/>
    </row>
    <row r="211" spans="1:16">
      <c r="A211" s="1"/>
      <c r="B211" s="199">
        <f>SUM(B197:B210)</f>
        <v>0</v>
      </c>
      <c r="C211" s="199">
        <f>SUM(C197:C210)</f>
        <v>0</v>
      </c>
      <c r="D211" s="199">
        <f>SUM(D197:D210)</f>
        <v>0</v>
      </c>
      <c r="E211" s="199">
        <f>SUM(E197:E210)</f>
        <v>0</v>
      </c>
      <c r="F211" s="583"/>
      <c r="G211" s="199">
        <f t="shared" si="36"/>
        <v>0</v>
      </c>
      <c r="H211" s="199" t="str">
        <f>IF(B$3,'Development Budget'!F43,"")</f>
        <v/>
      </c>
      <c r="I211" s="197" t="str">
        <f t="shared" si="35"/>
        <v/>
      </c>
      <c r="K211" t="str">
        <f>'Commercial Budget'!A43</f>
        <v>Bond Cost of Issuance</v>
      </c>
      <c r="L211" s="66">
        <f>'Commercial Budget'!B43</f>
        <v>0</v>
      </c>
      <c r="M211" s="66">
        <f>'Commercial Budget'!C43</f>
        <v>0</v>
      </c>
      <c r="N211" s="66">
        <f t="shared" si="37"/>
        <v>0</v>
      </c>
      <c r="O211" s="508"/>
      <c r="P211" s="88"/>
    </row>
    <row r="212" spans="1:16">
      <c r="A212" s="19" t="s">
        <v>428</v>
      </c>
      <c r="B212" s="19"/>
      <c r="C212" s="19"/>
      <c r="D212" s="19"/>
      <c r="E212" s="19"/>
      <c r="F212" s="19"/>
      <c r="G212" s="19"/>
      <c r="H212" s="19"/>
      <c r="I212" s="19" t="str">
        <f t="shared" si="35"/>
        <v/>
      </c>
      <c r="K212" t="str">
        <f>'Commercial Budget'!A44</f>
        <v>Impact Fees</v>
      </c>
      <c r="L212" s="66">
        <f>'Commercial Budget'!B44</f>
        <v>0</v>
      </c>
      <c r="M212" s="66">
        <f>'Commercial Budget'!C44</f>
        <v>0</v>
      </c>
      <c r="N212" s="66">
        <f t="shared" si="37"/>
        <v>0</v>
      </c>
      <c r="O212" s="508"/>
      <c r="P212" s="88"/>
    </row>
    <row r="213" spans="1:16">
      <c r="A213" t="str">
        <f>'Development Budget'!A45</f>
        <v>Hazard &amp; Liability Insurance</v>
      </c>
      <c r="B213" s="66">
        <f>'Development Budget'!B45</f>
        <v>0</v>
      </c>
      <c r="C213" s="66">
        <f>'Development Budget'!C45</f>
        <v>0</v>
      </c>
      <c r="D213" s="66">
        <f>'Development Budget'!D45</f>
        <v>0</v>
      </c>
      <c r="E213" s="66">
        <f>'Development Budget'!E45</f>
        <v>0</v>
      </c>
      <c r="F213" s="583">
        <f t="shared" si="30"/>
        <v>0</v>
      </c>
      <c r="G213" s="66">
        <f>B213-E213</f>
        <v>0</v>
      </c>
      <c r="H213" s="66" t="str">
        <f>IF(B$3,'Development Budget'!F45,"")</f>
        <v/>
      </c>
      <c r="I213" s="197" t="str">
        <f t="shared" si="35"/>
        <v/>
      </c>
      <c r="K213" t="str">
        <f>'Commercial Budget'!A45</f>
        <v>Title &amp; Recording</v>
      </c>
      <c r="L213" s="66">
        <f>'Commercial Budget'!B45</f>
        <v>0</v>
      </c>
      <c r="M213" s="66">
        <f>'Commercial Budget'!C45</f>
        <v>0</v>
      </c>
      <c r="N213" s="66">
        <f t="shared" si="37"/>
        <v>0</v>
      </c>
      <c r="O213" s="508"/>
      <c r="P213" s="88"/>
    </row>
    <row r="214" spans="1:16">
      <c r="A214" t="str">
        <f>'Development Budget'!A46</f>
        <v>Builder's Risk Insurance</v>
      </c>
      <c r="B214" s="66">
        <f>'Development Budget'!B46</f>
        <v>0</v>
      </c>
      <c r="C214" s="66">
        <f>'Development Budget'!C46</f>
        <v>0</v>
      </c>
      <c r="D214" s="66">
        <f>'Development Budget'!D46</f>
        <v>0</v>
      </c>
      <c r="E214" s="66">
        <f>'Development Budget'!E46</f>
        <v>0</v>
      </c>
      <c r="F214" s="583">
        <f t="shared" si="30"/>
        <v>0</v>
      </c>
      <c r="G214" s="66">
        <f t="shared" ref="G214:G231" si="38">B214-E214</f>
        <v>0</v>
      </c>
      <c r="H214" s="66" t="str">
        <f>IF(B$3,'Development Budget'!F46,"")</f>
        <v/>
      </c>
      <c r="I214" s="197" t="str">
        <f t="shared" si="35"/>
        <v/>
      </c>
      <c r="K214" t="str">
        <f>'Commercial Budget'!A46</f>
        <v>Legal Fees</v>
      </c>
      <c r="L214" s="66">
        <f>'Commercial Budget'!B46</f>
        <v>0</v>
      </c>
      <c r="M214" s="66">
        <f>'Commercial Budget'!C46</f>
        <v>0</v>
      </c>
      <c r="N214" s="66">
        <f t="shared" si="37"/>
        <v>0</v>
      </c>
      <c r="O214" s="508"/>
      <c r="P214" s="88"/>
    </row>
    <row r="215" spans="1:16">
      <c r="A215" t="str">
        <f>'Development Budget'!A47</f>
        <v>Perform. &amp; Pymt Bonds</v>
      </c>
      <c r="B215" s="66">
        <f>'Development Budget'!B47</f>
        <v>0</v>
      </c>
      <c r="C215" s="66">
        <f>'Development Budget'!C47</f>
        <v>0</v>
      </c>
      <c r="D215" s="66">
        <f>'Development Budget'!D47</f>
        <v>0</v>
      </c>
      <c r="E215" s="66">
        <f>'Development Budget'!E47</f>
        <v>0</v>
      </c>
      <c r="F215" s="583">
        <f t="shared" si="30"/>
        <v>0</v>
      </c>
      <c r="G215" s="66">
        <f t="shared" si="38"/>
        <v>0</v>
      </c>
      <c r="H215" s="66" t="str">
        <f>IF(B$3,'Development Budget'!F47,"")</f>
        <v/>
      </c>
      <c r="I215" s="197" t="str">
        <f t="shared" si="35"/>
        <v/>
      </c>
      <c r="K215" t="str">
        <f>'Commercial Budget'!A47</f>
        <v>Prop. Taxes during const</v>
      </c>
      <c r="L215" s="66">
        <f>'Commercial Budget'!B47</f>
        <v>0</v>
      </c>
      <c r="M215" s="66">
        <f>'Commercial Budget'!C47</f>
        <v>0</v>
      </c>
      <c r="N215" s="66">
        <f t="shared" si="37"/>
        <v>0</v>
      </c>
      <c r="O215" s="508"/>
      <c r="P215" s="88"/>
    </row>
    <row r="216" spans="1:16">
      <c r="A216" t="str">
        <f>'Development Budget'!A48</f>
        <v>Construction Interest</v>
      </c>
      <c r="B216" s="66">
        <f>'Development Budget'!B48</f>
        <v>0</v>
      </c>
      <c r="C216" s="66">
        <f>'Development Budget'!C48</f>
        <v>0</v>
      </c>
      <c r="D216" s="66">
        <f>'Development Budget'!D48</f>
        <v>0</v>
      </c>
      <c r="E216" s="66">
        <f>'Development Budget'!E48</f>
        <v>0</v>
      </c>
      <c r="F216" s="583">
        <f t="shared" si="30"/>
        <v>0</v>
      </c>
      <c r="G216" s="66">
        <f t="shared" si="38"/>
        <v>0</v>
      </c>
      <c r="H216" s="66" t="str">
        <f>IF(B$3,'Development Budget'!F48,"")</f>
        <v/>
      </c>
      <c r="I216" s="197" t="str">
        <f t="shared" si="35"/>
        <v/>
      </c>
      <c r="K216" t="str">
        <f>'Commercial Budget'!A48</f>
        <v>Other (Specify)</v>
      </c>
      <c r="L216" s="66">
        <f>'Commercial Budget'!B48</f>
        <v>0</v>
      </c>
      <c r="M216" s="66">
        <f>'Commercial Budget'!C48</f>
        <v>0</v>
      </c>
      <c r="N216" s="66">
        <f t="shared" si="37"/>
        <v>0</v>
      </c>
      <c r="O216" s="508"/>
      <c r="P216" s="88"/>
    </row>
    <row r="217" spans="1:16">
      <c r="A217" t="str">
        <f>'Development Budget'!A49</f>
        <v>Constr. Origination Fees</v>
      </c>
      <c r="B217" s="66">
        <f>'Development Budget'!B49</f>
        <v>0</v>
      </c>
      <c r="C217" s="66">
        <f>'Development Budget'!C49</f>
        <v>0</v>
      </c>
      <c r="D217" s="66">
        <f>'Development Budget'!D49</f>
        <v>0</v>
      </c>
      <c r="E217" s="66">
        <f>'Development Budget'!E49</f>
        <v>0</v>
      </c>
      <c r="F217" s="583">
        <f t="shared" si="30"/>
        <v>0</v>
      </c>
      <c r="G217" s="66">
        <f t="shared" si="38"/>
        <v>0</v>
      </c>
      <c r="H217" s="66" t="str">
        <f>IF(B$3,'Development Budget'!F49,"")</f>
        <v/>
      </c>
      <c r="I217" s="197" t="str">
        <f t="shared" si="35"/>
        <v/>
      </c>
      <c r="K217" t="str">
        <f>'Commercial Budget'!A49</f>
        <v>Other (Specify)</v>
      </c>
      <c r="L217" s="66">
        <f>'Commercial Budget'!B49</f>
        <v>0</v>
      </c>
      <c r="M217" s="66">
        <f>'Commercial Budget'!C49</f>
        <v>0</v>
      </c>
      <c r="N217" s="66">
        <f t="shared" si="37"/>
        <v>0</v>
      </c>
      <c r="O217" s="508"/>
      <c r="P217" s="88"/>
    </row>
    <row r="218" spans="1:16">
      <c r="A218" t="str">
        <f>'Development Budget'!A50</f>
        <v>Tap Fees (Water/Sewer)</v>
      </c>
      <c r="B218" s="66">
        <f>'Development Budget'!B50</f>
        <v>0</v>
      </c>
      <c r="C218" s="66">
        <f>'Development Budget'!C50</f>
        <v>0</v>
      </c>
      <c r="D218" s="66">
        <f>'Development Budget'!D50</f>
        <v>0</v>
      </c>
      <c r="E218" s="66">
        <f>'Development Budget'!E50</f>
        <v>0</v>
      </c>
      <c r="F218" s="583">
        <f t="shared" si="30"/>
        <v>0</v>
      </c>
      <c r="G218" s="66">
        <f t="shared" si="38"/>
        <v>0</v>
      </c>
      <c r="H218" s="66" t="str">
        <f>IF(B$3,'Development Budget'!F50,"")</f>
        <v/>
      </c>
      <c r="I218" s="197" t="str">
        <f t="shared" si="35"/>
        <v/>
      </c>
      <c r="K218" t="str">
        <f>'Commercial Budget'!A50</f>
        <v>Other (Specify)</v>
      </c>
      <c r="L218" s="66">
        <f>'Commercial Budget'!B50</f>
        <v>0</v>
      </c>
      <c r="M218" s="66">
        <f>'Commercial Budget'!C50</f>
        <v>0</v>
      </c>
      <c r="N218" s="66">
        <f t="shared" si="37"/>
        <v>0</v>
      </c>
      <c r="O218" s="508"/>
      <c r="P218" s="88"/>
    </row>
    <row r="219" spans="1:16">
      <c r="A219" t="str">
        <f>'Development Budget'!A51</f>
        <v>Impact fees</v>
      </c>
      <c r="B219" s="66">
        <f>'Development Budget'!B51</f>
        <v>0</v>
      </c>
      <c r="C219" s="66">
        <f>'Development Budget'!C51</f>
        <v>0</v>
      </c>
      <c r="D219" s="66">
        <f>'Development Budget'!D51</f>
        <v>0</v>
      </c>
      <c r="E219" s="66">
        <f>'Development Budget'!E51</f>
        <v>0</v>
      </c>
      <c r="F219" s="583">
        <f t="shared" si="30"/>
        <v>0</v>
      </c>
      <c r="G219" s="66">
        <f t="shared" si="38"/>
        <v>0</v>
      </c>
      <c r="H219" s="66" t="str">
        <f>IF(B$3,'Development Budget'!F51,"")</f>
        <v/>
      </c>
      <c r="I219" s="197" t="str">
        <f t="shared" si="35"/>
        <v/>
      </c>
      <c r="L219" s="199">
        <f>'Commercial Budget'!B51</f>
        <v>0</v>
      </c>
      <c r="M219" s="199">
        <f>'Commercial Budget'!C51</f>
        <v>0</v>
      </c>
      <c r="N219" s="66">
        <f t="shared" si="37"/>
        <v>0</v>
      </c>
      <c r="O219" s="508"/>
      <c r="P219" s="88"/>
    </row>
    <row r="220" spans="1:16">
      <c r="A220" t="str">
        <f>'Development Budget'!A52</f>
        <v>Materials Testing</v>
      </c>
      <c r="B220" s="66">
        <f>'Development Budget'!B52</f>
        <v>0</v>
      </c>
      <c r="C220" s="66">
        <f>'Development Budget'!C52</f>
        <v>0</v>
      </c>
      <c r="D220" s="66">
        <f>'Development Budget'!D52</f>
        <v>0</v>
      </c>
      <c r="E220" s="66">
        <f>'Development Budget'!E52</f>
        <v>0</v>
      </c>
      <c r="F220" s="583">
        <f t="shared" si="30"/>
        <v>0</v>
      </c>
      <c r="G220" s="66">
        <f t="shared" si="38"/>
        <v>0</v>
      </c>
      <c r="H220" s="66" t="str">
        <f>IF(B$3,'Development Budget'!F52,"")</f>
        <v/>
      </c>
      <c r="I220" s="197" t="str">
        <f t="shared" si="35"/>
        <v/>
      </c>
      <c r="K220" s="19" t="str">
        <f>'Commercial Budget'!A52</f>
        <v>Permanent Financing</v>
      </c>
      <c r="L220" s="19"/>
      <c r="M220" s="19"/>
      <c r="N220" s="19"/>
      <c r="O220" s="508"/>
      <c r="P220" s="88"/>
    </row>
    <row r="221" spans="1:16">
      <c r="A221" t="str">
        <f>'Development Budget'!A53</f>
        <v>Power and Telecom Provider fees</v>
      </c>
      <c r="B221" s="66">
        <f>'Development Budget'!B53</f>
        <v>0</v>
      </c>
      <c r="C221" s="66">
        <f>'Development Budget'!C53</f>
        <v>0</v>
      </c>
      <c r="D221" s="66">
        <f>'Development Budget'!D53</f>
        <v>0</v>
      </c>
      <c r="E221" s="66">
        <f>'Development Budget'!E53</f>
        <v>0</v>
      </c>
      <c r="F221" s="583">
        <f t="shared" si="30"/>
        <v>0</v>
      </c>
      <c r="G221" s="66">
        <f t="shared" si="38"/>
        <v>0</v>
      </c>
      <c r="H221" s="66" t="str">
        <f>IF(B$3,'Development Budget'!F53,"")</f>
        <v/>
      </c>
      <c r="I221" s="197" t="str">
        <f t="shared" si="35"/>
        <v/>
      </c>
      <c r="K221" t="str">
        <f>'Commercial Budget'!A53</f>
        <v>Bond Premium</v>
      </c>
      <c r="L221" s="66">
        <f>'Commercial Budget'!B53</f>
        <v>0</v>
      </c>
      <c r="M221" s="66">
        <f>'Commercial Budget'!C53</f>
        <v>0</v>
      </c>
      <c r="N221" s="66">
        <f t="shared" ref="N221:N233" si="39">IF($B$2,"",M221-L221)</f>
        <v>0</v>
      </c>
      <c r="O221" s="508"/>
      <c r="P221" s="88"/>
    </row>
    <row r="222" spans="1:16">
      <c r="A222" t="str">
        <f>'Development Budget'!A54</f>
        <v>3rd Party/Bank Inspections/Admin</v>
      </c>
      <c r="B222" s="66">
        <f>'Development Budget'!B54</f>
        <v>0</v>
      </c>
      <c r="C222" s="66">
        <f>'Development Budget'!C54</f>
        <v>0</v>
      </c>
      <c r="D222" s="66">
        <f>'Development Budget'!D54</f>
        <v>0</v>
      </c>
      <c r="E222" s="66">
        <f>'Development Budget'!E54</f>
        <v>0</v>
      </c>
      <c r="F222" s="583">
        <f t="shared" si="30"/>
        <v>0</v>
      </c>
      <c r="G222" s="66">
        <f t="shared" si="38"/>
        <v>0</v>
      </c>
      <c r="H222" s="66" t="str">
        <f>IF(B$3,'Development Budget'!F54,"")</f>
        <v/>
      </c>
      <c r="I222" s="197" t="str">
        <f t="shared" si="35"/>
        <v/>
      </c>
      <c r="K222" t="str">
        <f>'Commercial Budget'!A54</f>
        <v>Bond Issue 30-day lag reserve</v>
      </c>
      <c r="L222" s="66">
        <f>'Commercial Budget'!B54</f>
        <v>0</v>
      </c>
      <c r="M222" s="66">
        <f>'Commercial Budget'!C54</f>
        <v>0</v>
      </c>
      <c r="N222" s="66">
        <f t="shared" si="39"/>
        <v>0</v>
      </c>
      <c r="O222" s="508"/>
      <c r="P222" s="88"/>
    </row>
    <row r="223" spans="1:16">
      <c r="A223" t="str">
        <f>'Development Budget'!A55</f>
        <v>Title &amp; Recording</v>
      </c>
      <c r="B223" s="66">
        <f>'Development Budget'!B55</f>
        <v>0</v>
      </c>
      <c r="C223" s="66">
        <f>'Development Budget'!C55</f>
        <v>0</v>
      </c>
      <c r="D223" s="66">
        <f>'Development Budget'!D55</f>
        <v>0</v>
      </c>
      <c r="E223" s="66">
        <f>'Development Budget'!E55</f>
        <v>0</v>
      </c>
      <c r="F223" s="583">
        <f t="shared" si="30"/>
        <v>0</v>
      </c>
      <c r="G223" s="66">
        <f t="shared" si="38"/>
        <v>0</v>
      </c>
      <c r="H223" s="66" t="str">
        <f>IF(B$3,'Development Budget'!F55,"")</f>
        <v/>
      </c>
      <c r="I223" s="197" t="str">
        <f t="shared" si="35"/>
        <v/>
      </c>
      <c r="K223" t="str">
        <f>'Commercial Budget'!A55</f>
        <v>Discount Points</v>
      </c>
      <c r="L223" s="66">
        <f>'Commercial Budget'!B55</f>
        <v>0</v>
      </c>
      <c r="M223" s="66">
        <f>'Commercial Budget'!C55</f>
        <v>0</v>
      </c>
      <c r="N223" s="66">
        <f t="shared" si="39"/>
        <v>0</v>
      </c>
      <c r="O223" s="508"/>
      <c r="P223" s="88"/>
    </row>
    <row r="224" spans="1:16">
      <c r="A224" t="str">
        <f>'Development Budget'!A56</f>
        <v>Construction Lender Legal Fees</v>
      </c>
      <c r="B224" s="66">
        <f>'Development Budget'!B56</f>
        <v>0</v>
      </c>
      <c r="C224" s="66">
        <f>'Development Budget'!C56</f>
        <v>0</v>
      </c>
      <c r="D224" s="66">
        <f>'Development Budget'!D56</f>
        <v>0</v>
      </c>
      <c r="E224" s="66">
        <f>'Development Budget'!E56</f>
        <v>0</v>
      </c>
      <c r="F224" s="583">
        <f t="shared" si="30"/>
        <v>0</v>
      </c>
      <c r="G224" s="66">
        <f t="shared" si="38"/>
        <v>0</v>
      </c>
      <c r="H224" s="66" t="str">
        <f>IF(B$3,'Development Budget'!F56,"")</f>
        <v/>
      </c>
      <c r="I224" s="197" t="str">
        <f t="shared" si="35"/>
        <v/>
      </c>
      <c r="K224" t="str">
        <f>'Commercial Budget'!A56</f>
        <v>Perm Loan Origination</v>
      </c>
      <c r="L224" s="66">
        <f>'Commercial Budget'!B56</f>
        <v>0</v>
      </c>
      <c r="M224" s="66">
        <f>'Commercial Budget'!C56</f>
        <v>0</v>
      </c>
      <c r="N224" s="66">
        <f t="shared" si="39"/>
        <v>0</v>
      </c>
      <c r="O224" s="508"/>
      <c r="P224" s="88"/>
    </row>
    <row r="225" spans="1:16">
      <c r="A225" t="str">
        <f>'Development Budget'!A57</f>
        <v>Prop. Taxes During Construction</v>
      </c>
      <c r="B225" s="66">
        <f>'Development Budget'!B57</f>
        <v>0</v>
      </c>
      <c r="C225" s="66">
        <f>'Development Budget'!C57</f>
        <v>0</v>
      </c>
      <c r="D225" s="66">
        <f>'Development Budget'!D57</f>
        <v>0</v>
      </c>
      <c r="E225" s="66">
        <f>'Development Budget'!E57</f>
        <v>0</v>
      </c>
      <c r="F225" s="583">
        <f t="shared" si="30"/>
        <v>0</v>
      </c>
      <c r="G225" s="66">
        <f t="shared" si="38"/>
        <v>0</v>
      </c>
      <c r="H225" s="66" t="str">
        <f>IF(B$3,'Development Budget'!F57,"")</f>
        <v/>
      </c>
      <c r="I225" s="197" t="str">
        <f t="shared" si="35"/>
        <v/>
      </c>
      <c r="K225" t="str">
        <f>'Commercial Budget'!A57</f>
        <v>Credit Enhancement</v>
      </c>
      <c r="L225" s="66">
        <f>'Commercial Budget'!B57</f>
        <v>0</v>
      </c>
      <c r="M225" s="66">
        <f>'Commercial Budget'!C57</f>
        <v>0</v>
      </c>
      <c r="N225" s="66">
        <f t="shared" si="39"/>
        <v>0</v>
      </c>
      <c r="O225" s="508"/>
      <c r="P225" s="88"/>
    </row>
    <row r="226" spans="1:16">
      <c r="A226" t="str">
        <f>'Development Budget'!A58</f>
        <v>Bridge Loan</v>
      </c>
      <c r="B226" s="66">
        <f>'Development Budget'!B58</f>
        <v>0</v>
      </c>
      <c r="C226" s="66">
        <f>'Development Budget'!C58</f>
        <v>0</v>
      </c>
      <c r="D226" s="66">
        <f>'Development Budget'!D58</f>
        <v>0</v>
      </c>
      <c r="E226" s="66">
        <f>'Development Budget'!E58</f>
        <v>0</v>
      </c>
      <c r="F226" s="583">
        <f t="shared" si="30"/>
        <v>0</v>
      </c>
      <c r="G226" s="66">
        <f>B226-E226</f>
        <v>0</v>
      </c>
      <c r="H226" s="66" t="str">
        <f>IF(B$3,'Development Budget'!F58,"")</f>
        <v/>
      </c>
      <c r="I226" s="197" t="str">
        <f t="shared" si="35"/>
        <v/>
      </c>
      <c r="K226" t="str">
        <f>'Commercial Budget'!A58</f>
        <v>Title &amp; Recording</v>
      </c>
      <c r="L226" s="66">
        <f>'Commercial Budget'!B58</f>
        <v>0</v>
      </c>
      <c r="M226" s="66">
        <f>'Commercial Budget'!C58</f>
        <v>0</v>
      </c>
      <c r="N226" s="66">
        <f t="shared" si="39"/>
        <v>0</v>
      </c>
      <c r="O226" s="508"/>
      <c r="P226" s="88"/>
    </row>
    <row r="227" spans="1:16">
      <c r="A227" t="s">
        <v>443</v>
      </c>
      <c r="B227" s="66">
        <f>'Development Budget'!B59</f>
        <v>0</v>
      </c>
      <c r="C227" s="66">
        <f>'Development Budget'!C59</f>
        <v>0</v>
      </c>
      <c r="D227" s="66">
        <f>'Development Budget'!D59</f>
        <v>0</v>
      </c>
      <c r="E227" s="66">
        <f>'Development Budget'!E59</f>
        <v>0</v>
      </c>
      <c r="F227" s="583">
        <f t="shared" si="30"/>
        <v>0</v>
      </c>
      <c r="G227" s="66">
        <f>B227-E227</f>
        <v>0</v>
      </c>
      <c r="H227" s="66" t="str">
        <f>IF(B$3,'Development Budget'!F59,"")</f>
        <v/>
      </c>
      <c r="I227" s="197" t="str">
        <f t="shared" si="35"/>
        <v/>
      </c>
      <c r="L227" s="66"/>
      <c r="M227" s="66"/>
      <c r="N227" s="66"/>
      <c r="O227" s="508"/>
      <c r="P227" s="88"/>
    </row>
    <row r="228" spans="1:16">
      <c r="A228" t="str">
        <f>'Development Budget'!A60</f>
        <v>Other (Specify)</v>
      </c>
      <c r="B228" s="66">
        <f>'Development Budget'!B60</f>
        <v>0</v>
      </c>
      <c r="C228" s="66">
        <f>'Development Budget'!C60</f>
        <v>0</v>
      </c>
      <c r="D228" s="66">
        <f>'Development Budget'!D60</f>
        <v>0</v>
      </c>
      <c r="E228" s="66">
        <f>'Development Budget'!E60</f>
        <v>0</v>
      </c>
      <c r="F228" s="583">
        <f t="shared" si="30"/>
        <v>0</v>
      </c>
      <c r="G228" s="66">
        <f t="shared" si="38"/>
        <v>0</v>
      </c>
      <c r="H228" s="66" t="str">
        <f>IF(B$3,'Development Budget'!F60,"")</f>
        <v/>
      </c>
      <c r="I228" s="197" t="str">
        <f t="shared" ref="I228:I259" si="40">IF(B$3,H228/$B$292,"")</f>
        <v/>
      </c>
      <c r="K228" t="str">
        <f>'Commercial Budget'!A59</f>
        <v>Legal Fees</v>
      </c>
      <c r="L228" s="66">
        <f>'Commercial Budget'!B59</f>
        <v>0</v>
      </c>
      <c r="M228" s="66">
        <f>'Commercial Budget'!C59</f>
        <v>0</v>
      </c>
      <c r="N228" s="66">
        <f t="shared" si="39"/>
        <v>0</v>
      </c>
      <c r="O228" s="508"/>
      <c r="P228" s="88"/>
    </row>
    <row r="229" spans="1:16">
      <c r="A229" t="str">
        <f>'Development Budget'!A61</f>
        <v>Other (Specify)</v>
      </c>
      <c r="B229" s="66">
        <f>'Development Budget'!B61</f>
        <v>0</v>
      </c>
      <c r="C229" s="66">
        <f>'Development Budget'!C61</f>
        <v>0</v>
      </c>
      <c r="D229" s="66">
        <f>'Development Budget'!D61</f>
        <v>0</v>
      </c>
      <c r="E229" s="66">
        <f>'Development Budget'!E61</f>
        <v>0</v>
      </c>
      <c r="F229" s="583">
        <f t="shared" si="30"/>
        <v>0</v>
      </c>
      <c r="G229" s="66">
        <f t="shared" si="38"/>
        <v>0</v>
      </c>
      <c r="H229" s="66" t="str">
        <f>IF(B$3,'Development Budget'!F61,"")</f>
        <v/>
      </c>
      <c r="I229" s="197" t="str">
        <f t="shared" si="40"/>
        <v/>
      </c>
      <c r="K229" t="str">
        <f>'Commercial Budget'!A60</f>
        <v>Prepaid MIP</v>
      </c>
      <c r="L229" s="66">
        <f>'Commercial Budget'!B60</f>
        <v>0</v>
      </c>
      <c r="M229" s="66">
        <f>'Commercial Budget'!C60</f>
        <v>0</v>
      </c>
      <c r="N229" s="66">
        <f t="shared" si="39"/>
        <v>0</v>
      </c>
      <c r="O229" s="508"/>
      <c r="P229" s="88"/>
    </row>
    <row r="230" spans="1:16">
      <c r="A230" t="str">
        <f>'Development Budget'!A62</f>
        <v>Other (Specify)</v>
      </c>
      <c r="B230" s="66">
        <f>'Development Budget'!B62</f>
        <v>0</v>
      </c>
      <c r="C230" s="66">
        <f>'Development Budget'!C62</f>
        <v>0</v>
      </c>
      <c r="D230" s="66">
        <f>'Development Budget'!D62</f>
        <v>0</v>
      </c>
      <c r="E230" s="66">
        <f>'Development Budget'!E62</f>
        <v>0</v>
      </c>
      <c r="F230" s="583">
        <f t="shared" si="30"/>
        <v>0</v>
      </c>
      <c r="G230" s="66">
        <f t="shared" si="38"/>
        <v>0</v>
      </c>
      <c r="H230" s="66" t="str">
        <f>IF(B$3,'Development Budget'!F62,"")</f>
        <v/>
      </c>
      <c r="I230" s="197" t="str">
        <f t="shared" si="40"/>
        <v/>
      </c>
      <c r="K230" t="str">
        <f>'Commercial Budget'!A61</f>
        <v>Other (Specify)</v>
      </c>
      <c r="L230" s="66">
        <f>'Commercial Budget'!B61</f>
        <v>0</v>
      </c>
      <c r="M230" s="66">
        <f>'Commercial Budget'!C61</f>
        <v>0</v>
      </c>
      <c r="N230" s="66">
        <f t="shared" si="39"/>
        <v>0</v>
      </c>
      <c r="O230" s="508"/>
      <c r="P230" s="88"/>
    </row>
    <row r="231" spans="1:16">
      <c r="A231" s="1"/>
      <c r="B231" s="199">
        <f>SUM(B213:B230)</f>
        <v>0</v>
      </c>
      <c r="C231" s="199">
        <f>SUM(C213:C230)</f>
        <v>0</v>
      </c>
      <c r="D231" s="199">
        <f>SUM(D213:D230)</f>
        <v>0</v>
      </c>
      <c r="E231" s="199">
        <f>SUM(E213:E230)</f>
        <v>0</v>
      </c>
      <c r="F231" s="583"/>
      <c r="G231" s="199">
        <f t="shared" si="38"/>
        <v>0</v>
      </c>
      <c r="H231" s="199" t="str">
        <f>IF(B$3,'Development Budget'!F63,"")</f>
        <v/>
      </c>
      <c r="I231" s="197" t="str">
        <f t="shared" si="40"/>
        <v/>
      </c>
      <c r="K231" t="str">
        <f>'Commercial Budget'!A62</f>
        <v>Other (Specify)</v>
      </c>
      <c r="L231" s="66">
        <f>'Commercial Budget'!B62</f>
        <v>0</v>
      </c>
      <c r="M231" s="66">
        <f>'Commercial Budget'!C62</f>
        <v>0</v>
      </c>
      <c r="N231" s="66">
        <f t="shared" si="39"/>
        <v>0</v>
      </c>
      <c r="O231" s="508"/>
      <c r="P231" s="88"/>
    </row>
    <row r="232" spans="1:16">
      <c r="A232" s="19" t="s">
        <v>444</v>
      </c>
      <c r="B232" s="19"/>
      <c r="C232" s="19"/>
      <c r="D232" s="19"/>
      <c r="E232" s="19"/>
      <c r="F232" s="19"/>
      <c r="G232" s="19"/>
      <c r="H232" s="19"/>
      <c r="I232" s="19" t="str">
        <f t="shared" si="40"/>
        <v/>
      </c>
      <c r="K232" t="str">
        <f>'Commercial Budget'!A63</f>
        <v>Other (Specify)</v>
      </c>
      <c r="L232" s="66">
        <f>'Commercial Budget'!B63</f>
        <v>0</v>
      </c>
      <c r="M232" s="66">
        <f>'Commercial Budget'!C63</f>
        <v>0</v>
      </c>
      <c r="N232" s="66">
        <f t="shared" si="39"/>
        <v>0</v>
      </c>
      <c r="O232" s="508"/>
      <c r="P232" s="88"/>
    </row>
    <row r="233" spans="1:16">
      <c r="A233" t="str">
        <f>'Development Budget'!A65</f>
        <v>Bond Premium</v>
      </c>
      <c r="B233" s="66">
        <f>'Development Budget'!B65</f>
        <v>0</v>
      </c>
      <c r="E233" s="66">
        <f>'Development Budget'!E65</f>
        <v>0</v>
      </c>
      <c r="F233" s="583">
        <f t="shared" si="30"/>
        <v>0</v>
      </c>
      <c r="G233" s="66">
        <f>B233-E233</f>
        <v>0</v>
      </c>
      <c r="H233" s="66" t="str">
        <f>IF(B$3,'Development Budget'!F65,"")</f>
        <v/>
      </c>
      <c r="I233" s="197" t="str">
        <f t="shared" si="40"/>
        <v/>
      </c>
      <c r="L233" s="199">
        <f>'Commercial Budget'!B64</f>
        <v>0</v>
      </c>
      <c r="M233" s="199">
        <f>'Commercial Budget'!C64</f>
        <v>0</v>
      </c>
      <c r="N233" s="66">
        <f t="shared" si="39"/>
        <v>0</v>
      </c>
      <c r="O233" s="508"/>
      <c r="P233" s="88"/>
    </row>
    <row r="234" spans="1:16">
      <c r="A234" t="str">
        <f>'Development Budget'!A66</f>
        <v>Bond Issue 30-day lag reserve</v>
      </c>
      <c r="B234" s="66">
        <f>'Development Budget'!B66</f>
        <v>0</v>
      </c>
      <c r="E234" s="66">
        <f>'Development Budget'!E66</f>
        <v>0</v>
      </c>
      <c r="F234" s="583">
        <f t="shared" si="30"/>
        <v>0</v>
      </c>
      <c r="G234" s="66">
        <f t="shared" ref="G234:G247" si="41">B234-E234</f>
        <v>0</v>
      </c>
      <c r="H234" s="66" t="str">
        <f>IF(B$3,'Development Budget'!F66,"")</f>
        <v/>
      </c>
      <c r="I234" s="197" t="str">
        <f t="shared" si="40"/>
        <v/>
      </c>
      <c r="J234" s="74"/>
      <c r="K234" s="19" t="str">
        <f>'Commercial Budget'!A65</f>
        <v>Soft Costs</v>
      </c>
      <c r="L234" s="19"/>
      <c r="M234" s="19"/>
      <c r="N234" s="19"/>
      <c r="O234" s="508"/>
      <c r="P234" s="88"/>
    </row>
    <row r="235" spans="1:16">
      <c r="A235" t="str">
        <f>'Development Budget'!A67</f>
        <v>Bond Cost of Issuance</v>
      </c>
      <c r="B235" s="66">
        <f>'Development Budget'!B67</f>
        <v>0</v>
      </c>
      <c r="E235" s="66">
        <f>'Development Budget'!E67</f>
        <v>0</v>
      </c>
      <c r="F235" s="583">
        <f t="shared" si="30"/>
        <v>0</v>
      </c>
      <c r="G235" s="66">
        <f t="shared" si="41"/>
        <v>0</v>
      </c>
      <c r="H235" s="66" t="str">
        <f>IF(B$3,'Development Budget'!F67,"")</f>
        <v/>
      </c>
      <c r="I235" s="197" t="str">
        <f t="shared" si="40"/>
        <v/>
      </c>
      <c r="J235" s="105"/>
      <c r="K235" t="str">
        <f>'Commercial Budget'!A66</f>
        <v>Feasibility Study</v>
      </c>
      <c r="L235" s="66">
        <f>'Commercial Budget'!B66</f>
        <v>0</v>
      </c>
      <c r="M235" s="66">
        <f>'Commercial Budget'!C66</f>
        <v>0</v>
      </c>
      <c r="N235" s="66">
        <f t="shared" ref="N235:N245" si="42">IF($B$2,"",M235-L235)</f>
        <v>0</v>
      </c>
      <c r="O235" s="508"/>
      <c r="P235" s="88"/>
    </row>
    <row r="236" spans="1:16">
      <c r="A236" t="str">
        <f>'Development Budget'!A68</f>
        <v>Discount Points</v>
      </c>
      <c r="B236" s="66">
        <f>'Development Budget'!B68</f>
        <v>0</v>
      </c>
      <c r="E236" s="66">
        <f>'Development Budget'!E68</f>
        <v>0</v>
      </c>
      <c r="F236" s="583">
        <f t="shared" si="30"/>
        <v>0</v>
      </c>
      <c r="G236" s="66">
        <f t="shared" si="41"/>
        <v>0</v>
      </c>
      <c r="H236" s="66" t="str">
        <f>IF(B$3,'Development Budget'!F68,"")</f>
        <v/>
      </c>
      <c r="I236" s="197" t="str">
        <f t="shared" si="40"/>
        <v/>
      </c>
      <c r="J236" s="105"/>
      <c r="K236" t="str">
        <f>'Commercial Budget'!A67</f>
        <v>Market Study</v>
      </c>
      <c r="L236" s="66">
        <f>'Commercial Budget'!B67</f>
        <v>0</v>
      </c>
      <c r="M236" s="66">
        <f>'Commercial Budget'!C67</f>
        <v>0</v>
      </c>
      <c r="N236" s="66">
        <f t="shared" si="42"/>
        <v>0</v>
      </c>
      <c r="O236" s="508"/>
      <c r="P236" s="88"/>
    </row>
    <row r="237" spans="1:16">
      <c r="A237" t="str">
        <f>'Development Budget'!A69</f>
        <v>Perm Loan Origination</v>
      </c>
      <c r="B237" s="66">
        <f>'Development Budget'!B69</f>
        <v>0</v>
      </c>
      <c r="E237" s="66">
        <f>'Development Budget'!E69</f>
        <v>0</v>
      </c>
      <c r="F237" s="583">
        <f t="shared" si="30"/>
        <v>0</v>
      </c>
      <c r="G237" s="66">
        <f t="shared" si="41"/>
        <v>0</v>
      </c>
      <c r="H237" s="66" t="str">
        <f>IF(B$3,'Development Budget'!F69,"")</f>
        <v/>
      </c>
      <c r="I237" s="197" t="str">
        <f t="shared" si="40"/>
        <v/>
      </c>
      <c r="J237" s="105"/>
      <c r="K237" t="str">
        <f>'Commercial Budget'!A68</f>
        <v>Environmental Study</v>
      </c>
      <c r="L237" s="66">
        <f>'Commercial Budget'!B68</f>
        <v>0</v>
      </c>
      <c r="M237" s="66">
        <f>'Commercial Budget'!C68</f>
        <v>0</v>
      </c>
      <c r="N237" s="66">
        <f t="shared" si="42"/>
        <v>0</v>
      </c>
      <c r="O237" s="508"/>
      <c r="P237" s="88"/>
    </row>
    <row r="238" spans="1:16">
      <c r="A238" t="str">
        <f>'Development Budget'!A70</f>
        <v>Credit Enhancement</v>
      </c>
      <c r="B238" s="66">
        <f>'Development Budget'!B70</f>
        <v>0</v>
      </c>
      <c r="E238" s="66">
        <f>'Development Budget'!E70</f>
        <v>0</v>
      </c>
      <c r="F238" s="583">
        <f t="shared" si="30"/>
        <v>0</v>
      </c>
      <c r="G238" s="66">
        <f t="shared" si="41"/>
        <v>0</v>
      </c>
      <c r="H238" s="66" t="str">
        <f>IF(B$3,'Development Budget'!F70,"")</f>
        <v/>
      </c>
      <c r="I238" s="197" t="str">
        <f t="shared" si="40"/>
        <v/>
      </c>
      <c r="J238" s="88"/>
      <c r="K238" t="str">
        <f>'Commercial Budget'!A69</f>
        <v>Tax Credit Fees</v>
      </c>
      <c r="L238" s="66">
        <f>'Commercial Budget'!B69</f>
        <v>0</v>
      </c>
      <c r="M238" s="66">
        <f>'Commercial Budget'!C69</f>
        <v>0</v>
      </c>
      <c r="N238" s="66">
        <f t="shared" si="42"/>
        <v>0</v>
      </c>
      <c r="O238" s="508"/>
      <c r="P238" s="88"/>
    </row>
    <row r="239" spans="1:16">
      <c r="A239" t="str">
        <f>'Development Budget'!A71</f>
        <v>Title &amp; Recording</v>
      </c>
      <c r="B239" s="66">
        <f>'Development Budget'!B71</f>
        <v>0</v>
      </c>
      <c r="E239" s="66">
        <f>'Development Budget'!E71</f>
        <v>0</v>
      </c>
      <c r="F239" s="583">
        <f t="shared" si="30"/>
        <v>0</v>
      </c>
      <c r="G239" s="66">
        <f t="shared" si="41"/>
        <v>0</v>
      </c>
      <c r="H239" s="66" t="str">
        <f>IF(B$3,'Development Budget'!F71,"")</f>
        <v/>
      </c>
      <c r="I239" s="197" t="str">
        <f t="shared" si="40"/>
        <v/>
      </c>
      <c r="J239" s="88"/>
      <c r="K239" t="str">
        <f>'Commercial Budget'!A70</f>
        <v>Compliance Fees</v>
      </c>
      <c r="L239" s="66">
        <f>'Commercial Budget'!B70</f>
        <v>0</v>
      </c>
      <c r="M239" s="66">
        <f>'Commercial Budget'!C70</f>
        <v>0</v>
      </c>
      <c r="N239" s="66">
        <f t="shared" si="42"/>
        <v>0</v>
      </c>
      <c r="O239" s="508"/>
      <c r="P239" s="88"/>
    </row>
    <row r="240" spans="1:16">
      <c r="A240" t="str">
        <f>'Development Budget'!A72</f>
        <v>Legal Fees</v>
      </c>
      <c r="B240" s="66">
        <f>'Development Budget'!B72</f>
        <v>0</v>
      </c>
      <c r="E240" s="66">
        <f>'Development Budget'!E72</f>
        <v>0</v>
      </c>
      <c r="F240" s="583">
        <f t="shared" si="30"/>
        <v>0</v>
      </c>
      <c r="G240" s="66">
        <f t="shared" si="41"/>
        <v>0</v>
      </c>
      <c r="H240" s="66" t="str">
        <f>IF(B$3,'Development Budget'!F72,"")</f>
        <v/>
      </c>
      <c r="I240" s="197" t="str">
        <f t="shared" si="40"/>
        <v/>
      </c>
      <c r="J240" s="88"/>
      <c r="K240" t="str">
        <f>'Commercial Budget'!A71</f>
        <v>Appraisal</v>
      </c>
      <c r="L240" s="66">
        <f>'Commercial Budget'!B71</f>
        <v>0</v>
      </c>
      <c r="M240" s="66">
        <f>'Commercial Budget'!C71</f>
        <v>0</v>
      </c>
      <c r="N240" s="66">
        <f t="shared" si="42"/>
        <v>0</v>
      </c>
      <c r="O240" s="508"/>
      <c r="P240" s="88"/>
    </row>
    <row r="241" spans="1:16">
      <c r="A241" t="str">
        <f>'Development Budget'!A73</f>
        <v>Prepaid MIP</v>
      </c>
      <c r="B241" s="66">
        <f>'Development Budget'!B73</f>
        <v>0</v>
      </c>
      <c r="E241" s="66">
        <f>'Development Budget'!E73</f>
        <v>0</v>
      </c>
      <c r="F241" s="583">
        <f t="shared" si="30"/>
        <v>0</v>
      </c>
      <c r="G241" s="66">
        <f t="shared" si="41"/>
        <v>0</v>
      </c>
      <c r="H241" s="66" t="str">
        <f>IF(B$3,'Development Budget'!F73,"")</f>
        <v/>
      </c>
      <c r="I241" s="197" t="str">
        <f t="shared" si="40"/>
        <v/>
      </c>
      <c r="J241" s="88"/>
      <c r="K241" t="str">
        <f>'Commercial Budget'!A72</f>
        <v>Cost Certification</v>
      </c>
      <c r="L241" s="66">
        <f>'Commercial Budget'!B72</f>
        <v>0</v>
      </c>
      <c r="M241" s="66">
        <f>'Commercial Budget'!C72</f>
        <v>0</v>
      </c>
      <c r="N241" s="66">
        <f t="shared" si="42"/>
        <v>0</v>
      </c>
      <c r="O241" s="508"/>
      <c r="P241" s="88"/>
    </row>
    <row r="242" spans="1:16">
      <c r="A242" t="str">
        <f>'Development Budget'!A74</f>
        <v>Forward Rate Lock</v>
      </c>
      <c r="B242" s="66">
        <f>'Development Budget'!B74</f>
        <v>0</v>
      </c>
      <c r="E242" s="66">
        <f>'Development Budget'!E74</f>
        <v>0</v>
      </c>
      <c r="F242" s="583">
        <f t="shared" si="30"/>
        <v>0</v>
      </c>
      <c r="G242" s="66">
        <f t="shared" si="41"/>
        <v>0</v>
      </c>
      <c r="H242" s="66" t="str">
        <f>IF(B$3,'Development Budget'!F74,"")</f>
        <v/>
      </c>
      <c r="I242" s="197" t="str">
        <f t="shared" si="40"/>
        <v/>
      </c>
      <c r="K242" t="str">
        <f>'Commercial Budget'!A73</f>
        <v>Other (Specify)</v>
      </c>
      <c r="L242" s="66">
        <f>'Commercial Budget'!B73</f>
        <v>0</v>
      </c>
      <c r="M242" s="66">
        <f>'Commercial Budget'!C73</f>
        <v>0</v>
      </c>
      <c r="N242" s="66">
        <f t="shared" si="42"/>
        <v>0</v>
      </c>
      <c r="O242" s="508"/>
      <c r="P242" s="88"/>
    </row>
    <row r="243" spans="1:16">
      <c r="A243" t="str">
        <f>'Development Budget'!A75</f>
        <v>Conversion Fee</v>
      </c>
      <c r="B243" s="66">
        <f>'Development Budget'!B75</f>
        <v>0</v>
      </c>
      <c r="E243" s="66">
        <f>'Development Budget'!E75</f>
        <v>0</v>
      </c>
      <c r="F243" s="583">
        <f t="shared" si="30"/>
        <v>0</v>
      </c>
      <c r="G243" s="66">
        <f t="shared" si="41"/>
        <v>0</v>
      </c>
      <c r="H243" s="66" t="str">
        <f>IF(B$3,'Development Budget'!F75,"")</f>
        <v/>
      </c>
      <c r="I243" s="197" t="str">
        <f t="shared" si="40"/>
        <v/>
      </c>
      <c r="K243" t="str">
        <f>'Commercial Budget'!A74</f>
        <v>Other (Specify)</v>
      </c>
      <c r="L243" s="66">
        <f>'Commercial Budget'!B74</f>
        <v>0</v>
      </c>
      <c r="M243" s="66">
        <f>'Commercial Budget'!C74</f>
        <v>0</v>
      </c>
      <c r="N243" s="66">
        <f t="shared" si="42"/>
        <v>0</v>
      </c>
      <c r="O243" s="508"/>
      <c r="P243" s="88"/>
    </row>
    <row r="244" spans="1:16">
      <c r="A244" t="str">
        <f>'Development Budget'!A76</f>
        <v>Other (Specify)</v>
      </c>
      <c r="B244" s="66">
        <f>'Development Budget'!B76</f>
        <v>0</v>
      </c>
      <c r="E244" s="66">
        <f>'Development Budget'!E76</f>
        <v>0</v>
      </c>
      <c r="F244" s="583">
        <f t="shared" si="30"/>
        <v>0</v>
      </c>
      <c r="G244" s="66">
        <f t="shared" si="41"/>
        <v>0</v>
      </c>
      <c r="H244" s="66" t="str">
        <f>IF(B$3,'Development Budget'!F76,"")</f>
        <v/>
      </c>
      <c r="I244" s="197" t="str">
        <f t="shared" si="40"/>
        <v/>
      </c>
      <c r="K244" t="str">
        <f>'Commercial Budget'!A75</f>
        <v>Other (Specify)</v>
      </c>
      <c r="L244" s="66">
        <f>'Commercial Budget'!B75</f>
        <v>0</v>
      </c>
      <c r="M244" s="66">
        <f>'Commercial Budget'!C75</f>
        <v>0</v>
      </c>
      <c r="N244" s="66">
        <f t="shared" si="42"/>
        <v>0</v>
      </c>
      <c r="O244" s="508"/>
      <c r="P244" s="88"/>
    </row>
    <row r="245" spans="1:16">
      <c r="A245" t="str">
        <f>'Development Budget'!A77</f>
        <v>Other (Specify)</v>
      </c>
      <c r="B245" s="66">
        <f>'Development Budget'!B77</f>
        <v>0</v>
      </c>
      <c r="E245" s="66">
        <f>'Development Budget'!E77</f>
        <v>0</v>
      </c>
      <c r="F245" s="583">
        <f t="shared" ref="F245:F290" si="43">IF(OR(E245=0,B245=0),0,G245/B245)</f>
        <v>0</v>
      </c>
      <c r="G245" s="66">
        <f t="shared" si="41"/>
        <v>0</v>
      </c>
      <c r="H245" s="66" t="str">
        <f>IF(B$3,'Development Budget'!F77,"")</f>
        <v/>
      </c>
      <c r="I245" s="197" t="str">
        <f t="shared" si="40"/>
        <v/>
      </c>
      <c r="L245" s="199">
        <f>'Commercial Budget'!B76</f>
        <v>0</v>
      </c>
      <c r="M245" s="199">
        <f>'Commercial Budget'!C76</f>
        <v>0</v>
      </c>
      <c r="N245" s="66">
        <f t="shared" si="42"/>
        <v>0</v>
      </c>
      <c r="O245" s="508"/>
      <c r="P245" s="88"/>
    </row>
    <row r="246" spans="1:16">
      <c r="A246" t="str">
        <f>'Development Budget'!A78</f>
        <v>Other (Specify)</v>
      </c>
      <c r="B246" s="66">
        <f>'Development Budget'!B78</f>
        <v>0</v>
      </c>
      <c r="E246" s="66">
        <f>'Development Budget'!E78</f>
        <v>0</v>
      </c>
      <c r="F246" s="583">
        <f t="shared" si="43"/>
        <v>0</v>
      </c>
      <c r="G246" s="66">
        <f t="shared" si="41"/>
        <v>0</v>
      </c>
      <c r="H246" s="66" t="str">
        <f>IF(B$3,'Development Budget'!F78,"")</f>
        <v/>
      </c>
      <c r="I246" s="197" t="str">
        <f t="shared" si="40"/>
        <v/>
      </c>
      <c r="K246" s="19" t="str">
        <f>'Commercial Budget'!A77</f>
        <v>Syndication Costs</v>
      </c>
      <c r="L246" s="19"/>
      <c r="M246" s="19"/>
      <c r="N246" s="19"/>
      <c r="O246" s="508"/>
      <c r="P246" s="88"/>
    </row>
    <row r="247" spans="1:16">
      <c r="A247" s="1"/>
      <c r="B247" s="199">
        <f>SUM(B233:B246)</f>
        <v>0</v>
      </c>
      <c r="C247" s="199"/>
      <c r="D247" s="199"/>
      <c r="E247" s="199">
        <f>SUM(E233:E246)</f>
        <v>0</v>
      </c>
      <c r="F247" s="583"/>
      <c r="G247" s="199">
        <f t="shared" si="41"/>
        <v>0</v>
      </c>
      <c r="H247" s="199" t="str">
        <f>IF(B$3,'Development Budget'!F79,"")</f>
        <v/>
      </c>
      <c r="I247" s="197" t="str">
        <f t="shared" si="40"/>
        <v/>
      </c>
      <c r="K247" t="str">
        <f>'Commercial Budget'!A78</f>
        <v>Organization Costs</v>
      </c>
      <c r="L247" s="66">
        <f>'Commercial Budget'!B78</f>
        <v>0</v>
      </c>
      <c r="M247" s="66">
        <f>'Commercial Budget'!C78</f>
        <v>0</v>
      </c>
      <c r="N247" s="66">
        <f t="shared" ref="N247:N253" si="44">IF($B$2,"",M247-L247)</f>
        <v>0</v>
      </c>
      <c r="O247" s="508"/>
      <c r="P247" s="88"/>
    </row>
    <row r="248" spans="1:16">
      <c r="A248" s="19" t="s">
        <v>455</v>
      </c>
      <c r="B248" s="19"/>
      <c r="C248" s="19"/>
      <c r="D248" s="19"/>
      <c r="E248" s="19"/>
      <c r="F248" s="19"/>
      <c r="G248" s="19"/>
      <c r="H248" s="19"/>
      <c r="I248" s="19" t="str">
        <f t="shared" si="40"/>
        <v/>
      </c>
      <c r="K248" t="str">
        <f>'Commercial Budget'!A79</f>
        <v>Bridge Loan</v>
      </c>
      <c r="L248" s="66">
        <f>'Commercial Budget'!B79</f>
        <v>0</v>
      </c>
      <c r="M248" s="66">
        <f>'Commercial Budget'!C79</f>
        <v>0</v>
      </c>
      <c r="N248" s="66">
        <f t="shared" si="44"/>
        <v>0</v>
      </c>
      <c r="O248" s="508"/>
      <c r="P248" s="88"/>
    </row>
    <row r="249" spans="1:16">
      <c r="A249" t="str">
        <f>'Development Budget'!A81</f>
        <v>Marketing/Leasing Costs</v>
      </c>
      <c r="B249" s="66">
        <f>'Development Budget'!B81</f>
        <v>0</v>
      </c>
      <c r="C249" s="66"/>
      <c r="D249" s="66"/>
      <c r="E249" s="66">
        <f>'Development Budget'!E81</f>
        <v>0</v>
      </c>
      <c r="F249" s="583">
        <f t="shared" si="43"/>
        <v>0</v>
      </c>
      <c r="G249" s="66">
        <f>B249-E249</f>
        <v>0</v>
      </c>
      <c r="H249" s="66" t="str">
        <f>IF(B$3,'Development Budget'!F81,"")</f>
        <v/>
      </c>
      <c r="I249" s="197" t="str">
        <f t="shared" si="40"/>
        <v/>
      </c>
      <c r="K249" t="str">
        <f>'Commercial Budget'!A80</f>
        <v>Tax Opinion</v>
      </c>
      <c r="L249" s="66">
        <f>'Commercial Budget'!B80</f>
        <v>0</v>
      </c>
      <c r="M249" s="66">
        <f>'Commercial Budget'!C80</f>
        <v>0</v>
      </c>
      <c r="N249" s="66">
        <f t="shared" si="44"/>
        <v>0</v>
      </c>
      <c r="O249" s="508"/>
      <c r="P249" s="88"/>
    </row>
    <row r="250" spans="1:16">
      <c r="A250" t="str">
        <f>'Development Budget'!A82</f>
        <v>Cost Estimating/Capital Needs Assessment</v>
      </c>
      <c r="B250" s="66">
        <f>'Development Budget'!B82</f>
        <v>0</v>
      </c>
      <c r="C250" s="66">
        <f>'Development Budget'!C82</f>
        <v>0</v>
      </c>
      <c r="D250" s="66">
        <f>'Development Budget'!D82</f>
        <v>0</v>
      </c>
      <c r="E250" s="66">
        <f>'Development Budget'!E82</f>
        <v>0</v>
      </c>
      <c r="F250" s="583">
        <f t="shared" si="43"/>
        <v>0</v>
      </c>
      <c r="G250" s="66">
        <f t="shared" ref="G250:G266" si="45">B250-E250</f>
        <v>0</v>
      </c>
      <c r="H250" s="66" t="str">
        <f>IF(B$3,'Development Budget'!F82,"")</f>
        <v/>
      </c>
      <c r="I250" s="197" t="str">
        <f t="shared" si="40"/>
        <v/>
      </c>
      <c r="K250" t="str">
        <f>'Commercial Budget'!A81</f>
        <v>Other (Specify)</v>
      </c>
      <c r="L250" s="66">
        <f>'Commercial Budget'!B81</f>
        <v>0</v>
      </c>
      <c r="M250" s="66">
        <f>'Commercial Budget'!C81</f>
        <v>0</v>
      </c>
      <c r="N250" s="66">
        <f t="shared" si="44"/>
        <v>0</v>
      </c>
      <c r="O250" s="508"/>
      <c r="P250" s="88"/>
    </row>
    <row r="251" spans="1:16">
      <c r="A251" t="str">
        <f>'Development Budget'!A83</f>
        <v>Geotechnical/Soils Study</v>
      </c>
      <c r="B251" s="66">
        <f>'Development Budget'!B83</f>
        <v>0</v>
      </c>
      <c r="C251" s="66">
        <f>'Development Budget'!C83</f>
        <v>0</v>
      </c>
      <c r="D251" s="66">
        <f>'Development Budget'!D83</f>
        <v>0</v>
      </c>
      <c r="E251" s="66">
        <f>'Development Budget'!E83</f>
        <v>0</v>
      </c>
      <c r="F251" s="583">
        <f t="shared" si="43"/>
        <v>0</v>
      </c>
      <c r="G251" s="66">
        <f t="shared" si="45"/>
        <v>0</v>
      </c>
      <c r="H251" s="66" t="str">
        <f>IF(B$3,'Development Budget'!F83,"")</f>
        <v/>
      </c>
      <c r="I251" s="197" t="str">
        <f t="shared" si="40"/>
        <v/>
      </c>
      <c r="K251" t="str">
        <f>'Commercial Budget'!A82</f>
        <v>Other (Specify)</v>
      </c>
      <c r="L251" s="66">
        <f>'Commercial Budget'!B82</f>
        <v>0</v>
      </c>
      <c r="M251" s="66">
        <f>'Commercial Budget'!C82</f>
        <v>0</v>
      </c>
      <c r="N251" s="66">
        <f t="shared" si="44"/>
        <v>0</v>
      </c>
      <c r="O251" s="508"/>
      <c r="P251" s="88"/>
    </row>
    <row r="252" spans="1:16">
      <c r="A252" t="str">
        <f>'Development Budget'!A84</f>
        <v>Appraisal</v>
      </c>
      <c r="B252" s="66">
        <f>'Development Budget'!B84</f>
        <v>0</v>
      </c>
      <c r="C252" s="66">
        <f>'Development Budget'!C84</f>
        <v>0</v>
      </c>
      <c r="D252" s="66">
        <f>'Development Budget'!D84</f>
        <v>0</v>
      </c>
      <c r="E252" s="66">
        <f>'Development Budget'!E84</f>
        <v>0</v>
      </c>
      <c r="F252" s="583">
        <f t="shared" si="43"/>
        <v>0</v>
      </c>
      <c r="G252" s="66">
        <f t="shared" si="45"/>
        <v>0</v>
      </c>
      <c r="H252" s="66" t="str">
        <f>IF(B$3,'Development Budget'!F84,"")</f>
        <v/>
      </c>
      <c r="I252" s="197" t="str">
        <f t="shared" si="40"/>
        <v/>
      </c>
      <c r="K252" t="str">
        <f>'Commercial Budget'!A83</f>
        <v>Other - Accounting</v>
      </c>
      <c r="L252" s="66">
        <f>'Commercial Budget'!B83</f>
        <v>0</v>
      </c>
      <c r="M252" s="66">
        <f>'Commercial Budget'!C83</f>
        <v>0</v>
      </c>
      <c r="N252" s="66">
        <f t="shared" si="44"/>
        <v>0</v>
      </c>
      <c r="O252" s="508"/>
      <c r="P252" s="88"/>
    </row>
    <row r="253" spans="1:16">
      <c r="A253" t="str">
        <f>'Development Budget'!A85</f>
        <v>Market Study</v>
      </c>
      <c r="B253" s="66">
        <f>'Development Budget'!B85</f>
        <v>0</v>
      </c>
      <c r="C253" s="66">
        <f>'Development Budget'!C85</f>
        <v>0</v>
      </c>
      <c r="D253" s="66">
        <f>'Development Budget'!D85</f>
        <v>0</v>
      </c>
      <c r="E253" s="66">
        <f>'Development Budget'!E85</f>
        <v>0</v>
      </c>
      <c r="F253" s="583">
        <f t="shared" si="43"/>
        <v>0</v>
      </c>
      <c r="G253" s="66">
        <f t="shared" si="45"/>
        <v>0</v>
      </c>
      <c r="H253" s="66" t="str">
        <f>IF(B$3,'Development Budget'!F85,"")</f>
        <v/>
      </c>
      <c r="I253" s="197" t="str">
        <f t="shared" si="40"/>
        <v/>
      </c>
      <c r="L253" s="199">
        <f>'Commercial Budget'!B84</f>
        <v>0</v>
      </c>
      <c r="M253" s="199">
        <f>'Commercial Budget'!C84</f>
        <v>0</v>
      </c>
      <c r="N253" s="66">
        <f t="shared" si="44"/>
        <v>0</v>
      </c>
      <c r="O253" s="508"/>
      <c r="P253" s="88"/>
    </row>
    <row r="254" spans="1:16">
      <c r="A254" t="str">
        <f>'Development Budget'!A86</f>
        <v>Environmental Study (Phase 1, Phase 2, Lead, Asbestos, etc.)</v>
      </c>
      <c r="B254" s="66">
        <f>'Development Budget'!B86</f>
        <v>0</v>
      </c>
      <c r="C254" s="66">
        <f>'Development Budget'!C86</f>
        <v>0</v>
      </c>
      <c r="D254" s="66">
        <f>'Development Budget'!D86</f>
        <v>0</v>
      </c>
      <c r="E254" s="66">
        <f>'Development Budget'!E86</f>
        <v>0</v>
      </c>
      <c r="F254" s="583">
        <f t="shared" si="43"/>
        <v>0</v>
      </c>
      <c r="G254" s="66">
        <f t="shared" si="45"/>
        <v>0</v>
      </c>
      <c r="H254" s="66" t="str">
        <f>IF(B$3,'Development Budget'!F86,"")</f>
        <v/>
      </c>
      <c r="I254" s="197" t="str">
        <f t="shared" si="40"/>
        <v/>
      </c>
      <c r="K254" s="19" t="str">
        <f>'Commercial Budget'!A85</f>
        <v>Developer Fees</v>
      </c>
      <c r="L254" s="19"/>
      <c r="M254" s="19"/>
      <c r="N254" s="19"/>
      <c r="O254" s="508"/>
      <c r="P254" s="88"/>
    </row>
    <row r="255" spans="1:16">
      <c r="A255" t="str">
        <f>'Development Budget'!A87</f>
        <v>Other Studies (traffic, wetlands, etc.)</v>
      </c>
      <c r="B255" s="66">
        <f>'Development Budget'!B87</f>
        <v>0</v>
      </c>
      <c r="C255" s="66">
        <f>'Development Budget'!C87</f>
        <v>0</v>
      </c>
      <c r="D255" s="66">
        <f>'Development Budget'!D87</f>
        <v>0</v>
      </c>
      <c r="E255" s="66">
        <f>'Development Budget'!E87</f>
        <v>0</v>
      </c>
      <c r="F255" s="583">
        <f t="shared" si="43"/>
        <v>0</v>
      </c>
      <c r="G255" s="66">
        <f t="shared" si="45"/>
        <v>0</v>
      </c>
      <c r="H255" s="66" t="str">
        <f>IF(B$3,'Development Budget'!F87,"")</f>
        <v/>
      </c>
      <c r="I255" s="197" t="str">
        <f t="shared" si="40"/>
        <v/>
      </c>
      <c r="K255" t="str">
        <f>'Commercial Budget'!A86</f>
        <v>Developer Fee</v>
      </c>
      <c r="L255" s="66">
        <f>'Commercial Budget'!B86</f>
        <v>0</v>
      </c>
      <c r="M255" s="66">
        <f>'Commercial Budget'!C86</f>
        <v>0</v>
      </c>
      <c r="N255" s="66">
        <f>IF($B$2,"",M255-L255)</f>
        <v>0</v>
      </c>
      <c r="O255" s="508"/>
      <c r="P255" s="88"/>
    </row>
    <row r="256" spans="1:16">
      <c r="A256" t="str">
        <f>'Development Budget'!A88</f>
        <v>Tax Credit Fees</v>
      </c>
      <c r="B256" s="66">
        <f>'Development Budget'!B88</f>
        <v>0</v>
      </c>
      <c r="C256" s="66"/>
      <c r="D256" s="66"/>
      <c r="E256" s="66">
        <f>'Development Budget'!E88</f>
        <v>0</v>
      </c>
      <c r="F256" s="583">
        <f t="shared" si="43"/>
        <v>0</v>
      </c>
      <c r="G256" s="66">
        <f t="shared" si="45"/>
        <v>0</v>
      </c>
      <c r="H256" s="66" t="str">
        <f>IF(B$3,'Development Budget'!F88,"")</f>
        <v/>
      </c>
      <c r="I256" s="197" t="str">
        <f t="shared" si="40"/>
        <v/>
      </c>
      <c r="K256" t="str">
        <f>'Commercial Budget'!A87</f>
        <v>Developer Overhead</v>
      </c>
      <c r="L256" s="66">
        <f>'Commercial Budget'!B87</f>
        <v>0</v>
      </c>
      <c r="M256" s="66">
        <f>'Commercial Budget'!C87</f>
        <v>0</v>
      </c>
      <c r="N256" s="66">
        <f>IF($B$2,"",M256-L256)</f>
        <v>0</v>
      </c>
      <c r="O256" s="508"/>
      <c r="P256" s="88"/>
    </row>
    <row r="257" spans="1:16">
      <c r="A257" t="str">
        <f>'Development Budget'!A89</f>
        <v>Compliance Fees</v>
      </c>
      <c r="B257" s="66">
        <f>'Development Budget'!B89</f>
        <v>0</v>
      </c>
      <c r="C257" s="66"/>
      <c r="D257" s="66"/>
      <c r="E257" s="66">
        <f>'Development Budget'!E89</f>
        <v>0</v>
      </c>
      <c r="F257" s="583">
        <f t="shared" si="43"/>
        <v>0</v>
      </c>
      <c r="G257" s="66">
        <f t="shared" si="45"/>
        <v>0</v>
      </c>
      <c r="H257" s="66" t="str">
        <f>IF(B$3,'Development Budget'!F89,"")</f>
        <v/>
      </c>
      <c r="I257" s="197" t="str">
        <f t="shared" si="40"/>
        <v/>
      </c>
      <c r="K257" t="str">
        <f>'Commercial Budget'!A88</f>
        <v>Developer Profit</v>
      </c>
      <c r="L257" s="66">
        <f>'Commercial Budget'!B88</f>
        <v>0</v>
      </c>
      <c r="M257" s="66">
        <f>'Commercial Budget'!C88</f>
        <v>0</v>
      </c>
      <c r="N257" s="66">
        <f>IF($B$2,"",M257-L257)</f>
        <v>0</v>
      </c>
      <c r="O257" s="508"/>
      <c r="P257" s="88"/>
    </row>
    <row r="258" spans="1:16">
      <c r="A258" t="str">
        <f>'Development Budget'!A90</f>
        <v>Cost Certification</v>
      </c>
      <c r="B258" s="66">
        <f>'Development Budget'!B90</f>
        <v>0</v>
      </c>
      <c r="C258" s="66">
        <f>'Development Budget'!C90</f>
        <v>0</v>
      </c>
      <c r="D258" s="66">
        <f>'Development Budget'!D90</f>
        <v>0</v>
      </c>
      <c r="E258" s="66">
        <f>'Development Budget'!E90</f>
        <v>0</v>
      </c>
      <c r="F258" s="583">
        <f t="shared" si="43"/>
        <v>0</v>
      </c>
      <c r="G258" s="66">
        <f t="shared" si="45"/>
        <v>0</v>
      </c>
      <c r="H258" s="66" t="str">
        <f>IF(B$3,'Development Budget'!F90,"")</f>
        <v/>
      </c>
      <c r="I258" s="197" t="str">
        <f t="shared" si="40"/>
        <v/>
      </c>
      <c r="K258" t="str">
        <f>'Commercial Budget'!A89</f>
        <v>Other (Specify)</v>
      </c>
      <c r="L258" s="66">
        <f>'Commercial Budget'!B89</f>
        <v>0</v>
      </c>
      <c r="M258" s="66">
        <f>'Commercial Budget'!C89</f>
        <v>0</v>
      </c>
      <c r="N258" s="66">
        <f>IF($B$2,"",M258-L258)</f>
        <v>0</v>
      </c>
      <c r="O258" s="508"/>
      <c r="P258" s="88"/>
    </row>
    <row r="259" spans="1:16">
      <c r="A259" t="str">
        <f>'Development Budget'!A91</f>
        <v>Green Certification Fees (LEED Certification, etc.)</v>
      </c>
      <c r="B259" s="66">
        <f>'Development Budget'!B91</f>
        <v>0</v>
      </c>
      <c r="C259" s="66">
        <f>'Development Budget'!C91</f>
        <v>0</v>
      </c>
      <c r="D259" s="66">
        <f>'Development Budget'!D91</f>
        <v>0</v>
      </c>
      <c r="E259" s="66">
        <f>'Development Budget'!E91</f>
        <v>0</v>
      </c>
      <c r="F259" s="583">
        <f t="shared" si="43"/>
        <v>0</v>
      </c>
      <c r="G259" s="66">
        <f t="shared" si="45"/>
        <v>0</v>
      </c>
      <c r="H259" s="66" t="str">
        <f>IF(B$3,'Development Budget'!F91,"")</f>
        <v/>
      </c>
      <c r="I259" s="197" t="str">
        <f t="shared" si="40"/>
        <v/>
      </c>
      <c r="L259" s="199">
        <f>'Commercial Budget'!B90</f>
        <v>0</v>
      </c>
      <c r="M259" s="199">
        <f>'Commercial Budget'!C90</f>
        <v>0</v>
      </c>
      <c r="N259" s="66">
        <f>IF($B$2,"",M259-L259)</f>
        <v>0</v>
      </c>
      <c r="O259" s="508"/>
      <c r="P259" s="88"/>
    </row>
    <row r="260" spans="1:16">
      <c r="A260" t="str">
        <f>'Development Budget'!A92</f>
        <v>Relocation - Temporary</v>
      </c>
      <c r="B260" s="66">
        <f>'Development Budget'!B92</f>
        <v>0</v>
      </c>
      <c r="C260" s="66">
        <f>'Development Budget'!C92</f>
        <v>0</v>
      </c>
      <c r="D260" s="66">
        <f>'Development Budget'!D92</f>
        <v>0</v>
      </c>
      <c r="E260" s="66">
        <f>'Development Budget'!E92</f>
        <v>0</v>
      </c>
      <c r="F260" s="583">
        <f t="shared" si="43"/>
        <v>0</v>
      </c>
      <c r="G260" s="66">
        <f t="shared" si="45"/>
        <v>0</v>
      </c>
      <c r="H260" s="66" t="str">
        <f>IF(B$3,'Development Budget'!F92,"")</f>
        <v/>
      </c>
      <c r="I260" s="197" t="str">
        <f t="shared" ref="I260:I278" si="46">IF(B$3,H260/$B$292,"")</f>
        <v/>
      </c>
      <c r="K260" s="19" t="str">
        <f>'Commercial Budget'!A91</f>
        <v>Project Reserves</v>
      </c>
      <c r="L260" s="19"/>
      <c r="M260" s="19"/>
      <c r="N260" s="19"/>
      <c r="O260" s="508"/>
      <c r="P260" s="88"/>
    </row>
    <row r="261" spans="1:16">
      <c r="A261" t="str">
        <f>'Development Budget'!A93</f>
        <v>Relocation - Permanent</v>
      </c>
      <c r="B261" s="66">
        <f>'Development Budget'!B93</f>
        <v>0</v>
      </c>
      <c r="C261" s="66">
        <f>'Development Budget'!C93</f>
        <v>0</v>
      </c>
      <c r="D261" s="66">
        <f>'Development Budget'!D93</f>
        <v>0</v>
      </c>
      <c r="E261" s="66">
        <f>'Development Budget'!E93</f>
        <v>0</v>
      </c>
      <c r="F261" s="583">
        <f t="shared" si="43"/>
        <v>0</v>
      </c>
      <c r="G261" s="66">
        <f t="shared" si="45"/>
        <v>0</v>
      </c>
      <c r="H261" s="66" t="str">
        <f>IF(B$3,'Development Budget'!F93,"")</f>
        <v/>
      </c>
      <c r="I261" s="197" t="str">
        <f t="shared" si="46"/>
        <v/>
      </c>
      <c r="K261" t="str">
        <f>'Commercial Budget'!A92</f>
        <v>Rent-up Reserves</v>
      </c>
      <c r="L261" s="66">
        <f>'Commercial Budget'!B92</f>
        <v>0</v>
      </c>
      <c r="M261" s="66">
        <f>'Commercial Budget'!C92</f>
        <v>0</v>
      </c>
      <c r="N261" s="66">
        <f t="shared" ref="N261:N267" si="47">IF($B$2,"",M261-L261)</f>
        <v>0</v>
      </c>
      <c r="O261" s="508"/>
      <c r="P261" s="88"/>
    </row>
    <row r="262" spans="1:16">
      <c r="A262" t="str">
        <f>'Development Budget'!A94</f>
        <v>Soft Cost Contingency</v>
      </c>
      <c r="B262" s="66">
        <f>'Development Budget'!B94</f>
        <v>0</v>
      </c>
      <c r="C262" s="66">
        <f>'Development Budget'!C94</f>
        <v>0</v>
      </c>
      <c r="D262" s="66">
        <f>'Development Budget'!D94</f>
        <v>0</v>
      </c>
      <c r="E262" s="66">
        <f>'Development Budget'!E94</f>
        <v>0</v>
      </c>
      <c r="F262" s="583">
        <f t="shared" si="43"/>
        <v>0</v>
      </c>
      <c r="G262" s="66">
        <f t="shared" si="45"/>
        <v>0</v>
      </c>
      <c r="H262" s="66" t="str">
        <f>IF(B$3,'Development Budget'!F94,"")</f>
        <v/>
      </c>
      <c r="I262" s="197" t="str">
        <f t="shared" si="46"/>
        <v/>
      </c>
      <c r="K262" t="str">
        <f>'Commercial Budget'!A93</f>
        <v>Operating Reserves</v>
      </c>
      <c r="L262" s="66">
        <f>'Commercial Budget'!B93</f>
        <v>0</v>
      </c>
      <c r="M262" s="66">
        <f>'Commercial Budget'!C93</f>
        <v>0</v>
      </c>
      <c r="N262" s="66">
        <f t="shared" si="47"/>
        <v>0</v>
      </c>
      <c r="O262" s="508"/>
      <c r="P262" s="88"/>
    </row>
    <row r="263" spans="1:16">
      <c r="A263" t="str">
        <f>'Development Budget'!A95</f>
        <v>Other (Specify)</v>
      </c>
      <c r="B263" s="66">
        <f>'Development Budget'!B95</f>
        <v>0</v>
      </c>
      <c r="C263" s="66">
        <f>'Development Budget'!C95</f>
        <v>0</v>
      </c>
      <c r="D263" s="66">
        <f>'Development Budget'!D95</f>
        <v>0</v>
      </c>
      <c r="E263" s="66">
        <f>'Development Budget'!E95</f>
        <v>0</v>
      </c>
      <c r="F263" s="583">
        <f t="shared" si="43"/>
        <v>0</v>
      </c>
      <c r="G263" s="66">
        <f t="shared" si="45"/>
        <v>0</v>
      </c>
      <c r="H263" s="66" t="str">
        <f>IF(B$3,'Development Budget'!F95,"")</f>
        <v/>
      </c>
      <c r="I263" s="197" t="str">
        <f t="shared" si="46"/>
        <v/>
      </c>
      <c r="K263" t="str">
        <f>'Commercial Budget'!A94</f>
        <v>Replacement Reserves</v>
      </c>
      <c r="L263" s="66">
        <f>'Commercial Budget'!B94</f>
        <v>0</v>
      </c>
      <c r="M263" s="66">
        <f>'Commercial Budget'!C94</f>
        <v>0</v>
      </c>
      <c r="N263" s="66">
        <f t="shared" si="47"/>
        <v>0</v>
      </c>
      <c r="O263" s="508"/>
      <c r="P263" s="88"/>
    </row>
    <row r="264" spans="1:16">
      <c r="A264" t="str">
        <f>'Development Budget'!A96</f>
        <v>Other (Specify)</v>
      </c>
      <c r="B264" s="66">
        <f>'Development Budget'!B96</f>
        <v>0</v>
      </c>
      <c r="C264" s="66">
        <f>'Development Budget'!C96</f>
        <v>0</v>
      </c>
      <c r="D264" s="66">
        <f>'Development Budget'!D96</f>
        <v>0</v>
      </c>
      <c r="E264" s="66">
        <f>'Development Budget'!E96</f>
        <v>0</v>
      </c>
      <c r="F264" s="583">
        <f t="shared" si="43"/>
        <v>0</v>
      </c>
      <c r="G264" s="66">
        <f t="shared" si="45"/>
        <v>0</v>
      </c>
      <c r="H264" s="66" t="str">
        <f>IF(B$3,'Development Budget'!F96,"")</f>
        <v/>
      </c>
      <c r="I264" s="197" t="str">
        <f t="shared" si="46"/>
        <v/>
      </c>
      <c r="K264" t="str">
        <f>'Commercial Budget'!A95</f>
        <v>Escrows</v>
      </c>
      <c r="L264" s="66">
        <f>'Commercial Budget'!B95</f>
        <v>0</v>
      </c>
      <c r="M264" s="66">
        <f>'Commercial Budget'!C95</f>
        <v>0</v>
      </c>
      <c r="N264" s="66">
        <f t="shared" si="47"/>
        <v>0</v>
      </c>
      <c r="O264" s="508"/>
      <c r="P264" s="88"/>
    </row>
    <row r="265" spans="1:16">
      <c r="A265" t="str">
        <f>'Development Budget'!A97</f>
        <v>Other (Specify)</v>
      </c>
      <c r="B265" s="66">
        <f>'Development Budget'!B97</f>
        <v>0</v>
      </c>
      <c r="C265" s="66">
        <f>'Development Budget'!C97</f>
        <v>0</v>
      </c>
      <c r="D265" s="66">
        <f>'Development Budget'!D97</f>
        <v>0</v>
      </c>
      <c r="E265" s="66">
        <f>'Development Budget'!E97</f>
        <v>0</v>
      </c>
      <c r="F265" s="583">
        <f t="shared" si="43"/>
        <v>0</v>
      </c>
      <c r="G265" s="66">
        <f t="shared" si="45"/>
        <v>0</v>
      </c>
      <c r="H265" s="66" t="str">
        <f>IF(B$3,'Development Budget'!F97,"")</f>
        <v/>
      </c>
      <c r="I265" s="197" t="str">
        <f t="shared" si="46"/>
        <v/>
      </c>
      <c r="K265" t="str">
        <f>'Commercial Budget'!A96</f>
        <v>Other (Specify)</v>
      </c>
      <c r="L265" s="66">
        <f>'Commercial Budget'!B96</f>
        <v>0</v>
      </c>
      <c r="M265" s="66">
        <f>'Commercial Budget'!C96</f>
        <v>0</v>
      </c>
      <c r="N265" s="66">
        <f t="shared" si="47"/>
        <v>0</v>
      </c>
      <c r="O265" s="508"/>
      <c r="P265" s="88"/>
    </row>
    <row r="266" spans="1:16" ht="15" thickBot="1">
      <c r="A266" s="1"/>
      <c r="B266" s="199">
        <f>SUM(B249:B265)</f>
        <v>0</v>
      </c>
      <c r="C266" s="199">
        <f>SUM(C249:C265)</f>
        <v>0</v>
      </c>
      <c r="D266" s="199">
        <f>SUM(D249:D265)</f>
        <v>0</v>
      </c>
      <c r="E266" s="199">
        <f>SUM(E249:E265)</f>
        <v>0</v>
      </c>
      <c r="F266" s="583"/>
      <c r="G266" s="199">
        <f t="shared" si="45"/>
        <v>0</v>
      </c>
      <c r="H266" s="199" t="str">
        <f>IF(B$3,'Development Budget'!F98,"")</f>
        <v/>
      </c>
      <c r="I266" s="197" t="str">
        <f t="shared" si="46"/>
        <v/>
      </c>
      <c r="L266" s="199">
        <f>'Commercial Budget'!B97</f>
        <v>0</v>
      </c>
      <c r="M266" s="199">
        <f>'Commercial Budget'!C97</f>
        <v>0</v>
      </c>
      <c r="N266" s="66">
        <f t="shared" si="47"/>
        <v>0</v>
      </c>
      <c r="O266" s="508"/>
      <c r="P266" s="88"/>
    </row>
    <row r="267" spans="1:16" ht="15" thickTop="1">
      <c r="A267" s="19" t="s">
        <v>471</v>
      </c>
      <c r="B267" s="19"/>
      <c r="C267" s="19"/>
      <c r="D267" s="19"/>
      <c r="E267" s="19"/>
      <c r="F267" s="19"/>
      <c r="G267" s="19"/>
      <c r="H267" s="19"/>
      <c r="I267" s="19" t="str">
        <f t="shared" si="46"/>
        <v/>
      </c>
      <c r="K267" s="68" t="str">
        <f>'Commercial Budget'!A98</f>
        <v>Total</v>
      </c>
      <c r="L267" s="198">
        <f>'Commercial Budget'!B98</f>
        <v>0</v>
      </c>
      <c r="M267" s="198">
        <f>'Commercial Budget'!C98</f>
        <v>0</v>
      </c>
      <c r="N267" s="66">
        <f t="shared" si="47"/>
        <v>0</v>
      </c>
      <c r="O267" s="508"/>
      <c r="P267" s="88"/>
    </row>
    <row r="268" spans="1:16">
      <c r="A268" t="str">
        <f>'Development Budget'!A100</f>
        <v>Organization Costs</v>
      </c>
      <c r="B268" s="66">
        <f>'Development Budget'!B100</f>
        <v>0</v>
      </c>
      <c r="C268" s="66"/>
      <c r="D268" s="66"/>
      <c r="E268" s="66">
        <f>'Development Budget'!E100</f>
        <v>0</v>
      </c>
      <c r="F268" s="583">
        <f t="shared" si="43"/>
        <v>0</v>
      </c>
      <c r="G268" s="66">
        <f>B268-E268</f>
        <v>0</v>
      </c>
      <c r="H268" s="66" t="str">
        <f>IF(B$3,'Development Budget'!F100,"")</f>
        <v/>
      </c>
      <c r="I268" s="197" t="str">
        <f t="shared" si="46"/>
        <v/>
      </c>
      <c r="O268" s="508"/>
      <c r="P268" s="88"/>
    </row>
    <row r="269" spans="1:16">
      <c r="A269" t="str">
        <f>'Development Budget'!A101</f>
        <v>Tax Opinion</v>
      </c>
      <c r="B269" s="66">
        <f>'Development Budget'!B101</f>
        <v>0</v>
      </c>
      <c r="C269" s="66"/>
      <c r="D269" s="66"/>
      <c r="E269" s="66">
        <f>'Development Budget'!E101</f>
        <v>0</v>
      </c>
      <c r="F269" s="583">
        <f t="shared" si="43"/>
        <v>0</v>
      </c>
      <c r="G269" s="66">
        <f t="shared" ref="G269:G274" si="48">B269-E269</f>
        <v>0</v>
      </c>
      <c r="H269" s="66" t="str">
        <f>IF(B$3,'Development Budget'!F101,"")</f>
        <v/>
      </c>
      <c r="I269" s="197" t="str">
        <f t="shared" si="46"/>
        <v/>
      </c>
      <c r="O269" s="508"/>
      <c r="P269" s="88"/>
    </row>
    <row r="270" spans="1:16">
      <c r="A270" t="str">
        <f>'Development Budget'!A102</f>
        <v>Syndication Legal Fees</v>
      </c>
      <c r="B270" s="66">
        <f>'Development Budget'!B102</f>
        <v>0</v>
      </c>
      <c r="C270" s="66"/>
      <c r="D270" s="66"/>
      <c r="E270" s="66">
        <f>'Development Budget'!E102</f>
        <v>0</v>
      </c>
      <c r="F270" s="583">
        <f t="shared" si="43"/>
        <v>0</v>
      </c>
      <c r="G270" s="66">
        <f t="shared" si="48"/>
        <v>0</v>
      </c>
      <c r="H270" s="66" t="str">
        <f>IF(B$3,'Development Budget'!F102,"")</f>
        <v/>
      </c>
      <c r="I270" s="197" t="str">
        <f t="shared" si="46"/>
        <v/>
      </c>
      <c r="O270" s="508"/>
      <c r="P270" s="88"/>
    </row>
    <row r="271" spans="1:16">
      <c r="A271" t="str">
        <f>'Development Budget'!A103</f>
        <v>Other (Specify)</v>
      </c>
      <c r="B271" s="66">
        <f>'Development Budget'!B103</f>
        <v>0</v>
      </c>
      <c r="C271" s="66"/>
      <c r="D271" s="66"/>
      <c r="E271" s="66">
        <f>'Development Budget'!E103</f>
        <v>0</v>
      </c>
      <c r="F271" s="583">
        <f t="shared" si="43"/>
        <v>0</v>
      </c>
      <c r="G271" s="66">
        <f t="shared" si="48"/>
        <v>0</v>
      </c>
      <c r="H271" s="66" t="str">
        <f>IF(B$3,'Development Budget'!F103,"")</f>
        <v/>
      </c>
      <c r="I271" s="197" t="str">
        <f t="shared" si="46"/>
        <v/>
      </c>
      <c r="O271" s="508"/>
      <c r="P271" s="88"/>
    </row>
    <row r="272" spans="1:16">
      <c r="A272" t="str">
        <f>'Development Budget'!A104</f>
        <v>Other (Specify)</v>
      </c>
      <c r="B272" s="66">
        <f>'Development Budget'!B104</f>
        <v>0</v>
      </c>
      <c r="C272" s="66"/>
      <c r="D272" s="66"/>
      <c r="E272" s="66">
        <f>'Development Budget'!E104</f>
        <v>0</v>
      </c>
      <c r="F272" s="583">
        <f t="shared" si="43"/>
        <v>0</v>
      </c>
      <c r="G272" s="66">
        <f t="shared" si="48"/>
        <v>0</v>
      </c>
      <c r="H272" s="66" t="str">
        <f>IF(B$3,'Development Budget'!F104,"")</f>
        <v/>
      </c>
      <c r="I272" s="197" t="str">
        <f t="shared" si="46"/>
        <v/>
      </c>
      <c r="O272" s="508"/>
      <c r="P272" s="88"/>
    </row>
    <row r="273" spans="1:16">
      <c r="A273" t="str">
        <f>'Development Budget'!A105</f>
        <v>Other (Specify)</v>
      </c>
      <c r="B273" s="66">
        <f>'Development Budget'!B105</f>
        <v>0</v>
      </c>
      <c r="C273" s="66"/>
      <c r="D273" s="66"/>
      <c r="E273" s="66">
        <f>'Development Budget'!E105</f>
        <v>0</v>
      </c>
      <c r="F273" s="583">
        <f t="shared" si="43"/>
        <v>0</v>
      </c>
      <c r="G273" s="66">
        <f t="shared" si="48"/>
        <v>0</v>
      </c>
      <c r="H273" s="66" t="str">
        <f>IF(B$3,'Development Budget'!F105,"")</f>
        <v/>
      </c>
      <c r="I273" s="197" t="str">
        <f t="shared" si="46"/>
        <v/>
      </c>
      <c r="O273" s="508"/>
      <c r="P273" s="88"/>
    </row>
    <row r="274" spans="1:16">
      <c r="A274" s="1"/>
      <c r="B274" s="199">
        <f>SUM(B268:B273)</f>
        <v>0</v>
      </c>
      <c r="C274" s="199"/>
      <c r="D274" s="199"/>
      <c r="E274" s="199">
        <f>SUM(E268:E273)</f>
        <v>0</v>
      </c>
      <c r="F274" s="583"/>
      <c r="G274" s="199">
        <f t="shared" si="48"/>
        <v>0</v>
      </c>
      <c r="H274" s="199" t="str">
        <f>IF(B$3,'Development Budget'!F106,"")</f>
        <v/>
      </c>
      <c r="I274" s="197" t="str">
        <f t="shared" si="46"/>
        <v/>
      </c>
      <c r="O274" s="508"/>
      <c r="P274" s="88"/>
    </row>
    <row r="275" spans="1:16">
      <c r="A275" s="19" t="s">
        <v>475</v>
      </c>
      <c r="B275" s="19"/>
      <c r="C275" s="19"/>
      <c r="D275" s="19"/>
      <c r="E275" s="19"/>
      <c r="F275" s="19"/>
      <c r="G275" s="19"/>
      <c r="H275" s="19"/>
      <c r="I275" s="19" t="str">
        <f t="shared" si="46"/>
        <v/>
      </c>
      <c r="O275" s="508"/>
      <c r="P275" s="88"/>
    </row>
    <row r="276" spans="1:16">
      <c r="A276" t="str">
        <f>'Development Budget'!A108</f>
        <v>Developer Fee</v>
      </c>
      <c r="B276" s="66">
        <f>'Development Budget'!B108</f>
        <v>0</v>
      </c>
      <c r="C276" s="66">
        <f>'Development Budget'!C108</f>
        <v>0</v>
      </c>
      <c r="D276" s="66">
        <f>'Development Budget'!D108</f>
        <v>0</v>
      </c>
      <c r="E276" s="66">
        <f>'Development Budget'!E108</f>
        <v>0</v>
      </c>
      <c r="F276" s="583">
        <f t="shared" si="43"/>
        <v>0</v>
      </c>
      <c r="G276" s="66">
        <f>B276-E276</f>
        <v>0</v>
      </c>
      <c r="H276" s="66" t="str">
        <f>IF(B$3,'Development Budget'!F108,"")</f>
        <v/>
      </c>
      <c r="I276" s="197" t="str">
        <f t="shared" si="46"/>
        <v/>
      </c>
      <c r="O276" s="508"/>
      <c r="P276" s="88"/>
    </row>
    <row r="277" spans="1:16">
      <c r="A277" t="str">
        <f>'Development Budget'!A109</f>
        <v>Developer Overhead</v>
      </c>
      <c r="B277" s="66">
        <f>'Development Budget'!B109</f>
        <v>0</v>
      </c>
      <c r="C277" s="66">
        <f>'Development Budget'!C109</f>
        <v>0</v>
      </c>
      <c r="D277" s="66">
        <f>'Development Budget'!D109</f>
        <v>0</v>
      </c>
      <c r="E277" s="66">
        <f>'Development Budget'!E109</f>
        <v>0</v>
      </c>
      <c r="F277" s="583">
        <f t="shared" si="43"/>
        <v>0</v>
      </c>
      <c r="G277" s="66">
        <f t="shared" ref="G277:G283" si="49">B277-E277</f>
        <v>0</v>
      </c>
      <c r="H277" s="66" t="str">
        <f>IF(B$3,'Development Budget'!F109,"")</f>
        <v/>
      </c>
      <c r="I277" s="197" t="str">
        <f t="shared" si="46"/>
        <v/>
      </c>
      <c r="O277" s="508"/>
      <c r="P277" s="88"/>
    </row>
    <row r="278" spans="1:16">
      <c r="A278" t="str">
        <f>'Development Budget'!A110</f>
        <v>Developer Profit</v>
      </c>
      <c r="B278" s="66">
        <f>'Development Budget'!B110</f>
        <v>0</v>
      </c>
      <c r="C278" s="66">
        <f>'Development Budget'!C110</f>
        <v>0</v>
      </c>
      <c r="D278" s="66">
        <f>'Development Budget'!D110</f>
        <v>0</v>
      </c>
      <c r="E278" s="66">
        <f>'Development Budget'!E110</f>
        <v>0</v>
      </c>
      <c r="F278" s="583">
        <f t="shared" si="43"/>
        <v>0</v>
      </c>
      <c r="G278" s="66">
        <f t="shared" si="49"/>
        <v>0</v>
      </c>
      <c r="H278" s="66" t="str">
        <f>IF(B$3,'Development Budget'!F110,"")</f>
        <v/>
      </c>
      <c r="I278" s="197" t="str">
        <f t="shared" si="46"/>
        <v/>
      </c>
      <c r="O278" s="508"/>
      <c r="P278" s="88"/>
    </row>
    <row r="279" spans="1:16">
      <c r="A279" t="s">
        <v>479</v>
      </c>
      <c r="B279" s="66">
        <f>'Development Budget'!B111</f>
        <v>0</v>
      </c>
      <c r="C279" s="66">
        <f>'Development Budget'!C111</f>
        <v>0</v>
      </c>
      <c r="D279" s="66">
        <f>'Development Budget'!D111</f>
        <v>0</v>
      </c>
      <c r="E279" s="66">
        <f>'Development Budget'!E111</f>
        <v>0</v>
      </c>
      <c r="F279" s="583">
        <f t="shared" si="43"/>
        <v>0</v>
      </c>
      <c r="G279" s="66">
        <f t="shared" si="49"/>
        <v>0</v>
      </c>
      <c r="H279" s="66" t="str">
        <f>IF(B$3,'Development Budget'!F111,"")</f>
        <v/>
      </c>
      <c r="I279" s="197"/>
      <c r="O279" s="508"/>
      <c r="P279" s="88"/>
    </row>
    <row r="280" spans="1:16">
      <c r="A280" t="str">
        <f>'Development Budget'!A112</f>
        <v>Third Party Development Management/Owner's Rep</v>
      </c>
      <c r="B280" s="66">
        <f>'Development Budget'!B112</f>
        <v>0</v>
      </c>
      <c r="C280" s="66">
        <f>'Development Budget'!C112</f>
        <v>0</v>
      </c>
      <c r="D280" s="66">
        <f>'Development Budget'!D112</f>
        <v>0</v>
      </c>
      <c r="E280" s="66">
        <f>'Development Budget'!E112</f>
        <v>0</v>
      </c>
      <c r="F280" s="583">
        <f t="shared" si="43"/>
        <v>0</v>
      </c>
      <c r="G280" s="66">
        <f t="shared" si="49"/>
        <v>0</v>
      </c>
      <c r="H280" s="66" t="str">
        <f>IF(B$3,'Development Budget'!F112,"")</f>
        <v/>
      </c>
      <c r="I280" s="197" t="str">
        <f t="shared" ref="I280:I287" si="50">IF(B$3,H280/$B$292,"")</f>
        <v/>
      </c>
      <c r="K280" s="66"/>
      <c r="O280" s="508"/>
      <c r="P280" s="88"/>
    </row>
    <row r="281" spans="1:16">
      <c r="A281" t="str">
        <f>'Development Budget'!A113</f>
        <v>Financial/Tax Credit Consultant, Application Preparation, etc.</v>
      </c>
      <c r="B281" s="66">
        <f>'Development Budget'!B113</f>
        <v>0</v>
      </c>
      <c r="C281" s="66">
        <f>'Development Budget'!C113</f>
        <v>0</v>
      </c>
      <c r="D281" s="66">
        <f>'Development Budget'!D113</f>
        <v>0</v>
      </c>
      <c r="E281" s="66">
        <f>'Development Budget'!E113</f>
        <v>0</v>
      </c>
      <c r="F281" s="583">
        <f t="shared" si="43"/>
        <v>0</v>
      </c>
      <c r="G281" s="66">
        <f t="shared" si="49"/>
        <v>0</v>
      </c>
      <c r="H281" s="66" t="str">
        <f>IF(B$3,'Development Budget'!F113,"")</f>
        <v/>
      </c>
      <c r="I281" s="197" t="str">
        <f t="shared" si="50"/>
        <v/>
      </c>
      <c r="K281" s="197"/>
      <c r="O281" s="508"/>
      <c r="P281" s="88"/>
    </row>
    <row r="282" spans="1:16">
      <c r="A282" t="str">
        <f>'Development Budget'!A114</f>
        <v>Other Consultant Fees</v>
      </c>
      <c r="B282" s="66">
        <f>'Development Budget'!B114</f>
        <v>0</v>
      </c>
      <c r="C282" s="66">
        <f>'Development Budget'!C114</f>
        <v>0</v>
      </c>
      <c r="D282" s="66">
        <f>'Development Budget'!D114</f>
        <v>0</v>
      </c>
      <c r="E282" s="66">
        <f>'Development Budget'!E114</f>
        <v>0</v>
      </c>
      <c r="F282" s="583">
        <f t="shared" si="43"/>
        <v>0</v>
      </c>
      <c r="G282" s="66">
        <f t="shared" si="49"/>
        <v>0</v>
      </c>
      <c r="H282" s="66" t="str">
        <f>IF(B$3,'Development Budget'!F114,"")</f>
        <v/>
      </c>
      <c r="I282" s="197" t="str">
        <f t="shared" si="50"/>
        <v/>
      </c>
      <c r="O282" s="508"/>
      <c r="P282" s="88"/>
    </row>
    <row r="283" spans="1:16">
      <c r="A283" s="1"/>
      <c r="B283" s="199">
        <f>SUM(B276:B282)</f>
        <v>0</v>
      </c>
      <c r="C283" s="199">
        <f>SUM(C276:C282)</f>
        <v>0</v>
      </c>
      <c r="D283" s="199">
        <f>SUM(D276:D282)</f>
        <v>0</v>
      </c>
      <c r="E283" s="199">
        <f>SUM(E276:E282)</f>
        <v>0</v>
      </c>
      <c r="F283" s="583"/>
      <c r="G283" s="199">
        <f t="shared" si="49"/>
        <v>0</v>
      </c>
      <c r="H283" s="199" t="str">
        <f>IF(B$3,'Development Budget'!F115,"")</f>
        <v/>
      </c>
      <c r="I283" s="197" t="str">
        <f t="shared" si="50"/>
        <v/>
      </c>
      <c r="O283" s="508"/>
      <c r="P283" s="88"/>
    </row>
    <row r="284" spans="1:16">
      <c r="A284" s="19" t="s">
        <v>483</v>
      </c>
      <c r="B284" s="19"/>
      <c r="C284" s="19"/>
      <c r="D284" s="19"/>
      <c r="E284" s="19"/>
      <c r="F284" s="19"/>
      <c r="G284" s="19"/>
      <c r="H284" s="19"/>
      <c r="I284" s="19" t="str">
        <f t="shared" si="50"/>
        <v/>
      </c>
      <c r="O284" s="508"/>
      <c r="P284" s="88"/>
    </row>
    <row r="285" spans="1:16">
      <c r="A285" t="str">
        <f>'Development Budget'!A117</f>
        <v>Rent-up Reserves</v>
      </c>
      <c r="B285" s="66">
        <f>'Development Budget'!B117</f>
        <v>0</v>
      </c>
      <c r="C285" s="66"/>
      <c r="D285" s="66"/>
      <c r="E285" s="66">
        <f>'Development Budget'!E117</f>
        <v>0</v>
      </c>
      <c r="F285" s="583">
        <f t="shared" si="43"/>
        <v>0</v>
      </c>
      <c r="G285" s="66">
        <f>B285-E285</f>
        <v>0</v>
      </c>
      <c r="H285" s="66" t="str">
        <f>IF(B$3,'Development Budget'!F117,"")</f>
        <v/>
      </c>
      <c r="I285" s="197" t="str">
        <f t="shared" si="50"/>
        <v/>
      </c>
      <c r="O285" s="508"/>
      <c r="P285" s="88"/>
    </row>
    <row r="286" spans="1:16">
      <c r="A286" t="str">
        <f>'Development Budget'!A118</f>
        <v>Operating Reserves</v>
      </c>
      <c r="B286" s="66">
        <f>'Development Budget'!B118</f>
        <v>0</v>
      </c>
      <c r="C286" s="66"/>
      <c r="D286" s="66"/>
      <c r="E286" s="66">
        <f>'Development Budget'!E118</f>
        <v>0</v>
      </c>
      <c r="F286" s="583">
        <f t="shared" si="43"/>
        <v>0</v>
      </c>
      <c r="G286" s="66">
        <f t="shared" ref="G286:G292" si="51">B286-E286</f>
        <v>0</v>
      </c>
      <c r="H286" s="66" t="str">
        <f>IF(B$3,'Development Budget'!F118,"")</f>
        <v/>
      </c>
      <c r="I286" s="197" t="str">
        <f t="shared" si="50"/>
        <v/>
      </c>
      <c r="O286" s="508"/>
      <c r="P286" s="88"/>
    </row>
    <row r="287" spans="1:16">
      <c r="A287" t="str">
        <f>'Development Budget'!A119</f>
        <v>Replacement Reserves</v>
      </c>
      <c r="B287" s="66">
        <f>'Development Budget'!B119</f>
        <v>0</v>
      </c>
      <c r="C287" s="66"/>
      <c r="D287" s="66"/>
      <c r="E287" s="66">
        <f>'Development Budget'!E119</f>
        <v>0</v>
      </c>
      <c r="F287" s="583">
        <f t="shared" si="43"/>
        <v>0</v>
      </c>
      <c r="G287" s="66">
        <f t="shared" si="51"/>
        <v>0</v>
      </c>
      <c r="H287" s="66" t="str">
        <f>IF(B$3,'Development Budget'!F119,"")</f>
        <v/>
      </c>
      <c r="I287" s="197" t="str">
        <f t="shared" si="50"/>
        <v/>
      </c>
      <c r="O287" s="508"/>
      <c r="P287" s="88"/>
    </row>
    <row r="288" spans="1:16">
      <c r="A288" t="str">
        <f>'Development Budget'!A120</f>
        <v>Debt Service Reserves</v>
      </c>
      <c r="B288" s="66">
        <f>'Development Budget'!B120</f>
        <v>0</v>
      </c>
      <c r="C288" s="66"/>
      <c r="D288" s="66"/>
      <c r="E288" s="66">
        <f>'Development Budget'!E120</f>
        <v>0</v>
      </c>
      <c r="F288" s="583">
        <f t="shared" si="43"/>
        <v>0</v>
      </c>
      <c r="G288" s="66">
        <f t="shared" si="51"/>
        <v>0</v>
      </c>
      <c r="H288" s="66" t="str">
        <f>IF(B$3,'Development Budget'!F120,"")</f>
        <v/>
      </c>
      <c r="I288" s="197"/>
      <c r="K288" t="s">
        <v>2623</v>
      </c>
      <c r="O288" s="508"/>
      <c r="P288" s="88"/>
    </row>
    <row r="289" spans="1:17">
      <c r="A289" t="str">
        <f>'Development Budget'!A121</f>
        <v>Other (Specify)</v>
      </c>
      <c r="B289" s="66">
        <f>'Development Budget'!B121</f>
        <v>0</v>
      </c>
      <c r="C289" s="66"/>
      <c r="D289" s="66"/>
      <c r="E289" s="66">
        <f>'Development Budget'!E121</f>
        <v>0</v>
      </c>
      <c r="F289" s="583">
        <f t="shared" si="43"/>
        <v>0</v>
      </c>
      <c r="G289" s="66">
        <f t="shared" si="51"/>
        <v>0</v>
      </c>
      <c r="H289" s="66" t="str">
        <f>IF(B$3,'Development Budget'!F121,"")</f>
        <v/>
      </c>
      <c r="I289" s="197" t="str">
        <f>IF(B$3,H289/$B$292,"")</f>
        <v/>
      </c>
      <c r="K289" s="66">
        <f>SUM(D292+B172+B173)</f>
        <v>0</v>
      </c>
      <c r="L289" s="18"/>
      <c r="O289" s="508"/>
      <c r="P289" s="88"/>
    </row>
    <row r="290" spans="1:17">
      <c r="A290" t="str">
        <f>'Development Budget'!A122</f>
        <v>Other (Specify)</v>
      </c>
      <c r="B290" s="66">
        <f>'Development Budget'!B122</f>
        <v>0</v>
      </c>
      <c r="C290" s="66"/>
      <c r="D290" s="66"/>
      <c r="E290" s="66">
        <f>'Development Budget'!E122</f>
        <v>0</v>
      </c>
      <c r="F290" s="583">
        <f t="shared" si="43"/>
        <v>0</v>
      </c>
      <c r="G290" s="66">
        <f t="shared" si="51"/>
        <v>0</v>
      </c>
      <c r="H290" s="66" t="str">
        <f>IF(B$3,'Development Budget'!F122,"")</f>
        <v/>
      </c>
      <c r="I290" s="197" t="str">
        <f>IF(B$3,H290/$B$292,"")</f>
        <v/>
      </c>
    </row>
    <row r="291" spans="1:17" ht="15" thickBot="1">
      <c r="B291" s="199">
        <f>SUM(B285:B290)</f>
        <v>0</v>
      </c>
      <c r="C291" s="199"/>
      <c r="D291" s="199"/>
      <c r="E291" s="66">
        <f>'Development Budget'!E123</f>
        <v>0</v>
      </c>
      <c r="F291" s="584"/>
      <c r="G291" s="66">
        <f t="shared" si="51"/>
        <v>0</v>
      </c>
      <c r="H291" s="199" t="str">
        <f>IF(B$3,'Development Budget'!F123,"")</f>
        <v/>
      </c>
      <c r="I291" s="381" t="str">
        <f>IF(B$3,H291/$B$292,"")</f>
        <v/>
      </c>
    </row>
    <row r="292" spans="1:17" ht="15" thickTop="1">
      <c r="A292" s="68" t="s">
        <v>373</v>
      </c>
      <c r="B292" s="198">
        <f>SUM(B172:B174,B177:B178,B181:B194,B197:B210,B213:B230,B233:B246,B249:B265,B268:B273,B276:B282,B285:B290)</f>
        <v>0</v>
      </c>
      <c r="C292" s="198">
        <f>SUM(C172:C173,C177:C178,C181:C194,C197:C210,C213:C230,C250:C255,C258:C265,C276:C282)</f>
        <v>0</v>
      </c>
      <c r="D292" s="198">
        <f>SUM(D172,D177:D178,D181:D194,D197:D210,D213:D230,D250:D255,D258:D265,D276:D282)</f>
        <v>0</v>
      </c>
      <c r="E292" s="198">
        <f>SUM(E172:E174,E177:E178,E181:E194,E197:E210,E213:E230,E233:E246,E249:E265,E268:E273,E276:E282,E285:E290)</f>
        <v>0</v>
      </c>
      <c r="F292" s="198"/>
      <c r="G292" s="198">
        <f t="shared" si="51"/>
        <v>0</v>
      </c>
      <c r="H292" s="198">
        <f>SUM(H172:H174,H177,H181:H194,H197:H210,H213:H230,H250:H265,H276:H282)</f>
        <v>0</v>
      </c>
      <c r="I292" s="382" t="str">
        <f>IF(B$3,H292/$K$289,"")</f>
        <v/>
      </c>
    </row>
    <row r="293" spans="1:17">
      <c r="B293" s="66"/>
      <c r="C293" s="66"/>
      <c r="D293" s="66"/>
      <c r="E293" s="66"/>
      <c r="F293" s="66"/>
      <c r="G293" s="208"/>
    </row>
    <row r="294" spans="1:17">
      <c r="G294" s="14"/>
    </row>
    <row r="296" spans="1:17">
      <c r="E296" s="1"/>
    </row>
    <row r="297" spans="1:17">
      <c r="A297" s="99" t="s">
        <v>65</v>
      </c>
      <c r="B297" s="99"/>
      <c r="C297" s="99"/>
      <c r="D297" s="99"/>
      <c r="E297" s="99"/>
      <c r="F297" s="99"/>
      <c r="G297" s="99"/>
      <c r="H297" s="99"/>
      <c r="I297" s="99"/>
      <c r="J297" s="99"/>
      <c r="K297" s="99"/>
      <c r="L297" s="99"/>
      <c r="M297" s="99"/>
    </row>
    <row r="298" spans="1:17">
      <c r="A298" t="s">
        <v>2624</v>
      </c>
      <c r="B298" s="1">
        <f>IF($B$6, Admin!$B$10, IF($B$10,Admin!$B$12,Admin!$B$11))</f>
        <v>95</v>
      </c>
      <c r="E298" s="1"/>
      <c r="G298" s="18" t="str">
        <f>IF($H$41=0, "UNITS MISSING", "")</f>
        <v>UNITS MISSING</v>
      </c>
    </row>
    <row r="299" spans="1:17">
      <c r="B299" s="1" t="s">
        <v>838</v>
      </c>
      <c r="C299" s="1" t="s">
        <v>2625</v>
      </c>
      <c r="D299" t="s">
        <v>551</v>
      </c>
      <c r="E299" t="s">
        <v>1200</v>
      </c>
      <c r="F299" t="s">
        <v>837</v>
      </c>
      <c r="G299" t="s">
        <v>2626</v>
      </c>
      <c r="H299" t="s">
        <v>2627</v>
      </c>
      <c r="K299" s="1"/>
    </row>
    <row r="300" spans="1:17">
      <c r="A300" t="s">
        <v>2628</v>
      </c>
      <c r="B300" s="1">
        <f>IF(H300, ROUND(G300 * F300, 0), 0)</f>
        <v>0</v>
      </c>
      <c r="C300" t="str">
        <f>IF(Scoring!B5="","",Scoring!B5)</f>
        <v/>
      </c>
      <c r="D300" s="8">
        <f>A38</f>
        <v>0.6</v>
      </c>
      <c r="E300">
        <f>H38+H39+H40</f>
        <v>0</v>
      </c>
      <c r="F300">
        <f>INDEX(Income_Level_Table[Scoring Weight], MATCH(D300, Income_Level_Table[Income Level], 0))</f>
        <v>50</v>
      </c>
      <c r="G300">
        <f>IF($H$41 = 0, 0, E300/$H$41)</f>
        <v>0</v>
      </c>
      <c r="H300" t="b">
        <f>IF(ISNA(MATCH(Calculations!$C$300, Scoring_Threshold_Table[Scoring Threshold], 0)), FALSE, INDEX(Scoring_Threshold_Table[Score 60%], MATCH(Calculations!$C$300, Scoring_Threshold_Table[Scoring Threshold], 0)))</f>
        <v>0</v>
      </c>
      <c r="I300" s="98" t="s">
        <v>2629</v>
      </c>
      <c r="K300" s="637" t="s">
        <v>2630</v>
      </c>
      <c r="L300" s="638"/>
      <c r="M300" s="638"/>
      <c r="N300" s="638"/>
      <c r="O300" s="638"/>
    </row>
    <row r="301" spans="1:17">
      <c r="B301" s="1">
        <f>ROUND(G301 * F301, 0)</f>
        <v>0</v>
      </c>
      <c r="D301" s="8">
        <f>A37</f>
        <v>0.5</v>
      </c>
      <c r="E301">
        <f>H37</f>
        <v>0</v>
      </c>
      <c r="F301">
        <f>INDEX(Income_Level_Table[Scoring Weight], MATCH(D301, Income_Level_Table[Income Level], 0))</f>
        <v>72.5</v>
      </c>
      <c r="G301">
        <f>IF($H$41 = 0, 0, E301/$H$41)</f>
        <v>0</v>
      </c>
      <c r="H301" t="b">
        <v>1</v>
      </c>
      <c r="K301" s="624" t="s">
        <v>2631</v>
      </c>
      <c r="L301" s="357"/>
      <c r="M301" s="357"/>
      <c r="N301" s="357"/>
      <c r="O301" s="357"/>
      <c r="P301" s="357"/>
      <c r="Q301" s="357"/>
    </row>
    <row r="302" spans="1:17">
      <c r="B302" s="1">
        <f>ROUND(G302 * F302, 0)</f>
        <v>0</v>
      </c>
      <c r="D302" s="8">
        <f>A36</f>
        <v>0.4</v>
      </c>
      <c r="E302">
        <f>H36+H35+H34</f>
        <v>0</v>
      </c>
      <c r="F302">
        <f>INDEX(Income_Level_Table[Scoring Weight], MATCH(D302, Income_Level_Table[Income Level], 0))</f>
        <v>92.5</v>
      </c>
      <c r="G302">
        <f>IF($H$41 = 0, 0, E302/$H$41)</f>
        <v>0</v>
      </c>
      <c r="H302" t="b">
        <v>1</v>
      </c>
      <c r="I302" s="98" t="s">
        <v>2632</v>
      </c>
      <c r="K302" s="1"/>
    </row>
    <row r="303" spans="1:17">
      <c r="A303" t="s">
        <v>2633</v>
      </c>
      <c r="B303" s="95">
        <f>IF($B$15 = -1, 0, INDEX(Admin!A120:F183, $B$15, COLUMN(Admin!C119)))</f>
        <v>0</v>
      </c>
      <c r="K303" s="1"/>
    </row>
    <row r="304" spans="1:17">
      <c r="A304" t="s">
        <v>2634</v>
      </c>
      <c r="B304" s="1">
        <f>IF(ISNA(D304), 0, INDEX(Very_Very_Low_Income_Targeting_Table[Score], D304))</f>
        <v>0</v>
      </c>
      <c r="C304">
        <f>Scoring!B8</f>
        <v>0</v>
      </c>
      <c r="D304" t="e">
        <f>MATCH(C304, Very_Very_Low_Income_Targeting_Table[Very, Very Low-Income Targeting], 0)</f>
        <v>#N/A</v>
      </c>
      <c r="E304">
        <f>H35</f>
        <v>0</v>
      </c>
      <c r="G304">
        <f>IF($H$41 = 0, 0, E304/$H$41)</f>
        <v>0</v>
      </c>
      <c r="K304" s="1"/>
    </row>
    <row r="305" spans="1:11">
      <c r="A305" t="s">
        <v>512</v>
      </c>
      <c r="B305" s="1">
        <f>IF(ISNA(D305), 0, INDEX(Extended_Low_Income_Use_Table[Score], D305))</f>
        <v>0</v>
      </c>
      <c r="C305" t="str">
        <f>IF(Scoring!B11="","",Scoring!B11)</f>
        <v/>
      </c>
      <c r="D305" t="e">
        <f>MATCH(C305, Extended_Low_Income_Use_Table[Extended Low-Income Use], 0)</f>
        <v>#N/A</v>
      </c>
      <c r="K305" s="1"/>
    </row>
    <row r="306" spans="1:11">
      <c r="A306" t="s">
        <v>2011</v>
      </c>
      <c r="B306" s="1">
        <f>IF(C306 = "Yes", Admin!B38, 0)</f>
        <v>0</v>
      </c>
      <c r="C306">
        <f>Scoring!B14</f>
        <v>0</v>
      </c>
      <c r="K306" s="1"/>
    </row>
    <row r="307" spans="1:11">
      <c r="A307" t="s">
        <v>1999</v>
      </c>
      <c r="B307" s="1">
        <f>IF($B$15 = -1, 0, INDEX(Admin!A120:F183, $B$15, COLUMN(Admin!D119)))</f>
        <v>0</v>
      </c>
      <c r="D307" t="s">
        <v>2635</v>
      </c>
      <c r="K307" s="1"/>
    </row>
    <row r="308" spans="1:11">
      <c r="A308" t="s">
        <v>2636</v>
      </c>
      <c r="B308" s="1">
        <f>IF(ISNA(MATCH(Application!$B$31, City_Table[City], 0)), 0, INDEX(City_Table[Score], MATCH(Application!$B$31, City_Table[City], 0)))</f>
        <v>0</v>
      </c>
      <c r="C308" s="18" t="str">
        <f>IF(ISNA(MATCH(Application!$B$31, City_Table[City], 0)), "CITY MISSING", "")</f>
        <v>CITY MISSING</v>
      </c>
      <c r="K308" s="1"/>
    </row>
    <row r="309" spans="1:11">
      <c r="A309" t="s">
        <v>2637</v>
      </c>
      <c r="B309" s="1">
        <f>IF($B$15 = -1, 0, INDEX(Admin!A120:F183, $B$15, COLUMN(Admin!E119)))</f>
        <v>0</v>
      </c>
      <c r="C309" s="18" t="str">
        <f>IF($B$15 = -1, "COUNTY MISSING", "")</f>
        <v>COUNTY MISSING</v>
      </c>
      <c r="K309" s="1"/>
    </row>
    <row r="310" spans="1:11">
      <c r="A310" t="s">
        <v>2002</v>
      </c>
      <c r="B310" s="1">
        <f>IF(B308=0, B309, B308)</f>
        <v>0</v>
      </c>
      <c r="C310" s="18"/>
      <c r="D310" t="s">
        <v>846</v>
      </c>
      <c r="K310" s="1"/>
    </row>
    <row r="311" spans="1:11">
      <c r="A311" t="s">
        <v>4070</v>
      </c>
      <c r="B311" s="1">
        <f>IF(C311 = "Yes", Admin!B39, 0)</f>
        <v>0</v>
      </c>
      <c r="C311">
        <f>Scoring!B20</f>
        <v>0</v>
      </c>
      <c r="E311" t="str">
        <f>IFERROR(_xlfn.SINGLE(INDEX(#REF!,D311, 3)),"")</f>
        <v/>
      </c>
      <c r="K311" s="1"/>
    </row>
    <row r="312" spans="1:11">
      <c r="A312" t="s">
        <v>4071</v>
      </c>
      <c r="B312" s="1">
        <f>IF(C312 = "Yes", Admin!B40, 0)</f>
        <v>0</v>
      </c>
      <c r="C312">
        <f>Scoring!B21</f>
        <v>0</v>
      </c>
      <c r="K312" s="1"/>
    </row>
    <row r="313" spans="1:11">
      <c r="A313" t="s">
        <v>2017</v>
      </c>
      <c r="B313" s="1">
        <f>IF(C313 = "Yes", Admin!B41, 0)</f>
        <v>0</v>
      </c>
      <c r="C313">
        <f>Scoring!B24</f>
        <v>0</v>
      </c>
      <c r="K313" s="1"/>
    </row>
    <row r="314" spans="1:11">
      <c r="A314" t="s">
        <v>2019</v>
      </c>
      <c r="B314" s="1">
        <f>IF(C314 = "Yes", Admin!B42, 0)</f>
        <v>0</v>
      </c>
      <c r="C314">
        <f>Scoring!B25</f>
        <v>0</v>
      </c>
      <c r="K314" s="1"/>
    </row>
    <row r="315" spans="1:11">
      <c r="A315" t="s">
        <v>2021</v>
      </c>
      <c r="B315" s="1">
        <f>IF(C315 = "Yes", Admin!B43, 0)</f>
        <v>0</v>
      </c>
      <c r="C315">
        <f>Scoring!B26</f>
        <v>0</v>
      </c>
      <c r="E315" s="1"/>
    </row>
    <row r="316" spans="1:11">
      <c r="A316" t="s">
        <v>2023</v>
      </c>
      <c r="B316" s="1">
        <f>IF(C316 = "Yes", Admin!B44, 0)</f>
        <v>0</v>
      </c>
      <c r="C316">
        <f>Scoring!B27</f>
        <v>0</v>
      </c>
      <c r="E316" s="1"/>
    </row>
    <row r="317" spans="1:11">
      <c r="A317" t="s">
        <v>2025</v>
      </c>
      <c r="B317" s="1">
        <f>IF(C317 = "Yes", Admin!B45, 0)</f>
        <v>0</v>
      </c>
      <c r="C317">
        <f>Scoring!B28</f>
        <v>0</v>
      </c>
      <c r="E317" s="1"/>
    </row>
    <row r="318" spans="1:11">
      <c r="A318" t="s">
        <v>2638</v>
      </c>
      <c r="B318" s="1">
        <f>IF(C318 = "Yes", Admin!B46, 0)</f>
        <v>0</v>
      </c>
      <c r="C318">
        <f>Scoring!B29</f>
        <v>0</v>
      </c>
      <c r="E318" s="1"/>
    </row>
    <row r="319" spans="1:11">
      <c r="A319" t="s">
        <v>4058</v>
      </c>
      <c r="B319" s="1">
        <f>IF(C319 = "Yes", Admin!B47, 0)</f>
        <v>0</v>
      </c>
      <c r="C319">
        <f>Scoring!B30</f>
        <v>0</v>
      </c>
      <c r="E319" s="1"/>
    </row>
    <row r="320" spans="1:11">
      <c r="A320" t="s">
        <v>4112</v>
      </c>
      <c r="B320" s="1">
        <f>IF(C320 = "Yes", Admin!B48, 0)</f>
        <v>0</v>
      </c>
      <c r="C320">
        <f>Scoring!B31</f>
        <v>0</v>
      </c>
      <c r="E320" s="1"/>
    </row>
    <row r="321" spans="1:16">
      <c r="A321" t="s">
        <v>522</v>
      </c>
      <c r="B321" s="1">
        <f>IF(C321 = "Yes", Admin!B49, 0)</f>
        <v>0</v>
      </c>
      <c r="C321">
        <f>Scoring!B34</f>
        <v>0</v>
      </c>
      <c r="E321" s="1"/>
    </row>
    <row r="322" spans="1:16">
      <c r="A322" t="s">
        <v>2639</v>
      </c>
      <c r="B322" s="1">
        <f>IF(C322 = "N/A",0, Admin!B50)</f>
        <v>15</v>
      </c>
      <c r="C322">
        <f>Scoring!B37</f>
        <v>0</v>
      </c>
      <c r="F322" s="1"/>
    </row>
    <row r="323" spans="1:16" ht="15" thickBot="1">
      <c r="A323" t="s">
        <v>526</v>
      </c>
      <c r="B323" s="1">
        <f>IF(C323 = "Yes", Admin!B51, 0)</f>
        <v>0</v>
      </c>
      <c r="C323">
        <f>Scoring!B40</f>
        <v>0</v>
      </c>
      <c r="E323" s="1"/>
    </row>
    <row r="324" spans="1:16" ht="15" thickTop="1">
      <c r="A324" s="68" t="s">
        <v>914</v>
      </c>
      <c r="B324" s="201">
        <f>SUM(B300:B307,B310:B323)</f>
        <v>15</v>
      </c>
      <c r="D324" t="b">
        <f>B324&gt;=B298</f>
        <v>0</v>
      </c>
      <c r="E324" t="str">
        <f>INDEX(Comments_Minimum_Score_table[],MATCH(D324,Comments_Minimum_Score_table[Minimum Score],0),2)</f>
        <v>The minimum score requirement has NOT been met</v>
      </c>
    </row>
    <row r="325" spans="1:16">
      <c r="E325" s="1"/>
    </row>
    <row r="326" spans="1:16">
      <c r="E326" s="1"/>
    </row>
    <row r="327" spans="1:16">
      <c r="A327" s="194" t="s">
        <v>1183</v>
      </c>
      <c r="B327" s="99"/>
      <c r="C327" s="99"/>
      <c r="D327" s="99"/>
      <c r="E327" s="99"/>
      <c r="F327" s="99"/>
      <c r="G327" s="99"/>
      <c r="H327" s="99"/>
      <c r="I327" s="99"/>
      <c r="J327" s="99"/>
      <c r="K327" s="99"/>
      <c r="L327" s="99"/>
      <c r="M327" s="99"/>
      <c r="N327" s="99"/>
      <c r="O327" s="99"/>
      <c r="P327" s="99"/>
    </row>
    <row r="328" spans="1:16">
      <c r="A328" s="22" t="s">
        <v>2640</v>
      </c>
      <c r="E328" s="1"/>
    </row>
    <row r="329" spans="1:16">
      <c r="B329" t="s">
        <v>2641</v>
      </c>
      <c r="C329" t="s">
        <v>2642</v>
      </c>
      <c r="E329" s="1"/>
    </row>
    <row r="330" spans="1:16">
      <c r="A330" t="s">
        <v>2643</v>
      </c>
      <c r="B330" t="b">
        <f>Application!B92 = "Yes"</f>
        <v>0</v>
      </c>
      <c r="C330">
        <f>IF(B330, Admin!B63, 0)</f>
        <v>0</v>
      </c>
      <c r="E330" s="1"/>
    </row>
    <row r="331" spans="1:16">
      <c r="A331" t="s">
        <v>2644</v>
      </c>
      <c r="C331">
        <f>Admin!B64</f>
        <v>4500</v>
      </c>
      <c r="E331" s="1"/>
    </row>
    <row r="332" spans="1:16">
      <c r="A332" t="s">
        <v>506</v>
      </c>
      <c r="C332" s="1">
        <f>MAX(C330:C331)</f>
        <v>4500</v>
      </c>
      <c r="D332" t="s">
        <v>2645</v>
      </c>
      <c r="E332" s="1"/>
    </row>
    <row r="333" spans="1:16">
      <c r="C333" s="1"/>
      <c r="E333" s="1"/>
    </row>
    <row r="334" spans="1:16">
      <c r="A334" s="22" t="s">
        <v>2640</v>
      </c>
      <c r="E334" s="1"/>
    </row>
    <row r="335" spans="1:16">
      <c r="B335" t="s">
        <v>2641</v>
      </c>
      <c r="C335" t="s">
        <v>2642</v>
      </c>
      <c r="E335" s="1"/>
    </row>
    <row r="336" spans="1:16">
      <c r="A336" t="s">
        <v>4062</v>
      </c>
      <c r="B336" t="b">
        <f>OR(Application!B112 &gt; 0)</f>
        <v>0</v>
      </c>
      <c r="E336" s="1"/>
    </row>
    <row r="337" spans="1:8">
      <c r="A337" t="s">
        <v>506</v>
      </c>
      <c r="C337" s="1">
        <f>IF(B336, Admin!B65, Admin!B66)</f>
        <v>350</v>
      </c>
      <c r="H337" s="49"/>
    </row>
    <row r="338" spans="1:8">
      <c r="H338" s="49"/>
    </row>
    <row r="339" spans="1:8">
      <c r="A339" s="22" t="s">
        <v>2646</v>
      </c>
    </row>
    <row r="340" spans="1:8">
      <c r="A340" t="s">
        <v>959</v>
      </c>
      <c r="B340" s="66">
        <f>B352</f>
        <v>0</v>
      </c>
    </row>
    <row r="341" spans="1:8">
      <c r="A341" t="s">
        <v>1193</v>
      </c>
      <c r="B341" s="66">
        <f>$E$126</f>
        <v>0</v>
      </c>
    </row>
    <row r="342" spans="1:8" ht="15" thickBot="1">
      <c r="A342" t="s">
        <v>2647</v>
      </c>
      <c r="B342" s="200">
        <f>Admin!B67</f>
        <v>0.33329999999999999</v>
      </c>
    </row>
    <row r="343" spans="1:8" ht="15" thickTop="1">
      <c r="A343" t="s">
        <v>506</v>
      </c>
      <c r="B343" s="198">
        <f>(B340+B341)*B342</f>
        <v>0</v>
      </c>
      <c r="C343" s="305"/>
    </row>
    <row r="344" spans="1:8">
      <c r="C344" s="1"/>
      <c r="E344" s="1"/>
    </row>
    <row r="345" spans="1:8">
      <c r="A345" s="22" t="s">
        <v>2648</v>
      </c>
      <c r="E345" s="1"/>
    </row>
    <row r="346" spans="1:8">
      <c r="A346" t="s">
        <v>887</v>
      </c>
      <c r="B346">
        <f>$H$45</f>
        <v>0</v>
      </c>
      <c r="E346" s="1"/>
    </row>
    <row r="347" spans="1:8">
      <c r="A347" t="s">
        <v>597</v>
      </c>
      <c r="B347" s="66">
        <f>'Proforma, Income &amp; Expense'!$B$76</f>
        <v>0</v>
      </c>
      <c r="E347" s="1"/>
    </row>
    <row r="348" spans="1:8">
      <c r="B348" s="66"/>
      <c r="E348" s="1"/>
    </row>
    <row r="349" spans="1:8">
      <c r="A349" s="22" t="s">
        <v>2649</v>
      </c>
      <c r="E349" s="1"/>
    </row>
    <row r="350" spans="1:8">
      <c r="B350" t="s">
        <v>955</v>
      </c>
      <c r="C350" t="s">
        <v>956</v>
      </c>
      <c r="D350" t="s">
        <v>957</v>
      </c>
      <c r="E350" s="1"/>
    </row>
    <row r="351" spans="1:8">
      <c r="A351" t="s">
        <v>2650</v>
      </c>
      <c r="B351" s="66">
        <f>SUM('Proforma, Income &amp; Expense'!E22:E34,'Proforma, Income &amp; Expense'!E37:E48,'Proforma, Income &amp; Expense'!E51:E62,'Proforma, Income &amp; Expense'!E65:E71)</f>
        <v>0</v>
      </c>
      <c r="C351" s="66"/>
      <c r="D351" s="66"/>
      <c r="F351" s="22" t="s">
        <v>2615</v>
      </c>
    </row>
    <row r="352" spans="1:8">
      <c r="A352" t="s">
        <v>959</v>
      </c>
      <c r="B352" s="66">
        <f>SUM('Proforma, Income &amp; Expense'!B22:B34,'Proforma, Income &amp; Expense'!B37:B48,'Proforma, Income &amp; Expense'!B51:B62,'Proforma, Income &amp; Expense'!B65:B71)</f>
        <v>0</v>
      </c>
      <c r="C352" s="66">
        <f>IF(B346=0, 0, B352/B346)</f>
        <v>0</v>
      </c>
      <c r="D352" s="66">
        <f>C332</f>
        <v>4500</v>
      </c>
      <c r="F352" t="b">
        <f>C352&gt;=D352</f>
        <v>0</v>
      </c>
      <c r="G352" t="str">
        <f>IF(C352=0,"",INDEX(Comments_Min_PUPA_table[],MATCH(F352,Comments_Min_PUPA_table[Minimum PUPA],0),2))</f>
        <v/>
      </c>
    </row>
    <row r="353" spans="1:16">
      <c r="A353" t="s">
        <v>486</v>
      </c>
      <c r="B353" s="66">
        <f>B347*H$45</f>
        <v>0</v>
      </c>
      <c r="C353" s="66">
        <f>B347</f>
        <v>0</v>
      </c>
      <c r="D353" s="66">
        <f>C337</f>
        <v>350</v>
      </c>
      <c r="F353" t="b">
        <f>C353&gt;=D353</f>
        <v>0</v>
      </c>
      <c r="G353" t="str">
        <f>IF(C353=0,"",INDEX(Comments_Min_Replacement_Reserves_table[],MATCH(F353,Comments_Min_Replacement_Reserves_table[Minimum Replacement Reserves],0),2))</f>
        <v/>
      </c>
    </row>
    <row r="354" spans="1:16">
      <c r="B354" s="66"/>
      <c r="C354" s="66"/>
      <c r="D354" s="66"/>
    </row>
    <row r="355" spans="1:16">
      <c r="A355" t="s">
        <v>960</v>
      </c>
      <c r="B355" s="66">
        <f>'Development Budget'!B118</f>
        <v>0</v>
      </c>
      <c r="C355" s="66"/>
      <c r="D355" s="66">
        <f>B343</f>
        <v>0</v>
      </c>
      <c r="F355" t="b">
        <f>B355 &gt;= D355</f>
        <v>1</v>
      </c>
      <c r="G355" s="123" t="str">
        <f>INDEX(Comments_Min_Oper_Reserves_table[],MATCH(F355,Comments_Min_Oper_Reserves_table[Minimum Operating Reserves],0),2)</f>
        <v>The minimum development operating reserves requirement has been met</v>
      </c>
    </row>
    <row r="356" spans="1:16">
      <c r="E356" s="1"/>
    </row>
    <row r="357" spans="1:16">
      <c r="E357" s="1"/>
    </row>
    <row r="358" spans="1:16">
      <c r="A358" s="194" t="s">
        <v>530</v>
      </c>
      <c r="B358" s="99"/>
      <c r="C358" s="99"/>
      <c r="D358" s="99"/>
      <c r="E358" s="99"/>
      <c r="F358" s="99"/>
      <c r="G358" s="99"/>
      <c r="H358" s="99"/>
      <c r="I358" s="99"/>
      <c r="J358" s="99"/>
      <c r="K358" s="99"/>
      <c r="L358" s="99"/>
      <c r="M358" s="99"/>
      <c r="N358" s="99"/>
      <c r="O358" s="99"/>
      <c r="P358" s="99"/>
    </row>
    <row r="359" spans="1:16">
      <c r="A359" t="s">
        <v>2651</v>
      </c>
      <c r="B359" s="67">
        <f>Application!B92</f>
        <v>0</v>
      </c>
      <c r="E359" s="1"/>
    </row>
    <row r="360" spans="1:16">
      <c r="A360" t="s">
        <v>2652</v>
      </c>
      <c r="B360" s="197">
        <f>IF(B359="Yes", Admin!B56, Admin!B55)</f>
        <v>7.0000000000000007E-2</v>
      </c>
      <c r="C360" t="str">
        <f>CONCATENATE("* Calculating at a ",INDEX(Admin!A55:B56,MATCH(B360,Admin!B55:B56,0),1)," of ",TEXT(B360,"0.0%"))</f>
        <v>* Calculating at a Standard Vacancy Allowance of 7.0%</v>
      </c>
      <c r="E360" s="1"/>
    </row>
    <row r="361" spans="1:16">
      <c r="E361" s="299" t="s">
        <v>2653</v>
      </c>
    </row>
    <row r="362" spans="1:16">
      <c r="A362" t="s">
        <v>2197</v>
      </c>
      <c r="B362" s="66">
        <f>SUM('Proforma, Income &amp; Expense'!B12:B15) * 12</f>
        <v>0</v>
      </c>
      <c r="E362" s="184" t="s">
        <v>950</v>
      </c>
      <c r="F362" s="83">
        <f>'Proforma, Income &amp; Expense'!B18</f>
        <v>0</v>
      </c>
    </row>
    <row r="363" spans="1:16" ht="15" thickBot="1">
      <c r="A363" t="s">
        <v>2200</v>
      </c>
      <c r="B363" s="66">
        <f>H74</f>
        <v>0</v>
      </c>
      <c r="E363" s="184" t="s">
        <v>951</v>
      </c>
      <c r="F363" s="83">
        <f>$B$351</f>
        <v>0</v>
      </c>
    </row>
    <row r="364" spans="1:16" ht="15" thickTop="1">
      <c r="A364" t="s">
        <v>946</v>
      </c>
      <c r="B364" s="440">
        <f>SUM(B362:B363)</f>
        <v>0</v>
      </c>
      <c r="E364" s="67" t="s">
        <v>2654</v>
      </c>
      <c r="F364" s="83">
        <f>IF(F362&gt;0,Admin!B59*F362,0)</f>
        <v>0</v>
      </c>
    </row>
    <row r="365" spans="1:16" ht="15" thickBot="1">
      <c r="A365" t="s">
        <v>947</v>
      </c>
      <c r="B365" s="66">
        <f>-(B364*$B$360)</f>
        <v>0</v>
      </c>
      <c r="E365" s="121" t="s">
        <v>953</v>
      </c>
      <c r="F365" s="83">
        <f>F362-F363-F364</f>
        <v>0</v>
      </c>
    </row>
    <row r="366" spans="1:16" ht="15" thickTop="1">
      <c r="A366" t="s">
        <v>948</v>
      </c>
      <c r="B366" s="198">
        <f>B364+B365</f>
        <v>0</v>
      </c>
      <c r="E366" s="1" t="s">
        <v>2655</v>
      </c>
      <c r="F366" s="66">
        <f>F365+B366</f>
        <v>0</v>
      </c>
    </row>
    <row r="367" spans="1:16">
      <c r="E367" s="1"/>
    </row>
    <row r="368" spans="1:16">
      <c r="A368" t="s">
        <v>486</v>
      </c>
      <c r="B368" s="66">
        <f>B347</f>
        <v>0</v>
      </c>
    </row>
    <row r="369" spans="1:16" ht="15" thickBot="1">
      <c r="A369" s="67" t="s">
        <v>2656</v>
      </c>
      <c r="B369">
        <f>$H$45</f>
        <v>0</v>
      </c>
      <c r="C369" t="s">
        <v>2657</v>
      </c>
    </row>
    <row r="370" spans="1:16" ht="15" thickTop="1">
      <c r="B370" s="440">
        <f>B368*B369</f>
        <v>0</v>
      </c>
    </row>
    <row r="371" spans="1:16" ht="15" thickBot="1">
      <c r="A371" t="s">
        <v>2658</v>
      </c>
      <c r="B371" s="66">
        <f>$B$352</f>
        <v>0</v>
      </c>
    </row>
    <row r="372" spans="1:16" ht="15" thickTop="1">
      <c r="A372" t="s">
        <v>2659</v>
      </c>
      <c r="B372" s="198">
        <f>B370+B371</f>
        <v>0</v>
      </c>
    </row>
    <row r="374" spans="1:16">
      <c r="A374" t="s">
        <v>2660</v>
      </c>
      <c r="B374">
        <f>Admin!$B$57</f>
        <v>1.02</v>
      </c>
    </row>
    <row r="375" spans="1:16">
      <c r="A375" t="s">
        <v>2661</v>
      </c>
      <c r="B375">
        <f>Admin!$B$58</f>
        <v>1.03</v>
      </c>
    </row>
    <row r="376" spans="1:16">
      <c r="A376" t="s">
        <v>2662</v>
      </c>
      <c r="B376" t="b">
        <f>Financing!B5="Yes"</f>
        <v>0</v>
      </c>
    </row>
    <row r="377" spans="1:16">
      <c r="E377" s="1"/>
    </row>
    <row r="378" spans="1:16">
      <c r="B378" s="1" t="s">
        <v>531</v>
      </c>
      <c r="C378" s="1" t="s">
        <v>963</v>
      </c>
      <c r="D378" s="1" t="s">
        <v>533</v>
      </c>
      <c r="E378" s="1" t="s">
        <v>534</v>
      </c>
      <c r="F378" s="1" t="s">
        <v>535</v>
      </c>
      <c r="G378" s="1" t="s">
        <v>536</v>
      </c>
      <c r="H378" s="1" t="s">
        <v>537</v>
      </c>
      <c r="I378" s="1" t="s">
        <v>538</v>
      </c>
      <c r="J378" s="1" t="s">
        <v>539</v>
      </c>
      <c r="K378" s="1" t="s">
        <v>540</v>
      </c>
      <c r="L378" s="1" t="s">
        <v>541</v>
      </c>
      <c r="M378" s="1" t="s">
        <v>542</v>
      </c>
      <c r="N378" s="1" t="s">
        <v>543</v>
      </c>
      <c r="O378" s="1" t="s">
        <v>544</v>
      </c>
      <c r="P378" s="1" t="s">
        <v>545</v>
      </c>
    </row>
    <row r="379" spans="1:16">
      <c r="A379" t="s">
        <v>1085</v>
      </c>
      <c r="B379" s="199">
        <f>B366</f>
        <v>0</v>
      </c>
      <c r="C379" s="66">
        <f t="shared" ref="C379:P379" si="52">B379*$B$374</f>
        <v>0</v>
      </c>
      <c r="D379" s="66">
        <f t="shared" si="52"/>
        <v>0</v>
      </c>
      <c r="E379" s="66">
        <f t="shared" si="52"/>
        <v>0</v>
      </c>
      <c r="F379" s="66">
        <f t="shared" si="52"/>
        <v>0</v>
      </c>
      <c r="G379" s="66">
        <f t="shared" si="52"/>
        <v>0</v>
      </c>
      <c r="H379" s="66">
        <f t="shared" si="52"/>
        <v>0</v>
      </c>
      <c r="I379" s="66">
        <f t="shared" si="52"/>
        <v>0</v>
      </c>
      <c r="J379" s="66">
        <f t="shared" si="52"/>
        <v>0</v>
      </c>
      <c r="K379" s="66">
        <f>J379*$B$374</f>
        <v>0</v>
      </c>
      <c r="L379" s="66">
        <f t="shared" si="52"/>
        <v>0</v>
      </c>
      <c r="M379" s="66">
        <f t="shared" si="52"/>
        <v>0</v>
      </c>
      <c r="N379" s="66">
        <f>M379*$B$374</f>
        <v>0</v>
      </c>
      <c r="O379" s="66">
        <f t="shared" si="52"/>
        <v>0</v>
      </c>
      <c r="P379" s="66">
        <f t="shared" si="52"/>
        <v>0</v>
      </c>
    </row>
    <row r="380" spans="1:16">
      <c r="A380" t="s">
        <v>2659</v>
      </c>
      <c r="B380" s="199">
        <f>B372</f>
        <v>0</v>
      </c>
      <c r="C380" s="66">
        <f t="shared" ref="C380:P380" si="53">B380*$B$375</f>
        <v>0</v>
      </c>
      <c r="D380" s="66">
        <f t="shared" si="53"/>
        <v>0</v>
      </c>
      <c r="E380" s="66">
        <f t="shared" si="53"/>
        <v>0</v>
      </c>
      <c r="F380" s="66">
        <f t="shared" si="53"/>
        <v>0</v>
      </c>
      <c r="G380" s="66">
        <f t="shared" si="53"/>
        <v>0</v>
      </c>
      <c r="H380" s="66">
        <f t="shared" si="53"/>
        <v>0</v>
      </c>
      <c r="I380" s="66">
        <f t="shared" si="53"/>
        <v>0</v>
      </c>
      <c r="J380" s="66">
        <f t="shared" si="53"/>
        <v>0</v>
      </c>
      <c r="K380" s="66">
        <f>J380*$B$375</f>
        <v>0</v>
      </c>
      <c r="L380" s="66">
        <f t="shared" si="53"/>
        <v>0</v>
      </c>
      <c r="M380" s="66">
        <f t="shared" si="53"/>
        <v>0</v>
      </c>
      <c r="N380" s="66">
        <f>M380*$B$375</f>
        <v>0</v>
      </c>
      <c r="O380" s="66">
        <f t="shared" si="53"/>
        <v>0</v>
      </c>
      <c r="P380" s="66">
        <f t="shared" si="53"/>
        <v>0</v>
      </c>
    </row>
    <row r="381" spans="1:16">
      <c r="A381" t="s">
        <v>1184</v>
      </c>
      <c r="B381" s="66">
        <f t="shared" ref="B381:P381" si="54">B379-B380</f>
        <v>0</v>
      </c>
      <c r="C381" s="66">
        <f t="shared" si="54"/>
        <v>0</v>
      </c>
      <c r="D381" s="66">
        <f t="shared" si="54"/>
        <v>0</v>
      </c>
      <c r="E381" s="66">
        <f t="shared" si="54"/>
        <v>0</v>
      </c>
      <c r="F381" s="66">
        <f t="shared" si="54"/>
        <v>0</v>
      </c>
      <c r="G381" s="66">
        <f t="shared" si="54"/>
        <v>0</v>
      </c>
      <c r="H381" s="66">
        <f t="shared" si="54"/>
        <v>0</v>
      </c>
      <c r="I381" s="66">
        <f t="shared" si="54"/>
        <v>0</v>
      </c>
      <c r="J381" s="66">
        <f t="shared" si="54"/>
        <v>0</v>
      </c>
      <c r="K381" s="66">
        <f t="shared" si="54"/>
        <v>0</v>
      </c>
      <c r="L381" s="66">
        <f t="shared" si="54"/>
        <v>0</v>
      </c>
      <c r="M381" s="66">
        <f t="shared" si="54"/>
        <v>0</v>
      </c>
      <c r="N381" s="66">
        <f t="shared" si="54"/>
        <v>0</v>
      </c>
      <c r="O381" s="66">
        <f t="shared" si="54"/>
        <v>0</v>
      </c>
      <c r="P381" s="66">
        <f t="shared" si="54"/>
        <v>0</v>
      </c>
    </row>
    <row r="382" spans="1:16">
      <c r="A382" t="s">
        <v>2663</v>
      </c>
      <c r="B382" s="66">
        <f>-ABS(E123)</f>
        <v>0</v>
      </c>
      <c r="C382" s="66">
        <f t="shared" ref="C382:P384" si="55">$B382</f>
        <v>0</v>
      </c>
      <c r="D382" s="66">
        <f t="shared" si="55"/>
        <v>0</v>
      </c>
      <c r="E382" s="66">
        <f t="shared" si="55"/>
        <v>0</v>
      </c>
      <c r="F382" s="66">
        <f t="shared" si="55"/>
        <v>0</v>
      </c>
      <c r="G382" s="66">
        <f t="shared" si="55"/>
        <v>0</v>
      </c>
      <c r="H382" s="66">
        <f t="shared" si="55"/>
        <v>0</v>
      </c>
      <c r="I382" s="66">
        <f t="shared" si="55"/>
        <v>0</v>
      </c>
      <c r="J382" s="66">
        <f t="shared" si="55"/>
        <v>0</v>
      </c>
      <c r="K382" s="66">
        <f t="shared" ref="K382:M384" si="56">$B382</f>
        <v>0</v>
      </c>
      <c r="L382" s="66">
        <f t="shared" si="56"/>
        <v>0</v>
      </c>
      <c r="M382" s="66">
        <f t="shared" si="56"/>
        <v>0</v>
      </c>
      <c r="N382" s="66">
        <f t="shared" si="55"/>
        <v>0</v>
      </c>
      <c r="O382" s="66">
        <f t="shared" si="55"/>
        <v>0</v>
      </c>
      <c r="P382" s="66">
        <f t="shared" si="55"/>
        <v>0</v>
      </c>
    </row>
    <row r="383" spans="1:16">
      <c r="A383" t="s">
        <v>2664</v>
      </c>
      <c r="B383" s="66">
        <f>-ABS(E124)</f>
        <v>0</v>
      </c>
      <c r="C383" s="66">
        <f t="shared" si="55"/>
        <v>0</v>
      </c>
      <c r="D383" s="66">
        <f t="shared" si="55"/>
        <v>0</v>
      </c>
      <c r="E383" s="66">
        <f t="shared" si="55"/>
        <v>0</v>
      </c>
      <c r="F383" s="66">
        <f t="shared" si="55"/>
        <v>0</v>
      </c>
      <c r="G383" s="66">
        <f t="shared" si="55"/>
        <v>0</v>
      </c>
      <c r="H383" s="66">
        <f t="shared" si="55"/>
        <v>0</v>
      </c>
      <c r="I383" s="66">
        <f t="shared" si="55"/>
        <v>0</v>
      </c>
      <c r="J383" s="66">
        <f t="shared" si="55"/>
        <v>0</v>
      </c>
      <c r="K383" s="66">
        <f t="shared" si="56"/>
        <v>0</v>
      </c>
      <c r="L383" s="66">
        <f t="shared" si="56"/>
        <v>0</v>
      </c>
      <c r="M383" s="66">
        <f t="shared" si="56"/>
        <v>0</v>
      </c>
      <c r="N383" s="66">
        <f t="shared" si="55"/>
        <v>0</v>
      </c>
      <c r="O383" s="66">
        <f t="shared" si="55"/>
        <v>0</v>
      </c>
      <c r="P383" s="66">
        <f t="shared" si="55"/>
        <v>0</v>
      </c>
    </row>
    <row r="384" spans="1:16">
      <c r="A384" t="s">
        <v>2665</v>
      </c>
      <c r="B384" s="66">
        <f>-ABS(E125)</f>
        <v>0</v>
      </c>
      <c r="C384" s="66">
        <f t="shared" si="55"/>
        <v>0</v>
      </c>
      <c r="D384" s="66">
        <f t="shared" si="55"/>
        <v>0</v>
      </c>
      <c r="E384" s="66">
        <f t="shared" si="55"/>
        <v>0</v>
      </c>
      <c r="F384" s="66">
        <f t="shared" si="55"/>
        <v>0</v>
      </c>
      <c r="G384" s="66">
        <f t="shared" si="55"/>
        <v>0</v>
      </c>
      <c r="H384" s="66">
        <f t="shared" si="55"/>
        <v>0</v>
      </c>
      <c r="I384" s="66">
        <f t="shared" si="55"/>
        <v>0</v>
      </c>
      <c r="J384" s="66">
        <f t="shared" si="55"/>
        <v>0</v>
      </c>
      <c r="K384" s="66">
        <f t="shared" si="56"/>
        <v>0</v>
      </c>
      <c r="L384" s="66">
        <f t="shared" si="56"/>
        <v>0</v>
      </c>
      <c r="M384" s="66">
        <f t="shared" si="56"/>
        <v>0</v>
      </c>
      <c r="N384" s="66">
        <f t="shared" si="55"/>
        <v>0</v>
      </c>
      <c r="O384" s="66">
        <f t="shared" si="55"/>
        <v>0</v>
      </c>
      <c r="P384" s="66">
        <f t="shared" si="55"/>
        <v>0</v>
      </c>
    </row>
    <row r="385" spans="1:32">
      <c r="A385" t="s">
        <v>2666</v>
      </c>
      <c r="B385" s="66">
        <f t="shared" ref="B385:P385" si="57">B381+B382+B383+B384</f>
        <v>0</v>
      </c>
      <c r="C385" s="66">
        <f t="shared" si="57"/>
        <v>0</v>
      </c>
      <c r="D385" s="66">
        <f t="shared" si="57"/>
        <v>0</v>
      </c>
      <c r="E385" s="66">
        <f t="shared" si="57"/>
        <v>0</v>
      </c>
      <c r="F385" s="66">
        <f t="shared" si="57"/>
        <v>0</v>
      </c>
      <c r="G385" s="66">
        <f t="shared" si="57"/>
        <v>0</v>
      </c>
      <c r="H385" s="66">
        <f t="shared" si="57"/>
        <v>0</v>
      </c>
      <c r="I385" s="66">
        <f t="shared" si="57"/>
        <v>0</v>
      </c>
      <c r="J385" s="66">
        <f t="shared" si="57"/>
        <v>0</v>
      </c>
      <c r="K385" s="66">
        <f t="shared" si="57"/>
        <v>0</v>
      </c>
      <c r="L385" s="66">
        <f t="shared" si="57"/>
        <v>0</v>
      </c>
      <c r="M385" s="66">
        <f t="shared" si="57"/>
        <v>0</v>
      </c>
      <c r="N385" s="66">
        <f t="shared" si="57"/>
        <v>0</v>
      </c>
      <c r="O385" s="66">
        <f t="shared" si="57"/>
        <v>0</v>
      </c>
      <c r="P385" s="66">
        <f t="shared" si="57"/>
        <v>0</v>
      </c>
    </row>
    <row r="386" spans="1:32">
      <c r="A386" t="s">
        <v>1098</v>
      </c>
      <c r="B386" s="200" t="str">
        <f>IF($B$376,0,IF(SUM(B382:B384) = 0, "Loans Missing",  B381/ABS(B382+B383+B384)))</f>
        <v>Loans Missing</v>
      </c>
      <c r="C386" s="200" t="str">
        <f t="shared" ref="C386:P386" si="58">IF($B$376,0,IF(SUM(C382:C384) = 0, "Loans Missing",  C381/ABS(C382+C383+C384)))</f>
        <v>Loans Missing</v>
      </c>
      <c r="D386" s="200" t="str">
        <f t="shared" si="58"/>
        <v>Loans Missing</v>
      </c>
      <c r="E386" s="200" t="str">
        <f t="shared" si="58"/>
        <v>Loans Missing</v>
      </c>
      <c r="F386" s="200" t="str">
        <f t="shared" si="58"/>
        <v>Loans Missing</v>
      </c>
      <c r="G386" s="200" t="str">
        <f t="shared" si="58"/>
        <v>Loans Missing</v>
      </c>
      <c r="H386" s="200" t="str">
        <f t="shared" si="58"/>
        <v>Loans Missing</v>
      </c>
      <c r="I386" s="200" t="str">
        <f t="shared" si="58"/>
        <v>Loans Missing</v>
      </c>
      <c r="J386" s="200" t="str">
        <f t="shared" si="58"/>
        <v>Loans Missing</v>
      </c>
      <c r="K386" s="200" t="str">
        <f t="shared" si="58"/>
        <v>Loans Missing</v>
      </c>
      <c r="L386" s="200" t="str">
        <f t="shared" si="58"/>
        <v>Loans Missing</v>
      </c>
      <c r="M386" s="200" t="str">
        <f t="shared" si="58"/>
        <v>Loans Missing</v>
      </c>
      <c r="N386" s="200" t="str">
        <f t="shared" si="58"/>
        <v>Loans Missing</v>
      </c>
      <c r="O386" s="200" t="str">
        <f t="shared" si="58"/>
        <v>Loans Missing</v>
      </c>
      <c r="P386" s="200" t="str">
        <f t="shared" si="58"/>
        <v>Loans Missing</v>
      </c>
    </row>
    <row r="387" spans="1:32">
      <c r="B387" s="195"/>
      <c r="C387" s="195"/>
      <c r="D387" s="195"/>
      <c r="E387" s="195"/>
      <c r="F387" s="195"/>
      <c r="G387" s="195"/>
      <c r="H387" s="195"/>
      <c r="I387" s="195"/>
      <c r="J387" s="195"/>
      <c r="K387" s="195"/>
      <c r="L387" s="195"/>
      <c r="M387" s="195"/>
      <c r="N387" s="195"/>
      <c r="O387" s="195"/>
      <c r="P387" s="195"/>
    </row>
    <row r="388" spans="1:32">
      <c r="A388" t="s">
        <v>2667</v>
      </c>
      <c r="B388" s="66">
        <f t="shared" ref="B388:P388" si="59">B385</f>
        <v>0</v>
      </c>
      <c r="C388" s="66">
        <f t="shared" si="59"/>
        <v>0</v>
      </c>
      <c r="D388" s="66">
        <f t="shared" si="59"/>
        <v>0</v>
      </c>
      <c r="E388" s="66">
        <f t="shared" si="59"/>
        <v>0</v>
      </c>
      <c r="F388" s="66">
        <f t="shared" si="59"/>
        <v>0</v>
      </c>
      <c r="G388" s="66">
        <f t="shared" si="59"/>
        <v>0</v>
      </c>
      <c r="H388" s="66">
        <f t="shared" si="59"/>
        <v>0</v>
      </c>
      <c r="I388" s="66">
        <f t="shared" si="59"/>
        <v>0</v>
      </c>
      <c r="J388" s="66">
        <f t="shared" si="59"/>
        <v>0</v>
      </c>
      <c r="K388" s="66">
        <f t="shared" si="59"/>
        <v>0</v>
      </c>
      <c r="L388" s="66">
        <f t="shared" si="59"/>
        <v>0</v>
      </c>
      <c r="M388" s="66">
        <f t="shared" si="59"/>
        <v>0</v>
      </c>
      <c r="N388" s="66">
        <f t="shared" si="59"/>
        <v>0</v>
      </c>
      <c r="O388" s="66">
        <f t="shared" si="59"/>
        <v>0</v>
      </c>
      <c r="P388" s="66">
        <f t="shared" si="59"/>
        <v>0</v>
      </c>
    </row>
    <row r="389" spans="1:32">
      <c r="A389" t="str">
        <f>'Proforma, Income &amp; Expense'!A4</f>
        <v>Partnership/Asset Mgt. Fees</v>
      </c>
      <c r="B389" s="66">
        <f>-ABS('Proforma, Income &amp; Expense'!B4)</f>
        <v>0</v>
      </c>
      <c r="C389" s="66">
        <f>-ABS('Proforma, Income &amp; Expense'!C4)</f>
        <v>0</v>
      </c>
      <c r="D389" s="66">
        <f>-ABS('Proforma, Income &amp; Expense'!D4)</f>
        <v>0</v>
      </c>
      <c r="E389" s="66">
        <f>-ABS('Proforma, Income &amp; Expense'!E4)</f>
        <v>0</v>
      </c>
      <c r="F389" s="66">
        <f>-ABS('Proforma, Income &amp; Expense'!F4)</f>
        <v>0</v>
      </c>
      <c r="G389" s="66">
        <f>-ABS('Proforma, Income &amp; Expense'!G4)</f>
        <v>0</v>
      </c>
      <c r="H389" s="66">
        <f>-ABS('Proforma, Income &amp; Expense'!H4)</f>
        <v>0</v>
      </c>
      <c r="I389" s="66">
        <f>-ABS('Proforma, Income &amp; Expense'!I4)</f>
        <v>0</v>
      </c>
      <c r="J389" s="66">
        <f>-ABS('Proforma, Income &amp; Expense'!J4)</f>
        <v>0</v>
      </c>
      <c r="K389" s="66">
        <f>-ABS('Proforma, Income &amp; Expense'!K4)</f>
        <v>0</v>
      </c>
      <c r="L389" s="66">
        <f>-ABS('Proforma, Income &amp; Expense'!L4)</f>
        <v>0</v>
      </c>
      <c r="M389" s="66">
        <f>-ABS('Proforma, Income &amp; Expense'!M4)</f>
        <v>0</v>
      </c>
      <c r="N389" s="66">
        <f>-ABS('Proforma, Income &amp; Expense'!N4)</f>
        <v>0</v>
      </c>
      <c r="O389" s="66">
        <f>-ABS('Proforma, Income &amp; Expense'!O4)</f>
        <v>0</v>
      </c>
      <c r="P389" s="66">
        <f>-ABS('Proforma, Income &amp; Expense'!P4)</f>
        <v>0</v>
      </c>
    </row>
    <row r="390" spans="1:32" ht="15" customHeight="1">
      <c r="A390" t="str">
        <f>'Proforma, Income &amp; Expense'!A5</f>
        <v>Bond Fees (if applicable)</v>
      </c>
      <c r="B390" s="66">
        <f>-ABS('Proforma, Income &amp; Expense'!B5)</f>
        <v>0</v>
      </c>
      <c r="C390" s="66">
        <f>-ABS('Proforma, Income &amp; Expense'!C5)</f>
        <v>0</v>
      </c>
      <c r="D390" s="66">
        <f>-ABS('Proforma, Income &amp; Expense'!D5)</f>
        <v>0</v>
      </c>
      <c r="E390" s="66">
        <f>-ABS('Proforma, Income &amp; Expense'!E5)</f>
        <v>0</v>
      </c>
      <c r="F390" s="66">
        <f>-ABS('Proforma, Income &amp; Expense'!F5)</f>
        <v>0</v>
      </c>
      <c r="G390" s="66">
        <f>-ABS('Proforma, Income &amp; Expense'!G5)</f>
        <v>0</v>
      </c>
      <c r="H390" s="66">
        <f>-ABS('Proforma, Income &amp; Expense'!H5)</f>
        <v>0</v>
      </c>
      <c r="I390" s="66">
        <f>-ABS('Proforma, Income &amp; Expense'!I5)</f>
        <v>0</v>
      </c>
      <c r="J390" s="66">
        <f>-ABS('Proforma, Income &amp; Expense'!J5)</f>
        <v>0</v>
      </c>
      <c r="K390" s="66">
        <f>-ABS('Proforma, Income &amp; Expense'!K5)</f>
        <v>0</v>
      </c>
      <c r="L390" s="66">
        <f>-ABS('Proforma, Income &amp; Expense'!L5)</f>
        <v>0</v>
      </c>
      <c r="M390" s="66">
        <f>-ABS('Proforma, Income &amp; Expense'!M5)</f>
        <v>0</v>
      </c>
      <c r="N390" s="66">
        <f>-ABS('Proforma, Income &amp; Expense'!N5)</f>
        <v>0</v>
      </c>
      <c r="O390" s="66">
        <f>-ABS('Proforma, Income &amp; Expense'!O5)</f>
        <v>0</v>
      </c>
      <c r="P390" s="66">
        <f>-ABS('Proforma, Income &amp; Expense'!P5)</f>
        <v>0</v>
      </c>
    </row>
    <row r="391" spans="1:32">
      <c r="A391" t="str">
        <f>'Proforma, Income &amp; Expense'!A6</f>
        <v>Deferred Developer Fee Repayment*</v>
      </c>
      <c r="B391" s="66">
        <f>-ABS('Proforma, Income &amp; Expense'!B6)</f>
        <v>0</v>
      </c>
      <c r="C391" s="66">
        <f>-ABS('Proforma, Income &amp; Expense'!C6)</f>
        <v>0</v>
      </c>
      <c r="D391" s="66">
        <f>-ABS('Proforma, Income &amp; Expense'!D6)</f>
        <v>0</v>
      </c>
      <c r="E391" s="66">
        <f>-ABS('Proforma, Income &amp; Expense'!E6)</f>
        <v>0</v>
      </c>
      <c r="F391" s="66">
        <f>-ABS('Proforma, Income &amp; Expense'!F6)</f>
        <v>0</v>
      </c>
      <c r="G391" s="66">
        <f>-ABS('Proforma, Income &amp; Expense'!G6)</f>
        <v>0</v>
      </c>
      <c r="H391" s="66">
        <f>-ABS('Proforma, Income &amp; Expense'!H6)</f>
        <v>0</v>
      </c>
      <c r="I391" s="66">
        <f>-ABS('Proforma, Income &amp; Expense'!I6)</f>
        <v>0</v>
      </c>
      <c r="J391" s="66">
        <f>-ABS('Proforma, Income &amp; Expense'!J6)</f>
        <v>0</v>
      </c>
      <c r="K391" s="66">
        <f>-ABS('Proforma, Income &amp; Expense'!K6)</f>
        <v>0</v>
      </c>
      <c r="L391" s="66">
        <f>-ABS('Proforma, Income &amp; Expense'!L6)</f>
        <v>0</v>
      </c>
      <c r="M391" s="66">
        <f>-ABS('Proforma, Income &amp; Expense'!M6)</f>
        <v>0</v>
      </c>
      <c r="N391" s="66">
        <f>-ABS('Proforma, Income &amp; Expense'!N6)</f>
        <v>0</v>
      </c>
      <c r="O391" s="66">
        <f>-ABS('Proforma, Income &amp; Expense'!O6)</f>
        <v>0</v>
      </c>
      <c r="P391" s="66">
        <f>-ABS('Proforma, Income &amp; Expense'!P6)</f>
        <v>0</v>
      </c>
    </row>
    <row r="392" spans="1:32">
      <c r="A392" t="str">
        <f>'Proforma, Income &amp; Expense'!A7</f>
        <v>Other (Specify)</v>
      </c>
      <c r="B392" s="66">
        <f>-ABS('Proforma, Income &amp; Expense'!B7)</f>
        <v>0</v>
      </c>
      <c r="C392" s="66">
        <f>-ABS('Proforma, Income &amp; Expense'!C7)</f>
        <v>0</v>
      </c>
      <c r="D392" s="66">
        <f>-ABS('Proforma, Income &amp; Expense'!D7)</f>
        <v>0</v>
      </c>
      <c r="E392" s="66">
        <f>-ABS('Proforma, Income &amp; Expense'!E7)</f>
        <v>0</v>
      </c>
      <c r="F392" s="66">
        <f>-ABS('Proforma, Income &amp; Expense'!F7)</f>
        <v>0</v>
      </c>
      <c r="G392" s="66">
        <f>-ABS('Proforma, Income &amp; Expense'!G7)</f>
        <v>0</v>
      </c>
      <c r="H392" s="66">
        <f>-ABS('Proforma, Income &amp; Expense'!H7)</f>
        <v>0</v>
      </c>
      <c r="I392" s="66">
        <f>-ABS('Proforma, Income &amp; Expense'!I7)</f>
        <v>0</v>
      </c>
      <c r="J392" s="66">
        <f>-ABS('Proforma, Income &amp; Expense'!J7)</f>
        <v>0</v>
      </c>
      <c r="K392" s="66">
        <f>-ABS('Proforma, Income &amp; Expense'!K7)</f>
        <v>0</v>
      </c>
      <c r="L392" s="66">
        <f>-ABS('Proforma, Income &amp; Expense'!L7)</f>
        <v>0</v>
      </c>
      <c r="M392" s="66">
        <f>-ABS('Proforma, Income &amp; Expense'!M7)</f>
        <v>0</v>
      </c>
      <c r="N392" s="66">
        <f>-ABS('Proforma, Income &amp; Expense'!N7)</f>
        <v>0</v>
      </c>
      <c r="O392" s="66">
        <f>-ABS('Proforma, Income &amp; Expense'!O7)</f>
        <v>0</v>
      </c>
      <c r="P392" s="66">
        <f>-ABS('Proforma, Income &amp; Expense'!P7)</f>
        <v>0</v>
      </c>
    </row>
    <row r="393" spans="1:32">
      <c r="A393" t="str">
        <f>'Proforma, Income &amp; Expense'!A8</f>
        <v>Cash Flow Paid for Services</v>
      </c>
      <c r="B393" s="66">
        <f>-ABS('Proforma, Income &amp; Expense'!B8)</f>
        <v>0</v>
      </c>
      <c r="C393" s="66">
        <f>-ABS('Proforma, Income &amp; Expense'!C8)</f>
        <v>0</v>
      </c>
      <c r="D393" s="66">
        <f>-ABS('Proforma, Income &amp; Expense'!D8)</f>
        <v>0</v>
      </c>
      <c r="E393" s="66">
        <f>-ABS('Proforma, Income &amp; Expense'!E8)</f>
        <v>0</v>
      </c>
      <c r="F393" s="66">
        <f>-ABS('Proforma, Income &amp; Expense'!F8)</f>
        <v>0</v>
      </c>
      <c r="G393" s="66">
        <f>-ABS('Proforma, Income &amp; Expense'!G8)</f>
        <v>0</v>
      </c>
      <c r="H393" s="66">
        <f>-ABS('Proforma, Income &amp; Expense'!H8)</f>
        <v>0</v>
      </c>
      <c r="I393" s="66">
        <f>-ABS('Proforma, Income &amp; Expense'!I8)</f>
        <v>0</v>
      </c>
      <c r="J393" s="66">
        <f>-ABS('Proforma, Income &amp; Expense'!J8)</f>
        <v>0</v>
      </c>
      <c r="K393" s="66">
        <f>-ABS('Proforma, Income &amp; Expense'!K8)</f>
        <v>0</v>
      </c>
      <c r="L393" s="66">
        <f>-ABS('Proforma, Income &amp; Expense'!L8)</f>
        <v>0</v>
      </c>
      <c r="M393" s="66">
        <f>-ABS('Proforma, Income &amp; Expense'!M8)</f>
        <v>0</v>
      </c>
      <c r="N393" s="66">
        <f>-ABS('Proforma, Income &amp; Expense'!N8)</f>
        <v>0</v>
      </c>
      <c r="O393" s="66">
        <f>-ABS('Proforma, Income &amp; Expense'!O8)</f>
        <v>0</v>
      </c>
      <c r="P393" s="66">
        <f>-ABS('Proforma, Income &amp; Expense'!P8)</f>
        <v>0</v>
      </c>
      <c r="Q393" s="16" t="s">
        <v>2668</v>
      </c>
      <c r="R393" s="16"/>
      <c r="S393" s="16"/>
      <c r="T393" s="16"/>
      <c r="U393" s="16"/>
    </row>
    <row r="394" spans="1:32">
      <c r="A394" t="s">
        <v>2669</v>
      </c>
      <c r="B394" s="66">
        <f>SUM(B388:B393)</f>
        <v>0</v>
      </c>
      <c r="C394" s="66">
        <f t="shared" ref="C394:P394" si="60">SUM(C388:C393)</f>
        <v>0</v>
      </c>
      <c r="D394" s="66">
        <f t="shared" si="60"/>
        <v>0</v>
      </c>
      <c r="E394" s="66">
        <f t="shared" si="60"/>
        <v>0</v>
      </c>
      <c r="F394" s="66">
        <f t="shared" si="60"/>
        <v>0</v>
      </c>
      <c r="G394" s="66">
        <f t="shared" si="60"/>
        <v>0</v>
      </c>
      <c r="H394" s="66">
        <f t="shared" si="60"/>
        <v>0</v>
      </c>
      <c r="I394" s="66">
        <f t="shared" si="60"/>
        <v>0</v>
      </c>
      <c r="J394" s="66">
        <f t="shared" si="60"/>
        <v>0</v>
      </c>
      <c r="K394" s="66">
        <f t="shared" si="60"/>
        <v>0</v>
      </c>
      <c r="L394" s="66">
        <f t="shared" si="60"/>
        <v>0</v>
      </c>
      <c r="M394" s="66">
        <f t="shared" si="60"/>
        <v>0</v>
      </c>
      <c r="N394" s="66">
        <f t="shared" si="60"/>
        <v>0</v>
      </c>
      <c r="O394" s="66">
        <f t="shared" si="60"/>
        <v>0</v>
      </c>
      <c r="P394" s="66">
        <f t="shared" si="60"/>
        <v>0</v>
      </c>
    </row>
    <row r="395" spans="1:32">
      <c r="B395" s="66"/>
      <c r="C395" s="66"/>
      <c r="D395" s="66"/>
      <c r="E395" s="66"/>
      <c r="F395" s="66"/>
      <c r="G395" s="66"/>
      <c r="H395" s="66"/>
      <c r="I395" s="66"/>
      <c r="J395" s="66"/>
      <c r="K395" s="66"/>
      <c r="L395" s="66"/>
      <c r="M395" s="66"/>
      <c r="N395" s="66"/>
      <c r="O395" s="66"/>
      <c r="P395" s="66"/>
      <c r="Q395">
        <f>MATCH(0,R399:AF399,0)</f>
        <v>1</v>
      </c>
    </row>
    <row r="396" spans="1:32">
      <c r="A396" t="s">
        <v>378</v>
      </c>
      <c r="B396" s="66">
        <f>B140</f>
        <v>0</v>
      </c>
      <c r="C396" s="67" t="s">
        <v>4424</v>
      </c>
      <c r="D396" s="129" t="str">
        <f>IF(ISNA(Q395) = TRUE, "After Year 15", CONCATENATE("IN YEAR ",Q395))</f>
        <v>IN YEAR 1</v>
      </c>
      <c r="E396" s="1"/>
      <c r="G396" t="str">
        <f>IF(B394:K394&lt;=0,"Cash Flow After Above Obligations Must Be Positive"," ")</f>
        <v>Cash Flow After Above Obligations Must Be Positive</v>
      </c>
      <c r="Q396" t="s">
        <v>2670</v>
      </c>
      <c r="R396" t="s">
        <v>531</v>
      </c>
      <c r="S396" t="s">
        <v>532</v>
      </c>
      <c r="T396" t="s">
        <v>533</v>
      </c>
      <c r="U396" t="s">
        <v>534</v>
      </c>
      <c r="V396" t="s">
        <v>535</v>
      </c>
      <c r="W396" t="s">
        <v>536</v>
      </c>
      <c r="X396" t="s">
        <v>537</v>
      </c>
      <c r="Y396" t="s">
        <v>538</v>
      </c>
      <c r="Z396" t="s">
        <v>539</v>
      </c>
      <c r="AA396" t="s">
        <v>540</v>
      </c>
      <c r="AB396" t="s">
        <v>541</v>
      </c>
      <c r="AC396" t="s">
        <v>542</v>
      </c>
      <c r="AD396" t="s">
        <v>543</v>
      </c>
      <c r="AE396" t="s">
        <v>544</v>
      </c>
      <c r="AF396" t="s">
        <v>545</v>
      </c>
    </row>
    <row r="397" spans="1:32">
      <c r="A397" t="s">
        <v>964</v>
      </c>
      <c r="B397" s="66">
        <f>SUM(B388:K388)</f>
        <v>0</v>
      </c>
      <c r="F397" t="b">
        <f>B397&gt;=B140</f>
        <v>1</v>
      </c>
      <c r="G397" t="str">
        <f>INDEX(Comments_10_Year_Test_table[],MATCH(F397,Comments_10_Year_Test_table[10 Year Cash Flow],0),2)</f>
        <v>The 10 Year cash flow available after obligations payable test has been met</v>
      </c>
      <c r="Q397" t="s">
        <v>2671</v>
      </c>
      <c r="R397" s="66">
        <f>B140</f>
        <v>0</v>
      </c>
      <c r="S397" s="66">
        <f t="shared" ref="S397:AF397" si="61">R399</f>
        <v>0</v>
      </c>
      <c r="T397" s="66">
        <f t="shared" si="61"/>
        <v>0</v>
      </c>
      <c r="U397" s="66">
        <f t="shared" si="61"/>
        <v>0</v>
      </c>
      <c r="V397" s="66">
        <f t="shared" si="61"/>
        <v>0</v>
      </c>
      <c r="W397" s="66">
        <f t="shared" si="61"/>
        <v>0</v>
      </c>
      <c r="X397" s="66">
        <f t="shared" si="61"/>
        <v>0</v>
      </c>
      <c r="Y397" s="66">
        <f t="shared" si="61"/>
        <v>0</v>
      </c>
      <c r="Z397" s="66">
        <f t="shared" si="61"/>
        <v>0</v>
      </c>
      <c r="AA397" s="66">
        <f t="shared" si="61"/>
        <v>0</v>
      </c>
      <c r="AB397" s="66">
        <f t="shared" si="61"/>
        <v>0</v>
      </c>
      <c r="AC397" s="66">
        <f t="shared" si="61"/>
        <v>0</v>
      </c>
      <c r="AD397" s="66">
        <f t="shared" si="61"/>
        <v>0</v>
      </c>
      <c r="AE397" s="66">
        <f t="shared" si="61"/>
        <v>0</v>
      </c>
      <c r="AF397" s="66">
        <f t="shared" si="61"/>
        <v>0</v>
      </c>
    </row>
    <row r="398" spans="1:32">
      <c r="A398" t="s">
        <v>965</v>
      </c>
      <c r="B398" s="66">
        <f>SUM(B388:P388)</f>
        <v>0</v>
      </c>
      <c r="F398" t="b">
        <f>B398&gt;=B140</f>
        <v>1</v>
      </c>
      <c r="G398" t="str">
        <f>INDEX(Comments_15_Year_Test_Table[],MATCH(F398,Comments_15_Year_Test_Table[15 Year Cash Flow],0),2)</f>
        <v>The 15 Year cash flow available after obligations payable test has been met</v>
      </c>
      <c r="Q398" t="s">
        <v>2672</v>
      </c>
      <c r="R398" s="149">
        <f>IF((R397&lt;(B388)),R397,ABS(B391))</f>
        <v>0</v>
      </c>
      <c r="S398" s="149">
        <f t="shared" ref="S398:AF398" si="62">IF((S397&lt;(C388)),S397,ABS(C391))</f>
        <v>0</v>
      </c>
      <c r="T398" s="149">
        <f t="shared" si="62"/>
        <v>0</v>
      </c>
      <c r="U398" s="149">
        <f t="shared" si="62"/>
        <v>0</v>
      </c>
      <c r="V398" s="149">
        <f t="shared" si="62"/>
        <v>0</v>
      </c>
      <c r="W398" s="149">
        <f t="shared" si="62"/>
        <v>0</v>
      </c>
      <c r="X398" s="149">
        <f t="shared" si="62"/>
        <v>0</v>
      </c>
      <c r="Y398" s="149">
        <f t="shared" si="62"/>
        <v>0</v>
      </c>
      <c r="Z398" s="149">
        <f t="shared" si="62"/>
        <v>0</v>
      </c>
      <c r="AA398" s="149">
        <f>IF((AA397&lt;(K388)),AA397,ABS(K391))</f>
        <v>0</v>
      </c>
      <c r="AB398" s="149">
        <f>IF((AB397&lt;(L388)),AB397,ABS(L391))</f>
        <v>0</v>
      </c>
      <c r="AC398" s="149">
        <f>IF((AC397&lt;(M388)),AC397,ABS(M391))</f>
        <v>0</v>
      </c>
      <c r="AD398" s="149">
        <f t="shared" si="62"/>
        <v>0</v>
      </c>
      <c r="AE398" s="149">
        <f t="shared" si="62"/>
        <v>0</v>
      </c>
      <c r="AF398" s="149">
        <f t="shared" si="62"/>
        <v>0</v>
      </c>
    </row>
    <row r="399" spans="1:32">
      <c r="D399" s="67" t="s">
        <v>2673</v>
      </c>
      <c r="E399" s="12">
        <f>Admin!B9</f>
        <v>1.1499999999999999</v>
      </c>
      <c r="F399" t="e">
        <f>ROUNDDOWN(B386,4)&gt;=ROUNDDOWN(Admin!B9,4)</f>
        <v>#VALUE!</v>
      </c>
      <c r="G399" t="e">
        <f>INDEX(Comments_Min_DCR_table[],MATCH(F399,Comments_Min_DCR_table[Min DCR],0),2)</f>
        <v>#VALUE!</v>
      </c>
      <c r="Q399" t="s">
        <v>2674</v>
      </c>
      <c r="R399" s="66">
        <f>IF(R397-R398&lt;0,0,R397-R398)</f>
        <v>0</v>
      </c>
      <c r="S399" s="66">
        <f t="shared" ref="S399:AF399" si="63">IF(S397-S398&lt;0,0,S397-S398)</f>
        <v>0</v>
      </c>
      <c r="T399" s="66">
        <f t="shared" si="63"/>
        <v>0</v>
      </c>
      <c r="U399" s="66">
        <f t="shared" si="63"/>
        <v>0</v>
      </c>
      <c r="V399" s="66">
        <f t="shared" si="63"/>
        <v>0</v>
      </c>
      <c r="W399" s="66">
        <f t="shared" si="63"/>
        <v>0</v>
      </c>
      <c r="X399" s="66">
        <f t="shared" si="63"/>
        <v>0</v>
      </c>
      <c r="Y399" s="66">
        <f t="shared" si="63"/>
        <v>0</v>
      </c>
      <c r="Z399" s="66">
        <f t="shared" si="63"/>
        <v>0</v>
      </c>
      <c r="AA399" s="66">
        <f t="shared" si="63"/>
        <v>0</v>
      </c>
      <c r="AB399" s="66">
        <f t="shared" si="63"/>
        <v>0</v>
      </c>
      <c r="AC399" s="66">
        <f t="shared" si="63"/>
        <v>0</v>
      </c>
      <c r="AD399" s="66">
        <f t="shared" si="63"/>
        <v>0</v>
      </c>
      <c r="AE399" s="66">
        <f t="shared" si="63"/>
        <v>0</v>
      </c>
      <c r="AF399" s="66">
        <f t="shared" si="63"/>
        <v>0</v>
      </c>
    </row>
    <row r="400" spans="1:32">
      <c r="E400" s="1"/>
    </row>
    <row r="401" spans="1:16">
      <c r="A401" s="194" t="s">
        <v>2675</v>
      </c>
      <c r="B401" s="99"/>
      <c r="C401" s="99"/>
      <c r="D401" s="99"/>
      <c r="E401" s="99"/>
      <c r="F401" s="99"/>
      <c r="G401" s="99"/>
      <c r="H401" s="99"/>
      <c r="I401" s="99"/>
      <c r="J401" s="99"/>
      <c r="K401" s="99"/>
      <c r="L401" s="99"/>
      <c r="M401" s="99"/>
      <c r="N401" s="99"/>
      <c r="O401" s="99"/>
      <c r="P401" s="99"/>
    </row>
    <row r="402" spans="1:16">
      <c r="D402" s="49"/>
      <c r="E402" s="1"/>
    </row>
    <row r="403" spans="1:16">
      <c r="A403" s="22" t="s">
        <v>2676</v>
      </c>
      <c r="D403" t="s">
        <v>2677</v>
      </c>
    </row>
    <row r="404" spans="1:16">
      <c r="A404" t="s">
        <v>2678</v>
      </c>
      <c r="B404" t="e">
        <f>INDEX(Developer_Additional_Question_Table[[Dev Fee Max Allowed Percent 1]:[Dev Fee Max Allowed Percent 3]],  MATCH(C404, Developer_Additional_Question_Table[Developer Additional Question], 0),  D404)</f>
        <v>#N/A</v>
      </c>
      <c r="C404">
        <f>Application!B9</f>
        <v>0</v>
      </c>
      <c r="D404" s="49">
        <f t="array" ref="D404">MATCH(1, ($H$45 &lt;= Admin!C72:C74) * ($H$45&gt;=Admin!B72:B74), 0)</f>
        <v>1</v>
      </c>
    </row>
    <row r="405" spans="1:16">
      <c r="A405" t="s">
        <v>2679</v>
      </c>
      <c r="B405" s="66">
        <f>B186</f>
        <v>0</v>
      </c>
      <c r="E405" s="1"/>
    </row>
    <row r="406" spans="1:16">
      <c r="A406" t="s">
        <v>2680</v>
      </c>
      <c r="B406" s="66">
        <f>B187</f>
        <v>0</v>
      </c>
      <c r="E406" s="1"/>
    </row>
    <row r="407" spans="1:16">
      <c r="A407" t="s">
        <v>969</v>
      </c>
      <c r="B407" s="66">
        <f>SUM(B405:B406)</f>
        <v>0</v>
      </c>
      <c r="E407" s="1"/>
    </row>
    <row r="408" spans="1:16">
      <c r="A408" t="s">
        <v>2681</v>
      </c>
      <c r="B408" s="66"/>
      <c r="E408" s="1"/>
    </row>
    <row r="409" spans="1:16">
      <c r="A409" s="209" t="s">
        <v>972</v>
      </c>
      <c r="B409" s="66">
        <f>B181+B182+B184</f>
        <v>0</v>
      </c>
      <c r="E409" s="1"/>
    </row>
    <row r="410" spans="1:16">
      <c r="A410" s="209" t="s">
        <v>973</v>
      </c>
      <c r="B410" s="66">
        <f>B177</f>
        <v>0</v>
      </c>
      <c r="E410" s="1"/>
    </row>
    <row r="411" spans="1:16">
      <c r="A411" s="209" t="s">
        <v>974</v>
      </c>
      <c r="B411" s="66">
        <f>B188</f>
        <v>0</v>
      </c>
      <c r="E411" s="1"/>
    </row>
    <row r="412" spans="1:16" ht="15" thickBot="1">
      <c r="A412" s="209" t="s">
        <v>491</v>
      </c>
      <c r="B412" s="66">
        <f>B183</f>
        <v>0</v>
      </c>
      <c r="E412" s="1"/>
    </row>
    <row r="413" spans="1:16" ht="15" thickTop="1">
      <c r="A413" s="73" t="s">
        <v>2682</v>
      </c>
      <c r="B413" s="440">
        <f>SUM(B409:B412)</f>
        <v>0</v>
      </c>
      <c r="E413" s="1"/>
    </row>
    <row r="414" spans="1:16">
      <c r="A414" t="s">
        <v>2683</v>
      </c>
      <c r="B414" s="66" t="e">
        <f>B413*B404</f>
        <v>#N/A</v>
      </c>
      <c r="D414" s="67" t="s">
        <v>2684</v>
      </c>
      <c r="E414" s="306">
        <f>IF(B413=0,0,B407/B413)</f>
        <v>0</v>
      </c>
    </row>
    <row r="415" spans="1:16">
      <c r="A415" s="73" t="s">
        <v>977</v>
      </c>
      <c r="B415" s="66" t="e">
        <f>IF(B407 &gt; B414, B407-B414, 0)</f>
        <v>#N/A</v>
      </c>
      <c r="E415" s="1"/>
    </row>
    <row r="416" spans="1:16">
      <c r="E416" s="1"/>
    </row>
    <row r="417" spans="1:7">
      <c r="A417" s="22" t="s">
        <v>2685</v>
      </c>
      <c r="E417" s="1"/>
    </row>
    <row r="418" spans="1:7">
      <c r="A418" t="s">
        <v>2678</v>
      </c>
      <c r="B418">
        <f t="array" ref="B418">INDEX(Dev_Fee_Aggregate_Max_Allowed_Table[%], MATCH(1, ($H$45 &lt;= Dev_Fee_Aggregate_Max_Allowed_Table[unit max]) * ($H$45&gt;=Dev_Fee_Aggregate_Max_Allowed_Table[unit min]), 0))</f>
        <v>0.15</v>
      </c>
      <c r="E418" s="1"/>
    </row>
    <row r="419" spans="1:7">
      <c r="A419" t="s">
        <v>2686</v>
      </c>
      <c r="B419">
        <f>IF(Application!B107 = "Yes", Admin!B69, 0)</f>
        <v>0</v>
      </c>
      <c r="C419" s="1"/>
      <c r="D419" s="1"/>
      <c r="E419" s="1"/>
    </row>
    <row r="420" spans="1:7">
      <c r="A420" t="s">
        <v>1844</v>
      </c>
      <c r="B420" s="66">
        <f>B292</f>
        <v>0</v>
      </c>
      <c r="E420" s="1"/>
    </row>
    <row r="421" spans="1:7">
      <c r="A421" t="s">
        <v>2687</v>
      </c>
      <c r="B421" s="66" t="e">
        <f>-B415</f>
        <v>#N/A</v>
      </c>
      <c r="E421" s="1"/>
    </row>
    <row r="422" spans="1:7" s="319" customFormat="1" ht="14.25" customHeight="1">
      <c r="A422" s="319" t="s">
        <v>2688</v>
      </c>
      <c r="B422" s="500">
        <f>IF(Admin!B33="yes",0,-Calculations!B173*0.5)</f>
        <v>0</v>
      </c>
      <c r="C422" s="319" t="str">
        <f>IF(Admin!B33="yes", "existing structures override granted", "")</f>
        <v/>
      </c>
      <c r="E422" s="481"/>
    </row>
    <row r="423" spans="1:7">
      <c r="A423" t="s">
        <v>2689</v>
      </c>
      <c r="B423" s="66">
        <f>-B172</f>
        <v>0</v>
      </c>
      <c r="E423" s="1"/>
      <c r="F423" s="1"/>
    </row>
    <row r="424" spans="1:7">
      <c r="A424" t="s">
        <v>2690</v>
      </c>
      <c r="B424" s="66">
        <f>-SUM(B276:B282)</f>
        <v>0</v>
      </c>
      <c r="E424" s="1"/>
    </row>
    <row r="425" spans="1:7" ht="15" thickBot="1">
      <c r="A425" t="s">
        <v>2691</v>
      </c>
      <c r="B425" s="66">
        <f>-SUM(B285:B290)</f>
        <v>0</v>
      </c>
      <c r="E425" s="1"/>
    </row>
    <row r="426" spans="1:7" ht="15" thickTop="1">
      <c r="A426" s="73" t="s">
        <v>2692</v>
      </c>
      <c r="B426" s="440" t="e">
        <f>SUM(B420:B425)</f>
        <v>#N/A</v>
      </c>
      <c r="E426" s="1"/>
    </row>
    <row r="427" spans="1:7">
      <c r="A427" t="s">
        <v>2693</v>
      </c>
      <c r="B427" s="66" t="e">
        <f>ROUND(B426*(B432), 0)</f>
        <v>#N/A</v>
      </c>
      <c r="C427" s="123"/>
      <c r="F427" s="22" t="s">
        <v>2694</v>
      </c>
    </row>
    <row r="428" spans="1:7">
      <c r="A428" t="s">
        <v>2695</v>
      </c>
      <c r="B428" s="66">
        <f>SUM(B276,B277,B278,B280,B281,B282)</f>
        <v>0</v>
      </c>
      <c r="D428" s="67" t="s">
        <v>2696</v>
      </c>
      <c r="E428" s="197">
        <f>IFERROR(B428/B426,0)</f>
        <v>0</v>
      </c>
      <c r="F428" t="b">
        <f>B418&gt;=E428</f>
        <v>1</v>
      </c>
      <c r="G428" t="str">
        <f>IF(NOT(F428),CONCATENATE("cannot exceed ", TEXT(B418, "0.00%")),"")</f>
        <v/>
      </c>
    </row>
    <row r="429" spans="1:7" ht="15" thickBot="1">
      <c r="A429" t="s">
        <v>2697</v>
      </c>
      <c r="B429" s="66">
        <f>B279</f>
        <v>0</v>
      </c>
      <c r="D429" s="67" t="s">
        <v>2698</v>
      </c>
      <c r="E429" s="197">
        <f>IFERROR(B429/B426,0)</f>
        <v>0</v>
      </c>
      <c r="F429" t="b">
        <f>B419&gt;=E429</f>
        <v>1</v>
      </c>
      <c r="G429" t="str">
        <f>IF(NOT(F429),CONCATENATE("cannot exceed ", TEXT(B419, "0.00%")),"")</f>
        <v/>
      </c>
    </row>
    <row r="430" spans="1:7" s="319" customFormat="1" ht="15" thickTop="1">
      <c r="A430" s="463" t="s">
        <v>977</v>
      </c>
      <c r="B430" s="464" t="e">
        <f>IF(B428+B429 &gt; B427, B428-B427+B429, 0)</f>
        <v>#N/A</v>
      </c>
      <c r="D430" s="465" t="s">
        <v>940</v>
      </c>
      <c r="E430" s="466">
        <f>B428+B429</f>
        <v>0</v>
      </c>
    </row>
    <row r="431" spans="1:7">
      <c r="A431" t="s">
        <v>2696</v>
      </c>
      <c r="B431" s="197" t="e">
        <f>IF(B426=0,0,(B428+B429)/B426)</f>
        <v>#N/A</v>
      </c>
      <c r="E431" s="1"/>
    </row>
    <row r="432" spans="1:7">
      <c r="A432" s="73" t="s">
        <v>2699</v>
      </c>
      <c r="B432" s="197">
        <f>B418+B419</f>
        <v>0.15</v>
      </c>
      <c r="E432" s="1"/>
    </row>
    <row r="433" spans="1:16">
      <c r="E433" s="1"/>
    </row>
    <row r="434" spans="1:16">
      <c r="A434" s="248" t="s">
        <v>2700</v>
      </c>
      <c r="B434" s="99"/>
      <c r="C434" s="99"/>
      <c r="D434" s="99"/>
      <c r="E434" s="99"/>
      <c r="F434" s="99"/>
      <c r="G434" s="99"/>
      <c r="H434" s="99"/>
      <c r="I434" s="99"/>
      <c r="J434" s="99"/>
      <c r="K434" s="99"/>
      <c r="L434" s="99"/>
      <c r="M434" s="99"/>
      <c r="N434" s="99"/>
      <c r="O434" s="99"/>
      <c r="P434" s="99"/>
    </row>
    <row r="435" spans="1:16">
      <c r="F435" s="1"/>
    </row>
    <row r="436" spans="1:16">
      <c r="A436" t="s">
        <v>2552</v>
      </c>
      <c r="B436" t="b">
        <f>$B$6</f>
        <v>0</v>
      </c>
      <c r="F436" s="1"/>
    </row>
    <row r="437" spans="1:16">
      <c r="A437" t="s">
        <v>2556</v>
      </c>
      <c r="B437" t="b">
        <f>$B$10</f>
        <v>0</v>
      </c>
      <c r="F437" s="1"/>
    </row>
    <row r="438" spans="1:16">
      <c r="A438" t="s">
        <v>2553</v>
      </c>
      <c r="B438" t="b">
        <f>$B$7</f>
        <v>0</v>
      </c>
      <c r="F438" s="1"/>
    </row>
    <row r="439" spans="1:16">
      <c r="B439" t="s">
        <v>852</v>
      </c>
      <c r="C439" t="s">
        <v>124</v>
      </c>
      <c r="F439" s="1"/>
    </row>
    <row r="440" spans="1:16">
      <c r="A440" s="22" t="s">
        <v>853</v>
      </c>
      <c r="F440" s="1"/>
    </row>
    <row r="441" spans="1:16">
      <c r="A441" s="207">
        <v>0.04</v>
      </c>
      <c r="B441" s="66">
        <f>IF($B$436, 0, $C$292)</f>
        <v>0</v>
      </c>
      <c r="C441" s="66">
        <f>IF($B$436, 0, $C$292)</f>
        <v>0</v>
      </c>
      <c r="D441" t="s">
        <v>2701</v>
      </c>
      <c r="F441" s="1"/>
    </row>
    <row r="442" spans="1:16">
      <c r="A442" s="207">
        <v>0.09</v>
      </c>
      <c r="B442" s="66">
        <f>IF($B$436,$D$292,0)</f>
        <v>0</v>
      </c>
      <c r="C442" s="66">
        <f>IF($B$436,$D$292,0)</f>
        <v>0</v>
      </c>
      <c r="D442" t="s">
        <v>2702</v>
      </c>
      <c r="F442" s="1"/>
    </row>
    <row r="443" spans="1:16">
      <c r="A443" t="s">
        <v>2703</v>
      </c>
      <c r="B443" s="66">
        <f>IF(AND($B$436, $B$438), $B$173, 0)</f>
        <v>0</v>
      </c>
      <c r="C443" s="66">
        <f>IF(AND($B$436, $B$438), $B$173, 0)</f>
        <v>0</v>
      </c>
      <c r="D443" t="s">
        <v>2704</v>
      </c>
      <c r="F443" s="1"/>
    </row>
    <row r="444" spans="1:16" ht="16.2">
      <c r="B444" s="66"/>
      <c r="C444" s="66"/>
      <c r="D444" s="280" t="s">
        <v>2705</v>
      </c>
      <c r="F444" s="1"/>
    </row>
    <row r="445" spans="1:16">
      <c r="A445" t="s">
        <v>853</v>
      </c>
      <c r="B445" s="66">
        <f>SUM(B441:B443)</f>
        <v>0</v>
      </c>
      <c r="C445" s="66">
        <f>SUM(C441:C443)</f>
        <v>0</v>
      </c>
      <c r="D445" s="66" t="str">
        <f>IF(AND(Admin!$B$18, $B$10),C445,"")</f>
        <v/>
      </c>
      <c r="F445" s="1"/>
    </row>
    <row r="446" spans="1:16">
      <c r="A446" t="s">
        <v>2706</v>
      </c>
      <c r="B446" s="66" t="e">
        <f>-$B$430</f>
        <v>#N/A</v>
      </c>
      <c r="C446" s="66" t="e">
        <f>-$B$430</f>
        <v>#N/A</v>
      </c>
      <c r="D446" s="66" t="str">
        <f>IF(AND(Admin!$B$18, $B$10),C446,"")</f>
        <v/>
      </c>
      <c r="F446" s="1"/>
    </row>
    <row r="447" spans="1:16" ht="15" thickBot="1">
      <c r="A447" t="s">
        <v>2707</v>
      </c>
      <c r="B447" s="66">
        <f>-ABS(IF(Admin!$B$80 = "", Application!B85, Admin!$B$80))</f>
        <v>0</v>
      </c>
      <c r="C447" s="66">
        <f>-ABS(IF(Admin!$B$81 = "",Application!B87, Admin!$B$81))</f>
        <v>0</v>
      </c>
      <c r="D447" s="66" t="str">
        <f>IF(AND(Admin!$B$18, $B$10),C447,"")</f>
        <v/>
      </c>
      <c r="E447" t="s">
        <v>2708</v>
      </c>
      <c r="F447" s="1"/>
    </row>
    <row r="448" spans="1:16" ht="15" thickTop="1">
      <c r="A448" t="s">
        <v>857</v>
      </c>
      <c r="B448" s="198" t="e">
        <f>SUM(B445:B447)</f>
        <v>#N/A</v>
      </c>
      <c r="C448" s="198" t="e">
        <f>SUM(C445:C447)</f>
        <v>#N/A</v>
      </c>
      <c r="D448" s="198" t="str">
        <f>IF(AND(Admin!$B$18, $B$10),C448,"")</f>
        <v/>
      </c>
      <c r="F448" s="1"/>
    </row>
    <row r="449" spans="1:16">
      <c r="B449" s="66"/>
      <c r="E449" s="1"/>
    </row>
    <row r="450" spans="1:16">
      <c r="E450" s="1"/>
    </row>
    <row r="451" spans="1:16">
      <c r="A451" s="194" t="s">
        <v>2709</v>
      </c>
      <c r="B451" s="99"/>
      <c r="C451" s="99"/>
      <c r="D451" s="99"/>
      <c r="E451" s="99"/>
      <c r="F451" s="99"/>
      <c r="G451" s="99"/>
      <c r="H451" s="99"/>
      <c r="I451" s="99"/>
      <c r="J451" s="99"/>
      <c r="K451" s="99"/>
      <c r="L451" s="99"/>
      <c r="M451" s="99"/>
      <c r="N451" s="99"/>
      <c r="O451" s="99"/>
      <c r="P451" s="99"/>
    </row>
    <row r="452" spans="1:16">
      <c r="E452" s="1"/>
    </row>
    <row r="453" spans="1:16">
      <c r="A453" t="s">
        <v>2710</v>
      </c>
      <c r="B453" t="b">
        <f>$B$21</f>
        <v>0</v>
      </c>
      <c r="E453" s="1"/>
    </row>
    <row r="455" spans="1:16">
      <c r="A455" s="13" t="s">
        <v>2711</v>
      </c>
    </row>
    <row r="456" spans="1:16" ht="18">
      <c r="A456" s="249" t="s">
        <v>2712</v>
      </c>
    </row>
    <row r="457" spans="1:16">
      <c r="A457" t="s">
        <v>789</v>
      </c>
      <c r="B457" s="66" t="e">
        <f>$B$448</f>
        <v>#N/A</v>
      </c>
    </row>
    <row r="458" spans="1:16" ht="15" thickBot="1">
      <c r="A458" t="s">
        <v>2713</v>
      </c>
      <c r="B458" s="66">
        <f>IF(B7, 'Development Budget'!C5, 0)</f>
        <v>0</v>
      </c>
    </row>
    <row r="459" spans="1:16" ht="15" thickTop="1">
      <c r="B459" s="440" t="e">
        <f>B457-B458</f>
        <v>#N/A</v>
      </c>
    </row>
    <row r="460" spans="1:16" ht="15" thickBot="1">
      <c r="A460" t="s">
        <v>2714</v>
      </c>
      <c r="B460" s="12">
        <f>IF($B$453, Admin!$B$82, 1)</f>
        <v>1</v>
      </c>
    </row>
    <row r="461" spans="1:16" ht="15" thickTop="1">
      <c r="A461" t="s">
        <v>2715</v>
      </c>
      <c r="B461" s="440" t="e">
        <f>ROUND(B459*B460, 0)</f>
        <v>#N/A</v>
      </c>
    </row>
    <row r="462" spans="1:16" ht="15" thickBot="1">
      <c r="A462" t="s">
        <v>860</v>
      </c>
      <c r="B462" s="70">
        <f>$K$74</f>
        <v>0</v>
      </c>
    </row>
    <row r="463" spans="1:16" ht="15" thickTop="1">
      <c r="A463" t="s">
        <v>2716</v>
      </c>
      <c r="B463" s="440" t="e">
        <f>ROUND(B461*B462, 0)</f>
        <v>#N/A</v>
      </c>
    </row>
    <row r="464" spans="1:16" ht="15" thickBot="1">
      <c r="A464" t="s">
        <v>2717</v>
      </c>
      <c r="B464" s="323">
        <f>IF($B$6, Application!$B$19, Application!$B$20)</f>
        <v>0.04</v>
      </c>
      <c r="C464" t="s">
        <v>2718</v>
      </c>
    </row>
    <row r="465" spans="1:11" ht="15" thickTop="1">
      <c r="A465" t="s">
        <v>2719</v>
      </c>
      <c r="B465" s="440" t="e">
        <f>ROUND(B463*B464, 0)</f>
        <v>#N/A</v>
      </c>
    </row>
    <row r="467" spans="1:11" ht="18">
      <c r="A467" s="249" t="s">
        <v>2720</v>
      </c>
    </row>
    <row r="468" spans="1:11">
      <c r="A468" t="s">
        <v>789</v>
      </c>
      <c r="B468" s="66">
        <f>C173</f>
        <v>0</v>
      </c>
    </row>
    <row r="469" spans="1:11" ht="15" thickBot="1">
      <c r="A469" t="s">
        <v>860</v>
      </c>
      <c r="B469" s="70">
        <f>$K$74</f>
        <v>0</v>
      </c>
    </row>
    <row r="470" spans="1:11" ht="15" thickTop="1">
      <c r="A470" t="s">
        <v>2716</v>
      </c>
      <c r="B470" s="440">
        <f>B468*B469</f>
        <v>0</v>
      </c>
    </row>
    <row r="471" spans="1:11" ht="15" thickBot="1">
      <c r="A471" t="s">
        <v>2717</v>
      </c>
      <c r="B471" s="323">
        <f>Application!$B$21</f>
        <v>0.04</v>
      </c>
      <c r="C471" t="s">
        <v>2721</v>
      </c>
    </row>
    <row r="472" spans="1:11" ht="15" thickTop="1">
      <c r="A472" t="s">
        <v>2722</v>
      </c>
      <c r="B472" s="440">
        <f>B470*B471</f>
        <v>0</v>
      </c>
    </row>
    <row r="474" spans="1:11">
      <c r="A474" s="1" t="s">
        <v>2723</v>
      </c>
      <c r="B474" s="199" t="e">
        <f>B465+B472</f>
        <v>#N/A</v>
      </c>
    </row>
    <row r="476" spans="1:11">
      <c r="A476" s="13" t="s">
        <v>2724</v>
      </c>
    </row>
    <row r="477" spans="1:11">
      <c r="A477" t="s">
        <v>864</v>
      </c>
      <c r="B477" s="66">
        <f>$B$292</f>
        <v>0</v>
      </c>
    </row>
    <row r="478" spans="1:11" ht="15" thickBot="1">
      <c r="A478" t="s">
        <v>933</v>
      </c>
      <c r="B478" s="66">
        <f>IF(Admin!B28&gt;0, Admin!B28, $B$145)</f>
        <v>0</v>
      </c>
      <c r="D478" s="409" t="s">
        <v>2725</v>
      </c>
      <c r="E478" s="409"/>
      <c r="F478" s="409"/>
      <c r="G478" s="409"/>
      <c r="H478" s="409"/>
      <c r="I478" s="409"/>
      <c r="J478" s="409"/>
      <c r="K478" s="409"/>
    </row>
    <row r="479" spans="1:11" ht="15" thickTop="1">
      <c r="A479" t="s">
        <v>2726</v>
      </c>
      <c r="B479" s="440">
        <f>B477-B478</f>
        <v>0</v>
      </c>
    </row>
    <row r="480" spans="1:11" ht="15" thickBot="1">
      <c r="A480" t="s">
        <v>868</v>
      </c>
      <c r="B480" s="211">
        <f>Application!$B$16</f>
        <v>0</v>
      </c>
    </row>
    <row r="481" spans="1:5" ht="15" thickTop="1">
      <c r="A481" s="1" t="s">
        <v>2719</v>
      </c>
      <c r="B481" s="198">
        <f>IFERROR(B479/(B480*10),0)</f>
        <v>0</v>
      </c>
    </row>
    <row r="483" spans="1:5">
      <c r="A483" s="13" t="s">
        <v>2727</v>
      </c>
    </row>
    <row r="484" spans="1:5">
      <c r="A484" t="s">
        <v>2728</v>
      </c>
      <c r="B484" t="e">
        <f>INDEX(Admin!$B$120:$B$183, Calculations!$B$15)</f>
        <v>#VALUE!</v>
      </c>
    </row>
    <row r="485" spans="1:5">
      <c r="A485" t="s">
        <v>2729</v>
      </c>
      <c r="B485">
        <f>IFERROR(INDEX(Zone_Factor_Table[Factor],MATCH(Calculations!B484,Zone_Factor_Table[Zone],0)),0)</f>
        <v>0</v>
      </c>
    </row>
    <row r="486" spans="1:5">
      <c r="A486" t="s">
        <v>2730</v>
      </c>
      <c r="B486">
        <f>IF(ISNA(MATCH(Application!$B$62, Building_Type_Table[Building Type])), 1, INDEX(Building_Type_Table[Basis Limit test Index], MATCH(Application!$B$62, Building_Type_Table[Building Type], 0)))</f>
        <v>1</v>
      </c>
    </row>
    <row r="488" spans="1:5">
      <c r="B488" t="s">
        <v>1200</v>
      </c>
      <c r="C488" t="s">
        <v>2731</v>
      </c>
      <c r="D488" t="s">
        <v>2732</v>
      </c>
      <c r="E488" t="s">
        <v>2715</v>
      </c>
    </row>
    <row r="489" spans="1:5">
      <c r="A489" t="s">
        <v>101</v>
      </c>
      <c r="B489">
        <f>$B$45</f>
        <v>0</v>
      </c>
      <c r="C489" s="66">
        <f>INDEX(Basis_Limit_Test_Table[[Elevator Base]:[Non-Elevator Base]], MATCH(Calculations!$A489, Basis_Limit_Test_Table[Bedrooms], 0), $B$486)</f>
        <v>92451</v>
      </c>
      <c r="D489" s="66">
        <f t="shared" ref="D489:D494" si="64">TRUNC(($B$485*C489),0)</f>
        <v>0</v>
      </c>
      <c r="E489" s="66">
        <f t="shared" ref="E489:E494" si="65">D489*B489</f>
        <v>0</v>
      </c>
    </row>
    <row r="490" spans="1:5">
      <c r="A490" t="s">
        <v>102</v>
      </c>
      <c r="B490">
        <f>$C$45</f>
        <v>0</v>
      </c>
      <c r="C490" s="66">
        <f>INDEX(Basis_Limit_Test_Table[[Elevator Base]:[Non-Elevator Base]], MATCH(Calculations!$A490, Basis_Limit_Test_Table[Bedrooms], 0), $B$486)</f>
        <v>105988</v>
      </c>
      <c r="D490" s="66">
        <f>TRUNC(($B$485*C490),0)</f>
        <v>0</v>
      </c>
      <c r="E490" s="66">
        <f>D490*B490</f>
        <v>0</v>
      </c>
    </row>
    <row r="491" spans="1:5">
      <c r="A491" t="s">
        <v>103</v>
      </c>
      <c r="B491">
        <f>$D$45</f>
        <v>0</v>
      </c>
      <c r="C491" s="66">
        <f>INDEX(Basis_Limit_Test_Table[[Elevator Base]:[Non-Elevator Base]], MATCH(Calculations!$A491, Basis_Limit_Test_Table[Bedrooms], 0), $B$486)</f>
        <v>128872</v>
      </c>
      <c r="D491" s="66">
        <f t="shared" si="64"/>
        <v>0</v>
      </c>
      <c r="E491" s="66">
        <f t="shared" si="65"/>
        <v>0</v>
      </c>
    </row>
    <row r="492" spans="1:5">
      <c r="A492" t="s">
        <v>104</v>
      </c>
      <c r="B492">
        <f>$E$45</f>
        <v>0</v>
      </c>
      <c r="C492" s="66">
        <f>INDEX(Basis_Limit_Test_Table[[Elevator Base]:[Non-Elevator Base]], MATCH(Calculations!$A492, Basis_Limit_Test_Table[Bedrooms], 0), $B$486)</f>
        <v>166717</v>
      </c>
      <c r="D492" s="66">
        <f t="shared" si="64"/>
        <v>0</v>
      </c>
      <c r="E492" s="66">
        <f t="shared" si="65"/>
        <v>0</v>
      </c>
    </row>
    <row r="493" spans="1:5">
      <c r="A493" t="s">
        <v>105</v>
      </c>
      <c r="B493">
        <f>$F$45</f>
        <v>0</v>
      </c>
      <c r="C493" s="66">
        <f>INDEX(Basis_Limit_Test_Table[[Elevator Base]:[Non-Elevator Base]], MATCH(Calculations!$A493, Basis_Limit_Test_Table[Bedrooms], 0), $B$486)</f>
        <v>183008</v>
      </c>
      <c r="D493" s="66">
        <f t="shared" si="64"/>
        <v>0</v>
      </c>
      <c r="E493" s="66">
        <f t="shared" si="65"/>
        <v>0</v>
      </c>
    </row>
    <row r="494" spans="1:5" ht="15" thickBot="1">
      <c r="A494" t="s">
        <v>106</v>
      </c>
      <c r="B494">
        <f>$G$45</f>
        <v>0</v>
      </c>
      <c r="C494" s="66">
        <f>INDEX(Basis_Limit_Test_Table[[Elevator Base]:[Non-Elevator Base]], MATCH(Calculations!$A494, Basis_Limit_Test_Table[Bedrooms], 0), $B$486)</f>
        <v>199354</v>
      </c>
      <c r="D494" s="66">
        <f t="shared" si="64"/>
        <v>0</v>
      </c>
      <c r="E494" s="66">
        <f t="shared" si="65"/>
        <v>0</v>
      </c>
    </row>
    <row r="495" spans="1:5" ht="15" thickTop="1">
      <c r="E495" s="198">
        <f>SUM(E489:E494)</f>
        <v>0</v>
      </c>
    </row>
    <row r="496" spans="1:5">
      <c r="E496" s="199"/>
    </row>
    <row r="497" spans="1:6">
      <c r="A497" t="s">
        <v>2715</v>
      </c>
      <c r="B497" s="66">
        <f>IF(Admin!B30&gt;0, Admin!B30, E495)</f>
        <v>0</v>
      </c>
      <c r="E497" s="199"/>
    </row>
    <row r="498" spans="1:6">
      <c r="A498" t="s">
        <v>2714</v>
      </c>
      <c r="B498" s="12">
        <f>IF($B$453, Admin!$B$82, 1)</f>
        <v>1</v>
      </c>
      <c r="E498" s="199"/>
    </row>
    <row r="499" spans="1:6" ht="15" thickBot="1">
      <c r="A499" t="s">
        <v>860</v>
      </c>
      <c r="B499" s="137">
        <f>$K$74</f>
        <v>0</v>
      </c>
      <c r="E499" s="199"/>
    </row>
    <row r="500" spans="1:6" ht="15" thickTop="1">
      <c r="A500" t="s">
        <v>2733</v>
      </c>
      <c r="B500" s="440">
        <f>B497*B498*B499</f>
        <v>0</v>
      </c>
      <c r="D500" t="str">
        <f>IF(Admin!$B$30&gt;0,"cost basis override granted - federal credit","")</f>
        <v/>
      </c>
      <c r="E500" s="199"/>
    </row>
    <row r="501" spans="1:6" ht="15" thickBot="1">
      <c r="A501" t="s">
        <v>2717</v>
      </c>
      <c r="B501" s="323">
        <f>IF($B$6, Application!$B$19, Application!$B$20)</f>
        <v>0.04</v>
      </c>
      <c r="D501" t="str">
        <f>IF(Admin!$B$31&gt;0, "cost basis override granted - state credit", "")</f>
        <v/>
      </c>
      <c r="E501" s="199"/>
    </row>
    <row r="502" spans="1:6" ht="15" thickTop="1">
      <c r="A502" s="1" t="s">
        <v>2734</v>
      </c>
      <c r="B502" s="198">
        <f>B500*B501</f>
        <v>0</v>
      </c>
      <c r="D502" t="str">
        <f>IF(AND(Admin!$B$30&gt;0, Admin!$B$31&gt;0), "cost basis override granted", CONCATENATE(D500,D501))</f>
        <v/>
      </c>
      <c r="E502" s="199"/>
    </row>
    <row r="503" spans="1:6">
      <c r="E503" s="199"/>
    </row>
    <row r="504" spans="1:6">
      <c r="A504" t="s">
        <v>2735</v>
      </c>
      <c r="B504" s="66">
        <f>IF(Application!B74="Yes", "", Admin!B14)</f>
        <v>0</v>
      </c>
      <c r="E504" s="199"/>
    </row>
    <row r="506" spans="1:6">
      <c r="A506" s="253"/>
      <c r="B506" s="254"/>
      <c r="C506" s="253"/>
      <c r="D506" s="253"/>
      <c r="E506" s="253"/>
      <c r="F506" s="253"/>
    </row>
    <row r="507" spans="1:6">
      <c r="A507" t="s">
        <v>2736</v>
      </c>
      <c r="B507" s="66" t="e">
        <f>MIN(B474, B481, B502, B504)</f>
        <v>#N/A</v>
      </c>
    </row>
    <row r="508" spans="1:6" ht="15" thickBot="1">
      <c r="A508" t="s">
        <v>2737</v>
      </c>
      <c r="B508" s="66">
        <f>B669</f>
        <v>0</v>
      </c>
    </row>
    <row r="509" spans="1:6" ht="15" thickTop="1">
      <c r="B509" s="440" t="e">
        <f>SUM(B507:B508)</f>
        <v>#N/A</v>
      </c>
    </row>
    <row r="511" spans="1:6">
      <c r="A511" s="1" t="s">
        <v>877</v>
      </c>
      <c r="B511" s="199" t="e">
        <f>IF(AND($B$6, B509 &gt; Admin!$B$14), Admin!$B$14, B509)</f>
        <v>#N/A</v>
      </c>
      <c r="C511" t="s">
        <v>2738</v>
      </c>
    </row>
    <row r="513" spans="1:16">
      <c r="E513" s="199"/>
    </row>
    <row r="514" spans="1:16">
      <c r="A514" s="194" t="s">
        <v>2739</v>
      </c>
      <c r="B514" s="99"/>
      <c r="C514" s="99"/>
      <c r="D514" s="99"/>
      <c r="E514" s="99"/>
      <c r="F514" s="99"/>
      <c r="G514" s="99"/>
      <c r="H514" s="99"/>
      <c r="I514" s="99"/>
      <c r="J514" s="99"/>
      <c r="K514" s="99"/>
      <c r="L514" s="99"/>
      <c r="M514" s="99"/>
      <c r="N514" s="99"/>
      <c r="O514" s="99"/>
      <c r="P514" s="99"/>
    </row>
    <row r="515" spans="1:16">
      <c r="E515" s="199"/>
    </row>
    <row r="516" spans="1:16">
      <c r="A516" t="s">
        <v>2710</v>
      </c>
      <c r="B516" t="b">
        <f>$B$21</f>
        <v>0</v>
      </c>
      <c r="E516" s="199"/>
    </row>
    <row r="517" spans="1:16">
      <c r="C517" s="22" t="s">
        <v>2705</v>
      </c>
      <c r="F517" s="13" t="s">
        <v>4048</v>
      </c>
      <c r="G517" s="653" t="s">
        <v>4046</v>
      </c>
      <c r="H517" s="653" t="s">
        <v>4047</v>
      </c>
    </row>
    <row r="518" spans="1:16">
      <c r="A518" s="13" t="s">
        <v>2711</v>
      </c>
      <c r="E518" s="199"/>
      <c r="F518" t="s">
        <v>2740</v>
      </c>
      <c r="G518" s="1" t="b">
        <f>IF(ISNA(MATCH(Application!$B$10,Tax_Credit_Type_Table[Type Of Tax Credit],0)), FALSE,INDEX(Tax_Credit_Type_Table[Use Alternate Credit Calculation], MATCH(Application!$B$10,Tax_Credit_Type_Table[Type Of Tax Credit],0), 1))</f>
        <v>0</v>
      </c>
      <c r="H518" t="b">
        <f>$B$12</f>
        <v>0</v>
      </c>
    </row>
    <row r="519" spans="1:16">
      <c r="A519" t="s">
        <v>857</v>
      </c>
      <c r="B519" s="66" t="e">
        <f>$B$448</f>
        <v>#N/A</v>
      </c>
      <c r="C519" s="66" t="str">
        <f>IF(AND(Admin!$B$18, $B$10),B519,"")</f>
        <v/>
      </c>
      <c r="E519" s="199"/>
      <c r="F519" t="s">
        <v>887</v>
      </c>
      <c r="G519" s="149">
        <f>H41+H43</f>
        <v>0</v>
      </c>
      <c r="H519" s="149">
        <f>H41+H43</f>
        <v>0</v>
      </c>
    </row>
    <row r="520" spans="1:16" ht="15" thickBot="1">
      <c r="A520" t="s">
        <v>2714</v>
      </c>
      <c r="B520" s="12">
        <f>IF($B$516, Admin!$B$82, 1)</f>
        <v>1</v>
      </c>
      <c r="C520" s="12" t="str">
        <f>IF(AND(Admin!$B$18, $B$10),B520,"")</f>
        <v/>
      </c>
      <c r="E520" s="199"/>
      <c r="F520" t="s">
        <v>2741</v>
      </c>
      <c r="G520" s="149" t="str">
        <f>IF(AND(Admin!B26&gt;0, G518),Admin!B26,"0")</f>
        <v>0</v>
      </c>
      <c r="H520" s="149" t="str">
        <f>IF(AND(Admin!B34&gt;0, H518),Admin!B34,"0")</f>
        <v>0</v>
      </c>
    </row>
    <row r="521" spans="1:16" ht="15" thickTop="1">
      <c r="A521" t="s">
        <v>2715</v>
      </c>
      <c r="B521" s="440" t="e">
        <f>ROUND(B519*B520, 0)</f>
        <v>#N/A</v>
      </c>
      <c r="C521" s="440" t="str">
        <f>IF(AND(Admin!$B$18, $B$10),B521,"")</f>
        <v/>
      </c>
      <c r="E521" s="199"/>
      <c r="F521" s="1" t="s">
        <v>2719</v>
      </c>
      <c r="G521" s="198" t="str">
        <f>IF(AND(Admin!B26&gt;0, G518),G520*G519,"")</f>
        <v/>
      </c>
      <c r="H521" s="198" t="str">
        <f>IF(AND(Admin!B26&gt;0, H518),H520*H519,"")</f>
        <v/>
      </c>
    </row>
    <row r="522" spans="1:16" ht="15" thickBot="1">
      <c r="A522" t="s">
        <v>860</v>
      </c>
      <c r="B522" s="137">
        <f>$K$74</f>
        <v>0</v>
      </c>
      <c r="C522" s="137" t="str">
        <f>IF(AND(Admin!$B$18, $B$10),B522,"")</f>
        <v/>
      </c>
      <c r="E522" s="199"/>
      <c r="F522" t="s">
        <v>2742</v>
      </c>
      <c r="G522" s="149" t="str">
        <f>IF(AND(Admin!B26&gt;0, G518), Admin!B27, "")</f>
        <v/>
      </c>
      <c r="H522" s="149" t="str">
        <f>IF(AND(Admin!B34&gt;0, H518), Admin!B35, "")</f>
        <v/>
      </c>
    </row>
    <row r="523" spans="1:16" ht="15" thickTop="1">
      <c r="A523" t="s">
        <v>2716</v>
      </c>
      <c r="B523" s="440" t="e">
        <f>B521*B522</f>
        <v>#N/A</v>
      </c>
      <c r="C523" s="440" t="str">
        <f>IF(AND(Admin!$B$18, $B$10),B523,"")</f>
        <v/>
      </c>
      <c r="E523" s="199"/>
      <c r="F523" s="1" t="s">
        <v>2743</v>
      </c>
      <c r="G523" s="198">
        <f>MIN(G521,G522)</f>
        <v>0</v>
      </c>
      <c r="H523" s="198">
        <f>MIN(H521,H522)</f>
        <v>0</v>
      </c>
    </row>
    <row r="524" spans="1:16" ht="15" thickBot="1">
      <c r="A524" t="s">
        <v>2717</v>
      </c>
      <c r="B524" s="137">
        <f>IF(G530&lt;&gt;"", G530, 0.3)</f>
        <v>0.3</v>
      </c>
      <c r="C524" s="137" t="str">
        <f>IF(AND(Admin!$B$18, $B$10),B524,"")</f>
        <v/>
      </c>
      <c r="E524" s="199"/>
    </row>
    <row r="525" spans="1:16" ht="15" thickTop="1">
      <c r="A525" t="s">
        <v>2719</v>
      </c>
      <c r="B525" s="440" t="e">
        <f>ROUND(B523*B524, 0)</f>
        <v>#N/A</v>
      </c>
      <c r="C525" s="440" t="str">
        <f>IF(AND(Admin!$B$18, $B$10),B525,"")</f>
        <v/>
      </c>
      <c r="E525" s="199"/>
    </row>
    <row r="526" spans="1:16">
      <c r="B526" s="66"/>
      <c r="C526" s="66"/>
      <c r="E526" s="199"/>
      <c r="F526" s="651" t="s">
        <v>2744</v>
      </c>
    </row>
    <row r="527" spans="1:16">
      <c r="A527" t="s">
        <v>2745</v>
      </c>
      <c r="B527" s="199" t="e">
        <f>B525/6</f>
        <v>#N/A</v>
      </c>
      <c r="C527" s="199" t="str">
        <f>IF(AND(Admin!$B$18, $B$10),B527,"")</f>
        <v/>
      </c>
      <c r="E527" s="199"/>
      <c r="F527" s="608" t="s">
        <v>2746</v>
      </c>
      <c r="G527" s="66">
        <f>Admin!B21</f>
        <v>0</v>
      </c>
      <c r="H527" s="66"/>
    </row>
    <row r="528" spans="1:16">
      <c r="E528" s="199"/>
      <c r="F528" s="608" t="s">
        <v>2719</v>
      </c>
      <c r="G528" s="66">
        <f>G527*6</f>
        <v>0</v>
      </c>
      <c r="H528" s="66"/>
    </row>
    <row r="529" spans="1:8">
      <c r="A529" s="13" t="s">
        <v>2747</v>
      </c>
      <c r="B529" s="121" t="s">
        <v>4089</v>
      </c>
      <c r="C529" s="1" t="b">
        <f>AND($B$10, Admin!B22="")</f>
        <v>0</v>
      </c>
      <c r="E529" s="199"/>
      <c r="F529" s="608" t="s">
        <v>2716</v>
      </c>
      <c r="G529" s="66" t="e">
        <f>B523</f>
        <v>#N/A</v>
      </c>
      <c r="H529" s="66"/>
    </row>
    <row r="530" spans="1:8">
      <c r="A530" t="s">
        <v>864</v>
      </c>
      <c r="B530" s="66">
        <f>$B$292</f>
        <v>0</v>
      </c>
      <c r="C530" s="66" t="str">
        <f>IF(AND(Admin!$B$19, $C$529),B530,"")</f>
        <v/>
      </c>
      <c r="E530" s="199"/>
      <c r="F530" s="608" t="s">
        <v>2748</v>
      </c>
      <c r="G530" t="str">
        <f>IF(Admin!B21&gt;0, G528/G529, "")</f>
        <v/>
      </c>
    </row>
    <row r="531" spans="1:8">
      <c r="A531" t="s">
        <v>933</v>
      </c>
      <c r="B531" s="66">
        <f>IF(Admin!B29&gt;0, Admin!B29, $B$145)</f>
        <v>0</v>
      </c>
      <c r="C531" s="66" t="str">
        <f>IF(AND(Admin!$B$19, $C$529),B531,"")</f>
        <v/>
      </c>
    </row>
    <row r="532" spans="1:8" ht="15" thickBot="1">
      <c r="A532" t="s">
        <v>930</v>
      </c>
      <c r="B532" s="66" t="e">
        <f>B619</f>
        <v>#N/A</v>
      </c>
      <c r="C532" s="66" t="str">
        <f>IF(AND(Admin!$B$19, $C$529),B532,"")</f>
        <v/>
      </c>
    </row>
    <row r="533" spans="1:8" ht="15" thickTop="1">
      <c r="A533" t="s">
        <v>2726</v>
      </c>
      <c r="B533" s="440" t="e">
        <f>B530-(B531 + B532)</f>
        <v>#N/A</v>
      </c>
      <c r="C533" s="440" t="str">
        <f>IF(AND(Admin!$B$19, $C$529),B533,"")</f>
        <v/>
      </c>
    </row>
    <row r="534" spans="1:8" ht="15" thickBot="1">
      <c r="A534" t="s">
        <v>868</v>
      </c>
      <c r="B534" s="211">
        <f>Application!$B$17</f>
        <v>0</v>
      </c>
      <c r="C534" s="211" t="str">
        <f>IF(AND(Admin!$B$19, $C$529),B534,"")</f>
        <v/>
      </c>
    </row>
    <row r="535" spans="1:8" ht="15" thickTop="1">
      <c r="A535" s="1" t="s">
        <v>2719</v>
      </c>
      <c r="B535" s="198" t="e">
        <f>B533/(B534*6)</f>
        <v>#N/A</v>
      </c>
      <c r="C535" s="198" t="str">
        <f>IF(AND(Admin!$B$19, $B$10), IF(Admin!B22="", B535, Admin!B22),"")</f>
        <v/>
      </c>
    </row>
    <row r="537" spans="1:8">
      <c r="A537" s="13" t="s">
        <v>2749</v>
      </c>
    </row>
    <row r="538" spans="1:8">
      <c r="A538" t="s">
        <v>2728</v>
      </c>
      <c r="B538" t="e">
        <f>INDEX(Admin!$B$120:$B$183, Calculations!$B$15)</f>
        <v>#VALUE!</v>
      </c>
      <c r="C538" t="str">
        <f>IF(AND(Admin!$B$20, $B$10),B538,"")</f>
        <v/>
      </c>
    </row>
    <row r="539" spans="1:8">
      <c r="A539" t="s">
        <v>2729</v>
      </c>
      <c r="B539" t="e">
        <f>INDEX(Zone_Factor_Table[Factor],MATCH(Calculations!B538,Zone_Factor_Table[Zone],0))</f>
        <v>#VALUE!</v>
      </c>
      <c r="C539" t="str">
        <f>IF(AND(Admin!$B$20, $B$10),B539,"")</f>
        <v/>
      </c>
    </row>
    <row r="540" spans="1:8">
      <c r="A540" t="s">
        <v>2730</v>
      </c>
      <c r="B540">
        <f>IF(ISNA(MATCH(Application!$B$62, Building_Type_Table[Building Type])), 1, INDEX(Building_Type_Table[Basis Limit test Index], MATCH(Application!$B$62, Building_Type_Table[Building Type], 0)))</f>
        <v>1</v>
      </c>
      <c r="C540" t="str">
        <f>IF(AND(Admin!$B$20, $B$10),B540,"")</f>
        <v/>
      </c>
    </row>
    <row r="542" spans="1:8">
      <c r="B542" t="s">
        <v>1200</v>
      </c>
      <c r="C542" t="s">
        <v>2731</v>
      </c>
      <c r="D542" t="s">
        <v>2732</v>
      </c>
      <c r="E542" t="s">
        <v>2715</v>
      </c>
      <c r="F542" s="22" t="s">
        <v>2705</v>
      </c>
    </row>
    <row r="543" spans="1:8">
      <c r="A543" t="s">
        <v>101</v>
      </c>
      <c r="B543">
        <f>$B$45</f>
        <v>0</v>
      </c>
      <c r="C543" s="66">
        <f>INDEX(Basis_Limit_Test_Table[[Elevator Base]:[Non-Elevator Base]], MATCH(Calculations!$A543, Basis_Limit_Test_Table[Bedrooms], 0), $B$486)</f>
        <v>92451</v>
      </c>
      <c r="D543" s="66">
        <f t="shared" ref="D543:D548" si="66">TRUNC(($B$485*C543),0)</f>
        <v>0</v>
      </c>
      <c r="E543" s="66">
        <f t="shared" ref="E543:E548" si="67">D543*B543</f>
        <v>0</v>
      </c>
      <c r="F543" s="65" t="str">
        <f>IF(AND(Admin!$B$20, $B$10),E543,"")</f>
        <v/>
      </c>
    </row>
    <row r="544" spans="1:8">
      <c r="A544" t="s">
        <v>102</v>
      </c>
      <c r="B544">
        <f>$C$45</f>
        <v>0</v>
      </c>
      <c r="C544" s="66">
        <f>INDEX(Basis_Limit_Test_Table[[Elevator Base]:[Non-Elevator Base]], MATCH(Calculations!$A544, Basis_Limit_Test_Table[Bedrooms], 0), $B$486)</f>
        <v>105988</v>
      </c>
      <c r="D544" s="66">
        <f t="shared" si="66"/>
        <v>0</v>
      </c>
      <c r="E544" s="66">
        <f t="shared" si="67"/>
        <v>0</v>
      </c>
      <c r="F544" s="65" t="str">
        <f>IF(AND(Admin!$B$20, $B$10),E544,"")</f>
        <v/>
      </c>
    </row>
    <row r="545" spans="1:6">
      <c r="A545" t="s">
        <v>103</v>
      </c>
      <c r="B545">
        <f>$D$45</f>
        <v>0</v>
      </c>
      <c r="C545" s="66">
        <f>INDEX(Basis_Limit_Test_Table[[Elevator Base]:[Non-Elevator Base]], MATCH(Calculations!$A545, Basis_Limit_Test_Table[Bedrooms], 0), $B$486)</f>
        <v>128872</v>
      </c>
      <c r="D545" s="66">
        <f t="shared" si="66"/>
        <v>0</v>
      </c>
      <c r="E545" s="66">
        <f t="shared" si="67"/>
        <v>0</v>
      </c>
      <c r="F545" s="65" t="str">
        <f>IF(AND(Admin!$B$20, $B$10),E545,"")</f>
        <v/>
      </c>
    </row>
    <row r="546" spans="1:6">
      <c r="A546" t="s">
        <v>104</v>
      </c>
      <c r="B546">
        <f>$E$45</f>
        <v>0</v>
      </c>
      <c r="C546" s="66">
        <f>INDEX(Basis_Limit_Test_Table[[Elevator Base]:[Non-Elevator Base]], MATCH(Calculations!$A546, Basis_Limit_Test_Table[Bedrooms], 0), $B$486)</f>
        <v>166717</v>
      </c>
      <c r="D546" s="66">
        <f t="shared" si="66"/>
        <v>0</v>
      </c>
      <c r="E546" s="66">
        <f t="shared" si="67"/>
        <v>0</v>
      </c>
      <c r="F546" s="65" t="str">
        <f>IF(AND(Admin!$B$20, $B$10),E546,"")</f>
        <v/>
      </c>
    </row>
    <row r="547" spans="1:6">
      <c r="A547" t="s">
        <v>105</v>
      </c>
      <c r="B547">
        <f>$F$45</f>
        <v>0</v>
      </c>
      <c r="C547" s="66">
        <f>INDEX(Basis_Limit_Test_Table[[Elevator Base]:[Non-Elevator Base]], MATCH(Calculations!$A547, Basis_Limit_Test_Table[Bedrooms], 0), $B$486)</f>
        <v>183008</v>
      </c>
      <c r="D547" s="66">
        <f t="shared" si="66"/>
        <v>0</v>
      </c>
      <c r="E547" s="66">
        <f t="shared" si="67"/>
        <v>0</v>
      </c>
      <c r="F547" s="65" t="str">
        <f>IF(AND(Admin!$B$20, $B$10),E547,"")</f>
        <v/>
      </c>
    </row>
    <row r="548" spans="1:6" ht="15" thickBot="1">
      <c r="A548" t="s">
        <v>106</v>
      </c>
      <c r="B548">
        <f>$G$45</f>
        <v>0</v>
      </c>
      <c r="C548" s="66">
        <f>INDEX(Basis_Limit_Test_Table[[Elevator Base]:[Non-Elevator Base]], MATCH(Calculations!$A548, Basis_Limit_Test_Table[Bedrooms], 0), $B$486)</f>
        <v>199354</v>
      </c>
      <c r="D548" s="66">
        <f t="shared" si="66"/>
        <v>0</v>
      </c>
      <c r="E548" s="66">
        <f t="shared" si="67"/>
        <v>0</v>
      </c>
      <c r="F548" s="65" t="str">
        <f>IF(AND(Admin!$B$20, $B$10),E548,"")</f>
        <v/>
      </c>
    </row>
    <row r="549" spans="1:6" ht="15" thickTop="1">
      <c r="E549" s="198">
        <f>SUM(E543:E548)</f>
        <v>0</v>
      </c>
      <c r="F549" s="198" t="str">
        <f>IF(AND(Admin!$B$20, $B$10),E549,"")</f>
        <v/>
      </c>
    </row>
    <row r="550" spans="1:6">
      <c r="E550" s="199"/>
    </row>
    <row r="551" spans="1:6">
      <c r="A551" t="s">
        <v>2715</v>
      </c>
      <c r="B551">
        <f>IF(Admin!B31&gt;0, Admin!B31, E495)</f>
        <v>0</v>
      </c>
      <c r="C551" s="66" t="str">
        <f>IF(AND(Admin!$B$20, $B$10),B551,"")</f>
        <v/>
      </c>
      <c r="E551" s="199"/>
    </row>
    <row r="552" spans="1:6">
      <c r="A552" t="s">
        <v>2750</v>
      </c>
      <c r="B552" s="12">
        <f>IF($B$453, Admin!$B$82, 1)</f>
        <v>1</v>
      </c>
      <c r="C552" s="66" t="str">
        <f>IF(AND(Admin!$B$20, $B$10),B552,"")</f>
        <v/>
      </c>
      <c r="E552" s="199"/>
    </row>
    <row r="553" spans="1:6" ht="15" thickBot="1">
      <c r="A553" t="s">
        <v>860</v>
      </c>
      <c r="B553" s="70">
        <f>$K$74</f>
        <v>0</v>
      </c>
      <c r="C553" s="137" t="str">
        <f>IF(AND(Admin!$B$20, $B$10),B553,"")</f>
        <v/>
      </c>
      <c r="E553" s="199"/>
    </row>
    <row r="554" spans="1:6" ht="15" thickTop="1">
      <c r="A554" t="s">
        <v>2733</v>
      </c>
      <c r="B554" s="440">
        <f>B551*B552*B553</f>
        <v>0</v>
      </c>
      <c r="C554" s="440" t="str">
        <f>IF(AND(Admin!$B$20, $B$10),B554,"")</f>
        <v/>
      </c>
      <c r="E554" s="199"/>
    </row>
    <row r="555" spans="1:6" ht="15" thickBot="1">
      <c r="A555" t="s">
        <v>2717</v>
      </c>
      <c r="B555" s="137">
        <v>0.3</v>
      </c>
      <c r="C555" s="137" t="str">
        <f>IF(AND(Admin!$B$20, $B$10),B555,"")</f>
        <v/>
      </c>
      <c r="D555" s="316" t="str">
        <f>IF(Admin!B30&gt;0, "cost basis override granted", "")</f>
        <v/>
      </c>
      <c r="E555" s="199"/>
    </row>
    <row r="556" spans="1:6" ht="15" thickTop="1">
      <c r="A556" s="1" t="s">
        <v>2734</v>
      </c>
      <c r="B556" s="198">
        <f>B554*B555/6</f>
        <v>0</v>
      </c>
      <c r="C556" s="198" t="str">
        <f>IF(AND(Admin!$B$20, $B$10),B556,"")</f>
        <v/>
      </c>
      <c r="E556" s="199"/>
    </row>
    <row r="558" spans="1:6">
      <c r="A558" t="s">
        <v>2735</v>
      </c>
      <c r="B558" s="66">
        <f>Admin!B15</f>
        <v>0</v>
      </c>
      <c r="C558" s="66" t="str">
        <f>IF(AND(Admin!$B$20, $B$10),B558,"")</f>
        <v/>
      </c>
    </row>
    <row r="560" spans="1:6">
      <c r="A560" s="253"/>
      <c r="B560" s="254"/>
      <c r="C560" s="253"/>
      <c r="D560" s="253"/>
      <c r="E560" s="253"/>
      <c r="F560" s="253"/>
    </row>
    <row r="561" spans="1:11">
      <c r="A561" s="1" t="s">
        <v>2751</v>
      </c>
      <c r="B561" s="199">
        <f>IF(B10,IF(G523&gt;0, G523,  MIN(C527, C535, C556, C558)), 0)</f>
        <v>0</v>
      </c>
      <c r="D561" s="309" t="s">
        <v>2752</v>
      </c>
      <c r="E561" s="309"/>
      <c r="F561" s="309"/>
      <c r="G561" s="309"/>
      <c r="H561" s="309"/>
      <c r="I561" s="309"/>
      <c r="J561" s="309"/>
      <c r="K561" s="309"/>
    </row>
    <row r="562" spans="1:11">
      <c r="A562" t="s">
        <v>2753</v>
      </c>
      <c r="B562" s="204" t="e">
        <f>(B561*6)/B523</f>
        <v>#N/A</v>
      </c>
      <c r="D562" t="e">
        <f>B562 &lt;= 0.31</f>
        <v>#N/A</v>
      </c>
      <c r="E562" t="e">
        <f>INDEX(Comments_State_TC_Test_table[],MATCH(D562,Comments_State_TC_Test_table[State Tax Credit Test],0),2)</f>
        <v>#N/A</v>
      </c>
    </row>
    <row r="563" spans="1:11">
      <c r="A563" s="194" t="s">
        <v>4049</v>
      </c>
      <c r="B563" s="99"/>
      <c r="C563" s="99"/>
      <c r="D563" s="99"/>
      <c r="E563" s="99"/>
      <c r="F563" s="99"/>
      <c r="G563" s="99"/>
      <c r="H563" s="99"/>
      <c r="I563" s="99"/>
      <c r="J563" s="99"/>
    </row>
    <row r="564" spans="1:11">
      <c r="E564" s="199"/>
    </row>
    <row r="565" spans="1:11">
      <c r="A565" t="s">
        <v>4085</v>
      </c>
      <c r="B565" t="b">
        <f>$B$12</f>
        <v>0</v>
      </c>
      <c r="E565" s="199"/>
    </row>
    <row r="566" spans="1:11">
      <c r="A566" t="s">
        <v>2710</v>
      </c>
      <c r="B566" t="b">
        <f>$B$21</f>
        <v>0</v>
      </c>
      <c r="E566" s="199"/>
    </row>
    <row r="567" spans="1:11">
      <c r="C567" s="22" t="s">
        <v>4050</v>
      </c>
      <c r="F567" s="13"/>
      <c r="G567" s="653"/>
      <c r="H567" s="653"/>
    </row>
    <row r="568" spans="1:11">
      <c r="A568" s="13" t="s">
        <v>2711</v>
      </c>
      <c r="E568" s="199"/>
      <c r="G568" s="1"/>
    </row>
    <row r="569" spans="1:11">
      <c r="A569" t="s">
        <v>857</v>
      </c>
      <c r="B569" s="66" t="e">
        <f>$B$448</f>
        <v>#N/A</v>
      </c>
      <c r="C569" s="66" t="str">
        <f t="shared" ref="C569:C575" si="68">IF(AND($B$565, $B$10),B569,"")</f>
        <v/>
      </c>
      <c r="E569" s="199"/>
      <c r="G569" s="149"/>
      <c r="H569" s="149"/>
    </row>
    <row r="570" spans="1:11" ht="15" thickBot="1">
      <c r="A570" t="s">
        <v>2714</v>
      </c>
      <c r="B570" s="12">
        <f>IF($B$516, Admin!$B$82, 1)</f>
        <v>1</v>
      </c>
      <c r="C570" s="12" t="str">
        <f t="shared" si="68"/>
        <v/>
      </c>
      <c r="E570" s="199"/>
      <c r="G570" s="149"/>
      <c r="H570" s="149"/>
    </row>
    <row r="571" spans="1:11" ht="15" thickTop="1">
      <c r="A571" t="s">
        <v>2715</v>
      </c>
      <c r="B571" s="440" t="e">
        <f>ROUND(B569*B570, 0)</f>
        <v>#N/A</v>
      </c>
      <c r="C571" s="440" t="str">
        <f t="shared" si="68"/>
        <v/>
      </c>
      <c r="E571" s="199"/>
      <c r="F571" s="1"/>
      <c r="G571" s="198"/>
      <c r="H571" s="198"/>
    </row>
    <row r="572" spans="1:11" ht="15" thickBot="1">
      <c r="A572" t="s">
        <v>860</v>
      </c>
      <c r="B572" s="137">
        <f>$K$74</f>
        <v>0</v>
      </c>
      <c r="C572" s="137" t="str">
        <f t="shared" si="68"/>
        <v/>
      </c>
      <c r="E572" s="199"/>
      <c r="G572" s="149"/>
      <c r="H572" s="149"/>
    </row>
    <row r="573" spans="1:11" ht="15" thickTop="1">
      <c r="A573" t="s">
        <v>2716</v>
      </c>
      <c r="B573" s="440" t="e">
        <f>B571*B572</f>
        <v>#N/A</v>
      </c>
      <c r="C573" s="440" t="str">
        <f t="shared" si="68"/>
        <v/>
      </c>
      <c r="E573" s="199"/>
      <c r="F573" s="1"/>
      <c r="G573" s="198"/>
      <c r="H573" s="198"/>
    </row>
    <row r="574" spans="1:11" ht="15" thickBot="1">
      <c r="A574" t="s">
        <v>2717</v>
      </c>
      <c r="B574" s="137">
        <v>0.3</v>
      </c>
      <c r="C574" s="137" t="str">
        <f t="shared" si="68"/>
        <v/>
      </c>
      <c r="E574" s="199"/>
    </row>
    <row r="575" spans="1:11" ht="15" thickTop="1">
      <c r="A575" t="s">
        <v>2719</v>
      </c>
      <c r="B575" s="440" t="e">
        <f>ROUND(B573*B574, 0)</f>
        <v>#N/A</v>
      </c>
      <c r="C575" s="440" t="str">
        <f t="shared" si="68"/>
        <v/>
      </c>
      <c r="E575" s="199"/>
    </row>
    <row r="576" spans="1:11">
      <c r="B576" s="66"/>
      <c r="C576" s="66"/>
      <c r="E576" s="199"/>
      <c r="F576" s="651"/>
    </row>
    <row r="577" spans="1:8">
      <c r="A577" t="s">
        <v>2745</v>
      </c>
      <c r="B577" s="199" t="e">
        <f>B575/5</f>
        <v>#N/A</v>
      </c>
      <c r="C577" s="199" t="str">
        <f>IF(AND($B$565, $B$10),B577,"")</f>
        <v/>
      </c>
      <c r="E577" s="199"/>
      <c r="F577" s="608"/>
      <c r="G577" s="66"/>
      <c r="H577" s="66"/>
    </row>
    <row r="578" spans="1:8">
      <c r="E578" s="199"/>
      <c r="F578" s="608"/>
      <c r="G578" s="66"/>
      <c r="H578" s="66"/>
    </row>
    <row r="579" spans="1:8">
      <c r="A579" s="13" t="s">
        <v>2747</v>
      </c>
      <c r="B579" s="121" t="s">
        <v>4089</v>
      </c>
      <c r="C579" s="1" t="b">
        <f>AND($B$10, $B$12, Admin!B23="")</f>
        <v>0</v>
      </c>
      <c r="E579" s="199"/>
      <c r="F579" s="608"/>
      <c r="G579" s="66"/>
      <c r="H579" s="66"/>
    </row>
    <row r="580" spans="1:8">
      <c r="A580" t="s">
        <v>864</v>
      </c>
      <c r="B580" s="66">
        <f>$B$292</f>
        <v>0</v>
      </c>
      <c r="C580" s="66" t="str">
        <f>IF(AND($B$565, $C$579), B580,"")</f>
        <v/>
      </c>
      <c r="E580" s="199"/>
      <c r="F580" s="608"/>
    </row>
    <row r="581" spans="1:8">
      <c r="A581" t="s">
        <v>933</v>
      </c>
      <c r="B581" s="66">
        <f>IF(Admin!B29&gt;0, Admin!B29, $B$145)</f>
        <v>0</v>
      </c>
      <c r="C581" s="66" t="str">
        <f>IF(AND($B$565, $C$579),B581,"")</f>
        <v/>
      </c>
    </row>
    <row r="582" spans="1:8" ht="15" thickBot="1">
      <c r="A582" t="s">
        <v>930</v>
      </c>
      <c r="B582" s="66" t="e">
        <f>B619</f>
        <v>#N/A</v>
      </c>
      <c r="C582" s="66" t="str">
        <f>IF(AND($B$565, $C$579),B582,"")</f>
        <v/>
      </c>
    </row>
    <row r="583" spans="1:8" ht="15" thickTop="1">
      <c r="A583" t="s">
        <v>2726</v>
      </c>
      <c r="B583" s="440" t="e">
        <f>B580-(B581 + B582)</f>
        <v>#N/A</v>
      </c>
      <c r="C583" s="440" t="str">
        <f>IF(AND($B$565, $C$579),B583,"")</f>
        <v/>
      </c>
    </row>
    <row r="584" spans="1:8" ht="15" thickBot="1">
      <c r="A584" t="s">
        <v>868</v>
      </c>
      <c r="B584" s="211">
        <f>Application!$B$18</f>
        <v>0</v>
      </c>
      <c r="C584" s="211" t="str">
        <f>IF(AND($B$565, $C$579),B584,"")</f>
        <v/>
      </c>
    </row>
    <row r="585" spans="1:8" ht="15" thickTop="1">
      <c r="A585" s="1" t="s">
        <v>2719</v>
      </c>
      <c r="B585" s="198" t="e">
        <f>B583/(B584*6)</f>
        <v>#N/A</v>
      </c>
      <c r="C585" s="198" t="str">
        <f>IF(AND($B$565, $B$10), IF(Admin!B23="", B585, Admin!B23),"")</f>
        <v/>
      </c>
    </row>
    <row r="587" spans="1:8">
      <c r="A587" s="13" t="s">
        <v>2749</v>
      </c>
    </row>
    <row r="588" spans="1:8">
      <c r="A588" t="s">
        <v>2728</v>
      </c>
      <c r="B588" t="e">
        <f>INDEX(Admin!$B$120:$B$183, Calculations!$B$15)</f>
        <v>#VALUE!</v>
      </c>
      <c r="C588" t="str">
        <f>IF(AND($B$565, $B$10),B588,"")</f>
        <v/>
      </c>
    </row>
    <row r="589" spans="1:8">
      <c r="A589" t="s">
        <v>2729</v>
      </c>
      <c r="B589" t="e">
        <f>INDEX(Zone_Factor_Table[Factor],MATCH(Calculations!B588,Zone_Factor_Table[Zone],0))</f>
        <v>#VALUE!</v>
      </c>
      <c r="C589" t="str">
        <f>IF(AND($B$565, $B$10),B589,"")</f>
        <v/>
      </c>
    </row>
    <row r="590" spans="1:8">
      <c r="A590" t="s">
        <v>2730</v>
      </c>
      <c r="B590">
        <f>IF(ISNA(MATCH(Application!$B$62, Building_Type_Table[Building Type])), 1, INDEX(Building_Type_Table[Basis Limit test Index], MATCH(Application!$B$62, Building_Type_Table[Building Type], 0)))</f>
        <v>1</v>
      </c>
      <c r="C590" t="str">
        <f>IF(AND(Admin!$B$20, $B$10),B590,"")</f>
        <v/>
      </c>
    </row>
    <row r="592" spans="1:8">
      <c r="B592" t="s">
        <v>1200</v>
      </c>
      <c r="C592" t="s">
        <v>2731</v>
      </c>
      <c r="D592" t="s">
        <v>2732</v>
      </c>
      <c r="E592" t="s">
        <v>2715</v>
      </c>
      <c r="F592" s="22" t="s">
        <v>4050</v>
      </c>
    </row>
    <row r="593" spans="1:6">
      <c r="A593" t="s">
        <v>101</v>
      </c>
      <c r="B593">
        <f>$B$45</f>
        <v>0</v>
      </c>
      <c r="C593" s="66">
        <f>INDEX(Basis_Limit_Test_Table[[Elevator Base]:[Non-Elevator Base]], MATCH(Calculations!$A593, Basis_Limit_Test_Table[Bedrooms], 0), $B$486)</f>
        <v>92451</v>
      </c>
      <c r="D593" s="66">
        <f t="shared" ref="D593:D598" si="69">TRUNC(($B$485*C593),0)</f>
        <v>0</v>
      </c>
      <c r="E593" s="66">
        <f t="shared" ref="E593:E598" si="70">D593*B593</f>
        <v>0</v>
      </c>
      <c r="F593" s="65" t="str">
        <f t="shared" ref="F593:F599" si="71">IF(AND($B$12, $B$10),E593,"")</f>
        <v/>
      </c>
    </row>
    <row r="594" spans="1:6">
      <c r="A594" t="s">
        <v>102</v>
      </c>
      <c r="B594">
        <f>$C$45</f>
        <v>0</v>
      </c>
      <c r="C594" s="66">
        <f>INDEX(Basis_Limit_Test_Table[[Elevator Base]:[Non-Elevator Base]], MATCH(Calculations!$A594, Basis_Limit_Test_Table[Bedrooms], 0), $B$486)</f>
        <v>105988</v>
      </c>
      <c r="D594" s="66">
        <f t="shared" si="69"/>
        <v>0</v>
      </c>
      <c r="E594" s="66">
        <f t="shared" si="70"/>
        <v>0</v>
      </c>
      <c r="F594" s="65" t="str">
        <f t="shared" si="71"/>
        <v/>
      </c>
    </row>
    <row r="595" spans="1:6">
      <c r="A595" t="s">
        <v>103</v>
      </c>
      <c r="B595">
        <f>$D$45</f>
        <v>0</v>
      </c>
      <c r="C595" s="66">
        <f>INDEX(Basis_Limit_Test_Table[[Elevator Base]:[Non-Elevator Base]], MATCH(Calculations!$A595, Basis_Limit_Test_Table[Bedrooms], 0), $B$486)</f>
        <v>128872</v>
      </c>
      <c r="D595" s="66">
        <f t="shared" si="69"/>
        <v>0</v>
      </c>
      <c r="E595" s="66">
        <f t="shared" si="70"/>
        <v>0</v>
      </c>
      <c r="F595" s="65" t="str">
        <f t="shared" si="71"/>
        <v/>
      </c>
    </row>
    <row r="596" spans="1:6">
      <c r="A596" t="s">
        <v>104</v>
      </c>
      <c r="B596">
        <f>$E$45</f>
        <v>0</v>
      </c>
      <c r="C596" s="66">
        <f>INDEX(Basis_Limit_Test_Table[[Elevator Base]:[Non-Elevator Base]], MATCH(Calculations!$A596, Basis_Limit_Test_Table[Bedrooms], 0), $B$486)</f>
        <v>166717</v>
      </c>
      <c r="D596" s="66">
        <f t="shared" si="69"/>
        <v>0</v>
      </c>
      <c r="E596" s="66">
        <f t="shared" si="70"/>
        <v>0</v>
      </c>
      <c r="F596" s="65" t="str">
        <f t="shared" si="71"/>
        <v/>
      </c>
    </row>
    <row r="597" spans="1:6">
      <c r="A597" t="s">
        <v>105</v>
      </c>
      <c r="B597">
        <f>$F$45</f>
        <v>0</v>
      </c>
      <c r="C597" s="66">
        <f>INDEX(Basis_Limit_Test_Table[[Elevator Base]:[Non-Elevator Base]], MATCH(Calculations!$A597, Basis_Limit_Test_Table[Bedrooms], 0), $B$486)</f>
        <v>183008</v>
      </c>
      <c r="D597" s="66">
        <f t="shared" si="69"/>
        <v>0</v>
      </c>
      <c r="E597" s="66">
        <f t="shared" si="70"/>
        <v>0</v>
      </c>
      <c r="F597" s="65" t="str">
        <f t="shared" si="71"/>
        <v/>
      </c>
    </row>
    <row r="598" spans="1:6" ht="15" thickBot="1">
      <c r="A598" t="s">
        <v>106</v>
      </c>
      <c r="B598">
        <f>$G$45</f>
        <v>0</v>
      </c>
      <c r="C598" s="66">
        <f>INDEX(Basis_Limit_Test_Table[[Elevator Base]:[Non-Elevator Base]], MATCH(Calculations!$A598, Basis_Limit_Test_Table[Bedrooms], 0), $B$486)</f>
        <v>199354</v>
      </c>
      <c r="D598" s="66">
        <f t="shared" si="69"/>
        <v>0</v>
      </c>
      <c r="E598" s="66">
        <f t="shared" si="70"/>
        <v>0</v>
      </c>
      <c r="F598" s="65" t="str">
        <f t="shared" si="71"/>
        <v/>
      </c>
    </row>
    <row r="599" spans="1:6" ht="15" thickTop="1">
      <c r="E599" s="198">
        <f>SUM(E593:E598)</f>
        <v>0</v>
      </c>
      <c r="F599" s="198" t="str">
        <f t="shared" si="71"/>
        <v/>
      </c>
    </row>
    <row r="600" spans="1:6">
      <c r="E600" s="199"/>
    </row>
    <row r="601" spans="1:6">
      <c r="A601" t="s">
        <v>2715</v>
      </c>
      <c r="B601">
        <f>IF(Admin!B31&gt;0, Admin!B31, E495)</f>
        <v>0</v>
      </c>
      <c r="C601" s="66" t="str">
        <f t="shared" ref="C601:C606" si="72">IF(AND($B$565, $B$10),B601,"")</f>
        <v/>
      </c>
      <c r="E601" s="199"/>
    </row>
    <row r="602" spans="1:6">
      <c r="A602" t="s">
        <v>2750</v>
      </c>
      <c r="B602" s="12">
        <f>IF($B$453, Admin!$B$82, 1)</f>
        <v>1</v>
      </c>
      <c r="C602" s="66" t="str">
        <f t="shared" si="72"/>
        <v/>
      </c>
      <c r="E602" s="199"/>
    </row>
    <row r="603" spans="1:6" ht="15" thickBot="1">
      <c r="A603" t="s">
        <v>860</v>
      </c>
      <c r="B603" s="70">
        <f>$K$74</f>
        <v>0</v>
      </c>
      <c r="C603" s="137" t="str">
        <f t="shared" si="72"/>
        <v/>
      </c>
      <c r="E603" s="199"/>
    </row>
    <row r="604" spans="1:6" ht="15" thickTop="1">
      <c r="A604" t="s">
        <v>2733</v>
      </c>
      <c r="B604" s="440">
        <f>B601*B602*B603</f>
        <v>0</v>
      </c>
      <c r="C604" s="440" t="str">
        <f t="shared" si="72"/>
        <v/>
      </c>
      <c r="E604" s="199"/>
    </row>
    <row r="605" spans="1:6" ht="15" thickBot="1">
      <c r="A605" t="s">
        <v>2717</v>
      </c>
      <c r="B605" s="137">
        <v>0.3</v>
      </c>
      <c r="C605" s="137" t="str">
        <f t="shared" si="72"/>
        <v/>
      </c>
      <c r="D605" s="316" t="str">
        <f>IF(Admin!B83&gt;0, "cost basis override granted", "")</f>
        <v>cost basis override granted</v>
      </c>
      <c r="E605" s="199"/>
    </row>
    <row r="606" spans="1:6" ht="15" thickTop="1">
      <c r="A606" s="1" t="s">
        <v>2734</v>
      </c>
      <c r="B606" s="198">
        <f>B604*B605/5</f>
        <v>0</v>
      </c>
      <c r="C606" s="198" t="str">
        <f t="shared" si="72"/>
        <v/>
      </c>
      <c r="E606" s="199"/>
    </row>
    <row r="608" spans="1:6">
      <c r="A608" t="s">
        <v>2735</v>
      </c>
      <c r="B608" s="66">
        <f>Admin!B16</f>
        <v>300000</v>
      </c>
      <c r="C608" s="66" t="str">
        <f>IF(AND($B$565, $B$10),B608,"")</f>
        <v/>
      </c>
    </row>
    <row r="610" spans="1:16">
      <c r="A610" s="253"/>
      <c r="B610" s="254"/>
      <c r="C610" s="253"/>
      <c r="D610" s="253"/>
      <c r="E610" s="253"/>
      <c r="F610" s="253"/>
    </row>
    <row r="611" spans="1:16">
      <c r="A611" s="1" t="s">
        <v>4084</v>
      </c>
      <c r="B611" s="199">
        <f>IF(Application!B12 = "Yes",MIN(C577, C585, C606, C608, H523), 0)</f>
        <v>0</v>
      </c>
      <c r="D611" s="309" t="s">
        <v>2752</v>
      </c>
      <c r="E611" s="309"/>
      <c r="F611" s="309"/>
      <c r="G611" s="309"/>
      <c r="H611" s="309"/>
      <c r="I611" s="309"/>
      <c r="J611" s="309"/>
    </row>
    <row r="612" spans="1:16">
      <c r="A612" t="s">
        <v>2753</v>
      </c>
      <c r="B612" s="204" t="e">
        <f>(B611*6)/B573</f>
        <v>#N/A</v>
      </c>
      <c r="D612" t="e">
        <f>B612 &lt;= 0.31</f>
        <v>#N/A</v>
      </c>
      <c r="E612" t="e">
        <f>INDEX(Comments_State_TC_Test_table[],MATCH(D612,Comments_State_TC_Test_table[State Tax Credit Test],0),2)</f>
        <v>#N/A</v>
      </c>
    </row>
    <row r="613" spans="1:16">
      <c r="A613" s="248" t="s">
        <v>2754</v>
      </c>
      <c r="B613" s="99"/>
      <c r="C613" s="99"/>
      <c r="D613" s="99"/>
      <c r="E613" s="99"/>
      <c r="F613" s="99"/>
      <c r="G613" s="99"/>
      <c r="H613" s="99"/>
      <c r="I613" s="99"/>
      <c r="J613" s="99"/>
      <c r="K613" s="99"/>
      <c r="L613" s="99"/>
      <c r="M613" s="99"/>
      <c r="N613" s="99"/>
      <c r="O613" s="99"/>
      <c r="P613" s="99"/>
    </row>
    <row r="615" spans="1:16">
      <c r="A615" s="13" t="s">
        <v>852</v>
      </c>
      <c r="B615" s="16" t="s">
        <v>2755</v>
      </c>
      <c r="E615" s="16" t="s">
        <v>2756</v>
      </c>
    </row>
    <row r="616" spans="1:16">
      <c r="A616" t="s">
        <v>877</v>
      </c>
      <c r="B616" s="66" t="e">
        <f>B507</f>
        <v>#N/A</v>
      </c>
    </row>
    <row r="617" spans="1:16">
      <c r="A617" t="s">
        <v>2757</v>
      </c>
      <c r="B617" s="92">
        <v>10</v>
      </c>
      <c r="D617" s="22" t="s">
        <v>2758</v>
      </c>
    </row>
    <row r="618" spans="1:16" ht="15" thickBot="1">
      <c r="A618" t="s">
        <v>2759</v>
      </c>
      <c r="B618" s="211">
        <f>Application!$B$16</f>
        <v>0</v>
      </c>
      <c r="D618" t="s">
        <v>929</v>
      </c>
      <c r="E618" s="66">
        <f>$B$631</f>
        <v>0</v>
      </c>
    </row>
    <row r="619" spans="1:16" ht="15" thickTop="1">
      <c r="A619" s="1" t="s">
        <v>930</v>
      </c>
      <c r="B619" s="198" t="e">
        <f>ROUND(B616*$B$617*$B$618, 0)</f>
        <v>#N/A</v>
      </c>
      <c r="D619" t="s">
        <v>930</v>
      </c>
      <c r="E619" s="66" t="e">
        <f>$B$621</f>
        <v>#N/A</v>
      </c>
    </row>
    <row r="620" spans="1:16" ht="15" thickBot="1">
      <c r="D620" t="s">
        <v>931</v>
      </c>
      <c r="E620" s="66">
        <f>$B$622</f>
        <v>0</v>
      </c>
    </row>
    <row r="621" spans="1:16" ht="15" thickTop="1">
      <c r="A621" t="s">
        <v>2760</v>
      </c>
      <c r="B621" s="440" t="e">
        <f>ROUND(B511*$B$617*$B$618, 0)</f>
        <v>#N/A</v>
      </c>
      <c r="D621" t="s">
        <v>1197</v>
      </c>
      <c r="E621" s="440" t="e">
        <f>$B$623</f>
        <v>#N/A</v>
      </c>
      <c r="F621" s="16" t="b">
        <f>IF(ISNA(E621),FALSE,ROUND($E$621,0)=ROUND($E$622,0))</f>
        <v>0</v>
      </c>
      <c r="G621" t="str">
        <f>INDEX(Comments_Development_Funds_table[],MATCH(F621,Comments_Development_Funds_table[Development Funds],0),2)</f>
        <v>Development Total Funds do not equal Budget</v>
      </c>
    </row>
    <row r="622" spans="1:16" ht="15" thickBot="1">
      <c r="A622" t="s">
        <v>2761</v>
      </c>
      <c r="B622" s="66">
        <f>$B$145</f>
        <v>0</v>
      </c>
      <c r="D622" t="s">
        <v>980</v>
      </c>
      <c r="E622" s="66">
        <f>$B$624</f>
        <v>0</v>
      </c>
    </row>
    <row r="623" spans="1:16" ht="15" thickTop="1">
      <c r="A623" t="s">
        <v>1197</v>
      </c>
      <c r="B623" s="440" t="e">
        <f>SUM(B621+B622+B166+IF(F625,B631+C631,0))</f>
        <v>#N/A</v>
      </c>
      <c r="D623" t="s">
        <v>2726</v>
      </c>
      <c r="E623" s="440" t="e">
        <f>E621-E622</f>
        <v>#N/A</v>
      </c>
    </row>
    <row r="624" spans="1:16">
      <c r="A624" t="s">
        <v>980</v>
      </c>
      <c r="B624" s="66">
        <f>$B$292+$B$688</f>
        <v>0</v>
      </c>
    </row>
    <row r="625" spans="1:16">
      <c r="F625" s="16" t="b">
        <f>IF(AND($B$6,$B$10),FALSE,TRUE)</f>
        <v>1</v>
      </c>
      <c r="G625" t="s">
        <v>4093</v>
      </c>
    </row>
    <row r="626" spans="1:16">
      <c r="B626" s="66"/>
    </row>
    <row r="627" spans="1:16">
      <c r="A627" s="13" t="s">
        <v>124</v>
      </c>
      <c r="B627" s="203" t="s">
        <v>124</v>
      </c>
      <c r="C627" s="1" t="s">
        <v>4047</v>
      </c>
    </row>
    <row r="628" spans="1:16">
      <c r="A628" t="s">
        <v>877</v>
      </c>
      <c r="B628" s="66">
        <f>B561</f>
        <v>0</v>
      </c>
      <c r="C628" s="66">
        <f>B611</f>
        <v>0</v>
      </c>
    </row>
    <row r="629" spans="1:16">
      <c r="A629" t="s">
        <v>868</v>
      </c>
      <c r="B629" s="211">
        <f>Application!$B$17</f>
        <v>0</v>
      </c>
      <c r="C629" s="211">
        <f>Application!$B$18</f>
        <v>0</v>
      </c>
    </row>
    <row r="630" spans="1:16" ht="15" thickBot="1">
      <c r="B630" s="92">
        <v>6</v>
      </c>
      <c r="C630" s="92">
        <v>5</v>
      </c>
    </row>
    <row r="631" spans="1:16" ht="15" thickTop="1">
      <c r="A631" s="1" t="s">
        <v>929</v>
      </c>
      <c r="B631" s="198">
        <f>B628*B629*B630</f>
        <v>0</v>
      </c>
      <c r="C631" s="198">
        <f>C628*C629*C630</f>
        <v>0</v>
      </c>
    </row>
    <row r="632" spans="1:16">
      <c r="B632" s="66"/>
    </row>
    <row r="634" spans="1:16">
      <c r="A634" s="248" t="s">
        <v>2762</v>
      </c>
      <c r="B634" s="99"/>
      <c r="C634" s="99"/>
      <c r="D634" s="99"/>
      <c r="E634" s="99"/>
      <c r="F634" s="99"/>
      <c r="G634" s="99"/>
      <c r="H634" s="99"/>
      <c r="I634" s="99"/>
      <c r="J634" s="99"/>
      <c r="K634" s="99"/>
      <c r="L634" s="99"/>
      <c r="M634" s="99"/>
      <c r="N634" s="99"/>
      <c r="O634" s="99"/>
      <c r="P634" s="99"/>
    </row>
    <row r="636" spans="1:16">
      <c r="A636" t="s">
        <v>2552</v>
      </c>
      <c r="B636" t="b">
        <f>B6</f>
        <v>0</v>
      </c>
    </row>
    <row r="637" spans="1:16">
      <c r="A637" t="s">
        <v>2763</v>
      </c>
      <c r="B637" t="b">
        <f>NOT($B$21)</f>
        <v>1</v>
      </c>
    </row>
    <row r="638" spans="1:16">
      <c r="A638" t="s">
        <v>2764</v>
      </c>
      <c r="B638" t="b">
        <f>$B$22</f>
        <v>0</v>
      </c>
    </row>
    <row r="639" spans="1:16">
      <c r="A639" t="s">
        <v>2765</v>
      </c>
      <c r="B639" t="b">
        <f>AND(B637, B636, B638)</f>
        <v>0</v>
      </c>
      <c r="C639" t="s">
        <v>2766</v>
      </c>
    </row>
    <row r="641" spans="1:4">
      <c r="A641" t="s">
        <v>2767</v>
      </c>
      <c r="B641" s="66" t="e">
        <f>B507</f>
        <v>#N/A</v>
      </c>
      <c r="C641" s="509"/>
    </row>
    <row r="642" spans="1:4">
      <c r="A642" t="s">
        <v>2757</v>
      </c>
      <c r="B642" s="92">
        <v>10</v>
      </c>
    </row>
    <row r="643" spans="1:4" ht="15" thickBot="1">
      <c r="A643" t="s">
        <v>2759</v>
      </c>
      <c r="B643" s="211">
        <f>Application!$B$16</f>
        <v>0</v>
      </c>
    </row>
    <row r="644" spans="1:4" ht="15" thickTop="1">
      <c r="A644" t="s">
        <v>2768</v>
      </c>
      <c r="B644" s="440" t="e">
        <f>ROUND(B641*B642*B643, 0)</f>
        <v>#N/A</v>
      </c>
    </row>
    <row r="645" spans="1:4" ht="15" thickBot="1">
      <c r="A645" t="s">
        <v>2769</v>
      </c>
      <c r="B645" s="66">
        <f>$B$145+IF(NOT($B$6),$B$631,0)</f>
        <v>0</v>
      </c>
      <c r="D645" s="22"/>
    </row>
    <row r="646" spans="1:4" ht="15" thickTop="1">
      <c r="A646" t="s">
        <v>2770</v>
      </c>
      <c r="B646" s="440" t="e">
        <f>B644+B645</f>
        <v>#N/A</v>
      </c>
    </row>
    <row r="647" spans="1:4" ht="15" thickBot="1">
      <c r="A647" t="s">
        <v>864</v>
      </c>
      <c r="B647" s="66">
        <f>$B$292</f>
        <v>0</v>
      </c>
    </row>
    <row r="648" spans="1:4" ht="15" thickTop="1">
      <c r="A648" t="s">
        <v>2771</v>
      </c>
      <c r="B648" s="440" t="e">
        <f>B647 - B646</f>
        <v>#N/A</v>
      </c>
    </row>
    <row r="650" spans="1:4">
      <c r="B650" s="211" t="s">
        <v>2719</v>
      </c>
    </row>
    <row r="651" spans="1:4">
      <c r="A651" t="s">
        <v>2771</v>
      </c>
      <c r="B651" s="66">
        <f>IFERROR(ROUND(B648/($B$643*10), 0),0)</f>
        <v>0</v>
      </c>
    </row>
    <row r="652" spans="1:4" ht="15" thickBot="1">
      <c r="A652" t="s">
        <v>2768</v>
      </c>
      <c r="B652" s="66">
        <f>IFERROR(ROUND(B644/($B$643*10), 0),0)</f>
        <v>0</v>
      </c>
    </row>
    <row r="653" spans="1:4" ht="15" thickTop="1">
      <c r="A653" t="s">
        <v>2772</v>
      </c>
      <c r="B653" s="440">
        <f>SUM(B651:B652)</f>
        <v>0</v>
      </c>
    </row>
    <row r="655" spans="1:4">
      <c r="A655" t="s">
        <v>2717</v>
      </c>
      <c r="B655" s="137">
        <f>Application!$B$19</f>
        <v>0.09</v>
      </c>
    </row>
    <row r="656" spans="1:4">
      <c r="A656" t="s">
        <v>2771</v>
      </c>
      <c r="B656" s="66">
        <f>$B$651</f>
        <v>0</v>
      </c>
    </row>
    <row r="657" spans="1:3">
      <c r="A657" t="s">
        <v>2773</v>
      </c>
      <c r="B657" s="66">
        <f>ROUND(B656/B655, 0)</f>
        <v>0</v>
      </c>
    </row>
    <row r="659" spans="1:3">
      <c r="A659" t="s">
        <v>2774</v>
      </c>
      <c r="B659" s="66" t="e">
        <f>B463</f>
        <v>#N/A</v>
      </c>
    </row>
    <row r="660" spans="1:3">
      <c r="A660" t="s">
        <v>2775</v>
      </c>
      <c r="B660" s="251">
        <f>IF(B639, ROUND(B657/B659,4), 0)</f>
        <v>0</v>
      </c>
    </row>
    <row r="661" spans="1:3">
      <c r="B661" s="250"/>
    </row>
    <row r="662" spans="1:3">
      <c r="A662" t="s">
        <v>2776</v>
      </c>
      <c r="B662" s="66" t="e">
        <f>(B659*Admin!B83)-B659</f>
        <v>#N/A</v>
      </c>
    </row>
    <row r="663" spans="1:3">
      <c r="A663" t="s">
        <v>2777</v>
      </c>
      <c r="B663" s="66" t="e">
        <f>B662*B655</f>
        <v>#N/A</v>
      </c>
    </row>
    <row r="664" spans="1:3">
      <c r="B664" s="66"/>
    </row>
    <row r="665" spans="1:3">
      <c r="A665" t="s">
        <v>2778</v>
      </c>
      <c r="B665" s="149">
        <f>B656</f>
        <v>0</v>
      </c>
    </row>
    <row r="666" spans="1:3">
      <c r="A666" t="s">
        <v>2779</v>
      </c>
      <c r="B666" s="149">
        <f>Admin!B32</f>
        <v>0</v>
      </c>
      <c r="C666" s="18"/>
    </row>
    <row r="667" spans="1:3">
      <c r="A667" t="s">
        <v>2780</v>
      </c>
      <c r="B667" s="149">
        <f>IF(B666&gt;0,B666,B665)</f>
        <v>0</v>
      </c>
      <c r="C667" s="18"/>
    </row>
    <row r="668" spans="1:3">
      <c r="B668" s="340"/>
      <c r="C668" s="18"/>
    </row>
    <row r="669" spans="1:3">
      <c r="A669" t="s">
        <v>2781</v>
      </c>
      <c r="B669" s="199">
        <f>IF(NOT(B639), 0, MIN(B663, B667))</f>
        <v>0</v>
      </c>
    </row>
    <row r="670" spans="1:3">
      <c r="B670" s="199"/>
    </row>
    <row r="671" spans="1:3">
      <c r="A671" t="s">
        <v>2782</v>
      </c>
      <c r="B671" t="b">
        <f>B660&gt;0.001</f>
        <v>0</v>
      </c>
      <c r="C671" t="s">
        <v>2783</v>
      </c>
    </row>
    <row r="674" spans="1:16">
      <c r="A674" s="194"/>
      <c r="B674" s="99"/>
      <c r="C674" s="99"/>
      <c r="D674" s="99"/>
      <c r="E674" s="99"/>
      <c r="F674" s="99"/>
      <c r="G674" s="99"/>
      <c r="H674" s="99"/>
      <c r="I674" s="99"/>
      <c r="J674" s="99"/>
      <c r="K674" s="99"/>
      <c r="L674" s="99"/>
      <c r="M674" s="99"/>
      <c r="N674" s="99"/>
      <c r="O674" s="99"/>
      <c r="P674" s="99"/>
    </row>
    <row r="676" spans="1:16">
      <c r="A676" s="22" t="s">
        <v>2784</v>
      </c>
    </row>
    <row r="677" spans="1:16">
      <c r="A677" s="19" t="s">
        <v>2785</v>
      </c>
      <c r="B677" s="19" t="s">
        <v>561</v>
      </c>
      <c r="C677" s="90"/>
      <c r="D677" s="90"/>
      <c r="E677" s="90"/>
      <c r="F677" s="90"/>
    </row>
    <row r="678" spans="1:16">
      <c r="A678" t="s">
        <v>392</v>
      </c>
      <c r="B678">
        <f>SUM('Commercial Budget'!B4:B6)</f>
        <v>0</v>
      </c>
    </row>
    <row r="679" spans="1:16">
      <c r="A679" t="s">
        <v>402</v>
      </c>
      <c r="B679">
        <f>SUM('Commercial Budget'!B9:B10)</f>
        <v>0</v>
      </c>
    </row>
    <row r="680" spans="1:16">
      <c r="A680" t="s">
        <v>405</v>
      </c>
      <c r="B680">
        <f>SUM('Commercial Budget'!B13:B23)</f>
        <v>0</v>
      </c>
    </row>
    <row r="681" spans="1:16">
      <c r="A681" t="s">
        <v>417</v>
      </c>
      <c r="B681">
        <f>SUM('Commercial Budget'!B26:B33)</f>
        <v>0</v>
      </c>
    </row>
    <row r="682" spans="1:16">
      <c r="A682" t="s">
        <v>428</v>
      </c>
      <c r="B682">
        <f>SUM('Commercial Budget'!B36:B50)</f>
        <v>0</v>
      </c>
    </row>
    <row r="683" spans="1:16">
      <c r="A683" t="s">
        <v>444</v>
      </c>
      <c r="B683">
        <f>SUM('Commercial Budget'!B53:B63)</f>
        <v>0</v>
      </c>
    </row>
    <row r="684" spans="1:16">
      <c r="A684" t="s">
        <v>455</v>
      </c>
      <c r="B684">
        <f>SUM('Commercial Budget'!B66:B75)</f>
        <v>0</v>
      </c>
    </row>
    <row r="685" spans="1:16">
      <c r="A685" t="s">
        <v>471</v>
      </c>
      <c r="B685">
        <f>SUM('Commercial Budget'!B78:B83)</f>
        <v>0</v>
      </c>
    </row>
    <row r="686" spans="1:16">
      <c r="A686" t="s">
        <v>475</v>
      </c>
      <c r="B686">
        <f>SUM('Commercial Budget'!B86:B89)</f>
        <v>0</v>
      </c>
    </row>
    <row r="687" spans="1:16">
      <c r="A687" t="s">
        <v>483</v>
      </c>
      <c r="B687">
        <f>SUM('Commercial Budget'!B92:B96)</f>
        <v>0</v>
      </c>
    </row>
    <row r="688" spans="1:16">
      <c r="A688" s="1" t="s">
        <v>373</v>
      </c>
      <c r="B688" s="1">
        <f>SUM(B678:B687)</f>
        <v>0</v>
      </c>
      <c r="C688" s="1"/>
      <c r="D688" s="1"/>
      <c r="E688" s="1"/>
      <c r="F688" s="1"/>
      <c r="H688" s="1"/>
    </row>
    <row r="690" spans="1:13">
      <c r="A690" s="22" t="s">
        <v>72</v>
      </c>
    </row>
    <row r="691" spans="1:13">
      <c r="A691" s="19" t="s">
        <v>2786</v>
      </c>
      <c r="B691" s="65"/>
    </row>
    <row r="692" spans="1:13">
      <c r="A692" t="s">
        <v>701</v>
      </c>
      <c r="B692">
        <f>SUM('Cost Summary'!C8:C35)</f>
        <v>0</v>
      </c>
    </row>
    <row r="693" spans="1:13">
      <c r="A693" t="s">
        <v>756</v>
      </c>
      <c r="B693">
        <f>SUM('Cost Summary'!C38:C41)</f>
        <v>0</v>
      </c>
    </row>
    <row r="694" spans="1:13">
      <c r="A694" t="s">
        <v>758</v>
      </c>
      <c r="B694">
        <f>SUM('Cost Summary'!C44:C48)</f>
        <v>0</v>
      </c>
    </row>
    <row r="695" spans="1:13">
      <c r="A695" t="s">
        <v>763</v>
      </c>
      <c r="B695">
        <f>SUM('Cost Summary'!C51:C56)</f>
        <v>0</v>
      </c>
    </row>
    <row r="696" spans="1:13">
      <c r="A696" s="1" t="s">
        <v>373</v>
      </c>
      <c r="B696" s="1">
        <f>SUM(B692:B695)</f>
        <v>0</v>
      </c>
    </row>
    <row r="697" spans="1:13">
      <c r="A697" s="1"/>
      <c r="B697" s="1"/>
    </row>
    <row r="698" spans="1:13">
      <c r="A698" s="99" t="s">
        <v>76</v>
      </c>
      <c r="B698" s="99"/>
      <c r="C698" s="99"/>
      <c r="D698" s="99"/>
      <c r="E698" s="99"/>
      <c r="F698" s="99"/>
      <c r="G698" s="99"/>
      <c r="H698" s="71"/>
      <c r="I698" s="71"/>
      <c r="J698" s="71"/>
      <c r="K698" s="71"/>
      <c r="L698" s="71"/>
      <c r="M698" s="71"/>
    </row>
    <row r="700" spans="1:13">
      <c r="A700" t="s">
        <v>2787</v>
      </c>
      <c r="B700">
        <f>IF(OR($B$21, $B$639), Admin!$B$82, IF($B$660, MIN(Admin!$B$82, $B$62), 1))</f>
        <v>1</v>
      </c>
    </row>
    <row r="701" spans="1:13">
      <c r="A701" t="s">
        <v>2788</v>
      </c>
      <c r="B701" s="265">
        <f>H56</f>
        <v>0</v>
      </c>
    </row>
    <row r="702" spans="1:13">
      <c r="A702" t="s">
        <v>2789</v>
      </c>
      <c r="B702" s="265">
        <f>H41</f>
        <v>0</v>
      </c>
    </row>
    <row r="703" spans="1:13">
      <c r="A703" t="s">
        <v>877</v>
      </c>
      <c r="B703" s="66" t="e">
        <f>ROUND($B$511,0)</f>
        <v>#N/A</v>
      </c>
      <c r="D703" s="300" t="s">
        <v>2790</v>
      </c>
      <c r="E703" s="300"/>
    </row>
    <row r="704" spans="1:13">
      <c r="B704" s="137"/>
    </row>
    <row r="707" spans="1:31">
      <c r="A707" s="1" t="s">
        <v>2791</v>
      </c>
      <c r="B707" s="1"/>
    </row>
    <row r="708" spans="1:31" ht="60" customHeight="1">
      <c r="A708" s="19" t="s">
        <v>2792</v>
      </c>
      <c r="B708" s="93" t="s">
        <v>787</v>
      </c>
      <c r="C708" s="93" t="s">
        <v>771</v>
      </c>
      <c r="D708" s="93" t="s">
        <v>772</v>
      </c>
      <c r="E708" s="93" t="s">
        <v>788</v>
      </c>
      <c r="F708" s="93" t="s">
        <v>774</v>
      </c>
      <c r="G708" s="93" t="s">
        <v>775</v>
      </c>
      <c r="H708" s="93" t="s">
        <v>2793</v>
      </c>
      <c r="I708" s="93" t="s">
        <v>2794</v>
      </c>
      <c r="J708" s="93" t="s">
        <v>2795</v>
      </c>
      <c r="K708" s="93" t="s">
        <v>778</v>
      </c>
      <c r="L708" s="93" t="s">
        <v>2796</v>
      </c>
      <c r="M708" s="93" t="s">
        <v>2797</v>
      </c>
      <c r="N708" s="93" t="s">
        <v>2798</v>
      </c>
      <c r="O708" s="93" t="s">
        <v>2799</v>
      </c>
      <c r="P708" s="93" t="s">
        <v>2800</v>
      </c>
      <c r="Q708" s="93" t="s">
        <v>2801</v>
      </c>
      <c r="R708" s="93" t="s">
        <v>2802</v>
      </c>
      <c r="S708" s="93" t="s">
        <v>2803</v>
      </c>
      <c r="T708" s="93" t="s">
        <v>2804</v>
      </c>
      <c r="U708" s="93" t="s">
        <v>2805</v>
      </c>
      <c r="V708" s="93" t="s">
        <v>2806</v>
      </c>
      <c r="W708" s="93" t="s">
        <v>2807</v>
      </c>
      <c r="X708" s="93" t="s">
        <v>2808</v>
      </c>
      <c r="Y708" s="93" t="s">
        <v>2809</v>
      </c>
      <c r="Z708" s="93" t="s">
        <v>2810</v>
      </c>
      <c r="AA708" s="93" t="s">
        <v>2811</v>
      </c>
      <c r="AB708" s="93" t="s">
        <v>2812</v>
      </c>
      <c r="AC708" s="93" t="s">
        <v>2813</v>
      </c>
      <c r="AD708" s="93" t="s">
        <v>2814</v>
      </c>
      <c r="AE708" s="93" t="s">
        <v>2815</v>
      </c>
    </row>
    <row r="709" spans="1:31" ht="15" customHeight="1">
      <c r="A709">
        <f>'Final Building Profile'!A4</f>
        <v>1</v>
      </c>
      <c r="B709">
        <f>'Final Building Profile'!D4</f>
        <v>0</v>
      </c>
      <c r="C709">
        <f>'Final Building Profile'!E4</f>
        <v>0</v>
      </c>
      <c r="D709">
        <f>'Final Building Profile'!F4</f>
        <v>0</v>
      </c>
      <c r="E709" s="265">
        <f>'Final Building Profile'!G4</f>
        <v>0</v>
      </c>
      <c r="F709" s="265">
        <f>'Final Building Profile'!H4</f>
        <v>0</v>
      </c>
      <c r="G709" s="265">
        <f>'Final Building Profile'!I4</f>
        <v>0</v>
      </c>
      <c r="H709" s="197">
        <f t="shared" ref="H709:H740" si="73">IF((B709-C709) &lt;&gt; 0, ROUND(D709/(B709-C709), 4), 0)</f>
        <v>0</v>
      </c>
      <c r="I709" s="197">
        <f t="shared" ref="I709:I740" si="74">IF((E709-F709) = 0, 0, ROUND(G709/(E709-F709), 4))</f>
        <v>0</v>
      </c>
      <c r="J709" s="137">
        <f t="shared" ref="J709:J740" si="75">MIN(H709, I709)</f>
        <v>0</v>
      </c>
      <c r="K709" s="66">
        <f>'Final Building Profile'!L4</f>
        <v>0</v>
      </c>
      <c r="L709" s="66">
        <f>K709*$B$700</f>
        <v>0</v>
      </c>
      <c r="M709">
        <f>'Final Building Profile'!M4</f>
        <v>0</v>
      </c>
      <c r="N709" s="66">
        <f t="shared" ref="N709:N740" si="76">M709*$B$700</f>
        <v>0</v>
      </c>
      <c r="O709" s="66">
        <f t="shared" ref="O709:O740" si="77">L709+N709</f>
        <v>0</v>
      </c>
      <c r="P709" s="66">
        <f t="shared" ref="P709:P740" si="78">O709*J709</f>
        <v>0</v>
      </c>
      <c r="Q709" s="204">
        <f>'Final Building Profile'!K4</f>
        <v>0</v>
      </c>
      <c r="R709" s="66">
        <f>P709*Q709</f>
        <v>0</v>
      </c>
      <c r="S709" s="65">
        <f>'Final Building Profile'!N4-'Final Building Profile'!O4</f>
        <v>0</v>
      </c>
      <c r="T709" s="65">
        <f t="shared" ref="T709:T740" si="79">S709*J709</f>
        <v>0</v>
      </c>
      <c r="U709" s="204">
        <f>'Final Building Profile'!Q4</f>
        <v>0</v>
      </c>
      <c r="V709" s="65">
        <f>IF('Final Building Profile'!P4&lt;&gt;"", U709, 0) * T709</f>
        <v>0</v>
      </c>
      <c r="W709" s="266">
        <f t="shared" ref="W709:W740" si="80">IF($P$808 = 0, 0, (P709/$P$808) * Q709)</f>
        <v>0</v>
      </c>
      <c r="X709" s="266">
        <f>IF($T$808 = 0, 0, (T709/$T$808) * U709)</f>
        <v>0</v>
      </c>
      <c r="Y709" s="266" t="e">
        <f t="shared" ref="Y709:Y740" si="81">J709*(G709/$B$701)</f>
        <v>#DIV/0!</v>
      </c>
      <c r="Z709" s="266" t="e">
        <f t="shared" ref="Z709:Z740" si="82">J709*(D709/$B$702)</f>
        <v>#DIV/0!</v>
      </c>
      <c r="AA709" s="266" t="e">
        <f t="shared" ref="AA709:AA740" si="83">IF(I709=J709, Y709, Z709)</f>
        <v>#DIV/0!</v>
      </c>
      <c r="AB709" s="65" t="e">
        <f>IF($B$703&lt;$V$810, ROUND($B$703/$V$810*P709, 0), P709)</f>
        <v>#N/A</v>
      </c>
      <c r="AC709" s="65" t="e">
        <f>IF($B$703&lt;$V$810, ROUNDDOWN($B$703/$V$810*R709, 0), R709)</f>
        <v>#N/A</v>
      </c>
      <c r="AD709" s="65" t="e">
        <f>IF($B$703&lt;$V$810, ROUND($B$703/$V$810*T709, 0), T709)</f>
        <v>#N/A</v>
      </c>
      <c r="AE709" s="65" t="e">
        <f>IF($B$703&lt;$V$810, ROUND($B$703/$V$810*V709, 0), V709)</f>
        <v>#N/A</v>
      </c>
    </row>
    <row r="710" spans="1:31" ht="15" customHeight="1">
      <c r="A710">
        <f>'Final Building Profile'!A5</f>
        <v>2</v>
      </c>
      <c r="B710">
        <f>'Final Building Profile'!D5</f>
        <v>0</v>
      </c>
      <c r="C710">
        <f>'Final Building Profile'!E5</f>
        <v>0</v>
      </c>
      <c r="D710">
        <f>'Final Building Profile'!F5</f>
        <v>0</v>
      </c>
      <c r="E710" s="265">
        <f>'Final Building Profile'!G5</f>
        <v>0</v>
      </c>
      <c r="F710" s="265">
        <f>'Final Building Profile'!H5</f>
        <v>0</v>
      </c>
      <c r="G710" s="265">
        <f>'Final Building Profile'!I5</f>
        <v>0</v>
      </c>
      <c r="H710" s="197">
        <f t="shared" si="73"/>
        <v>0</v>
      </c>
      <c r="I710" s="197">
        <f t="shared" si="74"/>
        <v>0</v>
      </c>
      <c r="J710" s="137">
        <f t="shared" si="75"/>
        <v>0</v>
      </c>
      <c r="K710" s="66">
        <f>'Final Building Profile'!L5</f>
        <v>0</v>
      </c>
      <c r="L710" s="66">
        <f t="shared" ref="L710:L773" si="84">K710*$B$700</f>
        <v>0</v>
      </c>
      <c r="M710">
        <f>'Final Building Profile'!M5</f>
        <v>0</v>
      </c>
      <c r="N710" s="66">
        <f t="shared" si="76"/>
        <v>0</v>
      </c>
      <c r="O710" s="66">
        <f t="shared" si="77"/>
        <v>0</v>
      </c>
      <c r="P710" s="66">
        <f t="shared" si="78"/>
        <v>0</v>
      </c>
      <c r="Q710" s="204">
        <f>'Final Building Profile'!K5</f>
        <v>0</v>
      </c>
      <c r="R710" s="66">
        <f t="shared" ref="R710:R773" si="85">P710*Q710</f>
        <v>0</v>
      </c>
      <c r="S710" s="65">
        <f>'Final Building Profile'!N5-'Final Building Profile'!O5</f>
        <v>0</v>
      </c>
      <c r="T710" s="65">
        <f t="shared" si="79"/>
        <v>0</v>
      </c>
      <c r="U710" s="204">
        <f>'Final Building Profile'!Q5</f>
        <v>0</v>
      </c>
      <c r="V710" s="65">
        <f>IF('Final Building Profile'!P5&lt;&gt;"", U710, 0) * T710</f>
        <v>0</v>
      </c>
      <c r="W710" s="266">
        <f t="shared" si="80"/>
        <v>0</v>
      </c>
      <c r="X710" s="266">
        <f t="shared" ref="X710:X773" si="86">IF($T$808 = 0, 0, (T710/$T$808) * U710)</f>
        <v>0</v>
      </c>
      <c r="Y710" s="266" t="e">
        <f t="shared" si="81"/>
        <v>#DIV/0!</v>
      </c>
      <c r="Z710" s="266" t="e">
        <f t="shared" si="82"/>
        <v>#DIV/0!</v>
      </c>
      <c r="AA710" s="266" t="e">
        <f t="shared" si="83"/>
        <v>#DIV/0!</v>
      </c>
      <c r="AB710" s="65" t="e">
        <f t="shared" ref="AB710:AB740" si="87">IF($B$703&lt;$V$810, ROUND($B$703/$V$810*P710, 0), P710)</f>
        <v>#N/A</v>
      </c>
      <c r="AC710" s="65" t="e">
        <f t="shared" ref="AC710:AC740" si="88">IF($B$703&lt;$V$810, ROUNDDOWN($B$703/$V$810*R710, 0), R710)</f>
        <v>#N/A</v>
      </c>
      <c r="AD710" s="65" t="e">
        <f t="shared" ref="AD710:AD740" si="89">IF($B$703&lt;$V$810, ROUND($B$703/$V$810*T710, 0), T710)</f>
        <v>#N/A</v>
      </c>
      <c r="AE710" s="65" t="e">
        <f t="shared" ref="AE710:AE740" si="90">IF($B$703&lt;$V$810, ROUND($B$703/$V$810*V710, 0), V710)</f>
        <v>#N/A</v>
      </c>
    </row>
    <row r="711" spans="1:31" ht="15" customHeight="1">
      <c r="A711">
        <f>'Final Building Profile'!A6</f>
        <v>3</v>
      </c>
      <c r="B711">
        <f>'Final Building Profile'!D6</f>
        <v>0</v>
      </c>
      <c r="C711">
        <f>'Final Building Profile'!E6</f>
        <v>0</v>
      </c>
      <c r="D711">
        <f>'Final Building Profile'!F6</f>
        <v>0</v>
      </c>
      <c r="E711" s="265">
        <f>'Final Building Profile'!G6</f>
        <v>0</v>
      </c>
      <c r="F711" s="265">
        <f>'Final Building Profile'!H6</f>
        <v>0</v>
      </c>
      <c r="G711" s="265">
        <f>'Final Building Profile'!I6</f>
        <v>0</v>
      </c>
      <c r="H711" s="197">
        <f t="shared" si="73"/>
        <v>0</v>
      </c>
      <c r="I711" s="197">
        <f t="shared" si="74"/>
        <v>0</v>
      </c>
      <c r="J711" s="137">
        <f t="shared" si="75"/>
        <v>0</v>
      </c>
      <c r="K711" s="66">
        <f>'Final Building Profile'!L6</f>
        <v>0</v>
      </c>
      <c r="L711" s="66">
        <f t="shared" si="84"/>
        <v>0</v>
      </c>
      <c r="M711">
        <f>'Final Building Profile'!M6</f>
        <v>0</v>
      </c>
      <c r="N711" s="66">
        <f t="shared" si="76"/>
        <v>0</v>
      </c>
      <c r="O711" s="66">
        <f t="shared" si="77"/>
        <v>0</v>
      </c>
      <c r="P711" s="66">
        <f t="shared" si="78"/>
        <v>0</v>
      </c>
      <c r="Q711" s="204">
        <f>'Final Building Profile'!K6</f>
        <v>0</v>
      </c>
      <c r="R711" s="66">
        <f t="shared" si="85"/>
        <v>0</v>
      </c>
      <c r="S711" s="65">
        <f>'Final Building Profile'!N6-'Final Building Profile'!O6</f>
        <v>0</v>
      </c>
      <c r="T711" s="65">
        <f t="shared" si="79"/>
        <v>0</v>
      </c>
      <c r="U711" s="204">
        <f>'Final Building Profile'!Q6</f>
        <v>0</v>
      </c>
      <c r="V711" s="65">
        <f>IF('Final Building Profile'!P6&lt;&gt;"", U711, 0) * T711</f>
        <v>0</v>
      </c>
      <c r="W711" s="266">
        <f t="shared" si="80"/>
        <v>0</v>
      </c>
      <c r="X711" s="266">
        <f t="shared" si="86"/>
        <v>0</v>
      </c>
      <c r="Y711" s="266" t="e">
        <f t="shared" si="81"/>
        <v>#DIV/0!</v>
      </c>
      <c r="Z711" s="266" t="e">
        <f t="shared" si="82"/>
        <v>#DIV/0!</v>
      </c>
      <c r="AA711" s="266" t="e">
        <f t="shared" si="83"/>
        <v>#DIV/0!</v>
      </c>
      <c r="AB711" s="65" t="e">
        <f t="shared" si="87"/>
        <v>#N/A</v>
      </c>
      <c r="AC711" s="65" t="e">
        <f t="shared" si="88"/>
        <v>#N/A</v>
      </c>
      <c r="AD711" s="65" t="e">
        <f t="shared" si="89"/>
        <v>#N/A</v>
      </c>
      <c r="AE711" s="65" t="e">
        <f t="shared" si="90"/>
        <v>#N/A</v>
      </c>
    </row>
    <row r="712" spans="1:31" ht="15" customHeight="1">
      <c r="A712">
        <f>'Final Building Profile'!A7</f>
        <v>4</v>
      </c>
      <c r="B712">
        <f>'Final Building Profile'!D7</f>
        <v>0</v>
      </c>
      <c r="C712">
        <f>'Final Building Profile'!E7</f>
        <v>0</v>
      </c>
      <c r="D712">
        <f>'Final Building Profile'!F7</f>
        <v>0</v>
      </c>
      <c r="E712" s="265">
        <f>'Final Building Profile'!G7</f>
        <v>0</v>
      </c>
      <c r="F712" s="265">
        <f>'Final Building Profile'!H7</f>
        <v>0</v>
      </c>
      <c r="G712" s="265">
        <f>'Final Building Profile'!I7</f>
        <v>0</v>
      </c>
      <c r="H712" s="197">
        <f t="shared" si="73"/>
        <v>0</v>
      </c>
      <c r="I712" s="197">
        <f t="shared" si="74"/>
        <v>0</v>
      </c>
      <c r="J712" s="137">
        <f t="shared" si="75"/>
        <v>0</v>
      </c>
      <c r="K712" s="66">
        <f>'Final Building Profile'!L7</f>
        <v>0</v>
      </c>
      <c r="L712" s="66">
        <f t="shared" si="84"/>
        <v>0</v>
      </c>
      <c r="M712">
        <f>'Final Building Profile'!M7</f>
        <v>0</v>
      </c>
      <c r="N712" s="66">
        <f t="shared" si="76"/>
        <v>0</v>
      </c>
      <c r="O712" s="66">
        <f t="shared" si="77"/>
        <v>0</v>
      </c>
      <c r="P712" s="66">
        <f t="shared" si="78"/>
        <v>0</v>
      </c>
      <c r="Q712" s="204">
        <f>'Final Building Profile'!K7</f>
        <v>0</v>
      </c>
      <c r="R712" s="66">
        <f t="shared" si="85"/>
        <v>0</v>
      </c>
      <c r="S712" s="65">
        <f>'Final Building Profile'!N7-'Final Building Profile'!O7</f>
        <v>0</v>
      </c>
      <c r="T712" s="65">
        <f t="shared" si="79"/>
        <v>0</v>
      </c>
      <c r="U712" s="204">
        <f>'Final Building Profile'!Q7</f>
        <v>0</v>
      </c>
      <c r="V712" s="65">
        <f>IF('Final Building Profile'!P7&lt;&gt;"", U712, 0) * T712</f>
        <v>0</v>
      </c>
      <c r="W712" s="266">
        <f t="shared" si="80"/>
        <v>0</v>
      </c>
      <c r="X712" s="266">
        <f t="shared" si="86"/>
        <v>0</v>
      </c>
      <c r="Y712" s="266" t="e">
        <f t="shared" si="81"/>
        <v>#DIV/0!</v>
      </c>
      <c r="Z712" s="266" t="e">
        <f t="shared" si="82"/>
        <v>#DIV/0!</v>
      </c>
      <c r="AA712" s="266" t="e">
        <f t="shared" si="83"/>
        <v>#DIV/0!</v>
      </c>
      <c r="AB712" s="65" t="e">
        <f t="shared" si="87"/>
        <v>#N/A</v>
      </c>
      <c r="AC712" s="65" t="e">
        <f t="shared" si="88"/>
        <v>#N/A</v>
      </c>
      <c r="AD712" s="65" t="e">
        <f t="shared" si="89"/>
        <v>#N/A</v>
      </c>
      <c r="AE712" s="65" t="e">
        <f t="shared" si="90"/>
        <v>#N/A</v>
      </c>
    </row>
    <row r="713" spans="1:31" ht="15" customHeight="1">
      <c r="A713">
        <f>'Final Building Profile'!A8</f>
        <v>5</v>
      </c>
      <c r="B713">
        <f>'Final Building Profile'!D8</f>
        <v>0</v>
      </c>
      <c r="C713">
        <f>'Final Building Profile'!E8</f>
        <v>0</v>
      </c>
      <c r="D713">
        <f>'Final Building Profile'!F8</f>
        <v>0</v>
      </c>
      <c r="E713" s="265">
        <f>'Final Building Profile'!G8</f>
        <v>0</v>
      </c>
      <c r="F713" s="265">
        <f>'Final Building Profile'!H8</f>
        <v>0</v>
      </c>
      <c r="G713" s="265">
        <f>'Final Building Profile'!I8</f>
        <v>0</v>
      </c>
      <c r="H713" s="197">
        <f t="shared" si="73"/>
        <v>0</v>
      </c>
      <c r="I713" s="197">
        <f t="shared" si="74"/>
        <v>0</v>
      </c>
      <c r="J713" s="137">
        <f t="shared" si="75"/>
        <v>0</v>
      </c>
      <c r="K713" s="66">
        <f>'Final Building Profile'!L8</f>
        <v>0</v>
      </c>
      <c r="L713" s="66">
        <f t="shared" si="84"/>
        <v>0</v>
      </c>
      <c r="M713">
        <f>'Final Building Profile'!M8</f>
        <v>0</v>
      </c>
      <c r="N713" s="66">
        <f t="shared" si="76"/>
        <v>0</v>
      </c>
      <c r="O713" s="66">
        <f t="shared" si="77"/>
        <v>0</v>
      </c>
      <c r="P713" s="66">
        <f t="shared" si="78"/>
        <v>0</v>
      </c>
      <c r="Q713" s="204">
        <f>'Final Building Profile'!K8</f>
        <v>0</v>
      </c>
      <c r="R713" s="66">
        <f t="shared" si="85"/>
        <v>0</v>
      </c>
      <c r="S713" s="65">
        <f>'Final Building Profile'!N8-'Final Building Profile'!O8</f>
        <v>0</v>
      </c>
      <c r="T713" s="65">
        <f t="shared" si="79"/>
        <v>0</v>
      </c>
      <c r="U713" s="204">
        <f>'Final Building Profile'!Q8</f>
        <v>0</v>
      </c>
      <c r="V713" s="65">
        <f>IF('Final Building Profile'!P8&lt;&gt;"", U713, 0) * T713</f>
        <v>0</v>
      </c>
      <c r="W713" s="266">
        <f t="shared" si="80"/>
        <v>0</v>
      </c>
      <c r="X713" s="266">
        <f t="shared" si="86"/>
        <v>0</v>
      </c>
      <c r="Y713" s="266" t="e">
        <f t="shared" si="81"/>
        <v>#DIV/0!</v>
      </c>
      <c r="Z713" s="266" t="e">
        <f t="shared" si="82"/>
        <v>#DIV/0!</v>
      </c>
      <c r="AA713" s="266" t="e">
        <f t="shared" si="83"/>
        <v>#DIV/0!</v>
      </c>
      <c r="AB713" s="65" t="e">
        <f t="shared" si="87"/>
        <v>#N/A</v>
      </c>
      <c r="AC713" s="65" t="e">
        <f t="shared" si="88"/>
        <v>#N/A</v>
      </c>
      <c r="AD713" s="65" t="e">
        <f t="shared" si="89"/>
        <v>#N/A</v>
      </c>
      <c r="AE713" s="65" t="e">
        <f t="shared" si="90"/>
        <v>#N/A</v>
      </c>
    </row>
    <row r="714" spans="1:31" ht="15" customHeight="1">
      <c r="A714">
        <f>'Final Building Profile'!A9</f>
        <v>6</v>
      </c>
      <c r="B714">
        <f>'Final Building Profile'!D9</f>
        <v>0</v>
      </c>
      <c r="C714">
        <f>'Final Building Profile'!E9</f>
        <v>0</v>
      </c>
      <c r="D714">
        <f>'Final Building Profile'!F9</f>
        <v>0</v>
      </c>
      <c r="E714" s="265">
        <f>'Final Building Profile'!G9</f>
        <v>0</v>
      </c>
      <c r="F714" s="265">
        <f>'Final Building Profile'!H9</f>
        <v>0</v>
      </c>
      <c r="G714" s="265">
        <f>'Final Building Profile'!I9</f>
        <v>0</v>
      </c>
      <c r="H714" s="197">
        <f t="shared" si="73"/>
        <v>0</v>
      </c>
      <c r="I714" s="197">
        <f t="shared" si="74"/>
        <v>0</v>
      </c>
      <c r="J714" s="137">
        <f t="shared" si="75"/>
        <v>0</v>
      </c>
      <c r="K714" s="66">
        <f>'Final Building Profile'!L9</f>
        <v>0</v>
      </c>
      <c r="L714" s="66">
        <f t="shared" si="84"/>
        <v>0</v>
      </c>
      <c r="M714">
        <f>'Final Building Profile'!M9</f>
        <v>0</v>
      </c>
      <c r="N714" s="66">
        <f t="shared" si="76"/>
        <v>0</v>
      </c>
      <c r="O714" s="66">
        <f t="shared" si="77"/>
        <v>0</v>
      </c>
      <c r="P714" s="66">
        <f t="shared" si="78"/>
        <v>0</v>
      </c>
      <c r="Q714" s="204">
        <f>'Final Building Profile'!K9</f>
        <v>0</v>
      </c>
      <c r="R714" s="66">
        <f t="shared" si="85"/>
        <v>0</v>
      </c>
      <c r="S714" s="65">
        <f>'Final Building Profile'!N9-'Final Building Profile'!O9</f>
        <v>0</v>
      </c>
      <c r="T714" s="65">
        <f t="shared" si="79"/>
        <v>0</v>
      </c>
      <c r="U714" s="204">
        <f>'Final Building Profile'!Q9</f>
        <v>0</v>
      </c>
      <c r="V714" s="65">
        <f>IF('Final Building Profile'!P9&lt;&gt;"", U714, 0) * T714</f>
        <v>0</v>
      </c>
      <c r="W714" s="266">
        <f t="shared" si="80"/>
        <v>0</v>
      </c>
      <c r="X714" s="266">
        <f t="shared" si="86"/>
        <v>0</v>
      </c>
      <c r="Y714" s="266" t="e">
        <f t="shared" si="81"/>
        <v>#DIV/0!</v>
      </c>
      <c r="Z714" s="266" t="e">
        <f t="shared" si="82"/>
        <v>#DIV/0!</v>
      </c>
      <c r="AA714" s="266" t="e">
        <f t="shared" si="83"/>
        <v>#DIV/0!</v>
      </c>
      <c r="AB714" s="65" t="e">
        <f t="shared" si="87"/>
        <v>#N/A</v>
      </c>
      <c r="AC714" s="65" t="e">
        <f t="shared" si="88"/>
        <v>#N/A</v>
      </c>
      <c r="AD714" s="65" t="e">
        <f t="shared" si="89"/>
        <v>#N/A</v>
      </c>
      <c r="AE714" s="65" t="e">
        <f t="shared" si="90"/>
        <v>#N/A</v>
      </c>
    </row>
    <row r="715" spans="1:31" ht="15" customHeight="1">
      <c r="A715">
        <f>'Final Building Profile'!A10</f>
        <v>7</v>
      </c>
      <c r="B715">
        <f>'Final Building Profile'!D10</f>
        <v>0</v>
      </c>
      <c r="C715">
        <f>'Final Building Profile'!E10</f>
        <v>0</v>
      </c>
      <c r="D715">
        <f>'Final Building Profile'!F10</f>
        <v>0</v>
      </c>
      <c r="E715" s="265">
        <f>'Final Building Profile'!G10</f>
        <v>0</v>
      </c>
      <c r="F715" s="265">
        <f>'Final Building Profile'!H10</f>
        <v>0</v>
      </c>
      <c r="G715" s="265">
        <f>'Final Building Profile'!I10</f>
        <v>0</v>
      </c>
      <c r="H715" s="197">
        <f t="shared" si="73"/>
        <v>0</v>
      </c>
      <c r="I715" s="197">
        <f t="shared" si="74"/>
        <v>0</v>
      </c>
      <c r="J715" s="137">
        <f t="shared" si="75"/>
        <v>0</v>
      </c>
      <c r="K715" s="66">
        <f>'Final Building Profile'!L10</f>
        <v>0</v>
      </c>
      <c r="L715" s="66">
        <f t="shared" si="84"/>
        <v>0</v>
      </c>
      <c r="M715">
        <f>'Final Building Profile'!M10</f>
        <v>0</v>
      </c>
      <c r="N715" s="66">
        <f t="shared" si="76"/>
        <v>0</v>
      </c>
      <c r="O715" s="66">
        <f t="shared" si="77"/>
        <v>0</v>
      </c>
      <c r="P715" s="66">
        <f t="shared" si="78"/>
        <v>0</v>
      </c>
      <c r="Q715" s="204">
        <f>'Final Building Profile'!K10</f>
        <v>0</v>
      </c>
      <c r="R715" s="66">
        <f t="shared" si="85"/>
        <v>0</v>
      </c>
      <c r="S715" s="65">
        <f>'Final Building Profile'!N10-'Final Building Profile'!O10</f>
        <v>0</v>
      </c>
      <c r="T715" s="65">
        <f t="shared" si="79"/>
        <v>0</v>
      </c>
      <c r="U715" s="204">
        <f>'Final Building Profile'!Q10</f>
        <v>0</v>
      </c>
      <c r="V715" s="65">
        <f>IF('Final Building Profile'!P10&lt;&gt;"", U715, 0) * T715</f>
        <v>0</v>
      </c>
      <c r="W715" s="266">
        <f t="shared" si="80"/>
        <v>0</v>
      </c>
      <c r="X715" s="266">
        <f t="shared" si="86"/>
        <v>0</v>
      </c>
      <c r="Y715" s="266" t="e">
        <f t="shared" si="81"/>
        <v>#DIV/0!</v>
      </c>
      <c r="Z715" s="266" t="e">
        <f t="shared" si="82"/>
        <v>#DIV/0!</v>
      </c>
      <c r="AA715" s="266" t="e">
        <f t="shared" si="83"/>
        <v>#DIV/0!</v>
      </c>
      <c r="AB715" s="65" t="e">
        <f t="shared" si="87"/>
        <v>#N/A</v>
      </c>
      <c r="AC715" s="65" t="e">
        <f t="shared" si="88"/>
        <v>#N/A</v>
      </c>
      <c r="AD715" s="65" t="e">
        <f t="shared" si="89"/>
        <v>#N/A</v>
      </c>
      <c r="AE715" s="65" t="e">
        <f t="shared" si="90"/>
        <v>#N/A</v>
      </c>
    </row>
    <row r="716" spans="1:31" ht="15" customHeight="1">
      <c r="A716">
        <f>'Final Building Profile'!A11</f>
        <v>8</v>
      </c>
      <c r="B716">
        <f>'Final Building Profile'!D11</f>
        <v>0</v>
      </c>
      <c r="C716">
        <f>'Final Building Profile'!E11</f>
        <v>0</v>
      </c>
      <c r="D716">
        <f>'Final Building Profile'!F11</f>
        <v>0</v>
      </c>
      <c r="E716" s="265">
        <f>'Final Building Profile'!G11</f>
        <v>0</v>
      </c>
      <c r="F716" s="265">
        <f>'Final Building Profile'!H11</f>
        <v>0</v>
      </c>
      <c r="G716" s="265">
        <f>'Final Building Profile'!I11</f>
        <v>0</v>
      </c>
      <c r="H716" s="197">
        <f t="shared" si="73"/>
        <v>0</v>
      </c>
      <c r="I716" s="197">
        <f t="shared" si="74"/>
        <v>0</v>
      </c>
      <c r="J716" s="137">
        <f t="shared" si="75"/>
        <v>0</v>
      </c>
      <c r="K716" s="66">
        <f>'Final Building Profile'!L11</f>
        <v>0</v>
      </c>
      <c r="L716" s="66">
        <f t="shared" si="84"/>
        <v>0</v>
      </c>
      <c r="M716">
        <f>'Final Building Profile'!M11</f>
        <v>0</v>
      </c>
      <c r="N716" s="66">
        <f t="shared" si="76"/>
        <v>0</v>
      </c>
      <c r="O716" s="66">
        <f t="shared" si="77"/>
        <v>0</v>
      </c>
      <c r="P716" s="66">
        <f t="shared" si="78"/>
        <v>0</v>
      </c>
      <c r="Q716" s="204">
        <f>'Final Building Profile'!K11</f>
        <v>0</v>
      </c>
      <c r="R716" s="66">
        <f t="shared" si="85"/>
        <v>0</v>
      </c>
      <c r="S716" s="65">
        <f>'Final Building Profile'!N11-'Final Building Profile'!O11</f>
        <v>0</v>
      </c>
      <c r="T716" s="65">
        <f t="shared" si="79"/>
        <v>0</v>
      </c>
      <c r="U716" s="204">
        <f>'Final Building Profile'!Q11</f>
        <v>0</v>
      </c>
      <c r="V716" s="65">
        <f>IF('Final Building Profile'!P11&lt;&gt;"", U716, 0) * T716</f>
        <v>0</v>
      </c>
      <c r="W716" s="266">
        <f t="shared" si="80"/>
        <v>0</v>
      </c>
      <c r="X716" s="266">
        <f t="shared" si="86"/>
        <v>0</v>
      </c>
      <c r="Y716" s="266" t="e">
        <f t="shared" si="81"/>
        <v>#DIV/0!</v>
      </c>
      <c r="Z716" s="266" t="e">
        <f t="shared" si="82"/>
        <v>#DIV/0!</v>
      </c>
      <c r="AA716" s="266" t="e">
        <f t="shared" si="83"/>
        <v>#DIV/0!</v>
      </c>
      <c r="AB716" s="65" t="e">
        <f t="shared" si="87"/>
        <v>#N/A</v>
      </c>
      <c r="AC716" s="65" t="e">
        <f t="shared" si="88"/>
        <v>#N/A</v>
      </c>
      <c r="AD716" s="65" t="e">
        <f t="shared" si="89"/>
        <v>#N/A</v>
      </c>
      <c r="AE716" s="65" t="e">
        <f t="shared" si="90"/>
        <v>#N/A</v>
      </c>
    </row>
    <row r="717" spans="1:31" ht="15" customHeight="1">
      <c r="A717">
        <f>'Final Building Profile'!A12</f>
        <v>9</v>
      </c>
      <c r="B717">
        <f>'Final Building Profile'!D12</f>
        <v>0</v>
      </c>
      <c r="C717">
        <f>'Final Building Profile'!E12</f>
        <v>0</v>
      </c>
      <c r="D717">
        <f>'Final Building Profile'!F12</f>
        <v>0</v>
      </c>
      <c r="E717" s="265">
        <f>'Final Building Profile'!G12</f>
        <v>0</v>
      </c>
      <c r="F717" s="265">
        <f>'Final Building Profile'!H12</f>
        <v>0</v>
      </c>
      <c r="G717" s="265">
        <f>'Final Building Profile'!I12</f>
        <v>0</v>
      </c>
      <c r="H717" s="197">
        <f t="shared" si="73"/>
        <v>0</v>
      </c>
      <c r="I717" s="197">
        <f t="shared" si="74"/>
        <v>0</v>
      </c>
      <c r="J717" s="137">
        <f t="shared" si="75"/>
        <v>0</v>
      </c>
      <c r="K717" s="66">
        <f>'Final Building Profile'!L12</f>
        <v>0</v>
      </c>
      <c r="L717" s="66">
        <f t="shared" si="84"/>
        <v>0</v>
      </c>
      <c r="M717">
        <f>'Final Building Profile'!M12</f>
        <v>0</v>
      </c>
      <c r="N717" s="66">
        <f t="shared" si="76"/>
        <v>0</v>
      </c>
      <c r="O717" s="66">
        <f t="shared" si="77"/>
        <v>0</v>
      </c>
      <c r="P717" s="66">
        <f t="shared" si="78"/>
        <v>0</v>
      </c>
      <c r="Q717" s="204">
        <f>'Final Building Profile'!K12</f>
        <v>0</v>
      </c>
      <c r="R717" s="66">
        <f t="shared" si="85"/>
        <v>0</v>
      </c>
      <c r="S717" s="65">
        <f>'Final Building Profile'!N12-'Final Building Profile'!O12</f>
        <v>0</v>
      </c>
      <c r="T717" s="65">
        <f t="shared" si="79"/>
        <v>0</v>
      </c>
      <c r="U717" s="204">
        <f>'Final Building Profile'!Q12</f>
        <v>0</v>
      </c>
      <c r="V717" s="65">
        <f>IF('Final Building Profile'!P12&lt;&gt;"", U717, 0) * T717</f>
        <v>0</v>
      </c>
      <c r="W717" s="266">
        <f t="shared" si="80"/>
        <v>0</v>
      </c>
      <c r="X717" s="266">
        <f t="shared" si="86"/>
        <v>0</v>
      </c>
      <c r="Y717" s="266" t="e">
        <f t="shared" si="81"/>
        <v>#DIV/0!</v>
      </c>
      <c r="Z717" s="266" t="e">
        <f t="shared" si="82"/>
        <v>#DIV/0!</v>
      </c>
      <c r="AA717" s="266" t="e">
        <f t="shared" si="83"/>
        <v>#DIV/0!</v>
      </c>
      <c r="AB717" s="65" t="e">
        <f t="shared" si="87"/>
        <v>#N/A</v>
      </c>
      <c r="AC717" s="65" t="e">
        <f t="shared" si="88"/>
        <v>#N/A</v>
      </c>
      <c r="AD717" s="65" t="e">
        <f t="shared" si="89"/>
        <v>#N/A</v>
      </c>
      <c r="AE717" s="65" t="e">
        <f t="shared" si="90"/>
        <v>#N/A</v>
      </c>
    </row>
    <row r="718" spans="1:31" ht="15" customHeight="1">
      <c r="A718">
        <f>'Final Building Profile'!A13</f>
        <v>10</v>
      </c>
      <c r="B718">
        <f>'Final Building Profile'!D13</f>
        <v>0</v>
      </c>
      <c r="C718">
        <f>'Final Building Profile'!E13</f>
        <v>0</v>
      </c>
      <c r="D718">
        <f>'Final Building Profile'!F13</f>
        <v>0</v>
      </c>
      <c r="E718" s="265">
        <f>'Final Building Profile'!G13</f>
        <v>0</v>
      </c>
      <c r="F718" s="265">
        <f>'Final Building Profile'!H13</f>
        <v>0</v>
      </c>
      <c r="G718" s="265">
        <f>'Final Building Profile'!I13</f>
        <v>0</v>
      </c>
      <c r="H718" s="197">
        <f t="shared" si="73"/>
        <v>0</v>
      </c>
      <c r="I718" s="197">
        <f t="shared" si="74"/>
        <v>0</v>
      </c>
      <c r="J718" s="137">
        <f t="shared" si="75"/>
        <v>0</v>
      </c>
      <c r="K718" s="66">
        <f>'Final Building Profile'!L13</f>
        <v>0</v>
      </c>
      <c r="L718" s="66">
        <f t="shared" si="84"/>
        <v>0</v>
      </c>
      <c r="M718">
        <f>'Final Building Profile'!M13</f>
        <v>0</v>
      </c>
      <c r="N718" s="66">
        <f t="shared" si="76"/>
        <v>0</v>
      </c>
      <c r="O718" s="66">
        <f t="shared" si="77"/>
        <v>0</v>
      </c>
      <c r="P718" s="66">
        <f t="shared" si="78"/>
        <v>0</v>
      </c>
      <c r="Q718" s="204">
        <f>'Final Building Profile'!K13</f>
        <v>0</v>
      </c>
      <c r="R718" s="66">
        <f t="shared" si="85"/>
        <v>0</v>
      </c>
      <c r="S718" s="65">
        <f>'Final Building Profile'!N13-'Final Building Profile'!O13</f>
        <v>0</v>
      </c>
      <c r="T718" s="65">
        <f t="shared" si="79"/>
        <v>0</v>
      </c>
      <c r="U718" s="204">
        <f>'Final Building Profile'!Q13</f>
        <v>0</v>
      </c>
      <c r="V718" s="65">
        <f>IF('Final Building Profile'!P13&lt;&gt;"", U718, 0) * T718</f>
        <v>0</v>
      </c>
      <c r="W718" s="266">
        <f t="shared" si="80"/>
        <v>0</v>
      </c>
      <c r="X718" s="266">
        <f t="shared" si="86"/>
        <v>0</v>
      </c>
      <c r="Y718" s="266" t="e">
        <f t="shared" si="81"/>
        <v>#DIV/0!</v>
      </c>
      <c r="Z718" s="266" t="e">
        <f t="shared" si="82"/>
        <v>#DIV/0!</v>
      </c>
      <c r="AA718" s="266" t="e">
        <f t="shared" si="83"/>
        <v>#DIV/0!</v>
      </c>
      <c r="AB718" s="65" t="e">
        <f t="shared" si="87"/>
        <v>#N/A</v>
      </c>
      <c r="AC718" s="65" t="e">
        <f t="shared" si="88"/>
        <v>#N/A</v>
      </c>
      <c r="AD718" s="65" t="e">
        <f t="shared" si="89"/>
        <v>#N/A</v>
      </c>
      <c r="AE718" s="65" t="e">
        <f t="shared" si="90"/>
        <v>#N/A</v>
      </c>
    </row>
    <row r="719" spans="1:31" ht="15" customHeight="1">
      <c r="A719">
        <f>'Final Building Profile'!A14</f>
        <v>11</v>
      </c>
      <c r="B719">
        <f>'Final Building Profile'!D14</f>
        <v>0</v>
      </c>
      <c r="C719">
        <f>'Final Building Profile'!E14</f>
        <v>0</v>
      </c>
      <c r="D719">
        <f>'Final Building Profile'!F14</f>
        <v>0</v>
      </c>
      <c r="E719" s="265">
        <f>'Final Building Profile'!G14</f>
        <v>0</v>
      </c>
      <c r="F719" s="265">
        <f>'Final Building Profile'!H14</f>
        <v>0</v>
      </c>
      <c r="G719" s="265">
        <f>'Final Building Profile'!I14</f>
        <v>0</v>
      </c>
      <c r="H719" s="197">
        <f t="shared" si="73"/>
        <v>0</v>
      </c>
      <c r="I719" s="197">
        <f t="shared" si="74"/>
        <v>0</v>
      </c>
      <c r="J719" s="137">
        <f t="shared" si="75"/>
        <v>0</v>
      </c>
      <c r="K719" s="66">
        <f>'Final Building Profile'!L14</f>
        <v>0</v>
      </c>
      <c r="L719" s="66">
        <f t="shared" si="84"/>
        <v>0</v>
      </c>
      <c r="M719">
        <f>'Final Building Profile'!M14</f>
        <v>0</v>
      </c>
      <c r="N719" s="66">
        <f t="shared" si="76"/>
        <v>0</v>
      </c>
      <c r="O719" s="66">
        <f t="shared" si="77"/>
        <v>0</v>
      </c>
      <c r="P719" s="66">
        <f t="shared" si="78"/>
        <v>0</v>
      </c>
      <c r="Q719" s="204">
        <f>'Final Building Profile'!K14</f>
        <v>0</v>
      </c>
      <c r="R719" s="66">
        <f t="shared" si="85"/>
        <v>0</v>
      </c>
      <c r="S719" s="65">
        <f>'Final Building Profile'!N14-'Final Building Profile'!O14</f>
        <v>0</v>
      </c>
      <c r="T719" s="65">
        <f t="shared" si="79"/>
        <v>0</v>
      </c>
      <c r="U719" s="204">
        <f>'Final Building Profile'!Q14</f>
        <v>0</v>
      </c>
      <c r="V719" s="65">
        <f>IF('Final Building Profile'!P14&lt;&gt;"", U719, 0) * T719</f>
        <v>0</v>
      </c>
      <c r="W719" s="266">
        <f t="shared" si="80"/>
        <v>0</v>
      </c>
      <c r="X719" s="266">
        <f t="shared" si="86"/>
        <v>0</v>
      </c>
      <c r="Y719" s="266" t="e">
        <f t="shared" si="81"/>
        <v>#DIV/0!</v>
      </c>
      <c r="Z719" s="266" t="e">
        <f t="shared" si="82"/>
        <v>#DIV/0!</v>
      </c>
      <c r="AA719" s="266" t="e">
        <f t="shared" si="83"/>
        <v>#DIV/0!</v>
      </c>
      <c r="AB719" s="65" t="e">
        <f t="shared" si="87"/>
        <v>#N/A</v>
      </c>
      <c r="AC719" s="65" t="e">
        <f t="shared" si="88"/>
        <v>#N/A</v>
      </c>
      <c r="AD719" s="65" t="e">
        <f t="shared" si="89"/>
        <v>#N/A</v>
      </c>
      <c r="AE719" s="65" t="e">
        <f t="shared" si="90"/>
        <v>#N/A</v>
      </c>
    </row>
    <row r="720" spans="1:31" ht="15" customHeight="1">
      <c r="A720">
        <f>'Final Building Profile'!A15</f>
        <v>12</v>
      </c>
      <c r="B720">
        <f>'Final Building Profile'!D15</f>
        <v>0</v>
      </c>
      <c r="C720">
        <f>'Final Building Profile'!E15</f>
        <v>0</v>
      </c>
      <c r="D720">
        <f>'Final Building Profile'!F15</f>
        <v>0</v>
      </c>
      <c r="E720" s="265">
        <f>'Final Building Profile'!G15</f>
        <v>0</v>
      </c>
      <c r="F720" s="265">
        <f>'Final Building Profile'!H15</f>
        <v>0</v>
      </c>
      <c r="G720" s="265">
        <f>'Final Building Profile'!I15</f>
        <v>0</v>
      </c>
      <c r="H720" s="197">
        <f t="shared" si="73"/>
        <v>0</v>
      </c>
      <c r="I720" s="197">
        <f t="shared" si="74"/>
        <v>0</v>
      </c>
      <c r="J720" s="137">
        <f t="shared" si="75"/>
        <v>0</v>
      </c>
      <c r="K720" s="66">
        <f>'Final Building Profile'!L15</f>
        <v>0</v>
      </c>
      <c r="L720" s="66">
        <f t="shared" si="84"/>
        <v>0</v>
      </c>
      <c r="M720">
        <f>'Final Building Profile'!M15</f>
        <v>0</v>
      </c>
      <c r="N720" s="66">
        <f t="shared" si="76"/>
        <v>0</v>
      </c>
      <c r="O720" s="66">
        <f t="shared" si="77"/>
        <v>0</v>
      </c>
      <c r="P720" s="66">
        <f t="shared" si="78"/>
        <v>0</v>
      </c>
      <c r="Q720" s="204">
        <f>'Final Building Profile'!K15</f>
        <v>0</v>
      </c>
      <c r="R720" s="66">
        <f t="shared" si="85"/>
        <v>0</v>
      </c>
      <c r="S720" s="65">
        <f>'Final Building Profile'!N15-'Final Building Profile'!O15</f>
        <v>0</v>
      </c>
      <c r="T720" s="65">
        <f t="shared" si="79"/>
        <v>0</v>
      </c>
      <c r="U720" s="204">
        <f>'Final Building Profile'!Q15</f>
        <v>0</v>
      </c>
      <c r="V720" s="65">
        <f>IF('Final Building Profile'!P15&lt;&gt;"", U720, 0) * T720</f>
        <v>0</v>
      </c>
      <c r="W720" s="266">
        <f t="shared" si="80"/>
        <v>0</v>
      </c>
      <c r="X720" s="266">
        <f t="shared" si="86"/>
        <v>0</v>
      </c>
      <c r="Y720" s="266" t="e">
        <f t="shared" si="81"/>
        <v>#DIV/0!</v>
      </c>
      <c r="Z720" s="266" t="e">
        <f t="shared" si="82"/>
        <v>#DIV/0!</v>
      </c>
      <c r="AA720" s="266" t="e">
        <f t="shared" si="83"/>
        <v>#DIV/0!</v>
      </c>
      <c r="AB720" s="65" t="e">
        <f t="shared" si="87"/>
        <v>#N/A</v>
      </c>
      <c r="AC720" s="65" t="e">
        <f t="shared" si="88"/>
        <v>#N/A</v>
      </c>
      <c r="AD720" s="65" t="e">
        <f t="shared" si="89"/>
        <v>#N/A</v>
      </c>
      <c r="AE720" s="65" t="e">
        <f t="shared" si="90"/>
        <v>#N/A</v>
      </c>
    </row>
    <row r="721" spans="1:31" ht="15" customHeight="1">
      <c r="A721">
        <f>'Final Building Profile'!A16</f>
        <v>13</v>
      </c>
      <c r="B721">
        <f>'Final Building Profile'!D16</f>
        <v>0</v>
      </c>
      <c r="C721">
        <f>'Final Building Profile'!E16</f>
        <v>0</v>
      </c>
      <c r="D721">
        <f>'Final Building Profile'!F16</f>
        <v>0</v>
      </c>
      <c r="E721" s="265">
        <f>'Final Building Profile'!G16</f>
        <v>0</v>
      </c>
      <c r="F721" s="265">
        <f>'Final Building Profile'!H16</f>
        <v>0</v>
      </c>
      <c r="G721" s="265">
        <f>'Final Building Profile'!I16</f>
        <v>0</v>
      </c>
      <c r="H721" s="197">
        <f t="shared" si="73"/>
        <v>0</v>
      </c>
      <c r="I721" s="197">
        <f t="shared" si="74"/>
        <v>0</v>
      </c>
      <c r="J721" s="137">
        <f t="shared" si="75"/>
        <v>0</v>
      </c>
      <c r="K721" s="66">
        <f>'Final Building Profile'!L16</f>
        <v>0</v>
      </c>
      <c r="L721" s="66">
        <f t="shared" si="84"/>
        <v>0</v>
      </c>
      <c r="M721">
        <f>'Final Building Profile'!M16</f>
        <v>0</v>
      </c>
      <c r="N721" s="66">
        <f t="shared" si="76"/>
        <v>0</v>
      </c>
      <c r="O721" s="66">
        <f t="shared" si="77"/>
        <v>0</v>
      </c>
      <c r="P721" s="66">
        <f t="shared" si="78"/>
        <v>0</v>
      </c>
      <c r="Q721" s="204">
        <f>'Final Building Profile'!K16</f>
        <v>0</v>
      </c>
      <c r="R721" s="66">
        <f t="shared" si="85"/>
        <v>0</v>
      </c>
      <c r="S721" s="65">
        <f>'Final Building Profile'!N16-'Final Building Profile'!O16</f>
        <v>0</v>
      </c>
      <c r="T721" s="65">
        <f t="shared" si="79"/>
        <v>0</v>
      </c>
      <c r="U721" s="204">
        <f>'Final Building Profile'!Q16</f>
        <v>0</v>
      </c>
      <c r="V721" s="65">
        <f>IF('Final Building Profile'!P16&lt;&gt;"", U721, 0) * T721</f>
        <v>0</v>
      </c>
      <c r="W721" s="266">
        <f t="shared" si="80"/>
        <v>0</v>
      </c>
      <c r="X721" s="266">
        <f t="shared" si="86"/>
        <v>0</v>
      </c>
      <c r="Y721" s="266" t="e">
        <f t="shared" si="81"/>
        <v>#DIV/0!</v>
      </c>
      <c r="Z721" s="266" t="e">
        <f t="shared" si="82"/>
        <v>#DIV/0!</v>
      </c>
      <c r="AA721" s="266" t="e">
        <f t="shared" si="83"/>
        <v>#DIV/0!</v>
      </c>
      <c r="AB721" s="65" t="e">
        <f t="shared" si="87"/>
        <v>#N/A</v>
      </c>
      <c r="AC721" s="65" t="e">
        <f t="shared" si="88"/>
        <v>#N/A</v>
      </c>
      <c r="AD721" s="65" t="e">
        <f t="shared" si="89"/>
        <v>#N/A</v>
      </c>
      <c r="AE721" s="65" t="e">
        <f t="shared" si="90"/>
        <v>#N/A</v>
      </c>
    </row>
    <row r="722" spans="1:31" ht="15" customHeight="1">
      <c r="A722">
        <f>'Final Building Profile'!A17</f>
        <v>14</v>
      </c>
      <c r="B722">
        <f>'Final Building Profile'!D17</f>
        <v>0</v>
      </c>
      <c r="C722">
        <f>'Final Building Profile'!E17</f>
        <v>0</v>
      </c>
      <c r="D722">
        <f>'Final Building Profile'!F17</f>
        <v>0</v>
      </c>
      <c r="E722" s="265">
        <f>'Final Building Profile'!G17</f>
        <v>0</v>
      </c>
      <c r="F722" s="265">
        <f>'Final Building Profile'!H17</f>
        <v>0</v>
      </c>
      <c r="G722" s="265">
        <f>'Final Building Profile'!I17</f>
        <v>0</v>
      </c>
      <c r="H722" s="197">
        <f t="shared" si="73"/>
        <v>0</v>
      </c>
      <c r="I722" s="197">
        <f t="shared" si="74"/>
        <v>0</v>
      </c>
      <c r="J722" s="137">
        <f t="shared" si="75"/>
        <v>0</v>
      </c>
      <c r="K722" s="66">
        <f>'Final Building Profile'!L17</f>
        <v>0</v>
      </c>
      <c r="L722" s="66">
        <f t="shared" si="84"/>
        <v>0</v>
      </c>
      <c r="M722">
        <f>'Final Building Profile'!M17</f>
        <v>0</v>
      </c>
      <c r="N722" s="66">
        <f t="shared" si="76"/>
        <v>0</v>
      </c>
      <c r="O722" s="66">
        <f t="shared" si="77"/>
        <v>0</v>
      </c>
      <c r="P722" s="66">
        <f t="shared" si="78"/>
        <v>0</v>
      </c>
      <c r="Q722" s="204">
        <f>'Final Building Profile'!K17</f>
        <v>0</v>
      </c>
      <c r="R722" s="66">
        <f t="shared" si="85"/>
        <v>0</v>
      </c>
      <c r="S722" s="65">
        <f>'Final Building Profile'!N17-'Final Building Profile'!O17</f>
        <v>0</v>
      </c>
      <c r="T722" s="65">
        <f t="shared" si="79"/>
        <v>0</v>
      </c>
      <c r="U722" s="204">
        <f>'Final Building Profile'!Q17</f>
        <v>0</v>
      </c>
      <c r="V722" s="65">
        <f>IF('Final Building Profile'!P17&lt;&gt;"", U722, 0) * T722</f>
        <v>0</v>
      </c>
      <c r="W722" s="266">
        <f t="shared" si="80"/>
        <v>0</v>
      </c>
      <c r="X722" s="266">
        <f t="shared" si="86"/>
        <v>0</v>
      </c>
      <c r="Y722" s="266" t="e">
        <f t="shared" si="81"/>
        <v>#DIV/0!</v>
      </c>
      <c r="Z722" s="266" t="e">
        <f t="shared" si="82"/>
        <v>#DIV/0!</v>
      </c>
      <c r="AA722" s="266" t="e">
        <f t="shared" si="83"/>
        <v>#DIV/0!</v>
      </c>
      <c r="AB722" s="65" t="e">
        <f t="shared" si="87"/>
        <v>#N/A</v>
      </c>
      <c r="AC722" s="65" t="e">
        <f t="shared" si="88"/>
        <v>#N/A</v>
      </c>
      <c r="AD722" s="65" t="e">
        <f t="shared" si="89"/>
        <v>#N/A</v>
      </c>
      <c r="AE722" s="65" t="e">
        <f t="shared" si="90"/>
        <v>#N/A</v>
      </c>
    </row>
    <row r="723" spans="1:31" ht="15" customHeight="1">
      <c r="A723">
        <f>'Final Building Profile'!A18</f>
        <v>15</v>
      </c>
      <c r="B723">
        <f>'Final Building Profile'!D18</f>
        <v>0</v>
      </c>
      <c r="C723">
        <f>'Final Building Profile'!E18</f>
        <v>0</v>
      </c>
      <c r="D723">
        <f>'Final Building Profile'!F18</f>
        <v>0</v>
      </c>
      <c r="E723" s="265">
        <f>'Final Building Profile'!G18</f>
        <v>0</v>
      </c>
      <c r="F723" s="265">
        <f>'Final Building Profile'!H18</f>
        <v>0</v>
      </c>
      <c r="G723" s="265">
        <f>'Final Building Profile'!I18</f>
        <v>0</v>
      </c>
      <c r="H723" s="197">
        <f t="shared" si="73"/>
        <v>0</v>
      </c>
      <c r="I723" s="197">
        <f t="shared" si="74"/>
        <v>0</v>
      </c>
      <c r="J723" s="137">
        <f t="shared" si="75"/>
        <v>0</v>
      </c>
      <c r="K723" s="66">
        <f>'Final Building Profile'!L18</f>
        <v>0</v>
      </c>
      <c r="L723" s="66">
        <f t="shared" si="84"/>
        <v>0</v>
      </c>
      <c r="M723">
        <f>'Final Building Profile'!M18</f>
        <v>0</v>
      </c>
      <c r="N723" s="66">
        <f t="shared" si="76"/>
        <v>0</v>
      </c>
      <c r="O723" s="66">
        <f t="shared" si="77"/>
        <v>0</v>
      </c>
      <c r="P723" s="66">
        <f t="shared" si="78"/>
        <v>0</v>
      </c>
      <c r="Q723" s="204">
        <f>'Final Building Profile'!K18</f>
        <v>0</v>
      </c>
      <c r="R723" s="66">
        <f t="shared" si="85"/>
        <v>0</v>
      </c>
      <c r="S723" s="65">
        <f>'Final Building Profile'!N18-'Final Building Profile'!O18</f>
        <v>0</v>
      </c>
      <c r="T723" s="65">
        <f t="shared" si="79"/>
        <v>0</v>
      </c>
      <c r="U723" s="204">
        <f>'Final Building Profile'!Q18</f>
        <v>0</v>
      </c>
      <c r="V723" s="65">
        <f>IF('Final Building Profile'!P18&lt;&gt;"", U723, 0) * T723</f>
        <v>0</v>
      </c>
      <c r="W723" s="266">
        <f t="shared" si="80"/>
        <v>0</v>
      </c>
      <c r="X723" s="266">
        <f t="shared" si="86"/>
        <v>0</v>
      </c>
      <c r="Y723" s="266" t="e">
        <f t="shared" si="81"/>
        <v>#DIV/0!</v>
      </c>
      <c r="Z723" s="266" t="e">
        <f t="shared" si="82"/>
        <v>#DIV/0!</v>
      </c>
      <c r="AA723" s="266" t="e">
        <f t="shared" si="83"/>
        <v>#DIV/0!</v>
      </c>
      <c r="AB723" s="65" t="e">
        <f t="shared" si="87"/>
        <v>#N/A</v>
      </c>
      <c r="AC723" s="65" t="e">
        <f t="shared" si="88"/>
        <v>#N/A</v>
      </c>
      <c r="AD723" s="65" t="e">
        <f t="shared" si="89"/>
        <v>#N/A</v>
      </c>
      <c r="AE723" s="65" t="e">
        <f t="shared" si="90"/>
        <v>#N/A</v>
      </c>
    </row>
    <row r="724" spans="1:31" ht="15" customHeight="1">
      <c r="A724">
        <f>'Final Building Profile'!A19</f>
        <v>16</v>
      </c>
      <c r="B724">
        <f>'Final Building Profile'!D19</f>
        <v>0</v>
      </c>
      <c r="C724">
        <f>'Final Building Profile'!E19</f>
        <v>0</v>
      </c>
      <c r="D724">
        <f>'Final Building Profile'!F19</f>
        <v>0</v>
      </c>
      <c r="E724" s="265">
        <f>'Final Building Profile'!G19</f>
        <v>0</v>
      </c>
      <c r="F724" s="265">
        <f>'Final Building Profile'!H19</f>
        <v>0</v>
      </c>
      <c r="G724" s="265">
        <f>'Final Building Profile'!I19</f>
        <v>0</v>
      </c>
      <c r="H724" s="197">
        <f t="shared" si="73"/>
        <v>0</v>
      </c>
      <c r="I724" s="197">
        <f t="shared" si="74"/>
        <v>0</v>
      </c>
      <c r="J724" s="137">
        <f t="shared" si="75"/>
        <v>0</v>
      </c>
      <c r="K724" s="66">
        <f>'Final Building Profile'!L19</f>
        <v>0</v>
      </c>
      <c r="L724" s="66">
        <f t="shared" si="84"/>
        <v>0</v>
      </c>
      <c r="M724">
        <f>'Final Building Profile'!M19</f>
        <v>0</v>
      </c>
      <c r="N724" s="66">
        <f t="shared" si="76"/>
        <v>0</v>
      </c>
      <c r="O724" s="66">
        <f t="shared" si="77"/>
        <v>0</v>
      </c>
      <c r="P724" s="66">
        <f t="shared" si="78"/>
        <v>0</v>
      </c>
      <c r="Q724" s="204">
        <f>'Final Building Profile'!K19</f>
        <v>0</v>
      </c>
      <c r="R724" s="66">
        <f t="shared" si="85"/>
        <v>0</v>
      </c>
      <c r="S724" s="65">
        <f>'Final Building Profile'!N19-'Final Building Profile'!O19</f>
        <v>0</v>
      </c>
      <c r="T724" s="65">
        <f t="shared" si="79"/>
        <v>0</v>
      </c>
      <c r="U724" s="204">
        <f>'Final Building Profile'!Q19</f>
        <v>0</v>
      </c>
      <c r="V724" s="65">
        <f>IF('Final Building Profile'!P19&lt;&gt;"", U724, 0) * T724</f>
        <v>0</v>
      </c>
      <c r="W724" s="266">
        <f t="shared" si="80"/>
        <v>0</v>
      </c>
      <c r="X724" s="266">
        <f t="shared" si="86"/>
        <v>0</v>
      </c>
      <c r="Y724" s="266" t="e">
        <f t="shared" si="81"/>
        <v>#DIV/0!</v>
      </c>
      <c r="Z724" s="266" t="e">
        <f t="shared" si="82"/>
        <v>#DIV/0!</v>
      </c>
      <c r="AA724" s="266" t="e">
        <f t="shared" si="83"/>
        <v>#DIV/0!</v>
      </c>
      <c r="AB724" s="65" t="e">
        <f t="shared" si="87"/>
        <v>#N/A</v>
      </c>
      <c r="AC724" s="65" t="e">
        <f t="shared" si="88"/>
        <v>#N/A</v>
      </c>
      <c r="AD724" s="65" t="e">
        <f t="shared" si="89"/>
        <v>#N/A</v>
      </c>
      <c r="AE724" s="65" t="e">
        <f t="shared" si="90"/>
        <v>#N/A</v>
      </c>
    </row>
    <row r="725" spans="1:31" ht="15" customHeight="1">
      <c r="A725">
        <f>'Final Building Profile'!A20</f>
        <v>17</v>
      </c>
      <c r="B725">
        <f>'Final Building Profile'!D20</f>
        <v>0</v>
      </c>
      <c r="C725">
        <f>'Final Building Profile'!E20</f>
        <v>0</v>
      </c>
      <c r="D725">
        <f>'Final Building Profile'!F20</f>
        <v>0</v>
      </c>
      <c r="E725" s="265">
        <f>'Final Building Profile'!G20</f>
        <v>0</v>
      </c>
      <c r="F725" s="265">
        <f>'Final Building Profile'!H20</f>
        <v>0</v>
      </c>
      <c r="G725" s="265">
        <f>'Final Building Profile'!I20</f>
        <v>0</v>
      </c>
      <c r="H725" s="197">
        <f t="shared" si="73"/>
        <v>0</v>
      </c>
      <c r="I725" s="197">
        <f t="shared" si="74"/>
        <v>0</v>
      </c>
      <c r="J725" s="137">
        <f t="shared" si="75"/>
        <v>0</v>
      </c>
      <c r="K725" s="66">
        <f>'Final Building Profile'!L20</f>
        <v>0</v>
      </c>
      <c r="L725" s="66">
        <f t="shared" si="84"/>
        <v>0</v>
      </c>
      <c r="M725">
        <f>'Final Building Profile'!M20</f>
        <v>0</v>
      </c>
      <c r="N725" s="66">
        <f t="shared" si="76"/>
        <v>0</v>
      </c>
      <c r="O725" s="66">
        <f t="shared" si="77"/>
        <v>0</v>
      </c>
      <c r="P725" s="66">
        <f t="shared" si="78"/>
        <v>0</v>
      </c>
      <c r="Q725" s="204">
        <f>'Final Building Profile'!K20</f>
        <v>0</v>
      </c>
      <c r="R725" s="66">
        <f t="shared" si="85"/>
        <v>0</v>
      </c>
      <c r="S725" s="65">
        <f>'Final Building Profile'!N20-'Final Building Profile'!O20</f>
        <v>0</v>
      </c>
      <c r="T725" s="65">
        <f t="shared" si="79"/>
        <v>0</v>
      </c>
      <c r="U725" s="204">
        <f>'Final Building Profile'!Q20</f>
        <v>0</v>
      </c>
      <c r="V725" s="65">
        <f>IF('Final Building Profile'!P20&lt;&gt;"", U725, 0) * T725</f>
        <v>0</v>
      </c>
      <c r="W725" s="266">
        <f t="shared" si="80"/>
        <v>0</v>
      </c>
      <c r="X725" s="266">
        <f t="shared" si="86"/>
        <v>0</v>
      </c>
      <c r="Y725" s="266" t="e">
        <f t="shared" si="81"/>
        <v>#DIV/0!</v>
      </c>
      <c r="Z725" s="266" t="e">
        <f t="shared" si="82"/>
        <v>#DIV/0!</v>
      </c>
      <c r="AA725" s="266" t="e">
        <f t="shared" si="83"/>
        <v>#DIV/0!</v>
      </c>
      <c r="AB725" s="65" t="e">
        <f t="shared" si="87"/>
        <v>#N/A</v>
      </c>
      <c r="AC725" s="65" t="e">
        <f t="shared" si="88"/>
        <v>#N/A</v>
      </c>
      <c r="AD725" s="65" t="e">
        <f t="shared" si="89"/>
        <v>#N/A</v>
      </c>
      <c r="AE725" s="65" t="e">
        <f t="shared" si="90"/>
        <v>#N/A</v>
      </c>
    </row>
    <row r="726" spans="1:31" ht="15" customHeight="1">
      <c r="A726">
        <f>'Final Building Profile'!A21</f>
        <v>18</v>
      </c>
      <c r="B726">
        <f>'Final Building Profile'!D21</f>
        <v>0</v>
      </c>
      <c r="C726">
        <f>'Final Building Profile'!E21</f>
        <v>0</v>
      </c>
      <c r="D726">
        <f>'Final Building Profile'!F21</f>
        <v>0</v>
      </c>
      <c r="E726" s="265">
        <f>'Final Building Profile'!G21</f>
        <v>0</v>
      </c>
      <c r="F726" s="265">
        <f>'Final Building Profile'!H21</f>
        <v>0</v>
      </c>
      <c r="G726" s="265">
        <f>'Final Building Profile'!I21</f>
        <v>0</v>
      </c>
      <c r="H726" s="197">
        <f t="shared" si="73"/>
        <v>0</v>
      </c>
      <c r="I726" s="197">
        <f t="shared" si="74"/>
        <v>0</v>
      </c>
      <c r="J726" s="137">
        <f t="shared" si="75"/>
        <v>0</v>
      </c>
      <c r="K726" s="66">
        <f>'Final Building Profile'!L21</f>
        <v>0</v>
      </c>
      <c r="L726" s="66">
        <f t="shared" si="84"/>
        <v>0</v>
      </c>
      <c r="M726">
        <f>'Final Building Profile'!M21</f>
        <v>0</v>
      </c>
      <c r="N726" s="66">
        <f t="shared" si="76"/>
        <v>0</v>
      </c>
      <c r="O726" s="66">
        <f t="shared" si="77"/>
        <v>0</v>
      </c>
      <c r="P726" s="66">
        <f t="shared" si="78"/>
        <v>0</v>
      </c>
      <c r="Q726" s="204">
        <f>'Final Building Profile'!K21</f>
        <v>0</v>
      </c>
      <c r="R726" s="66">
        <f t="shared" si="85"/>
        <v>0</v>
      </c>
      <c r="S726" s="65">
        <f>'Final Building Profile'!N21-'Final Building Profile'!O21</f>
        <v>0</v>
      </c>
      <c r="T726" s="65">
        <f t="shared" si="79"/>
        <v>0</v>
      </c>
      <c r="U726" s="204">
        <f>'Final Building Profile'!Q21</f>
        <v>0</v>
      </c>
      <c r="V726" s="65">
        <f>IF('Final Building Profile'!P21&lt;&gt;"", U726, 0) * T726</f>
        <v>0</v>
      </c>
      <c r="W726" s="266">
        <f t="shared" si="80"/>
        <v>0</v>
      </c>
      <c r="X726" s="266">
        <f t="shared" si="86"/>
        <v>0</v>
      </c>
      <c r="Y726" s="266" t="e">
        <f t="shared" si="81"/>
        <v>#DIV/0!</v>
      </c>
      <c r="Z726" s="266" t="e">
        <f t="shared" si="82"/>
        <v>#DIV/0!</v>
      </c>
      <c r="AA726" s="266" t="e">
        <f t="shared" si="83"/>
        <v>#DIV/0!</v>
      </c>
      <c r="AB726" s="65" t="e">
        <f t="shared" si="87"/>
        <v>#N/A</v>
      </c>
      <c r="AC726" s="65" t="e">
        <f t="shared" si="88"/>
        <v>#N/A</v>
      </c>
      <c r="AD726" s="65" t="e">
        <f t="shared" si="89"/>
        <v>#N/A</v>
      </c>
      <c r="AE726" s="65" t="e">
        <f t="shared" si="90"/>
        <v>#N/A</v>
      </c>
    </row>
    <row r="727" spans="1:31" ht="15" customHeight="1">
      <c r="A727">
        <f>'Final Building Profile'!A22</f>
        <v>19</v>
      </c>
      <c r="B727">
        <f>'Final Building Profile'!D22</f>
        <v>0</v>
      </c>
      <c r="C727">
        <f>'Final Building Profile'!E22</f>
        <v>0</v>
      </c>
      <c r="D727">
        <f>'Final Building Profile'!F22</f>
        <v>0</v>
      </c>
      <c r="E727" s="265">
        <f>'Final Building Profile'!G22</f>
        <v>0</v>
      </c>
      <c r="F727" s="265">
        <f>'Final Building Profile'!H22</f>
        <v>0</v>
      </c>
      <c r="G727" s="265">
        <f>'Final Building Profile'!I22</f>
        <v>0</v>
      </c>
      <c r="H727" s="197">
        <f t="shared" si="73"/>
        <v>0</v>
      </c>
      <c r="I727" s="197">
        <f t="shared" si="74"/>
        <v>0</v>
      </c>
      <c r="J727" s="137">
        <f t="shared" si="75"/>
        <v>0</v>
      </c>
      <c r="K727" s="66">
        <f>'Final Building Profile'!L22</f>
        <v>0</v>
      </c>
      <c r="L727" s="66">
        <f t="shared" si="84"/>
        <v>0</v>
      </c>
      <c r="M727">
        <f>'Final Building Profile'!M22</f>
        <v>0</v>
      </c>
      <c r="N727" s="66">
        <f t="shared" si="76"/>
        <v>0</v>
      </c>
      <c r="O727" s="66">
        <f t="shared" si="77"/>
        <v>0</v>
      </c>
      <c r="P727" s="66">
        <f t="shared" si="78"/>
        <v>0</v>
      </c>
      <c r="Q727" s="204">
        <f>'Final Building Profile'!K22</f>
        <v>0</v>
      </c>
      <c r="R727" s="66">
        <f t="shared" si="85"/>
        <v>0</v>
      </c>
      <c r="S727" s="65">
        <f>'Final Building Profile'!N22-'Final Building Profile'!O22</f>
        <v>0</v>
      </c>
      <c r="T727" s="65">
        <f t="shared" si="79"/>
        <v>0</v>
      </c>
      <c r="U727" s="204">
        <f>'Final Building Profile'!Q22</f>
        <v>0</v>
      </c>
      <c r="V727" s="65">
        <f>IF('Final Building Profile'!P22&lt;&gt;"", U727, 0) * T727</f>
        <v>0</v>
      </c>
      <c r="W727" s="266">
        <f t="shared" si="80"/>
        <v>0</v>
      </c>
      <c r="X727" s="266">
        <f t="shared" si="86"/>
        <v>0</v>
      </c>
      <c r="Y727" s="266" t="e">
        <f t="shared" si="81"/>
        <v>#DIV/0!</v>
      </c>
      <c r="Z727" s="266" t="e">
        <f t="shared" si="82"/>
        <v>#DIV/0!</v>
      </c>
      <c r="AA727" s="266" t="e">
        <f t="shared" si="83"/>
        <v>#DIV/0!</v>
      </c>
      <c r="AB727" s="65" t="e">
        <f t="shared" si="87"/>
        <v>#N/A</v>
      </c>
      <c r="AC727" s="65" t="e">
        <f t="shared" si="88"/>
        <v>#N/A</v>
      </c>
      <c r="AD727" s="65" t="e">
        <f t="shared" si="89"/>
        <v>#N/A</v>
      </c>
      <c r="AE727" s="65" t="e">
        <f t="shared" si="90"/>
        <v>#N/A</v>
      </c>
    </row>
    <row r="728" spans="1:31" ht="15" customHeight="1">
      <c r="A728">
        <f>'Final Building Profile'!A23</f>
        <v>20</v>
      </c>
      <c r="B728">
        <f>'Final Building Profile'!D23</f>
        <v>0</v>
      </c>
      <c r="C728">
        <f>'Final Building Profile'!E23</f>
        <v>0</v>
      </c>
      <c r="D728">
        <f>'Final Building Profile'!F23</f>
        <v>0</v>
      </c>
      <c r="E728" s="265">
        <f>'Final Building Profile'!G23</f>
        <v>0</v>
      </c>
      <c r="F728" s="265">
        <f>'Final Building Profile'!H23</f>
        <v>0</v>
      </c>
      <c r="G728" s="265">
        <f>'Final Building Profile'!I23</f>
        <v>0</v>
      </c>
      <c r="H728" s="197">
        <f t="shared" si="73"/>
        <v>0</v>
      </c>
      <c r="I728" s="197">
        <f t="shared" si="74"/>
        <v>0</v>
      </c>
      <c r="J728" s="137">
        <f t="shared" si="75"/>
        <v>0</v>
      </c>
      <c r="K728" s="66">
        <f>'Final Building Profile'!L23</f>
        <v>0</v>
      </c>
      <c r="L728" s="66">
        <f t="shared" si="84"/>
        <v>0</v>
      </c>
      <c r="M728">
        <f>'Final Building Profile'!M23</f>
        <v>0</v>
      </c>
      <c r="N728" s="66">
        <f t="shared" si="76"/>
        <v>0</v>
      </c>
      <c r="O728" s="66">
        <f t="shared" si="77"/>
        <v>0</v>
      </c>
      <c r="P728" s="66">
        <f t="shared" si="78"/>
        <v>0</v>
      </c>
      <c r="Q728" s="204">
        <f>'Final Building Profile'!K23</f>
        <v>0</v>
      </c>
      <c r="R728" s="66">
        <f t="shared" si="85"/>
        <v>0</v>
      </c>
      <c r="S728" s="65">
        <f>'Final Building Profile'!N23-'Final Building Profile'!O23</f>
        <v>0</v>
      </c>
      <c r="T728" s="65">
        <f t="shared" si="79"/>
        <v>0</v>
      </c>
      <c r="U728" s="204">
        <f>'Final Building Profile'!Q23</f>
        <v>0</v>
      </c>
      <c r="V728" s="65">
        <f>IF('Final Building Profile'!P23&lt;&gt;"", U728, 0) * T728</f>
        <v>0</v>
      </c>
      <c r="W728" s="266">
        <f t="shared" si="80"/>
        <v>0</v>
      </c>
      <c r="X728" s="266">
        <f t="shared" si="86"/>
        <v>0</v>
      </c>
      <c r="Y728" s="266" t="e">
        <f t="shared" si="81"/>
        <v>#DIV/0!</v>
      </c>
      <c r="Z728" s="266" t="e">
        <f t="shared" si="82"/>
        <v>#DIV/0!</v>
      </c>
      <c r="AA728" s="266" t="e">
        <f t="shared" si="83"/>
        <v>#DIV/0!</v>
      </c>
      <c r="AB728" s="65" t="e">
        <f t="shared" si="87"/>
        <v>#N/A</v>
      </c>
      <c r="AC728" s="65" t="e">
        <f t="shared" si="88"/>
        <v>#N/A</v>
      </c>
      <c r="AD728" s="65" t="e">
        <f t="shared" si="89"/>
        <v>#N/A</v>
      </c>
      <c r="AE728" s="65" t="e">
        <f t="shared" si="90"/>
        <v>#N/A</v>
      </c>
    </row>
    <row r="729" spans="1:31" ht="15" customHeight="1">
      <c r="A729">
        <f>'Final Building Profile'!A24</f>
        <v>21</v>
      </c>
      <c r="B729">
        <f>'Final Building Profile'!D24</f>
        <v>0</v>
      </c>
      <c r="C729">
        <f>'Final Building Profile'!E24</f>
        <v>0</v>
      </c>
      <c r="D729">
        <f>'Final Building Profile'!F24</f>
        <v>0</v>
      </c>
      <c r="E729" s="265">
        <f>'Final Building Profile'!G24</f>
        <v>0</v>
      </c>
      <c r="F729" s="265">
        <f>'Final Building Profile'!H24</f>
        <v>0</v>
      </c>
      <c r="G729" s="265">
        <f>'Final Building Profile'!I24</f>
        <v>0</v>
      </c>
      <c r="H729" s="197">
        <f t="shared" si="73"/>
        <v>0</v>
      </c>
      <c r="I729" s="197">
        <f t="shared" si="74"/>
        <v>0</v>
      </c>
      <c r="J729" s="137">
        <f t="shared" si="75"/>
        <v>0</v>
      </c>
      <c r="K729" s="66">
        <f>'Final Building Profile'!L24</f>
        <v>0</v>
      </c>
      <c r="L729" s="66">
        <f t="shared" si="84"/>
        <v>0</v>
      </c>
      <c r="M729">
        <f>'Final Building Profile'!M24</f>
        <v>0</v>
      </c>
      <c r="N729" s="66">
        <f t="shared" si="76"/>
        <v>0</v>
      </c>
      <c r="O729" s="66">
        <f t="shared" si="77"/>
        <v>0</v>
      </c>
      <c r="P729" s="66">
        <f t="shared" si="78"/>
        <v>0</v>
      </c>
      <c r="Q729" s="204">
        <f>'Final Building Profile'!K24</f>
        <v>0</v>
      </c>
      <c r="R729" s="66">
        <f t="shared" si="85"/>
        <v>0</v>
      </c>
      <c r="S729" s="65">
        <f>'Final Building Profile'!N24-'Final Building Profile'!O24</f>
        <v>0</v>
      </c>
      <c r="T729" s="65">
        <f t="shared" si="79"/>
        <v>0</v>
      </c>
      <c r="U729" s="204">
        <f>'Final Building Profile'!Q24</f>
        <v>0</v>
      </c>
      <c r="V729" s="65">
        <f>IF('Final Building Profile'!P24&lt;&gt;"", U729, 0) * T729</f>
        <v>0</v>
      </c>
      <c r="W729" s="266">
        <f t="shared" si="80"/>
        <v>0</v>
      </c>
      <c r="X729" s="266">
        <f t="shared" si="86"/>
        <v>0</v>
      </c>
      <c r="Y729" s="266" t="e">
        <f t="shared" si="81"/>
        <v>#DIV/0!</v>
      </c>
      <c r="Z729" s="266" t="e">
        <f t="shared" si="82"/>
        <v>#DIV/0!</v>
      </c>
      <c r="AA729" s="266" t="e">
        <f t="shared" si="83"/>
        <v>#DIV/0!</v>
      </c>
      <c r="AB729" s="65" t="e">
        <f t="shared" si="87"/>
        <v>#N/A</v>
      </c>
      <c r="AC729" s="65" t="e">
        <f t="shared" si="88"/>
        <v>#N/A</v>
      </c>
      <c r="AD729" s="65" t="e">
        <f t="shared" si="89"/>
        <v>#N/A</v>
      </c>
      <c r="AE729" s="65" t="e">
        <f t="shared" si="90"/>
        <v>#N/A</v>
      </c>
    </row>
    <row r="730" spans="1:31" ht="15" customHeight="1">
      <c r="A730">
        <f>'Final Building Profile'!A25</f>
        <v>22</v>
      </c>
      <c r="B730">
        <f>'Final Building Profile'!D25</f>
        <v>0</v>
      </c>
      <c r="C730">
        <f>'Final Building Profile'!E25</f>
        <v>0</v>
      </c>
      <c r="D730">
        <f>'Final Building Profile'!F25</f>
        <v>0</v>
      </c>
      <c r="E730" s="265">
        <f>'Final Building Profile'!G25</f>
        <v>0</v>
      </c>
      <c r="F730" s="265">
        <f>'Final Building Profile'!H25</f>
        <v>0</v>
      </c>
      <c r="G730" s="265">
        <f>'Final Building Profile'!I25</f>
        <v>0</v>
      </c>
      <c r="H730" s="197">
        <f t="shared" si="73"/>
        <v>0</v>
      </c>
      <c r="I730" s="197">
        <f t="shared" si="74"/>
        <v>0</v>
      </c>
      <c r="J730" s="137">
        <f t="shared" si="75"/>
        <v>0</v>
      </c>
      <c r="K730" s="66">
        <f>'Final Building Profile'!L25</f>
        <v>0</v>
      </c>
      <c r="L730" s="66">
        <f t="shared" si="84"/>
        <v>0</v>
      </c>
      <c r="M730">
        <f>'Final Building Profile'!M25</f>
        <v>0</v>
      </c>
      <c r="N730" s="66">
        <f t="shared" si="76"/>
        <v>0</v>
      </c>
      <c r="O730" s="66">
        <f t="shared" si="77"/>
        <v>0</v>
      </c>
      <c r="P730" s="66">
        <f t="shared" si="78"/>
        <v>0</v>
      </c>
      <c r="Q730" s="204">
        <f>'Final Building Profile'!K25</f>
        <v>0</v>
      </c>
      <c r="R730" s="66">
        <f t="shared" si="85"/>
        <v>0</v>
      </c>
      <c r="S730" s="65">
        <f>'Final Building Profile'!N25-'Final Building Profile'!O25</f>
        <v>0</v>
      </c>
      <c r="T730" s="65">
        <f t="shared" si="79"/>
        <v>0</v>
      </c>
      <c r="U730" s="204">
        <f>'Final Building Profile'!Q25</f>
        <v>0</v>
      </c>
      <c r="V730" s="65">
        <f>IF('Final Building Profile'!P25&lt;&gt;"", U730, 0) * T730</f>
        <v>0</v>
      </c>
      <c r="W730" s="266">
        <f t="shared" si="80"/>
        <v>0</v>
      </c>
      <c r="X730" s="266">
        <f t="shared" si="86"/>
        <v>0</v>
      </c>
      <c r="Y730" s="266" t="e">
        <f t="shared" si="81"/>
        <v>#DIV/0!</v>
      </c>
      <c r="Z730" s="266" t="e">
        <f t="shared" si="82"/>
        <v>#DIV/0!</v>
      </c>
      <c r="AA730" s="266" t="e">
        <f t="shared" si="83"/>
        <v>#DIV/0!</v>
      </c>
      <c r="AB730" s="65" t="e">
        <f t="shared" si="87"/>
        <v>#N/A</v>
      </c>
      <c r="AC730" s="65" t="e">
        <f t="shared" si="88"/>
        <v>#N/A</v>
      </c>
      <c r="AD730" s="65" t="e">
        <f t="shared" si="89"/>
        <v>#N/A</v>
      </c>
      <c r="AE730" s="65" t="e">
        <f t="shared" si="90"/>
        <v>#N/A</v>
      </c>
    </row>
    <row r="731" spans="1:31" ht="15" customHeight="1">
      <c r="A731">
        <f>'Final Building Profile'!A26</f>
        <v>23</v>
      </c>
      <c r="B731">
        <f>'Final Building Profile'!D26</f>
        <v>0</v>
      </c>
      <c r="C731">
        <f>'Final Building Profile'!E26</f>
        <v>0</v>
      </c>
      <c r="D731">
        <f>'Final Building Profile'!F26</f>
        <v>0</v>
      </c>
      <c r="E731" s="265">
        <f>'Final Building Profile'!G26</f>
        <v>0</v>
      </c>
      <c r="F731" s="265">
        <f>'Final Building Profile'!H26</f>
        <v>0</v>
      </c>
      <c r="G731" s="265">
        <f>'Final Building Profile'!I26</f>
        <v>0</v>
      </c>
      <c r="H731" s="197">
        <f t="shared" si="73"/>
        <v>0</v>
      </c>
      <c r="I731" s="197">
        <f t="shared" si="74"/>
        <v>0</v>
      </c>
      <c r="J731" s="137">
        <f t="shared" si="75"/>
        <v>0</v>
      </c>
      <c r="K731" s="66">
        <f>'Final Building Profile'!L26</f>
        <v>0</v>
      </c>
      <c r="L731" s="66">
        <f t="shared" si="84"/>
        <v>0</v>
      </c>
      <c r="M731">
        <f>'Final Building Profile'!M26</f>
        <v>0</v>
      </c>
      <c r="N731" s="66">
        <f t="shared" si="76"/>
        <v>0</v>
      </c>
      <c r="O731" s="66">
        <f t="shared" si="77"/>
        <v>0</v>
      </c>
      <c r="P731" s="66">
        <f t="shared" si="78"/>
        <v>0</v>
      </c>
      <c r="Q731" s="204">
        <f>'Final Building Profile'!K26</f>
        <v>0</v>
      </c>
      <c r="R731" s="66">
        <f t="shared" si="85"/>
        <v>0</v>
      </c>
      <c r="S731" s="65">
        <f>'Final Building Profile'!N26-'Final Building Profile'!O26</f>
        <v>0</v>
      </c>
      <c r="T731" s="65">
        <f t="shared" si="79"/>
        <v>0</v>
      </c>
      <c r="U731" s="204">
        <f>'Final Building Profile'!Q26</f>
        <v>0</v>
      </c>
      <c r="V731" s="65">
        <f>IF('Final Building Profile'!P26&lt;&gt;"", U731, 0) * T731</f>
        <v>0</v>
      </c>
      <c r="W731" s="266">
        <f t="shared" si="80"/>
        <v>0</v>
      </c>
      <c r="X731" s="266">
        <f t="shared" si="86"/>
        <v>0</v>
      </c>
      <c r="Y731" s="266" t="e">
        <f t="shared" si="81"/>
        <v>#DIV/0!</v>
      </c>
      <c r="Z731" s="266" t="e">
        <f t="shared" si="82"/>
        <v>#DIV/0!</v>
      </c>
      <c r="AA731" s="266" t="e">
        <f t="shared" si="83"/>
        <v>#DIV/0!</v>
      </c>
      <c r="AB731" s="65" t="e">
        <f t="shared" si="87"/>
        <v>#N/A</v>
      </c>
      <c r="AC731" s="65" t="e">
        <f t="shared" si="88"/>
        <v>#N/A</v>
      </c>
      <c r="AD731" s="65" t="e">
        <f t="shared" si="89"/>
        <v>#N/A</v>
      </c>
      <c r="AE731" s="65" t="e">
        <f t="shared" si="90"/>
        <v>#N/A</v>
      </c>
    </row>
    <row r="732" spans="1:31" ht="15" customHeight="1">
      <c r="A732">
        <f>'Final Building Profile'!A27</f>
        <v>24</v>
      </c>
      <c r="B732">
        <f>'Final Building Profile'!D27</f>
        <v>0</v>
      </c>
      <c r="C732">
        <f>'Final Building Profile'!E27</f>
        <v>0</v>
      </c>
      <c r="D732">
        <f>'Final Building Profile'!F27</f>
        <v>0</v>
      </c>
      <c r="E732" s="265">
        <f>'Final Building Profile'!G27</f>
        <v>0</v>
      </c>
      <c r="F732" s="265">
        <f>'Final Building Profile'!H27</f>
        <v>0</v>
      </c>
      <c r="G732" s="265">
        <f>'Final Building Profile'!I27</f>
        <v>0</v>
      </c>
      <c r="H732" s="197">
        <f t="shared" si="73"/>
        <v>0</v>
      </c>
      <c r="I732" s="197">
        <f t="shared" si="74"/>
        <v>0</v>
      </c>
      <c r="J732" s="137">
        <f t="shared" si="75"/>
        <v>0</v>
      </c>
      <c r="K732" s="66">
        <f>'Final Building Profile'!L27</f>
        <v>0</v>
      </c>
      <c r="L732" s="66">
        <f t="shared" si="84"/>
        <v>0</v>
      </c>
      <c r="M732">
        <f>'Final Building Profile'!M27</f>
        <v>0</v>
      </c>
      <c r="N732" s="66">
        <f t="shared" si="76"/>
        <v>0</v>
      </c>
      <c r="O732" s="66">
        <f t="shared" si="77"/>
        <v>0</v>
      </c>
      <c r="P732" s="66">
        <f t="shared" si="78"/>
        <v>0</v>
      </c>
      <c r="Q732" s="204">
        <f>'Final Building Profile'!K27</f>
        <v>0</v>
      </c>
      <c r="R732" s="66">
        <f t="shared" si="85"/>
        <v>0</v>
      </c>
      <c r="S732" s="65">
        <f>'Final Building Profile'!N27-'Final Building Profile'!O27</f>
        <v>0</v>
      </c>
      <c r="T732" s="65">
        <f t="shared" si="79"/>
        <v>0</v>
      </c>
      <c r="U732" s="204">
        <f>'Final Building Profile'!Q27</f>
        <v>0</v>
      </c>
      <c r="V732" s="65">
        <f>IF('Final Building Profile'!P27&lt;&gt;"", U732, 0) * T732</f>
        <v>0</v>
      </c>
      <c r="W732" s="266">
        <f t="shared" si="80"/>
        <v>0</v>
      </c>
      <c r="X732" s="266">
        <f t="shared" si="86"/>
        <v>0</v>
      </c>
      <c r="Y732" s="266" t="e">
        <f t="shared" si="81"/>
        <v>#DIV/0!</v>
      </c>
      <c r="Z732" s="266" t="e">
        <f t="shared" si="82"/>
        <v>#DIV/0!</v>
      </c>
      <c r="AA732" s="266" t="e">
        <f t="shared" si="83"/>
        <v>#DIV/0!</v>
      </c>
      <c r="AB732" s="65" t="e">
        <f t="shared" si="87"/>
        <v>#N/A</v>
      </c>
      <c r="AC732" s="65" t="e">
        <f t="shared" si="88"/>
        <v>#N/A</v>
      </c>
      <c r="AD732" s="65" t="e">
        <f t="shared" si="89"/>
        <v>#N/A</v>
      </c>
      <c r="AE732" s="65" t="e">
        <f t="shared" si="90"/>
        <v>#N/A</v>
      </c>
    </row>
    <row r="733" spans="1:31" ht="15" customHeight="1">
      <c r="A733">
        <f>'Final Building Profile'!A28</f>
        <v>25</v>
      </c>
      <c r="B733">
        <f>'Final Building Profile'!D28</f>
        <v>0</v>
      </c>
      <c r="C733">
        <f>'Final Building Profile'!E28</f>
        <v>0</v>
      </c>
      <c r="D733">
        <f>'Final Building Profile'!F28</f>
        <v>0</v>
      </c>
      <c r="E733" s="265">
        <f>'Final Building Profile'!G28</f>
        <v>0</v>
      </c>
      <c r="F733" s="265">
        <f>'Final Building Profile'!H28</f>
        <v>0</v>
      </c>
      <c r="G733" s="265">
        <f>'Final Building Profile'!I28</f>
        <v>0</v>
      </c>
      <c r="H733" s="197">
        <f t="shared" si="73"/>
        <v>0</v>
      </c>
      <c r="I733" s="197">
        <f t="shared" si="74"/>
        <v>0</v>
      </c>
      <c r="J733" s="137">
        <f t="shared" si="75"/>
        <v>0</v>
      </c>
      <c r="K733" s="66">
        <f>'Final Building Profile'!L28</f>
        <v>0</v>
      </c>
      <c r="L733" s="66">
        <f t="shared" si="84"/>
        <v>0</v>
      </c>
      <c r="M733">
        <f>'Final Building Profile'!M28</f>
        <v>0</v>
      </c>
      <c r="N733" s="66">
        <f t="shared" si="76"/>
        <v>0</v>
      </c>
      <c r="O733" s="66">
        <f t="shared" si="77"/>
        <v>0</v>
      </c>
      <c r="P733" s="66">
        <f t="shared" si="78"/>
        <v>0</v>
      </c>
      <c r="Q733" s="204">
        <f>'Final Building Profile'!K28</f>
        <v>0</v>
      </c>
      <c r="R733" s="66">
        <f t="shared" si="85"/>
        <v>0</v>
      </c>
      <c r="S733" s="65">
        <f>'Final Building Profile'!N28-'Final Building Profile'!O28</f>
        <v>0</v>
      </c>
      <c r="T733" s="65">
        <f t="shared" si="79"/>
        <v>0</v>
      </c>
      <c r="U733" s="204">
        <f>'Final Building Profile'!Q28</f>
        <v>0</v>
      </c>
      <c r="V733" s="65">
        <f>IF('Final Building Profile'!P28&lt;&gt;"", U733, 0) * T733</f>
        <v>0</v>
      </c>
      <c r="W733" s="266">
        <f t="shared" si="80"/>
        <v>0</v>
      </c>
      <c r="X733" s="266">
        <f t="shared" si="86"/>
        <v>0</v>
      </c>
      <c r="Y733" s="266" t="e">
        <f t="shared" si="81"/>
        <v>#DIV/0!</v>
      </c>
      <c r="Z733" s="266" t="e">
        <f t="shared" si="82"/>
        <v>#DIV/0!</v>
      </c>
      <c r="AA733" s="266" t="e">
        <f t="shared" si="83"/>
        <v>#DIV/0!</v>
      </c>
      <c r="AB733" s="65" t="e">
        <f t="shared" si="87"/>
        <v>#N/A</v>
      </c>
      <c r="AC733" s="65" t="e">
        <f t="shared" si="88"/>
        <v>#N/A</v>
      </c>
      <c r="AD733" s="65" t="e">
        <f t="shared" si="89"/>
        <v>#N/A</v>
      </c>
      <c r="AE733" s="65" t="e">
        <f t="shared" si="90"/>
        <v>#N/A</v>
      </c>
    </row>
    <row r="734" spans="1:31" ht="15" customHeight="1">
      <c r="A734">
        <f>'Final Building Profile'!A29</f>
        <v>26</v>
      </c>
      <c r="B734">
        <f>'Final Building Profile'!D29</f>
        <v>0</v>
      </c>
      <c r="C734">
        <f>'Final Building Profile'!E29</f>
        <v>0</v>
      </c>
      <c r="D734">
        <f>'Final Building Profile'!F29</f>
        <v>0</v>
      </c>
      <c r="E734" s="265">
        <f>'Final Building Profile'!G29</f>
        <v>0</v>
      </c>
      <c r="F734" s="265">
        <f>'Final Building Profile'!H29</f>
        <v>0</v>
      </c>
      <c r="G734" s="265">
        <f>'Final Building Profile'!I29</f>
        <v>0</v>
      </c>
      <c r="H734" s="197">
        <f t="shared" si="73"/>
        <v>0</v>
      </c>
      <c r="I734" s="197">
        <f t="shared" si="74"/>
        <v>0</v>
      </c>
      <c r="J734" s="137">
        <f t="shared" si="75"/>
        <v>0</v>
      </c>
      <c r="K734" s="66">
        <f>'Final Building Profile'!L29</f>
        <v>0</v>
      </c>
      <c r="L734" s="66">
        <f t="shared" si="84"/>
        <v>0</v>
      </c>
      <c r="M734">
        <f>'Final Building Profile'!M29</f>
        <v>0</v>
      </c>
      <c r="N734" s="66">
        <f t="shared" si="76"/>
        <v>0</v>
      </c>
      <c r="O734" s="66">
        <f t="shared" si="77"/>
        <v>0</v>
      </c>
      <c r="P734" s="66">
        <f t="shared" si="78"/>
        <v>0</v>
      </c>
      <c r="Q734" s="204">
        <f>'Final Building Profile'!K29</f>
        <v>0</v>
      </c>
      <c r="R734" s="66">
        <f t="shared" si="85"/>
        <v>0</v>
      </c>
      <c r="S734" s="65">
        <f>'Final Building Profile'!N29-'Final Building Profile'!O29</f>
        <v>0</v>
      </c>
      <c r="T734" s="65">
        <f t="shared" si="79"/>
        <v>0</v>
      </c>
      <c r="U734" s="204">
        <f>'Final Building Profile'!Q29</f>
        <v>0</v>
      </c>
      <c r="V734" s="65">
        <f>IF('Final Building Profile'!P29&lt;&gt;"", U734, 0) * T734</f>
        <v>0</v>
      </c>
      <c r="W734" s="266">
        <f t="shared" si="80"/>
        <v>0</v>
      </c>
      <c r="X734" s="266">
        <f t="shared" si="86"/>
        <v>0</v>
      </c>
      <c r="Y734" s="266" t="e">
        <f t="shared" si="81"/>
        <v>#DIV/0!</v>
      </c>
      <c r="Z734" s="266" t="e">
        <f t="shared" si="82"/>
        <v>#DIV/0!</v>
      </c>
      <c r="AA734" s="266" t="e">
        <f t="shared" si="83"/>
        <v>#DIV/0!</v>
      </c>
      <c r="AB734" s="65" t="e">
        <f t="shared" si="87"/>
        <v>#N/A</v>
      </c>
      <c r="AC734" s="65" t="e">
        <f t="shared" si="88"/>
        <v>#N/A</v>
      </c>
      <c r="AD734" s="65" t="e">
        <f t="shared" si="89"/>
        <v>#N/A</v>
      </c>
      <c r="AE734" s="65" t="e">
        <f t="shared" si="90"/>
        <v>#N/A</v>
      </c>
    </row>
    <row r="735" spans="1:31" ht="15" customHeight="1">
      <c r="A735">
        <f>'Final Building Profile'!A30</f>
        <v>27</v>
      </c>
      <c r="B735">
        <f>'Final Building Profile'!D30</f>
        <v>0</v>
      </c>
      <c r="C735">
        <f>'Final Building Profile'!E30</f>
        <v>0</v>
      </c>
      <c r="D735">
        <f>'Final Building Profile'!F30</f>
        <v>0</v>
      </c>
      <c r="E735" s="265">
        <f>'Final Building Profile'!G30</f>
        <v>0</v>
      </c>
      <c r="F735" s="265">
        <f>'Final Building Profile'!H30</f>
        <v>0</v>
      </c>
      <c r="G735" s="265">
        <f>'Final Building Profile'!I30</f>
        <v>0</v>
      </c>
      <c r="H735" s="197">
        <f t="shared" si="73"/>
        <v>0</v>
      </c>
      <c r="I735" s="197">
        <f t="shared" si="74"/>
        <v>0</v>
      </c>
      <c r="J735" s="137">
        <f t="shared" si="75"/>
        <v>0</v>
      </c>
      <c r="K735" s="66">
        <f>'Final Building Profile'!L30</f>
        <v>0</v>
      </c>
      <c r="L735" s="66">
        <f t="shared" si="84"/>
        <v>0</v>
      </c>
      <c r="M735">
        <f>'Final Building Profile'!M30</f>
        <v>0</v>
      </c>
      <c r="N735" s="66">
        <f t="shared" si="76"/>
        <v>0</v>
      </c>
      <c r="O735" s="66">
        <f t="shared" si="77"/>
        <v>0</v>
      </c>
      <c r="P735" s="66">
        <f t="shared" si="78"/>
        <v>0</v>
      </c>
      <c r="Q735" s="204">
        <f>'Final Building Profile'!K30</f>
        <v>0</v>
      </c>
      <c r="R735" s="66">
        <f t="shared" si="85"/>
        <v>0</v>
      </c>
      <c r="S735" s="65">
        <f>'Final Building Profile'!N30-'Final Building Profile'!O30</f>
        <v>0</v>
      </c>
      <c r="T735" s="65">
        <f t="shared" si="79"/>
        <v>0</v>
      </c>
      <c r="U735" s="204">
        <f>'Final Building Profile'!Q30</f>
        <v>0</v>
      </c>
      <c r="V735" s="65">
        <f>IF('Final Building Profile'!P30&lt;&gt;"", U735, 0) * T735</f>
        <v>0</v>
      </c>
      <c r="W735" s="266">
        <f t="shared" si="80"/>
        <v>0</v>
      </c>
      <c r="X735" s="266">
        <f t="shared" si="86"/>
        <v>0</v>
      </c>
      <c r="Y735" s="266" t="e">
        <f t="shared" si="81"/>
        <v>#DIV/0!</v>
      </c>
      <c r="Z735" s="266" t="e">
        <f t="shared" si="82"/>
        <v>#DIV/0!</v>
      </c>
      <c r="AA735" s="266" t="e">
        <f t="shared" si="83"/>
        <v>#DIV/0!</v>
      </c>
      <c r="AB735" s="65" t="e">
        <f t="shared" si="87"/>
        <v>#N/A</v>
      </c>
      <c r="AC735" s="65" t="e">
        <f t="shared" si="88"/>
        <v>#N/A</v>
      </c>
      <c r="AD735" s="65" t="e">
        <f t="shared" si="89"/>
        <v>#N/A</v>
      </c>
      <c r="AE735" s="65" t="e">
        <f t="shared" si="90"/>
        <v>#N/A</v>
      </c>
    </row>
    <row r="736" spans="1:31" ht="15" customHeight="1">
      <c r="A736">
        <f>'Final Building Profile'!A31</f>
        <v>28</v>
      </c>
      <c r="B736">
        <f>'Final Building Profile'!D31</f>
        <v>0</v>
      </c>
      <c r="C736">
        <f>'Final Building Profile'!E31</f>
        <v>0</v>
      </c>
      <c r="D736">
        <f>'Final Building Profile'!F31</f>
        <v>0</v>
      </c>
      <c r="E736" s="265">
        <f>'Final Building Profile'!G31</f>
        <v>0</v>
      </c>
      <c r="F736" s="265">
        <f>'Final Building Profile'!H31</f>
        <v>0</v>
      </c>
      <c r="G736" s="265">
        <f>'Final Building Profile'!I31</f>
        <v>0</v>
      </c>
      <c r="H736" s="197">
        <f t="shared" si="73"/>
        <v>0</v>
      </c>
      <c r="I736" s="197">
        <f t="shared" si="74"/>
        <v>0</v>
      </c>
      <c r="J736" s="137">
        <f t="shared" si="75"/>
        <v>0</v>
      </c>
      <c r="K736" s="66">
        <f>'Final Building Profile'!L31</f>
        <v>0</v>
      </c>
      <c r="L736" s="66">
        <f t="shared" si="84"/>
        <v>0</v>
      </c>
      <c r="M736">
        <f>'Final Building Profile'!M31</f>
        <v>0</v>
      </c>
      <c r="N736" s="66">
        <f t="shared" si="76"/>
        <v>0</v>
      </c>
      <c r="O736" s="66">
        <f t="shared" si="77"/>
        <v>0</v>
      </c>
      <c r="P736" s="66">
        <f t="shared" si="78"/>
        <v>0</v>
      </c>
      <c r="Q736" s="204">
        <f>'Final Building Profile'!K31</f>
        <v>0</v>
      </c>
      <c r="R736" s="66">
        <f t="shared" si="85"/>
        <v>0</v>
      </c>
      <c r="S736" s="65">
        <f>'Final Building Profile'!N31-'Final Building Profile'!O31</f>
        <v>0</v>
      </c>
      <c r="T736" s="65">
        <f t="shared" si="79"/>
        <v>0</v>
      </c>
      <c r="U736" s="204">
        <f>'Final Building Profile'!Q31</f>
        <v>0</v>
      </c>
      <c r="V736" s="65">
        <f>IF('Final Building Profile'!P31&lt;&gt;"", U736, 0) * T736</f>
        <v>0</v>
      </c>
      <c r="W736" s="266">
        <f t="shared" si="80"/>
        <v>0</v>
      </c>
      <c r="X736" s="266">
        <f t="shared" si="86"/>
        <v>0</v>
      </c>
      <c r="Y736" s="266" t="e">
        <f t="shared" si="81"/>
        <v>#DIV/0!</v>
      </c>
      <c r="Z736" s="266" t="e">
        <f t="shared" si="82"/>
        <v>#DIV/0!</v>
      </c>
      <c r="AA736" s="266" t="e">
        <f t="shared" si="83"/>
        <v>#DIV/0!</v>
      </c>
      <c r="AB736" s="65" t="e">
        <f t="shared" si="87"/>
        <v>#N/A</v>
      </c>
      <c r="AC736" s="65" t="e">
        <f t="shared" si="88"/>
        <v>#N/A</v>
      </c>
      <c r="AD736" s="65" t="e">
        <f t="shared" si="89"/>
        <v>#N/A</v>
      </c>
      <c r="AE736" s="65" t="e">
        <f t="shared" si="90"/>
        <v>#N/A</v>
      </c>
    </row>
    <row r="737" spans="1:31" ht="15" customHeight="1">
      <c r="A737">
        <f>'Final Building Profile'!A32</f>
        <v>29</v>
      </c>
      <c r="B737">
        <f>'Final Building Profile'!D32</f>
        <v>0</v>
      </c>
      <c r="C737">
        <f>'Final Building Profile'!E32</f>
        <v>0</v>
      </c>
      <c r="D737">
        <f>'Final Building Profile'!F32</f>
        <v>0</v>
      </c>
      <c r="E737" s="265">
        <f>'Final Building Profile'!G32</f>
        <v>0</v>
      </c>
      <c r="F737" s="265">
        <f>'Final Building Profile'!H32</f>
        <v>0</v>
      </c>
      <c r="G737" s="265">
        <f>'Final Building Profile'!I32</f>
        <v>0</v>
      </c>
      <c r="H737" s="197">
        <f t="shared" si="73"/>
        <v>0</v>
      </c>
      <c r="I737" s="197">
        <f t="shared" si="74"/>
        <v>0</v>
      </c>
      <c r="J737" s="137">
        <f t="shared" si="75"/>
        <v>0</v>
      </c>
      <c r="K737" s="66">
        <f>'Final Building Profile'!L32</f>
        <v>0</v>
      </c>
      <c r="L737" s="66">
        <f t="shared" si="84"/>
        <v>0</v>
      </c>
      <c r="M737">
        <f>'Final Building Profile'!M32</f>
        <v>0</v>
      </c>
      <c r="N737" s="66">
        <f t="shared" si="76"/>
        <v>0</v>
      </c>
      <c r="O737" s="66">
        <f t="shared" si="77"/>
        <v>0</v>
      </c>
      <c r="P737" s="66">
        <f t="shared" si="78"/>
        <v>0</v>
      </c>
      <c r="Q737" s="204">
        <f>'Final Building Profile'!K32</f>
        <v>0</v>
      </c>
      <c r="R737" s="66">
        <f t="shared" si="85"/>
        <v>0</v>
      </c>
      <c r="S737" s="65">
        <f>'Final Building Profile'!N32-'Final Building Profile'!O32</f>
        <v>0</v>
      </c>
      <c r="T737" s="65">
        <f t="shared" si="79"/>
        <v>0</v>
      </c>
      <c r="U737" s="204">
        <f>'Final Building Profile'!Q32</f>
        <v>0</v>
      </c>
      <c r="V737" s="65">
        <f>IF('Final Building Profile'!P32&lt;&gt;"", U737, 0) * T737</f>
        <v>0</v>
      </c>
      <c r="W737" s="266">
        <f t="shared" si="80"/>
        <v>0</v>
      </c>
      <c r="X737" s="266">
        <f t="shared" si="86"/>
        <v>0</v>
      </c>
      <c r="Y737" s="266" t="e">
        <f t="shared" si="81"/>
        <v>#DIV/0!</v>
      </c>
      <c r="Z737" s="266" t="e">
        <f t="shared" si="82"/>
        <v>#DIV/0!</v>
      </c>
      <c r="AA737" s="266" t="e">
        <f t="shared" si="83"/>
        <v>#DIV/0!</v>
      </c>
      <c r="AB737" s="65" t="e">
        <f t="shared" si="87"/>
        <v>#N/A</v>
      </c>
      <c r="AC737" s="65" t="e">
        <f t="shared" si="88"/>
        <v>#N/A</v>
      </c>
      <c r="AD737" s="65" t="e">
        <f t="shared" si="89"/>
        <v>#N/A</v>
      </c>
      <c r="AE737" s="65" t="e">
        <f t="shared" si="90"/>
        <v>#N/A</v>
      </c>
    </row>
    <row r="738" spans="1:31" ht="15" customHeight="1">
      <c r="A738">
        <f>'Final Building Profile'!A33</f>
        <v>30</v>
      </c>
      <c r="B738">
        <f>'Final Building Profile'!D33</f>
        <v>0</v>
      </c>
      <c r="C738">
        <f>'Final Building Profile'!E33</f>
        <v>0</v>
      </c>
      <c r="D738">
        <f>'Final Building Profile'!F33</f>
        <v>0</v>
      </c>
      <c r="E738" s="265">
        <f>'Final Building Profile'!G33</f>
        <v>0</v>
      </c>
      <c r="F738" s="265">
        <f>'Final Building Profile'!H33</f>
        <v>0</v>
      </c>
      <c r="G738" s="265">
        <f>'Final Building Profile'!I33</f>
        <v>0</v>
      </c>
      <c r="H738" s="197">
        <f t="shared" si="73"/>
        <v>0</v>
      </c>
      <c r="I738" s="197">
        <f t="shared" si="74"/>
        <v>0</v>
      </c>
      <c r="J738" s="137">
        <f t="shared" si="75"/>
        <v>0</v>
      </c>
      <c r="K738" s="66">
        <f>'Final Building Profile'!L33</f>
        <v>0</v>
      </c>
      <c r="L738" s="66">
        <f t="shared" si="84"/>
        <v>0</v>
      </c>
      <c r="M738">
        <f>'Final Building Profile'!M33</f>
        <v>0</v>
      </c>
      <c r="N738" s="66">
        <f t="shared" si="76"/>
        <v>0</v>
      </c>
      <c r="O738" s="66">
        <f t="shared" si="77"/>
        <v>0</v>
      </c>
      <c r="P738" s="66">
        <f t="shared" si="78"/>
        <v>0</v>
      </c>
      <c r="Q738" s="204">
        <f>'Final Building Profile'!K33</f>
        <v>0</v>
      </c>
      <c r="R738" s="66">
        <f t="shared" si="85"/>
        <v>0</v>
      </c>
      <c r="S738" s="65">
        <f>'Final Building Profile'!N33-'Final Building Profile'!O33</f>
        <v>0</v>
      </c>
      <c r="T738" s="65">
        <f t="shared" si="79"/>
        <v>0</v>
      </c>
      <c r="U738" s="204">
        <f>'Final Building Profile'!Q33</f>
        <v>0</v>
      </c>
      <c r="V738" s="65">
        <f>IF('Final Building Profile'!P33&lt;&gt;"", U738, 0) * T738</f>
        <v>0</v>
      </c>
      <c r="W738" s="266">
        <f t="shared" si="80"/>
        <v>0</v>
      </c>
      <c r="X738" s="266">
        <f t="shared" si="86"/>
        <v>0</v>
      </c>
      <c r="Y738" s="266" t="e">
        <f t="shared" si="81"/>
        <v>#DIV/0!</v>
      </c>
      <c r="Z738" s="266" t="e">
        <f t="shared" si="82"/>
        <v>#DIV/0!</v>
      </c>
      <c r="AA738" s="266" t="e">
        <f t="shared" si="83"/>
        <v>#DIV/0!</v>
      </c>
      <c r="AB738" s="65" t="e">
        <f t="shared" si="87"/>
        <v>#N/A</v>
      </c>
      <c r="AC738" s="65" t="e">
        <f t="shared" si="88"/>
        <v>#N/A</v>
      </c>
      <c r="AD738" s="65" t="e">
        <f t="shared" si="89"/>
        <v>#N/A</v>
      </c>
      <c r="AE738" s="65" t="e">
        <f t="shared" si="90"/>
        <v>#N/A</v>
      </c>
    </row>
    <row r="739" spans="1:31" ht="15" customHeight="1">
      <c r="A739">
        <f>'Final Building Profile'!A34</f>
        <v>31</v>
      </c>
      <c r="B739">
        <f>'Final Building Profile'!D34</f>
        <v>0</v>
      </c>
      <c r="C739">
        <f>'Final Building Profile'!E34</f>
        <v>0</v>
      </c>
      <c r="D739">
        <f>'Final Building Profile'!F34</f>
        <v>0</v>
      </c>
      <c r="E739" s="265">
        <f>'Final Building Profile'!G34</f>
        <v>0</v>
      </c>
      <c r="F739" s="265">
        <f>'Final Building Profile'!H34</f>
        <v>0</v>
      </c>
      <c r="G739" s="265">
        <f>'Final Building Profile'!I34</f>
        <v>0</v>
      </c>
      <c r="H739" s="197">
        <f t="shared" si="73"/>
        <v>0</v>
      </c>
      <c r="I739" s="197">
        <f t="shared" si="74"/>
        <v>0</v>
      </c>
      <c r="J739" s="137">
        <f t="shared" si="75"/>
        <v>0</v>
      </c>
      <c r="K739" s="66">
        <f>'Final Building Profile'!L34</f>
        <v>0</v>
      </c>
      <c r="L739" s="66">
        <f t="shared" si="84"/>
        <v>0</v>
      </c>
      <c r="M739">
        <f>'Final Building Profile'!M34</f>
        <v>0</v>
      </c>
      <c r="N739" s="66">
        <f t="shared" si="76"/>
        <v>0</v>
      </c>
      <c r="O739" s="66">
        <f t="shared" si="77"/>
        <v>0</v>
      </c>
      <c r="P739" s="66">
        <f t="shared" si="78"/>
        <v>0</v>
      </c>
      <c r="Q739" s="204">
        <f>'Final Building Profile'!K34</f>
        <v>0</v>
      </c>
      <c r="R739" s="66">
        <f t="shared" si="85"/>
        <v>0</v>
      </c>
      <c r="S739" s="65">
        <f>'Final Building Profile'!N34-'Final Building Profile'!O34</f>
        <v>0</v>
      </c>
      <c r="T739" s="65">
        <f t="shared" si="79"/>
        <v>0</v>
      </c>
      <c r="U739" s="204">
        <f>'Final Building Profile'!Q34</f>
        <v>0</v>
      </c>
      <c r="V739" s="65">
        <f>IF('Final Building Profile'!P34&lt;&gt;"", U739, 0) * T739</f>
        <v>0</v>
      </c>
      <c r="W739" s="266">
        <f t="shared" si="80"/>
        <v>0</v>
      </c>
      <c r="X739" s="266">
        <f t="shared" si="86"/>
        <v>0</v>
      </c>
      <c r="Y739" s="266" t="e">
        <f t="shared" si="81"/>
        <v>#DIV/0!</v>
      </c>
      <c r="Z739" s="266" t="e">
        <f t="shared" si="82"/>
        <v>#DIV/0!</v>
      </c>
      <c r="AA739" s="266" t="e">
        <f t="shared" si="83"/>
        <v>#DIV/0!</v>
      </c>
      <c r="AB739" s="65" t="e">
        <f t="shared" si="87"/>
        <v>#N/A</v>
      </c>
      <c r="AC739" s="65" t="e">
        <f t="shared" si="88"/>
        <v>#N/A</v>
      </c>
      <c r="AD739" s="65" t="e">
        <f t="shared" si="89"/>
        <v>#N/A</v>
      </c>
      <c r="AE739" s="65" t="e">
        <f t="shared" si="90"/>
        <v>#N/A</v>
      </c>
    </row>
    <row r="740" spans="1:31" ht="15" customHeight="1">
      <c r="A740">
        <f>'Final Building Profile'!A35</f>
        <v>32</v>
      </c>
      <c r="B740">
        <f>'Final Building Profile'!D35</f>
        <v>0</v>
      </c>
      <c r="C740">
        <f>'Final Building Profile'!E35</f>
        <v>0</v>
      </c>
      <c r="D740">
        <f>'Final Building Profile'!F35</f>
        <v>0</v>
      </c>
      <c r="E740" s="265">
        <f>'Final Building Profile'!G35</f>
        <v>0</v>
      </c>
      <c r="F740" s="265">
        <f>'Final Building Profile'!H35</f>
        <v>0</v>
      </c>
      <c r="G740" s="265">
        <f>'Final Building Profile'!I35</f>
        <v>0</v>
      </c>
      <c r="H740" s="197">
        <f t="shared" si="73"/>
        <v>0</v>
      </c>
      <c r="I740" s="197">
        <f t="shared" si="74"/>
        <v>0</v>
      </c>
      <c r="J740" s="137">
        <f t="shared" si="75"/>
        <v>0</v>
      </c>
      <c r="K740" s="66">
        <f>'Final Building Profile'!L35</f>
        <v>0</v>
      </c>
      <c r="L740" s="66">
        <f t="shared" si="84"/>
        <v>0</v>
      </c>
      <c r="M740">
        <f>'Final Building Profile'!M35</f>
        <v>0</v>
      </c>
      <c r="N740" s="66">
        <f t="shared" si="76"/>
        <v>0</v>
      </c>
      <c r="O740" s="66">
        <f t="shared" si="77"/>
        <v>0</v>
      </c>
      <c r="P740" s="66">
        <f t="shared" si="78"/>
        <v>0</v>
      </c>
      <c r="Q740" s="204">
        <f>'Final Building Profile'!K35</f>
        <v>0</v>
      </c>
      <c r="R740" s="66">
        <f t="shared" si="85"/>
        <v>0</v>
      </c>
      <c r="S740" s="65">
        <f>'Final Building Profile'!N35-'Final Building Profile'!O35</f>
        <v>0</v>
      </c>
      <c r="T740" s="65">
        <f t="shared" si="79"/>
        <v>0</v>
      </c>
      <c r="U740" s="204">
        <f>'Final Building Profile'!Q35</f>
        <v>0</v>
      </c>
      <c r="V740" s="65">
        <f>IF('Final Building Profile'!P35&lt;&gt;"", U740, 0) * T740</f>
        <v>0</v>
      </c>
      <c r="W740" s="266">
        <f t="shared" si="80"/>
        <v>0</v>
      </c>
      <c r="X740" s="266">
        <f t="shared" si="86"/>
        <v>0</v>
      </c>
      <c r="Y740" s="266" t="e">
        <f t="shared" si="81"/>
        <v>#DIV/0!</v>
      </c>
      <c r="Z740" s="266" t="e">
        <f t="shared" si="82"/>
        <v>#DIV/0!</v>
      </c>
      <c r="AA740" s="266" t="e">
        <f t="shared" si="83"/>
        <v>#DIV/0!</v>
      </c>
      <c r="AB740" s="65" t="e">
        <f t="shared" si="87"/>
        <v>#N/A</v>
      </c>
      <c r="AC740" s="65" t="e">
        <f t="shared" si="88"/>
        <v>#N/A</v>
      </c>
      <c r="AD740" s="65" t="e">
        <f t="shared" si="89"/>
        <v>#N/A</v>
      </c>
      <c r="AE740" s="65" t="e">
        <f t="shared" si="90"/>
        <v>#N/A</v>
      </c>
    </row>
    <row r="741" spans="1:31" ht="15" customHeight="1">
      <c r="A741">
        <f>'Final Building Profile'!A36</f>
        <v>33</v>
      </c>
      <c r="B741">
        <f>'Final Building Profile'!D36</f>
        <v>0</v>
      </c>
      <c r="C741">
        <f>'Final Building Profile'!E36</f>
        <v>0</v>
      </c>
      <c r="D741">
        <f>'Final Building Profile'!F36</f>
        <v>0</v>
      </c>
      <c r="E741" s="265">
        <f>'Final Building Profile'!G36</f>
        <v>0</v>
      </c>
      <c r="F741" s="265">
        <f>'Final Building Profile'!H36</f>
        <v>0</v>
      </c>
      <c r="G741" s="265">
        <f>'Final Building Profile'!I36</f>
        <v>0</v>
      </c>
      <c r="H741" s="197">
        <f t="shared" ref="H741:H772" si="91">IF((B741-C741) &lt;&gt; 0, ROUND(D741/(B741-C741), 4), 0)</f>
        <v>0</v>
      </c>
      <c r="I741" s="197">
        <f t="shared" ref="I741:I772" si="92">IF((E741-F741) = 0, 0, ROUND(G741/(E741-F741), 4))</f>
        <v>0</v>
      </c>
      <c r="J741" s="137">
        <f t="shared" ref="J741:J772" si="93">MIN(H741, I741)</f>
        <v>0</v>
      </c>
      <c r="K741" s="66">
        <f>'Final Building Profile'!L36</f>
        <v>0</v>
      </c>
      <c r="L741" s="66">
        <f t="shared" si="84"/>
        <v>0</v>
      </c>
      <c r="M741">
        <f>'Final Building Profile'!M36</f>
        <v>0</v>
      </c>
      <c r="N741" s="66">
        <f t="shared" ref="N741:N772" si="94">M741*$B$700</f>
        <v>0</v>
      </c>
      <c r="O741" s="66">
        <f t="shared" ref="O741:O772" si="95">L741+N741</f>
        <v>0</v>
      </c>
      <c r="P741" s="66">
        <f t="shared" ref="P741:P772" si="96">O741*J741</f>
        <v>0</v>
      </c>
      <c r="Q741" s="204">
        <f>'Final Building Profile'!K36</f>
        <v>0</v>
      </c>
      <c r="R741" s="66">
        <f t="shared" si="85"/>
        <v>0</v>
      </c>
      <c r="S741" s="65">
        <f>'Final Building Profile'!N36-'Final Building Profile'!O36</f>
        <v>0</v>
      </c>
      <c r="T741" s="65">
        <f t="shared" ref="T741:T772" si="97">S741*J741</f>
        <v>0</v>
      </c>
      <c r="U741" s="204">
        <f>'Final Building Profile'!Q36</f>
        <v>0</v>
      </c>
      <c r="V741" s="65">
        <f>IF('Final Building Profile'!P36&lt;&gt;"", U741, 0) * T741</f>
        <v>0</v>
      </c>
      <c r="W741" s="266">
        <f t="shared" ref="W741:W772" si="98">IF($P$808 = 0, 0, (P741/$P$808) * Q741)</f>
        <v>0</v>
      </c>
      <c r="X741" s="266">
        <f t="shared" si="86"/>
        <v>0</v>
      </c>
      <c r="Y741" s="266" t="e">
        <f t="shared" ref="Y741:Y772" si="99">J741*(G741/$B$701)</f>
        <v>#DIV/0!</v>
      </c>
      <c r="Z741" s="266" t="e">
        <f t="shared" ref="Z741:Z772" si="100">J741*(D741/$B$702)</f>
        <v>#DIV/0!</v>
      </c>
      <c r="AA741" s="266" t="e">
        <f t="shared" ref="AA741:AA772" si="101">IF(I741=J741, Y741, Z741)</f>
        <v>#DIV/0!</v>
      </c>
      <c r="AB741" s="65" t="e">
        <f t="shared" ref="AB741:AB772" si="102">IF($B$703&lt;$V$810, ROUND($B$703/$V$810*P741, 0), P741)</f>
        <v>#N/A</v>
      </c>
      <c r="AC741" s="65" t="e">
        <f t="shared" ref="AC741:AC772" si="103">IF($B$703&lt;$V$810, ROUNDDOWN($B$703/$V$810*R741, 0), R741)</f>
        <v>#N/A</v>
      </c>
      <c r="AD741" s="65" t="e">
        <f t="shared" ref="AD741:AD772" si="104">IF($B$703&lt;$V$810, ROUND($B$703/$V$810*T741, 0), T741)</f>
        <v>#N/A</v>
      </c>
      <c r="AE741" s="65" t="e">
        <f t="shared" ref="AE741:AE772" si="105">IF($B$703&lt;$V$810, ROUND($B$703/$V$810*V741, 0), V741)</f>
        <v>#N/A</v>
      </c>
    </row>
    <row r="742" spans="1:31" ht="15" customHeight="1">
      <c r="A742">
        <f>'Final Building Profile'!A37</f>
        <v>34</v>
      </c>
      <c r="B742">
        <f>'Final Building Profile'!D37</f>
        <v>0</v>
      </c>
      <c r="C742">
        <f>'Final Building Profile'!E37</f>
        <v>0</v>
      </c>
      <c r="D742">
        <f>'Final Building Profile'!F37</f>
        <v>0</v>
      </c>
      <c r="E742" s="265">
        <f>'Final Building Profile'!G37</f>
        <v>0</v>
      </c>
      <c r="F742" s="265">
        <f>'Final Building Profile'!H37</f>
        <v>0</v>
      </c>
      <c r="G742" s="265">
        <f>'Final Building Profile'!I37</f>
        <v>0</v>
      </c>
      <c r="H742" s="197">
        <f t="shared" si="91"/>
        <v>0</v>
      </c>
      <c r="I742" s="197">
        <f t="shared" si="92"/>
        <v>0</v>
      </c>
      <c r="J742" s="137">
        <f t="shared" si="93"/>
        <v>0</v>
      </c>
      <c r="K742" s="66">
        <f>'Final Building Profile'!L37</f>
        <v>0</v>
      </c>
      <c r="L742" s="66">
        <f t="shared" si="84"/>
        <v>0</v>
      </c>
      <c r="M742">
        <f>'Final Building Profile'!M37</f>
        <v>0</v>
      </c>
      <c r="N742" s="66">
        <f t="shared" si="94"/>
        <v>0</v>
      </c>
      <c r="O742" s="66">
        <f t="shared" si="95"/>
        <v>0</v>
      </c>
      <c r="P742" s="66">
        <f t="shared" si="96"/>
        <v>0</v>
      </c>
      <c r="Q742" s="204">
        <f>'Final Building Profile'!K37</f>
        <v>0</v>
      </c>
      <c r="R742" s="66">
        <f t="shared" si="85"/>
        <v>0</v>
      </c>
      <c r="S742" s="65">
        <f>'Final Building Profile'!N37-'Final Building Profile'!O37</f>
        <v>0</v>
      </c>
      <c r="T742" s="65">
        <f t="shared" si="97"/>
        <v>0</v>
      </c>
      <c r="U742" s="204">
        <f>'Final Building Profile'!Q37</f>
        <v>0</v>
      </c>
      <c r="V742" s="65">
        <f>IF('Final Building Profile'!P37&lt;&gt;"", U742, 0) * T742</f>
        <v>0</v>
      </c>
      <c r="W742" s="266">
        <f t="shared" si="98"/>
        <v>0</v>
      </c>
      <c r="X742" s="266">
        <f t="shared" si="86"/>
        <v>0</v>
      </c>
      <c r="Y742" s="266" t="e">
        <f t="shared" si="99"/>
        <v>#DIV/0!</v>
      </c>
      <c r="Z742" s="266" t="e">
        <f t="shared" si="100"/>
        <v>#DIV/0!</v>
      </c>
      <c r="AA742" s="266" t="e">
        <f t="shared" si="101"/>
        <v>#DIV/0!</v>
      </c>
      <c r="AB742" s="65" t="e">
        <f t="shared" si="102"/>
        <v>#N/A</v>
      </c>
      <c r="AC742" s="65" t="e">
        <f t="shared" si="103"/>
        <v>#N/A</v>
      </c>
      <c r="AD742" s="65" t="e">
        <f t="shared" si="104"/>
        <v>#N/A</v>
      </c>
      <c r="AE742" s="65" t="e">
        <f t="shared" si="105"/>
        <v>#N/A</v>
      </c>
    </row>
    <row r="743" spans="1:31" ht="15" customHeight="1">
      <c r="A743">
        <f>'Final Building Profile'!A38</f>
        <v>35</v>
      </c>
      <c r="B743">
        <f>'Final Building Profile'!D38</f>
        <v>0</v>
      </c>
      <c r="C743">
        <f>'Final Building Profile'!E38</f>
        <v>0</v>
      </c>
      <c r="D743">
        <f>'Final Building Profile'!F38</f>
        <v>0</v>
      </c>
      <c r="E743" s="265">
        <f>'Final Building Profile'!G38</f>
        <v>0</v>
      </c>
      <c r="F743" s="265">
        <f>'Final Building Profile'!H38</f>
        <v>0</v>
      </c>
      <c r="G743" s="265">
        <f>'Final Building Profile'!I38</f>
        <v>0</v>
      </c>
      <c r="H743" s="197">
        <f t="shared" si="91"/>
        <v>0</v>
      </c>
      <c r="I743" s="197">
        <f t="shared" si="92"/>
        <v>0</v>
      </c>
      <c r="J743" s="137">
        <f t="shared" si="93"/>
        <v>0</v>
      </c>
      <c r="K743" s="66">
        <f>'Final Building Profile'!L38</f>
        <v>0</v>
      </c>
      <c r="L743" s="66">
        <f t="shared" si="84"/>
        <v>0</v>
      </c>
      <c r="M743">
        <f>'Final Building Profile'!M38</f>
        <v>0</v>
      </c>
      <c r="N743" s="66">
        <f t="shared" si="94"/>
        <v>0</v>
      </c>
      <c r="O743" s="66">
        <f t="shared" si="95"/>
        <v>0</v>
      </c>
      <c r="P743" s="66">
        <f t="shared" si="96"/>
        <v>0</v>
      </c>
      <c r="Q743" s="204">
        <f>'Final Building Profile'!K38</f>
        <v>0</v>
      </c>
      <c r="R743" s="66">
        <f t="shared" si="85"/>
        <v>0</v>
      </c>
      <c r="S743" s="65">
        <f>'Final Building Profile'!N38-'Final Building Profile'!O38</f>
        <v>0</v>
      </c>
      <c r="T743" s="65">
        <f t="shared" si="97"/>
        <v>0</v>
      </c>
      <c r="U743" s="204">
        <f>'Final Building Profile'!Q38</f>
        <v>0</v>
      </c>
      <c r="V743" s="65">
        <f>IF('Final Building Profile'!P38&lt;&gt;"", U743, 0) * T743</f>
        <v>0</v>
      </c>
      <c r="W743" s="266">
        <f t="shared" si="98"/>
        <v>0</v>
      </c>
      <c r="X743" s="266">
        <f t="shared" si="86"/>
        <v>0</v>
      </c>
      <c r="Y743" s="266" t="e">
        <f t="shared" si="99"/>
        <v>#DIV/0!</v>
      </c>
      <c r="Z743" s="266" t="e">
        <f t="shared" si="100"/>
        <v>#DIV/0!</v>
      </c>
      <c r="AA743" s="266" t="e">
        <f t="shared" si="101"/>
        <v>#DIV/0!</v>
      </c>
      <c r="AB743" s="65" t="e">
        <f t="shared" si="102"/>
        <v>#N/A</v>
      </c>
      <c r="AC743" s="65" t="e">
        <f t="shared" si="103"/>
        <v>#N/A</v>
      </c>
      <c r="AD743" s="65" t="e">
        <f t="shared" si="104"/>
        <v>#N/A</v>
      </c>
      <c r="AE743" s="65" t="e">
        <f t="shared" si="105"/>
        <v>#N/A</v>
      </c>
    </row>
    <row r="744" spans="1:31" ht="15" customHeight="1">
      <c r="A744">
        <f>'Final Building Profile'!A39</f>
        <v>36</v>
      </c>
      <c r="B744">
        <f>'Final Building Profile'!D39</f>
        <v>0</v>
      </c>
      <c r="C744">
        <f>'Final Building Profile'!E39</f>
        <v>0</v>
      </c>
      <c r="D744">
        <f>'Final Building Profile'!F39</f>
        <v>0</v>
      </c>
      <c r="E744" s="265">
        <f>'Final Building Profile'!G39</f>
        <v>0</v>
      </c>
      <c r="F744" s="265">
        <f>'Final Building Profile'!H39</f>
        <v>0</v>
      </c>
      <c r="G744" s="265">
        <f>'Final Building Profile'!I39</f>
        <v>0</v>
      </c>
      <c r="H744" s="197">
        <f t="shared" si="91"/>
        <v>0</v>
      </c>
      <c r="I744" s="197">
        <f t="shared" si="92"/>
        <v>0</v>
      </c>
      <c r="J744" s="137">
        <f t="shared" si="93"/>
        <v>0</v>
      </c>
      <c r="K744" s="66">
        <f>'Final Building Profile'!L39</f>
        <v>0</v>
      </c>
      <c r="L744" s="66">
        <f t="shared" si="84"/>
        <v>0</v>
      </c>
      <c r="M744">
        <f>'Final Building Profile'!M39</f>
        <v>0</v>
      </c>
      <c r="N744" s="66">
        <f t="shared" si="94"/>
        <v>0</v>
      </c>
      <c r="O744" s="66">
        <f t="shared" si="95"/>
        <v>0</v>
      </c>
      <c r="P744" s="66">
        <f t="shared" si="96"/>
        <v>0</v>
      </c>
      <c r="Q744" s="204">
        <f>'Final Building Profile'!K39</f>
        <v>0</v>
      </c>
      <c r="R744" s="66">
        <f t="shared" si="85"/>
        <v>0</v>
      </c>
      <c r="S744" s="65">
        <f>'Final Building Profile'!N39-'Final Building Profile'!O39</f>
        <v>0</v>
      </c>
      <c r="T744" s="65">
        <f t="shared" si="97"/>
        <v>0</v>
      </c>
      <c r="U744" s="204">
        <f>'Final Building Profile'!Q39</f>
        <v>0</v>
      </c>
      <c r="V744" s="65">
        <f>IF('Final Building Profile'!P39&lt;&gt;"", U744, 0) * T744</f>
        <v>0</v>
      </c>
      <c r="W744" s="266">
        <f t="shared" si="98"/>
        <v>0</v>
      </c>
      <c r="X744" s="266">
        <f t="shared" si="86"/>
        <v>0</v>
      </c>
      <c r="Y744" s="266" t="e">
        <f t="shared" si="99"/>
        <v>#DIV/0!</v>
      </c>
      <c r="Z744" s="266" t="e">
        <f t="shared" si="100"/>
        <v>#DIV/0!</v>
      </c>
      <c r="AA744" s="266" t="e">
        <f t="shared" si="101"/>
        <v>#DIV/0!</v>
      </c>
      <c r="AB744" s="65" t="e">
        <f t="shared" si="102"/>
        <v>#N/A</v>
      </c>
      <c r="AC744" s="65" t="e">
        <f t="shared" si="103"/>
        <v>#N/A</v>
      </c>
      <c r="AD744" s="65" t="e">
        <f t="shared" si="104"/>
        <v>#N/A</v>
      </c>
      <c r="AE744" s="65" t="e">
        <f t="shared" si="105"/>
        <v>#N/A</v>
      </c>
    </row>
    <row r="745" spans="1:31" ht="15" customHeight="1">
      <c r="A745">
        <f>'Final Building Profile'!A40</f>
        <v>37</v>
      </c>
      <c r="B745">
        <f>'Final Building Profile'!D40</f>
        <v>0</v>
      </c>
      <c r="C745">
        <f>'Final Building Profile'!E40</f>
        <v>0</v>
      </c>
      <c r="D745">
        <f>'Final Building Profile'!F40</f>
        <v>0</v>
      </c>
      <c r="E745" s="265">
        <f>'Final Building Profile'!G40</f>
        <v>0</v>
      </c>
      <c r="F745" s="265">
        <f>'Final Building Profile'!H40</f>
        <v>0</v>
      </c>
      <c r="G745" s="265">
        <f>'Final Building Profile'!I40</f>
        <v>0</v>
      </c>
      <c r="H745" s="197">
        <f t="shared" si="91"/>
        <v>0</v>
      </c>
      <c r="I745" s="197">
        <f t="shared" si="92"/>
        <v>0</v>
      </c>
      <c r="J745" s="137">
        <f t="shared" si="93"/>
        <v>0</v>
      </c>
      <c r="K745" s="66">
        <f>'Final Building Profile'!L40</f>
        <v>0</v>
      </c>
      <c r="L745" s="66">
        <f t="shared" si="84"/>
        <v>0</v>
      </c>
      <c r="M745">
        <f>'Final Building Profile'!M40</f>
        <v>0</v>
      </c>
      <c r="N745" s="66">
        <f t="shared" si="94"/>
        <v>0</v>
      </c>
      <c r="O745" s="66">
        <f t="shared" si="95"/>
        <v>0</v>
      </c>
      <c r="P745" s="66">
        <f t="shared" si="96"/>
        <v>0</v>
      </c>
      <c r="Q745" s="204">
        <f>'Final Building Profile'!K40</f>
        <v>0</v>
      </c>
      <c r="R745" s="66">
        <f t="shared" si="85"/>
        <v>0</v>
      </c>
      <c r="S745" s="65">
        <f>'Final Building Profile'!N40-'Final Building Profile'!O40</f>
        <v>0</v>
      </c>
      <c r="T745" s="65">
        <f t="shared" si="97"/>
        <v>0</v>
      </c>
      <c r="U745" s="204">
        <f>'Final Building Profile'!Q40</f>
        <v>0</v>
      </c>
      <c r="V745" s="65">
        <f>IF('Final Building Profile'!P40&lt;&gt;"", U745, 0) * T745</f>
        <v>0</v>
      </c>
      <c r="W745" s="266">
        <f t="shared" si="98"/>
        <v>0</v>
      </c>
      <c r="X745" s="266">
        <f t="shared" si="86"/>
        <v>0</v>
      </c>
      <c r="Y745" s="266" t="e">
        <f t="shared" si="99"/>
        <v>#DIV/0!</v>
      </c>
      <c r="Z745" s="266" t="e">
        <f t="shared" si="100"/>
        <v>#DIV/0!</v>
      </c>
      <c r="AA745" s="266" t="e">
        <f t="shared" si="101"/>
        <v>#DIV/0!</v>
      </c>
      <c r="AB745" s="65" t="e">
        <f t="shared" si="102"/>
        <v>#N/A</v>
      </c>
      <c r="AC745" s="65" t="e">
        <f t="shared" si="103"/>
        <v>#N/A</v>
      </c>
      <c r="AD745" s="65" t="e">
        <f t="shared" si="104"/>
        <v>#N/A</v>
      </c>
      <c r="AE745" s="65" t="e">
        <f t="shared" si="105"/>
        <v>#N/A</v>
      </c>
    </row>
    <row r="746" spans="1:31" ht="15" customHeight="1">
      <c r="A746">
        <f>'Final Building Profile'!A41</f>
        <v>38</v>
      </c>
      <c r="B746">
        <f>'Final Building Profile'!D41</f>
        <v>0</v>
      </c>
      <c r="C746">
        <f>'Final Building Profile'!E41</f>
        <v>0</v>
      </c>
      <c r="D746">
        <f>'Final Building Profile'!F41</f>
        <v>0</v>
      </c>
      <c r="E746" s="265">
        <f>'Final Building Profile'!G41</f>
        <v>0</v>
      </c>
      <c r="F746" s="265">
        <f>'Final Building Profile'!H41</f>
        <v>0</v>
      </c>
      <c r="G746" s="265">
        <f>'Final Building Profile'!I41</f>
        <v>0</v>
      </c>
      <c r="H746" s="197">
        <f t="shared" si="91"/>
        <v>0</v>
      </c>
      <c r="I746" s="197">
        <f t="shared" si="92"/>
        <v>0</v>
      </c>
      <c r="J746" s="137">
        <f t="shared" si="93"/>
        <v>0</v>
      </c>
      <c r="K746" s="66">
        <f>'Final Building Profile'!L41</f>
        <v>0</v>
      </c>
      <c r="L746" s="66">
        <f t="shared" si="84"/>
        <v>0</v>
      </c>
      <c r="M746">
        <f>'Final Building Profile'!M41</f>
        <v>0</v>
      </c>
      <c r="N746" s="66">
        <f t="shared" si="94"/>
        <v>0</v>
      </c>
      <c r="O746" s="66">
        <f t="shared" si="95"/>
        <v>0</v>
      </c>
      <c r="P746" s="66">
        <f t="shared" si="96"/>
        <v>0</v>
      </c>
      <c r="Q746" s="204">
        <f>'Final Building Profile'!K41</f>
        <v>0</v>
      </c>
      <c r="R746" s="66">
        <f t="shared" si="85"/>
        <v>0</v>
      </c>
      <c r="S746" s="65">
        <f>'Final Building Profile'!N41-'Final Building Profile'!O41</f>
        <v>0</v>
      </c>
      <c r="T746" s="65">
        <f t="shared" si="97"/>
        <v>0</v>
      </c>
      <c r="U746" s="204">
        <f>'Final Building Profile'!Q41</f>
        <v>0</v>
      </c>
      <c r="V746" s="65">
        <f>IF('Final Building Profile'!P41&lt;&gt;"", U746, 0) * T746</f>
        <v>0</v>
      </c>
      <c r="W746" s="266">
        <f t="shared" si="98"/>
        <v>0</v>
      </c>
      <c r="X746" s="266">
        <f t="shared" si="86"/>
        <v>0</v>
      </c>
      <c r="Y746" s="266" t="e">
        <f t="shared" si="99"/>
        <v>#DIV/0!</v>
      </c>
      <c r="Z746" s="266" t="e">
        <f t="shared" si="100"/>
        <v>#DIV/0!</v>
      </c>
      <c r="AA746" s="266" t="e">
        <f t="shared" si="101"/>
        <v>#DIV/0!</v>
      </c>
      <c r="AB746" s="65" t="e">
        <f t="shared" si="102"/>
        <v>#N/A</v>
      </c>
      <c r="AC746" s="65" t="e">
        <f t="shared" si="103"/>
        <v>#N/A</v>
      </c>
      <c r="AD746" s="65" t="e">
        <f t="shared" si="104"/>
        <v>#N/A</v>
      </c>
      <c r="AE746" s="65" t="e">
        <f t="shared" si="105"/>
        <v>#N/A</v>
      </c>
    </row>
    <row r="747" spans="1:31" ht="15" customHeight="1">
      <c r="A747">
        <f>'Final Building Profile'!A42</f>
        <v>39</v>
      </c>
      <c r="B747">
        <f>'Final Building Profile'!D42</f>
        <v>0</v>
      </c>
      <c r="C747">
        <f>'Final Building Profile'!E42</f>
        <v>0</v>
      </c>
      <c r="D747">
        <f>'Final Building Profile'!F42</f>
        <v>0</v>
      </c>
      <c r="E747" s="265">
        <f>'Final Building Profile'!G42</f>
        <v>0</v>
      </c>
      <c r="F747" s="265">
        <f>'Final Building Profile'!H42</f>
        <v>0</v>
      </c>
      <c r="G747" s="265">
        <f>'Final Building Profile'!I42</f>
        <v>0</v>
      </c>
      <c r="H747" s="197">
        <f t="shared" si="91"/>
        <v>0</v>
      </c>
      <c r="I747" s="197">
        <f t="shared" si="92"/>
        <v>0</v>
      </c>
      <c r="J747" s="137">
        <f t="shared" si="93"/>
        <v>0</v>
      </c>
      <c r="K747" s="66">
        <f>'Final Building Profile'!L42</f>
        <v>0</v>
      </c>
      <c r="L747" s="66">
        <f t="shared" si="84"/>
        <v>0</v>
      </c>
      <c r="M747">
        <f>'Final Building Profile'!M42</f>
        <v>0</v>
      </c>
      <c r="N747" s="66">
        <f t="shared" si="94"/>
        <v>0</v>
      </c>
      <c r="O747" s="66">
        <f t="shared" si="95"/>
        <v>0</v>
      </c>
      <c r="P747" s="66">
        <f t="shared" si="96"/>
        <v>0</v>
      </c>
      <c r="Q747" s="204">
        <f>'Final Building Profile'!K42</f>
        <v>0</v>
      </c>
      <c r="R747" s="66">
        <f t="shared" si="85"/>
        <v>0</v>
      </c>
      <c r="S747" s="65">
        <f>'Final Building Profile'!N42-'Final Building Profile'!O42</f>
        <v>0</v>
      </c>
      <c r="T747" s="65">
        <f t="shared" si="97"/>
        <v>0</v>
      </c>
      <c r="U747" s="204">
        <f>'Final Building Profile'!Q42</f>
        <v>0</v>
      </c>
      <c r="V747" s="65">
        <f>IF('Final Building Profile'!P42&lt;&gt;"", U747, 0) * T747</f>
        <v>0</v>
      </c>
      <c r="W747" s="266">
        <f t="shared" si="98"/>
        <v>0</v>
      </c>
      <c r="X747" s="266">
        <f t="shared" si="86"/>
        <v>0</v>
      </c>
      <c r="Y747" s="266" t="e">
        <f t="shared" si="99"/>
        <v>#DIV/0!</v>
      </c>
      <c r="Z747" s="266" t="e">
        <f t="shared" si="100"/>
        <v>#DIV/0!</v>
      </c>
      <c r="AA747" s="266" t="e">
        <f t="shared" si="101"/>
        <v>#DIV/0!</v>
      </c>
      <c r="AB747" s="65" t="e">
        <f t="shared" si="102"/>
        <v>#N/A</v>
      </c>
      <c r="AC747" s="65" t="e">
        <f t="shared" si="103"/>
        <v>#N/A</v>
      </c>
      <c r="AD747" s="65" t="e">
        <f t="shared" si="104"/>
        <v>#N/A</v>
      </c>
      <c r="AE747" s="65" t="e">
        <f t="shared" si="105"/>
        <v>#N/A</v>
      </c>
    </row>
    <row r="748" spans="1:31" ht="15" customHeight="1">
      <c r="A748">
        <f>'Final Building Profile'!A43</f>
        <v>40</v>
      </c>
      <c r="B748">
        <f>'Final Building Profile'!D43</f>
        <v>0</v>
      </c>
      <c r="C748">
        <f>'Final Building Profile'!E43</f>
        <v>0</v>
      </c>
      <c r="D748">
        <f>'Final Building Profile'!F43</f>
        <v>0</v>
      </c>
      <c r="E748" s="265">
        <f>'Final Building Profile'!G43</f>
        <v>0</v>
      </c>
      <c r="F748" s="265">
        <f>'Final Building Profile'!H43</f>
        <v>0</v>
      </c>
      <c r="G748" s="265">
        <f>'Final Building Profile'!I43</f>
        <v>0</v>
      </c>
      <c r="H748" s="197">
        <f t="shared" si="91"/>
        <v>0</v>
      </c>
      <c r="I748" s="197">
        <f t="shared" si="92"/>
        <v>0</v>
      </c>
      <c r="J748" s="137">
        <f t="shared" si="93"/>
        <v>0</v>
      </c>
      <c r="K748" s="66">
        <f>'Final Building Profile'!L43</f>
        <v>0</v>
      </c>
      <c r="L748" s="66">
        <f t="shared" si="84"/>
        <v>0</v>
      </c>
      <c r="M748">
        <f>'Final Building Profile'!M43</f>
        <v>0</v>
      </c>
      <c r="N748" s="66">
        <f t="shared" si="94"/>
        <v>0</v>
      </c>
      <c r="O748" s="66">
        <f t="shared" si="95"/>
        <v>0</v>
      </c>
      <c r="P748" s="66">
        <f t="shared" si="96"/>
        <v>0</v>
      </c>
      <c r="Q748" s="204">
        <f>'Final Building Profile'!K43</f>
        <v>0</v>
      </c>
      <c r="R748" s="66">
        <f t="shared" si="85"/>
        <v>0</v>
      </c>
      <c r="S748" s="65">
        <f>'Final Building Profile'!N43-'Final Building Profile'!O43</f>
        <v>0</v>
      </c>
      <c r="T748" s="65">
        <f t="shared" si="97"/>
        <v>0</v>
      </c>
      <c r="U748" s="204">
        <f>'Final Building Profile'!Q43</f>
        <v>0</v>
      </c>
      <c r="V748" s="65">
        <f>IF('Final Building Profile'!P43&lt;&gt;"", U748, 0) * T748</f>
        <v>0</v>
      </c>
      <c r="W748" s="266">
        <f t="shared" si="98"/>
        <v>0</v>
      </c>
      <c r="X748" s="266">
        <f t="shared" si="86"/>
        <v>0</v>
      </c>
      <c r="Y748" s="266" t="e">
        <f t="shared" si="99"/>
        <v>#DIV/0!</v>
      </c>
      <c r="Z748" s="266" t="e">
        <f t="shared" si="100"/>
        <v>#DIV/0!</v>
      </c>
      <c r="AA748" s="266" t="e">
        <f t="shared" si="101"/>
        <v>#DIV/0!</v>
      </c>
      <c r="AB748" s="65" t="e">
        <f t="shared" si="102"/>
        <v>#N/A</v>
      </c>
      <c r="AC748" s="65" t="e">
        <f t="shared" si="103"/>
        <v>#N/A</v>
      </c>
      <c r="AD748" s="65" t="e">
        <f t="shared" si="104"/>
        <v>#N/A</v>
      </c>
      <c r="AE748" s="65" t="e">
        <f t="shared" si="105"/>
        <v>#N/A</v>
      </c>
    </row>
    <row r="749" spans="1:31" ht="15" customHeight="1">
      <c r="A749">
        <f>'Final Building Profile'!A44</f>
        <v>41</v>
      </c>
      <c r="B749">
        <f>'Final Building Profile'!D44</f>
        <v>0</v>
      </c>
      <c r="C749">
        <f>'Final Building Profile'!E44</f>
        <v>0</v>
      </c>
      <c r="D749">
        <f>'Final Building Profile'!F44</f>
        <v>0</v>
      </c>
      <c r="E749" s="265">
        <f>'Final Building Profile'!G44</f>
        <v>0</v>
      </c>
      <c r="F749" s="265">
        <f>'Final Building Profile'!H44</f>
        <v>0</v>
      </c>
      <c r="G749" s="265">
        <f>'Final Building Profile'!I44</f>
        <v>0</v>
      </c>
      <c r="H749" s="197">
        <f t="shared" si="91"/>
        <v>0</v>
      </c>
      <c r="I749" s="197">
        <f t="shared" si="92"/>
        <v>0</v>
      </c>
      <c r="J749" s="137">
        <f t="shared" si="93"/>
        <v>0</v>
      </c>
      <c r="K749" s="66">
        <f>'Final Building Profile'!L44</f>
        <v>0</v>
      </c>
      <c r="L749" s="66">
        <f t="shared" si="84"/>
        <v>0</v>
      </c>
      <c r="M749">
        <f>'Final Building Profile'!M44</f>
        <v>0</v>
      </c>
      <c r="N749" s="66">
        <f t="shared" si="94"/>
        <v>0</v>
      </c>
      <c r="O749" s="66">
        <f t="shared" si="95"/>
        <v>0</v>
      </c>
      <c r="P749" s="66">
        <f t="shared" si="96"/>
        <v>0</v>
      </c>
      <c r="Q749" s="204">
        <f>'Final Building Profile'!K44</f>
        <v>0</v>
      </c>
      <c r="R749" s="66">
        <f t="shared" si="85"/>
        <v>0</v>
      </c>
      <c r="S749" s="65">
        <f>'Final Building Profile'!N44-'Final Building Profile'!O44</f>
        <v>0</v>
      </c>
      <c r="T749" s="65">
        <f t="shared" si="97"/>
        <v>0</v>
      </c>
      <c r="U749" s="204">
        <f>'Final Building Profile'!Q44</f>
        <v>0</v>
      </c>
      <c r="V749" s="65">
        <f>IF('Final Building Profile'!P44&lt;&gt;"", U749, 0) * T749</f>
        <v>0</v>
      </c>
      <c r="W749" s="266">
        <f t="shared" si="98"/>
        <v>0</v>
      </c>
      <c r="X749" s="266">
        <f t="shared" si="86"/>
        <v>0</v>
      </c>
      <c r="Y749" s="266" t="e">
        <f t="shared" si="99"/>
        <v>#DIV/0!</v>
      </c>
      <c r="Z749" s="266" t="e">
        <f t="shared" si="100"/>
        <v>#DIV/0!</v>
      </c>
      <c r="AA749" s="266" t="e">
        <f t="shared" si="101"/>
        <v>#DIV/0!</v>
      </c>
      <c r="AB749" s="65" t="e">
        <f t="shared" si="102"/>
        <v>#N/A</v>
      </c>
      <c r="AC749" s="65" t="e">
        <f t="shared" si="103"/>
        <v>#N/A</v>
      </c>
      <c r="AD749" s="65" t="e">
        <f t="shared" si="104"/>
        <v>#N/A</v>
      </c>
      <c r="AE749" s="65" t="e">
        <f t="shared" si="105"/>
        <v>#N/A</v>
      </c>
    </row>
    <row r="750" spans="1:31" ht="15" customHeight="1">
      <c r="A750">
        <f>'Final Building Profile'!A45</f>
        <v>42</v>
      </c>
      <c r="B750">
        <f>'Final Building Profile'!D45</f>
        <v>0</v>
      </c>
      <c r="C750">
        <f>'Final Building Profile'!E45</f>
        <v>0</v>
      </c>
      <c r="D750">
        <f>'Final Building Profile'!F45</f>
        <v>0</v>
      </c>
      <c r="E750" s="265">
        <f>'Final Building Profile'!G45</f>
        <v>0</v>
      </c>
      <c r="F750" s="265">
        <f>'Final Building Profile'!H45</f>
        <v>0</v>
      </c>
      <c r="G750" s="265">
        <f>'Final Building Profile'!I45</f>
        <v>0</v>
      </c>
      <c r="H750" s="197">
        <f t="shared" si="91"/>
        <v>0</v>
      </c>
      <c r="I750" s="197">
        <f t="shared" si="92"/>
        <v>0</v>
      </c>
      <c r="J750" s="137">
        <f t="shared" si="93"/>
        <v>0</v>
      </c>
      <c r="K750" s="66">
        <f>'Final Building Profile'!L45</f>
        <v>0</v>
      </c>
      <c r="L750" s="66">
        <f t="shared" si="84"/>
        <v>0</v>
      </c>
      <c r="M750">
        <f>'Final Building Profile'!M45</f>
        <v>0</v>
      </c>
      <c r="N750" s="66">
        <f t="shared" si="94"/>
        <v>0</v>
      </c>
      <c r="O750" s="66">
        <f t="shared" si="95"/>
        <v>0</v>
      </c>
      <c r="P750" s="66">
        <f t="shared" si="96"/>
        <v>0</v>
      </c>
      <c r="Q750" s="204">
        <f>'Final Building Profile'!K45</f>
        <v>0</v>
      </c>
      <c r="R750" s="66">
        <f t="shared" si="85"/>
        <v>0</v>
      </c>
      <c r="S750" s="65">
        <f>'Final Building Profile'!N45-'Final Building Profile'!O45</f>
        <v>0</v>
      </c>
      <c r="T750" s="65">
        <f t="shared" si="97"/>
        <v>0</v>
      </c>
      <c r="U750" s="204">
        <f>'Final Building Profile'!Q45</f>
        <v>0</v>
      </c>
      <c r="V750" s="65">
        <f>IF('Final Building Profile'!P45&lt;&gt;"", U750, 0) * T750</f>
        <v>0</v>
      </c>
      <c r="W750" s="266">
        <f t="shared" si="98"/>
        <v>0</v>
      </c>
      <c r="X750" s="266">
        <f t="shared" si="86"/>
        <v>0</v>
      </c>
      <c r="Y750" s="266" t="e">
        <f t="shared" si="99"/>
        <v>#DIV/0!</v>
      </c>
      <c r="Z750" s="266" t="e">
        <f t="shared" si="100"/>
        <v>#DIV/0!</v>
      </c>
      <c r="AA750" s="266" t="e">
        <f t="shared" si="101"/>
        <v>#DIV/0!</v>
      </c>
      <c r="AB750" s="65" t="e">
        <f t="shared" si="102"/>
        <v>#N/A</v>
      </c>
      <c r="AC750" s="65" t="e">
        <f t="shared" si="103"/>
        <v>#N/A</v>
      </c>
      <c r="AD750" s="65" t="e">
        <f t="shared" si="104"/>
        <v>#N/A</v>
      </c>
      <c r="AE750" s="65" t="e">
        <f t="shared" si="105"/>
        <v>#N/A</v>
      </c>
    </row>
    <row r="751" spans="1:31" ht="15" customHeight="1">
      <c r="A751">
        <f>'Final Building Profile'!A46</f>
        <v>43</v>
      </c>
      <c r="B751">
        <f>'Final Building Profile'!D46</f>
        <v>0</v>
      </c>
      <c r="C751">
        <f>'Final Building Profile'!E46</f>
        <v>0</v>
      </c>
      <c r="D751">
        <f>'Final Building Profile'!F46</f>
        <v>0</v>
      </c>
      <c r="E751" s="265">
        <f>'Final Building Profile'!G46</f>
        <v>0</v>
      </c>
      <c r="F751" s="265">
        <f>'Final Building Profile'!H46</f>
        <v>0</v>
      </c>
      <c r="G751" s="265">
        <f>'Final Building Profile'!I46</f>
        <v>0</v>
      </c>
      <c r="H751" s="197">
        <f t="shared" si="91"/>
        <v>0</v>
      </c>
      <c r="I751" s="197">
        <f t="shared" si="92"/>
        <v>0</v>
      </c>
      <c r="J751" s="137">
        <f t="shared" si="93"/>
        <v>0</v>
      </c>
      <c r="K751" s="66">
        <f>'Final Building Profile'!L46</f>
        <v>0</v>
      </c>
      <c r="L751" s="66">
        <f t="shared" si="84"/>
        <v>0</v>
      </c>
      <c r="M751">
        <f>'Final Building Profile'!M46</f>
        <v>0</v>
      </c>
      <c r="N751" s="66">
        <f t="shared" si="94"/>
        <v>0</v>
      </c>
      <c r="O751" s="66">
        <f t="shared" si="95"/>
        <v>0</v>
      </c>
      <c r="P751" s="66">
        <f t="shared" si="96"/>
        <v>0</v>
      </c>
      <c r="Q751" s="204">
        <f>'Final Building Profile'!K46</f>
        <v>0</v>
      </c>
      <c r="R751" s="66">
        <f t="shared" si="85"/>
        <v>0</v>
      </c>
      <c r="S751" s="65">
        <f>'Final Building Profile'!N46-'Final Building Profile'!O46</f>
        <v>0</v>
      </c>
      <c r="T751" s="65">
        <f t="shared" si="97"/>
        <v>0</v>
      </c>
      <c r="U751" s="204">
        <f>'Final Building Profile'!Q46</f>
        <v>0</v>
      </c>
      <c r="V751" s="65">
        <f>IF('Final Building Profile'!P46&lt;&gt;"", U751, 0) * T751</f>
        <v>0</v>
      </c>
      <c r="W751" s="266">
        <f t="shared" si="98"/>
        <v>0</v>
      </c>
      <c r="X751" s="266">
        <f t="shared" si="86"/>
        <v>0</v>
      </c>
      <c r="Y751" s="266" t="e">
        <f t="shared" si="99"/>
        <v>#DIV/0!</v>
      </c>
      <c r="Z751" s="266" t="e">
        <f t="shared" si="100"/>
        <v>#DIV/0!</v>
      </c>
      <c r="AA751" s="266" t="e">
        <f t="shared" si="101"/>
        <v>#DIV/0!</v>
      </c>
      <c r="AB751" s="65" t="e">
        <f t="shared" si="102"/>
        <v>#N/A</v>
      </c>
      <c r="AC751" s="65" t="e">
        <f t="shared" si="103"/>
        <v>#N/A</v>
      </c>
      <c r="AD751" s="65" t="e">
        <f t="shared" si="104"/>
        <v>#N/A</v>
      </c>
      <c r="AE751" s="65" t="e">
        <f t="shared" si="105"/>
        <v>#N/A</v>
      </c>
    </row>
    <row r="752" spans="1:31" ht="15" customHeight="1">
      <c r="A752">
        <f>'Final Building Profile'!A47</f>
        <v>44</v>
      </c>
      <c r="B752">
        <f>'Final Building Profile'!D47</f>
        <v>0</v>
      </c>
      <c r="C752">
        <f>'Final Building Profile'!E47</f>
        <v>0</v>
      </c>
      <c r="D752">
        <f>'Final Building Profile'!F47</f>
        <v>0</v>
      </c>
      <c r="E752" s="265">
        <f>'Final Building Profile'!G47</f>
        <v>0</v>
      </c>
      <c r="F752" s="265">
        <f>'Final Building Profile'!H47</f>
        <v>0</v>
      </c>
      <c r="G752" s="265">
        <f>'Final Building Profile'!I47</f>
        <v>0</v>
      </c>
      <c r="H752" s="197">
        <f t="shared" si="91"/>
        <v>0</v>
      </c>
      <c r="I752" s="197">
        <f t="shared" si="92"/>
        <v>0</v>
      </c>
      <c r="J752" s="137">
        <f t="shared" si="93"/>
        <v>0</v>
      </c>
      <c r="K752" s="66">
        <f>'Final Building Profile'!L47</f>
        <v>0</v>
      </c>
      <c r="L752" s="66">
        <f t="shared" si="84"/>
        <v>0</v>
      </c>
      <c r="M752">
        <f>'Final Building Profile'!M47</f>
        <v>0</v>
      </c>
      <c r="N752" s="66">
        <f t="shared" si="94"/>
        <v>0</v>
      </c>
      <c r="O752" s="66">
        <f t="shared" si="95"/>
        <v>0</v>
      </c>
      <c r="P752" s="66">
        <f t="shared" si="96"/>
        <v>0</v>
      </c>
      <c r="Q752" s="204">
        <f>'Final Building Profile'!K47</f>
        <v>0</v>
      </c>
      <c r="R752" s="66">
        <f t="shared" si="85"/>
        <v>0</v>
      </c>
      <c r="S752" s="65">
        <f>'Final Building Profile'!N47-'Final Building Profile'!O47</f>
        <v>0</v>
      </c>
      <c r="T752" s="65">
        <f t="shared" si="97"/>
        <v>0</v>
      </c>
      <c r="U752" s="204">
        <f>'Final Building Profile'!Q47</f>
        <v>0</v>
      </c>
      <c r="V752" s="65">
        <f>IF('Final Building Profile'!P47&lt;&gt;"", U752, 0) * T752</f>
        <v>0</v>
      </c>
      <c r="W752" s="266">
        <f t="shared" si="98"/>
        <v>0</v>
      </c>
      <c r="X752" s="266">
        <f t="shared" si="86"/>
        <v>0</v>
      </c>
      <c r="Y752" s="266" t="e">
        <f t="shared" si="99"/>
        <v>#DIV/0!</v>
      </c>
      <c r="Z752" s="266" t="e">
        <f t="shared" si="100"/>
        <v>#DIV/0!</v>
      </c>
      <c r="AA752" s="266" t="e">
        <f t="shared" si="101"/>
        <v>#DIV/0!</v>
      </c>
      <c r="AB752" s="65" t="e">
        <f t="shared" si="102"/>
        <v>#N/A</v>
      </c>
      <c r="AC752" s="65" t="e">
        <f t="shared" si="103"/>
        <v>#N/A</v>
      </c>
      <c r="AD752" s="65" t="e">
        <f t="shared" si="104"/>
        <v>#N/A</v>
      </c>
      <c r="AE752" s="65" t="e">
        <f t="shared" si="105"/>
        <v>#N/A</v>
      </c>
    </row>
    <row r="753" spans="1:31" ht="15" customHeight="1">
      <c r="A753">
        <f>'Final Building Profile'!A48</f>
        <v>45</v>
      </c>
      <c r="B753">
        <f>'Final Building Profile'!D48</f>
        <v>0</v>
      </c>
      <c r="C753">
        <f>'Final Building Profile'!E48</f>
        <v>0</v>
      </c>
      <c r="D753">
        <f>'Final Building Profile'!F48</f>
        <v>0</v>
      </c>
      <c r="E753" s="265">
        <f>'Final Building Profile'!G48</f>
        <v>0</v>
      </c>
      <c r="F753" s="265">
        <f>'Final Building Profile'!H48</f>
        <v>0</v>
      </c>
      <c r="G753" s="265">
        <f>'Final Building Profile'!I48</f>
        <v>0</v>
      </c>
      <c r="H753" s="197">
        <f t="shared" si="91"/>
        <v>0</v>
      </c>
      <c r="I753" s="197">
        <f t="shared" si="92"/>
        <v>0</v>
      </c>
      <c r="J753" s="137">
        <f t="shared" si="93"/>
        <v>0</v>
      </c>
      <c r="K753" s="66">
        <f>'Final Building Profile'!L48</f>
        <v>0</v>
      </c>
      <c r="L753" s="66">
        <f t="shared" si="84"/>
        <v>0</v>
      </c>
      <c r="M753">
        <f>'Final Building Profile'!M48</f>
        <v>0</v>
      </c>
      <c r="N753" s="66">
        <f t="shared" si="94"/>
        <v>0</v>
      </c>
      <c r="O753" s="66">
        <f t="shared" si="95"/>
        <v>0</v>
      </c>
      <c r="P753" s="66">
        <f t="shared" si="96"/>
        <v>0</v>
      </c>
      <c r="Q753" s="204">
        <f>'Final Building Profile'!K48</f>
        <v>0</v>
      </c>
      <c r="R753" s="66">
        <f t="shared" si="85"/>
        <v>0</v>
      </c>
      <c r="S753" s="65">
        <f>'Final Building Profile'!N48-'Final Building Profile'!O48</f>
        <v>0</v>
      </c>
      <c r="T753" s="65">
        <f t="shared" si="97"/>
        <v>0</v>
      </c>
      <c r="U753" s="204">
        <f>'Final Building Profile'!Q48</f>
        <v>0</v>
      </c>
      <c r="V753" s="65">
        <f>IF('Final Building Profile'!P48&lt;&gt;"", U753, 0) * T753</f>
        <v>0</v>
      </c>
      <c r="W753" s="266">
        <f t="shared" si="98"/>
        <v>0</v>
      </c>
      <c r="X753" s="266">
        <f t="shared" si="86"/>
        <v>0</v>
      </c>
      <c r="Y753" s="266" t="e">
        <f t="shared" si="99"/>
        <v>#DIV/0!</v>
      </c>
      <c r="Z753" s="266" t="e">
        <f t="shared" si="100"/>
        <v>#DIV/0!</v>
      </c>
      <c r="AA753" s="266" t="e">
        <f t="shared" si="101"/>
        <v>#DIV/0!</v>
      </c>
      <c r="AB753" s="65" t="e">
        <f t="shared" si="102"/>
        <v>#N/A</v>
      </c>
      <c r="AC753" s="65" t="e">
        <f t="shared" si="103"/>
        <v>#N/A</v>
      </c>
      <c r="AD753" s="65" t="e">
        <f t="shared" si="104"/>
        <v>#N/A</v>
      </c>
      <c r="AE753" s="65" t="e">
        <f t="shared" si="105"/>
        <v>#N/A</v>
      </c>
    </row>
    <row r="754" spans="1:31" ht="15" customHeight="1">
      <c r="A754">
        <f>'Final Building Profile'!A49</f>
        <v>46</v>
      </c>
      <c r="B754">
        <f>'Final Building Profile'!D49</f>
        <v>0</v>
      </c>
      <c r="C754">
        <f>'Final Building Profile'!E49</f>
        <v>0</v>
      </c>
      <c r="D754">
        <f>'Final Building Profile'!F49</f>
        <v>0</v>
      </c>
      <c r="E754" s="265">
        <f>'Final Building Profile'!G49</f>
        <v>0</v>
      </c>
      <c r="F754" s="265">
        <f>'Final Building Profile'!H49</f>
        <v>0</v>
      </c>
      <c r="G754" s="265">
        <f>'Final Building Profile'!I49</f>
        <v>0</v>
      </c>
      <c r="H754" s="197">
        <f t="shared" si="91"/>
        <v>0</v>
      </c>
      <c r="I754" s="197">
        <f t="shared" si="92"/>
        <v>0</v>
      </c>
      <c r="J754" s="137">
        <f t="shared" si="93"/>
        <v>0</v>
      </c>
      <c r="K754" s="66">
        <f>'Final Building Profile'!L49</f>
        <v>0</v>
      </c>
      <c r="L754" s="66">
        <f t="shared" si="84"/>
        <v>0</v>
      </c>
      <c r="M754">
        <f>'Final Building Profile'!M49</f>
        <v>0</v>
      </c>
      <c r="N754" s="66">
        <f t="shared" si="94"/>
        <v>0</v>
      </c>
      <c r="O754" s="66">
        <f t="shared" si="95"/>
        <v>0</v>
      </c>
      <c r="P754" s="66">
        <f t="shared" si="96"/>
        <v>0</v>
      </c>
      <c r="Q754" s="204">
        <f>'Final Building Profile'!K49</f>
        <v>0</v>
      </c>
      <c r="R754" s="66">
        <f t="shared" si="85"/>
        <v>0</v>
      </c>
      <c r="S754" s="65">
        <f>'Final Building Profile'!N49-'Final Building Profile'!O49</f>
        <v>0</v>
      </c>
      <c r="T754" s="65">
        <f t="shared" si="97"/>
        <v>0</v>
      </c>
      <c r="U754" s="204">
        <f>'Final Building Profile'!Q49</f>
        <v>0</v>
      </c>
      <c r="V754" s="65">
        <f>IF('Final Building Profile'!P49&lt;&gt;"", U754, 0) * T754</f>
        <v>0</v>
      </c>
      <c r="W754" s="266">
        <f t="shared" si="98"/>
        <v>0</v>
      </c>
      <c r="X754" s="266">
        <f t="shared" si="86"/>
        <v>0</v>
      </c>
      <c r="Y754" s="266" t="e">
        <f t="shared" si="99"/>
        <v>#DIV/0!</v>
      </c>
      <c r="Z754" s="266" t="e">
        <f t="shared" si="100"/>
        <v>#DIV/0!</v>
      </c>
      <c r="AA754" s="266" t="e">
        <f t="shared" si="101"/>
        <v>#DIV/0!</v>
      </c>
      <c r="AB754" s="65" t="e">
        <f t="shared" si="102"/>
        <v>#N/A</v>
      </c>
      <c r="AC754" s="65" t="e">
        <f t="shared" si="103"/>
        <v>#N/A</v>
      </c>
      <c r="AD754" s="65" t="e">
        <f t="shared" si="104"/>
        <v>#N/A</v>
      </c>
      <c r="AE754" s="65" t="e">
        <f t="shared" si="105"/>
        <v>#N/A</v>
      </c>
    </row>
    <row r="755" spans="1:31" ht="15" customHeight="1">
      <c r="A755">
        <f>'Final Building Profile'!A50</f>
        <v>47</v>
      </c>
      <c r="B755">
        <f>'Final Building Profile'!D50</f>
        <v>0</v>
      </c>
      <c r="C755">
        <f>'Final Building Profile'!E50</f>
        <v>0</v>
      </c>
      <c r="D755">
        <f>'Final Building Profile'!F50</f>
        <v>0</v>
      </c>
      <c r="E755" s="265">
        <f>'Final Building Profile'!G50</f>
        <v>0</v>
      </c>
      <c r="F755" s="265">
        <f>'Final Building Profile'!H50</f>
        <v>0</v>
      </c>
      <c r="G755" s="265">
        <f>'Final Building Profile'!I50</f>
        <v>0</v>
      </c>
      <c r="H755" s="197">
        <f t="shared" si="91"/>
        <v>0</v>
      </c>
      <c r="I755" s="197">
        <f t="shared" si="92"/>
        <v>0</v>
      </c>
      <c r="J755" s="137">
        <f t="shared" si="93"/>
        <v>0</v>
      </c>
      <c r="K755" s="66">
        <f>'Final Building Profile'!L50</f>
        <v>0</v>
      </c>
      <c r="L755" s="66">
        <f t="shared" si="84"/>
        <v>0</v>
      </c>
      <c r="M755">
        <f>'Final Building Profile'!M50</f>
        <v>0</v>
      </c>
      <c r="N755" s="66">
        <f t="shared" si="94"/>
        <v>0</v>
      </c>
      <c r="O755" s="66">
        <f t="shared" si="95"/>
        <v>0</v>
      </c>
      <c r="P755" s="66">
        <f t="shared" si="96"/>
        <v>0</v>
      </c>
      <c r="Q755" s="204">
        <f>'Final Building Profile'!K50</f>
        <v>0</v>
      </c>
      <c r="R755" s="66">
        <f t="shared" si="85"/>
        <v>0</v>
      </c>
      <c r="S755" s="65">
        <f>'Final Building Profile'!N50-'Final Building Profile'!O50</f>
        <v>0</v>
      </c>
      <c r="T755" s="65">
        <f t="shared" si="97"/>
        <v>0</v>
      </c>
      <c r="U755" s="204">
        <f>'Final Building Profile'!Q50</f>
        <v>0</v>
      </c>
      <c r="V755" s="65">
        <f>IF('Final Building Profile'!P50&lt;&gt;"", U755, 0) * T755</f>
        <v>0</v>
      </c>
      <c r="W755" s="266">
        <f t="shared" si="98"/>
        <v>0</v>
      </c>
      <c r="X755" s="266">
        <f t="shared" si="86"/>
        <v>0</v>
      </c>
      <c r="Y755" s="266" t="e">
        <f t="shared" si="99"/>
        <v>#DIV/0!</v>
      </c>
      <c r="Z755" s="266" t="e">
        <f t="shared" si="100"/>
        <v>#DIV/0!</v>
      </c>
      <c r="AA755" s="266" t="e">
        <f t="shared" si="101"/>
        <v>#DIV/0!</v>
      </c>
      <c r="AB755" s="65" t="e">
        <f t="shared" si="102"/>
        <v>#N/A</v>
      </c>
      <c r="AC755" s="65" t="e">
        <f t="shared" si="103"/>
        <v>#N/A</v>
      </c>
      <c r="AD755" s="65" t="e">
        <f t="shared" si="104"/>
        <v>#N/A</v>
      </c>
      <c r="AE755" s="65" t="e">
        <f t="shared" si="105"/>
        <v>#N/A</v>
      </c>
    </row>
    <row r="756" spans="1:31" ht="15" customHeight="1">
      <c r="A756">
        <f>'Final Building Profile'!A51</f>
        <v>48</v>
      </c>
      <c r="B756">
        <f>'Final Building Profile'!D51</f>
        <v>0</v>
      </c>
      <c r="C756">
        <f>'Final Building Profile'!E51</f>
        <v>0</v>
      </c>
      <c r="D756">
        <f>'Final Building Profile'!F51</f>
        <v>0</v>
      </c>
      <c r="E756" s="265">
        <f>'Final Building Profile'!G51</f>
        <v>0</v>
      </c>
      <c r="F756" s="265">
        <f>'Final Building Profile'!H51</f>
        <v>0</v>
      </c>
      <c r="G756" s="265">
        <f>'Final Building Profile'!I51</f>
        <v>0</v>
      </c>
      <c r="H756" s="197">
        <f t="shared" si="91"/>
        <v>0</v>
      </c>
      <c r="I756" s="197">
        <f t="shared" si="92"/>
        <v>0</v>
      </c>
      <c r="J756" s="137">
        <f t="shared" si="93"/>
        <v>0</v>
      </c>
      <c r="K756" s="66">
        <f>'Final Building Profile'!L51</f>
        <v>0</v>
      </c>
      <c r="L756" s="66">
        <f t="shared" si="84"/>
        <v>0</v>
      </c>
      <c r="M756">
        <f>'Final Building Profile'!M51</f>
        <v>0</v>
      </c>
      <c r="N756" s="66">
        <f t="shared" si="94"/>
        <v>0</v>
      </c>
      <c r="O756" s="66">
        <f t="shared" si="95"/>
        <v>0</v>
      </c>
      <c r="P756" s="66">
        <f t="shared" si="96"/>
        <v>0</v>
      </c>
      <c r="Q756" s="204">
        <f>'Final Building Profile'!K51</f>
        <v>0</v>
      </c>
      <c r="R756" s="66">
        <f t="shared" si="85"/>
        <v>0</v>
      </c>
      <c r="S756" s="65">
        <f>'Final Building Profile'!N51-'Final Building Profile'!O51</f>
        <v>0</v>
      </c>
      <c r="T756" s="65">
        <f t="shared" si="97"/>
        <v>0</v>
      </c>
      <c r="U756" s="204">
        <f>'Final Building Profile'!Q51</f>
        <v>0</v>
      </c>
      <c r="V756" s="65">
        <f>IF('Final Building Profile'!P51&lt;&gt;"", U756, 0) * T756</f>
        <v>0</v>
      </c>
      <c r="W756" s="266">
        <f t="shared" si="98"/>
        <v>0</v>
      </c>
      <c r="X756" s="266">
        <f t="shared" si="86"/>
        <v>0</v>
      </c>
      <c r="Y756" s="266" t="e">
        <f t="shared" si="99"/>
        <v>#DIV/0!</v>
      </c>
      <c r="Z756" s="266" t="e">
        <f t="shared" si="100"/>
        <v>#DIV/0!</v>
      </c>
      <c r="AA756" s="266" t="e">
        <f t="shared" si="101"/>
        <v>#DIV/0!</v>
      </c>
      <c r="AB756" s="65" t="e">
        <f t="shared" si="102"/>
        <v>#N/A</v>
      </c>
      <c r="AC756" s="65" t="e">
        <f t="shared" si="103"/>
        <v>#N/A</v>
      </c>
      <c r="AD756" s="65" t="e">
        <f t="shared" si="104"/>
        <v>#N/A</v>
      </c>
      <c r="AE756" s="65" t="e">
        <f t="shared" si="105"/>
        <v>#N/A</v>
      </c>
    </row>
    <row r="757" spans="1:31" ht="15" customHeight="1">
      <c r="A757">
        <f>'Final Building Profile'!A52</f>
        <v>49</v>
      </c>
      <c r="B757">
        <f>'Final Building Profile'!D52</f>
        <v>0</v>
      </c>
      <c r="C757">
        <f>'Final Building Profile'!E52</f>
        <v>0</v>
      </c>
      <c r="D757">
        <f>'Final Building Profile'!F52</f>
        <v>0</v>
      </c>
      <c r="E757" s="265">
        <f>'Final Building Profile'!G52</f>
        <v>0</v>
      </c>
      <c r="F757" s="265">
        <f>'Final Building Profile'!H52</f>
        <v>0</v>
      </c>
      <c r="G757" s="265">
        <f>'Final Building Profile'!I52</f>
        <v>0</v>
      </c>
      <c r="H757" s="197">
        <f t="shared" si="91"/>
        <v>0</v>
      </c>
      <c r="I757" s="197">
        <f t="shared" si="92"/>
        <v>0</v>
      </c>
      <c r="J757" s="137">
        <f t="shared" si="93"/>
        <v>0</v>
      </c>
      <c r="K757" s="66">
        <f>'Final Building Profile'!L52</f>
        <v>0</v>
      </c>
      <c r="L757" s="66">
        <f t="shared" si="84"/>
        <v>0</v>
      </c>
      <c r="M757">
        <f>'Final Building Profile'!M52</f>
        <v>0</v>
      </c>
      <c r="N757" s="66">
        <f t="shared" si="94"/>
        <v>0</v>
      </c>
      <c r="O757" s="66">
        <f t="shared" si="95"/>
        <v>0</v>
      </c>
      <c r="P757" s="66">
        <f t="shared" si="96"/>
        <v>0</v>
      </c>
      <c r="Q757" s="204">
        <f>'Final Building Profile'!K52</f>
        <v>0</v>
      </c>
      <c r="R757" s="66">
        <f t="shared" si="85"/>
        <v>0</v>
      </c>
      <c r="S757" s="65">
        <f>'Final Building Profile'!N52-'Final Building Profile'!O52</f>
        <v>0</v>
      </c>
      <c r="T757" s="65">
        <f t="shared" si="97"/>
        <v>0</v>
      </c>
      <c r="U757" s="204">
        <f>'Final Building Profile'!Q52</f>
        <v>0</v>
      </c>
      <c r="V757" s="65">
        <f>IF('Final Building Profile'!P52&lt;&gt;"", U757, 0) * T757</f>
        <v>0</v>
      </c>
      <c r="W757" s="266">
        <f t="shared" si="98"/>
        <v>0</v>
      </c>
      <c r="X757" s="266">
        <f t="shared" si="86"/>
        <v>0</v>
      </c>
      <c r="Y757" s="266" t="e">
        <f t="shared" si="99"/>
        <v>#DIV/0!</v>
      </c>
      <c r="Z757" s="266" t="e">
        <f t="shared" si="100"/>
        <v>#DIV/0!</v>
      </c>
      <c r="AA757" s="266" t="e">
        <f t="shared" si="101"/>
        <v>#DIV/0!</v>
      </c>
      <c r="AB757" s="65" t="e">
        <f t="shared" si="102"/>
        <v>#N/A</v>
      </c>
      <c r="AC757" s="65" t="e">
        <f t="shared" si="103"/>
        <v>#N/A</v>
      </c>
      <c r="AD757" s="65" t="e">
        <f t="shared" si="104"/>
        <v>#N/A</v>
      </c>
      <c r="AE757" s="65" t="e">
        <f t="shared" si="105"/>
        <v>#N/A</v>
      </c>
    </row>
    <row r="758" spans="1:31" ht="15" customHeight="1">
      <c r="A758">
        <f>'Final Building Profile'!A53</f>
        <v>50</v>
      </c>
      <c r="B758">
        <f>'Final Building Profile'!D53</f>
        <v>0</v>
      </c>
      <c r="C758">
        <f>'Final Building Profile'!E53</f>
        <v>0</v>
      </c>
      <c r="D758">
        <f>'Final Building Profile'!F53</f>
        <v>0</v>
      </c>
      <c r="E758" s="265">
        <f>'Final Building Profile'!G53</f>
        <v>0</v>
      </c>
      <c r="F758" s="265">
        <f>'Final Building Profile'!H53</f>
        <v>0</v>
      </c>
      <c r="G758" s="265">
        <f>'Final Building Profile'!I53</f>
        <v>0</v>
      </c>
      <c r="H758" s="197">
        <f t="shared" si="91"/>
        <v>0</v>
      </c>
      <c r="I758" s="197">
        <f t="shared" si="92"/>
        <v>0</v>
      </c>
      <c r="J758" s="137">
        <f t="shared" si="93"/>
        <v>0</v>
      </c>
      <c r="K758" s="66">
        <f>'Final Building Profile'!L53</f>
        <v>0</v>
      </c>
      <c r="L758" s="66">
        <f t="shared" si="84"/>
        <v>0</v>
      </c>
      <c r="M758">
        <f>'Final Building Profile'!M53</f>
        <v>0</v>
      </c>
      <c r="N758" s="66">
        <f t="shared" si="94"/>
        <v>0</v>
      </c>
      <c r="O758" s="66">
        <f t="shared" si="95"/>
        <v>0</v>
      </c>
      <c r="P758" s="66">
        <f t="shared" si="96"/>
        <v>0</v>
      </c>
      <c r="Q758" s="204">
        <f>'Final Building Profile'!K53</f>
        <v>0</v>
      </c>
      <c r="R758" s="66">
        <f t="shared" si="85"/>
        <v>0</v>
      </c>
      <c r="S758" s="65">
        <f>'Final Building Profile'!N53-'Final Building Profile'!O53</f>
        <v>0</v>
      </c>
      <c r="T758" s="65">
        <f t="shared" si="97"/>
        <v>0</v>
      </c>
      <c r="U758" s="204">
        <f>'Final Building Profile'!Q53</f>
        <v>0</v>
      </c>
      <c r="V758" s="65">
        <f>IF('Final Building Profile'!P53&lt;&gt;"", U758, 0) * T758</f>
        <v>0</v>
      </c>
      <c r="W758" s="266">
        <f t="shared" si="98"/>
        <v>0</v>
      </c>
      <c r="X758" s="266">
        <f t="shared" si="86"/>
        <v>0</v>
      </c>
      <c r="Y758" s="266" t="e">
        <f t="shared" si="99"/>
        <v>#DIV/0!</v>
      </c>
      <c r="Z758" s="266" t="e">
        <f t="shared" si="100"/>
        <v>#DIV/0!</v>
      </c>
      <c r="AA758" s="266" t="e">
        <f t="shared" si="101"/>
        <v>#DIV/0!</v>
      </c>
      <c r="AB758" s="65" t="e">
        <f t="shared" si="102"/>
        <v>#N/A</v>
      </c>
      <c r="AC758" s="65" t="e">
        <f t="shared" si="103"/>
        <v>#N/A</v>
      </c>
      <c r="AD758" s="65" t="e">
        <f t="shared" si="104"/>
        <v>#N/A</v>
      </c>
      <c r="AE758" s="65" t="e">
        <f t="shared" si="105"/>
        <v>#N/A</v>
      </c>
    </row>
    <row r="759" spans="1:31" ht="15" customHeight="1">
      <c r="A759">
        <f>'Final Building Profile'!A54</f>
        <v>51</v>
      </c>
      <c r="B759">
        <f>'Final Building Profile'!D54</f>
        <v>0</v>
      </c>
      <c r="C759">
        <f>'Final Building Profile'!E54</f>
        <v>0</v>
      </c>
      <c r="D759">
        <f>'Final Building Profile'!F54</f>
        <v>0</v>
      </c>
      <c r="E759" s="265">
        <f>'Final Building Profile'!G54</f>
        <v>0</v>
      </c>
      <c r="F759" s="265">
        <f>'Final Building Profile'!H54</f>
        <v>0</v>
      </c>
      <c r="G759" s="265">
        <f>'Final Building Profile'!I54</f>
        <v>0</v>
      </c>
      <c r="H759" s="197">
        <f t="shared" si="91"/>
        <v>0</v>
      </c>
      <c r="I759" s="197">
        <f t="shared" si="92"/>
        <v>0</v>
      </c>
      <c r="J759" s="137">
        <f t="shared" si="93"/>
        <v>0</v>
      </c>
      <c r="K759" s="66">
        <f>'Final Building Profile'!L54</f>
        <v>0</v>
      </c>
      <c r="L759" s="66">
        <f t="shared" si="84"/>
        <v>0</v>
      </c>
      <c r="M759">
        <f>'Final Building Profile'!M54</f>
        <v>0</v>
      </c>
      <c r="N759" s="66">
        <f t="shared" si="94"/>
        <v>0</v>
      </c>
      <c r="O759" s="66">
        <f t="shared" si="95"/>
        <v>0</v>
      </c>
      <c r="P759" s="66">
        <f t="shared" si="96"/>
        <v>0</v>
      </c>
      <c r="Q759" s="204">
        <f>'Final Building Profile'!K54</f>
        <v>0</v>
      </c>
      <c r="R759" s="66">
        <f t="shared" si="85"/>
        <v>0</v>
      </c>
      <c r="S759" s="65">
        <f>'Final Building Profile'!N54-'Final Building Profile'!O54</f>
        <v>0</v>
      </c>
      <c r="T759" s="65">
        <f t="shared" si="97"/>
        <v>0</v>
      </c>
      <c r="U759" s="204">
        <f>'Final Building Profile'!Q54</f>
        <v>0</v>
      </c>
      <c r="V759" s="65">
        <f>IF('Final Building Profile'!P54&lt;&gt;"", U759, 0) * T759</f>
        <v>0</v>
      </c>
      <c r="W759" s="266">
        <f t="shared" si="98"/>
        <v>0</v>
      </c>
      <c r="X759" s="266">
        <f t="shared" si="86"/>
        <v>0</v>
      </c>
      <c r="Y759" s="266" t="e">
        <f t="shared" si="99"/>
        <v>#DIV/0!</v>
      </c>
      <c r="Z759" s="266" t="e">
        <f t="shared" si="100"/>
        <v>#DIV/0!</v>
      </c>
      <c r="AA759" s="266" t="e">
        <f t="shared" si="101"/>
        <v>#DIV/0!</v>
      </c>
      <c r="AB759" s="65" t="e">
        <f t="shared" si="102"/>
        <v>#N/A</v>
      </c>
      <c r="AC759" s="65" t="e">
        <f t="shared" si="103"/>
        <v>#N/A</v>
      </c>
      <c r="AD759" s="65" t="e">
        <f t="shared" si="104"/>
        <v>#N/A</v>
      </c>
      <c r="AE759" s="65" t="e">
        <f t="shared" si="105"/>
        <v>#N/A</v>
      </c>
    </row>
    <row r="760" spans="1:31" ht="15" customHeight="1">
      <c r="A760">
        <f>'Final Building Profile'!A55</f>
        <v>52</v>
      </c>
      <c r="B760">
        <f>'Final Building Profile'!D55</f>
        <v>0</v>
      </c>
      <c r="C760">
        <f>'Final Building Profile'!E55</f>
        <v>0</v>
      </c>
      <c r="D760">
        <f>'Final Building Profile'!F55</f>
        <v>0</v>
      </c>
      <c r="E760" s="265">
        <f>'Final Building Profile'!G55</f>
        <v>0</v>
      </c>
      <c r="F760" s="265">
        <f>'Final Building Profile'!H55</f>
        <v>0</v>
      </c>
      <c r="G760" s="265">
        <f>'Final Building Profile'!I55</f>
        <v>0</v>
      </c>
      <c r="H760" s="197">
        <f t="shared" si="91"/>
        <v>0</v>
      </c>
      <c r="I760" s="197">
        <f t="shared" si="92"/>
        <v>0</v>
      </c>
      <c r="J760" s="137">
        <f t="shared" si="93"/>
        <v>0</v>
      </c>
      <c r="K760" s="66">
        <f>'Final Building Profile'!L55</f>
        <v>0</v>
      </c>
      <c r="L760" s="66">
        <f t="shared" si="84"/>
        <v>0</v>
      </c>
      <c r="M760">
        <f>'Final Building Profile'!M55</f>
        <v>0</v>
      </c>
      <c r="N760" s="66">
        <f t="shared" si="94"/>
        <v>0</v>
      </c>
      <c r="O760" s="66">
        <f t="shared" si="95"/>
        <v>0</v>
      </c>
      <c r="P760" s="66">
        <f t="shared" si="96"/>
        <v>0</v>
      </c>
      <c r="Q760" s="204">
        <f>'Final Building Profile'!K55</f>
        <v>0</v>
      </c>
      <c r="R760" s="66">
        <f t="shared" si="85"/>
        <v>0</v>
      </c>
      <c r="S760" s="65">
        <f>'Final Building Profile'!N55-'Final Building Profile'!O55</f>
        <v>0</v>
      </c>
      <c r="T760" s="65">
        <f t="shared" si="97"/>
        <v>0</v>
      </c>
      <c r="U760" s="204">
        <f>'Final Building Profile'!Q55</f>
        <v>0</v>
      </c>
      <c r="V760" s="65">
        <f>IF('Final Building Profile'!P55&lt;&gt;"", U760, 0) * T760</f>
        <v>0</v>
      </c>
      <c r="W760" s="266">
        <f t="shared" si="98"/>
        <v>0</v>
      </c>
      <c r="X760" s="266">
        <f t="shared" si="86"/>
        <v>0</v>
      </c>
      <c r="Y760" s="266" t="e">
        <f t="shared" si="99"/>
        <v>#DIV/0!</v>
      </c>
      <c r="Z760" s="266" t="e">
        <f t="shared" si="100"/>
        <v>#DIV/0!</v>
      </c>
      <c r="AA760" s="266" t="e">
        <f t="shared" si="101"/>
        <v>#DIV/0!</v>
      </c>
      <c r="AB760" s="65" t="e">
        <f t="shared" si="102"/>
        <v>#N/A</v>
      </c>
      <c r="AC760" s="65" t="e">
        <f t="shared" si="103"/>
        <v>#N/A</v>
      </c>
      <c r="AD760" s="65" t="e">
        <f t="shared" si="104"/>
        <v>#N/A</v>
      </c>
      <c r="AE760" s="65" t="e">
        <f t="shared" si="105"/>
        <v>#N/A</v>
      </c>
    </row>
    <row r="761" spans="1:31" ht="15" customHeight="1">
      <c r="A761">
        <f>'Final Building Profile'!A56</f>
        <v>53</v>
      </c>
      <c r="B761">
        <f>'Final Building Profile'!D56</f>
        <v>0</v>
      </c>
      <c r="C761">
        <f>'Final Building Profile'!E56</f>
        <v>0</v>
      </c>
      <c r="D761">
        <f>'Final Building Profile'!F56</f>
        <v>0</v>
      </c>
      <c r="E761" s="265">
        <f>'Final Building Profile'!G56</f>
        <v>0</v>
      </c>
      <c r="F761" s="265">
        <f>'Final Building Profile'!H56</f>
        <v>0</v>
      </c>
      <c r="G761" s="265">
        <f>'Final Building Profile'!I56</f>
        <v>0</v>
      </c>
      <c r="H761" s="197">
        <f t="shared" si="91"/>
        <v>0</v>
      </c>
      <c r="I761" s="197">
        <f t="shared" si="92"/>
        <v>0</v>
      </c>
      <c r="J761" s="137">
        <f t="shared" si="93"/>
        <v>0</v>
      </c>
      <c r="K761" s="66">
        <f>'Final Building Profile'!L56</f>
        <v>0</v>
      </c>
      <c r="L761" s="66">
        <f t="shared" si="84"/>
        <v>0</v>
      </c>
      <c r="M761">
        <f>'Final Building Profile'!M56</f>
        <v>0</v>
      </c>
      <c r="N761" s="66">
        <f t="shared" si="94"/>
        <v>0</v>
      </c>
      <c r="O761" s="66">
        <f t="shared" si="95"/>
        <v>0</v>
      </c>
      <c r="P761" s="66">
        <f t="shared" si="96"/>
        <v>0</v>
      </c>
      <c r="Q761" s="204">
        <f>'Final Building Profile'!K56</f>
        <v>0</v>
      </c>
      <c r="R761" s="66">
        <f t="shared" si="85"/>
        <v>0</v>
      </c>
      <c r="S761" s="65">
        <f>'Final Building Profile'!N56-'Final Building Profile'!O56</f>
        <v>0</v>
      </c>
      <c r="T761" s="65">
        <f t="shared" si="97"/>
        <v>0</v>
      </c>
      <c r="U761" s="204">
        <f>'Final Building Profile'!Q56</f>
        <v>0</v>
      </c>
      <c r="V761" s="65">
        <f>IF('Final Building Profile'!P56&lt;&gt;"", U761, 0) * T761</f>
        <v>0</v>
      </c>
      <c r="W761" s="266">
        <f t="shared" si="98"/>
        <v>0</v>
      </c>
      <c r="X761" s="266">
        <f t="shared" si="86"/>
        <v>0</v>
      </c>
      <c r="Y761" s="266" t="e">
        <f t="shared" si="99"/>
        <v>#DIV/0!</v>
      </c>
      <c r="Z761" s="266" t="e">
        <f t="shared" si="100"/>
        <v>#DIV/0!</v>
      </c>
      <c r="AA761" s="266" t="e">
        <f t="shared" si="101"/>
        <v>#DIV/0!</v>
      </c>
      <c r="AB761" s="65" t="e">
        <f t="shared" si="102"/>
        <v>#N/A</v>
      </c>
      <c r="AC761" s="65" t="e">
        <f t="shared" si="103"/>
        <v>#N/A</v>
      </c>
      <c r="AD761" s="65" t="e">
        <f t="shared" si="104"/>
        <v>#N/A</v>
      </c>
      <c r="AE761" s="65" t="e">
        <f t="shared" si="105"/>
        <v>#N/A</v>
      </c>
    </row>
    <row r="762" spans="1:31" ht="15" customHeight="1">
      <c r="A762">
        <f>'Final Building Profile'!A57</f>
        <v>54</v>
      </c>
      <c r="B762">
        <f>'Final Building Profile'!D57</f>
        <v>0</v>
      </c>
      <c r="C762">
        <f>'Final Building Profile'!E57</f>
        <v>0</v>
      </c>
      <c r="D762">
        <f>'Final Building Profile'!F57</f>
        <v>0</v>
      </c>
      <c r="E762" s="265">
        <f>'Final Building Profile'!G57</f>
        <v>0</v>
      </c>
      <c r="F762" s="265">
        <f>'Final Building Profile'!H57</f>
        <v>0</v>
      </c>
      <c r="G762" s="265">
        <f>'Final Building Profile'!I57</f>
        <v>0</v>
      </c>
      <c r="H762" s="197">
        <f t="shared" si="91"/>
        <v>0</v>
      </c>
      <c r="I762" s="197">
        <f t="shared" si="92"/>
        <v>0</v>
      </c>
      <c r="J762" s="137">
        <f t="shared" si="93"/>
        <v>0</v>
      </c>
      <c r="K762" s="66">
        <f>'Final Building Profile'!L57</f>
        <v>0</v>
      </c>
      <c r="L762" s="66">
        <f t="shared" si="84"/>
        <v>0</v>
      </c>
      <c r="M762">
        <f>'Final Building Profile'!M57</f>
        <v>0</v>
      </c>
      <c r="N762" s="66">
        <f t="shared" si="94"/>
        <v>0</v>
      </c>
      <c r="O762" s="66">
        <f t="shared" si="95"/>
        <v>0</v>
      </c>
      <c r="P762" s="66">
        <f t="shared" si="96"/>
        <v>0</v>
      </c>
      <c r="Q762" s="204">
        <f>'Final Building Profile'!K57</f>
        <v>0</v>
      </c>
      <c r="R762" s="66">
        <f t="shared" si="85"/>
        <v>0</v>
      </c>
      <c r="S762" s="65">
        <f>'Final Building Profile'!N57-'Final Building Profile'!O57</f>
        <v>0</v>
      </c>
      <c r="T762" s="65">
        <f t="shared" si="97"/>
        <v>0</v>
      </c>
      <c r="U762" s="204">
        <f>'Final Building Profile'!Q57</f>
        <v>0</v>
      </c>
      <c r="V762" s="65">
        <f>IF('Final Building Profile'!P57&lt;&gt;"", U762, 0) * T762</f>
        <v>0</v>
      </c>
      <c r="W762" s="266">
        <f t="shared" si="98"/>
        <v>0</v>
      </c>
      <c r="X762" s="266">
        <f t="shared" si="86"/>
        <v>0</v>
      </c>
      <c r="Y762" s="266" t="e">
        <f t="shared" si="99"/>
        <v>#DIV/0!</v>
      </c>
      <c r="Z762" s="266" t="e">
        <f t="shared" si="100"/>
        <v>#DIV/0!</v>
      </c>
      <c r="AA762" s="266" t="e">
        <f t="shared" si="101"/>
        <v>#DIV/0!</v>
      </c>
      <c r="AB762" s="65" t="e">
        <f t="shared" si="102"/>
        <v>#N/A</v>
      </c>
      <c r="AC762" s="65" t="e">
        <f t="shared" si="103"/>
        <v>#N/A</v>
      </c>
      <c r="AD762" s="65" t="e">
        <f t="shared" si="104"/>
        <v>#N/A</v>
      </c>
      <c r="AE762" s="65" t="e">
        <f t="shared" si="105"/>
        <v>#N/A</v>
      </c>
    </row>
    <row r="763" spans="1:31" ht="15" customHeight="1">
      <c r="A763">
        <f>'Final Building Profile'!A58</f>
        <v>55</v>
      </c>
      <c r="B763">
        <f>'Final Building Profile'!D58</f>
        <v>0</v>
      </c>
      <c r="C763">
        <f>'Final Building Profile'!E58</f>
        <v>0</v>
      </c>
      <c r="D763">
        <f>'Final Building Profile'!F58</f>
        <v>0</v>
      </c>
      <c r="E763" s="265">
        <f>'Final Building Profile'!G58</f>
        <v>0</v>
      </c>
      <c r="F763" s="265">
        <f>'Final Building Profile'!H58</f>
        <v>0</v>
      </c>
      <c r="G763" s="265">
        <f>'Final Building Profile'!I58</f>
        <v>0</v>
      </c>
      <c r="H763" s="197">
        <f t="shared" si="91"/>
        <v>0</v>
      </c>
      <c r="I763" s="197">
        <f t="shared" si="92"/>
        <v>0</v>
      </c>
      <c r="J763" s="137">
        <f t="shared" si="93"/>
        <v>0</v>
      </c>
      <c r="K763" s="66">
        <f>'Final Building Profile'!L58</f>
        <v>0</v>
      </c>
      <c r="L763" s="66">
        <f t="shared" si="84"/>
        <v>0</v>
      </c>
      <c r="M763">
        <f>'Final Building Profile'!M58</f>
        <v>0</v>
      </c>
      <c r="N763" s="66">
        <f t="shared" si="94"/>
        <v>0</v>
      </c>
      <c r="O763" s="66">
        <f t="shared" si="95"/>
        <v>0</v>
      </c>
      <c r="P763" s="66">
        <f t="shared" si="96"/>
        <v>0</v>
      </c>
      <c r="Q763" s="204">
        <f>'Final Building Profile'!K58</f>
        <v>0</v>
      </c>
      <c r="R763" s="66">
        <f t="shared" si="85"/>
        <v>0</v>
      </c>
      <c r="S763" s="65">
        <f>'Final Building Profile'!N58-'Final Building Profile'!O58</f>
        <v>0</v>
      </c>
      <c r="T763" s="65">
        <f t="shared" si="97"/>
        <v>0</v>
      </c>
      <c r="U763" s="204">
        <f>'Final Building Profile'!Q58</f>
        <v>0</v>
      </c>
      <c r="V763" s="65">
        <f>IF('Final Building Profile'!P58&lt;&gt;"", U763, 0) * T763</f>
        <v>0</v>
      </c>
      <c r="W763" s="266">
        <f t="shared" si="98"/>
        <v>0</v>
      </c>
      <c r="X763" s="266">
        <f t="shared" si="86"/>
        <v>0</v>
      </c>
      <c r="Y763" s="266" t="e">
        <f t="shared" si="99"/>
        <v>#DIV/0!</v>
      </c>
      <c r="Z763" s="266" t="e">
        <f t="shared" si="100"/>
        <v>#DIV/0!</v>
      </c>
      <c r="AA763" s="266" t="e">
        <f t="shared" si="101"/>
        <v>#DIV/0!</v>
      </c>
      <c r="AB763" s="65" t="e">
        <f t="shared" si="102"/>
        <v>#N/A</v>
      </c>
      <c r="AC763" s="65" t="e">
        <f t="shared" si="103"/>
        <v>#N/A</v>
      </c>
      <c r="AD763" s="65" t="e">
        <f t="shared" si="104"/>
        <v>#N/A</v>
      </c>
      <c r="AE763" s="65" t="e">
        <f t="shared" si="105"/>
        <v>#N/A</v>
      </c>
    </row>
    <row r="764" spans="1:31" ht="15" customHeight="1">
      <c r="A764">
        <f>'Final Building Profile'!A59</f>
        <v>56</v>
      </c>
      <c r="B764">
        <f>'Final Building Profile'!D59</f>
        <v>0</v>
      </c>
      <c r="C764">
        <f>'Final Building Profile'!E59</f>
        <v>0</v>
      </c>
      <c r="D764">
        <f>'Final Building Profile'!F59</f>
        <v>0</v>
      </c>
      <c r="E764" s="265">
        <f>'Final Building Profile'!G59</f>
        <v>0</v>
      </c>
      <c r="F764" s="265">
        <f>'Final Building Profile'!H59</f>
        <v>0</v>
      </c>
      <c r="G764" s="265">
        <f>'Final Building Profile'!I59</f>
        <v>0</v>
      </c>
      <c r="H764" s="197">
        <f t="shared" si="91"/>
        <v>0</v>
      </c>
      <c r="I764" s="197">
        <f t="shared" si="92"/>
        <v>0</v>
      </c>
      <c r="J764" s="137">
        <f t="shared" si="93"/>
        <v>0</v>
      </c>
      <c r="K764" s="66">
        <f>'Final Building Profile'!L59</f>
        <v>0</v>
      </c>
      <c r="L764" s="66">
        <f t="shared" si="84"/>
        <v>0</v>
      </c>
      <c r="M764">
        <f>'Final Building Profile'!M59</f>
        <v>0</v>
      </c>
      <c r="N764" s="66">
        <f t="shared" si="94"/>
        <v>0</v>
      </c>
      <c r="O764" s="66">
        <f t="shared" si="95"/>
        <v>0</v>
      </c>
      <c r="P764" s="66">
        <f t="shared" si="96"/>
        <v>0</v>
      </c>
      <c r="Q764" s="204">
        <f>'Final Building Profile'!K59</f>
        <v>0</v>
      </c>
      <c r="R764" s="66">
        <f t="shared" si="85"/>
        <v>0</v>
      </c>
      <c r="S764" s="65">
        <f>'Final Building Profile'!N59-'Final Building Profile'!O59</f>
        <v>0</v>
      </c>
      <c r="T764" s="65">
        <f t="shared" si="97"/>
        <v>0</v>
      </c>
      <c r="U764" s="204">
        <f>'Final Building Profile'!Q59</f>
        <v>0</v>
      </c>
      <c r="V764" s="65">
        <f>IF('Final Building Profile'!P59&lt;&gt;"", U764, 0) * T764</f>
        <v>0</v>
      </c>
      <c r="W764" s="266">
        <f t="shared" si="98"/>
        <v>0</v>
      </c>
      <c r="X764" s="266">
        <f t="shared" si="86"/>
        <v>0</v>
      </c>
      <c r="Y764" s="266" t="e">
        <f t="shared" si="99"/>
        <v>#DIV/0!</v>
      </c>
      <c r="Z764" s="266" t="e">
        <f t="shared" si="100"/>
        <v>#DIV/0!</v>
      </c>
      <c r="AA764" s="266" t="e">
        <f t="shared" si="101"/>
        <v>#DIV/0!</v>
      </c>
      <c r="AB764" s="65" t="e">
        <f t="shared" si="102"/>
        <v>#N/A</v>
      </c>
      <c r="AC764" s="65" t="e">
        <f t="shared" si="103"/>
        <v>#N/A</v>
      </c>
      <c r="AD764" s="65" t="e">
        <f t="shared" si="104"/>
        <v>#N/A</v>
      </c>
      <c r="AE764" s="65" t="e">
        <f t="shared" si="105"/>
        <v>#N/A</v>
      </c>
    </row>
    <row r="765" spans="1:31" ht="15" customHeight="1">
      <c r="A765">
        <f>'Final Building Profile'!A60</f>
        <v>57</v>
      </c>
      <c r="B765">
        <f>'Final Building Profile'!D60</f>
        <v>0</v>
      </c>
      <c r="C765">
        <f>'Final Building Profile'!E60</f>
        <v>0</v>
      </c>
      <c r="D765">
        <f>'Final Building Profile'!F60</f>
        <v>0</v>
      </c>
      <c r="E765" s="265">
        <f>'Final Building Profile'!G60</f>
        <v>0</v>
      </c>
      <c r="F765" s="265">
        <f>'Final Building Profile'!H60</f>
        <v>0</v>
      </c>
      <c r="G765" s="265">
        <f>'Final Building Profile'!I60</f>
        <v>0</v>
      </c>
      <c r="H765" s="197">
        <f t="shared" si="91"/>
        <v>0</v>
      </c>
      <c r="I765" s="197">
        <f t="shared" si="92"/>
        <v>0</v>
      </c>
      <c r="J765" s="137">
        <f t="shared" si="93"/>
        <v>0</v>
      </c>
      <c r="K765" s="66">
        <f>'Final Building Profile'!L60</f>
        <v>0</v>
      </c>
      <c r="L765" s="66">
        <f t="shared" si="84"/>
        <v>0</v>
      </c>
      <c r="M765">
        <f>'Final Building Profile'!M60</f>
        <v>0</v>
      </c>
      <c r="N765" s="66">
        <f t="shared" si="94"/>
        <v>0</v>
      </c>
      <c r="O765" s="66">
        <f t="shared" si="95"/>
        <v>0</v>
      </c>
      <c r="P765" s="66">
        <f t="shared" si="96"/>
        <v>0</v>
      </c>
      <c r="Q765" s="204">
        <f>'Final Building Profile'!K60</f>
        <v>0</v>
      </c>
      <c r="R765" s="66">
        <f t="shared" si="85"/>
        <v>0</v>
      </c>
      <c r="S765" s="65">
        <f>'Final Building Profile'!N60-'Final Building Profile'!O60</f>
        <v>0</v>
      </c>
      <c r="T765" s="65">
        <f t="shared" si="97"/>
        <v>0</v>
      </c>
      <c r="U765" s="204">
        <f>'Final Building Profile'!Q60</f>
        <v>0</v>
      </c>
      <c r="V765" s="65">
        <f>IF('Final Building Profile'!P60&lt;&gt;"", U765, 0) * T765</f>
        <v>0</v>
      </c>
      <c r="W765" s="266">
        <f t="shared" si="98"/>
        <v>0</v>
      </c>
      <c r="X765" s="266">
        <f t="shared" si="86"/>
        <v>0</v>
      </c>
      <c r="Y765" s="266" t="e">
        <f t="shared" si="99"/>
        <v>#DIV/0!</v>
      </c>
      <c r="Z765" s="266" t="e">
        <f t="shared" si="100"/>
        <v>#DIV/0!</v>
      </c>
      <c r="AA765" s="266" t="e">
        <f t="shared" si="101"/>
        <v>#DIV/0!</v>
      </c>
      <c r="AB765" s="65" t="e">
        <f t="shared" si="102"/>
        <v>#N/A</v>
      </c>
      <c r="AC765" s="65" t="e">
        <f t="shared" si="103"/>
        <v>#N/A</v>
      </c>
      <c r="AD765" s="65" t="e">
        <f t="shared" si="104"/>
        <v>#N/A</v>
      </c>
      <c r="AE765" s="65" t="e">
        <f t="shared" si="105"/>
        <v>#N/A</v>
      </c>
    </row>
    <row r="766" spans="1:31" ht="15" customHeight="1">
      <c r="A766">
        <f>'Final Building Profile'!A61</f>
        <v>58</v>
      </c>
      <c r="B766">
        <f>'Final Building Profile'!D61</f>
        <v>0</v>
      </c>
      <c r="C766">
        <f>'Final Building Profile'!E61</f>
        <v>0</v>
      </c>
      <c r="D766">
        <f>'Final Building Profile'!F61</f>
        <v>0</v>
      </c>
      <c r="E766" s="265">
        <f>'Final Building Profile'!G61</f>
        <v>0</v>
      </c>
      <c r="F766" s="265">
        <f>'Final Building Profile'!H61</f>
        <v>0</v>
      </c>
      <c r="G766" s="265">
        <f>'Final Building Profile'!I61</f>
        <v>0</v>
      </c>
      <c r="H766" s="197">
        <f t="shared" si="91"/>
        <v>0</v>
      </c>
      <c r="I766" s="197">
        <f t="shared" si="92"/>
        <v>0</v>
      </c>
      <c r="J766" s="137">
        <f t="shared" si="93"/>
        <v>0</v>
      </c>
      <c r="K766" s="66">
        <f>'Final Building Profile'!L61</f>
        <v>0</v>
      </c>
      <c r="L766" s="66">
        <f t="shared" si="84"/>
        <v>0</v>
      </c>
      <c r="M766">
        <f>'Final Building Profile'!M61</f>
        <v>0</v>
      </c>
      <c r="N766" s="66">
        <f t="shared" si="94"/>
        <v>0</v>
      </c>
      <c r="O766" s="66">
        <f t="shared" si="95"/>
        <v>0</v>
      </c>
      <c r="P766" s="66">
        <f t="shared" si="96"/>
        <v>0</v>
      </c>
      <c r="Q766" s="204">
        <f>'Final Building Profile'!K61</f>
        <v>0</v>
      </c>
      <c r="R766" s="66">
        <f t="shared" si="85"/>
        <v>0</v>
      </c>
      <c r="S766" s="65">
        <f>'Final Building Profile'!N61-'Final Building Profile'!O61</f>
        <v>0</v>
      </c>
      <c r="T766" s="65">
        <f t="shared" si="97"/>
        <v>0</v>
      </c>
      <c r="U766" s="204">
        <f>'Final Building Profile'!Q61</f>
        <v>0</v>
      </c>
      <c r="V766" s="65">
        <f>IF('Final Building Profile'!P61&lt;&gt;"", U766, 0) * T766</f>
        <v>0</v>
      </c>
      <c r="W766" s="266">
        <f t="shared" si="98"/>
        <v>0</v>
      </c>
      <c r="X766" s="266">
        <f t="shared" si="86"/>
        <v>0</v>
      </c>
      <c r="Y766" s="266" t="e">
        <f t="shared" si="99"/>
        <v>#DIV/0!</v>
      </c>
      <c r="Z766" s="266" t="e">
        <f t="shared" si="100"/>
        <v>#DIV/0!</v>
      </c>
      <c r="AA766" s="266" t="e">
        <f t="shared" si="101"/>
        <v>#DIV/0!</v>
      </c>
      <c r="AB766" s="65" t="e">
        <f t="shared" si="102"/>
        <v>#N/A</v>
      </c>
      <c r="AC766" s="65" t="e">
        <f t="shared" si="103"/>
        <v>#N/A</v>
      </c>
      <c r="AD766" s="65" t="e">
        <f t="shared" si="104"/>
        <v>#N/A</v>
      </c>
      <c r="AE766" s="65" t="e">
        <f t="shared" si="105"/>
        <v>#N/A</v>
      </c>
    </row>
    <row r="767" spans="1:31" ht="15" customHeight="1">
      <c r="A767">
        <f>'Final Building Profile'!A62</f>
        <v>59</v>
      </c>
      <c r="B767">
        <f>'Final Building Profile'!D62</f>
        <v>0</v>
      </c>
      <c r="C767">
        <f>'Final Building Profile'!E62</f>
        <v>0</v>
      </c>
      <c r="D767">
        <f>'Final Building Profile'!F62</f>
        <v>0</v>
      </c>
      <c r="E767" s="265">
        <f>'Final Building Profile'!G62</f>
        <v>0</v>
      </c>
      <c r="F767" s="265">
        <f>'Final Building Profile'!H62</f>
        <v>0</v>
      </c>
      <c r="G767" s="265">
        <f>'Final Building Profile'!I62</f>
        <v>0</v>
      </c>
      <c r="H767" s="197">
        <f t="shared" si="91"/>
        <v>0</v>
      </c>
      <c r="I767" s="197">
        <f t="shared" si="92"/>
        <v>0</v>
      </c>
      <c r="J767" s="137">
        <f t="shared" si="93"/>
        <v>0</v>
      </c>
      <c r="K767" s="66">
        <f>'Final Building Profile'!L62</f>
        <v>0</v>
      </c>
      <c r="L767" s="66">
        <f t="shared" si="84"/>
        <v>0</v>
      </c>
      <c r="M767">
        <f>'Final Building Profile'!M62</f>
        <v>0</v>
      </c>
      <c r="N767" s="66">
        <f t="shared" si="94"/>
        <v>0</v>
      </c>
      <c r="O767" s="66">
        <f t="shared" si="95"/>
        <v>0</v>
      </c>
      <c r="P767" s="66">
        <f t="shared" si="96"/>
        <v>0</v>
      </c>
      <c r="Q767" s="204">
        <f>'Final Building Profile'!K62</f>
        <v>0</v>
      </c>
      <c r="R767" s="66">
        <f t="shared" si="85"/>
        <v>0</v>
      </c>
      <c r="S767" s="65">
        <f>'Final Building Profile'!N62-'Final Building Profile'!O62</f>
        <v>0</v>
      </c>
      <c r="T767" s="65">
        <f t="shared" si="97"/>
        <v>0</v>
      </c>
      <c r="U767" s="204">
        <f>'Final Building Profile'!Q62</f>
        <v>0</v>
      </c>
      <c r="V767" s="65">
        <f>IF('Final Building Profile'!P62&lt;&gt;"", U767, 0) * T767</f>
        <v>0</v>
      </c>
      <c r="W767" s="266">
        <f t="shared" si="98"/>
        <v>0</v>
      </c>
      <c r="X767" s="266">
        <f t="shared" si="86"/>
        <v>0</v>
      </c>
      <c r="Y767" s="266" t="e">
        <f t="shared" si="99"/>
        <v>#DIV/0!</v>
      </c>
      <c r="Z767" s="266" t="e">
        <f t="shared" si="100"/>
        <v>#DIV/0!</v>
      </c>
      <c r="AA767" s="266" t="e">
        <f t="shared" si="101"/>
        <v>#DIV/0!</v>
      </c>
      <c r="AB767" s="65" t="e">
        <f t="shared" si="102"/>
        <v>#N/A</v>
      </c>
      <c r="AC767" s="65" t="e">
        <f t="shared" si="103"/>
        <v>#N/A</v>
      </c>
      <c r="AD767" s="65" t="e">
        <f t="shared" si="104"/>
        <v>#N/A</v>
      </c>
      <c r="AE767" s="65" t="e">
        <f t="shared" si="105"/>
        <v>#N/A</v>
      </c>
    </row>
    <row r="768" spans="1:31" ht="15" customHeight="1">
      <c r="A768">
        <f>'Final Building Profile'!A63</f>
        <v>60</v>
      </c>
      <c r="B768">
        <f>'Final Building Profile'!D63</f>
        <v>0</v>
      </c>
      <c r="C768">
        <f>'Final Building Profile'!E63</f>
        <v>0</v>
      </c>
      <c r="D768">
        <f>'Final Building Profile'!F63</f>
        <v>0</v>
      </c>
      <c r="E768" s="265">
        <f>'Final Building Profile'!G63</f>
        <v>0</v>
      </c>
      <c r="F768" s="265">
        <f>'Final Building Profile'!H63</f>
        <v>0</v>
      </c>
      <c r="G768" s="265">
        <f>'Final Building Profile'!I63</f>
        <v>0</v>
      </c>
      <c r="H768" s="197">
        <f t="shared" si="91"/>
        <v>0</v>
      </c>
      <c r="I768" s="197">
        <f t="shared" si="92"/>
        <v>0</v>
      </c>
      <c r="J768" s="137">
        <f t="shared" si="93"/>
        <v>0</v>
      </c>
      <c r="K768" s="66">
        <f>'Final Building Profile'!L63</f>
        <v>0</v>
      </c>
      <c r="L768" s="66">
        <f t="shared" si="84"/>
        <v>0</v>
      </c>
      <c r="M768">
        <f>'Final Building Profile'!M63</f>
        <v>0</v>
      </c>
      <c r="N768" s="66">
        <f t="shared" si="94"/>
        <v>0</v>
      </c>
      <c r="O768" s="66">
        <f t="shared" si="95"/>
        <v>0</v>
      </c>
      <c r="P768" s="66">
        <f t="shared" si="96"/>
        <v>0</v>
      </c>
      <c r="Q768" s="204">
        <f>'Final Building Profile'!K63</f>
        <v>0</v>
      </c>
      <c r="R768" s="66">
        <f t="shared" si="85"/>
        <v>0</v>
      </c>
      <c r="S768" s="65">
        <f>'Final Building Profile'!N63-'Final Building Profile'!O63</f>
        <v>0</v>
      </c>
      <c r="T768" s="65">
        <f t="shared" si="97"/>
        <v>0</v>
      </c>
      <c r="U768" s="204">
        <f>'Final Building Profile'!Q63</f>
        <v>0</v>
      </c>
      <c r="V768" s="65">
        <f>IF('Final Building Profile'!P63&lt;&gt;"", U768, 0) * T768</f>
        <v>0</v>
      </c>
      <c r="W768" s="266">
        <f t="shared" si="98"/>
        <v>0</v>
      </c>
      <c r="X768" s="266">
        <f t="shared" si="86"/>
        <v>0</v>
      </c>
      <c r="Y768" s="266" t="e">
        <f t="shared" si="99"/>
        <v>#DIV/0!</v>
      </c>
      <c r="Z768" s="266" t="e">
        <f t="shared" si="100"/>
        <v>#DIV/0!</v>
      </c>
      <c r="AA768" s="266" t="e">
        <f t="shared" si="101"/>
        <v>#DIV/0!</v>
      </c>
      <c r="AB768" s="65" t="e">
        <f t="shared" si="102"/>
        <v>#N/A</v>
      </c>
      <c r="AC768" s="65" t="e">
        <f t="shared" si="103"/>
        <v>#N/A</v>
      </c>
      <c r="AD768" s="65" t="e">
        <f t="shared" si="104"/>
        <v>#N/A</v>
      </c>
      <c r="AE768" s="65" t="e">
        <f t="shared" si="105"/>
        <v>#N/A</v>
      </c>
    </row>
    <row r="769" spans="1:31" ht="15" customHeight="1">
      <c r="A769">
        <f>'Final Building Profile'!A64</f>
        <v>61</v>
      </c>
      <c r="B769">
        <f>'Final Building Profile'!D64</f>
        <v>0</v>
      </c>
      <c r="C769">
        <f>'Final Building Profile'!E64</f>
        <v>0</v>
      </c>
      <c r="D769">
        <f>'Final Building Profile'!F64</f>
        <v>0</v>
      </c>
      <c r="E769" s="265">
        <f>'Final Building Profile'!G64</f>
        <v>0</v>
      </c>
      <c r="F769" s="265">
        <f>'Final Building Profile'!H64</f>
        <v>0</v>
      </c>
      <c r="G769" s="265">
        <f>'Final Building Profile'!I64</f>
        <v>0</v>
      </c>
      <c r="H769" s="197">
        <f t="shared" si="91"/>
        <v>0</v>
      </c>
      <c r="I769" s="197">
        <f t="shared" si="92"/>
        <v>0</v>
      </c>
      <c r="J769" s="137">
        <f t="shared" si="93"/>
        <v>0</v>
      </c>
      <c r="K769" s="66">
        <f>'Final Building Profile'!L64</f>
        <v>0</v>
      </c>
      <c r="L769" s="66">
        <f t="shared" si="84"/>
        <v>0</v>
      </c>
      <c r="M769">
        <f>'Final Building Profile'!M64</f>
        <v>0</v>
      </c>
      <c r="N769" s="66">
        <f t="shared" si="94"/>
        <v>0</v>
      </c>
      <c r="O769" s="66">
        <f t="shared" si="95"/>
        <v>0</v>
      </c>
      <c r="P769" s="66">
        <f t="shared" si="96"/>
        <v>0</v>
      </c>
      <c r="Q769" s="204">
        <f>'Final Building Profile'!K64</f>
        <v>0</v>
      </c>
      <c r="R769" s="66">
        <f t="shared" si="85"/>
        <v>0</v>
      </c>
      <c r="S769" s="65">
        <f>'Final Building Profile'!N64-'Final Building Profile'!O64</f>
        <v>0</v>
      </c>
      <c r="T769" s="65">
        <f t="shared" si="97"/>
        <v>0</v>
      </c>
      <c r="U769" s="204">
        <f>'Final Building Profile'!Q64</f>
        <v>0</v>
      </c>
      <c r="V769" s="65">
        <f>IF('Final Building Profile'!P64&lt;&gt;"", U769, 0) * T769</f>
        <v>0</v>
      </c>
      <c r="W769" s="266">
        <f t="shared" si="98"/>
        <v>0</v>
      </c>
      <c r="X769" s="266">
        <f t="shared" si="86"/>
        <v>0</v>
      </c>
      <c r="Y769" s="266" t="e">
        <f t="shared" si="99"/>
        <v>#DIV/0!</v>
      </c>
      <c r="Z769" s="266" t="e">
        <f t="shared" si="100"/>
        <v>#DIV/0!</v>
      </c>
      <c r="AA769" s="266" t="e">
        <f t="shared" si="101"/>
        <v>#DIV/0!</v>
      </c>
      <c r="AB769" s="65" t="e">
        <f t="shared" si="102"/>
        <v>#N/A</v>
      </c>
      <c r="AC769" s="65" t="e">
        <f t="shared" si="103"/>
        <v>#N/A</v>
      </c>
      <c r="AD769" s="65" t="e">
        <f t="shared" si="104"/>
        <v>#N/A</v>
      </c>
      <c r="AE769" s="65" t="e">
        <f t="shared" si="105"/>
        <v>#N/A</v>
      </c>
    </row>
    <row r="770" spans="1:31" ht="15" customHeight="1">
      <c r="A770">
        <f>'Final Building Profile'!A65</f>
        <v>62</v>
      </c>
      <c r="B770">
        <f>'Final Building Profile'!D65</f>
        <v>0</v>
      </c>
      <c r="C770">
        <f>'Final Building Profile'!E65</f>
        <v>0</v>
      </c>
      <c r="D770">
        <f>'Final Building Profile'!F65</f>
        <v>0</v>
      </c>
      <c r="E770" s="265">
        <f>'Final Building Profile'!G65</f>
        <v>0</v>
      </c>
      <c r="F770" s="265">
        <f>'Final Building Profile'!H65</f>
        <v>0</v>
      </c>
      <c r="G770" s="265">
        <f>'Final Building Profile'!I65</f>
        <v>0</v>
      </c>
      <c r="H770" s="197">
        <f t="shared" si="91"/>
        <v>0</v>
      </c>
      <c r="I770" s="197">
        <f t="shared" si="92"/>
        <v>0</v>
      </c>
      <c r="J770" s="137">
        <f t="shared" si="93"/>
        <v>0</v>
      </c>
      <c r="K770" s="66">
        <f>'Final Building Profile'!L65</f>
        <v>0</v>
      </c>
      <c r="L770" s="66">
        <f t="shared" si="84"/>
        <v>0</v>
      </c>
      <c r="M770">
        <f>'Final Building Profile'!M65</f>
        <v>0</v>
      </c>
      <c r="N770" s="66">
        <f t="shared" si="94"/>
        <v>0</v>
      </c>
      <c r="O770" s="66">
        <f t="shared" si="95"/>
        <v>0</v>
      </c>
      <c r="P770" s="66">
        <f t="shared" si="96"/>
        <v>0</v>
      </c>
      <c r="Q770" s="204">
        <f>'Final Building Profile'!K65</f>
        <v>0</v>
      </c>
      <c r="R770" s="66">
        <f t="shared" si="85"/>
        <v>0</v>
      </c>
      <c r="S770" s="65">
        <f>'Final Building Profile'!N65-'Final Building Profile'!O65</f>
        <v>0</v>
      </c>
      <c r="T770" s="65">
        <f t="shared" si="97"/>
        <v>0</v>
      </c>
      <c r="U770" s="204">
        <f>'Final Building Profile'!Q65</f>
        <v>0</v>
      </c>
      <c r="V770" s="65">
        <f>IF('Final Building Profile'!P65&lt;&gt;"", U770, 0) * T770</f>
        <v>0</v>
      </c>
      <c r="W770" s="266">
        <f t="shared" si="98"/>
        <v>0</v>
      </c>
      <c r="X770" s="266">
        <f t="shared" si="86"/>
        <v>0</v>
      </c>
      <c r="Y770" s="266" t="e">
        <f t="shared" si="99"/>
        <v>#DIV/0!</v>
      </c>
      <c r="Z770" s="266" t="e">
        <f t="shared" si="100"/>
        <v>#DIV/0!</v>
      </c>
      <c r="AA770" s="266" t="e">
        <f t="shared" si="101"/>
        <v>#DIV/0!</v>
      </c>
      <c r="AB770" s="65" t="e">
        <f t="shared" si="102"/>
        <v>#N/A</v>
      </c>
      <c r="AC770" s="65" t="e">
        <f t="shared" si="103"/>
        <v>#N/A</v>
      </c>
      <c r="AD770" s="65" t="e">
        <f t="shared" si="104"/>
        <v>#N/A</v>
      </c>
      <c r="AE770" s="65" t="e">
        <f t="shared" si="105"/>
        <v>#N/A</v>
      </c>
    </row>
    <row r="771" spans="1:31" ht="15" customHeight="1">
      <c r="A771">
        <f>'Final Building Profile'!A66</f>
        <v>63</v>
      </c>
      <c r="B771">
        <f>'Final Building Profile'!D66</f>
        <v>0</v>
      </c>
      <c r="C771">
        <f>'Final Building Profile'!E66</f>
        <v>0</v>
      </c>
      <c r="D771">
        <f>'Final Building Profile'!F66</f>
        <v>0</v>
      </c>
      <c r="E771" s="265">
        <f>'Final Building Profile'!G66</f>
        <v>0</v>
      </c>
      <c r="F771" s="265">
        <f>'Final Building Profile'!H66</f>
        <v>0</v>
      </c>
      <c r="G771" s="265">
        <f>'Final Building Profile'!I66</f>
        <v>0</v>
      </c>
      <c r="H771" s="197">
        <f t="shared" si="91"/>
        <v>0</v>
      </c>
      <c r="I771" s="197">
        <f t="shared" si="92"/>
        <v>0</v>
      </c>
      <c r="J771" s="137">
        <f t="shared" si="93"/>
        <v>0</v>
      </c>
      <c r="K771" s="66">
        <f>'Final Building Profile'!L66</f>
        <v>0</v>
      </c>
      <c r="L771" s="66">
        <f t="shared" si="84"/>
        <v>0</v>
      </c>
      <c r="M771">
        <f>'Final Building Profile'!M66</f>
        <v>0</v>
      </c>
      <c r="N771" s="66">
        <f t="shared" si="94"/>
        <v>0</v>
      </c>
      <c r="O771" s="66">
        <f t="shared" si="95"/>
        <v>0</v>
      </c>
      <c r="P771" s="66">
        <f t="shared" si="96"/>
        <v>0</v>
      </c>
      <c r="Q771" s="204">
        <f>'Final Building Profile'!K66</f>
        <v>0</v>
      </c>
      <c r="R771" s="66">
        <f t="shared" si="85"/>
        <v>0</v>
      </c>
      <c r="S771" s="65">
        <f>'Final Building Profile'!N66-'Final Building Profile'!O66</f>
        <v>0</v>
      </c>
      <c r="T771" s="65">
        <f t="shared" si="97"/>
        <v>0</v>
      </c>
      <c r="U771" s="204">
        <f>'Final Building Profile'!Q66</f>
        <v>0</v>
      </c>
      <c r="V771" s="65">
        <f>IF('Final Building Profile'!P66&lt;&gt;"", U771, 0) * T771</f>
        <v>0</v>
      </c>
      <c r="W771" s="266">
        <f t="shared" si="98"/>
        <v>0</v>
      </c>
      <c r="X771" s="266">
        <f t="shared" si="86"/>
        <v>0</v>
      </c>
      <c r="Y771" s="266" t="e">
        <f t="shared" si="99"/>
        <v>#DIV/0!</v>
      </c>
      <c r="Z771" s="266" t="e">
        <f t="shared" si="100"/>
        <v>#DIV/0!</v>
      </c>
      <c r="AA771" s="266" t="e">
        <f t="shared" si="101"/>
        <v>#DIV/0!</v>
      </c>
      <c r="AB771" s="65" t="e">
        <f t="shared" si="102"/>
        <v>#N/A</v>
      </c>
      <c r="AC771" s="65" t="e">
        <f t="shared" si="103"/>
        <v>#N/A</v>
      </c>
      <c r="AD771" s="65" t="e">
        <f t="shared" si="104"/>
        <v>#N/A</v>
      </c>
      <c r="AE771" s="65" t="e">
        <f t="shared" si="105"/>
        <v>#N/A</v>
      </c>
    </row>
    <row r="772" spans="1:31" ht="15" customHeight="1">
      <c r="A772">
        <f>'Final Building Profile'!A67</f>
        <v>64</v>
      </c>
      <c r="B772">
        <f>'Final Building Profile'!D67</f>
        <v>0</v>
      </c>
      <c r="C772">
        <f>'Final Building Profile'!E67</f>
        <v>0</v>
      </c>
      <c r="D772">
        <f>'Final Building Profile'!F67</f>
        <v>0</v>
      </c>
      <c r="E772" s="265">
        <f>'Final Building Profile'!G67</f>
        <v>0</v>
      </c>
      <c r="F772" s="265">
        <f>'Final Building Profile'!H67</f>
        <v>0</v>
      </c>
      <c r="G772" s="265">
        <f>'Final Building Profile'!I67</f>
        <v>0</v>
      </c>
      <c r="H772" s="197">
        <f t="shared" si="91"/>
        <v>0</v>
      </c>
      <c r="I772" s="197">
        <f t="shared" si="92"/>
        <v>0</v>
      </c>
      <c r="J772" s="137">
        <f t="shared" si="93"/>
        <v>0</v>
      </c>
      <c r="K772" s="66">
        <f>'Final Building Profile'!L67</f>
        <v>0</v>
      </c>
      <c r="L772" s="66">
        <f t="shared" si="84"/>
        <v>0</v>
      </c>
      <c r="M772">
        <f>'Final Building Profile'!M67</f>
        <v>0</v>
      </c>
      <c r="N772" s="66">
        <f t="shared" si="94"/>
        <v>0</v>
      </c>
      <c r="O772" s="66">
        <f t="shared" si="95"/>
        <v>0</v>
      </c>
      <c r="P772" s="66">
        <f t="shared" si="96"/>
        <v>0</v>
      </c>
      <c r="Q772" s="204">
        <f>'Final Building Profile'!K67</f>
        <v>0</v>
      </c>
      <c r="R772" s="66">
        <f t="shared" si="85"/>
        <v>0</v>
      </c>
      <c r="S772" s="65">
        <f>'Final Building Profile'!N67-'Final Building Profile'!O67</f>
        <v>0</v>
      </c>
      <c r="T772" s="65">
        <f t="shared" si="97"/>
        <v>0</v>
      </c>
      <c r="U772" s="204">
        <f>'Final Building Profile'!Q67</f>
        <v>0</v>
      </c>
      <c r="V772" s="65">
        <f>IF('Final Building Profile'!P67&lt;&gt;"", U772, 0) * T772</f>
        <v>0</v>
      </c>
      <c r="W772" s="266">
        <f t="shared" si="98"/>
        <v>0</v>
      </c>
      <c r="X772" s="266">
        <f t="shared" si="86"/>
        <v>0</v>
      </c>
      <c r="Y772" s="266" t="e">
        <f t="shared" si="99"/>
        <v>#DIV/0!</v>
      </c>
      <c r="Z772" s="266" t="e">
        <f t="shared" si="100"/>
        <v>#DIV/0!</v>
      </c>
      <c r="AA772" s="266" t="e">
        <f t="shared" si="101"/>
        <v>#DIV/0!</v>
      </c>
      <c r="AB772" s="65" t="e">
        <f t="shared" si="102"/>
        <v>#N/A</v>
      </c>
      <c r="AC772" s="65" t="e">
        <f t="shared" si="103"/>
        <v>#N/A</v>
      </c>
      <c r="AD772" s="65" t="e">
        <f t="shared" si="104"/>
        <v>#N/A</v>
      </c>
      <c r="AE772" s="65" t="e">
        <f t="shared" si="105"/>
        <v>#N/A</v>
      </c>
    </row>
    <row r="773" spans="1:31" ht="15" customHeight="1">
      <c r="A773">
        <f>'Final Building Profile'!A68</f>
        <v>65</v>
      </c>
      <c r="B773">
        <f>'Final Building Profile'!D68</f>
        <v>0</v>
      </c>
      <c r="C773">
        <f>'Final Building Profile'!E68</f>
        <v>0</v>
      </c>
      <c r="D773">
        <f>'Final Building Profile'!F68</f>
        <v>0</v>
      </c>
      <c r="E773" s="265">
        <f>'Final Building Profile'!G68</f>
        <v>0</v>
      </c>
      <c r="F773" s="265">
        <f>'Final Building Profile'!H68</f>
        <v>0</v>
      </c>
      <c r="G773" s="265">
        <f>'Final Building Profile'!I68</f>
        <v>0</v>
      </c>
      <c r="H773" s="197">
        <f t="shared" ref="H773:H807" si="106">IF((B773-C773) &lt;&gt; 0, ROUND(D773/(B773-C773), 4), 0)</f>
        <v>0</v>
      </c>
      <c r="I773" s="197">
        <f t="shared" ref="I773:I807" si="107">IF((E773-F773) = 0, 0, ROUND(G773/(E773-F773), 4))</f>
        <v>0</v>
      </c>
      <c r="J773" s="137">
        <f t="shared" ref="J773:J804" si="108">MIN(H773, I773)</f>
        <v>0</v>
      </c>
      <c r="K773" s="66">
        <f>'Final Building Profile'!L68</f>
        <v>0</v>
      </c>
      <c r="L773" s="66">
        <f t="shared" si="84"/>
        <v>0</v>
      </c>
      <c r="M773">
        <f>'Final Building Profile'!M68</f>
        <v>0</v>
      </c>
      <c r="N773" s="66">
        <f t="shared" ref="N773:N804" si="109">M773*$B$700</f>
        <v>0</v>
      </c>
      <c r="O773" s="66">
        <f t="shared" ref="O773:O804" si="110">L773+N773</f>
        <v>0</v>
      </c>
      <c r="P773" s="66">
        <f t="shared" ref="P773:P804" si="111">O773*J773</f>
        <v>0</v>
      </c>
      <c r="Q773" s="204">
        <f>'Final Building Profile'!K68</f>
        <v>0</v>
      </c>
      <c r="R773" s="66">
        <f t="shared" si="85"/>
        <v>0</v>
      </c>
      <c r="S773" s="65">
        <f>'Final Building Profile'!N68-'Final Building Profile'!O68</f>
        <v>0</v>
      </c>
      <c r="T773" s="65">
        <f t="shared" ref="T773:T804" si="112">S773*J773</f>
        <v>0</v>
      </c>
      <c r="U773" s="204">
        <f>'Final Building Profile'!Q68</f>
        <v>0</v>
      </c>
      <c r="V773" s="65">
        <f>IF('Final Building Profile'!P68&lt;&gt;"", U773, 0) * T773</f>
        <v>0</v>
      </c>
      <c r="W773" s="266">
        <f t="shared" ref="W773:W807" si="113">IF($P$808 = 0, 0, (P773/$P$808) * Q773)</f>
        <v>0</v>
      </c>
      <c r="X773" s="266">
        <f t="shared" si="86"/>
        <v>0</v>
      </c>
      <c r="Y773" s="266" t="e">
        <f t="shared" ref="Y773:Y807" si="114">J773*(G773/$B$701)</f>
        <v>#DIV/0!</v>
      </c>
      <c r="Z773" s="266" t="e">
        <f t="shared" ref="Z773:Z807" si="115">J773*(D773/$B$702)</f>
        <v>#DIV/0!</v>
      </c>
      <c r="AA773" s="266" t="e">
        <f t="shared" ref="AA773:AA804" si="116">IF(I773=J773, Y773, Z773)</f>
        <v>#DIV/0!</v>
      </c>
      <c r="AB773" s="65" t="e">
        <f t="shared" ref="AB773:AB807" si="117">IF($B$703&lt;$V$810, ROUND($B$703/$V$810*P773, 0), P773)</f>
        <v>#N/A</v>
      </c>
      <c r="AC773" s="65" t="e">
        <f t="shared" ref="AC773:AC807" si="118">IF($B$703&lt;$V$810, ROUNDDOWN($B$703/$V$810*R773, 0), R773)</f>
        <v>#N/A</v>
      </c>
      <c r="AD773" s="65" t="e">
        <f t="shared" ref="AD773:AD807" si="119">IF($B$703&lt;$V$810, ROUND($B$703/$V$810*T773, 0), T773)</f>
        <v>#N/A</v>
      </c>
      <c r="AE773" s="65" t="e">
        <f t="shared" ref="AE773:AE807" si="120">IF($B$703&lt;$V$810, ROUND($B$703/$V$810*V773, 0), V773)</f>
        <v>#N/A</v>
      </c>
    </row>
    <row r="774" spans="1:31" ht="15" customHeight="1">
      <c r="A774">
        <f>'Final Building Profile'!A69</f>
        <v>66</v>
      </c>
      <c r="B774">
        <f>'Final Building Profile'!D69</f>
        <v>0</v>
      </c>
      <c r="C774">
        <f>'Final Building Profile'!E69</f>
        <v>0</v>
      </c>
      <c r="D774">
        <f>'Final Building Profile'!F69</f>
        <v>0</v>
      </c>
      <c r="E774" s="265">
        <f>'Final Building Profile'!G69</f>
        <v>0</v>
      </c>
      <c r="F774" s="265">
        <f>'Final Building Profile'!H69</f>
        <v>0</v>
      </c>
      <c r="G774" s="265">
        <f>'Final Building Profile'!I69</f>
        <v>0</v>
      </c>
      <c r="H774" s="197">
        <f t="shared" si="106"/>
        <v>0</v>
      </c>
      <c r="I774" s="197">
        <f t="shared" si="107"/>
        <v>0</v>
      </c>
      <c r="J774" s="137">
        <f t="shared" si="108"/>
        <v>0</v>
      </c>
      <c r="K774" s="66">
        <f>'Final Building Profile'!L69</f>
        <v>0</v>
      </c>
      <c r="L774" s="66">
        <f t="shared" ref="L774:L807" si="121">K774*$B$700</f>
        <v>0</v>
      </c>
      <c r="M774">
        <f>'Final Building Profile'!M69</f>
        <v>0</v>
      </c>
      <c r="N774" s="66">
        <f t="shared" si="109"/>
        <v>0</v>
      </c>
      <c r="O774" s="66">
        <f t="shared" si="110"/>
        <v>0</v>
      </c>
      <c r="P774" s="66">
        <f t="shared" si="111"/>
        <v>0</v>
      </c>
      <c r="Q774" s="204">
        <f>'Final Building Profile'!K69</f>
        <v>0</v>
      </c>
      <c r="R774" s="66">
        <f t="shared" ref="R774:R807" si="122">P774*Q774</f>
        <v>0</v>
      </c>
      <c r="S774" s="65">
        <f>'Final Building Profile'!N69-'Final Building Profile'!O69</f>
        <v>0</v>
      </c>
      <c r="T774" s="65">
        <f t="shared" si="112"/>
        <v>0</v>
      </c>
      <c r="U774" s="204">
        <f>'Final Building Profile'!Q69</f>
        <v>0</v>
      </c>
      <c r="V774" s="65">
        <f>IF('Final Building Profile'!P69&lt;&gt;"", U774, 0) * T774</f>
        <v>0</v>
      </c>
      <c r="W774" s="266">
        <f t="shared" si="113"/>
        <v>0</v>
      </c>
      <c r="X774" s="266">
        <f t="shared" ref="X774:X807" si="123">IF($T$808 = 0, 0, (T774/$T$808) * U774)</f>
        <v>0</v>
      </c>
      <c r="Y774" s="266" t="e">
        <f t="shared" si="114"/>
        <v>#DIV/0!</v>
      </c>
      <c r="Z774" s="266" t="e">
        <f t="shared" si="115"/>
        <v>#DIV/0!</v>
      </c>
      <c r="AA774" s="266" t="e">
        <f t="shared" si="116"/>
        <v>#DIV/0!</v>
      </c>
      <c r="AB774" s="65" t="e">
        <f t="shared" si="117"/>
        <v>#N/A</v>
      </c>
      <c r="AC774" s="65" t="e">
        <f t="shared" si="118"/>
        <v>#N/A</v>
      </c>
      <c r="AD774" s="65" t="e">
        <f t="shared" si="119"/>
        <v>#N/A</v>
      </c>
      <c r="AE774" s="65" t="e">
        <f t="shared" si="120"/>
        <v>#N/A</v>
      </c>
    </row>
    <row r="775" spans="1:31" ht="15" customHeight="1">
      <c r="A775">
        <f>'Final Building Profile'!A70</f>
        <v>67</v>
      </c>
      <c r="B775">
        <f>'Final Building Profile'!D70</f>
        <v>0</v>
      </c>
      <c r="C775">
        <f>'Final Building Profile'!E70</f>
        <v>0</v>
      </c>
      <c r="D775">
        <f>'Final Building Profile'!F70</f>
        <v>0</v>
      </c>
      <c r="E775" s="265">
        <f>'Final Building Profile'!G70</f>
        <v>0</v>
      </c>
      <c r="F775" s="265">
        <f>'Final Building Profile'!H70</f>
        <v>0</v>
      </c>
      <c r="G775" s="265">
        <f>'Final Building Profile'!I70</f>
        <v>0</v>
      </c>
      <c r="H775" s="197">
        <f t="shared" si="106"/>
        <v>0</v>
      </c>
      <c r="I775" s="197">
        <f t="shared" si="107"/>
        <v>0</v>
      </c>
      <c r="J775" s="137">
        <f t="shared" si="108"/>
        <v>0</v>
      </c>
      <c r="K775" s="66">
        <f>'Final Building Profile'!L70</f>
        <v>0</v>
      </c>
      <c r="L775" s="66">
        <f t="shared" si="121"/>
        <v>0</v>
      </c>
      <c r="M775">
        <f>'Final Building Profile'!M70</f>
        <v>0</v>
      </c>
      <c r="N775" s="66">
        <f t="shared" si="109"/>
        <v>0</v>
      </c>
      <c r="O775" s="66">
        <f t="shared" si="110"/>
        <v>0</v>
      </c>
      <c r="P775" s="66">
        <f t="shared" si="111"/>
        <v>0</v>
      </c>
      <c r="Q775" s="204">
        <f>'Final Building Profile'!K70</f>
        <v>0</v>
      </c>
      <c r="R775" s="66">
        <f t="shared" si="122"/>
        <v>0</v>
      </c>
      <c r="S775" s="65">
        <f>'Final Building Profile'!N70-'Final Building Profile'!O70</f>
        <v>0</v>
      </c>
      <c r="T775" s="65">
        <f t="shared" si="112"/>
        <v>0</v>
      </c>
      <c r="U775" s="204">
        <f>'Final Building Profile'!Q70</f>
        <v>0</v>
      </c>
      <c r="V775" s="65">
        <f>IF('Final Building Profile'!P70&lt;&gt;"", U775, 0) * T775</f>
        <v>0</v>
      </c>
      <c r="W775" s="266">
        <f t="shared" si="113"/>
        <v>0</v>
      </c>
      <c r="X775" s="266">
        <f t="shared" si="123"/>
        <v>0</v>
      </c>
      <c r="Y775" s="266" t="e">
        <f t="shared" si="114"/>
        <v>#DIV/0!</v>
      </c>
      <c r="Z775" s="266" t="e">
        <f t="shared" si="115"/>
        <v>#DIV/0!</v>
      </c>
      <c r="AA775" s="266" t="e">
        <f t="shared" si="116"/>
        <v>#DIV/0!</v>
      </c>
      <c r="AB775" s="65" t="e">
        <f t="shared" si="117"/>
        <v>#N/A</v>
      </c>
      <c r="AC775" s="65" t="e">
        <f t="shared" si="118"/>
        <v>#N/A</v>
      </c>
      <c r="AD775" s="65" t="e">
        <f t="shared" si="119"/>
        <v>#N/A</v>
      </c>
      <c r="AE775" s="65" t="e">
        <f t="shared" si="120"/>
        <v>#N/A</v>
      </c>
    </row>
    <row r="776" spans="1:31" ht="15" customHeight="1">
      <c r="A776">
        <f>'Final Building Profile'!A71</f>
        <v>68</v>
      </c>
      <c r="B776">
        <f>'Final Building Profile'!D71</f>
        <v>0</v>
      </c>
      <c r="C776">
        <f>'Final Building Profile'!E71</f>
        <v>0</v>
      </c>
      <c r="D776">
        <f>'Final Building Profile'!F71</f>
        <v>0</v>
      </c>
      <c r="E776" s="265">
        <f>'Final Building Profile'!G71</f>
        <v>0</v>
      </c>
      <c r="F776" s="265">
        <f>'Final Building Profile'!H71</f>
        <v>0</v>
      </c>
      <c r="G776" s="265">
        <f>'Final Building Profile'!I71</f>
        <v>0</v>
      </c>
      <c r="H776" s="197">
        <f t="shared" si="106"/>
        <v>0</v>
      </c>
      <c r="I776" s="197">
        <f t="shared" si="107"/>
        <v>0</v>
      </c>
      <c r="J776" s="137">
        <f t="shared" si="108"/>
        <v>0</v>
      </c>
      <c r="K776" s="66">
        <f>'Final Building Profile'!L71</f>
        <v>0</v>
      </c>
      <c r="L776" s="66">
        <f t="shared" si="121"/>
        <v>0</v>
      </c>
      <c r="M776">
        <f>'Final Building Profile'!M71</f>
        <v>0</v>
      </c>
      <c r="N776" s="66">
        <f t="shared" si="109"/>
        <v>0</v>
      </c>
      <c r="O776" s="66">
        <f t="shared" si="110"/>
        <v>0</v>
      </c>
      <c r="P776" s="66">
        <f t="shared" si="111"/>
        <v>0</v>
      </c>
      <c r="Q776" s="204">
        <f>'Final Building Profile'!K71</f>
        <v>0</v>
      </c>
      <c r="R776" s="66">
        <f t="shared" si="122"/>
        <v>0</v>
      </c>
      <c r="S776" s="65">
        <f>'Final Building Profile'!N71-'Final Building Profile'!O71</f>
        <v>0</v>
      </c>
      <c r="T776" s="65">
        <f t="shared" si="112"/>
        <v>0</v>
      </c>
      <c r="U776" s="204">
        <f>'Final Building Profile'!Q71</f>
        <v>0</v>
      </c>
      <c r="V776" s="65">
        <f>IF('Final Building Profile'!P71&lt;&gt;"", U776, 0) * T776</f>
        <v>0</v>
      </c>
      <c r="W776" s="266">
        <f t="shared" si="113"/>
        <v>0</v>
      </c>
      <c r="X776" s="266">
        <f t="shared" si="123"/>
        <v>0</v>
      </c>
      <c r="Y776" s="266" t="e">
        <f t="shared" si="114"/>
        <v>#DIV/0!</v>
      </c>
      <c r="Z776" s="266" t="e">
        <f t="shared" si="115"/>
        <v>#DIV/0!</v>
      </c>
      <c r="AA776" s="266" t="e">
        <f t="shared" si="116"/>
        <v>#DIV/0!</v>
      </c>
      <c r="AB776" s="65" t="e">
        <f t="shared" si="117"/>
        <v>#N/A</v>
      </c>
      <c r="AC776" s="65" t="e">
        <f t="shared" si="118"/>
        <v>#N/A</v>
      </c>
      <c r="AD776" s="65" t="e">
        <f t="shared" si="119"/>
        <v>#N/A</v>
      </c>
      <c r="AE776" s="65" t="e">
        <f t="shared" si="120"/>
        <v>#N/A</v>
      </c>
    </row>
    <row r="777" spans="1:31" ht="15" customHeight="1">
      <c r="A777">
        <f>'Final Building Profile'!A72</f>
        <v>69</v>
      </c>
      <c r="B777">
        <f>'Final Building Profile'!D72</f>
        <v>0</v>
      </c>
      <c r="C777">
        <f>'Final Building Profile'!E72</f>
        <v>0</v>
      </c>
      <c r="D777">
        <f>'Final Building Profile'!F72</f>
        <v>0</v>
      </c>
      <c r="E777" s="265">
        <f>'Final Building Profile'!G72</f>
        <v>0</v>
      </c>
      <c r="F777" s="265">
        <f>'Final Building Profile'!H72</f>
        <v>0</v>
      </c>
      <c r="G777" s="265">
        <f>'Final Building Profile'!I72</f>
        <v>0</v>
      </c>
      <c r="H777" s="197">
        <f t="shared" si="106"/>
        <v>0</v>
      </c>
      <c r="I777" s="197">
        <f t="shared" si="107"/>
        <v>0</v>
      </c>
      <c r="J777" s="137">
        <f t="shared" si="108"/>
        <v>0</v>
      </c>
      <c r="K777" s="66">
        <f>'Final Building Profile'!L72</f>
        <v>0</v>
      </c>
      <c r="L777" s="66">
        <f t="shared" si="121"/>
        <v>0</v>
      </c>
      <c r="M777">
        <f>'Final Building Profile'!M72</f>
        <v>0</v>
      </c>
      <c r="N777" s="66">
        <f t="shared" si="109"/>
        <v>0</v>
      </c>
      <c r="O777" s="66">
        <f t="shared" si="110"/>
        <v>0</v>
      </c>
      <c r="P777" s="66">
        <f t="shared" si="111"/>
        <v>0</v>
      </c>
      <c r="Q777" s="204">
        <f>'Final Building Profile'!K72</f>
        <v>0</v>
      </c>
      <c r="R777" s="66">
        <f t="shared" si="122"/>
        <v>0</v>
      </c>
      <c r="S777" s="65">
        <f>'Final Building Profile'!N72-'Final Building Profile'!O72</f>
        <v>0</v>
      </c>
      <c r="T777" s="65">
        <f t="shared" si="112"/>
        <v>0</v>
      </c>
      <c r="U777" s="204">
        <f>'Final Building Profile'!Q72</f>
        <v>0</v>
      </c>
      <c r="V777" s="65">
        <f>IF('Final Building Profile'!P72&lt;&gt;"", U777, 0) * T777</f>
        <v>0</v>
      </c>
      <c r="W777" s="266">
        <f t="shared" si="113"/>
        <v>0</v>
      </c>
      <c r="X777" s="266">
        <f t="shared" si="123"/>
        <v>0</v>
      </c>
      <c r="Y777" s="266" t="e">
        <f t="shared" si="114"/>
        <v>#DIV/0!</v>
      </c>
      <c r="Z777" s="266" t="e">
        <f t="shared" si="115"/>
        <v>#DIV/0!</v>
      </c>
      <c r="AA777" s="266" t="e">
        <f t="shared" si="116"/>
        <v>#DIV/0!</v>
      </c>
      <c r="AB777" s="65" t="e">
        <f t="shared" si="117"/>
        <v>#N/A</v>
      </c>
      <c r="AC777" s="65" t="e">
        <f t="shared" si="118"/>
        <v>#N/A</v>
      </c>
      <c r="AD777" s="65" t="e">
        <f t="shared" si="119"/>
        <v>#N/A</v>
      </c>
      <c r="AE777" s="65" t="e">
        <f t="shared" si="120"/>
        <v>#N/A</v>
      </c>
    </row>
    <row r="778" spans="1:31" ht="15" customHeight="1">
      <c r="A778">
        <f>'Final Building Profile'!A73</f>
        <v>70</v>
      </c>
      <c r="B778">
        <f>'Final Building Profile'!D73</f>
        <v>0</v>
      </c>
      <c r="C778">
        <f>'Final Building Profile'!E73</f>
        <v>0</v>
      </c>
      <c r="D778">
        <f>'Final Building Profile'!F73</f>
        <v>0</v>
      </c>
      <c r="E778" s="265">
        <f>'Final Building Profile'!G73</f>
        <v>0</v>
      </c>
      <c r="F778" s="265">
        <f>'Final Building Profile'!H73</f>
        <v>0</v>
      </c>
      <c r="G778" s="265">
        <f>'Final Building Profile'!I73</f>
        <v>0</v>
      </c>
      <c r="H778" s="197">
        <f t="shared" si="106"/>
        <v>0</v>
      </c>
      <c r="I778" s="197">
        <f t="shared" si="107"/>
        <v>0</v>
      </c>
      <c r="J778" s="137">
        <f t="shared" si="108"/>
        <v>0</v>
      </c>
      <c r="K778" s="66">
        <f>'Final Building Profile'!L73</f>
        <v>0</v>
      </c>
      <c r="L778" s="66">
        <f t="shared" si="121"/>
        <v>0</v>
      </c>
      <c r="M778">
        <f>'Final Building Profile'!M73</f>
        <v>0</v>
      </c>
      <c r="N778" s="66">
        <f t="shared" si="109"/>
        <v>0</v>
      </c>
      <c r="O778" s="66">
        <f t="shared" si="110"/>
        <v>0</v>
      </c>
      <c r="P778" s="66">
        <f t="shared" si="111"/>
        <v>0</v>
      </c>
      <c r="Q778" s="204">
        <f>'Final Building Profile'!K73</f>
        <v>0</v>
      </c>
      <c r="R778" s="66">
        <f t="shared" si="122"/>
        <v>0</v>
      </c>
      <c r="S778" s="65">
        <f>'Final Building Profile'!N73-'Final Building Profile'!O73</f>
        <v>0</v>
      </c>
      <c r="T778" s="65">
        <f t="shared" si="112"/>
        <v>0</v>
      </c>
      <c r="U778" s="204">
        <f>'Final Building Profile'!Q73</f>
        <v>0</v>
      </c>
      <c r="V778" s="65">
        <f>IF('Final Building Profile'!P73&lt;&gt;"", U778, 0) * T778</f>
        <v>0</v>
      </c>
      <c r="W778" s="266">
        <f t="shared" si="113"/>
        <v>0</v>
      </c>
      <c r="X778" s="266">
        <f t="shared" si="123"/>
        <v>0</v>
      </c>
      <c r="Y778" s="266" t="e">
        <f t="shared" si="114"/>
        <v>#DIV/0!</v>
      </c>
      <c r="Z778" s="266" t="e">
        <f t="shared" si="115"/>
        <v>#DIV/0!</v>
      </c>
      <c r="AA778" s="266" t="e">
        <f t="shared" si="116"/>
        <v>#DIV/0!</v>
      </c>
      <c r="AB778" s="65" t="e">
        <f t="shared" si="117"/>
        <v>#N/A</v>
      </c>
      <c r="AC778" s="65" t="e">
        <f t="shared" si="118"/>
        <v>#N/A</v>
      </c>
      <c r="AD778" s="65" t="e">
        <f t="shared" si="119"/>
        <v>#N/A</v>
      </c>
      <c r="AE778" s="65" t="e">
        <f t="shared" si="120"/>
        <v>#N/A</v>
      </c>
    </row>
    <row r="779" spans="1:31" ht="15" customHeight="1">
      <c r="A779">
        <f>'Final Building Profile'!A74</f>
        <v>71</v>
      </c>
      <c r="B779">
        <f>'Final Building Profile'!D74</f>
        <v>0</v>
      </c>
      <c r="C779">
        <f>'Final Building Profile'!E74</f>
        <v>0</v>
      </c>
      <c r="D779">
        <f>'Final Building Profile'!F74</f>
        <v>0</v>
      </c>
      <c r="E779" s="265">
        <f>'Final Building Profile'!G74</f>
        <v>0</v>
      </c>
      <c r="F779" s="265">
        <f>'Final Building Profile'!H74</f>
        <v>0</v>
      </c>
      <c r="G779" s="265">
        <f>'Final Building Profile'!I74</f>
        <v>0</v>
      </c>
      <c r="H779" s="197">
        <f t="shared" si="106"/>
        <v>0</v>
      </c>
      <c r="I779" s="197">
        <f t="shared" si="107"/>
        <v>0</v>
      </c>
      <c r="J779" s="137">
        <f t="shared" si="108"/>
        <v>0</v>
      </c>
      <c r="K779" s="66">
        <f>'Final Building Profile'!L74</f>
        <v>0</v>
      </c>
      <c r="L779" s="66">
        <f t="shared" si="121"/>
        <v>0</v>
      </c>
      <c r="M779">
        <f>'Final Building Profile'!M74</f>
        <v>0</v>
      </c>
      <c r="N779" s="66">
        <f t="shared" si="109"/>
        <v>0</v>
      </c>
      <c r="O779" s="66">
        <f t="shared" si="110"/>
        <v>0</v>
      </c>
      <c r="P779" s="66">
        <f t="shared" si="111"/>
        <v>0</v>
      </c>
      <c r="Q779" s="204">
        <f>'Final Building Profile'!K74</f>
        <v>0</v>
      </c>
      <c r="R779" s="66">
        <f t="shared" si="122"/>
        <v>0</v>
      </c>
      <c r="S779" s="65">
        <f>'Final Building Profile'!N74-'Final Building Profile'!O74</f>
        <v>0</v>
      </c>
      <c r="T779" s="65">
        <f t="shared" si="112"/>
        <v>0</v>
      </c>
      <c r="U779" s="204">
        <f>'Final Building Profile'!Q74</f>
        <v>0</v>
      </c>
      <c r="V779" s="65">
        <f>IF('Final Building Profile'!P74&lt;&gt;"", U779, 0) * T779</f>
        <v>0</v>
      </c>
      <c r="W779" s="266">
        <f t="shared" si="113"/>
        <v>0</v>
      </c>
      <c r="X779" s="266">
        <f t="shared" si="123"/>
        <v>0</v>
      </c>
      <c r="Y779" s="266" t="e">
        <f t="shared" si="114"/>
        <v>#DIV/0!</v>
      </c>
      <c r="Z779" s="266" t="e">
        <f t="shared" si="115"/>
        <v>#DIV/0!</v>
      </c>
      <c r="AA779" s="266" t="e">
        <f t="shared" si="116"/>
        <v>#DIV/0!</v>
      </c>
      <c r="AB779" s="65" t="e">
        <f t="shared" si="117"/>
        <v>#N/A</v>
      </c>
      <c r="AC779" s="65" t="e">
        <f t="shared" si="118"/>
        <v>#N/A</v>
      </c>
      <c r="AD779" s="65" t="e">
        <f t="shared" si="119"/>
        <v>#N/A</v>
      </c>
      <c r="AE779" s="65" t="e">
        <f t="shared" si="120"/>
        <v>#N/A</v>
      </c>
    </row>
    <row r="780" spans="1:31" ht="15" customHeight="1">
      <c r="A780">
        <f>'Final Building Profile'!A75</f>
        <v>72</v>
      </c>
      <c r="B780">
        <f>'Final Building Profile'!D75</f>
        <v>0</v>
      </c>
      <c r="C780">
        <f>'Final Building Profile'!E75</f>
        <v>0</v>
      </c>
      <c r="D780">
        <f>'Final Building Profile'!F75</f>
        <v>0</v>
      </c>
      <c r="E780" s="265">
        <f>'Final Building Profile'!G75</f>
        <v>0</v>
      </c>
      <c r="F780" s="265">
        <f>'Final Building Profile'!H75</f>
        <v>0</v>
      </c>
      <c r="G780" s="265">
        <f>'Final Building Profile'!I75</f>
        <v>0</v>
      </c>
      <c r="H780" s="197">
        <f t="shared" si="106"/>
        <v>0</v>
      </c>
      <c r="I780" s="197">
        <f t="shared" si="107"/>
        <v>0</v>
      </c>
      <c r="J780" s="137">
        <f t="shared" si="108"/>
        <v>0</v>
      </c>
      <c r="K780" s="66">
        <f>'Final Building Profile'!L75</f>
        <v>0</v>
      </c>
      <c r="L780" s="66">
        <f t="shared" si="121"/>
        <v>0</v>
      </c>
      <c r="M780">
        <f>'Final Building Profile'!M75</f>
        <v>0</v>
      </c>
      <c r="N780" s="66">
        <f t="shared" si="109"/>
        <v>0</v>
      </c>
      <c r="O780" s="66">
        <f t="shared" si="110"/>
        <v>0</v>
      </c>
      <c r="P780" s="66">
        <f t="shared" si="111"/>
        <v>0</v>
      </c>
      <c r="Q780" s="204">
        <f>'Final Building Profile'!K75</f>
        <v>0</v>
      </c>
      <c r="R780" s="66">
        <f t="shared" si="122"/>
        <v>0</v>
      </c>
      <c r="S780" s="65">
        <f>'Final Building Profile'!N75-'Final Building Profile'!O75</f>
        <v>0</v>
      </c>
      <c r="T780" s="65">
        <f t="shared" si="112"/>
        <v>0</v>
      </c>
      <c r="U780" s="204">
        <f>'Final Building Profile'!Q75</f>
        <v>0</v>
      </c>
      <c r="V780" s="65">
        <f>IF('Final Building Profile'!P75&lt;&gt;"", U780, 0) * T780</f>
        <v>0</v>
      </c>
      <c r="W780" s="266">
        <f t="shared" si="113"/>
        <v>0</v>
      </c>
      <c r="X780" s="266">
        <f t="shared" si="123"/>
        <v>0</v>
      </c>
      <c r="Y780" s="266" t="e">
        <f t="shared" si="114"/>
        <v>#DIV/0!</v>
      </c>
      <c r="Z780" s="266" t="e">
        <f t="shared" si="115"/>
        <v>#DIV/0!</v>
      </c>
      <c r="AA780" s="266" t="e">
        <f t="shared" si="116"/>
        <v>#DIV/0!</v>
      </c>
      <c r="AB780" s="65" t="e">
        <f t="shared" si="117"/>
        <v>#N/A</v>
      </c>
      <c r="AC780" s="65" t="e">
        <f t="shared" si="118"/>
        <v>#N/A</v>
      </c>
      <c r="AD780" s="65" t="e">
        <f t="shared" si="119"/>
        <v>#N/A</v>
      </c>
      <c r="AE780" s="65" t="e">
        <f t="shared" si="120"/>
        <v>#N/A</v>
      </c>
    </row>
    <row r="781" spans="1:31" ht="15" customHeight="1">
      <c r="A781">
        <f>'Final Building Profile'!A76</f>
        <v>73</v>
      </c>
      <c r="B781">
        <f>'Final Building Profile'!D76</f>
        <v>0</v>
      </c>
      <c r="C781">
        <f>'Final Building Profile'!E76</f>
        <v>0</v>
      </c>
      <c r="D781">
        <f>'Final Building Profile'!F76</f>
        <v>0</v>
      </c>
      <c r="E781" s="265">
        <f>'Final Building Profile'!G76</f>
        <v>0</v>
      </c>
      <c r="F781" s="265">
        <f>'Final Building Profile'!H76</f>
        <v>0</v>
      </c>
      <c r="G781" s="265">
        <f>'Final Building Profile'!I76</f>
        <v>0</v>
      </c>
      <c r="H781" s="197">
        <f t="shared" si="106"/>
        <v>0</v>
      </c>
      <c r="I781" s="197">
        <f t="shared" si="107"/>
        <v>0</v>
      </c>
      <c r="J781" s="137">
        <f t="shared" si="108"/>
        <v>0</v>
      </c>
      <c r="K781" s="66">
        <f>'Final Building Profile'!L76</f>
        <v>0</v>
      </c>
      <c r="L781" s="66">
        <f t="shared" si="121"/>
        <v>0</v>
      </c>
      <c r="M781">
        <f>'Final Building Profile'!M76</f>
        <v>0</v>
      </c>
      <c r="N781" s="66">
        <f t="shared" si="109"/>
        <v>0</v>
      </c>
      <c r="O781" s="66">
        <f t="shared" si="110"/>
        <v>0</v>
      </c>
      <c r="P781" s="66">
        <f t="shared" si="111"/>
        <v>0</v>
      </c>
      <c r="Q781" s="204">
        <f>'Final Building Profile'!K76</f>
        <v>0</v>
      </c>
      <c r="R781" s="66">
        <f t="shared" si="122"/>
        <v>0</v>
      </c>
      <c r="S781" s="65">
        <f>'Final Building Profile'!N76-'Final Building Profile'!O76</f>
        <v>0</v>
      </c>
      <c r="T781" s="65">
        <f t="shared" si="112"/>
        <v>0</v>
      </c>
      <c r="U781" s="204">
        <f>'Final Building Profile'!Q76</f>
        <v>0</v>
      </c>
      <c r="V781" s="65">
        <f>IF('Final Building Profile'!P76&lt;&gt;"", U781, 0) * T781</f>
        <v>0</v>
      </c>
      <c r="W781" s="266">
        <f t="shared" si="113"/>
        <v>0</v>
      </c>
      <c r="X781" s="266">
        <f t="shared" si="123"/>
        <v>0</v>
      </c>
      <c r="Y781" s="266" t="e">
        <f t="shared" si="114"/>
        <v>#DIV/0!</v>
      </c>
      <c r="Z781" s="266" t="e">
        <f t="shared" si="115"/>
        <v>#DIV/0!</v>
      </c>
      <c r="AA781" s="266" t="e">
        <f t="shared" si="116"/>
        <v>#DIV/0!</v>
      </c>
      <c r="AB781" s="65" t="e">
        <f t="shared" si="117"/>
        <v>#N/A</v>
      </c>
      <c r="AC781" s="65" t="e">
        <f t="shared" si="118"/>
        <v>#N/A</v>
      </c>
      <c r="AD781" s="65" t="e">
        <f t="shared" si="119"/>
        <v>#N/A</v>
      </c>
      <c r="AE781" s="65" t="e">
        <f t="shared" si="120"/>
        <v>#N/A</v>
      </c>
    </row>
    <row r="782" spans="1:31" ht="15" customHeight="1">
      <c r="A782">
        <f>'Final Building Profile'!A77</f>
        <v>74</v>
      </c>
      <c r="B782">
        <f>'Final Building Profile'!D77</f>
        <v>0</v>
      </c>
      <c r="C782">
        <f>'Final Building Profile'!E77</f>
        <v>0</v>
      </c>
      <c r="D782">
        <f>'Final Building Profile'!F77</f>
        <v>0</v>
      </c>
      <c r="E782" s="265">
        <f>'Final Building Profile'!G77</f>
        <v>0</v>
      </c>
      <c r="F782" s="265">
        <f>'Final Building Profile'!H77</f>
        <v>0</v>
      </c>
      <c r="G782" s="265">
        <f>'Final Building Profile'!I77</f>
        <v>0</v>
      </c>
      <c r="H782" s="197">
        <f t="shared" si="106"/>
        <v>0</v>
      </c>
      <c r="I782" s="197">
        <f t="shared" si="107"/>
        <v>0</v>
      </c>
      <c r="J782" s="137">
        <f t="shared" si="108"/>
        <v>0</v>
      </c>
      <c r="K782" s="66">
        <f>'Final Building Profile'!L77</f>
        <v>0</v>
      </c>
      <c r="L782" s="66">
        <f t="shared" si="121"/>
        <v>0</v>
      </c>
      <c r="M782">
        <f>'Final Building Profile'!M77</f>
        <v>0</v>
      </c>
      <c r="N782" s="66">
        <f t="shared" si="109"/>
        <v>0</v>
      </c>
      <c r="O782" s="66">
        <f t="shared" si="110"/>
        <v>0</v>
      </c>
      <c r="P782" s="66">
        <f t="shared" si="111"/>
        <v>0</v>
      </c>
      <c r="Q782" s="204">
        <f>'Final Building Profile'!K77</f>
        <v>0</v>
      </c>
      <c r="R782" s="66">
        <f t="shared" si="122"/>
        <v>0</v>
      </c>
      <c r="S782" s="65">
        <f>'Final Building Profile'!N77-'Final Building Profile'!O77</f>
        <v>0</v>
      </c>
      <c r="T782" s="65">
        <f t="shared" si="112"/>
        <v>0</v>
      </c>
      <c r="U782" s="204">
        <f>'Final Building Profile'!Q77</f>
        <v>0</v>
      </c>
      <c r="V782" s="65">
        <f>IF('Final Building Profile'!P77&lt;&gt;"", U782, 0) * T782</f>
        <v>0</v>
      </c>
      <c r="W782" s="266">
        <f t="shared" si="113"/>
        <v>0</v>
      </c>
      <c r="X782" s="266">
        <f t="shared" si="123"/>
        <v>0</v>
      </c>
      <c r="Y782" s="266" t="e">
        <f t="shared" si="114"/>
        <v>#DIV/0!</v>
      </c>
      <c r="Z782" s="266" t="e">
        <f t="shared" si="115"/>
        <v>#DIV/0!</v>
      </c>
      <c r="AA782" s="266" t="e">
        <f t="shared" si="116"/>
        <v>#DIV/0!</v>
      </c>
      <c r="AB782" s="65" t="e">
        <f t="shared" si="117"/>
        <v>#N/A</v>
      </c>
      <c r="AC782" s="65" t="e">
        <f t="shared" si="118"/>
        <v>#N/A</v>
      </c>
      <c r="AD782" s="65" t="e">
        <f t="shared" si="119"/>
        <v>#N/A</v>
      </c>
      <c r="AE782" s="65" t="e">
        <f t="shared" si="120"/>
        <v>#N/A</v>
      </c>
    </row>
    <row r="783" spans="1:31" ht="15" customHeight="1">
      <c r="A783">
        <f>'Final Building Profile'!A78</f>
        <v>75</v>
      </c>
      <c r="B783">
        <f>'Final Building Profile'!D78</f>
        <v>0</v>
      </c>
      <c r="C783">
        <f>'Final Building Profile'!E78</f>
        <v>0</v>
      </c>
      <c r="D783">
        <f>'Final Building Profile'!F78</f>
        <v>0</v>
      </c>
      <c r="E783" s="265">
        <f>'Final Building Profile'!G78</f>
        <v>0</v>
      </c>
      <c r="F783" s="265">
        <f>'Final Building Profile'!H78</f>
        <v>0</v>
      </c>
      <c r="G783" s="265">
        <f>'Final Building Profile'!I78</f>
        <v>0</v>
      </c>
      <c r="H783" s="197">
        <f t="shared" si="106"/>
        <v>0</v>
      </c>
      <c r="I783" s="197">
        <f t="shared" si="107"/>
        <v>0</v>
      </c>
      <c r="J783" s="137">
        <f t="shared" si="108"/>
        <v>0</v>
      </c>
      <c r="K783" s="66">
        <f>'Final Building Profile'!L78</f>
        <v>0</v>
      </c>
      <c r="L783" s="66">
        <f t="shared" si="121"/>
        <v>0</v>
      </c>
      <c r="M783">
        <f>'Final Building Profile'!M78</f>
        <v>0</v>
      </c>
      <c r="N783" s="66">
        <f t="shared" si="109"/>
        <v>0</v>
      </c>
      <c r="O783" s="66">
        <f t="shared" si="110"/>
        <v>0</v>
      </c>
      <c r="P783" s="66">
        <f t="shared" si="111"/>
        <v>0</v>
      </c>
      <c r="Q783" s="204">
        <f>'Final Building Profile'!K78</f>
        <v>0</v>
      </c>
      <c r="R783" s="66">
        <f t="shared" si="122"/>
        <v>0</v>
      </c>
      <c r="S783" s="65">
        <f>'Final Building Profile'!N78-'Final Building Profile'!O78</f>
        <v>0</v>
      </c>
      <c r="T783" s="65">
        <f t="shared" si="112"/>
        <v>0</v>
      </c>
      <c r="U783" s="204">
        <f>'Final Building Profile'!Q78</f>
        <v>0</v>
      </c>
      <c r="V783" s="65">
        <f>IF('Final Building Profile'!P78&lt;&gt;"", U783, 0) * T783</f>
        <v>0</v>
      </c>
      <c r="W783" s="266">
        <f t="shared" si="113"/>
        <v>0</v>
      </c>
      <c r="X783" s="266">
        <f t="shared" si="123"/>
        <v>0</v>
      </c>
      <c r="Y783" s="266" t="e">
        <f t="shared" si="114"/>
        <v>#DIV/0!</v>
      </c>
      <c r="Z783" s="266" t="e">
        <f t="shared" si="115"/>
        <v>#DIV/0!</v>
      </c>
      <c r="AA783" s="266" t="e">
        <f t="shared" si="116"/>
        <v>#DIV/0!</v>
      </c>
      <c r="AB783" s="65" t="e">
        <f t="shared" si="117"/>
        <v>#N/A</v>
      </c>
      <c r="AC783" s="65" t="e">
        <f t="shared" si="118"/>
        <v>#N/A</v>
      </c>
      <c r="AD783" s="65" t="e">
        <f t="shared" si="119"/>
        <v>#N/A</v>
      </c>
      <c r="AE783" s="65" t="e">
        <f t="shared" si="120"/>
        <v>#N/A</v>
      </c>
    </row>
    <row r="784" spans="1:31" ht="15" customHeight="1">
      <c r="A784">
        <f>'Final Building Profile'!A79</f>
        <v>76</v>
      </c>
      <c r="B784">
        <f>'Final Building Profile'!D79</f>
        <v>0</v>
      </c>
      <c r="C784">
        <f>'Final Building Profile'!E79</f>
        <v>0</v>
      </c>
      <c r="D784">
        <f>'Final Building Profile'!F79</f>
        <v>0</v>
      </c>
      <c r="E784" s="265">
        <f>'Final Building Profile'!G79</f>
        <v>0</v>
      </c>
      <c r="F784" s="265">
        <f>'Final Building Profile'!H79</f>
        <v>0</v>
      </c>
      <c r="G784" s="265">
        <f>'Final Building Profile'!I79</f>
        <v>0</v>
      </c>
      <c r="H784" s="197">
        <f t="shared" si="106"/>
        <v>0</v>
      </c>
      <c r="I784" s="197">
        <f t="shared" si="107"/>
        <v>0</v>
      </c>
      <c r="J784" s="137">
        <f t="shared" si="108"/>
        <v>0</v>
      </c>
      <c r="K784" s="66">
        <f>'Final Building Profile'!L79</f>
        <v>0</v>
      </c>
      <c r="L784" s="66">
        <f t="shared" si="121"/>
        <v>0</v>
      </c>
      <c r="M784">
        <f>'Final Building Profile'!M79</f>
        <v>0</v>
      </c>
      <c r="N784" s="66">
        <f t="shared" si="109"/>
        <v>0</v>
      </c>
      <c r="O784" s="66">
        <f t="shared" si="110"/>
        <v>0</v>
      </c>
      <c r="P784" s="66">
        <f t="shared" si="111"/>
        <v>0</v>
      </c>
      <c r="Q784" s="204">
        <f>'Final Building Profile'!K79</f>
        <v>0</v>
      </c>
      <c r="R784" s="66">
        <f t="shared" si="122"/>
        <v>0</v>
      </c>
      <c r="S784" s="65">
        <f>'Final Building Profile'!N79-'Final Building Profile'!O79</f>
        <v>0</v>
      </c>
      <c r="T784" s="65">
        <f t="shared" si="112"/>
        <v>0</v>
      </c>
      <c r="U784" s="204">
        <f>'Final Building Profile'!Q79</f>
        <v>0</v>
      </c>
      <c r="V784" s="65">
        <f>IF('Final Building Profile'!P79&lt;&gt;"", U784, 0) * T784</f>
        <v>0</v>
      </c>
      <c r="W784" s="266">
        <f t="shared" si="113"/>
        <v>0</v>
      </c>
      <c r="X784" s="266">
        <f t="shared" si="123"/>
        <v>0</v>
      </c>
      <c r="Y784" s="266" t="e">
        <f t="shared" si="114"/>
        <v>#DIV/0!</v>
      </c>
      <c r="Z784" s="266" t="e">
        <f t="shared" si="115"/>
        <v>#DIV/0!</v>
      </c>
      <c r="AA784" s="266" t="e">
        <f t="shared" si="116"/>
        <v>#DIV/0!</v>
      </c>
      <c r="AB784" s="65" t="e">
        <f t="shared" si="117"/>
        <v>#N/A</v>
      </c>
      <c r="AC784" s="65" t="e">
        <f t="shared" si="118"/>
        <v>#N/A</v>
      </c>
      <c r="AD784" s="65" t="e">
        <f t="shared" si="119"/>
        <v>#N/A</v>
      </c>
      <c r="AE784" s="65" t="e">
        <f t="shared" si="120"/>
        <v>#N/A</v>
      </c>
    </row>
    <row r="785" spans="1:31" ht="15" customHeight="1">
      <c r="A785">
        <f>'Final Building Profile'!A80</f>
        <v>77</v>
      </c>
      <c r="B785">
        <f>'Final Building Profile'!D80</f>
        <v>0</v>
      </c>
      <c r="C785">
        <f>'Final Building Profile'!E80</f>
        <v>0</v>
      </c>
      <c r="D785">
        <f>'Final Building Profile'!F80</f>
        <v>0</v>
      </c>
      <c r="E785" s="265">
        <f>'Final Building Profile'!G80</f>
        <v>0</v>
      </c>
      <c r="F785" s="265">
        <f>'Final Building Profile'!H80</f>
        <v>0</v>
      </c>
      <c r="G785" s="265">
        <f>'Final Building Profile'!I80</f>
        <v>0</v>
      </c>
      <c r="H785" s="197">
        <f t="shared" si="106"/>
        <v>0</v>
      </c>
      <c r="I785" s="197">
        <f t="shared" si="107"/>
        <v>0</v>
      </c>
      <c r="J785" s="137">
        <f t="shared" si="108"/>
        <v>0</v>
      </c>
      <c r="K785" s="66">
        <f>'Final Building Profile'!L80</f>
        <v>0</v>
      </c>
      <c r="L785" s="66">
        <f t="shared" si="121"/>
        <v>0</v>
      </c>
      <c r="M785">
        <f>'Final Building Profile'!M80</f>
        <v>0</v>
      </c>
      <c r="N785" s="66">
        <f t="shared" si="109"/>
        <v>0</v>
      </c>
      <c r="O785" s="66">
        <f t="shared" si="110"/>
        <v>0</v>
      </c>
      <c r="P785" s="66">
        <f t="shared" si="111"/>
        <v>0</v>
      </c>
      <c r="Q785" s="204">
        <f>'Final Building Profile'!K80</f>
        <v>0</v>
      </c>
      <c r="R785" s="66">
        <f t="shared" si="122"/>
        <v>0</v>
      </c>
      <c r="S785" s="65">
        <f>'Final Building Profile'!N80-'Final Building Profile'!O80</f>
        <v>0</v>
      </c>
      <c r="T785" s="65">
        <f t="shared" si="112"/>
        <v>0</v>
      </c>
      <c r="U785" s="204">
        <f>'Final Building Profile'!Q80</f>
        <v>0</v>
      </c>
      <c r="V785" s="65">
        <f>IF('Final Building Profile'!P80&lt;&gt;"", U785, 0) * T785</f>
        <v>0</v>
      </c>
      <c r="W785" s="266">
        <f t="shared" si="113"/>
        <v>0</v>
      </c>
      <c r="X785" s="266">
        <f t="shared" si="123"/>
        <v>0</v>
      </c>
      <c r="Y785" s="266" t="e">
        <f t="shared" si="114"/>
        <v>#DIV/0!</v>
      </c>
      <c r="Z785" s="266" t="e">
        <f t="shared" si="115"/>
        <v>#DIV/0!</v>
      </c>
      <c r="AA785" s="266" t="e">
        <f t="shared" si="116"/>
        <v>#DIV/0!</v>
      </c>
      <c r="AB785" s="65" t="e">
        <f t="shared" si="117"/>
        <v>#N/A</v>
      </c>
      <c r="AC785" s="65" t="e">
        <f t="shared" si="118"/>
        <v>#N/A</v>
      </c>
      <c r="AD785" s="65" t="e">
        <f t="shared" si="119"/>
        <v>#N/A</v>
      </c>
      <c r="AE785" s="65" t="e">
        <f t="shared" si="120"/>
        <v>#N/A</v>
      </c>
    </row>
    <row r="786" spans="1:31" ht="15" customHeight="1">
      <c r="A786">
        <f>'Final Building Profile'!A81</f>
        <v>78</v>
      </c>
      <c r="B786">
        <f>'Final Building Profile'!D81</f>
        <v>0</v>
      </c>
      <c r="C786">
        <f>'Final Building Profile'!E81</f>
        <v>0</v>
      </c>
      <c r="D786">
        <f>'Final Building Profile'!F81</f>
        <v>0</v>
      </c>
      <c r="E786" s="265">
        <f>'Final Building Profile'!G81</f>
        <v>0</v>
      </c>
      <c r="F786" s="265">
        <f>'Final Building Profile'!H81</f>
        <v>0</v>
      </c>
      <c r="G786" s="265">
        <f>'Final Building Profile'!I81</f>
        <v>0</v>
      </c>
      <c r="H786" s="197">
        <f t="shared" si="106"/>
        <v>0</v>
      </c>
      <c r="I786" s="197">
        <f t="shared" si="107"/>
        <v>0</v>
      </c>
      <c r="J786" s="137">
        <f t="shared" si="108"/>
        <v>0</v>
      </c>
      <c r="K786" s="66">
        <f>'Final Building Profile'!L81</f>
        <v>0</v>
      </c>
      <c r="L786" s="66">
        <f t="shared" si="121"/>
        <v>0</v>
      </c>
      <c r="M786">
        <f>'Final Building Profile'!M81</f>
        <v>0</v>
      </c>
      <c r="N786" s="66">
        <f t="shared" si="109"/>
        <v>0</v>
      </c>
      <c r="O786" s="66">
        <f t="shared" si="110"/>
        <v>0</v>
      </c>
      <c r="P786" s="66">
        <f t="shared" si="111"/>
        <v>0</v>
      </c>
      <c r="Q786" s="204">
        <f>'Final Building Profile'!K81</f>
        <v>0</v>
      </c>
      <c r="R786" s="66">
        <f t="shared" si="122"/>
        <v>0</v>
      </c>
      <c r="S786" s="65">
        <f>'Final Building Profile'!N81-'Final Building Profile'!O81</f>
        <v>0</v>
      </c>
      <c r="T786" s="65">
        <f t="shared" si="112"/>
        <v>0</v>
      </c>
      <c r="U786" s="204">
        <f>'Final Building Profile'!Q81</f>
        <v>0</v>
      </c>
      <c r="V786" s="65">
        <f>IF('Final Building Profile'!P81&lt;&gt;"", U786, 0) * T786</f>
        <v>0</v>
      </c>
      <c r="W786" s="266">
        <f t="shared" si="113"/>
        <v>0</v>
      </c>
      <c r="X786" s="266">
        <f t="shared" si="123"/>
        <v>0</v>
      </c>
      <c r="Y786" s="266" t="e">
        <f t="shared" si="114"/>
        <v>#DIV/0!</v>
      </c>
      <c r="Z786" s="266" t="e">
        <f t="shared" si="115"/>
        <v>#DIV/0!</v>
      </c>
      <c r="AA786" s="266" t="e">
        <f t="shared" si="116"/>
        <v>#DIV/0!</v>
      </c>
      <c r="AB786" s="65" t="e">
        <f t="shared" si="117"/>
        <v>#N/A</v>
      </c>
      <c r="AC786" s="65" t="e">
        <f t="shared" si="118"/>
        <v>#N/A</v>
      </c>
      <c r="AD786" s="65" t="e">
        <f t="shared" si="119"/>
        <v>#N/A</v>
      </c>
      <c r="AE786" s="65" t="e">
        <f t="shared" si="120"/>
        <v>#N/A</v>
      </c>
    </row>
    <row r="787" spans="1:31" ht="15" customHeight="1">
      <c r="A787">
        <f>'Final Building Profile'!A82</f>
        <v>79</v>
      </c>
      <c r="B787">
        <f>'Final Building Profile'!D82</f>
        <v>0</v>
      </c>
      <c r="C787">
        <f>'Final Building Profile'!E82</f>
        <v>0</v>
      </c>
      <c r="D787">
        <f>'Final Building Profile'!F82</f>
        <v>0</v>
      </c>
      <c r="E787" s="265">
        <f>'Final Building Profile'!G82</f>
        <v>0</v>
      </c>
      <c r="F787" s="265">
        <f>'Final Building Profile'!H82</f>
        <v>0</v>
      </c>
      <c r="G787" s="265">
        <f>'Final Building Profile'!I82</f>
        <v>0</v>
      </c>
      <c r="H787" s="197">
        <f t="shared" si="106"/>
        <v>0</v>
      </c>
      <c r="I787" s="197">
        <f t="shared" si="107"/>
        <v>0</v>
      </c>
      <c r="J787" s="137">
        <f t="shared" si="108"/>
        <v>0</v>
      </c>
      <c r="K787" s="66">
        <f>'Final Building Profile'!L82</f>
        <v>0</v>
      </c>
      <c r="L787" s="66">
        <f t="shared" si="121"/>
        <v>0</v>
      </c>
      <c r="M787">
        <f>'Final Building Profile'!M82</f>
        <v>0</v>
      </c>
      <c r="N787" s="66">
        <f t="shared" si="109"/>
        <v>0</v>
      </c>
      <c r="O787" s="66">
        <f t="shared" si="110"/>
        <v>0</v>
      </c>
      <c r="P787" s="66">
        <f t="shared" si="111"/>
        <v>0</v>
      </c>
      <c r="Q787" s="204">
        <f>'Final Building Profile'!K82</f>
        <v>0</v>
      </c>
      <c r="R787" s="66">
        <f t="shared" si="122"/>
        <v>0</v>
      </c>
      <c r="S787" s="65">
        <f>'Final Building Profile'!N82-'Final Building Profile'!O82</f>
        <v>0</v>
      </c>
      <c r="T787" s="65">
        <f t="shared" si="112"/>
        <v>0</v>
      </c>
      <c r="U787" s="204">
        <f>'Final Building Profile'!Q82</f>
        <v>0</v>
      </c>
      <c r="V787" s="65">
        <f>IF('Final Building Profile'!P82&lt;&gt;"", U787, 0) * T787</f>
        <v>0</v>
      </c>
      <c r="W787" s="266">
        <f t="shared" si="113"/>
        <v>0</v>
      </c>
      <c r="X787" s="266">
        <f t="shared" si="123"/>
        <v>0</v>
      </c>
      <c r="Y787" s="266" t="e">
        <f t="shared" si="114"/>
        <v>#DIV/0!</v>
      </c>
      <c r="Z787" s="266" t="e">
        <f t="shared" si="115"/>
        <v>#DIV/0!</v>
      </c>
      <c r="AA787" s="266" t="e">
        <f t="shared" si="116"/>
        <v>#DIV/0!</v>
      </c>
      <c r="AB787" s="65" t="e">
        <f t="shared" si="117"/>
        <v>#N/A</v>
      </c>
      <c r="AC787" s="65" t="e">
        <f t="shared" si="118"/>
        <v>#N/A</v>
      </c>
      <c r="AD787" s="65" t="e">
        <f t="shared" si="119"/>
        <v>#N/A</v>
      </c>
      <c r="AE787" s="65" t="e">
        <f t="shared" si="120"/>
        <v>#N/A</v>
      </c>
    </row>
    <row r="788" spans="1:31" ht="15" customHeight="1">
      <c r="A788">
        <f>'Final Building Profile'!A83</f>
        <v>80</v>
      </c>
      <c r="B788">
        <f>'Final Building Profile'!D83</f>
        <v>0</v>
      </c>
      <c r="C788">
        <f>'Final Building Profile'!E83</f>
        <v>0</v>
      </c>
      <c r="D788">
        <f>'Final Building Profile'!F83</f>
        <v>0</v>
      </c>
      <c r="E788" s="265">
        <f>'Final Building Profile'!G83</f>
        <v>0</v>
      </c>
      <c r="F788" s="265">
        <f>'Final Building Profile'!H83</f>
        <v>0</v>
      </c>
      <c r="G788" s="265">
        <f>'Final Building Profile'!I83</f>
        <v>0</v>
      </c>
      <c r="H788" s="197">
        <f t="shared" si="106"/>
        <v>0</v>
      </c>
      <c r="I788" s="197">
        <f t="shared" si="107"/>
        <v>0</v>
      </c>
      <c r="J788" s="137">
        <f t="shared" si="108"/>
        <v>0</v>
      </c>
      <c r="K788" s="66">
        <f>'Final Building Profile'!L83</f>
        <v>0</v>
      </c>
      <c r="L788" s="66">
        <f t="shared" si="121"/>
        <v>0</v>
      </c>
      <c r="M788">
        <f>'Final Building Profile'!M83</f>
        <v>0</v>
      </c>
      <c r="N788" s="66">
        <f t="shared" si="109"/>
        <v>0</v>
      </c>
      <c r="O788" s="66">
        <f t="shared" si="110"/>
        <v>0</v>
      </c>
      <c r="P788" s="66">
        <f t="shared" si="111"/>
        <v>0</v>
      </c>
      <c r="Q788" s="204">
        <f>'Final Building Profile'!K83</f>
        <v>0</v>
      </c>
      <c r="R788" s="66">
        <f t="shared" si="122"/>
        <v>0</v>
      </c>
      <c r="S788" s="65">
        <f>'Final Building Profile'!N83-'Final Building Profile'!O83</f>
        <v>0</v>
      </c>
      <c r="T788" s="65">
        <f t="shared" si="112"/>
        <v>0</v>
      </c>
      <c r="U788" s="204">
        <f>'Final Building Profile'!Q83</f>
        <v>0</v>
      </c>
      <c r="V788" s="65">
        <f>IF('Final Building Profile'!P83&lt;&gt;"", U788, 0) * T788</f>
        <v>0</v>
      </c>
      <c r="W788" s="266">
        <f t="shared" si="113"/>
        <v>0</v>
      </c>
      <c r="X788" s="266">
        <f t="shared" si="123"/>
        <v>0</v>
      </c>
      <c r="Y788" s="266" t="e">
        <f t="shared" si="114"/>
        <v>#DIV/0!</v>
      </c>
      <c r="Z788" s="266" t="e">
        <f t="shared" si="115"/>
        <v>#DIV/0!</v>
      </c>
      <c r="AA788" s="266" t="e">
        <f t="shared" si="116"/>
        <v>#DIV/0!</v>
      </c>
      <c r="AB788" s="65" t="e">
        <f t="shared" si="117"/>
        <v>#N/A</v>
      </c>
      <c r="AC788" s="65" t="e">
        <f t="shared" si="118"/>
        <v>#N/A</v>
      </c>
      <c r="AD788" s="65" t="e">
        <f t="shared" si="119"/>
        <v>#N/A</v>
      </c>
      <c r="AE788" s="65" t="e">
        <f t="shared" si="120"/>
        <v>#N/A</v>
      </c>
    </row>
    <row r="789" spans="1:31" ht="15" customHeight="1">
      <c r="A789">
        <f>'Final Building Profile'!A84</f>
        <v>81</v>
      </c>
      <c r="B789">
        <f>'Final Building Profile'!D84</f>
        <v>0</v>
      </c>
      <c r="C789">
        <f>'Final Building Profile'!E84</f>
        <v>0</v>
      </c>
      <c r="D789">
        <f>'Final Building Profile'!F84</f>
        <v>0</v>
      </c>
      <c r="E789" s="265">
        <f>'Final Building Profile'!G84</f>
        <v>0</v>
      </c>
      <c r="F789" s="265">
        <f>'Final Building Profile'!H84</f>
        <v>0</v>
      </c>
      <c r="G789" s="265">
        <f>'Final Building Profile'!I84</f>
        <v>0</v>
      </c>
      <c r="H789" s="197">
        <f t="shared" si="106"/>
        <v>0</v>
      </c>
      <c r="I789" s="197">
        <f t="shared" si="107"/>
        <v>0</v>
      </c>
      <c r="J789" s="137">
        <f t="shared" si="108"/>
        <v>0</v>
      </c>
      <c r="K789" s="66">
        <f>'Final Building Profile'!L84</f>
        <v>0</v>
      </c>
      <c r="L789" s="66">
        <f t="shared" si="121"/>
        <v>0</v>
      </c>
      <c r="M789">
        <f>'Final Building Profile'!M84</f>
        <v>0</v>
      </c>
      <c r="N789" s="66">
        <f t="shared" si="109"/>
        <v>0</v>
      </c>
      <c r="O789" s="66">
        <f t="shared" si="110"/>
        <v>0</v>
      </c>
      <c r="P789" s="66">
        <f t="shared" si="111"/>
        <v>0</v>
      </c>
      <c r="Q789" s="204">
        <f>'Final Building Profile'!K84</f>
        <v>0</v>
      </c>
      <c r="R789" s="66">
        <f t="shared" si="122"/>
        <v>0</v>
      </c>
      <c r="S789" s="65">
        <f>'Final Building Profile'!N84-'Final Building Profile'!O84</f>
        <v>0</v>
      </c>
      <c r="T789" s="65">
        <f t="shared" si="112"/>
        <v>0</v>
      </c>
      <c r="U789" s="204">
        <f>'Final Building Profile'!Q84</f>
        <v>0</v>
      </c>
      <c r="V789" s="65">
        <f>IF('Final Building Profile'!P84&lt;&gt;"", U789, 0) * T789</f>
        <v>0</v>
      </c>
      <c r="W789" s="266">
        <f t="shared" si="113"/>
        <v>0</v>
      </c>
      <c r="X789" s="266">
        <f t="shared" si="123"/>
        <v>0</v>
      </c>
      <c r="Y789" s="266" t="e">
        <f t="shared" si="114"/>
        <v>#DIV/0!</v>
      </c>
      <c r="Z789" s="266" t="e">
        <f t="shared" si="115"/>
        <v>#DIV/0!</v>
      </c>
      <c r="AA789" s="266" t="e">
        <f t="shared" si="116"/>
        <v>#DIV/0!</v>
      </c>
      <c r="AB789" s="65" t="e">
        <f t="shared" si="117"/>
        <v>#N/A</v>
      </c>
      <c r="AC789" s="65" t="e">
        <f t="shared" si="118"/>
        <v>#N/A</v>
      </c>
      <c r="AD789" s="65" t="e">
        <f t="shared" si="119"/>
        <v>#N/A</v>
      </c>
      <c r="AE789" s="65" t="e">
        <f t="shared" si="120"/>
        <v>#N/A</v>
      </c>
    </row>
    <row r="790" spans="1:31" ht="15" customHeight="1">
      <c r="A790">
        <f>'Final Building Profile'!A85</f>
        <v>82</v>
      </c>
      <c r="B790">
        <f>'Final Building Profile'!D85</f>
        <v>0</v>
      </c>
      <c r="C790">
        <f>'Final Building Profile'!E85</f>
        <v>0</v>
      </c>
      <c r="D790">
        <f>'Final Building Profile'!F85</f>
        <v>0</v>
      </c>
      <c r="E790" s="265">
        <f>'Final Building Profile'!G85</f>
        <v>0</v>
      </c>
      <c r="F790" s="265">
        <f>'Final Building Profile'!H85</f>
        <v>0</v>
      </c>
      <c r="G790" s="265">
        <f>'Final Building Profile'!I85</f>
        <v>0</v>
      </c>
      <c r="H790" s="197">
        <f t="shared" si="106"/>
        <v>0</v>
      </c>
      <c r="I790" s="197">
        <f t="shared" si="107"/>
        <v>0</v>
      </c>
      <c r="J790" s="137">
        <f t="shared" si="108"/>
        <v>0</v>
      </c>
      <c r="K790" s="66">
        <f>'Final Building Profile'!L85</f>
        <v>0</v>
      </c>
      <c r="L790" s="66">
        <f t="shared" si="121"/>
        <v>0</v>
      </c>
      <c r="M790">
        <f>'Final Building Profile'!M85</f>
        <v>0</v>
      </c>
      <c r="N790" s="66">
        <f t="shared" si="109"/>
        <v>0</v>
      </c>
      <c r="O790" s="66">
        <f t="shared" si="110"/>
        <v>0</v>
      </c>
      <c r="P790" s="66">
        <f t="shared" si="111"/>
        <v>0</v>
      </c>
      <c r="Q790" s="204">
        <f>'Final Building Profile'!K85</f>
        <v>0</v>
      </c>
      <c r="R790" s="66">
        <f t="shared" si="122"/>
        <v>0</v>
      </c>
      <c r="S790" s="65">
        <f>'Final Building Profile'!N85-'Final Building Profile'!O85</f>
        <v>0</v>
      </c>
      <c r="T790" s="65">
        <f t="shared" si="112"/>
        <v>0</v>
      </c>
      <c r="U790" s="204">
        <f>'Final Building Profile'!Q85</f>
        <v>0</v>
      </c>
      <c r="V790" s="65">
        <f>IF('Final Building Profile'!P85&lt;&gt;"", U790, 0) * T790</f>
        <v>0</v>
      </c>
      <c r="W790" s="266">
        <f t="shared" si="113"/>
        <v>0</v>
      </c>
      <c r="X790" s="266">
        <f t="shared" si="123"/>
        <v>0</v>
      </c>
      <c r="Y790" s="266" t="e">
        <f t="shared" si="114"/>
        <v>#DIV/0!</v>
      </c>
      <c r="Z790" s="266" t="e">
        <f t="shared" si="115"/>
        <v>#DIV/0!</v>
      </c>
      <c r="AA790" s="266" t="e">
        <f t="shared" si="116"/>
        <v>#DIV/0!</v>
      </c>
      <c r="AB790" s="65" t="e">
        <f t="shared" si="117"/>
        <v>#N/A</v>
      </c>
      <c r="AC790" s="65" t="e">
        <f t="shared" si="118"/>
        <v>#N/A</v>
      </c>
      <c r="AD790" s="65" t="e">
        <f t="shared" si="119"/>
        <v>#N/A</v>
      </c>
      <c r="AE790" s="65" t="e">
        <f t="shared" si="120"/>
        <v>#N/A</v>
      </c>
    </row>
    <row r="791" spans="1:31" ht="15" customHeight="1">
      <c r="A791">
        <f>'Final Building Profile'!A86</f>
        <v>83</v>
      </c>
      <c r="B791">
        <f>'Final Building Profile'!D86</f>
        <v>0</v>
      </c>
      <c r="C791">
        <f>'Final Building Profile'!E86</f>
        <v>0</v>
      </c>
      <c r="D791">
        <f>'Final Building Profile'!F86</f>
        <v>0</v>
      </c>
      <c r="E791" s="265">
        <f>'Final Building Profile'!G86</f>
        <v>0</v>
      </c>
      <c r="F791" s="265">
        <f>'Final Building Profile'!H86</f>
        <v>0</v>
      </c>
      <c r="G791" s="265">
        <f>'Final Building Profile'!I86</f>
        <v>0</v>
      </c>
      <c r="H791" s="197">
        <f t="shared" si="106"/>
        <v>0</v>
      </c>
      <c r="I791" s="197">
        <f t="shared" si="107"/>
        <v>0</v>
      </c>
      <c r="J791" s="137">
        <f t="shared" si="108"/>
        <v>0</v>
      </c>
      <c r="K791" s="66">
        <f>'Final Building Profile'!L86</f>
        <v>0</v>
      </c>
      <c r="L791" s="66">
        <f t="shared" si="121"/>
        <v>0</v>
      </c>
      <c r="M791">
        <f>'Final Building Profile'!M86</f>
        <v>0</v>
      </c>
      <c r="N791" s="66">
        <f t="shared" si="109"/>
        <v>0</v>
      </c>
      <c r="O791" s="66">
        <f t="shared" si="110"/>
        <v>0</v>
      </c>
      <c r="P791" s="66">
        <f t="shared" si="111"/>
        <v>0</v>
      </c>
      <c r="Q791" s="204">
        <f>'Final Building Profile'!K86</f>
        <v>0</v>
      </c>
      <c r="R791" s="66">
        <f t="shared" si="122"/>
        <v>0</v>
      </c>
      <c r="S791" s="65">
        <f>'Final Building Profile'!N86-'Final Building Profile'!O86</f>
        <v>0</v>
      </c>
      <c r="T791" s="65">
        <f t="shared" si="112"/>
        <v>0</v>
      </c>
      <c r="U791" s="204">
        <f>'Final Building Profile'!Q86</f>
        <v>0</v>
      </c>
      <c r="V791" s="65">
        <f>IF('Final Building Profile'!P86&lt;&gt;"", U791, 0) * T791</f>
        <v>0</v>
      </c>
      <c r="W791" s="266">
        <f t="shared" si="113"/>
        <v>0</v>
      </c>
      <c r="X791" s="266">
        <f t="shared" si="123"/>
        <v>0</v>
      </c>
      <c r="Y791" s="266" t="e">
        <f t="shared" si="114"/>
        <v>#DIV/0!</v>
      </c>
      <c r="Z791" s="266" t="e">
        <f t="shared" si="115"/>
        <v>#DIV/0!</v>
      </c>
      <c r="AA791" s="266" t="e">
        <f t="shared" si="116"/>
        <v>#DIV/0!</v>
      </c>
      <c r="AB791" s="65" t="e">
        <f t="shared" si="117"/>
        <v>#N/A</v>
      </c>
      <c r="AC791" s="65" t="e">
        <f t="shared" si="118"/>
        <v>#N/A</v>
      </c>
      <c r="AD791" s="65" t="e">
        <f t="shared" si="119"/>
        <v>#N/A</v>
      </c>
      <c r="AE791" s="65" t="e">
        <f t="shared" si="120"/>
        <v>#N/A</v>
      </c>
    </row>
    <row r="792" spans="1:31" ht="15" customHeight="1">
      <c r="A792">
        <f>'Final Building Profile'!A87</f>
        <v>84</v>
      </c>
      <c r="B792">
        <f>'Final Building Profile'!D87</f>
        <v>0</v>
      </c>
      <c r="C792">
        <f>'Final Building Profile'!E87</f>
        <v>0</v>
      </c>
      <c r="D792">
        <f>'Final Building Profile'!F87</f>
        <v>0</v>
      </c>
      <c r="E792" s="265">
        <f>'Final Building Profile'!G87</f>
        <v>0</v>
      </c>
      <c r="F792" s="265">
        <f>'Final Building Profile'!H87</f>
        <v>0</v>
      </c>
      <c r="G792" s="265">
        <f>'Final Building Profile'!I87</f>
        <v>0</v>
      </c>
      <c r="H792" s="197">
        <f t="shared" si="106"/>
        <v>0</v>
      </c>
      <c r="I792" s="197">
        <f t="shared" si="107"/>
        <v>0</v>
      </c>
      <c r="J792" s="137">
        <f t="shared" si="108"/>
        <v>0</v>
      </c>
      <c r="K792" s="66">
        <f>'Final Building Profile'!L87</f>
        <v>0</v>
      </c>
      <c r="L792" s="66">
        <f t="shared" si="121"/>
        <v>0</v>
      </c>
      <c r="M792">
        <f>'Final Building Profile'!M87</f>
        <v>0</v>
      </c>
      <c r="N792" s="66">
        <f t="shared" si="109"/>
        <v>0</v>
      </c>
      <c r="O792" s="66">
        <f t="shared" si="110"/>
        <v>0</v>
      </c>
      <c r="P792" s="66">
        <f t="shared" si="111"/>
        <v>0</v>
      </c>
      <c r="Q792" s="204">
        <f>'Final Building Profile'!K87</f>
        <v>0</v>
      </c>
      <c r="R792" s="66">
        <f t="shared" si="122"/>
        <v>0</v>
      </c>
      <c r="S792" s="65">
        <f>'Final Building Profile'!N87-'Final Building Profile'!O87</f>
        <v>0</v>
      </c>
      <c r="T792" s="65">
        <f t="shared" si="112"/>
        <v>0</v>
      </c>
      <c r="U792" s="204">
        <f>'Final Building Profile'!Q87</f>
        <v>0</v>
      </c>
      <c r="V792" s="65">
        <f>IF('Final Building Profile'!P87&lt;&gt;"", U792, 0) * T792</f>
        <v>0</v>
      </c>
      <c r="W792" s="266">
        <f t="shared" si="113"/>
        <v>0</v>
      </c>
      <c r="X792" s="266">
        <f t="shared" si="123"/>
        <v>0</v>
      </c>
      <c r="Y792" s="266" t="e">
        <f t="shared" si="114"/>
        <v>#DIV/0!</v>
      </c>
      <c r="Z792" s="266" t="e">
        <f t="shared" si="115"/>
        <v>#DIV/0!</v>
      </c>
      <c r="AA792" s="266" t="e">
        <f t="shared" si="116"/>
        <v>#DIV/0!</v>
      </c>
      <c r="AB792" s="65" t="e">
        <f t="shared" si="117"/>
        <v>#N/A</v>
      </c>
      <c r="AC792" s="65" t="e">
        <f t="shared" si="118"/>
        <v>#N/A</v>
      </c>
      <c r="AD792" s="65" t="e">
        <f t="shared" si="119"/>
        <v>#N/A</v>
      </c>
      <c r="AE792" s="65" t="e">
        <f t="shared" si="120"/>
        <v>#N/A</v>
      </c>
    </row>
    <row r="793" spans="1:31" ht="15" customHeight="1">
      <c r="A793">
        <f>'Final Building Profile'!A88</f>
        <v>85</v>
      </c>
      <c r="B793">
        <f>'Final Building Profile'!D88</f>
        <v>0</v>
      </c>
      <c r="C793">
        <f>'Final Building Profile'!E88</f>
        <v>0</v>
      </c>
      <c r="D793">
        <f>'Final Building Profile'!F88</f>
        <v>0</v>
      </c>
      <c r="E793" s="265">
        <f>'Final Building Profile'!G88</f>
        <v>0</v>
      </c>
      <c r="F793" s="265">
        <f>'Final Building Profile'!H88</f>
        <v>0</v>
      </c>
      <c r="G793" s="265">
        <f>'Final Building Profile'!I88</f>
        <v>0</v>
      </c>
      <c r="H793" s="197">
        <f t="shared" si="106"/>
        <v>0</v>
      </c>
      <c r="I793" s="197">
        <f t="shared" si="107"/>
        <v>0</v>
      </c>
      <c r="J793" s="137">
        <f t="shared" si="108"/>
        <v>0</v>
      </c>
      <c r="K793" s="66">
        <f>'Final Building Profile'!L88</f>
        <v>0</v>
      </c>
      <c r="L793" s="66">
        <f t="shared" si="121"/>
        <v>0</v>
      </c>
      <c r="M793">
        <f>'Final Building Profile'!M88</f>
        <v>0</v>
      </c>
      <c r="N793" s="66">
        <f t="shared" si="109"/>
        <v>0</v>
      </c>
      <c r="O793" s="66">
        <f t="shared" si="110"/>
        <v>0</v>
      </c>
      <c r="P793" s="66">
        <f t="shared" si="111"/>
        <v>0</v>
      </c>
      <c r="Q793" s="204">
        <f>'Final Building Profile'!K88</f>
        <v>0</v>
      </c>
      <c r="R793" s="66">
        <f t="shared" si="122"/>
        <v>0</v>
      </c>
      <c r="S793" s="65">
        <f>'Final Building Profile'!N88-'Final Building Profile'!O88</f>
        <v>0</v>
      </c>
      <c r="T793" s="65">
        <f t="shared" si="112"/>
        <v>0</v>
      </c>
      <c r="U793" s="204">
        <f>'Final Building Profile'!Q88</f>
        <v>0</v>
      </c>
      <c r="V793" s="65">
        <f>IF('Final Building Profile'!P88&lt;&gt;"", U793, 0) * T793</f>
        <v>0</v>
      </c>
      <c r="W793" s="266">
        <f t="shared" si="113"/>
        <v>0</v>
      </c>
      <c r="X793" s="266">
        <f t="shared" si="123"/>
        <v>0</v>
      </c>
      <c r="Y793" s="266" t="e">
        <f t="shared" si="114"/>
        <v>#DIV/0!</v>
      </c>
      <c r="Z793" s="266" t="e">
        <f t="shared" si="115"/>
        <v>#DIV/0!</v>
      </c>
      <c r="AA793" s="266" t="e">
        <f t="shared" si="116"/>
        <v>#DIV/0!</v>
      </c>
      <c r="AB793" s="65" t="e">
        <f t="shared" si="117"/>
        <v>#N/A</v>
      </c>
      <c r="AC793" s="65" t="e">
        <f t="shared" si="118"/>
        <v>#N/A</v>
      </c>
      <c r="AD793" s="65" t="e">
        <f t="shared" si="119"/>
        <v>#N/A</v>
      </c>
      <c r="AE793" s="65" t="e">
        <f t="shared" si="120"/>
        <v>#N/A</v>
      </c>
    </row>
    <row r="794" spans="1:31" ht="15" customHeight="1">
      <c r="A794">
        <f>'Final Building Profile'!A89</f>
        <v>86</v>
      </c>
      <c r="B794">
        <f>'Final Building Profile'!D89</f>
        <v>0</v>
      </c>
      <c r="C794">
        <f>'Final Building Profile'!E89</f>
        <v>0</v>
      </c>
      <c r="D794">
        <f>'Final Building Profile'!F89</f>
        <v>0</v>
      </c>
      <c r="E794" s="265">
        <f>'Final Building Profile'!G89</f>
        <v>0</v>
      </c>
      <c r="F794" s="265">
        <f>'Final Building Profile'!H89</f>
        <v>0</v>
      </c>
      <c r="G794" s="265">
        <f>'Final Building Profile'!I89</f>
        <v>0</v>
      </c>
      <c r="H794" s="197">
        <f t="shared" si="106"/>
        <v>0</v>
      </c>
      <c r="I794" s="197">
        <f t="shared" si="107"/>
        <v>0</v>
      </c>
      <c r="J794" s="137">
        <f t="shared" si="108"/>
        <v>0</v>
      </c>
      <c r="K794" s="66">
        <f>'Final Building Profile'!L89</f>
        <v>0</v>
      </c>
      <c r="L794" s="66">
        <f t="shared" si="121"/>
        <v>0</v>
      </c>
      <c r="M794">
        <f>'Final Building Profile'!M89</f>
        <v>0</v>
      </c>
      <c r="N794" s="66">
        <f t="shared" si="109"/>
        <v>0</v>
      </c>
      <c r="O794" s="66">
        <f t="shared" si="110"/>
        <v>0</v>
      </c>
      <c r="P794" s="66">
        <f t="shared" si="111"/>
        <v>0</v>
      </c>
      <c r="Q794" s="204">
        <f>'Final Building Profile'!K89</f>
        <v>0</v>
      </c>
      <c r="R794" s="66">
        <f t="shared" si="122"/>
        <v>0</v>
      </c>
      <c r="S794" s="65">
        <f>'Final Building Profile'!N89-'Final Building Profile'!O89</f>
        <v>0</v>
      </c>
      <c r="T794" s="65">
        <f t="shared" si="112"/>
        <v>0</v>
      </c>
      <c r="U794" s="204">
        <f>'Final Building Profile'!Q89</f>
        <v>0</v>
      </c>
      <c r="V794" s="65">
        <f>IF('Final Building Profile'!P89&lt;&gt;"", U794, 0) * T794</f>
        <v>0</v>
      </c>
      <c r="W794" s="266">
        <f t="shared" si="113"/>
        <v>0</v>
      </c>
      <c r="X794" s="266">
        <f t="shared" si="123"/>
        <v>0</v>
      </c>
      <c r="Y794" s="266" t="e">
        <f t="shared" si="114"/>
        <v>#DIV/0!</v>
      </c>
      <c r="Z794" s="266" t="e">
        <f t="shared" si="115"/>
        <v>#DIV/0!</v>
      </c>
      <c r="AA794" s="266" t="e">
        <f t="shared" si="116"/>
        <v>#DIV/0!</v>
      </c>
      <c r="AB794" s="65" t="e">
        <f t="shared" si="117"/>
        <v>#N/A</v>
      </c>
      <c r="AC794" s="65" t="e">
        <f t="shared" si="118"/>
        <v>#N/A</v>
      </c>
      <c r="AD794" s="65" t="e">
        <f t="shared" si="119"/>
        <v>#N/A</v>
      </c>
      <c r="AE794" s="65" t="e">
        <f t="shared" si="120"/>
        <v>#N/A</v>
      </c>
    </row>
    <row r="795" spans="1:31" ht="15" customHeight="1">
      <c r="A795">
        <f>'Final Building Profile'!A90</f>
        <v>87</v>
      </c>
      <c r="B795">
        <f>'Final Building Profile'!D90</f>
        <v>0</v>
      </c>
      <c r="C795">
        <f>'Final Building Profile'!E90</f>
        <v>0</v>
      </c>
      <c r="D795">
        <f>'Final Building Profile'!F90</f>
        <v>0</v>
      </c>
      <c r="E795" s="265">
        <f>'Final Building Profile'!G90</f>
        <v>0</v>
      </c>
      <c r="F795" s="265">
        <f>'Final Building Profile'!H90</f>
        <v>0</v>
      </c>
      <c r="G795" s="265">
        <f>'Final Building Profile'!I90</f>
        <v>0</v>
      </c>
      <c r="H795" s="197">
        <f t="shared" si="106"/>
        <v>0</v>
      </c>
      <c r="I795" s="197">
        <f t="shared" si="107"/>
        <v>0</v>
      </c>
      <c r="J795" s="137">
        <f t="shared" si="108"/>
        <v>0</v>
      </c>
      <c r="K795" s="66">
        <f>'Final Building Profile'!L90</f>
        <v>0</v>
      </c>
      <c r="L795" s="66">
        <f t="shared" si="121"/>
        <v>0</v>
      </c>
      <c r="M795">
        <f>'Final Building Profile'!M90</f>
        <v>0</v>
      </c>
      <c r="N795" s="66">
        <f t="shared" si="109"/>
        <v>0</v>
      </c>
      <c r="O795" s="66">
        <f t="shared" si="110"/>
        <v>0</v>
      </c>
      <c r="P795" s="66">
        <f t="shared" si="111"/>
        <v>0</v>
      </c>
      <c r="Q795" s="204">
        <f>'Final Building Profile'!K90</f>
        <v>0</v>
      </c>
      <c r="R795" s="66">
        <f t="shared" si="122"/>
        <v>0</v>
      </c>
      <c r="S795" s="65">
        <f>'Final Building Profile'!N90-'Final Building Profile'!O90</f>
        <v>0</v>
      </c>
      <c r="T795" s="65">
        <f t="shared" si="112"/>
        <v>0</v>
      </c>
      <c r="U795" s="204">
        <f>'Final Building Profile'!Q90</f>
        <v>0</v>
      </c>
      <c r="V795" s="65">
        <f>IF('Final Building Profile'!P90&lt;&gt;"", U795, 0) * T795</f>
        <v>0</v>
      </c>
      <c r="W795" s="266">
        <f t="shared" si="113"/>
        <v>0</v>
      </c>
      <c r="X795" s="266">
        <f t="shared" si="123"/>
        <v>0</v>
      </c>
      <c r="Y795" s="266" t="e">
        <f t="shared" si="114"/>
        <v>#DIV/0!</v>
      </c>
      <c r="Z795" s="266" t="e">
        <f t="shared" si="115"/>
        <v>#DIV/0!</v>
      </c>
      <c r="AA795" s="266" t="e">
        <f t="shared" si="116"/>
        <v>#DIV/0!</v>
      </c>
      <c r="AB795" s="65" t="e">
        <f t="shared" si="117"/>
        <v>#N/A</v>
      </c>
      <c r="AC795" s="65" t="e">
        <f t="shared" si="118"/>
        <v>#N/A</v>
      </c>
      <c r="AD795" s="65" t="e">
        <f t="shared" si="119"/>
        <v>#N/A</v>
      </c>
      <c r="AE795" s="65" t="e">
        <f t="shared" si="120"/>
        <v>#N/A</v>
      </c>
    </row>
    <row r="796" spans="1:31" ht="15" customHeight="1">
      <c r="A796">
        <f>'Final Building Profile'!A91</f>
        <v>88</v>
      </c>
      <c r="B796">
        <f>'Final Building Profile'!D91</f>
        <v>0</v>
      </c>
      <c r="C796">
        <f>'Final Building Profile'!E91</f>
        <v>0</v>
      </c>
      <c r="D796">
        <f>'Final Building Profile'!F91</f>
        <v>0</v>
      </c>
      <c r="E796" s="265">
        <f>'Final Building Profile'!G91</f>
        <v>0</v>
      </c>
      <c r="F796" s="265">
        <f>'Final Building Profile'!H91</f>
        <v>0</v>
      </c>
      <c r="G796" s="265">
        <f>'Final Building Profile'!I91</f>
        <v>0</v>
      </c>
      <c r="H796" s="197">
        <f t="shared" si="106"/>
        <v>0</v>
      </c>
      <c r="I796" s="197">
        <f t="shared" si="107"/>
        <v>0</v>
      </c>
      <c r="J796" s="137">
        <f t="shared" si="108"/>
        <v>0</v>
      </c>
      <c r="K796" s="66">
        <f>'Final Building Profile'!L91</f>
        <v>0</v>
      </c>
      <c r="L796" s="66">
        <f t="shared" si="121"/>
        <v>0</v>
      </c>
      <c r="M796">
        <f>'Final Building Profile'!M91</f>
        <v>0</v>
      </c>
      <c r="N796" s="66">
        <f t="shared" si="109"/>
        <v>0</v>
      </c>
      <c r="O796" s="66">
        <f t="shared" si="110"/>
        <v>0</v>
      </c>
      <c r="P796" s="66">
        <f t="shared" si="111"/>
        <v>0</v>
      </c>
      <c r="Q796" s="204">
        <f>'Final Building Profile'!K91</f>
        <v>0</v>
      </c>
      <c r="R796" s="66">
        <f t="shared" si="122"/>
        <v>0</v>
      </c>
      <c r="S796" s="65">
        <f>'Final Building Profile'!N91-'Final Building Profile'!O91</f>
        <v>0</v>
      </c>
      <c r="T796" s="65">
        <f t="shared" si="112"/>
        <v>0</v>
      </c>
      <c r="U796" s="204">
        <f>'Final Building Profile'!Q91</f>
        <v>0</v>
      </c>
      <c r="V796" s="65">
        <f>IF('Final Building Profile'!P91&lt;&gt;"", U796, 0) * T796</f>
        <v>0</v>
      </c>
      <c r="W796" s="266">
        <f t="shared" si="113"/>
        <v>0</v>
      </c>
      <c r="X796" s="266">
        <f t="shared" si="123"/>
        <v>0</v>
      </c>
      <c r="Y796" s="266" t="e">
        <f t="shared" si="114"/>
        <v>#DIV/0!</v>
      </c>
      <c r="Z796" s="266" t="e">
        <f t="shared" si="115"/>
        <v>#DIV/0!</v>
      </c>
      <c r="AA796" s="266" t="e">
        <f t="shared" si="116"/>
        <v>#DIV/0!</v>
      </c>
      <c r="AB796" s="65" t="e">
        <f t="shared" si="117"/>
        <v>#N/A</v>
      </c>
      <c r="AC796" s="65" t="e">
        <f t="shared" si="118"/>
        <v>#N/A</v>
      </c>
      <c r="AD796" s="65" t="e">
        <f t="shared" si="119"/>
        <v>#N/A</v>
      </c>
      <c r="AE796" s="65" t="e">
        <f t="shared" si="120"/>
        <v>#N/A</v>
      </c>
    </row>
    <row r="797" spans="1:31" ht="15" customHeight="1">
      <c r="A797">
        <f>'Final Building Profile'!A92</f>
        <v>89</v>
      </c>
      <c r="B797">
        <f>'Final Building Profile'!D92</f>
        <v>0</v>
      </c>
      <c r="C797">
        <f>'Final Building Profile'!E92</f>
        <v>0</v>
      </c>
      <c r="D797">
        <f>'Final Building Profile'!F92</f>
        <v>0</v>
      </c>
      <c r="E797" s="265">
        <f>'Final Building Profile'!G92</f>
        <v>0</v>
      </c>
      <c r="F797" s="265">
        <f>'Final Building Profile'!H92</f>
        <v>0</v>
      </c>
      <c r="G797" s="265">
        <f>'Final Building Profile'!I92</f>
        <v>0</v>
      </c>
      <c r="H797" s="197">
        <f t="shared" si="106"/>
        <v>0</v>
      </c>
      <c r="I797" s="197">
        <f t="shared" si="107"/>
        <v>0</v>
      </c>
      <c r="J797" s="137">
        <f t="shared" si="108"/>
        <v>0</v>
      </c>
      <c r="K797" s="66">
        <f>'Final Building Profile'!L92</f>
        <v>0</v>
      </c>
      <c r="L797" s="66">
        <f t="shared" si="121"/>
        <v>0</v>
      </c>
      <c r="M797">
        <f>'Final Building Profile'!M92</f>
        <v>0</v>
      </c>
      <c r="N797" s="66">
        <f t="shared" si="109"/>
        <v>0</v>
      </c>
      <c r="O797" s="66">
        <f t="shared" si="110"/>
        <v>0</v>
      </c>
      <c r="P797" s="66">
        <f t="shared" si="111"/>
        <v>0</v>
      </c>
      <c r="Q797" s="204">
        <f>'Final Building Profile'!K92</f>
        <v>0</v>
      </c>
      <c r="R797" s="66">
        <f t="shared" si="122"/>
        <v>0</v>
      </c>
      <c r="S797" s="65">
        <f>'Final Building Profile'!N92-'Final Building Profile'!O92</f>
        <v>0</v>
      </c>
      <c r="T797" s="65">
        <f t="shared" si="112"/>
        <v>0</v>
      </c>
      <c r="U797" s="204">
        <f>'Final Building Profile'!Q92</f>
        <v>0</v>
      </c>
      <c r="V797" s="65">
        <f>IF('Final Building Profile'!P92&lt;&gt;"", U797, 0) * T797</f>
        <v>0</v>
      </c>
      <c r="W797" s="266">
        <f t="shared" si="113"/>
        <v>0</v>
      </c>
      <c r="X797" s="266">
        <f t="shared" si="123"/>
        <v>0</v>
      </c>
      <c r="Y797" s="266" t="e">
        <f t="shared" si="114"/>
        <v>#DIV/0!</v>
      </c>
      <c r="Z797" s="266" t="e">
        <f t="shared" si="115"/>
        <v>#DIV/0!</v>
      </c>
      <c r="AA797" s="266" t="e">
        <f t="shared" si="116"/>
        <v>#DIV/0!</v>
      </c>
      <c r="AB797" s="65" t="e">
        <f t="shared" si="117"/>
        <v>#N/A</v>
      </c>
      <c r="AC797" s="65" t="e">
        <f t="shared" si="118"/>
        <v>#N/A</v>
      </c>
      <c r="AD797" s="65" t="e">
        <f t="shared" si="119"/>
        <v>#N/A</v>
      </c>
      <c r="AE797" s="65" t="e">
        <f t="shared" si="120"/>
        <v>#N/A</v>
      </c>
    </row>
    <row r="798" spans="1:31" ht="15" customHeight="1">
      <c r="A798">
        <f>'Final Building Profile'!A93</f>
        <v>90</v>
      </c>
      <c r="B798">
        <f>'Final Building Profile'!D93</f>
        <v>0</v>
      </c>
      <c r="C798">
        <f>'Final Building Profile'!E93</f>
        <v>0</v>
      </c>
      <c r="D798">
        <f>'Final Building Profile'!F93</f>
        <v>0</v>
      </c>
      <c r="E798" s="265">
        <f>'Final Building Profile'!G93</f>
        <v>0</v>
      </c>
      <c r="F798" s="265">
        <f>'Final Building Profile'!H93</f>
        <v>0</v>
      </c>
      <c r="G798" s="265">
        <f>'Final Building Profile'!I93</f>
        <v>0</v>
      </c>
      <c r="H798" s="197">
        <f t="shared" si="106"/>
        <v>0</v>
      </c>
      <c r="I798" s="197">
        <f t="shared" si="107"/>
        <v>0</v>
      </c>
      <c r="J798" s="137">
        <f t="shared" si="108"/>
        <v>0</v>
      </c>
      <c r="K798" s="66">
        <f>'Final Building Profile'!L93</f>
        <v>0</v>
      </c>
      <c r="L798" s="66">
        <f t="shared" si="121"/>
        <v>0</v>
      </c>
      <c r="M798">
        <f>'Final Building Profile'!M93</f>
        <v>0</v>
      </c>
      <c r="N798" s="66">
        <f t="shared" si="109"/>
        <v>0</v>
      </c>
      <c r="O798" s="66">
        <f t="shared" si="110"/>
        <v>0</v>
      </c>
      <c r="P798" s="66">
        <f t="shared" si="111"/>
        <v>0</v>
      </c>
      <c r="Q798" s="204">
        <f>'Final Building Profile'!K93</f>
        <v>0</v>
      </c>
      <c r="R798" s="66">
        <f t="shared" si="122"/>
        <v>0</v>
      </c>
      <c r="S798" s="65">
        <f>'Final Building Profile'!N93-'Final Building Profile'!O93</f>
        <v>0</v>
      </c>
      <c r="T798" s="65">
        <f t="shared" si="112"/>
        <v>0</v>
      </c>
      <c r="U798" s="204">
        <f>'Final Building Profile'!Q93</f>
        <v>0</v>
      </c>
      <c r="V798" s="65">
        <f>IF('Final Building Profile'!P93&lt;&gt;"", U798, 0) * T798</f>
        <v>0</v>
      </c>
      <c r="W798" s="266">
        <f t="shared" si="113"/>
        <v>0</v>
      </c>
      <c r="X798" s="266">
        <f t="shared" si="123"/>
        <v>0</v>
      </c>
      <c r="Y798" s="266" t="e">
        <f t="shared" si="114"/>
        <v>#DIV/0!</v>
      </c>
      <c r="Z798" s="266" t="e">
        <f t="shared" si="115"/>
        <v>#DIV/0!</v>
      </c>
      <c r="AA798" s="266" t="e">
        <f t="shared" si="116"/>
        <v>#DIV/0!</v>
      </c>
      <c r="AB798" s="65" t="e">
        <f t="shared" si="117"/>
        <v>#N/A</v>
      </c>
      <c r="AC798" s="65" t="e">
        <f t="shared" si="118"/>
        <v>#N/A</v>
      </c>
      <c r="AD798" s="65" t="e">
        <f t="shared" si="119"/>
        <v>#N/A</v>
      </c>
      <c r="AE798" s="65" t="e">
        <f t="shared" si="120"/>
        <v>#N/A</v>
      </c>
    </row>
    <row r="799" spans="1:31" ht="15" customHeight="1">
      <c r="A799">
        <f>'Final Building Profile'!A94</f>
        <v>91</v>
      </c>
      <c r="B799">
        <f>'Final Building Profile'!D94</f>
        <v>0</v>
      </c>
      <c r="C799">
        <f>'Final Building Profile'!E94</f>
        <v>0</v>
      </c>
      <c r="D799">
        <f>'Final Building Profile'!F94</f>
        <v>0</v>
      </c>
      <c r="E799" s="265">
        <f>'Final Building Profile'!G94</f>
        <v>0</v>
      </c>
      <c r="F799" s="265">
        <f>'Final Building Profile'!H94</f>
        <v>0</v>
      </c>
      <c r="G799" s="265">
        <f>'Final Building Profile'!I94</f>
        <v>0</v>
      </c>
      <c r="H799" s="197">
        <f t="shared" si="106"/>
        <v>0</v>
      </c>
      <c r="I799" s="197">
        <f t="shared" si="107"/>
        <v>0</v>
      </c>
      <c r="J799" s="137">
        <f t="shared" si="108"/>
        <v>0</v>
      </c>
      <c r="K799" s="66">
        <f>'Final Building Profile'!L94</f>
        <v>0</v>
      </c>
      <c r="L799" s="66">
        <f t="shared" si="121"/>
        <v>0</v>
      </c>
      <c r="M799">
        <f>'Final Building Profile'!M94</f>
        <v>0</v>
      </c>
      <c r="N799" s="66">
        <f t="shared" si="109"/>
        <v>0</v>
      </c>
      <c r="O799" s="66">
        <f t="shared" si="110"/>
        <v>0</v>
      </c>
      <c r="P799" s="66">
        <f t="shared" si="111"/>
        <v>0</v>
      </c>
      <c r="Q799" s="204">
        <f>'Final Building Profile'!K94</f>
        <v>0</v>
      </c>
      <c r="R799" s="66">
        <f t="shared" si="122"/>
        <v>0</v>
      </c>
      <c r="S799" s="65">
        <f>'Final Building Profile'!N94-'Final Building Profile'!O94</f>
        <v>0</v>
      </c>
      <c r="T799" s="65">
        <f t="shared" si="112"/>
        <v>0</v>
      </c>
      <c r="U799" s="204">
        <f>'Final Building Profile'!Q94</f>
        <v>0</v>
      </c>
      <c r="V799" s="65">
        <f>IF('Final Building Profile'!P94&lt;&gt;"", U799, 0) * T799</f>
        <v>0</v>
      </c>
      <c r="W799" s="266">
        <f t="shared" si="113"/>
        <v>0</v>
      </c>
      <c r="X799" s="266">
        <f t="shared" si="123"/>
        <v>0</v>
      </c>
      <c r="Y799" s="266" t="e">
        <f t="shared" si="114"/>
        <v>#DIV/0!</v>
      </c>
      <c r="Z799" s="266" t="e">
        <f t="shared" si="115"/>
        <v>#DIV/0!</v>
      </c>
      <c r="AA799" s="266" t="e">
        <f t="shared" si="116"/>
        <v>#DIV/0!</v>
      </c>
      <c r="AB799" s="65" t="e">
        <f t="shared" si="117"/>
        <v>#N/A</v>
      </c>
      <c r="AC799" s="65" t="e">
        <f t="shared" si="118"/>
        <v>#N/A</v>
      </c>
      <c r="AD799" s="65" t="e">
        <f t="shared" si="119"/>
        <v>#N/A</v>
      </c>
      <c r="AE799" s="65" t="e">
        <f t="shared" si="120"/>
        <v>#N/A</v>
      </c>
    </row>
    <row r="800" spans="1:31" ht="15" customHeight="1">
      <c r="A800">
        <f>'Final Building Profile'!A95</f>
        <v>92</v>
      </c>
      <c r="B800">
        <f>'Final Building Profile'!D95</f>
        <v>0</v>
      </c>
      <c r="C800">
        <f>'Final Building Profile'!E95</f>
        <v>0</v>
      </c>
      <c r="D800">
        <f>'Final Building Profile'!F95</f>
        <v>0</v>
      </c>
      <c r="E800" s="265">
        <f>'Final Building Profile'!G95</f>
        <v>0</v>
      </c>
      <c r="F800" s="265">
        <f>'Final Building Profile'!H95</f>
        <v>0</v>
      </c>
      <c r="G800" s="265">
        <f>'Final Building Profile'!I95</f>
        <v>0</v>
      </c>
      <c r="H800" s="197">
        <f t="shared" si="106"/>
        <v>0</v>
      </c>
      <c r="I800" s="197">
        <f t="shared" si="107"/>
        <v>0</v>
      </c>
      <c r="J800" s="137">
        <f t="shared" si="108"/>
        <v>0</v>
      </c>
      <c r="K800" s="66">
        <f>'Final Building Profile'!L95</f>
        <v>0</v>
      </c>
      <c r="L800" s="66">
        <f t="shared" si="121"/>
        <v>0</v>
      </c>
      <c r="M800">
        <f>'Final Building Profile'!M95</f>
        <v>0</v>
      </c>
      <c r="N800" s="66">
        <f t="shared" si="109"/>
        <v>0</v>
      </c>
      <c r="O800" s="66">
        <f t="shared" si="110"/>
        <v>0</v>
      </c>
      <c r="P800" s="66">
        <f t="shared" si="111"/>
        <v>0</v>
      </c>
      <c r="Q800" s="204">
        <f>'Final Building Profile'!K95</f>
        <v>0</v>
      </c>
      <c r="R800" s="66">
        <f t="shared" si="122"/>
        <v>0</v>
      </c>
      <c r="S800" s="65">
        <f>'Final Building Profile'!N95-'Final Building Profile'!O95</f>
        <v>0</v>
      </c>
      <c r="T800" s="65">
        <f t="shared" si="112"/>
        <v>0</v>
      </c>
      <c r="U800" s="204">
        <f>'Final Building Profile'!Q95</f>
        <v>0</v>
      </c>
      <c r="V800" s="65">
        <f>IF('Final Building Profile'!P95&lt;&gt;"", U800, 0) * T800</f>
        <v>0</v>
      </c>
      <c r="W800" s="266">
        <f t="shared" si="113"/>
        <v>0</v>
      </c>
      <c r="X800" s="266">
        <f t="shared" si="123"/>
        <v>0</v>
      </c>
      <c r="Y800" s="266" t="e">
        <f t="shared" si="114"/>
        <v>#DIV/0!</v>
      </c>
      <c r="Z800" s="266" t="e">
        <f t="shared" si="115"/>
        <v>#DIV/0!</v>
      </c>
      <c r="AA800" s="266" t="e">
        <f t="shared" si="116"/>
        <v>#DIV/0!</v>
      </c>
      <c r="AB800" s="65" t="e">
        <f t="shared" si="117"/>
        <v>#N/A</v>
      </c>
      <c r="AC800" s="65" t="e">
        <f t="shared" si="118"/>
        <v>#N/A</v>
      </c>
      <c r="AD800" s="65" t="e">
        <f t="shared" si="119"/>
        <v>#N/A</v>
      </c>
      <c r="AE800" s="65" t="e">
        <f t="shared" si="120"/>
        <v>#N/A</v>
      </c>
    </row>
    <row r="801" spans="1:31" ht="15" customHeight="1">
      <c r="A801">
        <f>'Final Building Profile'!A96</f>
        <v>93</v>
      </c>
      <c r="B801">
        <f>'Final Building Profile'!D96</f>
        <v>0</v>
      </c>
      <c r="C801">
        <f>'Final Building Profile'!E96</f>
        <v>0</v>
      </c>
      <c r="D801">
        <f>'Final Building Profile'!F96</f>
        <v>0</v>
      </c>
      <c r="E801" s="265">
        <f>'Final Building Profile'!G96</f>
        <v>0</v>
      </c>
      <c r="F801" s="265">
        <f>'Final Building Profile'!H96</f>
        <v>0</v>
      </c>
      <c r="G801" s="265">
        <f>'Final Building Profile'!I96</f>
        <v>0</v>
      </c>
      <c r="H801" s="197">
        <f t="shared" si="106"/>
        <v>0</v>
      </c>
      <c r="I801" s="197">
        <f t="shared" si="107"/>
        <v>0</v>
      </c>
      <c r="J801" s="137">
        <f t="shared" si="108"/>
        <v>0</v>
      </c>
      <c r="K801" s="66">
        <f>'Final Building Profile'!L96</f>
        <v>0</v>
      </c>
      <c r="L801" s="66">
        <f t="shared" si="121"/>
        <v>0</v>
      </c>
      <c r="M801">
        <f>'Final Building Profile'!M96</f>
        <v>0</v>
      </c>
      <c r="N801" s="66">
        <f t="shared" si="109"/>
        <v>0</v>
      </c>
      <c r="O801" s="66">
        <f t="shared" si="110"/>
        <v>0</v>
      </c>
      <c r="P801" s="66">
        <f t="shared" si="111"/>
        <v>0</v>
      </c>
      <c r="Q801" s="204">
        <f>'Final Building Profile'!K96</f>
        <v>0</v>
      </c>
      <c r="R801" s="66">
        <f t="shared" si="122"/>
        <v>0</v>
      </c>
      <c r="S801" s="65">
        <f>'Final Building Profile'!N96-'Final Building Profile'!O96</f>
        <v>0</v>
      </c>
      <c r="T801" s="65">
        <f t="shared" si="112"/>
        <v>0</v>
      </c>
      <c r="U801" s="204">
        <f>'Final Building Profile'!Q96</f>
        <v>0</v>
      </c>
      <c r="V801" s="65">
        <f>IF('Final Building Profile'!P96&lt;&gt;"", U801, 0) * T801</f>
        <v>0</v>
      </c>
      <c r="W801" s="266">
        <f t="shared" si="113"/>
        <v>0</v>
      </c>
      <c r="X801" s="266">
        <f t="shared" si="123"/>
        <v>0</v>
      </c>
      <c r="Y801" s="266" t="e">
        <f t="shared" si="114"/>
        <v>#DIV/0!</v>
      </c>
      <c r="Z801" s="266" t="e">
        <f t="shared" si="115"/>
        <v>#DIV/0!</v>
      </c>
      <c r="AA801" s="266" t="e">
        <f t="shared" si="116"/>
        <v>#DIV/0!</v>
      </c>
      <c r="AB801" s="65" t="e">
        <f t="shared" si="117"/>
        <v>#N/A</v>
      </c>
      <c r="AC801" s="65" t="e">
        <f t="shared" si="118"/>
        <v>#N/A</v>
      </c>
      <c r="AD801" s="65" t="e">
        <f t="shared" si="119"/>
        <v>#N/A</v>
      </c>
      <c r="AE801" s="65" t="e">
        <f t="shared" si="120"/>
        <v>#N/A</v>
      </c>
    </row>
    <row r="802" spans="1:31" ht="15" customHeight="1">
      <c r="A802">
        <f>'Final Building Profile'!A97</f>
        <v>94</v>
      </c>
      <c r="B802">
        <f>'Final Building Profile'!D97</f>
        <v>0</v>
      </c>
      <c r="C802">
        <f>'Final Building Profile'!E97</f>
        <v>0</v>
      </c>
      <c r="D802">
        <f>'Final Building Profile'!F97</f>
        <v>0</v>
      </c>
      <c r="E802" s="265">
        <f>'Final Building Profile'!G97</f>
        <v>0</v>
      </c>
      <c r="F802" s="265">
        <f>'Final Building Profile'!H97</f>
        <v>0</v>
      </c>
      <c r="G802" s="265">
        <f>'Final Building Profile'!I97</f>
        <v>0</v>
      </c>
      <c r="H802" s="197">
        <f t="shared" si="106"/>
        <v>0</v>
      </c>
      <c r="I802" s="197">
        <f t="shared" si="107"/>
        <v>0</v>
      </c>
      <c r="J802" s="137">
        <f t="shared" si="108"/>
        <v>0</v>
      </c>
      <c r="K802" s="66">
        <f>'Final Building Profile'!L97</f>
        <v>0</v>
      </c>
      <c r="L802" s="66">
        <f t="shared" si="121"/>
        <v>0</v>
      </c>
      <c r="M802">
        <f>'Final Building Profile'!M97</f>
        <v>0</v>
      </c>
      <c r="N802" s="66">
        <f t="shared" si="109"/>
        <v>0</v>
      </c>
      <c r="O802" s="66">
        <f t="shared" si="110"/>
        <v>0</v>
      </c>
      <c r="P802" s="66">
        <f t="shared" si="111"/>
        <v>0</v>
      </c>
      <c r="Q802" s="204">
        <f>'Final Building Profile'!K97</f>
        <v>0</v>
      </c>
      <c r="R802" s="66">
        <f t="shared" si="122"/>
        <v>0</v>
      </c>
      <c r="S802" s="65">
        <f>'Final Building Profile'!N97-'Final Building Profile'!O97</f>
        <v>0</v>
      </c>
      <c r="T802" s="65">
        <f t="shared" si="112"/>
        <v>0</v>
      </c>
      <c r="U802" s="204">
        <f>'Final Building Profile'!Q97</f>
        <v>0</v>
      </c>
      <c r="V802" s="65">
        <f>IF('Final Building Profile'!P97&lt;&gt;"", U802, 0) * T802</f>
        <v>0</v>
      </c>
      <c r="W802" s="266">
        <f t="shared" si="113"/>
        <v>0</v>
      </c>
      <c r="X802" s="266">
        <f t="shared" si="123"/>
        <v>0</v>
      </c>
      <c r="Y802" s="266" t="e">
        <f t="shared" si="114"/>
        <v>#DIV/0!</v>
      </c>
      <c r="Z802" s="266" t="e">
        <f t="shared" si="115"/>
        <v>#DIV/0!</v>
      </c>
      <c r="AA802" s="266" t="e">
        <f t="shared" si="116"/>
        <v>#DIV/0!</v>
      </c>
      <c r="AB802" s="65" t="e">
        <f t="shared" si="117"/>
        <v>#N/A</v>
      </c>
      <c r="AC802" s="65" t="e">
        <f t="shared" si="118"/>
        <v>#N/A</v>
      </c>
      <c r="AD802" s="65" t="e">
        <f t="shared" si="119"/>
        <v>#N/A</v>
      </c>
      <c r="AE802" s="65" t="e">
        <f t="shared" si="120"/>
        <v>#N/A</v>
      </c>
    </row>
    <row r="803" spans="1:31" ht="15" customHeight="1">
      <c r="A803">
        <f>'Final Building Profile'!A98</f>
        <v>95</v>
      </c>
      <c r="B803">
        <f>'Final Building Profile'!D98</f>
        <v>0</v>
      </c>
      <c r="C803">
        <f>'Final Building Profile'!E98</f>
        <v>0</v>
      </c>
      <c r="D803">
        <f>'Final Building Profile'!F98</f>
        <v>0</v>
      </c>
      <c r="E803" s="265">
        <f>'Final Building Profile'!G98</f>
        <v>0</v>
      </c>
      <c r="F803" s="265">
        <f>'Final Building Profile'!H98</f>
        <v>0</v>
      </c>
      <c r="G803" s="265">
        <f>'Final Building Profile'!I98</f>
        <v>0</v>
      </c>
      <c r="H803" s="197">
        <f t="shared" si="106"/>
        <v>0</v>
      </c>
      <c r="I803" s="197">
        <f t="shared" si="107"/>
        <v>0</v>
      </c>
      <c r="J803" s="137">
        <f t="shared" si="108"/>
        <v>0</v>
      </c>
      <c r="K803" s="66">
        <f>'Final Building Profile'!L98</f>
        <v>0</v>
      </c>
      <c r="L803" s="66">
        <f t="shared" si="121"/>
        <v>0</v>
      </c>
      <c r="M803">
        <f>'Final Building Profile'!M98</f>
        <v>0</v>
      </c>
      <c r="N803" s="66">
        <f t="shared" si="109"/>
        <v>0</v>
      </c>
      <c r="O803" s="66">
        <f t="shared" si="110"/>
        <v>0</v>
      </c>
      <c r="P803" s="66">
        <f t="shared" si="111"/>
        <v>0</v>
      </c>
      <c r="Q803" s="204">
        <f>'Final Building Profile'!K98</f>
        <v>0</v>
      </c>
      <c r="R803" s="66">
        <f t="shared" si="122"/>
        <v>0</v>
      </c>
      <c r="S803" s="65">
        <f>'Final Building Profile'!N98-'Final Building Profile'!O98</f>
        <v>0</v>
      </c>
      <c r="T803" s="65">
        <f t="shared" si="112"/>
        <v>0</v>
      </c>
      <c r="U803" s="204">
        <f>'Final Building Profile'!Q98</f>
        <v>0</v>
      </c>
      <c r="V803" s="65">
        <f>IF('Final Building Profile'!P98&lt;&gt;"", U803, 0) * T803</f>
        <v>0</v>
      </c>
      <c r="W803" s="266">
        <f t="shared" si="113"/>
        <v>0</v>
      </c>
      <c r="X803" s="266">
        <f t="shared" si="123"/>
        <v>0</v>
      </c>
      <c r="Y803" s="266" t="e">
        <f t="shared" si="114"/>
        <v>#DIV/0!</v>
      </c>
      <c r="Z803" s="266" t="e">
        <f t="shared" si="115"/>
        <v>#DIV/0!</v>
      </c>
      <c r="AA803" s="266" t="e">
        <f t="shared" si="116"/>
        <v>#DIV/0!</v>
      </c>
      <c r="AB803" s="65" t="e">
        <f t="shared" si="117"/>
        <v>#N/A</v>
      </c>
      <c r="AC803" s="65" t="e">
        <f t="shared" si="118"/>
        <v>#N/A</v>
      </c>
      <c r="AD803" s="65" t="e">
        <f t="shared" si="119"/>
        <v>#N/A</v>
      </c>
      <c r="AE803" s="65" t="e">
        <f t="shared" si="120"/>
        <v>#N/A</v>
      </c>
    </row>
    <row r="804" spans="1:31" ht="15" customHeight="1">
      <c r="A804">
        <f>'Final Building Profile'!A99</f>
        <v>96</v>
      </c>
      <c r="B804">
        <f>'Final Building Profile'!D99</f>
        <v>0</v>
      </c>
      <c r="C804">
        <f>'Final Building Profile'!E99</f>
        <v>0</v>
      </c>
      <c r="D804">
        <f>'Final Building Profile'!F99</f>
        <v>0</v>
      </c>
      <c r="E804" s="265">
        <f>'Final Building Profile'!G99</f>
        <v>0</v>
      </c>
      <c r="F804" s="265">
        <f>'Final Building Profile'!H99</f>
        <v>0</v>
      </c>
      <c r="G804" s="265">
        <f>'Final Building Profile'!I99</f>
        <v>0</v>
      </c>
      <c r="H804" s="197">
        <f t="shared" si="106"/>
        <v>0</v>
      </c>
      <c r="I804" s="197">
        <f t="shared" si="107"/>
        <v>0</v>
      </c>
      <c r="J804" s="137">
        <f t="shared" si="108"/>
        <v>0</v>
      </c>
      <c r="K804" s="66">
        <f>'Final Building Profile'!L99</f>
        <v>0</v>
      </c>
      <c r="L804" s="66">
        <f t="shared" si="121"/>
        <v>0</v>
      </c>
      <c r="M804">
        <f>'Final Building Profile'!M99</f>
        <v>0</v>
      </c>
      <c r="N804" s="66">
        <f t="shared" si="109"/>
        <v>0</v>
      </c>
      <c r="O804" s="66">
        <f t="shared" si="110"/>
        <v>0</v>
      </c>
      <c r="P804" s="66">
        <f t="shared" si="111"/>
        <v>0</v>
      </c>
      <c r="Q804" s="204">
        <f>'Final Building Profile'!K99</f>
        <v>0</v>
      </c>
      <c r="R804" s="66">
        <f t="shared" si="122"/>
        <v>0</v>
      </c>
      <c r="S804" s="65">
        <f>'Final Building Profile'!N99-'Final Building Profile'!O99</f>
        <v>0</v>
      </c>
      <c r="T804" s="65">
        <f t="shared" si="112"/>
        <v>0</v>
      </c>
      <c r="U804" s="204">
        <f>'Final Building Profile'!Q99</f>
        <v>0</v>
      </c>
      <c r="V804" s="65">
        <f>IF('Final Building Profile'!P99&lt;&gt;"", U804, 0) * T804</f>
        <v>0</v>
      </c>
      <c r="W804" s="266">
        <f t="shared" si="113"/>
        <v>0</v>
      </c>
      <c r="X804" s="266">
        <f t="shared" si="123"/>
        <v>0</v>
      </c>
      <c r="Y804" s="266" t="e">
        <f t="shared" si="114"/>
        <v>#DIV/0!</v>
      </c>
      <c r="Z804" s="266" t="e">
        <f t="shared" si="115"/>
        <v>#DIV/0!</v>
      </c>
      <c r="AA804" s="266" t="e">
        <f t="shared" si="116"/>
        <v>#DIV/0!</v>
      </c>
      <c r="AB804" s="65" t="e">
        <f t="shared" si="117"/>
        <v>#N/A</v>
      </c>
      <c r="AC804" s="65" t="e">
        <f t="shared" si="118"/>
        <v>#N/A</v>
      </c>
      <c r="AD804" s="65" t="e">
        <f t="shared" si="119"/>
        <v>#N/A</v>
      </c>
      <c r="AE804" s="65" t="e">
        <f t="shared" si="120"/>
        <v>#N/A</v>
      </c>
    </row>
    <row r="805" spans="1:31" ht="15" customHeight="1">
      <c r="A805">
        <f>'Final Building Profile'!A100</f>
        <v>97</v>
      </c>
      <c r="B805">
        <f>'Final Building Profile'!D100</f>
        <v>0</v>
      </c>
      <c r="C805">
        <f>'Final Building Profile'!E100</f>
        <v>0</v>
      </c>
      <c r="D805">
        <f>'Final Building Profile'!F100</f>
        <v>0</v>
      </c>
      <c r="E805" s="265">
        <f>'Final Building Profile'!G100</f>
        <v>0</v>
      </c>
      <c r="F805" s="265">
        <f>'Final Building Profile'!H100</f>
        <v>0</v>
      </c>
      <c r="G805" s="265">
        <f>'Final Building Profile'!I100</f>
        <v>0</v>
      </c>
      <c r="H805" s="197">
        <f t="shared" si="106"/>
        <v>0</v>
      </c>
      <c r="I805" s="197">
        <f t="shared" si="107"/>
        <v>0</v>
      </c>
      <c r="J805" s="137">
        <f t="shared" ref="J805:J807" si="124">MIN(H805, I805)</f>
        <v>0</v>
      </c>
      <c r="K805" s="66">
        <f>'Final Building Profile'!L100</f>
        <v>0</v>
      </c>
      <c r="L805" s="66">
        <f t="shared" si="121"/>
        <v>0</v>
      </c>
      <c r="M805">
        <f>'Final Building Profile'!M100</f>
        <v>0</v>
      </c>
      <c r="N805" s="66">
        <f t="shared" ref="N805:N807" si="125">M805*$B$700</f>
        <v>0</v>
      </c>
      <c r="O805" s="66">
        <f t="shared" ref="O805:O807" si="126">L805+N805</f>
        <v>0</v>
      </c>
      <c r="P805" s="66">
        <f t="shared" ref="P805:P807" si="127">O805*J805</f>
        <v>0</v>
      </c>
      <c r="Q805" s="204">
        <f>'Final Building Profile'!K100</f>
        <v>0</v>
      </c>
      <c r="R805" s="66">
        <f t="shared" si="122"/>
        <v>0</v>
      </c>
      <c r="S805" s="65">
        <f>'Final Building Profile'!N100-'Final Building Profile'!O100</f>
        <v>0</v>
      </c>
      <c r="T805" s="65">
        <f t="shared" ref="T805:T807" si="128">S805*J805</f>
        <v>0</v>
      </c>
      <c r="U805" s="204">
        <f>'Final Building Profile'!Q100</f>
        <v>0</v>
      </c>
      <c r="V805" s="65">
        <f>IF('Final Building Profile'!P100&lt;&gt;"", U805, 0) * T805</f>
        <v>0</v>
      </c>
      <c r="W805" s="266">
        <f t="shared" si="113"/>
        <v>0</v>
      </c>
      <c r="X805" s="266">
        <f t="shared" si="123"/>
        <v>0</v>
      </c>
      <c r="Y805" s="266" t="e">
        <f t="shared" si="114"/>
        <v>#DIV/0!</v>
      </c>
      <c r="Z805" s="266" t="e">
        <f t="shared" si="115"/>
        <v>#DIV/0!</v>
      </c>
      <c r="AA805" s="266" t="e">
        <f t="shared" ref="AA805:AA807" si="129">IF(I805=J805, Y805, Z805)</f>
        <v>#DIV/0!</v>
      </c>
      <c r="AB805" s="65" t="e">
        <f t="shared" si="117"/>
        <v>#N/A</v>
      </c>
      <c r="AC805" s="65" t="e">
        <f t="shared" si="118"/>
        <v>#N/A</v>
      </c>
      <c r="AD805" s="65" t="e">
        <f t="shared" si="119"/>
        <v>#N/A</v>
      </c>
      <c r="AE805" s="65" t="e">
        <f t="shared" si="120"/>
        <v>#N/A</v>
      </c>
    </row>
    <row r="806" spans="1:31" ht="15" customHeight="1">
      <c r="A806">
        <f>'Final Building Profile'!A101</f>
        <v>98</v>
      </c>
      <c r="B806">
        <f>'Final Building Profile'!D101</f>
        <v>0</v>
      </c>
      <c r="C806">
        <f>'Final Building Profile'!E101</f>
        <v>0</v>
      </c>
      <c r="D806">
        <f>'Final Building Profile'!F101</f>
        <v>0</v>
      </c>
      <c r="E806" s="265">
        <f>'Final Building Profile'!G101</f>
        <v>0</v>
      </c>
      <c r="F806" s="265">
        <f>'Final Building Profile'!H101</f>
        <v>0</v>
      </c>
      <c r="G806" s="265">
        <f>'Final Building Profile'!I101</f>
        <v>0</v>
      </c>
      <c r="H806" s="197">
        <f t="shared" si="106"/>
        <v>0</v>
      </c>
      <c r="I806" s="197">
        <f t="shared" si="107"/>
        <v>0</v>
      </c>
      <c r="J806" s="137">
        <f t="shared" si="124"/>
        <v>0</v>
      </c>
      <c r="K806" s="66">
        <f>'Final Building Profile'!L101</f>
        <v>0</v>
      </c>
      <c r="L806" s="66">
        <f t="shared" si="121"/>
        <v>0</v>
      </c>
      <c r="M806">
        <f>'Final Building Profile'!M101</f>
        <v>0</v>
      </c>
      <c r="N806" s="66">
        <f t="shared" si="125"/>
        <v>0</v>
      </c>
      <c r="O806" s="66">
        <f t="shared" si="126"/>
        <v>0</v>
      </c>
      <c r="P806" s="66">
        <f t="shared" si="127"/>
        <v>0</v>
      </c>
      <c r="Q806" s="204">
        <f>'Final Building Profile'!K101</f>
        <v>0</v>
      </c>
      <c r="R806" s="66">
        <f t="shared" si="122"/>
        <v>0</v>
      </c>
      <c r="S806" s="65">
        <f>'Final Building Profile'!N101-'Final Building Profile'!O101</f>
        <v>0</v>
      </c>
      <c r="T806" s="65">
        <f t="shared" si="128"/>
        <v>0</v>
      </c>
      <c r="U806" s="204">
        <f>'Final Building Profile'!Q101</f>
        <v>0</v>
      </c>
      <c r="V806" s="65">
        <f>IF('Final Building Profile'!P101&lt;&gt;"", U806, 0) * T806</f>
        <v>0</v>
      </c>
      <c r="W806" s="266">
        <f t="shared" si="113"/>
        <v>0</v>
      </c>
      <c r="X806" s="266">
        <f t="shared" si="123"/>
        <v>0</v>
      </c>
      <c r="Y806" s="266" t="e">
        <f t="shared" si="114"/>
        <v>#DIV/0!</v>
      </c>
      <c r="Z806" s="266" t="e">
        <f t="shared" si="115"/>
        <v>#DIV/0!</v>
      </c>
      <c r="AA806" s="266" t="e">
        <f t="shared" si="129"/>
        <v>#DIV/0!</v>
      </c>
      <c r="AB806" s="65" t="e">
        <f t="shared" si="117"/>
        <v>#N/A</v>
      </c>
      <c r="AC806" s="65" t="e">
        <f t="shared" si="118"/>
        <v>#N/A</v>
      </c>
      <c r="AD806" s="65" t="e">
        <f t="shared" si="119"/>
        <v>#N/A</v>
      </c>
      <c r="AE806" s="65" t="e">
        <f t="shared" si="120"/>
        <v>#N/A</v>
      </c>
    </row>
    <row r="807" spans="1:31" ht="15" customHeight="1" thickBot="1">
      <c r="A807">
        <f>'Final Building Profile'!A102</f>
        <v>99</v>
      </c>
      <c r="B807">
        <f>'Final Building Profile'!D102</f>
        <v>0</v>
      </c>
      <c r="C807">
        <f>'Final Building Profile'!E102</f>
        <v>0</v>
      </c>
      <c r="D807">
        <f>'Final Building Profile'!F102</f>
        <v>0</v>
      </c>
      <c r="E807" s="265">
        <f>'Final Building Profile'!G102</f>
        <v>0</v>
      </c>
      <c r="F807" s="265">
        <f>'Final Building Profile'!H102</f>
        <v>0</v>
      </c>
      <c r="G807" s="265">
        <f>'Final Building Profile'!I102</f>
        <v>0</v>
      </c>
      <c r="H807" s="197">
        <f t="shared" si="106"/>
        <v>0</v>
      </c>
      <c r="I807" s="197">
        <f t="shared" si="107"/>
        <v>0</v>
      </c>
      <c r="J807" s="137">
        <f t="shared" si="124"/>
        <v>0</v>
      </c>
      <c r="K807" s="66">
        <f>'Final Building Profile'!L102</f>
        <v>0</v>
      </c>
      <c r="L807" s="66">
        <f t="shared" si="121"/>
        <v>0</v>
      </c>
      <c r="M807">
        <f>'Final Building Profile'!M102</f>
        <v>0</v>
      </c>
      <c r="N807" s="66">
        <f t="shared" si="125"/>
        <v>0</v>
      </c>
      <c r="O807" s="66">
        <f t="shared" si="126"/>
        <v>0</v>
      </c>
      <c r="P807" s="66">
        <f t="shared" si="127"/>
        <v>0</v>
      </c>
      <c r="Q807" s="204">
        <f>'Final Building Profile'!K102</f>
        <v>0</v>
      </c>
      <c r="R807" s="66">
        <f t="shared" si="122"/>
        <v>0</v>
      </c>
      <c r="S807" s="65">
        <f>'Final Building Profile'!N102-'Final Building Profile'!O102</f>
        <v>0</v>
      </c>
      <c r="T807" s="65">
        <f t="shared" si="128"/>
        <v>0</v>
      </c>
      <c r="U807" s="204">
        <f>'Final Building Profile'!Q102</f>
        <v>0</v>
      </c>
      <c r="V807" s="65">
        <f>IF('Final Building Profile'!P102&lt;&gt;"", U807, 0) * T807</f>
        <v>0</v>
      </c>
      <c r="W807" s="266">
        <f t="shared" si="113"/>
        <v>0</v>
      </c>
      <c r="X807" s="266">
        <f t="shared" si="123"/>
        <v>0</v>
      </c>
      <c r="Y807" s="266" t="e">
        <f t="shared" si="114"/>
        <v>#DIV/0!</v>
      </c>
      <c r="Z807" s="266" t="e">
        <f t="shared" si="115"/>
        <v>#DIV/0!</v>
      </c>
      <c r="AA807" s="266" t="e">
        <f t="shared" si="129"/>
        <v>#DIV/0!</v>
      </c>
      <c r="AB807" s="65" t="e">
        <f t="shared" si="117"/>
        <v>#N/A</v>
      </c>
      <c r="AC807" s="65" t="e">
        <f t="shared" si="118"/>
        <v>#N/A</v>
      </c>
      <c r="AD807" s="65" t="e">
        <f t="shared" si="119"/>
        <v>#N/A</v>
      </c>
      <c r="AE807" s="65" t="e">
        <f t="shared" si="120"/>
        <v>#N/A</v>
      </c>
    </row>
    <row r="808" spans="1:31" ht="15" thickTop="1">
      <c r="A808" s="68" t="s">
        <v>373</v>
      </c>
      <c r="B808" s="71">
        <f>SUM(B709:B807)</f>
        <v>0</v>
      </c>
      <c r="C808" s="71">
        <f t="shared" ref="C808:M808" si="130">SUM(C709:C807)</f>
        <v>0</v>
      </c>
      <c r="D808" s="71">
        <f t="shared" si="130"/>
        <v>0</v>
      </c>
      <c r="E808" s="71">
        <f t="shared" si="130"/>
        <v>0</v>
      </c>
      <c r="F808" s="71">
        <f t="shared" si="130"/>
        <v>0</v>
      </c>
      <c r="G808" s="71">
        <f t="shared" si="130"/>
        <v>0</v>
      </c>
      <c r="H808" s="71">
        <f t="shared" si="130"/>
        <v>0</v>
      </c>
      <c r="I808" s="71">
        <f t="shared" si="130"/>
        <v>0</v>
      </c>
      <c r="J808" s="71">
        <f t="shared" si="130"/>
        <v>0</v>
      </c>
      <c r="K808" s="71">
        <f t="shared" si="130"/>
        <v>0</v>
      </c>
      <c r="L808" s="321">
        <f>ROUND(SUM(L709:L807), 0)</f>
        <v>0</v>
      </c>
      <c r="M808" s="71">
        <f t="shared" si="130"/>
        <v>0</v>
      </c>
      <c r="N808" s="321">
        <f>ROUND(SUM(N709:N807), 0)</f>
        <v>0</v>
      </c>
      <c r="O808" s="321">
        <f>ROUND(SUM(O709:O807), 0)</f>
        <v>0</v>
      </c>
      <c r="P808" s="322">
        <f>ROUND(SUM(P709:P807), 0)</f>
        <v>0</v>
      </c>
      <c r="Q808" s="66"/>
      <c r="R808" s="322">
        <f>ROUND(SUM(R709:R807), 0)</f>
        <v>0</v>
      </c>
      <c r="S808" s="440">
        <f t="shared" ref="S808" si="131">SUM(S709:S807)</f>
        <v>0</v>
      </c>
      <c r="T808" s="322">
        <f>ROUND(SUM(T709:T807), 0)</f>
        <v>0</v>
      </c>
      <c r="U808" s="66"/>
      <c r="V808" s="322">
        <f>ROUND(SUM(V709:V807), 0)</f>
        <v>0</v>
      </c>
      <c r="W808" s="392">
        <f>ROUND(SUM(W709:W807), 0)</f>
        <v>0</v>
      </c>
      <c r="X808" s="392">
        <f t="shared" ref="X808:AA808" si="132">ROUND(SUM(X709:X807), 0)</f>
        <v>0</v>
      </c>
      <c r="Y808" s="392" t="e">
        <f t="shared" si="132"/>
        <v>#DIV/0!</v>
      </c>
      <c r="Z808" s="392" t="e">
        <f t="shared" si="132"/>
        <v>#DIV/0!</v>
      </c>
      <c r="AA808" s="392" t="e">
        <f t="shared" si="132"/>
        <v>#DIV/0!</v>
      </c>
      <c r="AB808" s="322" t="e">
        <f>SUM(AB709:AB807)</f>
        <v>#N/A</v>
      </c>
      <c r="AC808" s="322" t="e">
        <f t="shared" ref="AC808:AE808" si="133">SUM(AC709:AC807)</f>
        <v>#N/A</v>
      </c>
      <c r="AD808" s="322" t="e">
        <f t="shared" si="133"/>
        <v>#N/A</v>
      </c>
      <c r="AE808" s="322" t="e">
        <f t="shared" si="133"/>
        <v>#N/A</v>
      </c>
    </row>
    <row r="809" spans="1:31">
      <c r="A809" s="1"/>
      <c r="B809" s="1"/>
      <c r="E809" s="22" t="s">
        <v>2816</v>
      </c>
      <c r="F809" s="92"/>
      <c r="G809" s="22" t="s">
        <v>2817</v>
      </c>
    </row>
    <row r="810" spans="1:31">
      <c r="B810" s="67" t="s">
        <v>2818</v>
      </c>
      <c r="C810" s="66">
        <f>O808</f>
        <v>0</v>
      </c>
      <c r="E810" t="str">
        <f>A457</f>
        <v>Eligible Basis</v>
      </c>
      <c r="F810" s="321" t="e">
        <f>B461</f>
        <v>#N/A</v>
      </c>
      <c r="G810" t="str">
        <f t="shared" ref="G810:G815" si="134">IF(B$4,IF(C810=F810,"","Mismatch between property-based values and building-based values"),"")</f>
        <v/>
      </c>
      <c r="H810" t="s">
        <v>2819</v>
      </c>
      <c r="I810" t="s">
        <v>2820</v>
      </c>
      <c r="R810" t="s">
        <v>2821</v>
      </c>
      <c r="V810" s="66">
        <f>R808+V808</f>
        <v>0</v>
      </c>
    </row>
    <row r="811" spans="1:31">
      <c r="B811" s="67" t="s">
        <v>2822</v>
      </c>
      <c r="C811" s="66">
        <f>P808</f>
        <v>0</v>
      </c>
      <c r="E811" t="str">
        <f>A463</f>
        <v>Qualified Basis</v>
      </c>
      <c r="F811" s="66" t="e">
        <f>B463</f>
        <v>#N/A</v>
      </c>
      <c r="G811" t="str">
        <f t="shared" si="134"/>
        <v/>
      </c>
    </row>
    <row r="812" spans="1:31">
      <c r="B812" s="67" t="s">
        <v>2823</v>
      </c>
      <c r="C812" s="66">
        <f>R808</f>
        <v>0</v>
      </c>
      <c r="E812" t="str">
        <f>A465</f>
        <v>Annual Credit</v>
      </c>
      <c r="F812" s="66" t="e">
        <f>B465</f>
        <v>#N/A</v>
      </c>
      <c r="G812" t="str">
        <f t="shared" si="134"/>
        <v/>
      </c>
    </row>
    <row r="813" spans="1:31">
      <c r="B813" s="67" t="s">
        <v>2803</v>
      </c>
      <c r="C813" s="66">
        <f>S808</f>
        <v>0</v>
      </c>
      <c r="E813" t="str">
        <f>A468</f>
        <v>Eligible Basis</v>
      </c>
      <c r="F813" s="66">
        <f>B468</f>
        <v>0</v>
      </c>
      <c r="G813" t="str">
        <f t="shared" si="134"/>
        <v/>
      </c>
    </row>
    <row r="814" spans="1:31">
      <c r="B814" s="67" t="s">
        <v>2824</v>
      </c>
      <c r="C814" s="66">
        <f>T808</f>
        <v>0</v>
      </c>
      <c r="E814" t="str">
        <f>A470</f>
        <v>Qualified Basis</v>
      </c>
      <c r="F814" s="66">
        <f>B470</f>
        <v>0</v>
      </c>
      <c r="G814" t="str">
        <f t="shared" si="134"/>
        <v/>
      </c>
    </row>
    <row r="815" spans="1:31">
      <c r="B815" s="67" t="s">
        <v>2825</v>
      </c>
      <c r="C815" s="66">
        <f>V808</f>
        <v>0</v>
      </c>
      <c r="E815" t="str">
        <f>A472</f>
        <v>Acquisition Credit</v>
      </c>
      <c r="F815" s="66">
        <f>B472</f>
        <v>0</v>
      </c>
      <c r="G815" t="str">
        <f t="shared" si="134"/>
        <v/>
      </c>
    </row>
    <row r="816" spans="1:31">
      <c r="B816" s="67" t="s">
        <v>2826</v>
      </c>
      <c r="C816" s="66" t="e">
        <f>B703</f>
        <v>#N/A</v>
      </c>
      <c r="F816" s="66"/>
    </row>
    <row r="817" spans="1:13">
      <c r="B817" s="67" t="s">
        <v>2827</v>
      </c>
      <c r="C817" s="66">
        <v>0</v>
      </c>
      <c r="F817" s="66"/>
    </row>
    <row r="818" spans="1:13">
      <c r="B818" s="67" t="s">
        <v>2828</v>
      </c>
      <c r="C818" s="66">
        <v>0</v>
      </c>
      <c r="F818" s="66"/>
    </row>
    <row r="819" spans="1:13">
      <c r="B819" s="67" t="s">
        <v>2829</v>
      </c>
      <c r="C819" s="66">
        <v>0</v>
      </c>
      <c r="F819" s="66"/>
    </row>
    <row r="820" spans="1:13">
      <c r="A820" s="1"/>
      <c r="B820" s="1"/>
      <c r="F820" s="92"/>
    </row>
    <row r="821" spans="1:13">
      <c r="A821" s="1"/>
      <c r="B821" s="1"/>
      <c r="F821" s="92"/>
    </row>
    <row r="823" spans="1:13">
      <c r="A823" t="s">
        <v>789</v>
      </c>
      <c r="B823" s="321" t="e">
        <f>B457</f>
        <v>#N/A</v>
      </c>
    </row>
    <row r="824" spans="1:13">
      <c r="A824" t="s">
        <v>2830</v>
      </c>
      <c r="B824" s="321">
        <f>B468</f>
        <v>0</v>
      </c>
    </row>
    <row r="827" spans="1:13">
      <c r="A827" s="99" t="s">
        <v>2343</v>
      </c>
      <c r="B827" s="99"/>
      <c r="C827" s="99"/>
      <c r="D827" s="99"/>
      <c r="E827" s="99"/>
      <c r="F827" s="99"/>
      <c r="G827" s="99"/>
      <c r="H827" s="71"/>
      <c r="I827" s="71"/>
      <c r="J827" s="71"/>
      <c r="K827" s="71"/>
      <c r="L827" s="71"/>
      <c r="M827" s="71"/>
    </row>
    <row r="829" spans="1:13">
      <c r="A829" t="s">
        <v>2709</v>
      </c>
      <c r="B829" s="66" t="e">
        <f>IF($B$4,$C$816,$B$511)</f>
        <v>#N/A</v>
      </c>
      <c r="C829" s="66"/>
    </row>
    <row r="830" spans="1:13">
      <c r="A830" t="s">
        <v>2739</v>
      </c>
      <c r="B830" s="66">
        <f>$B$561</f>
        <v>0</v>
      </c>
      <c r="C830" s="66"/>
    </row>
    <row r="831" spans="1:13">
      <c r="A831" t="s">
        <v>2831</v>
      </c>
      <c r="B831" s="92">
        <f>$H$41+$H$43</f>
        <v>0</v>
      </c>
      <c r="C831" s="66"/>
    </row>
    <row r="833" spans="1:8">
      <c r="A833" s="22" t="s">
        <v>2832</v>
      </c>
    </row>
    <row r="834" spans="1:8">
      <c r="A834" t="s">
        <v>2346</v>
      </c>
    </row>
    <row r="835" spans="1:8">
      <c r="A835" t="s">
        <v>2833</v>
      </c>
      <c r="B835" s="66">
        <f>Admin!B101</f>
        <v>15000</v>
      </c>
    </row>
    <row r="837" spans="1:8">
      <c r="A837" t="s">
        <v>2348</v>
      </c>
    </row>
    <row r="838" spans="1:8">
      <c r="A838" t="s">
        <v>2834</v>
      </c>
      <c r="B838" s="66" t="e">
        <f>($B$829*Admin!B102) + ($B$830*Admin!B103)</f>
        <v>#N/A</v>
      </c>
    </row>
    <row r="840" spans="1:8">
      <c r="A840" t="s">
        <v>2350</v>
      </c>
      <c r="F840" s="1" t="s">
        <v>889</v>
      </c>
      <c r="G840" s="1" t="s">
        <v>393</v>
      </c>
      <c r="H840" s="1" t="s">
        <v>2835</v>
      </c>
    </row>
    <row r="841" spans="1:8">
      <c r="A841" t="s">
        <v>2836</v>
      </c>
      <c r="B841" s="66" t="e">
        <f>($B$829*Admin!B104) + ($B$830*Admin!B105)</f>
        <v>#N/A</v>
      </c>
      <c r="E841" s="1" t="s">
        <v>2837</v>
      </c>
      <c r="F841" t="str">
        <f>IF($B$6,A834,A847)</f>
        <v>4%  Non Competitive Application Fee</v>
      </c>
      <c r="G841" s="149">
        <f>IF($B$6,B835,B848)</f>
        <v>15000</v>
      </c>
    </row>
    <row r="842" spans="1:8">
      <c r="E842" s="1" t="s">
        <v>2838</v>
      </c>
      <c r="F842" t="str">
        <f>IF($B$6,A837,A852)</f>
        <v>4%  Non Competitive Initial Determination Fee</v>
      </c>
      <c r="G842" s="149" t="e">
        <f>IF($B$6,B838,B853)</f>
        <v>#N/A</v>
      </c>
      <c r="H842" t="str">
        <f>IF($B$6,A838,A853)</f>
        <v>For Federal and State (if applicable)</v>
      </c>
    </row>
    <row r="843" spans="1:8">
      <c r="E843" s="1" t="s">
        <v>2839</v>
      </c>
      <c r="F843" t="str">
        <f>IF($B$6,A840,A855)</f>
        <v>4%  Non Competitive Final Application Fee</v>
      </c>
      <c r="G843" s="149" t="e">
        <f>IF($B$6,B841,B855)</f>
        <v>#N/A</v>
      </c>
      <c r="H843" t="str">
        <f>IF($B$6,A841,A856)</f>
        <v>(Not applicable to developments that received a Carryover Allocation and paid a Carryover Application Fee)</v>
      </c>
    </row>
    <row r="844" spans="1:8">
      <c r="E844" s="1" t="s">
        <v>2840</v>
      </c>
      <c r="F844" t="str">
        <f>A854</f>
        <v>State Milestone Fee</v>
      </c>
      <c r="G844" s="148" t="str">
        <f>IF(B854=0,"#N/A",B854)</f>
        <v>#N/A</v>
      </c>
    </row>
    <row r="845" spans="1:8">
      <c r="E845" s="1" t="s">
        <v>4109</v>
      </c>
      <c r="F845" t="s">
        <v>2846</v>
      </c>
      <c r="G845" s="148">
        <f>B849</f>
        <v>0</v>
      </c>
    </row>
    <row r="846" spans="1:8">
      <c r="A846" s="22" t="s">
        <v>2841</v>
      </c>
      <c r="E846" s="1" t="s">
        <v>2842</v>
      </c>
      <c r="G846" s="149">
        <f>B860</f>
        <v>0</v>
      </c>
    </row>
    <row r="847" spans="1:8">
      <c r="A847" t="s">
        <v>2843</v>
      </c>
      <c r="E847" s="1" t="s">
        <v>2844</v>
      </c>
      <c r="G847" s="66" t="e">
        <f>SUM(G841:G846)</f>
        <v>#N/A</v>
      </c>
    </row>
    <row r="848" spans="1:8">
      <c r="A848" s="164" t="s">
        <v>2845</v>
      </c>
      <c r="B848" s="66">
        <f>Admin!B106</f>
        <v>15000</v>
      </c>
      <c r="E848" s="1"/>
      <c r="G848" s="66"/>
    </row>
    <row r="849" spans="1:7">
      <c r="A849" s="164" t="s">
        <v>2846</v>
      </c>
      <c r="B849" s="66">
        <f>IF($B$10, Admin!B107, 0)</f>
        <v>0</v>
      </c>
      <c r="E849" s="1"/>
      <c r="G849" s="66"/>
    </row>
    <row r="850" spans="1:7">
      <c r="A850" t="s">
        <v>2847</v>
      </c>
      <c r="B850" s="66">
        <f>SUM(B848:B849)</f>
        <v>15000</v>
      </c>
    </row>
    <row r="852" spans="1:7">
      <c r="A852" t="s">
        <v>2848</v>
      </c>
    </row>
    <row r="853" spans="1:7">
      <c r="A853" t="s">
        <v>2849</v>
      </c>
      <c r="B853" s="66" t="e">
        <f>($B$829*Admin!B108) + IF($B$10,MAX(($B$830*Admin!B109), Admin!B110),0)</f>
        <v>#N/A</v>
      </c>
    </row>
    <row r="854" spans="1:7">
      <c r="A854" t="s">
        <v>2353</v>
      </c>
      <c r="B854" s="149">
        <f>IF(AND($B$10,NOT($B$6)),Admin!B116,0)</f>
        <v>0</v>
      </c>
    </row>
    <row r="855" spans="1:7">
      <c r="A855" t="s">
        <v>2850</v>
      </c>
      <c r="B855" s="66" t="e">
        <f>($B$829*Admin!B111) + IF($B$10,MAX(($B$830*Admin!B112), Admin!B113),0)</f>
        <v>#N/A</v>
      </c>
    </row>
    <row r="856" spans="1:7">
      <c r="A856" t="s">
        <v>2851</v>
      </c>
    </row>
    <row r="859" spans="1:7">
      <c r="A859" s="22" t="s">
        <v>2852</v>
      </c>
    </row>
    <row r="860" spans="1:7">
      <c r="A860" t="s">
        <v>2352</v>
      </c>
      <c r="B860" s="66">
        <f>B831*IF(Application!B5 &lt; 2016, Admin!B114, Admin!B115)</f>
        <v>0</v>
      </c>
    </row>
    <row r="861" spans="1:7">
      <c r="A861" t="s">
        <v>2853</v>
      </c>
    </row>
    <row r="862" spans="1:7">
      <c r="A862" s="1"/>
      <c r="B862" s="1"/>
    </row>
    <row r="863" spans="1:7">
      <c r="A863" s="22" t="s">
        <v>4073</v>
      </c>
      <c r="B863" s="1"/>
    </row>
    <row r="864" spans="1:7">
      <c r="A864" t="s">
        <v>4074</v>
      </c>
      <c r="B864" s="654">
        <f>IF(Application!B12 = "Yes", Admin!B117, 0)</f>
        <v>0</v>
      </c>
    </row>
    <row r="865" spans="1:13">
      <c r="A865" s="99" t="s">
        <v>72</v>
      </c>
      <c r="B865" s="99"/>
      <c r="C865" s="99"/>
      <c r="D865" s="99"/>
      <c r="E865" s="99"/>
      <c r="F865" s="99"/>
      <c r="G865" s="99"/>
      <c r="H865" s="71"/>
      <c r="I865" s="71"/>
      <c r="J865" s="71"/>
      <c r="K865" s="71"/>
      <c r="L865" s="71"/>
      <c r="M865" s="71"/>
    </row>
    <row r="866" spans="1:13">
      <c r="A866" s="1"/>
      <c r="B866" s="1"/>
    </row>
    <row r="867" spans="1:13">
      <c r="A867" t="s">
        <v>2854</v>
      </c>
      <c r="B867">
        <f>_xlfn.IFNA(INDEX(Building_Construction_Table[],MATCH(Application!B61,Building_Construction_List,0),2),0)</f>
        <v>0</v>
      </c>
    </row>
    <row r="868" spans="1:13">
      <c r="A868" t="s">
        <v>2855</v>
      </c>
      <c r="B868">
        <f>_xlfn.IFNA(INDEX(Building_Construction_Table[],MATCH(Application!B61,Building_Construction_List,0),3),0)</f>
        <v>0</v>
      </c>
    </row>
    <row r="869" spans="1:13">
      <c r="A869" t="s">
        <v>881</v>
      </c>
      <c r="B869" t="str">
        <f>IF(SUM(L62:L68)=0,"",INDEX(K62:K68,MATCH(MAX(L62:L68),L62:L68,0)))</f>
        <v/>
      </c>
    </row>
    <row r="870" spans="1:13">
      <c r="A870" t="s">
        <v>2614</v>
      </c>
      <c r="B870" s="279">
        <f>Application!B139</f>
        <v>0</v>
      </c>
    </row>
    <row r="871" spans="1:13">
      <c r="A871" t="s">
        <v>2856</v>
      </c>
      <c r="B871" s="273">
        <f>IF(B870=0,0,'Cost Summary'!C8/B870)</f>
        <v>0</v>
      </c>
    </row>
    <row r="872" spans="1:13">
      <c r="B872" s="273"/>
    </row>
    <row r="873" spans="1:13">
      <c r="A873" s="99" t="s">
        <v>2857</v>
      </c>
      <c r="B873" s="99"/>
      <c r="C873" s="99"/>
      <c r="D873" s="99"/>
      <c r="E873" s="99"/>
      <c r="F873" s="99"/>
      <c r="G873" s="99"/>
      <c r="H873" s="71"/>
      <c r="I873" s="71"/>
      <c r="J873" s="71"/>
      <c r="K873" s="71"/>
      <c r="L873" s="71"/>
      <c r="M873" s="71"/>
    </row>
    <row r="874" spans="1:13">
      <c r="B874" s="273"/>
    </row>
    <row r="875" spans="1:13">
      <c r="A875" t="s">
        <v>2858</v>
      </c>
      <c r="B875" s="273" t="b">
        <f>Application!B75="CHFA"</f>
        <v>0</v>
      </c>
      <c r="K875" t="s">
        <v>2859</v>
      </c>
    </row>
    <row r="876" spans="1:13">
      <c r="A876" t="s">
        <v>1856</v>
      </c>
      <c r="B876" s="273">
        <f>SUM(Application!B76:B78)</f>
        <v>0</v>
      </c>
      <c r="C876" s="67" t="s">
        <v>909</v>
      </c>
    </row>
    <row r="877" spans="1:13">
      <c r="A877" t="s">
        <v>2860</v>
      </c>
      <c r="B877" s="273">
        <f>C292+B172</f>
        <v>0</v>
      </c>
      <c r="C877" s="386">
        <f>B877*0.45</f>
        <v>0</v>
      </c>
      <c r="E877" s="1" t="s">
        <v>887</v>
      </c>
      <c r="F877" s="1" t="s">
        <v>2861</v>
      </c>
      <c r="G877" s="1" t="s">
        <v>2862</v>
      </c>
      <c r="J877" s="387" t="s">
        <v>2615</v>
      </c>
    </row>
    <row r="878" spans="1:13">
      <c r="A878" t="s">
        <v>4429</v>
      </c>
      <c r="B878" s="388">
        <f>IF(B877=0,0,B876/B877)</f>
        <v>0</v>
      </c>
      <c r="E878">
        <f>H45</f>
        <v>0</v>
      </c>
      <c r="F878">
        <f>SUM(B45)+(C45*1)+(D45*2)+(E45*3)+(F45*4)+(G45*5)</f>
        <v>0</v>
      </c>
      <c r="G878" s="302">
        <f>SUM(M56-M54)</f>
        <v>0</v>
      </c>
      <c r="I878" t="b">
        <f>IF(AND(B878&gt;=0.5,B878&lt;=0.55),TRUE,FALSE)</f>
        <v>0</v>
      </c>
      <c r="J878" t="str">
        <f>IF(OR(NOT(B875),B876=0),"",INDEX(Comments_PAB_Requirements_table[],MATCH(I878,Comments_PAB_Requirements_table[PAB Requirements],0),2))</f>
        <v/>
      </c>
    </row>
    <row r="879" spans="1:13">
      <c r="B879" s="388"/>
      <c r="E879" t="s">
        <v>903</v>
      </c>
      <c r="F879" t="s">
        <v>904</v>
      </c>
      <c r="G879" t="s">
        <v>902</v>
      </c>
    </row>
    <row r="880" spans="1:13">
      <c r="A880" t="s">
        <v>901</v>
      </c>
      <c r="B880" s="389">
        <f>B292</f>
        <v>0</v>
      </c>
      <c r="D880" t="str">
        <f>A880</f>
        <v>Total Development Costs</v>
      </c>
      <c r="E880" s="66">
        <f>IF($E$878=0,0,$B880/$E$878)</f>
        <v>0</v>
      </c>
      <c r="F880" s="66">
        <f>IF($F$878=0,0,$B880/$F$878)</f>
        <v>0</v>
      </c>
      <c r="G880" s="66">
        <f>IF($G$878=0,0,$B880/$G$878)</f>
        <v>0</v>
      </c>
      <c r="I880" t="s">
        <v>4431</v>
      </c>
    </row>
    <row r="881" spans="1:16">
      <c r="A881" t="s">
        <v>2863</v>
      </c>
      <c r="B881" s="389">
        <f>B179+B195</f>
        <v>0</v>
      </c>
      <c r="D881" t="str">
        <f>A881</f>
        <v>Total Hard Costs</v>
      </c>
      <c r="E881" s="66">
        <f>IF($E$878=0,0,$B881/$E$878)</f>
        <v>0</v>
      </c>
      <c r="F881" s="66">
        <f>IF($F$878=0,0,$B881/$F$878)</f>
        <v>0</v>
      </c>
      <c r="G881" s="66">
        <f>IF($G$878=0,0,$B881/$G$878)</f>
        <v>0</v>
      </c>
    </row>
    <row r="882" spans="1:16">
      <c r="A882" t="s">
        <v>906</v>
      </c>
      <c r="B882" s="389">
        <f>B880-B881</f>
        <v>0</v>
      </c>
      <c r="D882" t="s">
        <v>906</v>
      </c>
      <c r="E882" s="66">
        <f>E880-E881</f>
        <v>0</v>
      </c>
      <c r="F882" s="66">
        <f t="shared" ref="F882:G882" si="135">F880-F881</f>
        <v>0</v>
      </c>
      <c r="G882" s="66">
        <f t="shared" si="135"/>
        <v>0</v>
      </c>
    </row>
    <row r="883" spans="1:16">
      <c r="A883" t="s">
        <v>476</v>
      </c>
      <c r="B883" s="389">
        <f>SUM(B276:B282)</f>
        <v>0</v>
      </c>
      <c r="D883" t="str">
        <f>A883</f>
        <v>Developer Fee</v>
      </c>
      <c r="E883" s="66">
        <f>IF($E$878=0,0,$B883/$E$878)</f>
        <v>0</v>
      </c>
      <c r="F883" s="66">
        <f>IF($F$878=0,0,$B883/$F$878)</f>
        <v>0</v>
      </c>
      <c r="G883" s="66">
        <f>IF($G$878=0,0,$B883/$G$878)</f>
        <v>0</v>
      </c>
    </row>
    <row r="884" spans="1:16">
      <c r="A884" t="s">
        <v>2864</v>
      </c>
      <c r="B884" s="389">
        <f>B291</f>
        <v>0</v>
      </c>
      <c r="D884" t="str">
        <f>A884</f>
        <v>Total Reserves</v>
      </c>
      <c r="E884" s="66">
        <f>IF($E$878=0,0,$B884/$E$878)</f>
        <v>0</v>
      </c>
      <c r="F884" s="66">
        <f>IF($F$878=0,0,$B884/$F$878)</f>
        <v>0</v>
      </c>
      <c r="G884" s="66">
        <f>IF($G$878=0,0,$B884/$G$878)</f>
        <v>0</v>
      </c>
    </row>
    <row r="885" spans="1:16">
      <c r="B885" s="388"/>
      <c r="D885" t="s">
        <v>905</v>
      </c>
      <c r="E885" s="66" t="e">
        <f>B172/E878</f>
        <v>#DIV/0!</v>
      </c>
      <c r="F885" s="66" t="e">
        <f>B172/F878</f>
        <v>#DIV/0!</v>
      </c>
      <c r="G885" s="66" t="e">
        <f>B172/G878</f>
        <v>#DIV/0!</v>
      </c>
    </row>
    <row r="886" spans="1:16">
      <c r="A886" t="s">
        <v>1192</v>
      </c>
      <c r="B886" s="388">
        <f>IF(B883=0,0,B140/B883)</f>
        <v>0</v>
      </c>
    </row>
    <row r="887" spans="1:16">
      <c r="B887" s="1"/>
    </row>
    <row r="888" spans="1:16">
      <c r="A888" s="99" t="s">
        <v>2865</v>
      </c>
      <c r="B888" s="99"/>
      <c r="C888" s="99"/>
      <c r="D888" s="99"/>
      <c r="E888" s="99"/>
      <c r="F888" s="99"/>
      <c r="G888" s="99"/>
      <c r="H888" s="71"/>
      <c r="I888" s="71"/>
      <c r="J888" s="71"/>
      <c r="K888" s="71"/>
      <c r="L888" s="71"/>
      <c r="M888" s="71"/>
    </row>
    <row r="889" spans="1:16" ht="28.8">
      <c r="A889" s="98" t="s">
        <v>108</v>
      </c>
      <c r="B889" s="98" t="s">
        <v>109</v>
      </c>
      <c r="C889" s="98" t="s">
        <v>110</v>
      </c>
      <c r="D889" s="98" t="s">
        <v>111</v>
      </c>
      <c r="E889" s="380" t="s">
        <v>112</v>
      </c>
      <c r="F889" s="380" t="s">
        <v>1013</v>
      </c>
      <c r="G889" s="380" t="s">
        <v>2866</v>
      </c>
      <c r="H889" s="380"/>
    </row>
    <row r="890" spans="1:16">
      <c r="A890" s="350">
        <f>'Unit Mix &amp; Rents'!A17</f>
        <v>0</v>
      </c>
      <c r="B890" s="351">
        <f>'Unit Mix &amp; Rents'!B17</f>
        <v>0</v>
      </c>
      <c r="C890" s="352">
        <f>'Unit Mix &amp; Rents'!C17</f>
        <v>0</v>
      </c>
      <c r="D890" s="352">
        <f>'Unit Mix &amp; Rents'!D17</f>
        <v>0</v>
      </c>
      <c r="E890" s="353">
        <f>'Unit Mix &amp; Rents'!E17</f>
        <v>0</v>
      </c>
      <c r="F890" s="353">
        <f>_xlfn.IFNA(INDEX($K$891:$P$897,MATCH(A890,$J$891:$J$897,0),MATCH(LEFT(B890,5),$K$890:$P$890,0)),0)</f>
        <v>0</v>
      </c>
      <c r="G890" s="353">
        <f>D890*E890*12</f>
        <v>0</v>
      </c>
      <c r="H890" s="123" t="str">
        <f>IF(E890&gt;F890,IF(F890&gt;0,"Adjusted rent exceeds allowable rent limit",""),"")</f>
        <v/>
      </c>
      <c r="J890" s="1" t="s">
        <v>2596</v>
      </c>
      <c r="K890" s="1" t="s">
        <v>2575</v>
      </c>
      <c r="L890" s="1" t="s">
        <v>2576</v>
      </c>
      <c r="M890" s="1" t="s">
        <v>2577</v>
      </c>
      <c r="N890" s="1" t="s">
        <v>2578</v>
      </c>
      <c r="O890" s="1" t="s">
        <v>2579</v>
      </c>
      <c r="P890" s="1" t="s">
        <v>2580</v>
      </c>
    </row>
    <row r="891" spans="1:16">
      <c r="A891" s="350">
        <f>'Unit Mix &amp; Rents'!A18</f>
        <v>0</v>
      </c>
      <c r="B891" s="351">
        <f>'Unit Mix &amp; Rents'!B18</f>
        <v>0</v>
      </c>
      <c r="C891" s="352">
        <f>'Unit Mix &amp; Rents'!C18</f>
        <v>0</v>
      </c>
      <c r="D891" s="352">
        <f>'Unit Mix &amp; Rents'!D18</f>
        <v>0</v>
      </c>
      <c r="E891" s="353">
        <f>'Unit Mix &amp; Rents'!E18</f>
        <v>0</v>
      </c>
      <c r="F891" s="353">
        <f t="shared" ref="F891:F949" si="136">_xlfn.IFNA(INDEX($K$891:$P$897,MATCH(A891,$J$891:$J$897,0),MATCH(LEFT(B891,5),$K$890:$P$890,0)),0)</f>
        <v>0</v>
      </c>
      <c r="G891" s="353">
        <f t="shared" ref="G891:G896" si="137">D891*E891*12</f>
        <v>0</v>
      </c>
      <c r="H891" t="str">
        <f t="shared" ref="H891:H949" si="138">IF(E891&gt;F891,IF(F891&gt;0,"Adjusted rent exceeds allowable rent limit",""),"")</f>
        <v/>
      </c>
      <c r="J891" s="362">
        <v>0.2</v>
      </c>
      <c r="K891" s="66">
        <f t="shared" ref="K891:P897" ca="1" si="139">B90</f>
        <v>357</v>
      </c>
      <c r="L891" s="66">
        <f t="shared" ca="1" si="139"/>
        <v>382</v>
      </c>
      <c r="M891" s="66">
        <f t="shared" ca="1" si="139"/>
        <v>459</v>
      </c>
      <c r="N891" s="66">
        <f t="shared" ca="1" si="139"/>
        <v>530</v>
      </c>
      <c r="O891" s="66">
        <f t="shared" ca="1" si="139"/>
        <v>592</v>
      </c>
      <c r="P891" s="66">
        <f t="shared" ca="1" si="139"/>
        <v>653</v>
      </c>
    </row>
    <row r="892" spans="1:16">
      <c r="A892" s="350">
        <f>'Unit Mix &amp; Rents'!A19</f>
        <v>0</v>
      </c>
      <c r="B892" s="351">
        <f>'Unit Mix &amp; Rents'!B19</f>
        <v>0</v>
      </c>
      <c r="C892" s="352">
        <f>'Unit Mix &amp; Rents'!C19</f>
        <v>0</v>
      </c>
      <c r="D892" s="352">
        <f>'Unit Mix &amp; Rents'!D19</f>
        <v>0</v>
      </c>
      <c r="E892" s="353">
        <f>'Unit Mix &amp; Rents'!E19</f>
        <v>0</v>
      </c>
      <c r="F892" s="353">
        <f t="shared" si="136"/>
        <v>0</v>
      </c>
      <c r="G892" s="353">
        <f t="shared" si="137"/>
        <v>0</v>
      </c>
      <c r="H892" t="str">
        <f t="shared" si="138"/>
        <v/>
      </c>
      <c r="J892" s="362">
        <v>0.3</v>
      </c>
      <c r="K892" s="66">
        <f t="shared" ca="1" si="139"/>
        <v>535</v>
      </c>
      <c r="L892" s="66">
        <f t="shared" ca="1" si="139"/>
        <v>573</v>
      </c>
      <c r="M892" s="66">
        <f t="shared" ca="1" si="139"/>
        <v>688</v>
      </c>
      <c r="N892" s="66">
        <f t="shared" ca="1" si="139"/>
        <v>795</v>
      </c>
      <c r="O892" s="66">
        <f t="shared" ca="1" si="139"/>
        <v>888</v>
      </c>
      <c r="P892" s="66">
        <f t="shared" ca="1" si="139"/>
        <v>980</v>
      </c>
    </row>
    <row r="893" spans="1:16">
      <c r="A893" s="350">
        <f>'Unit Mix &amp; Rents'!A20</f>
        <v>0</v>
      </c>
      <c r="B893" s="351">
        <f>'Unit Mix &amp; Rents'!B20</f>
        <v>0</v>
      </c>
      <c r="C893" s="352">
        <f>'Unit Mix &amp; Rents'!C20</f>
        <v>0</v>
      </c>
      <c r="D893" s="352">
        <f>'Unit Mix &amp; Rents'!D20</f>
        <v>0</v>
      </c>
      <c r="E893" s="353">
        <f>'Unit Mix &amp; Rents'!E20</f>
        <v>0</v>
      </c>
      <c r="F893" s="353">
        <f t="shared" si="136"/>
        <v>0</v>
      </c>
      <c r="G893" s="353">
        <f t="shared" si="137"/>
        <v>0</v>
      </c>
      <c r="H893" t="str">
        <f>IF(E893&gt;F893,IF(F893&gt;0,"Adjusted rent exceeds allowable rent limit",""),"")</f>
        <v/>
      </c>
      <c r="J893" s="362">
        <v>0.4</v>
      </c>
      <c r="K893" s="66">
        <f t="shared" ca="1" si="139"/>
        <v>714</v>
      </c>
      <c r="L893" s="66">
        <f t="shared" ca="1" si="139"/>
        <v>765</v>
      </c>
      <c r="M893" s="66">
        <f t="shared" ca="1" si="139"/>
        <v>918</v>
      </c>
      <c r="N893" s="66">
        <f t="shared" ca="1" si="139"/>
        <v>1061</v>
      </c>
      <c r="O893" s="66">
        <f t="shared" ca="1" si="139"/>
        <v>1184</v>
      </c>
      <c r="P893" s="66">
        <f t="shared" ca="1" si="139"/>
        <v>1306</v>
      </c>
    </row>
    <row r="894" spans="1:16">
      <c r="A894" s="350">
        <f>'Unit Mix &amp; Rents'!A21</f>
        <v>0</v>
      </c>
      <c r="B894" s="351">
        <f>'Unit Mix &amp; Rents'!B21</f>
        <v>0</v>
      </c>
      <c r="C894" s="352">
        <f>'Unit Mix &amp; Rents'!C21</f>
        <v>0</v>
      </c>
      <c r="D894" s="352">
        <f>'Unit Mix &amp; Rents'!D21</f>
        <v>0</v>
      </c>
      <c r="E894" s="353">
        <f>'Unit Mix &amp; Rents'!E21</f>
        <v>0</v>
      </c>
      <c r="F894" s="353">
        <f t="shared" si="136"/>
        <v>0</v>
      </c>
      <c r="G894" s="353">
        <f t="shared" si="137"/>
        <v>0</v>
      </c>
      <c r="H894" t="str">
        <f t="shared" si="138"/>
        <v/>
      </c>
      <c r="J894" s="362">
        <v>0.5</v>
      </c>
      <c r="K894" s="66">
        <f t="shared" ca="1" si="139"/>
        <v>892</v>
      </c>
      <c r="L894" s="66">
        <f t="shared" ca="1" si="139"/>
        <v>956</v>
      </c>
      <c r="M894" s="66">
        <f t="shared" ca="1" si="139"/>
        <v>1147</v>
      </c>
      <c r="N894" s="66">
        <f t="shared" ca="1" si="139"/>
        <v>1326</v>
      </c>
      <c r="O894" s="66">
        <f t="shared" ca="1" si="139"/>
        <v>1480</v>
      </c>
      <c r="P894" s="66">
        <f t="shared" ca="1" si="139"/>
        <v>1633</v>
      </c>
    </row>
    <row r="895" spans="1:16">
      <c r="A895" s="350">
        <f>'Unit Mix &amp; Rents'!A22</f>
        <v>0</v>
      </c>
      <c r="B895" s="351">
        <f>'Unit Mix &amp; Rents'!B22</f>
        <v>0</v>
      </c>
      <c r="C895" s="352">
        <f>'Unit Mix &amp; Rents'!C22</f>
        <v>0</v>
      </c>
      <c r="D895" s="352">
        <f>'Unit Mix &amp; Rents'!D22</f>
        <v>0</v>
      </c>
      <c r="E895" s="353">
        <f>'Unit Mix &amp; Rents'!E22</f>
        <v>0</v>
      </c>
      <c r="F895" s="353">
        <f t="shared" si="136"/>
        <v>0</v>
      </c>
      <c r="G895" s="353">
        <f t="shared" si="137"/>
        <v>0</v>
      </c>
      <c r="H895" t="str">
        <f t="shared" si="138"/>
        <v/>
      </c>
      <c r="J895" s="362">
        <v>0.6</v>
      </c>
      <c r="K895" s="66">
        <f t="shared" ca="1" si="139"/>
        <v>1071</v>
      </c>
      <c r="L895" s="66">
        <f t="shared" ca="1" si="139"/>
        <v>1147</v>
      </c>
      <c r="M895" s="66">
        <f t="shared" ca="1" si="139"/>
        <v>1377</v>
      </c>
      <c r="N895" s="66">
        <f t="shared" ca="1" si="139"/>
        <v>1591</v>
      </c>
      <c r="O895" s="66">
        <f t="shared" ca="1" si="139"/>
        <v>1776</v>
      </c>
      <c r="P895" s="66">
        <f t="shared" ca="1" si="139"/>
        <v>1959</v>
      </c>
    </row>
    <row r="896" spans="1:16">
      <c r="A896" s="350">
        <f>'Unit Mix &amp; Rents'!A23</f>
        <v>0</v>
      </c>
      <c r="B896" s="351">
        <f>'Unit Mix &amp; Rents'!B23</f>
        <v>0</v>
      </c>
      <c r="C896" s="352">
        <f>'Unit Mix &amp; Rents'!C23</f>
        <v>0</v>
      </c>
      <c r="D896" s="352">
        <f>'Unit Mix &amp; Rents'!D23</f>
        <v>0</v>
      </c>
      <c r="E896" s="353">
        <f>'Unit Mix &amp; Rents'!E23</f>
        <v>0</v>
      </c>
      <c r="F896" s="353">
        <f t="shared" si="136"/>
        <v>0</v>
      </c>
      <c r="G896" s="353">
        <f t="shared" si="137"/>
        <v>0</v>
      </c>
      <c r="H896" t="str">
        <f t="shared" si="138"/>
        <v/>
      </c>
      <c r="J896" s="362">
        <v>0.7</v>
      </c>
      <c r="K896" s="66">
        <f t="shared" ca="1" si="139"/>
        <v>1249</v>
      </c>
      <c r="L896" s="66">
        <f t="shared" ca="1" si="139"/>
        <v>1338</v>
      </c>
      <c r="M896" s="66">
        <f t="shared" ca="1" si="139"/>
        <v>1606</v>
      </c>
      <c r="N896" s="66">
        <f t="shared" ca="1" si="139"/>
        <v>1856</v>
      </c>
      <c r="O896" s="66">
        <f t="shared" ca="1" si="139"/>
        <v>2072</v>
      </c>
      <c r="P896" s="66">
        <f t="shared" ca="1" si="139"/>
        <v>2286</v>
      </c>
    </row>
    <row r="897" spans="1:16">
      <c r="A897" s="350">
        <f>'Unit Mix &amp; Rents'!A24</f>
        <v>0</v>
      </c>
      <c r="B897" s="351">
        <f>'Unit Mix &amp; Rents'!B24</f>
        <v>0</v>
      </c>
      <c r="C897" s="352">
        <f>'Unit Mix &amp; Rents'!C24</f>
        <v>0</v>
      </c>
      <c r="D897" s="352">
        <f>'Unit Mix &amp; Rents'!D24</f>
        <v>0</v>
      </c>
      <c r="E897" s="353">
        <f>'Unit Mix &amp; Rents'!E24</f>
        <v>0</v>
      </c>
      <c r="F897" s="353">
        <f t="shared" si="136"/>
        <v>0</v>
      </c>
      <c r="G897" s="353">
        <f t="shared" ref="G897:G900" si="140">D897*E897*12</f>
        <v>0</v>
      </c>
      <c r="H897" t="str">
        <f t="shared" si="138"/>
        <v/>
      </c>
      <c r="J897" s="362">
        <v>0.8</v>
      </c>
      <c r="K897" s="66">
        <f t="shared" ca="1" si="139"/>
        <v>1428</v>
      </c>
      <c r="L897" s="66">
        <f t="shared" ca="1" si="139"/>
        <v>1530</v>
      </c>
      <c r="M897" s="66">
        <f t="shared" ca="1" si="139"/>
        <v>1836</v>
      </c>
      <c r="N897" s="66">
        <f t="shared" ca="1" si="139"/>
        <v>2122</v>
      </c>
      <c r="O897" s="66">
        <f t="shared" ca="1" si="139"/>
        <v>2368</v>
      </c>
      <c r="P897" s="66">
        <f t="shared" ca="1" si="139"/>
        <v>2612</v>
      </c>
    </row>
    <row r="898" spans="1:16">
      <c r="A898" s="350">
        <f>'Unit Mix &amp; Rents'!A25</f>
        <v>0</v>
      </c>
      <c r="B898" s="351">
        <f>'Unit Mix &amp; Rents'!B25</f>
        <v>0</v>
      </c>
      <c r="C898" s="352">
        <f>'Unit Mix &amp; Rents'!C25</f>
        <v>0</v>
      </c>
      <c r="D898" s="352">
        <f>'Unit Mix &amp; Rents'!D25</f>
        <v>0</v>
      </c>
      <c r="E898" s="353">
        <f>'Unit Mix &amp; Rents'!E25</f>
        <v>0</v>
      </c>
      <c r="F898" s="353">
        <f t="shared" si="136"/>
        <v>0</v>
      </c>
      <c r="G898" s="353">
        <f t="shared" si="140"/>
        <v>0</v>
      </c>
      <c r="H898" t="str">
        <f t="shared" si="138"/>
        <v/>
      </c>
    </row>
    <row r="899" spans="1:16">
      <c r="A899" s="350">
        <f>'Unit Mix &amp; Rents'!A26</f>
        <v>0</v>
      </c>
      <c r="B899" s="351">
        <f>'Unit Mix &amp; Rents'!B26</f>
        <v>0</v>
      </c>
      <c r="C899" s="352">
        <f>'Unit Mix &amp; Rents'!C26</f>
        <v>0</v>
      </c>
      <c r="D899" s="352">
        <f>'Unit Mix &amp; Rents'!D26</f>
        <v>0</v>
      </c>
      <c r="E899" s="353">
        <f>'Unit Mix &amp; Rents'!E26</f>
        <v>0</v>
      </c>
      <c r="F899" s="353">
        <f t="shared" si="136"/>
        <v>0</v>
      </c>
      <c r="G899" s="353">
        <f t="shared" si="140"/>
        <v>0</v>
      </c>
      <c r="H899" t="str">
        <f t="shared" si="138"/>
        <v/>
      </c>
    </row>
    <row r="900" spans="1:16">
      <c r="A900" s="350">
        <f>'Unit Mix &amp; Rents'!A27</f>
        <v>0</v>
      </c>
      <c r="B900" s="351">
        <f>'Unit Mix &amp; Rents'!B27</f>
        <v>0</v>
      </c>
      <c r="C900" s="352">
        <f>'Unit Mix &amp; Rents'!C27</f>
        <v>0</v>
      </c>
      <c r="D900" s="352">
        <f>'Unit Mix &amp; Rents'!D27</f>
        <v>0</v>
      </c>
      <c r="E900" s="353">
        <f>'Unit Mix &amp; Rents'!E27</f>
        <v>0</v>
      </c>
      <c r="F900" s="353">
        <f t="shared" si="136"/>
        <v>0</v>
      </c>
      <c r="G900" s="353">
        <f t="shared" si="140"/>
        <v>0</v>
      </c>
      <c r="H900" t="str">
        <f t="shared" si="138"/>
        <v/>
      </c>
    </row>
    <row r="901" spans="1:16">
      <c r="A901" s="350">
        <f>'Unit Mix &amp; Rents'!A28</f>
        <v>0</v>
      </c>
      <c r="B901" s="351">
        <f>'Unit Mix &amp; Rents'!B28</f>
        <v>0</v>
      </c>
      <c r="C901" s="352">
        <f>'Unit Mix &amp; Rents'!C28</f>
        <v>0</v>
      </c>
      <c r="D901" s="352">
        <f>'Unit Mix &amp; Rents'!D28</f>
        <v>0</v>
      </c>
      <c r="E901" s="353">
        <f>'Unit Mix &amp; Rents'!E28</f>
        <v>0</v>
      </c>
      <c r="F901" s="353">
        <f t="shared" si="136"/>
        <v>0</v>
      </c>
      <c r="G901" s="353">
        <f t="shared" ref="G901:G949" si="141">D901*E901*12</f>
        <v>0</v>
      </c>
      <c r="H901" t="str">
        <f t="shared" si="138"/>
        <v/>
      </c>
    </row>
    <row r="902" spans="1:16">
      <c r="A902" s="350">
        <f>'Unit Mix &amp; Rents'!A29</f>
        <v>0</v>
      </c>
      <c r="B902" s="351">
        <f>'Unit Mix &amp; Rents'!B29</f>
        <v>0</v>
      </c>
      <c r="C902" s="352">
        <f>'Unit Mix &amp; Rents'!C29</f>
        <v>0</v>
      </c>
      <c r="D902" s="352">
        <f>'Unit Mix &amp; Rents'!D29</f>
        <v>0</v>
      </c>
      <c r="E902" s="353">
        <f>'Unit Mix &amp; Rents'!E29</f>
        <v>0</v>
      </c>
      <c r="F902" s="353">
        <f t="shared" si="136"/>
        <v>0</v>
      </c>
      <c r="G902" s="353">
        <f t="shared" si="141"/>
        <v>0</v>
      </c>
      <c r="H902" t="str">
        <f t="shared" si="138"/>
        <v/>
      </c>
    </row>
    <row r="903" spans="1:16">
      <c r="A903" s="350">
        <f>'Unit Mix &amp; Rents'!A30</f>
        <v>0</v>
      </c>
      <c r="B903" s="351">
        <f>'Unit Mix &amp; Rents'!B30</f>
        <v>0</v>
      </c>
      <c r="C903" s="352">
        <f>'Unit Mix &amp; Rents'!C30</f>
        <v>0</v>
      </c>
      <c r="D903" s="352">
        <f>'Unit Mix &amp; Rents'!D30</f>
        <v>0</v>
      </c>
      <c r="E903" s="353">
        <f>'Unit Mix &amp; Rents'!E30</f>
        <v>0</v>
      </c>
      <c r="F903" s="353">
        <f t="shared" si="136"/>
        <v>0</v>
      </c>
      <c r="G903" s="353">
        <f t="shared" si="141"/>
        <v>0</v>
      </c>
      <c r="H903" t="str">
        <f t="shared" si="138"/>
        <v/>
      </c>
    </row>
    <row r="904" spans="1:16">
      <c r="A904" s="350">
        <f>'Unit Mix &amp; Rents'!A31</f>
        <v>0</v>
      </c>
      <c r="B904" s="351">
        <f>'Unit Mix &amp; Rents'!B31</f>
        <v>0</v>
      </c>
      <c r="C904" s="352">
        <f>'Unit Mix &amp; Rents'!C31</f>
        <v>0</v>
      </c>
      <c r="D904" s="352">
        <f>'Unit Mix &amp; Rents'!D31</f>
        <v>0</v>
      </c>
      <c r="E904" s="353">
        <f>'Unit Mix &amp; Rents'!E31</f>
        <v>0</v>
      </c>
      <c r="F904" s="353">
        <f t="shared" si="136"/>
        <v>0</v>
      </c>
      <c r="G904" s="353">
        <f t="shared" si="141"/>
        <v>0</v>
      </c>
      <c r="H904" t="str">
        <f t="shared" si="138"/>
        <v/>
      </c>
    </row>
    <row r="905" spans="1:16">
      <c r="A905" s="350">
        <f>'Unit Mix &amp; Rents'!A32</f>
        <v>0</v>
      </c>
      <c r="B905" s="351">
        <f>'Unit Mix &amp; Rents'!B32</f>
        <v>0</v>
      </c>
      <c r="C905" s="352">
        <f>'Unit Mix &amp; Rents'!C32</f>
        <v>0</v>
      </c>
      <c r="D905" s="352">
        <f>'Unit Mix &amp; Rents'!D32</f>
        <v>0</v>
      </c>
      <c r="E905" s="353">
        <f>'Unit Mix &amp; Rents'!E32</f>
        <v>0</v>
      </c>
      <c r="F905" s="353">
        <f t="shared" si="136"/>
        <v>0</v>
      </c>
      <c r="G905" s="353">
        <f t="shared" si="141"/>
        <v>0</v>
      </c>
      <c r="H905" t="str">
        <f t="shared" si="138"/>
        <v/>
      </c>
    </row>
    <row r="906" spans="1:16">
      <c r="A906" s="350">
        <f>'Unit Mix &amp; Rents'!A33</f>
        <v>0</v>
      </c>
      <c r="B906" s="351">
        <f>'Unit Mix &amp; Rents'!B33</f>
        <v>0</v>
      </c>
      <c r="C906" s="352">
        <f>'Unit Mix &amp; Rents'!C33</f>
        <v>0</v>
      </c>
      <c r="D906" s="352">
        <f>'Unit Mix &amp; Rents'!D33</f>
        <v>0</v>
      </c>
      <c r="E906" s="353">
        <f>'Unit Mix &amp; Rents'!E33</f>
        <v>0</v>
      </c>
      <c r="F906" s="353">
        <f t="shared" si="136"/>
        <v>0</v>
      </c>
      <c r="G906" s="353">
        <f t="shared" si="141"/>
        <v>0</v>
      </c>
      <c r="H906" t="str">
        <f t="shared" si="138"/>
        <v/>
      </c>
    </row>
    <row r="907" spans="1:16">
      <c r="A907" s="350">
        <f>'Unit Mix &amp; Rents'!A34</f>
        <v>0</v>
      </c>
      <c r="B907" s="351">
        <f>'Unit Mix &amp; Rents'!B34</f>
        <v>0</v>
      </c>
      <c r="C907" s="352">
        <f>'Unit Mix &amp; Rents'!C34</f>
        <v>0</v>
      </c>
      <c r="D907" s="352">
        <f>'Unit Mix &amp; Rents'!D34</f>
        <v>0</v>
      </c>
      <c r="E907" s="353">
        <f>'Unit Mix &amp; Rents'!E34</f>
        <v>0</v>
      </c>
      <c r="F907" s="353">
        <f t="shared" si="136"/>
        <v>0</v>
      </c>
      <c r="G907" s="353">
        <f t="shared" si="141"/>
        <v>0</v>
      </c>
      <c r="H907" t="str">
        <f t="shared" si="138"/>
        <v/>
      </c>
    </row>
    <row r="908" spans="1:16">
      <c r="A908" s="350">
        <f>'Unit Mix &amp; Rents'!A35</f>
        <v>0</v>
      </c>
      <c r="B908" s="351">
        <f>'Unit Mix &amp; Rents'!B35</f>
        <v>0</v>
      </c>
      <c r="C908" s="352">
        <f>'Unit Mix &amp; Rents'!C35</f>
        <v>0</v>
      </c>
      <c r="D908" s="352">
        <f>'Unit Mix &amp; Rents'!D35</f>
        <v>0</v>
      </c>
      <c r="E908" s="353">
        <f>'Unit Mix &amp; Rents'!E35</f>
        <v>0</v>
      </c>
      <c r="F908" s="353">
        <f t="shared" si="136"/>
        <v>0</v>
      </c>
      <c r="G908" s="353">
        <f t="shared" si="141"/>
        <v>0</v>
      </c>
      <c r="H908" t="str">
        <f t="shared" si="138"/>
        <v/>
      </c>
    </row>
    <row r="909" spans="1:16">
      <c r="A909" s="350">
        <f>'Unit Mix &amp; Rents'!A36</f>
        <v>0</v>
      </c>
      <c r="B909" s="351">
        <f>'Unit Mix &amp; Rents'!B36</f>
        <v>0</v>
      </c>
      <c r="C909" s="352">
        <f>'Unit Mix &amp; Rents'!C36</f>
        <v>0</v>
      </c>
      <c r="D909" s="352">
        <f>'Unit Mix &amp; Rents'!D36</f>
        <v>0</v>
      </c>
      <c r="E909" s="353">
        <f>'Unit Mix &amp; Rents'!E36</f>
        <v>0</v>
      </c>
      <c r="F909" s="353">
        <f t="shared" si="136"/>
        <v>0</v>
      </c>
      <c r="G909" s="353">
        <f t="shared" si="141"/>
        <v>0</v>
      </c>
      <c r="H909" t="str">
        <f t="shared" si="138"/>
        <v/>
      </c>
    </row>
    <row r="910" spans="1:16">
      <c r="A910" s="350">
        <f>'Unit Mix &amp; Rents'!A37</f>
        <v>0</v>
      </c>
      <c r="B910" s="351">
        <f>'Unit Mix &amp; Rents'!B37</f>
        <v>0</v>
      </c>
      <c r="C910" s="352">
        <f>'Unit Mix &amp; Rents'!C37</f>
        <v>0</v>
      </c>
      <c r="D910" s="352">
        <f>'Unit Mix &amp; Rents'!D37</f>
        <v>0</v>
      </c>
      <c r="E910" s="353">
        <f>'Unit Mix &amp; Rents'!E37</f>
        <v>0</v>
      </c>
      <c r="F910" s="353">
        <f t="shared" si="136"/>
        <v>0</v>
      </c>
      <c r="G910" s="353">
        <f t="shared" si="141"/>
        <v>0</v>
      </c>
      <c r="H910" t="str">
        <f t="shared" si="138"/>
        <v/>
      </c>
    </row>
    <row r="911" spans="1:16">
      <c r="A911" s="350">
        <f>'Unit Mix &amp; Rents'!A38</f>
        <v>0</v>
      </c>
      <c r="B911" s="351">
        <f>'Unit Mix &amp; Rents'!B38</f>
        <v>0</v>
      </c>
      <c r="C911" s="352">
        <f>'Unit Mix &amp; Rents'!C38</f>
        <v>0</v>
      </c>
      <c r="D911" s="352">
        <f>'Unit Mix &amp; Rents'!D38</f>
        <v>0</v>
      </c>
      <c r="E911" s="353">
        <f>'Unit Mix &amp; Rents'!E38</f>
        <v>0</v>
      </c>
      <c r="F911" s="353">
        <f t="shared" si="136"/>
        <v>0</v>
      </c>
      <c r="G911" s="353">
        <f t="shared" si="141"/>
        <v>0</v>
      </c>
      <c r="H911" t="str">
        <f t="shared" si="138"/>
        <v/>
      </c>
    </row>
    <row r="912" spans="1:16">
      <c r="A912" s="350">
        <f>'Unit Mix &amp; Rents'!A39</f>
        <v>0</v>
      </c>
      <c r="B912" s="351">
        <f>'Unit Mix &amp; Rents'!B39</f>
        <v>0</v>
      </c>
      <c r="C912" s="352">
        <f>'Unit Mix &amp; Rents'!C39</f>
        <v>0</v>
      </c>
      <c r="D912" s="352">
        <f>'Unit Mix &amp; Rents'!D39</f>
        <v>0</v>
      </c>
      <c r="E912" s="353">
        <f>'Unit Mix &amp; Rents'!E39</f>
        <v>0</v>
      </c>
      <c r="F912" s="353">
        <f t="shared" si="136"/>
        <v>0</v>
      </c>
      <c r="G912" s="353">
        <f t="shared" si="141"/>
        <v>0</v>
      </c>
      <c r="H912" t="str">
        <f t="shared" si="138"/>
        <v/>
      </c>
    </row>
    <row r="913" spans="1:8">
      <c r="A913" s="350">
        <f>'Unit Mix &amp; Rents'!A40</f>
        <v>0</v>
      </c>
      <c r="B913" s="351">
        <f>'Unit Mix &amp; Rents'!B40</f>
        <v>0</v>
      </c>
      <c r="C913" s="352">
        <f>'Unit Mix &amp; Rents'!C40</f>
        <v>0</v>
      </c>
      <c r="D913" s="352">
        <f>'Unit Mix &amp; Rents'!D40</f>
        <v>0</v>
      </c>
      <c r="E913" s="353">
        <f>'Unit Mix &amp; Rents'!E40</f>
        <v>0</v>
      </c>
      <c r="F913" s="353">
        <f t="shared" si="136"/>
        <v>0</v>
      </c>
      <c r="G913" s="353">
        <f t="shared" si="141"/>
        <v>0</v>
      </c>
      <c r="H913" t="str">
        <f t="shared" si="138"/>
        <v/>
      </c>
    </row>
    <row r="914" spans="1:8">
      <c r="A914" s="350">
        <f>'Unit Mix &amp; Rents'!A41</f>
        <v>0</v>
      </c>
      <c r="B914" s="351">
        <f>'Unit Mix &amp; Rents'!B41</f>
        <v>0</v>
      </c>
      <c r="C914" s="352">
        <f>'Unit Mix &amp; Rents'!C41</f>
        <v>0</v>
      </c>
      <c r="D914" s="352">
        <f>'Unit Mix &amp; Rents'!D41</f>
        <v>0</v>
      </c>
      <c r="E914" s="353">
        <f>'Unit Mix &amp; Rents'!E41</f>
        <v>0</v>
      </c>
      <c r="F914" s="353">
        <f t="shared" si="136"/>
        <v>0</v>
      </c>
      <c r="G914" s="353">
        <f t="shared" si="141"/>
        <v>0</v>
      </c>
      <c r="H914" t="str">
        <f t="shared" si="138"/>
        <v/>
      </c>
    </row>
    <row r="915" spans="1:8">
      <c r="A915" s="350">
        <f>'Unit Mix &amp; Rents'!A42</f>
        <v>0</v>
      </c>
      <c r="B915" s="351">
        <f>'Unit Mix &amp; Rents'!B42</f>
        <v>0</v>
      </c>
      <c r="C915" s="352">
        <f>'Unit Mix &amp; Rents'!C42</f>
        <v>0</v>
      </c>
      <c r="D915" s="352">
        <f>'Unit Mix &amp; Rents'!D42</f>
        <v>0</v>
      </c>
      <c r="E915" s="353">
        <f>'Unit Mix &amp; Rents'!E42</f>
        <v>0</v>
      </c>
      <c r="F915" s="353">
        <f t="shared" si="136"/>
        <v>0</v>
      </c>
      <c r="G915" s="353">
        <f t="shared" si="141"/>
        <v>0</v>
      </c>
      <c r="H915" t="str">
        <f t="shared" si="138"/>
        <v/>
      </c>
    </row>
    <row r="916" spans="1:8">
      <c r="A916" s="350">
        <f>'Unit Mix &amp; Rents'!A43</f>
        <v>0</v>
      </c>
      <c r="B916" s="351">
        <f>'Unit Mix &amp; Rents'!B43</f>
        <v>0</v>
      </c>
      <c r="C916" s="352">
        <f>'Unit Mix &amp; Rents'!C43</f>
        <v>0</v>
      </c>
      <c r="D916" s="352">
        <f>'Unit Mix &amp; Rents'!D43</f>
        <v>0</v>
      </c>
      <c r="E916" s="353">
        <f>'Unit Mix &amp; Rents'!E43</f>
        <v>0</v>
      </c>
      <c r="F916" s="353">
        <f t="shared" si="136"/>
        <v>0</v>
      </c>
      <c r="G916" s="353">
        <f t="shared" si="141"/>
        <v>0</v>
      </c>
      <c r="H916" t="str">
        <f t="shared" si="138"/>
        <v/>
      </c>
    </row>
    <row r="917" spans="1:8">
      <c r="A917" s="350">
        <f>'Unit Mix &amp; Rents'!A44</f>
        <v>0</v>
      </c>
      <c r="B917" s="351">
        <f>'Unit Mix &amp; Rents'!B44</f>
        <v>0</v>
      </c>
      <c r="C917" s="352">
        <f>'Unit Mix &amp; Rents'!C44</f>
        <v>0</v>
      </c>
      <c r="D917" s="352">
        <f>'Unit Mix &amp; Rents'!D44</f>
        <v>0</v>
      </c>
      <c r="E917" s="353">
        <f>'Unit Mix &amp; Rents'!E44</f>
        <v>0</v>
      </c>
      <c r="F917" s="353">
        <f t="shared" si="136"/>
        <v>0</v>
      </c>
      <c r="G917" s="353">
        <f t="shared" si="141"/>
        <v>0</v>
      </c>
      <c r="H917" t="str">
        <f t="shared" si="138"/>
        <v/>
      </c>
    </row>
    <row r="918" spans="1:8">
      <c r="A918" s="350">
        <f>'Unit Mix &amp; Rents'!A45</f>
        <v>0</v>
      </c>
      <c r="B918" s="351">
        <f>'Unit Mix &amp; Rents'!B45</f>
        <v>0</v>
      </c>
      <c r="C918" s="352">
        <f>'Unit Mix &amp; Rents'!C45</f>
        <v>0</v>
      </c>
      <c r="D918" s="352">
        <f>'Unit Mix &amp; Rents'!D45</f>
        <v>0</v>
      </c>
      <c r="E918" s="353">
        <f>'Unit Mix &amp; Rents'!E45</f>
        <v>0</v>
      </c>
      <c r="F918" s="353">
        <f t="shared" si="136"/>
        <v>0</v>
      </c>
      <c r="G918" s="353">
        <f t="shared" si="141"/>
        <v>0</v>
      </c>
      <c r="H918" t="str">
        <f t="shared" si="138"/>
        <v/>
      </c>
    </row>
    <row r="919" spans="1:8">
      <c r="A919" s="350">
        <f>'Unit Mix &amp; Rents'!A46</f>
        <v>0</v>
      </c>
      <c r="B919" s="351">
        <f>'Unit Mix &amp; Rents'!B46</f>
        <v>0</v>
      </c>
      <c r="C919" s="352">
        <f>'Unit Mix &amp; Rents'!C46</f>
        <v>0</v>
      </c>
      <c r="D919" s="352">
        <f>'Unit Mix &amp; Rents'!D46</f>
        <v>0</v>
      </c>
      <c r="E919" s="353">
        <f>'Unit Mix &amp; Rents'!E46</f>
        <v>0</v>
      </c>
      <c r="F919" s="353">
        <f t="shared" si="136"/>
        <v>0</v>
      </c>
      <c r="G919" s="353">
        <f t="shared" si="141"/>
        <v>0</v>
      </c>
      <c r="H919" t="str">
        <f t="shared" si="138"/>
        <v/>
      </c>
    </row>
    <row r="920" spans="1:8">
      <c r="A920" s="350">
        <f>'Unit Mix &amp; Rents'!A47</f>
        <v>0</v>
      </c>
      <c r="B920" s="351">
        <f>'Unit Mix &amp; Rents'!B47</f>
        <v>0</v>
      </c>
      <c r="C920" s="352">
        <f>'Unit Mix &amp; Rents'!C47</f>
        <v>0</v>
      </c>
      <c r="D920" s="352">
        <f>'Unit Mix &amp; Rents'!D47</f>
        <v>0</v>
      </c>
      <c r="E920" s="353">
        <f>'Unit Mix &amp; Rents'!E47</f>
        <v>0</v>
      </c>
      <c r="F920" s="353">
        <f t="shared" si="136"/>
        <v>0</v>
      </c>
      <c r="G920" s="353">
        <f t="shared" si="141"/>
        <v>0</v>
      </c>
      <c r="H920" t="str">
        <f t="shared" si="138"/>
        <v/>
      </c>
    </row>
    <row r="921" spans="1:8">
      <c r="A921" s="350">
        <f>'Unit Mix &amp; Rents'!A48</f>
        <v>0</v>
      </c>
      <c r="B921" s="351">
        <f>'Unit Mix &amp; Rents'!B48</f>
        <v>0</v>
      </c>
      <c r="C921" s="352">
        <f>'Unit Mix &amp; Rents'!C48</f>
        <v>0</v>
      </c>
      <c r="D921" s="352">
        <f>'Unit Mix &amp; Rents'!D48</f>
        <v>0</v>
      </c>
      <c r="E921" s="353">
        <f>'Unit Mix &amp; Rents'!E48</f>
        <v>0</v>
      </c>
      <c r="F921" s="353">
        <f t="shared" si="136"/>
        <v>0</v>
      </c>
      <c r="G921" s="353">
        <f t="shared" si="141"/>
        <v>0</v>
      </c>
      <c r="H921" t="str">
        <f t="shared" si="138"/>
        <v/>
      </c>
    </row>
    <row r="922" spans="1:8">
      <c r="A922" s="350">
        <f>'Unit Mix &amp; Rents'!A49</f>
        <v>0</v>
      </c>
      <c r="B922" s="351">
        <f>'Unit Mix &amp; Rents'!B49</f>
        <v>0</v>
      </c>
      <c r="C922" s="352">
        <f>'Unit Mix &amp; Rents'!C49</f>
        <v>0</v>
      </c>
      <c r="D922" s="352">
        <f>'Unit Mix &amp; Rents'!D49</f>
        <v>0</v>
      </c>
      <c r="E922" s="353">
        <f>'Unit Mix &amp; Rents'!E49</f>
        <v>0</v>
      </c>
      <c r="F922" s="353">
        <f t="shared" si="136"/>
        <v>0</v>
      </c>
      <c r="G922" s="353">
        <f t="shared" si="141"/>
        <v>0</v>
      </c>
      <c r="H922" t="str">
        <f t="shared" si="138"/>
        <v/>
      </c>
    </row>
    <row r="923" spans="1:8">
      <c r="A923" s="350">
        <f>'Unit Mix &amp; Rents'!A50</f>
        <v>0</v>
      </c>
      <c r="B923" s="351">
        <f>'Unit Mix &amp; Rents'!B50</f>
        <v>0</v>
      </c>
      <c r="C923" s="352">
        <f>'Unit Mix &amp; Rents'!C50</f>
        <v>0</v>
      </c>
      <c r="D923" s="352">
        <f>'Unit Mix &amp; Rents'!D50</f>
        <v>0</v>
      </c>
      <c r="E923" s="353">
        <f>'Unit Mix &amp; Rents'!E50</f>
        <v>0</v>
      </c>
      <c r="F923" s="353">
        <f t="shared" si="136"/>
        <v>0</v>
      </c>
      <c r="G923" s="353">
        <f t="shared" si="141"/>
        <v>0</v>
      </c>
      <c r="H923" t="str">
        <f t="shared" si="138"/>
        <v/>
      </c>
    </row>
    <row r="924" spans="1:8">
      <c r="A924" s="350">
        <f>'Unit Mix &amp; Rents'!A51</f>
        <v>0</v>
      </c>
      <c r="B924" s="351">
        <f>'Unit Mix &amp; Rents'!B51</f>
        <v>0</v>
      </c>
      <c r="C924" s="352">
        <f>'Unit Mix &amp; Rents'!C51</f>
        <v>0</v>
      </c>
      <c r="D924" s="352">
        <f>'Unit Mix &amp; Rents'!D51</f>
        <v>0</v>
      </c>
      <c r="E924" s="353">
        <f>'Unit Mix &amp; Rents'!E51</f>
        <v>0</v>
      </c>
      <c r="F924" s="353">
        <f t="shared" si="136"/>
        <v>0</v>
      </c>
      <c r="G924" s="353">
        <f t="shared" si="141"/>
        <v>0</v>
      </c>
      <c r="H924" t="str">
        <f t="shared" si="138"/>
        <v/>
      </c>
    </row>
    <row r="925" spans="1:8">
      <c r="A925" s="350">
        <f>'Unit Mix &amp; Rents'!A52</f>
        <v>0</v>
      </c>
      <c r="B925" s="351">
        <f>'Unit Mix &amp; Rents'!B52</f>
        <v>0</v>
      </c>
      <c r="C925" s="352">
        <f>'Unit Mix &amp; Rents'!C52</f>
        <v>0</v>
      </c>
      <c r="D925" s="352">
        <f>'Unit Mix &amp; Rents'!D52</f>
        <v>0</v>
      </c>
      <c r="E925" s="353">
        <f>'Unit Mix &amp; Rents'!E52</f>
        <v>0</v>
      </c>
      <c r="F925" s="353">
        <f t="shared" si="136"/>
        <v>0</v>
      </c>
      <c r="G925" s="353">
        <f t="shared" si="141"/>
        <v>0</v>
      </c>
      <c r="H925" t="str">
        <f t="shared" si="138"/>
        <v/>
      </c>
    </row>
    <row r="926" spans="1:8">
      <c r="A926" s="350">
        <f>'Unit Mix &amp; Rents'!A53</f>
        <v>0</v>
      </c>
      <c r="B926" s="351">
        <f>'Unit Mix &amp; Rents'!B53</f>
        <v>0</v>
      </c>
      <c r="C926" s="352">
        <f>'Unit Mix &amp; Rents'!C53</f>
        <v>0</v>
      </c>
      <c r="D926" s="352">
        <f>'Unit Mix &amp; Rents'!D53</f>
        <v>0</v>
      </c>
      <c r="E926" s="353">
        <f>'Unit Mix &amp; Rents'!E53</f>
        <v>0</v>
      </c>
      <c r="F926" s="353">
        <f t="shared" si="136"/>
        <v>0</v>
      </c>
      <c r="G926" s="353">
        <f t="shared" si="141"/>
        <v>0</v>
      </c>
      <c r="H926" t="str">
        <f t="shared" si="138"/>
        <v/>
      </c>
    </row>
    <row r="927" spans="1:8">
      <c r="A927" s="350">
        <f>'Unit Mix &amp; Rents'!A54</f>
        <v>0</v>
      </c>
      <c r="B927" s="351">
        <f>'Unit Mix &amp; Rents'!B54</f>
        <v>0</v>
      </c>
      <c r="C927" s="352">
        <f>'Unit Mix &amp; Rents'!C54</f>
        <v>0</v>
      </c>
      <c r="D927" s="352">
        <f>'Unit Mix &amp; Rents'!D54</f>
        <v>0</v>
      </c>
      <c r="E927" s="353">
        <f>'Unit Mix &amp; Rents'!E54</f>
        <v>0</v>
      </c>
      <c r="F927" s="353">
        <f t="shared" si="136"/>
        <v>0</v>
      </c>
      <c r="G927" s="353">
        <f t="shared" si="141"/>
        <v>0</v>
      </c>
      <c r="H927" t="str">
        <f t="shared" si="138"/>
        <v/>
      </c>
    </row>
    <row r="928" spans="1:8">
      <c r="A928" s="350">
        <f>'Unit Mix &amp; Rents'!A55</f>
        <v>0</v>
      </c>
      <c r="B928" s="351">
        <f>'Unit Mix &amp; Rents'!B55</f>
        <v>0</v>
      </c>
      <c r="C928" s="352">
        <f>'Unit Mix &amp; Rents'!C55</f>
        <v>0</v>
      </c>
      <c r="D928" s="352">
        <f>'Unit Mix &amp; Rents'!D55</f>
        <v>0</v>
      </c>
      <c r="E928" s="353">
        <f>'Unit Mix &amp; Rents'!E55</f>
        <v>0</v>
      </c>
      <c r="F928" s="353">
        <f t="shared" si="136"/>
        <v>0</v>
      </c>
      <c r="G928" s="353">
        <f t="shared" si="141"/>
        <v>0</v>
      </c>
      <c r="H928" t="str">
        <f t="shared" si="138"/>
        <v/>
      </c>
    </row>
    <row r="929" spans="1:8">
      <c r="A929" s="350">
        <f>'Unit Mix &amp; Rents'!A56</f>
        <v>0</v>
      </c>
      <c r="B929" s="351">
        <f>'Unit Mix &amp; Rents'!B56</f>
        <v>0</v>
      </c>
      <c r="C929" s="352">
        <f>'Unit Mix &amp; Rents'!C56</f>
        <v>0</v>
      </c>
      <c r="D929" s="352">
        <f>'Unit Mix &amp; Rents'!D56</f>
        <v>0</v>
      </c>
      <c r="E929" s="353">
        <f>'Unit Mix &amp; Rents'!E56</f>
        <v>0</v>
      </c>
      <c r="F929" s="353">
        <f t="shared" si="136"/>
        <v>0</v>
      </c>
      <c r="G929" s="353">
        <f t="shared" si="141"/>
        <v>0</v>
      </c>
      <c r="H929" t="str">
        <f t="shared" si="138"/>
        <v/>
      </c>
    </row>
    <row r="930" spans="1:8">
      <c r="A930" s="350">
        <f>'Unit Mix &amp; Rents'!A57</f>
        <v>0</v>
      </c>
      <c r="B930" s="351">
        <f>'Unit Mix &amp; Rents'!B57</f>
        <v>0</v>
      </c>
      <c r="C930" s="352">
        <f>'Unit Mix &amp; Rents'!C57</f>
        <v>0</v>
      </c>
      <c r="D930" s="352">
        <f>'Unit Mix &amp; Rents'!D57</f>
        <v>0</v>
      </c>
      <c r="E930" s="353">
        <f>'Unit Mix &amp; Rents'!E57</f>
        <v>0</v>
      </c>
      <c r="F930" s="353">
        <f t="shared" si="136"/>
        <v>0</v>
      </c>
      <c r="G930" s="353">
        <f t="shared" si="141"/>
        <v>0</v>
      </c>
      <c r="H930" t="str">
        <f t="shared" si="138"/>
        <v/>
      </c>
    </row>
    <row r="931" spans="1:8">
      <c r="A931" s="350">
        <f>'Unit Mix &amp; Rents'!A58</f>
        <v>0</v>
      </c>
      <c r="B931" s="351">
        <f>'Unit Mix &amp; Rents'!B58</f>
        <v>0</v>
      </c>
      <c r="C931" s="352">
        <f>'Unit Mix &amp; Rents'!C58</f>
        <v>0</v>
      </c>
      <c r="D931" s="352">
        <f>'Unit Mix &amp; Rents'!D58</f>
        <v>0</v>
      </c>
      <c r="E931" s="353">
        <f>'Unit Mix &amp; Rents'!E58</f>
        <v>0</v>
      </c>
      <c r="F931" s="353">
        <f t="shared" si="136"/>
        <v>0</v>
      </c>
      <c r="G931" s="353">
        <f t="shared" si="141"/>
        <v>0</v>
      </c>
      <c r="H931" t="str">
        <f t="shared" si="138"/>
        <v/>
      </c>
    </row>
    <row r="932" spans="1:8">
      <c r="A932" s="350">
        <f>'Unit Mix &amp; Rents'!A59</f>
        <v>0</v>
      </c>
      <c r="B932" s="351">
        <f>'Unit Mix &amp; Rents'!B59</f>
        <v>0</v>
      </c>
      <c r="C932" s="352">
        <f>'Unit Mix &amp; Rents'!C59</f>
        <v>0</v>
      </c>
      <c r="D932" s="352">
        <f>'Unit Mix &amp; Rents'!D59</f>
        <v>0</v>
      </c>
      <c r="E932" s="353">
        <f>'Unit Mix &amp; Rents'!E59</f>
        <v>0</v>
      </c>
      <c r="F932" s="353">
        <f t="shared" si="136"/>
        <v>0</v>
      </c>
      <c r="G932" s="353">
        <f t="shared" si="141"/>
        <v>0</v>
      </c>
      <c r="H932" t="str">
        <f t="shared" si="138"/>
        <v/>
      </c>
    </row>
    <row r="933" spans="1:8">
      <c r="A933" s="350">
        <f>'Unit Mix &amp; Rents'!A60</f>
        <v>0</v>
      </c>
      <c r="B933" s="351">
        <f>'Unit Mix &amp; Rents'!B60</f>
        <v>0</v>
      </c>
      <c r="C933" s="352">
        <f>'Unit Mix &amp; Rents'!C60</f>
        <v>0</v>
      </c>
      <c r="D933" s="352">
        <f>'Unit Mix &amp; Rents'!D60</f>
        <v>0</v>
      </c>
      <c r="E933" s="353">
        <f>'Unit Mix &amp; Rents'!E60</f>
        <v>0</v>
      </c>
      <c r="F933" s="353">
        <f t="shared" si="136"/>
        <v>0</v>
      </c>
      <c r="G933" s="353">
        <f t="shared" si="141"/>
        <v>0</v>
      </c>
      <c r="H933" t="str">
        <f t="shared" si="138"/>
        <v/>
      </c>
    </row>
    <row r="934" spans="1:8">
      <c r="A934" s="350">
        <f>'Unit Mix &amp; Rents'!A61</f>
        <v>0</v>
      </c>
      <c r="B934" s="351">
        <f>'Unit Mix &amp; Rents'!B61</f>
        <v>0</v>
      </c>
      <c r="C934" s="352">
        <f>'Unit Mix &amp; Rents'!C61</f>
        <v>0</v>
      </c>
      <c r="D934" s="352">
        <f>'Unit Mix &amp; Rents'!D61</f>
        <v>0</v>
      </c>
      <c r="E934" s="353">
        <f>'Unit Mix &amp; Rents'!E61</f>
        <v>0</v>
      </c>
      <c r="F934" s="353">
        <f t="shared" si="136"/>
        <v>0</v>
      </c>
      <c r="G934" s="353">
        <f t="shared" si="141"/>
        <v>0</v>
      </c>
      <c r="H934" t="str">
        <f t="shared" si="138"/>
        <v/>
      </c>
    </row>
    <row r="935" spans="1:8">
      <c r="A935" s="350">
        <f>'Unit Mix &amp; Rents'!A62</f>
        <v>0</v>
      </c>
      <c r="B935" s="351">
        <f>'Unit Mix &amp; Rents'!B62</f>
        <v>0</v>
      </c>
      <c r="C935" s="352">
        <f>'Unit Mix &amp; Rents'!C62</f>
        <v>0</v>
      </c>
      <c r="D935" s="352">
        <f>'Unit Mix &amp; Rents'!D62</f>
        <v>0</v>
      </c>
      <c r="E935" s="353">
        <f>'Unit Mix &amp; Rents'!E62</f>
        <v>0</v>
      </c>
      <c r="F935" s="353">
        <f t="shared" si="136"/>
        <v>0</v>
      </c>
      <c r="G935" s="353">
        <f t="shared" si="141"/>
        <v>0</v>
      </c>
      <c r="H935" t="str">
        <f t="shared" si="138"/>
        <v/>
      </c>
    </row>
    <row r="936" spans="1:8">
      <c r="A936" s="350">
        <f>'Unit Mix &amp; Rents'!A63</f>
        <v>0</v>
      </c>
      <c r="B936" s="351">
        <f>'Unit Mix &amp; Rents'!B63</f>
        <v>0</v>
      </c>
      <c r="C936" s="352">
        <f>'Unit Mix &amp; Rents'!C63</f>
        <v>0</v>
      </c>
      <c r="D936" s="352">
        <f>'Unit Mix &amp; Rents'!D63</f>
        <v>0</v>
      </c>
      <c r="E936" s="353">
        <f>'Unit Mix &amp; Rents'!E63</f>
        <v>0</v>
      </c>
      <c r="F936" s="353">
        <f t="shared" si="136"/>
        <v>0</v>
      </c>
      <c r="G936" s="353">
        <f t="shared" si="141"/>
        <v>0</v>
      </c>
      <c r="H936" t="str">
        <f t="shared" si="138"/>
        <v/>
      </c>
    </row>
    <row r="937" spans="1:8">
      <c r="A937" s="350">
        <f>'Unit Mix &amp; Rents'!A64</f>
        <v>0</v>
      </c>
      <c r="B937" s="351">
        <f>'Unit Mix &amp; Rents'!B64</f>
        <v>0</v>
      </c>
      <c r="C937" s="352">
        <f>'Unit Mix &amp; Rents'!C64</f>
        <v>0</v>
      </c>
      <c r="D937" s="352">
        <f>'Unit Mix &amp; Rents'!D64</f>
        <v>0</v>
      </c>
      <c r="E937" s="353">
        <f>'Unit Mix &amp; Rents'!E64</f>
        <v>0</v>
      </c>
      <c r="F937" s="353">
        <f t="shared" si="136"/>
        <v>0</v>
      </c>
      <c r="G937" s="353">
        <f t="shared" si="141"/>
        <v>0</v>
      </c>
      <c r="H937" t="str">
        <f t="shared" si="138"/>
        <v/>
      </c>
    </row>
    <row r="938" spans="1:8">
      <c r="A938" s="350">
        <f>'Unit Mix &amp; Rents'!A65</f>
        <v>0</v>
      </c>
      <c r="B938" s="351">
        <f>'Unit Mix &amp; Rents'!B65</f>
        <v>0</v>
      </c>
      <c r="C938" s="352">
        <f>'Unit Mix &amp; Rents'!C65</f>
        <v>0</v>
      </c>
      <c r="D938" s="352">
        <f>'Unit Mix &amp; Rents'!D65</f>
        <v>0</v>
      </c>
      <c r="E938" s="353">
        <f>'Unit Mix &amp; Rents'!E65</f>
        <v>0</v>
      </c>
      <c r="F938" s="353">
        <f t="shared" si="136"/>
        <v>0</v>
      </c>
      <c r="G938" s="353">
        <f t="shared" si="141"/>
        <v>0</v>
      </c>
      <c r="H938" t="str">
        <f t="shared" si="138"/>
        <v/>
      </c>
    </row>
    <row r="939" spans="1:8">
      <c r="A939" s="350">
        <f>'Unit Mix &amp; Rents'!A66</f>
        <v>0</v>
      </c>
      <c r="B939" s="351">
        <f>'Unit Mix &amp; Rents'!B66</f>
        <v>0</v>
      </c>
      <c r="C939" s="352">
        <f>'Unit Mix &amp; Rents'!C66</f>
        <v>0</v>
      </c>
      <c r="D939" s="352">
        <f>'Unit Mix &amp; Rents'!D66</f>
        <v>0</v>
      </c>
      <c r="E939" s="353">
        <f>'Unit Mix &amp; Rents'!E66</f>
        <v>0</v>
      </c>
      <c r="F939" s="353">
        <f t="shared" si="136"/>
        <v>0</v>
      </c>
      <c r="G939" s="353">
        <f t="shared" si="141"/>
        <v>0</v>
      </c>
      <c r="H939" t="str">
        <f t="shared" si="138"/>
        <v/>
      </c>
    </row>
    <row r="940" spans="1:8">
      <c r="A940" s="350">
        <f>'Unit Mix &amp; Rents'!A67</f>
        <v>0</v>
      </c>
      <c r="B940" s="351">
        <f>'Unit Mix &amp; Rents'!B67</f>
        <v>0</v>
      </c>
      <c r="C940" s="352">
        <f>'Unit Mix &amp; Rents'!C67</f>
        <v>0</v>
      </c>
      <c r="D940" s="352">
        <f>'Unit Mix &amp; Rents'!D67</f>
        <v>0</v>
      </c>
      <c r="E940" s="353">
        <f>'Unit Mix &amp; Rents'!E67</f>
        <v>0</v>
      </c>
      <c r="F940" s="353">
        <f t="shared" si="136"/>
        <v>0</v>
      </c>
      <c r="G940" s="353">
        <f t="shared" si="141"/>
        <v>0</v>
      </c>
      <c r="H940" t="str">
        <f t="shared" si="138"/>
        <v/>
      </c>
    </row>
    <row r="941" spans="1:8">
      <c r="A941" s="350">
        <f>'Unit Mix &amp; Rents'!A68</f>
        <v>0</v>
      </c>
      <c r="B941" s="351">
        <f>'Unit Mix &amp; Rents'!B68</f>
        <v>0</v>
      </c>
      <c r="C941" s="352">
        <f>'Unit Mix &amp; Rents'!C68</f>
        <v>0</v>
      </c>
      <c r="D941" s="352">
        <f>'Unit Mix &amp; Rents'!D68</f>
        <v>0</v>
      </c>
      <c r="E941" s="353">
        <f>'Unit Mix &amp; Rents'!E68</f>
        <v>0</v>
      </c>
      <c r="F941" s="353">
        <f t="shared" si="136"/>
        <v>0</v>
      </c>
      <c r="G941" s="353">
        <f t="shared" si="141"/>
        <v>0</v>
      </c>
      <c r="H941" t="str">
        <f t="shared" si="138"/>
        <v/>
      </c>
    </row>
    <row r="942" spans="1:8">
      <c r="A942" s="350">
        <f>'Unit Mix &amp; Rents'!A69</f>
        <v>0</v>
      </c>
      <c r="B942" s="351">
        <f>'Unit Mix &amp; Rents'!B69</f>
        <v>0</v>
      </c>
      <c r="C942" s="352">
        <f>'Unit Mix &amp; Rents'!C69</f>
        <v>0</v>
      </c>
      <c r="D942" s="352">
        <f>'Unit Mix &amp; Rents'!D69</f>
        <v>0</v>
      </c>
      <c r="E942" s="353">
        <f>'Unit Mix &amp; Rents'!E69</f>
        <v>0</v>
      </c>
      <c r="F942" s="353">
        <f t="shared" si="136"/>
        <v>0</v>
      </c>
      <c r="G942" s="353">
        <f t="shared" si="141"/>
        <v>0</v>
      </c>
      <c r="H942" t="str">
        <f t="shared" si="138"/>
        <v/>
      </c>
    </row>
    <row r="943" spans="1:8">
      <c r="A943" s="350">
        <f>'Unit Mix &amp; Rents'!A70</f>
        <v>0</v>
      </c>
      <c r="B943" s="351">
        <f>'Unit Mix &amp; Rents'!B70</f>
        <v>0</v>
      </c>
      <c r="C943" s="352">
        <f>'Unit Mix &amp; Rents'!C70</f>
        <v>0</v>
      </c>
      <c r="D943" s="352">
        <f>'Unit Mix &amp; Rents'!D70</f>
        <v>0</v>
      </c>
      <c r="E943" s="353">
        <f>'Unit Mix &amp; Rents'!E70</f>
        <v>0</v>
      </c>
      <c r="F943" s="353">
        <f t="shared" si="136"/>
        <v>0</v>
      </c>
      <c r="G943" s="353">
        <f t="shared" si="141"/>
        <v>0</v>
      </c>
      <c r="H943" t="str">
        <f t="shared" si="138"/>
        <v/>
      </c>
    </row>
    <row r="944" spans="1:8">
      <c r="A944" s="350">
        <f>'Unit Mix &amp; Rents'!A71</f>
        <v>0</v>
      </c>
      <c r="B944" s="351">
        <f>'Unit Mix &amp; Rents'!B71</f>
        <v>0</v>
      </c>
      <c r="C944" s="352">
        <f>'Unit Mix &amp; Rents'!C71</f>
        <v>0</v>
      </c>
      <c r="D944" s="352">
        <f>'Unit Mix &amp; Rents'!D71</f>
        <v>0</v>
      </c>
      <c r="E944" s="353">
        <f>'Unit Mix &amp; Rents'!E71</f>
        <v>0</v>
      </c>
      <c r="F944" s="353">
        <f t="shared" si="136"/>
        <v>0</v>
      </c>
      <c r="G944" s="353">
        <f t="shared" si="141"/>
        <v>0</v>
      </c>
      <c r="H944" t="str">
        <f t="shared" si="138"/>
        <v/>
      </c>
    </row>
    <row r="945" spans="1:8">
      <c r="A945" s="350">
        <f>'Unit Mix &amp; Rents'!A72</f>
        <v>0</v>
      </c>
      <c r="B945" s="351">
        <f>'Unit Mix &amp; Rents'!B72</f>
        <v>0</v>
      </c>
      <c r="C945" s="352">
        <f>'Unit Mix &amp; Rents'!C72</f>
        <v>0</v>
      </c>
      <c r="D945" s="352">
        <f>'Unit Mix &amp; Rents'!D72</f>
        <v>0</v>
      </c>
      <c r="E945" s="353">
        <f>'Unit Mix &amp; Rents'!E72</f>
        <v>0</v>
      </c>
      <c r="F945" s="353">
        <f t="shared" si="136"/>
        <v>0</v>
      </c>
      <c r="G945" s="353">
        <f t="shared" si="141"/>
        <v>0</v>
      </c>
      <c r="H945" t="str">
        <f t="shared" si="138"/>
        <v/>
      </c>
    </row>
    <row r="946" spans="1:8">
      <c r="A946" s="350">
        <f>'Unit Mix &amp; Rents'!A73</f>
        <v>0</v>
      </c>
      <c r="B946" s="351">
        <f>'Unit Mix &amp; Rents'!B73</f>
        <v>0</v>
      </c>
      <c r="C946" s="352">
        <f>'Unit Mix &amp; Rents'!C73</f>
        <v>0</v>
      </c>
      <c r="D946" s="352">
        <f>'Unit Mix &amp; Rents'!D73</f>
        <v>0</v>
      </c>
      <c r="E946" s="353">
        <f>'Unit Mix &amp; Rents'!E73</f>
        <v>0</v>
      </c>
      <c r="F946" s="353">
        <f t="shared" si="136"/>
        <v>0</v>
      </c>
      <c r="G946" s="353">
        <f t="shared" si="141"/>
        <v>0</v>
      </c>
      <c r="H946" t="str">
        <f t="shared" si="138"/>
        <v/>
      </c>
    </row>
    <row r="947" spans="1:8">
      <c r="A947" s="350">
        <f>'Unit Mix &amp; Rents'!A74</f>
        <v>0</v>
      </c>
      <c r="B947" s="351">
        <f>'Unit Mix &amp; Rents'!B74</f>
        <v>0</v>
      </c>
      <c r="C947" s="352">
        <f>'Unit Mix &amp; Rents'!C74</f>
        <v>0</v>
      </c>
      <c r="D947" s="352">
        <f>'Unit Mix &amp; Rents'!D74</f>
        <v>0</v>
      </c>
      <c r="E947" s="353">
        <f>'Unit Mix &amp; Rents'!E74</f>
        <v>0</v>
      </c>
      <c r="F947" s="353">
        <f t="shared" si="136"/>
        <v>0</v>
      </c>
      <c r="G947" s="353">
        <f t="shared" si="141"/>
        <v>0</v>
      </c>
      <c r="H947" t="str">
        <f t="shared" si="138"/>
        <v/>
      </c>
    </row>
    <row r="948" spans="1:8">
      <c r="A948" s="350">
        <f>'Unit Mix &amp; Rents'!A75</f>
        <v>0</v>
      </c>
      <c r="B948" s="351">
        <f>'Unit Mix &amp; Rents'!B75</f>
        <v>0</v>
      </c>
      <c r="C948" s="352">
        <f>'Unit Mix &amp; Rents'!C75</f>
        <v>0</v>
      </c>
      <c r="D948" s="352">
        <f>'Unit Mix &amp; Rents'!D75</f>
        <v>0</v>
      </c>
      <c r="E948" s="353">
        <f>'Unit Mix &amp; Rents'!E75</f>
        <v>0</v>
      </c>
      <c r="F948" s="353">
        <f t="shared" si="136"/>
        <v>0</v>
      </c>
      <c r="G948" s="353">
        <f t="shared" si="141"/>
        <v>0</v>
      </c>
      <c r="H948" t="str">
        <f t="shared" si="138"/>
        <v/>
      </c>
    </row>
    <row r="949" spans="1:8">
      <c r="A949" s="350">
        <f>'Unit Mix &amp; Rents'!A76</f>
        <v>0</v>
      </c>
      <c r="B949" s="351">
        <f>'Unit Mix &amp; Rents'!B76</f>
        <v>0</v>
      </c>
      <c r="C949" s="352">
        <f>'Unit Mix &amp; Rents'!C76</f>
        <v>0</v>
      </c>
      <c r="D949" s="352">
        <f>'Unit Mix &amp; Rents'!D76</f>
        <v>0</v>
      </c>
      <c r="E949" s="353">
        <f>'Unit Mix &amp; Rents'!E76</f>
        <v>0</v>
      </c>
      <c r="F949" s="353">
        <f t="shared" si="136"/>
        <v>0</v>
      </c>
      <c r="G949" s="353">
        <f t="shared" si="141"/>
        <v>0</v>
      </c>
      <c r="H949" t="str">
        <f t="shared" si="138"/>
        <v/>
      </c>
    </row>
    <row r="951" spans="1:8">
      <c r="B951" s="134"/>
      <c r="C951" s="134"/>
      <c r="D951" s="134"/>
      <c r="E951" s="134"/>
    </row>
    <row r="953" spans="1:8" ht="15" customHeight="1"/>
    <row r="954" spans="1:8" ht="15" customHeight="1"/>
    <row r="955" spans="1:8" ht="15" customHeight="1"/>
    <row r="956" spans="1:8" ht="15" customHeight="1"/>
    <row r="957" spans="1:8" ht="15" customHeight="1"/>
    <row r="958" spans="1:8" ht="15" customHeight="1"/>
    <row r="959" spans="1:8" ht="15" customHeight="1"/>
    <row r="960" spans="1:8"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7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402" spans="6:10">
      <c r="F4402" s="20"/>
      <c r="G4402" s="20"/>
      <c r="H4402" s="20"/>
      <c r="I4402" s="20"/>
      <c r="J4402" s="20"/>
    </row>
    <row r="4403" spans="6:10">
      <c r="F4403" s="20"/>
      <c r="G4403" s="20"/>
      <c r="H4403" s="20"/>
      <c r="I4403" s="20"/>
      <c r="J4403" s="20"/>
    </row>
    <row r="4404" spans="6:10">
      <c r="F4404" s="20"/>
      <c r="G4404" s="20"/>
      <c r="H4404" s="20"/>
      <c r="I4404" s="20"/>
      <c r="J4404" s="20"/>
    </row>
    <row r="4405" spans="6:10">
      <c r="F4405" s="20"/>
      <c r="G4405" s="20"/>
      <c r="H4405" s="20"/>
      <c r="I4405" s="20"/>
      <c r="J4405" s="20"/>
    </row>
    <row r="4406" spans="6:10">
      <c r="F4406" s="20"/>
      <c r="G4406" s="20"/>
      <c r="H4406" s="20"/>
      <c r="I4406" s="20"/>
      <c r="J4406" s="20"/>
    </row>
    <row r="4407" spans="6:10">
      <c r="F4407" s="20"/>
      <c r="G4407" s="20"/>
      <c r="H4407" s="20"/>
      <c r="I4407" s="20"/>
      <c r="J4407" s="20"/>
    </row>
    <row r="4408" spans="6:10">
      <c r="F4408" s="20"/>
      <c r="G4408" s="20"/>
      <c r="H4408" s="20"/>
      <c r="I4408" s="20"/>
      <c r="J4408" s="20"/>
    </row>
    <row r="4409" spans="6:10">
      <c r="F4409" s="20"/>
      <c r="G4409" s="20"/>
      <c r="H4409" s="20"/>
      <c r="I4409" s="20"/>
      <c r="J4409" s="20"/>
    </row>
    <row r="4410" spans="6:10">
      <c r="F4410" s="20"/>
      <c r="G4410" s="20"/>
      <c r="H4410" s="20"/>
      <c r="I4410" s="20"/>
      <c r="J4410" s="20"/>
    </row>
    <row r="4411" spans="6:10">
      <c r="F4411" s="20"/>
      <c r="G4411" s="20"/>
      <c r="H4411" s="20"/>
      <c r="I4411" s="20"/>
      <c r="J4411" s="20"/>
    </row>
    <row r="4412" spans="6:10">
      <c r="F4412" s="20"/>
      <c r="G4412" s="20"/>
      <c r="H4412" s="20"/>
      <c r="I4412" s="20"/>
      <c r="J4412" s="20"/>
    </row>
    <row r="4413" spans="6:10">
      <c r="F4413" s="20"/>
      <c r="G4413" s="20"/>
      <c r="H4413" s="20"/>
      <c r="I4413" s="20"/>
      <c r="J4413" s="20"/>
    </row>
    <row r="4414" spans="6:10">
      <c r="F4414" s="20"/>
      <c r="G4414" s="20"/>
      <c r="H4414" s="20"/>
      <c r="I4414" s="20"/>
      <c r="J4414" s="20"/>
    </row>
    <row r="4415" spans="6:10">
      <c r="F4415" s="20"/>
      <c r="G4415" s="20"/>
      <c r="H4415" s="20"/>
      <c r="I4415" s="20"/>
      <c r="J4415" s="20"/>
    </row>
    <row r="4416" spans="6:10">
      <c r="F4416" s="20"/>
      <c r="G4416" s="20"/>
      <c r="H4416" s="20"/>
      <c r="I4416" s="20"/>
      <c r="J4416" s="20"/>
    </row>
    <row r="4417" spans="6:10">
      <c r="F4417" s="20"/>
      <c r="G4417" s="20"/>
      <c r="H4417" s="20"/>
      <c r="I4417" s="20"/>
      <c r="J4417" s="20"/>
    </row>
    <row r="4418" spans="6:10">
      <c r="F4418" s="20"/>
      <c r="G4418" s="20"/>
      <c r="H4418" s="20"/>
      <c r="I4418" s="20"/>
      <c r="J4418" s="20"/>
    </row>
    <row r="4419" spans="6:10">
      <c r="F4419" s="20"/>
      <c r="G4419" s="20"/>
      <c r="H4419" s="20"/>
      <c r="I4419" s="20"/>
      <c r="J4419" s="20"/>
    </row>
    <row r="4420" spans="6:10">
      <c r="F4420" s="20"/>
      <c r="G4420" s="20"/>
      <c r="H4420" s="20"/>
      <c r="I4420" s="20"/>
      <c r="J4420" s="20"/>
    </row>
    <row r="4421" spans="6:10">
      <c r="F4421" s="20"/>
      <c r="G4421" s="20"/>
      <c r="H4421" s="20"/>
      <c r="I4421" s="20"/>
      <c r="J4421" s="20"/>
    </row>
    <row r="4422" spans="6:10">
      <c r="F4422" s="20"/>
      <c r="G4422" s="20"/>
      <c r="H4422" s="20"/>
      <c r="I4422" s="20"/>
      <c r="J4422" s="20"/>
    </row>
    <row r="4423" spans="6:10">
      <c r="F4423" s="20"/>
      <c r="G4423" s="20"/>
      <c r="H4423" s="20"/>
      <c r="I4423" s="20"/>
      <c r="J4423" s="20"/>
    </row>
    <row r="4424" spans="6:10">
      <c r="F4424" s="20"/>
      <c r="G4424" s="20"/>
      <c r="H4424" s="20"/>
      <c r="I4424" s="20"/>
      <c r="J4424" s="20"/>
    </row>
    <row r="4425" spans="6:10">
      <c r="F4425" s="20"/>
      <c r="G4425" s="20"/>
      <c r="H4425" s="20"/>
      <c r="I4425" s="20"/>
      <c r="J4425" s="20"/>
    </row>
    <row r="4426" spans="6:10">
      <c r="F4426" s="20"/>
      <c r="G4426" s="20"/>
      <c r="H4426" s="20"/>
      <c r="I4426" s="20"/>
      <c r="J4426" s="20"/>
    </row>
    <row r="4427" spans="6:10">
      <c r="F4427" s="20"/>
      <c r="G4427" s="20"/>
      <c r="H4427" s="20"/>
      <c r="I4427" s="20"/>
      <c r="J4427" s="20"/>
    </row>
    <row r="4428" spans="6:10">
      <c r="F4428" s="20"/>
      <c r="G4428" s="20"/>
      <c r="H4428" s="20"/>
      <c r="I4428" s="20"/>
      <c r="J4428" s="20"/>
    </row>
    <row r="4429" spans="6:10">
      <c r="F4429" s="20"/>
      <c r="G4429" s="20"/>
      <c r="H4429" s="20"/>
      <c r="I4429" s="20"/>
      <c r="J4429" s="20"/>
    </row>
    <row r="4430" spans="6:10">
      <c r="F4430" s="20"/>
      <c r="G4430" s="20"/>
      <c r="H4430" s="20"/>
      <c r="I4430" s="20"/>
      <c r="J4430" s="20"/>
    </row>
    <row r="4431" spans="6:10">
      <c r="F4431" s="20"/>
      <c r="G4431" s="20"/>
      <c r="H4431" s="20"/>
      <c r="I4431" s="20"/>
      <c r="J4431" s="20"/>
    </row>
    <row r="4432" spans="6:10">
      <c r="F4432" s="20"/>
      <c r="G4432" s="20"/>
      <c r="H4432" s="20"/>
      <c r="I4432" s="20"/>
      <c r="J4432" s="20"/>
    </row>
    <row r="4433" spans="6:10">
      <c r="F4433" s="20"/>
      <c r="G4433" s="20"/>
      <c r="H4433" s="20"/>
      <c r="I4433" s="20"/>
      <c r="J4433" s="20"/>
    </row>
    <row r="4434" spans="6:10">
      <c r="F4434" s="20"/>
      <c r="G4434" s="20"/>
      <c r="H4434" s="20"/>
      <c r="I4434" s="20"/>
      <c r="J4434" s="20"/>
    </row>
    <row r="4435" spans="6:10">
      <c r="F4435" s="20"/>
      <c r="G4435" s="20"/>
      <c r="H4435" s="20"/>
      <c r="I4435" s="20"/>
      <c r="J4435" s="20"/>
    </row>
    <row r="4436" spans="6:10">
      <c r="F4436" s="20"/>
      <c r="G4436" s="20"/>
      <c r="H4436" s="20"/>
      <c r="I4436" s="20"/>
      <c r="J4436" s="20"/>
    </row>
    <row r="4437" spans="6:10">
      <c r="F4437" s="20"/>
      <c r="G4437" s="20"/>
      <c r="H4437" s="20"/>
      <c r="I4437" s="20"/>
      <c r="J4437" s="20"/>
    </row>
    <row r="4438" spans="6:10">
      <c r="F4438" s="20"/>
      <c r="G4438" s="20"/>
      <c r="H4438" s="20"/>
      <c r="I4438" s="20"/>
      <c r="J4438" s="20"/>
    </row>
    <row r="4439" spans="6:10">
      <c r="F4439" s="20"/>
      <c r="G4439" s="20"/>
      <c r="H4439" s="20"/>
      <c r="I4439" s="20"/>
      <c r="J4439" s="20"/>
    </row>
    <row r="4440" spans="6:10">
      <c r="F4440" s="20"/>
      <c r="G4440" s="20"/>
      <c r="H4440" s="20"/>
      <c r="I4440" s="20"/>
      <c r="J4440" s="20"/>
    </row>
    <row r="4441" spans="6:10">
      <c r="F4441" s="20"/>
      <c r="G4441" s="20"/>
      <c r="H4441" s="20"/>
      <c r="I4441" s="20"/>
      <c r="J4441" s="20"/>
    </row>
    <row r="4442" spans="6:10">
      <c r="F4442" s="20"/>
      <c r="G4442" s="20"/>
      <c r="H4442" s="20"/>
      <c r="I4442" s="20"/>
      <c r="J4442" s="20"/>
    </row>
    <row r="4443" spans="6:10">
      <c r="F4443" s="20"/>
      <c r="G4443" s="20"/>
      <c r="H4443" s="20"/>
      <c r="I4443" s="20"/>
      <c r="J4443" s="20"/>
    </row>
    <row r="4444" spans="6:10">
      <c r="F4444" s="20"/>
      <c r="G4444" s="20"/>
      <c r="H4444" s="20"/>
      <c r="I4444" s="20"/>
      <c r="J4444" s="20"/>
    </row>
    <row r="4445" spans="6:10">
      <c r="F4445" s="20"/>
      <c r="G4445" s="20"/>
      <c r="H4445" s="20"/>
      <c r="I4445" s="20"/>
      <c r="J4445" s="20"/>
    </row>
    <row r="4446" spans="6:10">
      <c r="F4446" s="20"/>
      <c r="G4446" s="20"/>
      <c r="H4446" s="20"/>
      <c r="I4446" s="20"/>
      <c r="J4446" s="20"/>
    </row>
    <row r="4447" spans="6:10">
      <c r="F4447" s="20"/>
      <c r="G4447" s="20"/>
      <c r="H4447" s="20"/>
      <c r="I4447" s="20"/>
      <c r="J4447" s="20"/>
    </row>
    <row r="4448" spans="6:10">
      <c r="F4448" s="20"/>
      <c r="G4448" s="20"/>
      <c r="H4448" s="20"/>
      <c r="I4448" s="20"/>
      <c r="J4448" s="20"/>
    </row>
    <row r="4449" spans="1:10">
      <c r="F4449" s="20"/>
      <c r="G4449" s="20"/>
      <c r="H4449" s="20"/>
      <c r="I4449" s="20"/>
      <c r="J4449" s="20"/>
    </row>
    <row r="4450" spans="1:10">
      <c r="F4450" s="20"/>
      <c r="G4450" s="20"/>
      <c r="H4450" s="20"/>
      <c r="I4450" s="20"/>
      <c r="J4450" s="20"/>
    </row>
    <row r="4451" spans="1:10">
      <c r="F4451" s="20"/>
      <c r="G4451" s="20"/>
      <c r="H4451" s="20"/>
      <c r="I4451" s="20"/>
      <c r="J4451" s="20"/>
    </row>
    <row r="4452" spans="1:10">
      <c r="F4452" s="20"/>
      <c r="G4452" s="20"/>
      <c r="H4452" s="20"/>
      <c r="I4452" s="20"/>
      <c r="J4452" s="20"/>
    </row>
    <row r="4453" spans="1:10">
      <c r="F4453" s="20"/>
      <c r="G4453" s="20"/>
      <c r="H4453" s="20"/>
      <c r="I4453" s="20"/>
      <c r="J4453" s="20"/>
    </row>
    <row r="4454" spans="1:10">
      <c r="F4454" s="20"/>
      <c r="G4454" s="20"/>
      <c r="H4454" s="20"/>
      <c r="I4454" s="20"/>
      <c r="J4454" s="20"/>
    </row>
    <row r="4455" spans="1:10">
      <c r="F4455" s="20"/>
      <c r="G4455" s="20"/>
      <c r="H4455" s="20"/>
      <c r="I4455" s="20"/>
      <c r="J4455" s="20"/>
    </row>
    <row r="4456" spans="1:10">
      <c r="F4456" s="20"/>
      <c r="G4456" s="20"/>
      <c r="H4456" s="20"/>
      <c r="I4456" s="20"/>
      <c r="J4456" s="20"/>
    </row>
    <row r="4457" spans="1:10">
      <c r="F4457" s="20"/>
      <c r="G4457" s="20"/>
      <c r="H4457" s="20"/>
      <c r="I4457" s="20"/>
      <c r="J4457" s="20"/>
    </row>
    <row r="4458" spans="1:10">
      <c r="F4458" s="20"/>
      <c r="G4458" s="20"/>
      <c r="H4458" s="20"/>
      <c r="I4458" s="20"/>
      <c r="J4458" s="20"/>
    </row>
    <row r="4459" spans="1:10">
      <c r="F4459" s="20"/>
      <c r="G4459" s="20"/>
      <c r="H4459" s="20"/>
      <c r="I4459" s="20"/>
      <c r="J4459" s="20"/>
    </row>
    <row r="4460" spans="1:10">
      <c r="F4460" s="20"/>
      <c r="G4460" s="20"/>
      <c r="H4460" s="20"/>
      <c r="I4460" s="20"/>
      <c r="J4460" s="20"/>
    </row>
    <row r="4461" spans="1:10">
      <c r="F4461" s="20"/>
      <c r="G4461" s="20"/>
      <c r="H4461" s="20"/>
      <c r="I4461" s="20"/>
      <c r="J4461" s="20"/>
    </row>
    <row r="4462" spans="1:10">
      <c r="F4462" s="20"/>
      <c r="G4462" s="20"/>
      <c r="H4462" s="20"/>
      <c r="I4462" s="20"/>
      <c r="J4462" s="20"/>
    </row>
    <row r="4463" spans="1:10">
      <c r="A4463" s="20"/>
      <c r="B4463" s="20"/>
      <c r="C4463" s="20"/>
      <c r="D4463" s="20"/>
      <c r="E4463" s="20"/>
      <c r="F4463" s="20"/>
      <c r="G4463" s="20"/>
      <c r="H4463" s="20"/>
      <c r="I4463" s="20"/>
      <c r="J4463" s="20"/>
    </row>
    <row r="4464" spans="1:10">
      <c r="A4464" s="20"/>
      <c r="B4464" s="20"/>
      <c r="C4464" s="20"/>
      <c r="D4464" s="20"/>
      <c r="E4464" s="20"/>
      <c r="F4464" s="20"/>
      <c r="G4464" s="20"/>
      <c r="H4464" s="20"/>
      <c r="I4464" s="20"/>
      <c r="J4464" s="20"/>
    </row>
    <row r="4465" spans="1:10">
      <c r="A4465" s="20"/>
      <c r="B4465" s="20"/>
      <c r="C4465" s="20"/>
      <c r="D4465" s="20"/>
      <c r="E4465" s="20"/>
      <c r="F4465" s="20"/>
      <c r="G4465" s="20"/>
      <c r="H4465" s="20"/>
      <c r="I4465" s="20"/>
      <c r="J4465" s="20"/>
    </row>
    <row r="4466" spans="1:10">
      <c r="A4466" s="20"/>
      <c r="B4466" s="20"/>
      <c r="C4466" s="20"/>
      <c r="D4466" s="20"/>
      <c r="E4466" s="20"/>
      <c r="F4466" s="20"/>
      <c r="G4466" s="20"/>
      <c r="H4466" s="20"/>
      <c r="I4466" s="20"/>
      <c r="J4466" s="20"/>
    </row>
    <row r="4467" spans="1:10">
      <c r="A4467" s="20"/>
      <c r="B4467" s="20"/>
      <c r="C4467" s="20"/>
      <c r="D4467" s="20"/>
      <c r="E4467" s="20"/>
      <c r="F4467" s="20"/>
      <c r="G4467" s="20"/>
      <c r="H4467" s="20"/>
      <c r="I4467" s="20"/>
      <c r="J4467" s="20"/>
    </row>
    <row r="4468" spans="1:10">
      <c r="A4468" s="20"/>
      <c r="B4468" s="20"/>
      <c r="C4468" s="20"/>
      <c r="D4468" s="20"/>
      <c r="E4468" s="20"/>
      <c r="F4468" s="20"/>
      <c r="G4468" s="20"/>
      <c r="H4468" s="20"/>
      <c r="I4468" s="20"/>
      <c r="J4468" s="20"/>
    </row>
    <row r="4469" spans="1:10">
      <c r="A4469" s="20"/>
      <c r="B4469" s="20"/>
      <c r="C4469" s="20"/>
      <c r="D4469" s="20"/>
      <c r="E4469" s="20"/>
      <c r="F4469" s="20"/>
      <c r="G4469" s="20"/>
      <c r="H4469" s="20"/>
      <c r="I4469" s="20"/>
      <c r="J4469" s="20"/>
    </row>
    <row r="4470" spans="1:10">
      <c r="A4470" s="20"/>
      <c r="B4470" s="20"/>
      <c r="C4470" s="20"/>
      <c r="D4470" s="20"/>
      <c r="E4470" s="20"/>
      <c r="F4470" s="20"/>
      <c r="G4470" s="20"/>
      <c r="H4470" s="20"/>
      <c r="I4470" s="20"/>
      <c r="J4470" s="20"/>
    </row>
    <row r="4471" spans="1:10">
      <c r="A4471" s="20"/>
      <c r="B4471" s="20"/>
      <c r="C4471" s="20"/>
      <c r="D4471" s="20"/>
      <c r="E4471" s="20"/>
      <c r="F4471" s="20"/>
      <c r="G4471" s="20"/>
      <c r="H4471" s="20"/>
      <c r="I4471" s="20"/>
      <c r="J4471" s="20"/>
    </row>
    <row r="4472" spans="1:10">
      <c r="A4472" s="20"/>
      <c r="B4472" s="20"/>
      <c r="C4472" s="20"/>
      <c r="D4472" s="20"/>
      <c r="E4472" s="20"/>
      <c r="F4472" s="20"/>
      <c r="G4472" s="20"/>
      <c r="H4472" s="20"/>
      <c r="I4472" s="20"/>
      <c r="J4472" s="20"/>
    </row>
    <row r="4473" spans="1:10">
      <c r="A4473" s="20"/>
      <c r="B4473" s="20"/>
      <c r="C4473" s="20"/>
      <c r="D4473" s="20"/>
      <c r="E4473" s="20"/>
      <c r="F4473" s="20"/>
      <c r="G4473" s="20"/>
      <c r="H4473" s="20"/>
      <c r="I4473" s="20"/>
      <c r="J4473" s="20"/>
    </row>
    <row r="4474" spans="1:10">
      <c r="A4474" s="20"/>
      <c r="B4474" s="20"/>
      <c r="C4474" s="20"/>
      <c r="D4474" s="20"/>
      <c r="E4474" s="20"/>
      <c r="F4474" s="20"/>
      <c r="G4474" s="20"/>
      <c r="H4474" s="20"/>
      <c r="I4474" s="20"/>
      <c r="J4474" s="20"/>
    </row>
    <row r="4475" spans="1:10">
      <c r="A4475" s="20"/>
      <c r="B4475" s="20"/>
      <c r="C4475" s="20"/>
      <c r="D4475" s="20"/>
      <c r="E4475" s="20"/>
      <c r="F4475" s="20"/>
      <c r="G4475" s="20"/>
      <c r="H4475" s="20"/>
      <c r="I4475" s="20"/>
      <c r="J4475" s="20"/>
    </row>
    <row r="4476" spans="1:10">
      <c r="A4476" s="20"/>
      <c r="B4476" s="20"/>
      <c r="C4476" s="20"/>
      <c r="D4476" s="20"/>
      <c r="E4476" s="20"/>
      <c r="F4476" s="20"/>
      <c r="G4476" s="20"/>
      <c r="H4476" s="20"/>
      <c r="I4476" s="20"/>
      <c r="J4476" s="20"/>
    </row>
    <row r="4477" spans="1:10">
      <c r="A4477" s="20"/>
      <c r="B4477" s="20"/>
      <c r="C4477" s="20"/>
      <c r="D4477" s="20"/>
      <c r="E4477" s="20"/>
      <c r="F4477" s="20"/>
      <c r="G4477" s="20"/>
      <c r="H4477" s="20"/>
      <c r="I4477" s="20"/>
      <c r="J4477" s="20"/>
    </row>
    <row r="4478" spans="1:10">
      <c r="A4478" s="20"/>
      <c r="B4478" s="20"/>
      <c r="C4478" s="20"/>
      <c r="D4478" s="20"/>
      <c r="E4478" s="20"/>
      <c r="F4478" s="20"/>
      <c r="G4478" s="20"/>
      <c r="H4478" s="20"/>
      <c r="I4478" s="20"/>
      <c r="J4478" s="20"/>
    </row>
    <row r="4479" spans="1:10">
      <c r="A4479" s="20"/>
      <c r="B4479" s="20"/>
      <c r="C4479" s="20"/>
      <c r="D4479" s="20"/>
      <c r="E4479" s="20"/>
      <c r="F4479" s="20"/>
      <c r="G4479" s="20"/>
      <c r="H4479" s="20"/>
      <c r="I4479" s="20"/>
      <c r="J4479" s="20"/>
    </row>
    <row r="4480" spans="1:10">
      <c r="A4480" s="20"/>
      <c r="B4480" s="20"/>
      <c r="C4480" s="20"/>
      <c r="D4480" s="20"/>
      <c r="E4480" s="20"/>
      <c r="F4480" s="20"/>
      <c r="G4480" s="20"/>
      <c r="H4480" s="20"/>
      <c r="I4480" s="20"/>
      <c r="J4480" s="20"/>
    </row>
    <row r="4481" spans="1:10">
      <c r="A4481" s="20"/>
      <c r="B4481" s="20"/>
      <c r="C4481" s="20"/>
      <c r="D4481" s="20"/>
      <c r="E4481" s="20"/>
      <c r="F4481" s="20"/>
      <c r="G4481" s="20"/>
      <c r="H4481" s="20"/>
      <c r="I4481" s="20"/>
      <c r="J4481" s="20"/>
    </row>
    <row r="4482" spans="1:10">
      <c r="A4482" s="20"/>
      <c r="B4482" s="20"/>
      <c r="C4482" s="20"/>
      <c r="D4482" s="20"/>
      <c r="E4482" s="20"/>
    </row>
    <row r="4483" spans="1:10">
      <c r="A4483" s="20"/>
      <c r="B4483" s="20"/>
      <c r="C4483" s="20"/>
      <c r="D4483" s="20"/>
      <c r="E4483" s="20"/>
    </row>
    <row r="4484" spans="1:10">
      <c r="A4484" s="20"/>
      <c r="B4484" s="20"/>
      <c r="C4484" s="20"/>
      <c r="D4484" s="20"/>
      <c r="E4484" s="20"/>
    </row>
    <row r="4485" spans="1:10">
      <c r="A4485" s="20"/>
      <c r="B4485" s="20"/>
      <c r="C4485" s="20"/>
      <c r="D4485" s="20"/>
      <c r="E4485" s="20"/>
    </row>
    <row r="4486" spans="1:10">
      <c r="A4486" s="20"/>
      <c r="B4486" s="20"/>
      <c r="C4486" s="20"/>
      <c r="D4486" s="20"/>
      <c r="E4486" s="20"/>
    </row>
    <row r="4487" spans="1:10">
      <c r="A4487" s="20"/>
      <c r="B4487" s="20"/>
      <c r="C4487" s="20"/>
      <c r="D4487" s="20"/>
      <c r="E4487" s="20"/>
    </row>
    <row r="4488" spans="1:10">
      <c r="A4488" s="20"/>
      <c r="B4488" s="20"/>
      <c r="C4488" s="20"/>
      <c r="D4488" s="20"/>
      <c r="E4488" s="20"/>
    </row>
    <row r="4489" spans="1:10">
      <c r="A4489" s="20"/>
      <c r="B4489" s="20"/>
      <c r="C4489" s="20"/>
      <c r="D4489" s="20"/>
      <c r="E4489" s="20"/>
    </row>
    <row r="4490" spans="1:10">
      <c r="A4490" s="20"/>
      <c r="B4490" s="20"/>
      <c r="C4490" s="20"/>
      <c r="D4490" s="20"/>
      <c r="E4490" s="20"/>
    </row>
    <row r="4491" spans="1:10">
      <c r="A4491" s="20"/>
      <c r="B4491" s="20"/>
      <c r="C4491" s="20"/>
      <c r="D4491" s="20"/>
      <c r="E4491" s="20"/>
    </row>
    <row r="4492" spans="1:10">
      <c r="A4492" s="20"/>
      <c r="B4492" s="20"/>
      <c r="C4492" s="20"/>
      <c r="D4492" s="20"/>
      <c r="E4492" s="20"/>
    </row>
    <row r="4493" spans="1:10">
      <c r="A4493" s="20"/>
      <c r="B4493" s="20"/>
      <c r="C4493" s="20"/>
      <c r="D4493" s="20"/>
      <c r="E4493" s="20"/>
    </row>
    <row r="4494" spans="1:10">
      <c r="A4494" s="20"/>
      <c r="B4494" s="20"/>
      <c r="C4494" s="20"/>
      <c r="D4494" s="20"/>
      <c r="E4494" s="20"/>
    </row>
    <row r="4495" spans="1:10">
      <c r="A4495" s="20"/>
      <c r="B4495" s="20"/>
      <c r="C4495" s="20"/>
      <c r="D4495" s="20"/>
      <c r="E4495" s="20"/>
    </row>
    <row r="4496" spans="1:10">
      <c r="A4496" s="20"/>
      <c r="B4496" s="20"/>
      <c r="C4496" s="20"/>
      <c r="D4496" s="20"/>
      <c r="E4496" s="20"/>
    </row>
    <row r="4497" spans="1:5">
      <c r="A4497" s="20"/>
      <c r="B4497" s="20"/>
      <c r="C4497" s="20"/>
      <c r="D4497" s="20"/>
      <c r="E4497" s="20"/>
    </row>
    <row r="4498" spans="1:5">
      <c r="A4498" s="20"/>
      <c r="B4498" s="20"/>
      <c r="C4498" s="20"/>
      <c r="D4498" s="20"/>
      <c r="E4498" s="20"/>
    </row>
    <row r="4499" spans="1:5">
      <c r="A4499" s="20"/>
      <c r="B4499" s="20"/>
      <c r="C4499" s="20"/>
      <c r="D4499" s="20"/>
      <c r="E4499" s="20"/>
    </row>
    <row r="4500" spans="1:5">
      <c r="A4500" s="20"/>
      <c r="B4500" s="20"/>
      <c r="C4500" s="20"/>
      <c r="D4500" s="20"/>
      <c r="E4500" s="20"/>
    </row>
    <row r="4501" spans="1:5">
      <c r="A4501" s="20"/>
      <c r="B4501" s="20"/>
      <c r="C4501" s="20"/>
      <c r="D4501" s="20"/>
      <c r="E4501" s="20"/>
    </row>
    <row r="4502" spans="1:5">
      <c r="A4502" s="20"/>
      <c r="B4502" s="20"/>
      <c r="C4502" s="20"/>
      <c r="D4502" s="20"/>
      <c r="E4502" s="20"/>
    </row>
    <row r="4503" spans="1:5">
      <c r="A4503" s="20"/>
      <c r="B4503" s="20"/>
      <c r="C4503" s="20"/>
      <c r="D4503" s="20"/>
      <c r="E4503" s="20"/>
    </row>
    <row r="4504" spans="1:5">
      <c r="A4504" s="20"/>
      <c r="B4504" s="20"/>
      <c r="C4504" s="20"/>
      <c r="D4504" s="20"/>
      <c r="E4504" s="20"/>
    </row>
    <row r="4505" spans="1:5">
      <c r="A4505" s="20"/>
      <c r="B4505" s="20"/>
      <c r="C4505" s="20"/>
      <c r="D4505" s="20"/>
      <c r="E4505" s="20"/>
    </row>
    <row r="4506" spans="1:5">
      <c r="A4506" s="20"/>
      <c r="B4506" s="20"/>
      <c r="C4506" s="20"/>
      <c r="D4506" s="20"/>
      <c r="E4506" s="20"/>
    </row>
    <row r="4507" spans="1:5">
      <c r="A4507" s="20"/>
      <c r="B4507" s="20"/>
      <c r="C4507" s="20"/>
      <c r="D4507" s="20"/>
      <c r="E4507" s="20"/>
    </row>
    <row r="4508" spans="1:5">
      <c r="A4508" s="20"/>
      <c r="B4508" s="20"/>
      <c r="C4508" s="20"/>
      <c r="D4508" s="20"/>
      <c r="E4508" s="20"/>
    </row>
    <row r="4509" spans="1:5">
      <c r="A4509" s="20"/>
      <c r="B4509" s="20"/>
      <c r="C4509" s="20"/>
      <c r="D4509" s="20"/>
      <c r="E4509" s="20"/>
    </row>
    <row r="4510" spans="1:5">
      <c r="A4510" s="20"/>
      <c r="B4510" s="20"/>
      <c r="C4510" s="20"/>
      <c r="D4510" s="20"/>
      <c r="E4510" s="20"/>
    </row>
    <row r="4511" spans="1:5">
      <c r="A4511" s="20"/>
      <c r="B4511" s="20"/>
      <c r="C4511" s="20"/>
      <c r="D4511" s="20"/>
      <c r="E4511" s="20"/>
    </row>
    <row r="4512" spans="1:5">
      <c r="A4512" s="20"/>
      <c r="B4512" s="20"/>
      <c r="C4512" s="20"/>
      <c r="D4512" s="20"/>
      <c r="E4512" s="20"/>
    </row>
    <row r="4513" spans="1:5">
      <c r="A4513" s="20"/>
      <c r="B4513" s="20"/>
      <c r="C4513" s="20"/>
      <c r="D4513" s="20"/>
      <c r="E4513" s="20"/>
    </row>
    <row r="4514" spans="1:5">
      <c r="A4514" s="20"/>
      <c r="B4514" s="20"/>
      <c r="C4514" s="20"/>
      <c r="D4514" s="20"/>
      <c r="E4514" s="20"/>
    </row>
    <row r="4515" spans="1:5">
      <c r="A4515" s="20"/>
      <c r="B4515" s="20"/>
      <c r="C4515" s="20"/>
      <c r="D4515" s="20"/>
      <c r="E4515" s="20"/>
    </row>
    <row r="4516" spans="1:5">
      <c r="A4516" s="20"/>
      <c r="B4516" s="20"/>
      <c r="C4516" s="20"/>
      <c r="D4516" s="20"/>
      <c r="E4516" s="20"/>
    </row>
    <row r="4517" spans="1:5">
      <c r="A4517" s="20"/>
      <c r="B4517" s="20"/>
      <c r="C4517" s="20"/>
      <c r="D4517" s="20"/>
      <c r="E4517" s="20"/>
    </row>
    <row r="4518" spans="1:5">
      <c r="A4518" s="20"/>
      <c r="B4518" s="20"/>
      <c r="C4518" s="20"/>
      <c r="D4518" s="20"/>
      <c r="E4518" s="20"/>
    </row>
    <row r="4519" spans="1:5">
      <c r="A4519" s="20"/>
      <c r="B4519" s="20"/>
      <c r="C4519" s="20"/>
      <c r="D4519" s="20"/>
      <c r="E4519" s="20"/>
    </row>
    <row r="4520" spans="1:5">
      <c r="A4520" s="20"/>
      <c r="B4520" s="20"/>
      <c r="C4520" s="20"/>
      <c r="D4520" s="20"/>
      <c r="E4520" s="20"/>
    </row>
    <row r="4521" spans="1:5">
      <c r="A4521" s="20"/>
      <c r="B4521" s="20"/>
      <c r="C4521" s="20"/>
      <c r="D4521" s="20"/>
      <c r="E4521" s="20"/>
    </row>
    <row r="4522" spans="1:5">
      <c r="A4522" s="20"/>
      <c r="B4522" s="20"/>
      <c r="C4522" s="20"/>
      <c r="D4522" s="20"/>
      <c r="E4522" s="20"/>
    </row>
    <row r="4523" spans="1:5">
      <c r="A4523" s="20"/>
      <c r="B4523" s="20"/>
      <c r="C4523" s="20"/>
      <c r="D4523" s="20"/>
      <c r="E4523" s="20"/>
    </row>
    <row r="4524" spans="1:5">
      <c r="A4524" s="20"/>
      <c r="B4524" s="20"/>
      <c r="C4524" s="20"/>
      <c r="D4524" s="20"/>
      <c r="E4524" s="20"/>
    </row>
    <row r="4525" spans="1:5">
      <c r="A4525" s="20"/>
      <c r="B4525" s="20"/>
      <c r="C4525" s="20"/>
      <c r="D4525" s="20"/>
      <c r="E4525" s="20"/>
    </row>
    <row r="4526" spans="1:5">
      <c r="A4526" s="20"/>
      <c r="B4526" s="20"/>
      <c r="C4526" s="20"/>
      <c r="D4526" s="20"/>
      <c r="E4526" s="20"/>
    </row>
    <row r="4527" spans="1:5">
      <c r="A4527" s="20"/>
      <c r="B4527" s="20"/>
      <c r="C4527" s="20"/>
      <c r="D4527" s="20"/>
      <c r="E4527" s="20"/>
    </row>
    <row r="4528" spans="1:5">
      <c r="A4528" s="20"/>
      <c r="B4528" s="20"/>
      <c r="C4528" s="20"/>
      <c r="D4528" s="20"/>
      <c r="E4528" s="20"/>
    </row>
    <row r="4529" spans="1:5">
      <c r="A4529" s="20"/>
      <c r="B4529" s="20"/>
      <c r="C4529" s="20"/>
      <c r="D4529" s="20"/>
      <c r="E4529" s="20"/>
    </row>
    <row r="4530" spans="1:5">
      <c r="A4530" s="20"/>
      <c r="B4530" s="20"/>
      <c r="C4530" s="20"/>
      <c r="D4530" s="20"/>
      <c r="E4530" s="20"/>
    </row>
    <row r="4531" spans="1:5">
      <c r="A4531" s="20"/>
      <c r="B4531" s="20"/>
      <c r="C4531" s="20"/>
      <c r="D4531" s="20"/>
      <c r="E4531" s="20"/>
    </row>
    <row r="4532" spans="1:5">
      <c r="A4532" s="20"/>
      <c r="B4532" s="20"/>
      <c r="C4532" s="20"/>
      <c r="D4532" s="20"/>
      <c r="E4532" s="20"/>
    </row>
    <row r="4533" spans="1:5">
      <c r="A4533" s="20"/>
      <c r="B4533" s="20"/>
      <c r="C4533" s="20"/>
      <c r="D4533" s="20"/>
      <c r="E4533" s="20"/>
    </row>
    <row r="4534" spans="1:5">
      <c r="A4534" s="20"/>
      <c r="B4534" s="20"/>
      <c r="C4534" s="20"/>
      <c r="D4534" s="20"/>
      <c r="E4534" s="20"/>
    </row>
    <row r="4535" spans="1:5">
      <c r="A4535" s="20"/>
      <c r="B4535" s="20"/>
      <c r="C4535" s="20"/>
      <c r="D4535" s="20"/>
      <c r="E4535" s="20"/>
    </row>
    <row r="4536" spans="1:5">
      <c r="A4536" s="20"/>
      <c r="B4536" s="20"/>
      <c r="C4536" s="20"/>
      <c r="D4536" s="20"/>
      <c r="E4536" s="20"/>
    </row>
    <row r="4537" spans="1:5">
      <c r="A4537" s="20"/>
      <c r="B4537" s="20"/>
      <c r="C4537" s="20"/>
      <c r="D4537" s="20"/>
      <c r="E4537" s="20"/>
    </row>
    <row r="4538" spans="1:5">
      <c r="A4538" s="20"/>
      <c r="B4538" s="20"/>
      <c r="C4538" s="20"/>
      <c r="D4538" s="20"/>
      <c r="E4538" s="20"/>
    </row>
    <row r="4539" spans="1:5">
      <c r="A4539" s="20"/>
      <c r="B4539" s="20"/>
      <c r="C4539" s="20"/>
      <c r="D4539" s="20"/>
      <c r="E4539" s="20"/>
    </row>
    <row r="4540" spans="1:5">
      <c r="A4540" s="20"/>
      <c r="B4540" s="20"/>
      <c r="C4540" s="20"/>
      <c r="D4540" s="20"/>
      <c r="E4540" s="20"/>
    </row>
    <row r="4541" spans="1:5">
      <c r="A4541" s="20"/>
      <c r="B4541" s="20"/>
      <c r="C4541" s="20"/>
      <c r="D4541" s="20"/>
      <c r="E4541" s="20"/>
    </row>
    <row r="4542" spans="1:5">
      <c r="A4542" s="20"/>
      <c r="B4542" s="20"/>
      <c r="C4542" s="20"/>
      <c r="D4542" s="20"/>
      <c r="E4542" s="20"/>
    </row>
  </sheetData>
  <sheetProtection algorithmName="SHA-512" hashValue="VhAWOtB0IOzeS0GX72IyKHsuKs8JTJoYoHLhZNmEQ0s5w5L8d3iQLPKUCjPMG5RB8drkMrWHjkNX1cBonmW0BA==" saltValue="t5D5UhlFgTeUynRtNqhi4g==" spinCount="100000" sheet="1" objects="1" scenarios="1"/>
  <protectedRanges>
    <protectedRange sqref="B561 B611" name="Range1" securityDescriptor="O:WDG:WDD:(A;;CC;;;S-1-5-21-422840099-141104626-1905203885-1918)"/>
    <protectedRange sqref="B478" name="Range2" securityDescriptor="O:WDG:WDD:(A;;CC;;;S-1-5-21-422840099-141104626-1905203885-1918)"/>
    <protectedRange sqref="B709:AE807" name="Range3" securityDescriptor="O:WDG:WDD:(A;;CC;;;S-1-5-21-422840099-141104626-1905203885-1918)"/>
  </protectedRanges>
  <sortState xmlns:xlrd2="http://schemas.microsoft.com/office/spreadsheetml/2017/richdata2" ref="A16:A296">
    <sortCondition ref="A16"/>
  </sortState>
  <mergeCells count="1">
    <mergeCell ref="A1:M1"/>
  </mergeCells>
  <conditionalFormatting sqref="B386:P386">
    <cfRule type="cellIs" dxfId="2" priority="6" operator="equal">
      <formula>"Loans Missing"</formula>
    </cfRule>
  </conditionalFormatting>
  <conditionalFormatting sqref="F39">
    <cfRule type="expression" dxfId="1" priority="1">
      <formula>$F$399=FALSE</formula>
    </cfRule>
    <cfRule type="expression" dxfId="0" priority="4">
      <formula>$F$399=FALSE</formula>
    </cfRule>
  </conditionalFormatting>
  <dataValidations disablePrompts="1" count="5">
    <dataValidation type="whole" allowBlank="1" showInputMessage="1" showErrorMessage="1" errorTitle="# of  Units" error="Please enter a whole number for number of units." sqref="W25:W26" xr:uid="{00000000-0002-0000-1600-000000000000}">
      <formula1>1</formula1>
      <formula2>1000</formula2>
    </dataValidation>
    <dataValidation type="whole" allowBlank="1" showInputMessage="1" showErrorMessage="1" errorTitle="Unit Size" error="Please enter a whole number in square feet for unit size." sqref="V25:V26" xr:uid="{00000000-0002-0000-1600-000001000000}">
      <formula1>1</formula1>
      <formula2>3000</formula2>
    </dataValidation>
    <dataValidation type="whole" allowBlank="1" showInputMessage="1" showErrorMessage="1" errorTitle="Whole Numbers Only" error="All Unit Size (sq. ft.) values on the Unit Mix &amp; Rents worksheet must be entered as a whole number." sqref="C890:C949" xr:uid="{00000000-0002-0000-1600-000002000000}">
      <formula1>0</formula1>
      <formula2>100000</formula2>
    </dataValidation>
    <dataValidation type="whole" allowBlank="1" showInputMessage="1" showErrorMessage="1" errorTitle="Whole Numbers Only" error="All # of Units values on the Unit Mix &amp; Rents worksheet must be entered as a whole number." sqref="D890:D949" xr:uid="{00000000-0002-0000-1600-000003000000}">
      <formula1>0</formula1>
      <formula2>100000</formula2>
    </dataValidation>
    <dataValidation type="whole" allowBlank="1" showInputMessage="1" showErrorMessage="1" errorTitle="Whole Numbers Only" error="All Actual Rent per Unit values on the Unit Mix &amp; Rents worksheet must be entered as a whole number." sqref="E890:E949" xr:uid="{00000000-0002-0000-1600-000004000000}">
      <formula1>0</formula1>
      <formula2>100000</formula2>
    </dataValidation>
  </dataValidations>
  <pageMargins left="0.7" right="0.7" top="0.75" bottom="0.75" header="0.3" footer="0.3"/>
  <pageSetup orientation="portrait" r:id="rId1"/>
  <ignoredErrors>
    <ignoredError sqref="B462" formula="1"/>
  </ignoredError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
    <tabColor theme="1"/>
  </sheetPr>
  <dimension ref="A1:Z1474"/>
  <sheetViews>
    <sheetView zoomScaleNormal="100" workbookViewId="0"/>
  </sheetViews>
  <sheetFormatPr defaultColWidth="9" defaultRowHeight="14.4"/>
  <cols>
    <col min="1" max="1" width="63.109375" customWidth="1"/>
    <col min="2" max="2" width="40.88671875" customWidth="1"/>
    <col min="3" max="3" width="69.5546875" customWidth="1"/>
    <col min="4" max="4" width="34.33203125" customWidth="1"/>
    <col min="5" max="5" width="48.5546875" customWidth="1"/>
    <col min="6" max="6" width="14.109375" customWidth="1"/>
    <col min="7" max="7" width="31.5546875" customWidth="1"/>
    <col min="8" max="8" width="14.109375" customWidth="1"/>
    <col min="10" max="10" width="41.5546875" customWidth="1"/>
    <col min="11" max="11" width="13.5546875" bestFit="1" customWidth="1"/>
    <col min="12" max="12" width="26.5546875" bestFit="1" customWidth="1"/>
    <col min="17" max="17" width="12.5546875" customWidth="1"/>
  </cols>
  <sheetData>
    <row r="1" spans="1:18">
      <c r="A1" s="1" t="s">
        <v>1203</v>
      </c>
      <c r="B1" s="1" t="s">
        <v>1204</v>
      </c>
      <c r="C1" s="1" t="s">
        <v>1205</v>
      </c>
      <c r="D1" s="1" t="s">
        <v>1206</v>
      </c>
    </row>
    <row r="2" spans="1:18">
      <c r="A2" t="s">
        <v>947</v>
      </c>
      <c r="B2" t="s">
        <v>1207</v>
      </c>
      <c r="C2">
        <f>Calculations!B365</f>
        <v>0</v>
      </c>
      <c r="D2" t="s">
        <v>1208</v>
      </c>
    </row>
    <row r="3" spans="1:18">
      <c r="A3" t="s">
        <v>948</v>
      </c>
      <c r="B3" t="s">
        <v>1209</v>
      </c>
      <c r="C3">
        <f>Calculations!B366</f>
        <v>0</v>
      </c>
      <c r="D3" t="s">
        <v>1210</v>
      </c>
    </row>
    <row r="4" spans="1:18">
      <c r="B4" t="s">
        <v>1211</v>
      </c>
      <c r="C4" t="str">
        <f>Calculations!$B$386</f>
        <v>Loans Missing</v>
      </c>
      <c r="D4" t="s">
        <v>1212</v>
      </c>
    </row>
    <row r="5" spans="1:18">
      <c r="B5" t="s">
        <v>1213</v>
      </c>
      <c r="C5" t="str">
        <f>Calculations!$C$386</f>
        <v>Loans Missing</v>
      </c>
      <c r="D5" t="s">
        <v>1214</v>
      </c>
    </row>
    <row r="6" spans="1:18">
      <c r="B6" t="s">
        <v>1215</v>
      </c>
      <c r="C6" t="str">
        <f>Calculations!$P$386</f>
        <v>Loans Missing</v>
      </c>
    </row>
    <row r="7" spans="1:18">
      <c r="B7" t="s">
        <v>1216</v>
      </c>
      <c r="C7">
        <f>ABS(Calculations!B389)</f>
        <v>0</v>
      </c>
    </row>
    <row r="8" spans="1:18" s="357" customFormat="1">
      <c r="A8"/>
      <c r="B8" t="s">
        <v>1217</v>
      </c>
      <c r="C8">
        <f>ABS(Calculations!B390)</f>
        <v>0</v>
      </c>
      <c r="D8"/>
      <c r="E8"/>
      <c r="F8"/>
      <c r="G8"/>
      <c r="H8"/>
      <c r="I8"/>
      <c r="J8"/>
      <c r="K8"/>
      <c r="L8"/>
      <c r="M8"/>
      <c r="N8"/>
      <c r="O8"/>
      <c r="P8"/>
      <c r="Q8"/>
      <c r="R8"/>
    </row>
    <row r="9" spans="1:18" s="357" customFormat="1">
      <c r="A9"/>
      <c r="B9" t="s">
        <v>1218</v>
      </c>
      <c r="C9">
        <f>ABS(Calculations!B391)</f>
        <v>0</v>
      </c>
      <c r="D9"/>
      <c r="E9"/>
      <c r="F9"/>
      <c r="G9"/>
      <c r="H9"/>
      <c r="I9"/>
      <c r="J9"/>
      <c r="K9"/>
      <c r="L9"/>
      <c r="M9"/>
      <c r="N9"/>
      <c r="O9"/>
      <c r="P9"/>
      <c r="Q9"/>
      <c r="R9"/>
    </row>
    <row r="10" spans="1:18">
      <c r="B10" t="s">
        <v>1219</v>
      </c>
      <c r="C10">
        <f>ABS(Calculations!B392)</f>
        <v>0</v>
      </c>
    </row>
    <row r="11" spans="1:18">
      <c r="B11" t="s">
        <v>1220</v>
      </c>
      <c r="C11" t="str">
        <f>Calculations!A392</f>
        <v>Other (Specify)</v>
      </c>
    </row>
    <row r="12" spans="1:18">
      <c r="B12" t="s">
        <v>1221</v>
      </c>
      <c r="C12">
        <f>ABS(Calculations!B393)</f>
        <v>0</v>
      </c>
    </row>
    <row r="13" spans="1:18">
      <c r="B13" t="s">
        <v>1222</v>
      </c>
      <c r="C13">
        <f>ABS(Calculations!B394)</f>
        <v>0</v>
      </c>
    </row>
    <row r="14" spans="1:18">
      <c r="B14" t="s">
        <v>1223</v>
      </c>
      <c r="C14">
        <f>ABS(Calculations!C389)</f>
        <v>0</v>
      </c>
    </row>
    <row r="15" spans="1:18">
      <c r="B15" t="s">
        <v>1224</v>
      </c>
      <c r="C15">
        <f>ABS(Calculations!C390)</f>
        <v>0</v>
      </c>
    </row>
    <row r="16" spans="1:18">
      <c r="B16" t="s">
        <v>1225</v>
      </c>
      <c r="C16">
        <f>ABS(Calculations!C391)</f>
        <v>0</v>
      </c>
    </row>
    <row r="17" spans="2:3">
      <c r="B17" t="s">
        <v>1226</v>
      </c>
      <c r="C17">
        <f>ABS(Calculations!C392)</f>
        <v>0</v>
      </c>
    </row>
    <row r="18" spans="2:3">
      <c r="B18" t="s">
        <v>1227</v>
      </c>
      <c r="C18" t="str">
        <f>Calculations!A392</f>
        <v>Other (Specify)</v>
      </c>
    </row>
    <row r="19" spans="2:3">
      <c r="B19" t="s">
        <v>1228</v>
      </c>
      <c r="C19">
        <f>Calculations!C393</f>
        <v>0</v>
      </c>
    </row>
    <row r="20" spans="2:3">
      <c r="B20" t="s">
        <v>1229</v>
      </c>
      <c r="C20">
        <f>Calculations!C394</f>
        <v>0</v>
      </c>
    </row>
    <row r="21" spans="2:3">
      <c r="B21" t="s">
        <v>1230</v>
      </c>
      <c r="C21">
        <f>ABS(Calculations!D389)</f>
        <v>0</v>
      </c>
    </row>
    <row r="22" spans="2:3">
      <c r="B22" t="s">
        <v>1231</v>
      </c>
      <c r="C22">
        <f>ABS(Calculations!D390)</f>
        <v>0</v>
      </c>
    </row>
    <row r="23" spans="2:3">
      <c r="B23" t="s">
        <v>1232</v>
      </c>
      <c r="C23">
        <f>ABS(Calculations!D391)</f>
        <v>0</v>
      </c>
    </row>
    <row r="24" spans="2:3">
      <c r="B24" t="s">
        <v>1233</v>
      </c>
      <c r="C24">
        <f>ABS(Calculations!D392)</f>
        <v>0</v>
      </c>
    </row>
    <row r="25" spans="2:3">
      <c r="B25" t="s">
        <v>1234</v>
      </c>
      <c r="C25" t="str">
        <f>Calculations!A392</f>
        <v>Other (Specify)</v>
      </c>
    </row>
    <row r="26" spans="2:3">
      <c r="B26" t="s">
        <v>1235</v>
      </c>
      <c r="C26">
        <f>ABS(Calculations!D393)</f>
        <v>0</v>
      </c>
    </row>
    <row r="27" spans="2:3">
      <c r="B27" t="s">
        <v>1236</v>
      </c>
      <c r="C27">
        <f>ABS(Calculations!D394)</f>
        <v>0</v>
      </c>
    </row>
    <row r="28" spans="2:3">
      <c r="B28" t="s">
        <v>1237</v>
      </c>
      <c r="C28">
        <f>ABS(Calculations!E389)</f>
        <v>0</v>
      </c>
    </row>
    <row r="29" spans="2:3">
      <c r="B29" t="s">
        <v>1238</v>
      </c>
      <c r="C29">
        <f>ABS(Calculations!E390)</f>
        <v>0</v>
      </c>
    </row>
    <row r="30" spans="2:3">
      <c r="B30" t="s">
        <v>1239</v>
      </c>
      <c r="C30">
        <f>ABS(Calculations!E391)</f>
        <v>0</v>
      </c>
    </row>
    <row r="31" spans="2:3">
      <c r="B31" t="s">
        <v>1240</v>
      </c>
      <c r="C31">
        <f>ABS(Calculations!E392)</f>
        <v>0</v>
      </c>
    </row>
    <row r="32" spans="2:3">
      <c r="B32" t="s">
        <v>1241</v>
      </c>
      <c r="C32" t="str">
        <f>Calculations!A392</f>
        <v>Other (Specify)</v>
      </c>
    </row>
    <row r="33" spans="2:3">
      <c r="B33" t="s">
        <v>1242</v>
      </c>
      <c r="C33">
        <f>ABS(Calculations!E393)</f>
        <v>0</v>
      </c>
    </row>
    <row r="34" spans="2:3">
      <c r="B34" t="s">
        <v>1243</v>
      </c>
      <c r="C34">
        <f>ABS(Calculations!E394)</f>
        <v>0</v>
      </c>
    </row>
    <row r="35" spans="2:3">
      <c r="B35" t="s">
        <v>1244</v>
      </c>
      <c r="C35">
        <f>ABS(Calculations!F389)</f>
        <v>0</v>
      </c>
    </row>
    <row r="36" spans="2:3">
      <c r="B36" t="s">
        <v>1245</v>
      </c>
      <c r="C36">
        <f>ABS(Calculations!F390)</f>
        <v>0</v>
      </c>
    </row>
    <row r="37" spans="2:3">
      <c r="B37" t="s">
        <v>1246</v>
      </c>
      <c r="C37">
        <f>ABS(Calculations!F391)</f>
        <v>0</v>
      </c>
    </row>
    <row r="38" spans="2:3">
      <c r="B38" t="s">
        <v>1247</v>
      </c>
      <c r="C38">
        <f>ABS(Calculations!F392)</f>
        <v>0</v>
      </c>
    </row>
    <row r="39" spans="2:3">
      <c r="B39" t="s">
        <v>1248</v>
      </c>
      <c r="C39" t="str">
        <f>Calculations!A392</f>
        <v>Other (Specify)</v>
      </c>
    </row>
    <row r="40" spans="2:3">
      <c r="B40" t="s">
        <v>1249</v>
      </c>
      <c r="C40">
        <f>ABS(Calculations!F393)</f>
        <v>0</v>
      </c>
    </row>
    <row r="41" spans="2:3">
      <c r="B41" t="s">
        <v>1250</v>
      </c>
      <c r="C41">
        <f>ABS(Calculations!F394)</f>
        <v>0</v>
      </c>
    </row>
    <row r="42" spans="2:3">
      <c r="B42" t="s">
        <v>1251</v>
      </c>
      <c r="C42">
        <f>ABS(Calculations!G389)</f>
        <v>0</v>
      </c>
    </row>
    <row r="43" spans="2:3">
      <c r="B43" t="s">
        <v>1252</v>
      </c>
      <c r="C43">
        <f>ABS(Calculations!G390)</f>
        <v>0</v>
      </c>
    </row>
    <row r="44" spans="2:3">
      <c r="B44" t="s">
        <v>1253</v>
      </c>
      <c r="C44">
        <f>ABS(Calculations!G391)</f>
        <v>0</v>
      </c>
    </row>
    <row r="45" spans="2:3">
      <c r="B45" t="s">
        <v>1254</v>
      </c>
      <c r="C45">
        <f>ABS(Calculations!G392)</f>
        <v>0</v>
      </c>
    </row>
    <row r="46" spans="2:3">
      <c r="B46" t="s">
        <v>1255</v>
      </c>
      <c r="C46" t="str">
        <f>Calculations!A392</f>
        <v>Other (Specify)</v>
      </c>
    </row>
    <row r="47" spans="2:3">
      <c r="B47" t="s">
        <v>1256</v>
      </c>
      <c r="C47">
        <f>ABS(Calculations!G393)</f>
        <v>0</v>
      </c>
    </row>
    <row r="48" spans="2:3">
      <c r="B48" t="s">
        <v>1257</v>
      </c>
      <c r="C48">
        <f>ABS(Calculations!G394)</f>
        <v>0</v>
      </c>
    </row>
    <row r="49" spans="2:6">
      <c r="B49" t="s">
        <v>1258</v>
      </c>
      <c r="C49">
        <f>ABS(Calculations!H389)</f>
        <v>0</v>
      </c>
      <c r="F49" t="s">
        <v>1259</v>
      </c>
    </row>
    <row r="50" spans="2:6">
      <c r="B50" t="s">
        <v>1260</v>
      </c>
      <c r="C50">
        <f>ABS(Calculations!H390)</f>
        <v>0</v>
      </c>
    </row>
    <row r="51" spans="2:6">
      <c r="B51" t="s">
        <v>1261</v>
      </c>
      <c r="C51">
        <f>ABS(Calculations!H391)</f>
        <v>0</v>
      </c>
    </row>
    <row r="52" spans="2:6">
      <c r="B52" t="s">
        <v>1262</v>
      </c>
      <c r="C52">
        <f>ABS(Calculations!H392)</f>
        <v>0</v>
      </c>
    </row>
    <row r="53" spans="2:6">
      <c r="B53" t="s">
        <v>1263</v>
      </c>
      <c r="C53" t="str">
        <f>Calculations!A392</f>
        <v>Other (Specify)</v>
      </c>
    </row>
    <row r="54" spans="2:6">
      <c r="B54" t="s">
        <v>1264</v>
      </c>
      <c r="C54">
        <f>ABS(Calculations!H393)</f>
        <v>0</v>
      </c>
    </row>
    <row r="55" spans="2:6">
      <c r="B55" t="s">
        <v>1265</v>
      </c>
      <c r="C55">
        <f>ABS(Calculations!H394)</f>
        <v>0</v>
      </c>
    </row>
    <row r="56" spans="2:6">
      <c r="B56" t="s">
        <v>1266</v>
      </c>
      <c r="C56">
        <f>ABS(Calculations!I389)</f>
        <v>0</v>
      </c>
    </row>
    <row r="57" spans="2:6">
      <c r="B57" t="s">
        <v>1267</v>
      </c>
      <c r="C57">
        <f>ABS(Calculations!I390)</f>
        <v>0</v>
      </c>
    </row>
    <row r="58" spans="2:6">
      <c r="B58" t="s">
        <v>1268</v>
      </c>
      <c r="C58">
        <f>ABS(Calculations!I391)</f>
        <v>0</v>
      </c>
    </row>
    <row r="59" spans="2:6">
      <c r="B59" t="s">
        <v>1269</v>
      </c>
      <c r="C59">
        <f>ABS(Calculations!I392)</f>
        <v>0</v>
      </c>
    </row>
    <row r="60" spans="2:6">
      <c r="B60" t="s">
        <v>1270</v>
      </c>
      <c r="C60" t="str">
        <f>Calculations!A392</f>
        <v>Other (Specify)</v>
      </c>
    </row>
    <row r="61" spans="2:6">
      <c r="B61" t="s">
        <v>1271</v>
      </c>
      <c r="C61">
        <f>ABS(Calculations!I393)</f>
        <v>0</v>
      </c>
    </row>
    <row r="62" spans="2:6">
      <c r="B62" t="s">
        <v>1272</v>
      </c>
      <c r="C62">
        <f>ABS(Calculations!I394)</f>
        <v>0</v>
      </c>
    </row>
    <row r="63" spans="2:6">
      <c r="B63" t="s">
        <v>1273</v>
      </c>
      <c r="C63">
        <f>ABS(Calculations!J389)</f>
        <v>0</v>
      </c>
    </row>
    <row r="64" spans="2:6">
      <c r="B64" t="s">
        <v>1274</v>
      </c>
      <c r="C64">
        <f>ABS(Calculations!J390)</f>
        <v>0</v>
      </c>
    </row>
    <row r="65" spans="2:3">
      <c r="B65" t="s">
        <v>1275</v>
      </c>
      <c r="C65">
        <f>ABS(Calculations!J391)</f>
        <v>0</v>
      </c>
    </row>
    <row r="66" spans="2:3">
      <c r="B66" t="s">
        <v>1276</v>
      </c>
      <c r="C66">
        <f>ABS(Calculations!J392)</f>
        <v>0</v>
      </c>
    </row>
    <row r="67" spans="2:3">
      <c r="B67" t="s">
        <v>1277</v>
      </c>
      <c r="C67" t="str">
        <f>Calculations!A392</f>
        <v>Other (Specify)</v>
      </c>
    </row>
    <row r="68" spans="2:3">
      <c r="B68" t="s">
        <v>1278</v>
      </c>
      <c r="C68">
        <f>ABS(Calculations!J393)</f>
        <v>0</v>
      </c>
    </row>
    <row r="69" spans="2:3">
      <c r="B69" t="s">
        <v>1279</v>
      </c>
      <c r="C69">
        <f>ABS(Calculations!J394)</f>
        <v>0</v>
      </c>
    </row>
    <row r="70" spans="2:3">
      <c r="B70" t="s">
        <v>1280</v>
      </c>
      <c r="C70">
        <f>ABS(Calculations!K389)</f>
        <v>0</v>
      </c>
    </row>
    <row r="71" spans="2:3">
      <c r="B71" t="s">
        <v>1281</v>
      </c>
      <c r="C71">
        <f>ABS(Calculations!K390)</f>
        <v>0</v>
      </c>
    </row>
    <row r="72" spans="2:3">
      <c r="B72" t="s">
        <v>1282</v>
      </c>
      <c r="C72">
        <f>ABS(Calculations!K391)</f>
        <v>0</v>
      </c>
    </row>
    <row r="73" spans="2:3">
      <c r="B73" t="s">
        <v>1283</v>
      </c>
      <c r="C73">
        <f>ABS(Calculations!K392)</f>
        <v>0</v>
      </c>
    </row>
    <row r="74" spans="2:3">
      <c r="B74" t="s">
        <v>1284</v>
      </c>
      <c r="C74" t="str">
        <f>Calculations!A392</f>
        <v>Other (Specify)</v>
      </c>
    </row>
    <row r="75" spans="2:3">
      <c r="B75" t="s">
        <v>1285</v>
      </c>
      <c r="C75">
        <f>ABS(Calculations!K393)</f>
        <v>0</v>
      </c>
    </row>
    <row r="76" spans="2:3">
      <c r="B76" t="s">
        <v>1286</v>
      </c>
      <c r="C76">
        <f>ABS(Calculations!K394)</f>
        <v>0</v>
      </c>
    </row>
    <row r="77" spans="2:3">
      <c r="B77" t="s">
        <v>1287</v>
      </c>
      <c r="C77">
        <f>ABS(Calculations!L389)</f>
        <v>0</v>
      </c>
    </row>
    <row r="78" spans="2:3">
      <c r="B78" t="s">
        <v>1288</v>
      </c>
      <c r="C78">
        <f>ABS(Calculations!L390)</f>
        <v>0</v>
      </c>
    </row>
    <row r="79" spans="2:3">
      <c r="B79" t="s">
        <v>1289</v>
      </c>
      <c r="C79">
        <f>ABS(Calculations!L391)</f>
        <v>0</v>
      </c>
    </row>
    <row r="80" spans="2:3">
      <c r="B80" t="s">
        <v>1290</v>
      </c>
      <c r="C80">
        <f>ABS(Calculations!L392)</f>
        <v>0</v>
      </c>
    </row>
    <row r="81" spans="2:3">
      <c r="B81" t="s">
        <v>1291</v>
      </c>
      <c r="C81" t="str">
        <f>Calculations!A392</f>
        <v>Other (Specify)</v>
      </c>
    </row>
    <row r="82" spans="2:3">
      <c r="B82" t="s">
        <v>1292</v>
      </c>
      <c r="C82">
        <f>ABS(Calculations!L393)</f>
        <v>0</v>
      </c>
    </row>
    <row r="83" spans="2:3">
      <c r="B83" t="s">
        <v>1293</v>
      </c>
      <c r="C83">
        <f>ABS(Calculations!L394)</f>
        <v>0</v>
      </c>
    </row>
    <row r="84" spans="2:3">
      <c r="B84" t="s">
        <v>1294</v>
      </c>
      <c r="C84">
        <f>ABS(Calculations!M389)</f>
        <v>0</v>
      </c>
    </row>
    <row r="85" spans="2:3">
      <c r="B85" t="s">
        <v>1295</v>
      </c>
      <c r="C85">
        <f>ABS(Calculations!M390)</f>
        <v>0</v>
      </c>
    </row>
    <row r="86" spans="2:3">
      <c r="B86" t="s">
        <v>1296</v>
      </c>
      <c r="C86">
        <f>ABS(Calculations!M391)</f>
        <v>0</v>
      </c>
    </row>
    <row r="87" spans="2:3">
      <c r="B87" t="s">
        <v>1297</v>
      </c>
      <c r="C87">
        <f>ABS(Calculations!M392)</f>
        <v>0</v>
      </c>
    </row>
    <row r="88" spans="2:3">
      <c r="B88" t="s">
        <v>1298</v>
      </c>
      <c r="C88" t="str">
        <f>Calculations!A392</f>
        <v>Other (Specify)</v>
      </c>
    </row>
    <row r="89" spans="2:3">
      <c r="B89" t="s">
        <v>1299</v>
      </c>
      <c r="C89">
        <f>ABS(Calculations!M3934)</f>
        <v>0</v>
      </c>
    </row>
    <row r="90" spans="2:3">
      <c r="B90" t="s">
        <v>1300</v>
      </c>
      <c r="C90">
        <f>ABS(Calculations!M394)</f>
        <v>0</v>
      </c>
    </row>
    <row r="91" spans="2:3">
      <c r="B91" t="s">
        <v>1301</v>
      </c>
      <c r="C91">
        <f>ABS(Calculations!N389)</f>
        <v>0</v>
      </c>
    </row>
    <row r="92" spans="2:3">
      <c r="B92" t="s">
        <v>1302</v>
      </c>
      <c r="C92">
        <f>ABS(Calculations!N390)</f>
        <v>0</v>
      </c>
    </row>
    <row r="93" spans="2:3">
      <c r="B93" t="s">
        <v>1303</v>
      </c>
      <c r="C93">
        <f>ABS(Calculations!N391)</f>
        <v>0</v>
      </c>
    </row>
    <row r="94" spans="2:3">
      <c r="B94" t="s">
        <v>1304</v>
      </c>
      <c r="C94">
        <f>ABS(Calculations!N392)</f>
        <v>0</v>
      </c>
    </row>
    <row r="95" spans="2:3">
      <c r="B95" t="s">
        <v>1305</v>
      </c>
      <c r="C95" t="str">
        <f>Calculations!A392</f>
        <v>Other (Specify)</v>
      </c>
    </row>
    <row r="96" spans="2:3">
      <c r="B96" t="s">
        <v>1306</v>
      </c>
      <c r="C96">
        <f>ABS(Calculations!N393)</f>
        <v>0</v>
      </c>
    </row>
    <row r="97" spans="1:3">
      <c r="B97" t="s">
        <v>1307</v>
      </c>
      <c r="C97">
        <f>ABS(Calculations!N394)</f>
        <v>0</v>
      </c>
    </row>
    <row r="98" spans="1:3">
      <c r="B98" t="s">
        <v>1308</v>
      </c>
      <c r="C98">
        <f>ABS(Calculations!O389)</f>
        <v>0</v>
      </c>
    </row>
    <row r="99" spans="1:3">
      <c r="B99" t="s">
        <v>1309</v>
      </c>
      <c r="C99">
        <f>ABS(Calculations!O390)</f>
        <v>0</v>
      </c>
    </row>
    <row r="100" spans="1:3">
      <c r="B100" t="s">
        <v>1310</v>
      </c>
      <c r="C100">
        <f>ABS(Calculations!O391)</f>
        <v>0</v>
      </c>
    </row>
    <row r="101" spans="1:3">
      <c r="B101" t="s">
        <v>1311</v>
      </c>
      <c r="C101">
        <f>ABS(Calculations!O392)</f>
        <v>0</v>
      </c>
    </row>
    <row r="102" spans="1:3">
      <c r="B102" t="s">
        <v>1312</v>
      </c>
      <c r="C102" t="str">
        <f>Calculations!A392</f>
        <v>Other (Specify)</v>
      </c>
    </row>
    <row r="103" spans="1:3">
      <c r="B103" t="s">
        <v>1313</v>
      </c>
      <c r="C103">
        <f>ABS(Calculations!O393)</f>
        <v>0</v>
      </c>
    </row>
    <row r="104" spans="1:3">
      <c r="B104" t="s">
        <v>1314</v>
      </c>
      <c r="C104">
        <f>ABS(Calculations!O394)</f>
        <v>0</v>
      </c>
    </row>
    <row r="105" spans="1:3">
      <c r="B105" t="s">
        <v>1315</v>
      </c>
      <c r="C105">
        <f>ABS(Calculations!P389)</f>
        <v>0</v>
      </c>
    </row>
    <row r="106" spans="1:3">
      <c r="B106" t="s">
        <v>1316</v>
      </c>
      <c r="C106">
        <f>ABS(Calculations!P390)</f>
        <v>0</v>
      </c>
    </row>
    <row r="107" spans="1:3">
      <c r="B107" t="s">
        <v>1317</v>
      </c>
      <c r="C107">
        <f>ABS(Calculations!P391)</f>
        <v>0</v>
      </c>
    </row>
    <row r="108" spans="1:3">
      <c r="B108" t="s">
        <v>1318</v>
      </c>
      <c r="C108">
        <f>ABS(Calculations!P392)</f>
        <v>0</v>
      </c>
    </row>
    <row r="109" spans="1:3">
      <c r="B109" t="s">
        <v>1319</v>
      </c>
      <c r="C109" t="str">
        <f>Calculations!A392</f>
        <v>Other (Specify)</v>
      </c>
    </row>
    <row r="110" spans="1:3">
      <c r="B110" t="s">
        <v>1320</v>
      </c>
      <c r="C110">
        <f>ABS(Calculations!P393)</f>
        <v>0</v>
      </c>
    </row>
    <row r="111" spans="1:3">
      <c r="B111" t="s">
        <v>1321</v>
      </c>
      <c r="C111">
        <f>ABS(Calculations!P394)</f>
        <v>0</v>
      </c>
    </row>
    <row r="112" spans="1:3">
      <c r="A112" s="67"/>
      <c r="B112" t="s">
        <v>1322</v>
      </c>
      <c r="C112">
        <f>Calculations!B388</f>
        <v>0</v>
      </c>
    </row>
    <row r="113" spans="1:3">
      <c r="B113" t="s">
        <v>1323</v>
      </c>
      <c r="C113">
        <f>Calculations!C388</f>
        <v>0</v>
      </c>
    </row>
    <row r="114" spans="1:3">
      <c r="B114" t="s">
        <v>1324</v>
      </c>
      <c r="C114">
        <f>Calculations!D388</f>
        <v>0</v>
      </c>
    </row>
    <row r="115" spans="1:3">
      <c r="B115" t="s">
        <v>1325</v>
      </c>
      <c r="C115">
        <f>Calculations!E388</f>
        <v>0</v>
      </c>
    </row>
    <row r="116" spans="1:3">
      <c r="B116" t="s">
        <v>1326</v>
      </c>
      <c r="C116">
        <f>Calculations!F388</f>
        <v>0</v>
      </c>
    </row>
    <row r="117" spans="1:3">
      <c r="B117" t="s">
        <v>1327</v>
      </c>
      <c r="C117">
        <f>Calculations!G388</f>
        <v>0</v>
      </c>
    </row>
    <row r="118" spans="1:3">
      <c r="B118" t="s">
        <v>1328</v>
      </c>
      <c r="C118">
        <f>Calculations!H388</f>
        <v>0</v>
      </c>
    </row>
    <row r="119" spans="1:3">
      <c r="B119" t="s">
        <v>1329</v>
      </c>
      <c r="C119">
        <f>Calculations!I388</f>
        <v>0</v>
      </c>
    </row>
    <row r="120" spans="1:3">
      <c r="B120" t="s">
        <v>1330</v>
      </c>
      <c r="C120">
        <f>Calculations!J388</f>
        <v>0</v>
      </c>
    </row>
    <row r="121" spans="1:3">
      <c r="B121" t="s">
        <v>1331</v>
      </c>
      <c r="C121">
        <f>Calculations!K388</f>
        <v>0</v>
      </c>
    </row>
    <row r="122" spans="1:3">
      <c r="B122" t="s">
        <v>1332</v>
      </c>
      <c r="C122">
        <f>Calculations!L388</f>
        <v>0</v>
      </c>
    </row>
    <row r="123" spans="1:3">
      <c r="B123" t="s">
        <v>1333</v>
      </c>
      <c r="C123">
        <f>Calculations!M388</f>
        <v>0</v>
      </c>
    </row>
    <row r="124" spans="1:3">
      <c r="B124" t="s">
        <v>1334</v>
      </c>
      <c r="C124">
        <f>Calculations!N388</f>
        <v>0</v>
      </c>
    </row>
    <row r="125" spans="1:3">
      <c r="B125" t="s">
        <v>1335</v>
      </c>
      <c r="C125">
        <f>Calculations!O388</f>
        <v>0</v>
      </c>
    </row>
    <row r="126" spans="1:3">
      <c r="B126" t="s">
        <v>1336</v>
      </c>
      <c r="C126">
        <f>Calculations!P388</f>
        <v>0</v>
      </c>
    </row>
    <row r="127" spans="1:3">
      <c r="A127" s="67"/>
      <c r="B127" t="s">
        <v>1337</v>
      </c>
      <c r="C127">
        <f>Calculations!B394</f>
        <v>0</v>
      </c>
    </row>
    <row r="128" spans="1:3">
      <c r="B128" t="s">
        <v>1338</v>
      </c>
      <c r="C128">
        <f>Calculations!C394</f>
        <v>0</v>
      </c>
    </row>
    <row r="129" spans="2:3">
      <c r="B129" t="s">
        <v>1339</v>
      </c>
      <c r="C129">
        <f>Calculations!D394</f>
        <v>0</v>
      </c>
    </row>
    <row r="130" spans="2:3">
      <c r="B130" t="s">
        <v>1340</v>
      </c>
      <c r="C130">
        <f>Calculations!E394</f>
        <v>0</v>
      </c>
    </row>
    <row r="131" spans="2:3">
      <c r="B131" t="s">
        <v>1341</v>
      </c>
      <c r="C131">
        <f>Calculations!F394</f>
        <v>0</v>
      </c>
    </row>
    <row r="132" spans="2:3">
      <c r="B132" t="s">
        <v>1342</v>
      </c>
      <c r="C132">
        <f>Calculations!G394</f>
        <v>0</v>
      </c>
    </row>
    <row r="133" spans="2:3">
      <c r="B133" t="s">
        <v>1343</v>
      </c>
      <c r="C133">
        <f>Calculations!H394</f>
        <v>0</v>
      </c>
    </row>
    <row r="134" spans="2:3">
      <c r="B134" t="s">
        <v>1344</v>
      </c>
      <c r="C134">
        <f>Calculations!I394</f>
        <v>0</v>
      </c>
    </row>
    <row r="135" spans="2:3">
      <c r="B135" t="s">
        <v>1345</v>
      </c>
      <c r="C135">
        <f>Calculations!J394</f>
        <v>0</v>
      </c>
    </row>
    <row r="136" spans="2:3">
      <c r="B136" t="s">
        <v>1346</v>
      </c>
      <c r="C136">
        <f>Calculations!K394</f>
        <v>0</v>
      </c>
    </row>
    <row r="137" spans="2:3">
      <c r="B137" t="s">
        <v>1347</v>
      </c>
      <c r="C137">
        <f>Calculations!L394</f>
        <v>0</v>
      </c>
    </row>
    <row r="138" spans="2:3">
      <c r="B138" t="s">
        <v>1348</v>
      </c>
      <c r="C138">
        <f>Calculations!M394</f>
        <v>0</v>
      </c>
    </row>
    <row r="139" spans="2:3">
      <c r="B139" t="s">
        <v>1349</v>
      </c>
      <c r="C139">
        <f>Calculations!N394</f>
        <v>0</v>
      </c>
    </row>
    <row r="140" spans="2:3">
      <c r="B140" t="s">
        <v>1350</v>
      </c>
      <c r="C140">
        <f>Calculations!O394</f>
        <v>0</v>
      </c>
    </row>
    <row r="141" spans="2:3">
      <c r="B141" t="s">
        <v>1351</v>
      </c>
      <c r="C141">
        <f>Calculations!P394</f>
        <v>0</v>
      </c>
    </row>
    <row r="142" spans="2:3">
      <c r="B142" t="s">
        <v>378</v>
      </c>
      <c r="C142">
        <f>Calculations!B140</f>
        <v>0</v>
      </c>
    </row>
    <row r="143" spans="2:3">
      <c r="B143" t="s">
        <v>964</v>
      </c>
      <c r="C143">
        <f>Calculations!B397</f>
        <v>0</v>
      </c>
    </row>
    <row r="144" spans="2:3">
      <c r="B144" t="s">
        <v>965</v>
      </c>
      <c r="C144">
        <f>Calculations!B398</f>
        <v>0</v>
      </c>
    </row>
    <row r="145" spans="1:4">
      <c r="B145" t="s">
        <v>1352</v>
      </c>
      <c r="C145" t="b">
        <f>Calculations!F397</f>
        <v>1</v>
      </c>
    </row>
    <row r="146" spans="1:4">
      <c r="B146" t="s">
        <v>1353</v>
      </c>
      <c r="C146" t="b">
        <f>Calculations!F398</f>
        <v>1</v>
      </c>
    </row>
    <row r="147" spans="1:4">
      <c r="A147" t="str">
        <f>'Proforma, Income &amp; Expense'!A22</f>
        <v>Accounting</v>
      </c>
      <c r="B147" t="s">
        <v>1354</v>
      </c>
      <c r="C147">
        <f>'Proforma, Income &amp; Expense'!B22</f>
        <v>0</v>
      </c>
      <c r="D147" t="s">
        <v>1355</v>
      </c>
    </row>
    <row r="148" spans="1:4">
      <c r="A148" t="str">
        <f>'Proforma, Income &amp; Expense'!A23</f>
        <v>Advertising</v>
      </c>
      <c r="B148" t="s">
        <v>1356</v>
      </c>
      <c r="C148">
        <f>'Proforma, Income &amp; Expense'!B23</f>
        <v>0</v>
      </c>
      <c r="D148" t="s">
        <v>1357</v>
      </c>
    </row>
    <row r="149" spans="1:4">
      <c r="A149" t="str">
        <f>'Proforma, Income &amp; Expense'!A24</f>
        <v>Legal</v>
      </c>
      <c r="B149" t="s">
        <v>1358</v>
      </c>
      <c r="C149">
        <f>'Proforma, Income &amp; Expense'!B24</f>
        <v>0</v>
      </c>
      <c r="D149" t="s">
        <v>1359</v>
      </c>
    </row>
    <row r="150" spans="1:4">
      <c r="A150" t="str">
        <f>'Proforma, Income &amp; Expense'!A25</f>
        <v>Leased Equipment</v>
      </c>
      <c r="B150" t="s">
        <v>1360</v>
      </c>
      <c r="C150">
        <f>'Proforma, Income &amp; Expense'!B25</f>
        <v>0</v>
      </c>
      <c r="D150" t="s">
        <v>1361</v>
      </c>
    </row>
    <row r="151" spans="1:4">
      <c r="A151" t="str">
        <f>'Proforma, Income &amp; Expense'!A26</f>
        <v>Management Fees</v>
      </c>
      <c r="B151" t="s">
        <v>1362</v>
      </c>
      <c r="C151">
        <f>'Proforma, Income &amp; Expense'!B26</f>
        <v>0</v>
      </c>
      <c r="D151" t="s">
        <v>1363</v>
      </c>
    </row>
    <row r="152" spans="1:4">
      <c r="A152" t="str">
        <f>'Proforma, Income &amp; Expense'!A27</f>
        <v>Management Salaries</v>
      </c>
      <c r="B152" t="s">
        <v>1364</v>
      </c>
      <c r="C152">
        <f>'Proforma, Income &amp; Expense'!B27</f>
        <v>0</v>
      </c>
      <c r="D152" t="s">
        <v>1365</v>
      </c>
    </row>
    <row r="153" spans="1:4">
      <c r="A153" t="str">
        <f>'Proforma, Income &amp; Expense'!A28</f>
        <v>Management Payroll Tax</v>
      </c>
      <c r="B153" t="s">
        <v>1366</v>
      </c>
      <c r="C153">
        <f>'Proforma, Income &amp; Expense'!B28</f>
        <v>0</v>
      </c>
      <c r="D153" t="s">
        <v>1367</v>
      </c>
    </row>
    <row r="154" spans="1:4">
      <c r="A154" t="str">
        <f>'Proforma, Income &amp; Expense'!A29</f>
        <v>Model Apartment</v>
      </c>
      <c r="B154" t="s">
        <v>1368</v>
      </c>
      <c r="C154">
        <f>'Proforma, Income &amp; Expense'!B29</f>
        <v>0</v>
      </c>
      <c r="D154" t="s">
        <v>1369</v>
      </c>
    </row>
    <row r="155" spans="1:4">
      <c r="A155" t="str">
        <f>'Proforma, Income &amp; Expense'!A30</f>
        <v>Office Supplies</v>
      </c>
      <c r="B155" t="s">
        <v>1370</v>
      </c>
      <c r="C155">
        <f>'Proforma, Income &amp; Expense'!B30</f>
        <v>0</v>
      </c>
      <c r="D155" t="s">
        <v>1371</v>
      </c>
    </row>
    <row r="156" spans="1:4">
      <c r="A156" t="str">
        <f>'Proforma, Income &amp; Expense'!A31</f>
        <v>Telephone</v>
      </c>
      <c r="B156" t="s">
        <v>1372</v>
      </c>
      <c r="C156">
        <f>'Proforma, Income &amp; Expense'!B31</f>
        <v>0</v>
      </c>
      <c r="D156" t="s">
        <v>1373</v>
      </c>
    </row>
    <row r="157" spans="1:4">
      <c r="A157" t="str">
        <f>'Proforma, Income &amp; Expense'!A32</f>
        <v>Other (Specify)</v>
      </c>
      <c r="B157" t="s">
        <v>1374</v>
      </c>
      <c r="C157">
        <f>'Proforma, Income &amp; Expense'!B32</f>
        <v>0</v>
      </c>
      <c r="D157" t="s">
        <v>1375</v>
      </c>
    </row>
    <row r="158" spans="1:4">
      <c r="A158" t="str">
        <f>'Proforma, Income &amp; Expense'!A33</f>
        <v>Other (Specify)</v>
      </c>
      <c r="B158" t="s">
        <v>1376</v>
      </c>
      <c r="C158">
        <f>'Proforma, Income &amp; Expense'!B33</f>
        <v>0</v>
      </c>
      <c r="D158" t="s">
        <v>1377</v>
      </c>
    </row>
    <row r="159" spans="1:4">
      <c r="A159" t="str">
        <f>'Proforma, Income &amp; Expense'!A34</f>
        <v>Other (Specify)</v>
      </c>
      <c r="B159" t="s">
        <v>1378</v>
      </c>
      <c r="C159">
        <f>'Proforma, Income &amp; Expense'!B34</f>
        <v>0</v>
      </c>
      <c r="D159" t="s">
        <v>1379</v>
      </c>
    </row>
    <row r="160" spans="1:4">
      <c r="A160" t="str">
        <f>'Proforma, Income &amp; Expense'!A37</f>
        <v>Fuel (Heat/Water)</v>
      </c>
      <c r="B160" t="s">
        <v>1380</v>
      </c>
      <c r="C160">
        <f>'Proforma, Income &amp; Expense'!B37</f>
        <v>0</v>
      </c>
      <c r="D160" t="s">
        <v>1381</v>
      </c>
    </row>
    <row r="161" spans="1:4">
      <c r="A161" t="str">
        <f>'Proforma, Income &amp; Expense'!A38</f>
        <v>Electricity</v>
      </c>
      <c r="B161" t="s">
        <v>1382</v>
      </c>
      <c r="C161">
        <f>'Proforma, Income &amp; Expense'!B38</f>
        <v>0</v>
      </c>
      <c r="D161" t="s">
        <v>1383</v>
      </c>
    </row>
    <row r="162" spans="1:4">
      <c r="A162" t="str">
        <f>'Proforma, Income &amp; Expense'!A39</f>
        <v>Water</v>
      </c>
      <c r="B162" t="s">
        <v>1384</v>
      </c>
      <c r="C162">
        <f>'Proforma, Income &amp; Expense'!B39</f>
        <v>0</v>
      </c>
      <c r="D162" t="s">
        <v>1385</v>
      </c>
    </row>
    <row r="163" spans="1:4">
      <c r="A163" t="str">
        <f>'Proforma, Income &amp; Expense'!A40</f>
        <v>Sewer</v>
      </c>
      <c r="B163" t="s">
        <v>1386</v>
      </c>
      <c r="C163">
        <f>'Proforma, Income &amp; Expense'!B40</f>
        <v>0</v>
      </c>
      <c r="D163" t="s">
        <v>1387</v>
      </c>
    </row>
    <row r="164" spans="1:4">
      <c r="A164" t="str">
        <f>'Proforma, Income &amp; Expense'!A41</f>
        <v>Gas</v>
      </c>
      <c r="B164" t="s">
        <v>1388</v>
      </c>
      <c r="C164">
        <f>'Proforma, Income &amp; Expense'!B41</f>
        <v>0</v>
      </c>
      <c r="D164" t="s">
        <v>1389</v>
      </c>
    </row>
    <row r="165" spans="1:4">
      <c r="A165" t="str">
        <f>'Proforma, Income &amp; Expense'!A42</f>
        <v>Trash</v>
      </c>
      <c r="B165" t="s">
        <v>1390</v>
      </c>
      <c r="C165">
        <f>'Proforma, Income &amp; Expense'!B42</f>
        <v>0</v>
      </c>
      <c r="D165" t="s">
        <v>1391</v>
      </c>
    </row>
    <row r="166" spans="1:4">
      <c r="A166" t="str">
        <f>'Proforma, Income &amp; Expense'!A43</f>
        <v>Security</v>
      </c>
      <c r="B166" t="s">
        <v>1392</v>
      </c>
      <c r="C166">
        <f>'Proforma, Income &amp; Expense'!B43</f>
        <v>0</v>
      </c>
      <c r="D166" t="s">
        <v>1393</v>
      </c>
    </row>
    <row r="167" spans="1:4">
      <c r="A167" t="str">
        <f>'Proforma, Income &amp; Expense'!A44</f>
        <v>Cable</v>
      </c>
      <c r="B167" t="s">
        <v>1394</v>
      </c>
      <c r="C167">
        <f>'Proforma, Income &amp; Expense'!B44</f>
        <v>0</v>
      </c>
      <c r="D167" t="s">
        <v>1395</v>
      </c>
    </row>
    <row r="168" spans="1:4">
      <c r="A168" t="str">
        <f>'Proforma, Income &amp; Expense'!A45</f>
        <v>Other (Specify)</v>
      </c>
      <c r="B168" t="s">
        <v>1396</v>
      </c>
      <c r="C168">
        <f>'Proforma, Income &amp; Expense'!B45</f>
        <v>0</v>
      </c>
      <c r="D168" t="s">
        <v>1397</v>
      </c>
    </row>
    <row r="169" spans="1:4">
      <c r="A169" t="str">
        <f>'Proforma, Income &amp; Expense'!A46</f>
        <v>Other (Specify)</v>
      </c>
      <c r="B169" t="s">
        <v>1398</v>
      </c>
      <c r="C169">
        <f>'Proforma, Income &amp; Expense'!B46</f>
        <v>0</v>
      </c>
      <c r="D169" t="s">
        <v>1399</v>
      </c>
    </row>
    <row r="170" spans="1:4">
      <c r="A170" t="str">
        <f>'Proforma, Income &amp; Expense'!A47</f>
        <v>Other (Specify)</v>
      </c>
      <c r="B170" t="s">
        <v>1400</v>
      </c>
      <c r="C170">
        <f>'Proforma, Income &amp; Expense'!B47</f>
        <v>0</v>
      </c>
      <c r="D170" t="s">
        <v>1401</v>
      </c>
    </row>
    <row r="171" spans="1:4">
      <c r="A171" t="str">
        <f>'Proforma, Income &amp; Expense'!A48</f>
        <v>Other (Specify)</v>
      </c>
      <c r="B171" t="s">
        <v>1402</v>
      </c>
      <c r="C171">
        <f>'Proforma, Income &amp; Expense'!B48</f>
        <v>0</v>
      </c>
      <c r="D171" t="s">
        <v>1403</v>
      </c>
    </row>
    <row r="172" spans="1:4">
      <c r="A172" t="str">
        <f>'Proforma, Income &amp; Expense'!A51</f>
        <v>Elevator</v>
      </c>
      <c r="B172" t="s">
        <v>1404</v>
      </c>
      <c r="C172">
        <f>'Proforma, Income &amp; Expense'!B51</f>
        <v>0</v>
      </c>
      <c r="D172" t="s">
        <v>1405</v>
      </c>
    </row>
    <row r="173" spans="1:4">
      <c r="A173" t="str">
        <f>'Proforma, Income &amp; Expense'!A52</f>
        <v>Extermination</v>
      </c>
      <c r="B173" t="s">
        <v>1406</v>
      </c>
      <c r="C173">
        <f>'Proforma, Income &amp; Expense'!B52</f>
        <v>0</v>
      </c>
      <c r="D173" t="s">
        <v>1407</v>
      </c>
    </row>
    <row r="174" spans="1:4">
      <c r="A174" t="str">
        <f>'Proforma, Income &amp; Expense'!A53</f>
        <v>Grounds</v>
      </c>
      <c r="B174" t="s">
        <v>1408</v>
      </c>
      <c r="C174">
        <f>'Proforma, Income &amp; Expense'!B53</f>
        <v>0</v>
      </c>
      <c r="D174" t="s">
        <v>1409</v>
      </c>
    </row>
    <row r="175" spans="1:4">
      <c r="A175" t="str">
        <f>'Proforma, Income &amp; Expense'!A54</f>
        <v>Repairs</v>
      </c>
      <c r="B175" t="s">
        <v>1410</v>
      </c>
      <c r="C175">
        <f>'Proforma, Income &amp; Expense'!B54</f>
        <v>0</v>
      </c>
      <c r="D175" t="s">
        <v>1411</v>
      </c>
    </row>
    <row r="176" spans="1:4">
      <c r="A176" t="str">
        <f>'Proforma, Income &amp; Expense'!A55</f>
        <v>Maintenance Salaries</v>
      </c>
      <c r="B176" t="s">
        <v>1412</v>
      </c>
      <c r="C176">
        <f>'Proforma, Income &amp; Expense'!B55</f>
        <v>0</v>
      </c>
      <c r="D176" t="s">
        <v>1413</v>
      </c>
    </row>
    <row r="177" spans="1:4">
      <c r="A177" t="str">
        <f>'Proforma, Income &amp; Expense'!A56</f>
        <v>Maintenance Supplies</v>
      </c>
      <c r="B177" t="s">
        <v>1414</v>
      </c>
      <c r="C177">
        <f>'Proforma, Income &amp; Expense'!B56</f>
        <v>0</v>
      </c>
      <c r="D177" t="s">
        <v>1415</v>
      </c>
    </row>
    <row r="178" spans="1:4">
      <c r="A178" t="str">
        <f>'Proforma, Income &amp; Expense'!A57</f>
        <v>Contracts</v>
      </c>
      <c r="B178" t="s">
        <v>1416</v>
      </c>
      <c r="C178">
        <f>'Proforma, Income &amp; Expense'!B57</f>
        <v>0</v>
      </c>
      <c r="D178" t="s">
        <v>1417</v>
      </c>
    </row>
    <row r="179" spans="1:4">
      <c r="A179" t="str">
        <f>'Proforma, Income &amp; Expense'!A58</f>
        <v>Decorating</v>
      </c>
      <c r="B179" t="s">
        <v>1418</v>
      </c>
      <c r="C179">
        <f>'Proforma, Income &amp; Expense'!B58</f>
        <v>0</v>
      </c>
      <c r="D179" t="s">
        <v>1419</v>
      </c>
    </row>
    <row r="180" spans="1:4">
      <c r="A180" t="str">
        <f>'Proforma, Income &amp; Expense'!A59</f>
        <v>Snow Removal</v>
      </c>
      <c r="B180" t="s">
        <v>1420</v>
      </c>
      <c r="C180">
        <f>'Proforma, Income &amp; Expense'!B59</f>
        <v>0</v>
      </c>
      <c r="D180" t="s">
        <v>1421</v>
      </c>
    </row>
    <row r="181" spans="1:4">
      <c r="A181" t="str">
        <f>'Proforma, Income &amp; Expense'!A60</f>
        <v>Other (Specify)</v>
      </c>
      <c r="B181" t="s">
        <v>1422</v>
      </c>
      <c r="C181">
        <f>'Proforma, Income &amp; Expense'!B60</f>
        <v>0</v>
      </c>
      <c r="D181" t="s">
        <v>1423</v>
      </c>
    </row>
    <row r="182" spans="1:4">
      <c r="A182" t="str">
        <f>'Proforma, Income &amp; Expense'!A61</f>
        <v>Other (Specify)</v>
      </c>
      <c r="B182" t="s">
        <v>1424</v>
      </c>
      <c r="C182">
        <f>'Proforma, Income &amp; Expense'!B61</f>
        <v>0</v>
      </c>
      <c r="D182" t="s">
        <v>1425</v>
      </c>
    </row>
    <row r="183" spans="1:4">
      <c r="A183" t="str">
        <f>'Proforma, Income &amp; Expense'!A62</f>
        <v>Other (Specify)</v>
      </c>
      <c r="B183" t="s">
        <v>1426</v>
      </c>
      <c r="C183">
        <f>'Proforma, Income &amp; Expense'!B62</f>
        <v>0</v>
      </c>
      <c r="D183" t="s">
        <v>1427</v>
      </c>
    </row>
    <row r="184" spans="1:4">
      <c r="A184" t="str">
        <f>'Proforma, Income &amp; Expense'!A65</f>
        <v>Real Estate Taxes</v>
      </c>
      <c r="B184" t="s">
        <v>1428</v>
      </c>
      <c r="C184">
        <f>'Proforma, Income &amp; Expense'!B65</f>
        <v>0</v>
      </c>
      <c r="D184" t="s">
        <v>1429</v>
      </c>
    </row>
    <row r="185" spans="1:4">
      <c r="A185" t="str">
        <f>'Proforma, Income &amp; Expense'!A66</f>
        <v>Payment in Lieu of Taxes</v>
      </c>
      <c r="B185" t="s">
        <v>1430</v>
      </c>
      <c r="C185">
        <f>'Proforma, Income &amp; Expense'!B66</f>
        <v>0</v>
      </c>
      <c r="D185" t="s">
        <v>1431</v>
      </c>
    </row>
    <row r="186" spans="1:4">
      <c r="A186" t="str">
        <f>'Proforma, Income &amp; Expense'!A67</f>
        <v>Other Tax Assessments</v>
      </c>
      <c r="B186" t="s">
        <v>1432</v>
      </c>
      <c r="C186">
        <f>'Proforma, Income &amp; Expense'!B67</f>
        <v>0</v>
      </c>
      <c r="D186" t="s">
        <v>1433</v>
      </c>
    </row>
    <row r="187" spans="1:4">
      <c r="A187" t="str">
        <f>'Proforma, Income &amp; Expense'!A68</f>
        <v>Insurance</v>
      </c>
      <c r="B187" t="s">
        <v>1434</v>
      </c>
      <c r="C187">
        <f>'Proforma, Income &amp; Expense'!B68</f>
        <v>0</v>
      </c>
      <c r="D187" t="s">
        <v>1435</v>
      </c>
    </row>
    <row r="188" spans="1:4">
      <c r="A188" t="str">
        <f>'Proforma, Income &amp; Expense'!A69</f>
        <v>Payroll Tax</v>
      </c>
      <c r="B188" t="s">
        <v>1436</v>
      </c>
      <c r="C188">
        <f>'Proforma, Income &amp; Expense'!B69</f>
        <v>0</v>
      </c>
      <c r="D188" t="s">
        <v>1437</v>
      </c>
    </row>
    <row r="189" spans="1:4">
      <c r="A189" t="str">
        <f>'Proforma, Income &amp; Expense'!A70</f>
        <v>Other (Specify)</v>
      </c>
      <c r="B189" t="s">
        <v>1438</v>
      </c>
      <c r="C189">
        <f>'Proforma, Income &amp; Expense'!B70</f>
        <v>0</v>
      </c>
      <c r="D189" t="s">
        <v>1439</v>
      </c>
    </row>
    <row r="190" spans="1:4">
      <c r="A190" t="str">
        <f>'Proforma, Income &amp; Expense'!A71</f>
        <v>Other (Specify)</v>
      </c>
      <c r="B190" t="s">
        <v>1440</v>
      </c>
      <c r="C190">
        <f>'Proforma, Income &amp; Expense'!B71</f>
        <v>0</v>
      </c>
      <c r="D190" t="s">
        <v>1441</v>
      </c>
    </row>
    <row r="192" spans="1:4">
      <c r="A192" t="s">
        <v>1442</v>
      </c>
      <c r="B192" t="s">
        <v>1443</v>
      </c>
      <c r="C192">
        <f>Calculations!C352</f>
        <v>0</v>
      </c>
      <c r="D192" t="s">
        <v>1444</v>
      </c>
    </row>
    <row r="193" spans="1:4">
      <c r="A193" t="s">
        <v>1445</v>
      </c>
      <c r="B193" t="s">
        <v>1446</v>
      </c>
      <c r="C193">
        <f>Calculations!B352</f>
        <v>0</v>
      </c>
      <c r="D193" t="s">
        <v>1447</v>
      </c>
    </row>
    <row r="194" spans="1:4">
      <c r="A194" s="429" t="s">
        <v>1448</v>
      </c>
      <c r="B194" s="429" t="s">
        <v>1449</v>
      </c>
      <c r="C194" s="429">
        <f>Calculations!B351</f>
        <v>0</v>
      </c>
      <c r="D194" s="429" t="s">
        <v>1450</v>
      </c>
    </row>
    <row r="195" spans="1:4">
      <c r="A195" s="429" t="s">
        <v>597</v>
      </c>
      <c r="B195" s="429" t="s">
        <v>1451</v>
      </c>
      <c r="C195" s="429">
        <f>Calculations!B347</f>
        <v>0</v>
      </c>
      <c r="D195" s="429" t="s">
        <v>1452</v>
      </c>
    </row>
    <row r="196" spans="1:4">
      <c r="A196" s="430" t="s">
        <v>1453</v>
      </c>
      <c r="B196" s="430"/>
      <c r="C196" s="430">
        <f>Calculations!D355</f>
        <v>0</v>
      </c>
      <c r="D196" s="430" t="s">
        <v>1454</v>
      </c>
    </row>
    <row r="197" spans="1:4">
      <c r="A197" s="430"/>
      <c r="B197" s="430" t="s">
        <v>1455</v>
      </c>
      <c r="C197" s="430" t="e">
        <f>Calculations!B474</f>
        <v>#N/A</v>
      </c>
      <c r="D197" s="430"/>
    </row>
    <row r="198" spans="1:4">
      <c r="A198" s="430"/>
      <c r="B198" s="430" t="s">
        <v>1456</v>
      </c>
      <c r="C198" s="430" t="e">
        <f>Calculations!B527</f>
        <v>#N/A</v>
      </c>
      <c r="D198" s="430"/>
    </row>
    <row r="199" spans="1:4">
      <c r="A199" s="430"/>
      <c r="B199" s="430" t="s">
        <v>1457</v>
      </c>
      <c r="C199" s="430">
        <f>Calculations!B481</f>
        <v>0</v>
      </c>
      <c r="D199" s="430"/>
    </row>
    <row r="200" spans="1:4">
      <c r="A200" s="430"/>
      <c r="B200" s="430" t="s">
        <v>1458</v>
      </c>
      <c r="C200" s="430" t="e">
        <f>Calculations!B535</f>
        <v>#N/A</v>
      </c>
      <c r="D200" s="430"/>
    </row>
    <row r="201" spans="1:4">
      <c r="A201" s="430"/>
      <c r="B201" s="430" t="s">
        <v>1459</v>
      </c>
      <c r="C201" s="430">
        <f>Calculations!B502</f>
        <v>0</v>
      </c>
      <c r="D201" s="430"/>
    </row>
    <row r="202" spans="1:4">
      <c r="A202" s="430"/>
      <c r="B202" s="430" t="s">
        <v>1460</v>
      </c>
      <c r="C202" s="430">
        <f>Calculations!B556</f>
        <v>0</v>
      </c>
      <c r="D202" s="430"/>
    </row>
    <row r="203" spans="1:4">
      <c r="A203" s="430"/>
      <c r="B203" s="430" t="s">
        <v>1461</v>
      </c>
      <c r="C203" s="430">
        <f>Financing!$B$38</f>
        <v>0</v>
      </c>
      <c r="D203" s="430" t="s">
        <v>1462</v>
      </c>
    </row>
    <row r="204" spans="1:4">
      <c r="A204" s="430"/>
      <c r="B204" s="430" t="s">
        <v>1463</v>
      </c>
      <c r="C204" s="430">
        <f>Calculations!$B$479</f>
        <v>0</v>
      </c>
      <c r="D204" s="430" t="s">
        <v>1464</v>
      </c>
    </row>
    <row r="205" spans="1:4">
      <c r="A205" s="430"/>
      <c r="B205" s="430" t="s">
        <v>1465</v>
      </c>
      <c r="C205" s="430">
        <f>Calculations!B142</f>
        <v>0</v>
      </c>
      <c r="D205" s="430"/>
    </row>
    <row r="206" spans="1:4">
      <c r="A206" s="430"/>
      <c r="B206" s="430" t="s">
        <v>1466</v>
      </c>
      <c r="C206" s="430">
        <f>Application!$B$16</f>
        <v>0</v>
      </c>
      <c r="D206" s="430" t="s">
        <v>1467</v>
      </c>
    </row>
    <row r="207" spans="1:4">
      <c r="A207" s="430"/>
      <c r="B207" s="430" t="s">
        <v>1468</v>
      </c>
      <c r="C207" s="430">
        <f>IFERROR(Calculations!$B$511, 0)</f>
        <v>0</v>
      </c>
      <c r="D207" s="430" t="s">
        <v>1469</v>
      </c>
    </row>
    <row r="208" spans="1:4">
      <c r="A208" s="430"/>
      <c r="B208" s="430" t="s">
        <v>1470</v>
      </c>
      <c r="C208" s="430">
        <f>IFERROR(Calculations!$B$511, 0)</f>
        <v>0</v>
      </c>
      <c r="D208" s="430"/>
    </row>
    <row r="209" spans="1:4">
      <c r="A209" s="430" t="str">
        <f>Calculations!$A$619</f>
        <v>Federal Tax Credit Equity</v>
      </c>
      <c r="B209" s="430" t="s">
        <v>1471</v>
      </c>
      <c r="C209" s="430">
        <f>IFERROR(Calculations!$B$621, 0)</f>
        <v>0</v>
      </c>
      <c r="D209" s="430" t="s">
        <v>1472</v>
      </c>
    </row>
    <row r="210" spans="1:4">
      <c r="A210" s="430" t="s">
        <v>1473</v>
      </c>
      <c r="B210" s="430" t="s">
        <v>1474</v>
      </c>
      <c r="C210" s="430">
        <f>Calculations!B561</f>
        <v>0</v>
      </c>
      <c r="D210" s="430"/>
    </row>
    <row r="211" spans="1:4">
      <c r="A211" s="430" t="s">
        <v>1475</v>
      </c>
      <c r="B211" s="430"/>
      <c r="C211" s="430">
        <f>Calculations!B631</f>
        <v>0</v>
      </c>
      <c r="D211" s="430"/>
    </row>
    <row r="212" spans="1:4">
      <c r="A212" s="430" t="s">
        <v>1476</v>
      </c>
      <c r="B212" s="430" t="s">
        <v>1477</v>
      </c>
      <c r="C212" s="430" t="e">
        <f>Calculations!B523</f>
        <v>#N/A</v>
      </c>
      <c r="D212" s="430"/>
    </row>
    <row r="213" spans="1:4">
      <c r="A213" s="430" t="s">
        <v>1478</v>
      </c>
      <c r="B213" s="430" t="s">
        <v>1479</v>
      </c>
      <c r="C213" s="430" t="e">
        <f>Calculations!B562</f>
        <v>#N/A</v>
      </c>
      <c r="D213" s="430"/>
    </row>
    <row r="214" spans="1:4">
      <c r="A214" s="430" t="s">
        <v>226</v>
      </c>
      <c r="B214" s="430" t="s">
        <v>1480</v>
      </c>
      <c r="C214" s="430" t="b">
        <f>Application!$B$15="Yes"</f>
        <v>0</v>
      </c>
      <c r="D214" s="430" t="s">
        <v>1481</v>
      </c>
    </row>
    <row r="215" spans="1:4">
      <c r="A215" s="429" t="s">
        <v>1482</v>
      </c>
      <c r="B215" s="429" t="s">
        <v>1483</v>
      </c>
      <c r="C215" s="435">
        <f>Application!$B$19</f>
        <v>0.09</v>
      </c>
      <c r="D215" s="429" t="s">
        <v>1484</v>
      </c>
    </row>
    <row r="216" spans="1:4">
      <c r="A216" t="s">
        <v>236</v>
      </c>
      <c r="B216" t="s">
        <v>1485</v>
      </c>
      <c r="C216" s="564" t="str">
        <f>IF(ISBLANK(Application!B26), "", TEXT(Application!B26, "mm/dd/yyyy"))</f>
        <v/>
      </c>
      <c r="D216" t="s">
        <v>1486</v>
      </c>
    </row>
    <row r="217" spans="1:4">
      <c r="A217" t="s">
        <v>1487</v>
      </c>
      <c r="B217" s="73"/>
      <c r="C217" s="565" t="str">
        <f>IF(ISBLANK(Application!B138), "", TEXT(Application!B138, "mm/dd/yyyy"))</f>
        <v/>
      </c>
    </row>
    <row r="218" spans="1:4">
      <c r="A218" t="str">
        <f>Application!A60</f>
        <v>Number of Floors in the Tallest Building</v>
      </c>
      <c r="B218" t="s">
        <v>1488</v>
      </c>
      <c r="C218" s="564" t="str">
        <f>CONCATENATE(Application!B60)</f>
        <v/>
      </c>
      <c r="D218" t="s">
        <v>1489</v>
      </c>
    </row>
    <row r="219" spans="1:4">
      <c r="A219" t="s">
        <v>1490</v>
      </c>
      <c r="B219" t="s">
        <v>1491</v>
      </c>
      <c r="C219">
        <f>Calculations!F3</f>
        <v>0</v>
      </c>
    </row>
    <row r="220" spans="1:4" ht="17.25" customHeight="1">
      <c r="A220" t="s">
        <v>1492</v>
      </c>
      <c r="B220" t="s">
        <v>1493</v>
      </c>
      <c r="C220">
        <f>Application!B75</f>
        <v>0</v>
      </c>
    </row>
    <row r="221" spans="1:4" ht="17.25" customHeight="1">
      <c r="A221" t="s">
        <v>1494</v>
      </c>
      <c r="B221" t="s">
        <v>1494</v>
      </c>
      <c r="C221" t="str">
        <f>CONCATENATE('Contact Summary'!G29, " ", 'Contact Summary'!H29)</f>
        <v>0 0</v>
      </c>
    </row>
    <row r="222" spans="1:4" ht="17.25" customHeight="1">
      <c r="A222" t="s">
        <v>1495</v>
      </c>
      <c r="B222" t="s">
        <v>1495</v>
      </c>
      <c r="C222">
        <f>'Contact Summary'!C29</f>
        <v>0</v>
      </c>
    </row>
    <row r="223" spans="1:4" ht="17.25" customHeight="1">
      <c r="A223" t="s">
        <v>1496</v>
      </c>
      <c r="B223" t="s">
        <v>1496</v>
      </c>
      <c r="C223">
        <f>'Contact Summary'!D29</f>
        <v>0</v>
      </c>
    </row>
    <row r="224" spans="1:4" ht="17.25" customHeight="1">
      <c r="A224" t="s">
        <v>1497</v>
      </c>
      <c r="B224" t="s">
        <v>1497</v>
      </c>
      <c r="C224">
        <f>'Contact Summary'!E29</f>
        <v>0</v>
      </c>
    </row>
    <row r="225" spans="1:8" ht="17.25" customHeight="1">
      <c r="A225" t="s">
        <v>1498</v>
      </c>
      <c r="B225" t="s">
        <v>1498</v>
      </c>
      <c r="C225" s="92">
        <f>'Contact Summary'!F29</f>
        <v>0</v>
      </c>
    </row>
    <row r="226" spans="1:8">
      <c r="A226" t="s">
        <v>1499</v>
      </c>
      <c r="B226" t="s">
        <v>1500</v>
      </c>
      <c r="C226" s="430">
        <f>Calculations!B876</f>
        <v>0</v>
      </c>
    </row>
    <row r="227" spans="1:8" ht="16.5" customHeight="1">
      <c r="A227" t="s">
        <v>1501</v>
      </c>
      <c r="B227" t="s">
        <v>1502</v>
      </c>
      <c r="C227" s="430">
        <f>Calculations!B876</f>
        <v>0</v>
      </c>
    </row>
    <row r="228" spans="1:8">
      <c r="A228" t="s">
        <v>1503</v>
      </c>
      <c r="B228" t="s">
        <v>1504</v>
      </c>
      <c r="C228" s="431">
        <f>Calculations!B878</f>
        <v>0</v>
      </c>
    </row>
    <row r="229" spans="1:8">
      <c r="A229" t="s">
        <v>1505</v>
      </c>
      <c r="B229" t="s">
        <v>1506</v>
      </c>
      <c r="C229" s="319">
        <f>Calculations!B669</f>
        <v>0</v>
      </c>
    </row>
    <row r="230" spans="1:8">
      <c r="A230" t="s">
        <v>1507</v>
      </c>
      <c r="B230" t="s">
        <v>1508</v>
      </c>
      <c r="C230" s="319">
        <f>Calculations!B660</f>
        <v>0</v>
      </c>
    </row>
    <row r="231" spans="1:8">
      <c r="A231" t="s">
        <v>1509</v>
      </c>
      <c r="C231" s="319" t="b">
        <f>Application!B8="Yes"</f>
        <v>0</v>
      </c>
    </row>
    <row r="232" spans="1:8">
      <c r="B232" t="s">
        <v>1510</v>
      </c>
      <c r="C232" t="b">
        <f>Application!$B$74="Yes"</f>
        <v>0</v>
      </c>
      <c r="D232" t="s">
        <v>1511</v>
      </c>
    </row>
    <row r="233" spans="1:8">
      <c r="B233" s="319" t="s">
        <v>1512</v>
      </c>
      <c r="C233" s="319" t="str">
        <f>CONCATENATE(Application!$B$29)</f>
        <v/>
      </c>
    </row>
    <row r="234" spans="1:8">
      <c r="B234" t="s">
        <v>1513</v>
      </c>
      <c r="C234" t="str">
        <f>CONCATENATE(Application!$B$30)</f>
        <v/>
      </c>
      <c r="D234" t="s">
        <v>1514</v>
      </c>
    </row>
    <row r="235" spans="1:8">
      <c r="B235" t="s">
        <v>239</v>
      </c>
      <c r="C235" t="str">
        <f>CONCATENATE(Application!$B$31)</f>
        <v/>
      </c>
      <c r="D235" t="s">
        <v>1515</v>
      </c>
    </row>
    <row r="236" spans="1:8">
      <c r="B236" t="s">
        <v>124</v>
      </c>
      <c r="C236" s="358" t="s">
        <v>1516</v>
      </c>
      <c r="D236" s="319"/>
    </row>
    <row r="237" spans="1:8">
      <c r="B237" t="s">
        <v>1517</v>
      </c>
      <c r="C237" t="str">
        <f>CONCATENATE(Application!$B$32)</f>
        <v/>
      </c>
      <c r="D237" t="s">
        <v>1518</v>
      </c>
    </row>
    <row r="238" spans="1:8">
      <c r="B238" t="s">
        <v>1519</v>
      </c>
      <c r="C238" t="str">
        <f>CONCATENATE(Application!$B$34)</f>
        <v/>
      </c>
      <c r="D238" t="s">
        <v>1520</v>
      </c>
      <c r="H238" t="b">
        <f>AND(Calculations!$B$8, Application!$B$68="Yes")</f>
        <v>0</v>
      </c>
    </row>
    <row r="239" spans="1:8">
      <c r="B239" t="s">
        <v>1521</v>
      </c>
      <c r="C239" t="str">
        <f>CONCATENATE(Application!$B$37)</f>
        <v/>
      </c>
      <c r="D239" t="s">
        <v>1522</v>
      </c>
      <c r="H239" t="b">
        <f>AND(Calculations!$B$8, Application!$B$68&lt;&gt;"Yes")</f>
        <v>0</v>
      </c>
    </row>
    <row r="240" spans="1:8">
      <c r="B240" t="s">
        <v>1523</v>
      </c>
      <c r="C240" t="str">
        <f>CONCATENATE(Application!$B$35)</f>
        <v/>
      </c>
      <c r="D240" t="s">
        <v>1524</v>
      </c>
    </row>
    <row r="241" spans="1:22">
      <c r="B241" t="s">
        <v>1525</v>
      </c>
      <c r="C241" t="str">
        <f>CONCATENATE(Application!$B$36)</f>
        <v/>
      </c>
      <c r="D241" t="s">
        <v>1526</v>
      </c>
    </row>
    <row r="242" spans="1:22">
      <c r="B242" t="s">
        <v>1527</v>
      </c>
      <c r="C242" s="14" t="str">
        <f>CONCATENATE(Application!B33)</f>
        <v/>
      </c>
    </row>
    <row r="244" spans="1:22">
      <c r="B244" t="s">
        <v>1528</v>
      </c>
      <c r="C244" t="b">
        <f>Application!$B$42="Yes"</f>
        <v>0</v>
      </c>
      <c r="D244" t="s">
        <v>1529</v>
      </c>
    </row>
    <row r="245" spans="1:22">
      <c r="B245" t="s">
        <v>1530</v>
      </c>
      <c r="C245" t="b">
        <f>Application!$B$71="Yes"</f>
        <v>0</v>
      </c>
      <c r="D245" t="s">
        <v>1531</v>
      </c>
    </row>
    <row r="246" spans="1:22">
      <c r="B246" t="s">
        <v>1532</v>
      </c>
      <c r="C246" t="b">
        <f>Application!$B$72="Yes"</f>
        <v>0</v>
      </c>
    </row>
    <row r="247" spans="1:22">
      <c r="B247" t="s">
        <v>1533</v>
      </c>
      <c r="C247" t="b">
        <f>Application!$B$94="Yes"</f>
        <v>0</v>
      </c>
      <c r="D247" t="s">
        <v>1534</v>
      </c>
    </row>
    <row r="248" spans="1:22">
      <c r="B248" t="s">
        <v>1535</v>
      </c>
      <c r="C248" t="b">
        <f>Application!$B$82="Yes"</f>
        <v>0</v>
      </c>
      <c r="D248" t="s">
        <v>1536</v>
      </c>
    </row>
    <row r="249" spans="1:22">
      <c r="B249" t="s">
        <v>1537</v>
      </c>
      <c r="C249" t="b">
        <f>Application!$B$97="Yes"</f>
        <v>0</v>
      </c>
      <c r="D249" t="s">
        <v>1538</v>
      </c>
    </row>
    <row r="250" spans="1:22">
      <c r="B250" t="s">
        <v>1539</v>
      </c>
      <c r="C250" t="b">
        <f>Application!$B$68="Yes"</f>
        <v>0</v>
      </c>
      <c r="D250" t="s">
        <v>1540</v>
      </c>
    </row>
    <row r="251" spans="1:22">
      <c r="A251" t="s">
        <v>303</v>
      </c>
      <c r="B251" t="s">
        <v>1541</v>
      </c>
      <c r="C251" t="b">
        <f>Application!$B$93="Yes"</f>
        <v>0</v>
      </c>
      <c r="D251" t="s">
        <v>1542</v>
      </c>
    </row>
    <row r="252" spans="1:22">
      <c r="A252" t="str">
        <f>Application!A84</f>
        <v>Federal Historic Rehabilitation Tax Credits</v>
      </c>
      <c r="B252" t="s">
        <v>1543</v>
      </c>
      <c r="C252" t="b">
        <f>Application!B84="Yes"</f>
        <v>0</v>
      </c>
      <c r="D252" t="s">
        <v>1544</v>
      </c>
    </row>
    <row r="253" spans="1:22">
      <c r="A253" t="str">
        <f>Application!A86</f>
        <v>State Historic Rehabilitation Tax Credits</v>
      </c>
      <c r="B253" t="s">
        <v>1545</v>
      </c>
      <c r="C253" t="b">
        <f>Application!B86="Yes"</f>
        <v>0</v>
      </c>
    </row>
    <row r="254" spans="1:22" s="357" customFormat="1">
      <c r="A254"/>
      <c r="B254" t="s">
        <v>1546</v>
      </c>
      <c r="C254" s="14" t="str">
        <f>IF(Application!B46= "","", Application!B46)</f>
        <v/>
      </c>
      <c r="D254" s="319"/>
      <c r="E254" s="319"/>
      <c r="F254" s="319"/>
      <c r="G254" s="319"/>
      <c r="H254" s="319"/>
      <c r="I254" s="319"/>
      <c r="J254" s="319"/>
      <c r="K254" s="319"/>
      <c r="L254" s="319"/>
      <c r="M254" s="319"/>
      <c r="N254" s="319"/>
      <c r="O254" s="319"/>
      <c r="P254" s="319"/>
      <c r="Q254" s="319"/>
      <c r="R254" s="319"/>
      <c r="S254" s="319"/>
      <c r="T254" s="319"/>
      <c r="U254" s="319"/>
      <c r="V254" s="319"/>
    </row>
    <row r="255" spans="1:22" s="357" customFormat="1">
      <c r="A255"/>
      <c r="B255" t="s">
        <v>1547</v>
      </c>
      <c r="C255" s="14" t="str">
        <f>IF(Application!B47= "","", Application!B47)</f>
        <v/>
      </c>
      <c r="D255" s="319"/>
      <c r="E255" s="319"/>
      <c r="F255" s="319"/>
      <c r="G255" s="319"/>
      <c r="H255" s="319"/>
      <c r="I255" s="319"/>
      <c r="J255" s="319"/>
      <c r="K255" s="319"/>
      <c r="L255" s="319"/>
      <c r="M255" s="319"/>
      <c r="N255" s="319"/>
      <c r="O255" s="319"/>
      <c r="P255" s="319"/>
      <c r="Q255" s="319"/>
      <c r="R255" s="319"/>
      <c r="S255" s="319"/>
      <c r="T255" s="319"/>
      <c r="U255" s="319"/>
      <c r="V255" s="319"/>
    </row>
    <row r="256" spans="1:22" s="357" customFormat="1">
      <c r="A256"/>
      <c r="B256" t="s">
        <v>1548</v>
      </c>
      <c r="C256" s="14" t="str">
        <f>IF(Application!B48= "","", Application!B48)</f>
        <v/>
      </c>
      <c r="D256" s="319"/>
      <c r="E256" s="319"/>
      <c r="F256" s="319"/>
      <c r="G256" s="319"/>
      <c r="H256" s="319"/>
      <c r="I256" s="319"/>
      <c r="J256" s="319"/>
      <c r="K256" s="319"/>
      <c r="L256" s="319"/>
      <c r="M256" s="319"/>
      <c r="N256" s="319"/>
      <c r="O256" s="319"/>
      <c r="P256" s="319"/>
      <c r="Q256" s="319"/>
      <c r="R256" s="319"/>
      <c r="S256" s="319"/>
      <c r="T256" s="319"/>
      <c r="U256" s="319"/>
      <c r="V256" s="319"/>
    </row>
    <row r="257" spans="1:22" s="357" customFormat="1">
      <c r="A257"/>
      <c r="B257" t="s">
        <v>1549</v>
      </c>
      <c r="C257" s="14" t="str">
        <f>IF(Application!B49= "","", Application!B49)</f>
        <v/>
      </c>
      <c r="D257" s="319"/>
      <c r="E257" s="319"/>
      <c r="F257" s="319"/>
      <c r="G257" s="319"/>
      <c r="H257" s="319"/>
      <c r="I257" s="319"/>
      <c r="J257" s="319"/>
      <c r="K257" s="319"/>
      <c r="L257" s="319"/>
      <c r="M257" s="319"/>
      <c r="N257" s="319"/>
      <c r="O257" s="319"/>
      <c r="P257" s="319"/>
      <c r="Q257" s="319"/>
      <c r="R257" s="319"/>
      <c r="S257" s="319"/>
      <c r="T257" s="319"/>
      <c r="U257" s="319"/>
      <c r="V257" s="319"/>
    </row>
    <row r="258" spans="1:22" s="357" customFormat="1">
      <c r="A258"/>
      <c r="B258" t="s">
        <v>258</v>
      </c>
      <c r="C258" s="14" t="str">
        <f>IF(Application!B50= "","", Application!B50)</f>
        <v/>
      </c>
      <c r="D258"/>
      <c r="E258" s="319"/>
      <c r="F258" s="319"/>
      <c r="G258" s="319"/>
      <c r="H258" s="319"/>
      <c r="I258" s="319"/>
      <c r="J258" s="319"/>
      <c r="K258" s="319"/>
      <c r="L258" s="319"/>
      <c r="M258" s="319"/>
      <c r="N258" s="319"/>
      <c r="O258" s="319"/>
      <c r="P258" s="319"/>
      <c r="Q258" s="319"/>
      <c r="R258" s="319"/>
      <c r="S258" s="319"/>
      <c r="T258" s="319"/>
      <c r="U258" s="319"/>
      <c r="V258" s="319"/>
    </row>
    <row r="259" spans="1:22" s="357" customFormat="1">
      <c r="A259"/>
      <c r="B259" t="s">
        <v>259</v>
      </c>
      <c r="C259" s="14" t="str">
        <f>IF(Application!B51= "","", Application!B51)</f>
        <v/>
      </c>
      <c r="D259" s="319"/>
      <c r="E259" s="319"/>
      <c r="F259" s="319"/>
      <c r="G259" s="319"/>
      <c r="H259" s="319"/>
      <c r="I259" s="319"/>
      <c r="J259" s="319"/>
      <c r="K259" s="319"/>
      <c r="L259" s="319"/>
      <c r="M259" s="319"/>
      <c r="N259" s="319"/>
      <c r="O259" s="319"/>
      <c r="P259" s="319"/>
      <c r="Q259" s="319"/>
      <c r="R259" s="319"/>
      <c r="S259" s="319"/>
      <c r="T259" s="319"/>
      <c r="U259" s="319"/>
      <c r="V259" s="319"/>
    </row>
    <row r="260" spans="1:22" s="357" customFormat="1">
      <c r="A260"/>
      <c r="B260" t="s">
        <v>1550</v>
      </c>
      <c r="C260" s="14" t="str">
        <f>IF(Application!B52= "","", Application!B52)</f>
        <v/>
      </c>
      <c r="D260" s="319"/>
      <c r="E260" s="319"/>
      <c r="F260" s="319"/>
      <c r="G260" s="319"/>
      <c r="H260" s="319"/>
      <c r="I260" s="319"/>
      <c r="J260" s="319"/>
      <c r="K260" s="319"/>
      <c r="L260" s="319"/>
      <c r="M260" s="319"/>
      <c r="N260" s="319"/>
      <c r="O260" s="319"/>
      <c r="P260" s="319"/>
      <c r="Q260" s="319"/>
      <c r="R260" s="319"/>
      <c r="S260" s="319"/>
      <c r="T260" s="319"/>
      <c r="U260" s="319"/>
      <c r="V260" s="319"/>
    </row>
    <row r="261" spans="1:22">
      <c r="B261" t="s">
        <v>261</v>
      </c>
      <c r="C261" t="b">
        <f>Application!B53="Yes"</f>
        <v>0</v>
      </c>
    </row>
    <row r="262" spans="1:22">
      <c r="B262" s="1" t="s">
        <v>262</v>
      </c>
      <c r="C262" t="b">
        <f>Application!B54="Yes"</f>
        <v>0</v>
      </c>
      <c r="D262" s="319"/>
      <c r="E262" s="319"/>
      <c r="F262" s="319"/>
      <c r="G262" s="319"/>
    </row>
    <row r="263" spans="1:22">
      <c r="B263" t="s">
        <v>1551</v>
      </c>
      <c r="C263" s="14" t="str">
        <f>IF(Application!B55= "","", Application!B55)</f>
        <v/>
      </c>
      <c r="D263" s="319"/>
      <c r="E263" s="319"/>
      <c r="F263" s="319"/>
      <c r="G263" s="319"/>
    </row>
    <row r="264" spans="1:22">
      <c r="B264" t="s">
        <v>264</v>
      </c>
      <c r="C264" s="1059" t="str">
        <f>IF(Application!B56= "","", Application!B56)</f>
        <v/>
      </c>
    </row>
    <row r="265" spans="1:22">
      <c r="B265" t="s">
        <v>1552</v>
      </c>
      <c r="C265">
        <f>Application!B85</f>
        <v>0</v>
      </c>
      <c r="D265" t="s">
        <v>1553</v>
      </c>
    </row>
    <row r="266" spans="1:22">
      <c r="B266" t="s">
        <v>1554</v>
      </c>
      <c r="C266">
        <f>Application!B87</f>
        <v>0</v>
      </c>
    </row>
    <row r="267" spans="1:22">
      <c r="B267" t="s">
        <v>1555</v>
      </c>
      <c r="C267">
        <f>Financing!B34</f>
        <v>0</v>
      </c>
    </row>
    <row r="268" spans="1:22">
      <c r="B268" t="s">
        <v>1556</v>
      </c>
      <c r="C268">
        <f>Financing!B39</f>
        <v>0</v>
      </c>
    </row>
    <row r="269" spans="1:22">
      <c r="A269" t="str">
        <f>Application!A88</f>
        <v>Solar Tax Credits/ITC</v>
      </c>
      <c r="B269" t="s">
        <v>1557</v>
      </c>
      <c r="C269" t="b">
        <f>Application!$B$88="Yes"</f>
        <v>0</v>
      </c>
      <c r="D269" t="s">
        <v>1558</v>
      </c>
    </row>
    <row r="270" spans="1:22">
      <c r="A270" t="str">
        <f>Application!A90</f>
        <v>45L Energy Efficiency Home Credit</v>
      </c>
      <c r="C270" t="b">
        <f>Application!$B$90="Yes"</f>
        <v>0</v>
      </c>
      <c r="E270" t="s">
        <v>1559</v>
      </c>
    </row>
    <row r="271" spans="1:22">
      <c r="A271" t="str">
        <f>Application!A91</f>
        <v>Enter the Amount of the 45L EEH Credit</v>
      </c>
      <c r="C271">
        <f>Application!B91</f>
        <v>0</v>
      </c>
      <c r="E271" t="s">
        <v>1559</v>
      </c>
    </row>
    <row r="272" spans="1:22">
      <c r="A272" t="e">
        <f>Application!#REF!</f>
        <v>#REF!</v>
      </c>
      <c r="C272" t="b">
        <f>Application!$B$90="Yes"</f>
        <v>0</v>
      </c>
      <c r="E272" t="s">
        <v>1559</v>
      </c>
    </row>
    <row r="273" spans="1:5">
      <c r="A273" t="e">
        <f>Application!#REF!</f>
        <v>#REF!</v>
      </c>
      <c r="C273" t="e">
        <f>Application!#REF!</f>
        <v>#REF!</v>
      </c>
      <c r="E273" t="s">
        <v>1559</v>
      </c>
    </row>
    <row r="274" spans="1:5">
      <c r="A274" t="str">
        <f>Application!A95</f>
        <v>CDBG DR Funding</v>
      </c>
      <c r="B274" t="s">
        <v>1560</v>
      </c>
      <c r="C274" t="b">
        <f>Application!$B$95="Yes"</f>
        <v>0</v>
      </c>
    </row>
    <row r="275" spans="1:5">
      <c r="A275" t="s">
        <v>282</v>
      </c>
      <c r="C275" t="b">
        <f>Application!B73="Yes"</f>
        <v>0</v>
      </c>
    </row>
    <row r="276" spans="1:5">
      <c r="A276" t="s">
        <v>283</v>
      </c>
      <c r="C276" t="b">
        <f>Application!B74="Yes"</f>
        <v>0</v>
      </c>
    </row>
    <row r="277" spans="1:5">
      <c r="A277" t="s">
        <v>290</v>
      </c>
      <c r="C277" s="319">
        <f>Application!B80</f>
        <v>0</v>
      </c>
    </row>
    <row r="278" spans="1:5">
      <c r="A278" t="s">
        <v>292</v>
      </c>
      <c r="C278" s="319">
        <f>Application!B81</f>
        <v>0</v>
      </c>
    </row>
    <row r="279" spans="1:5">
      <c r="A279" t="str">
        <f>Application!A96</f>
        <v>FHLB Affordable Housing Program Funding</v>
      </c>
      <c r="B279" t="s">
        <v>1561</v>
      </c>
      <c r="C279" t="b">
        <f>Application!$B$96="Yes"</f>
        <v>0</v>
      </c>
      <c r="D279" t="s">
        <v>1562</v>
      </c>
    </row>
    <row r="280" spans="1:5">
      <c r="A280" t="str">
        <f>Application!A76</f>
        <v xml:space="preserve">Enter the Total Amount of A Bonds being issued  </v>
      </c>
      <c r="B280" t="s">
        <v>1563</v>
      </c>
      <c r="C280">
        <f>Application!B76</f>
        <v>0</v>
      </c>
      <c r="D280" t="s">
        <v>1564</v>
      </c>
    </row>
    <row r="281" spans="1:5">
      <c r="A281" t="str">
        <f>Application!A77</f>
        <v xml:space="preserve">Enter the Total Amount of B Bonds being issued  </v>
      </c>
      <c r="B281" t="s">
        <v>1565</v>
      </c>
      <c r="C281">
        <f>Application!B77</f>
        <v>0</v>
      </c>
    </row>
    <row r="282" spans="1:5">
      <c r="A282" t="str">
        <f>Application!A78</f>
        <v xml:space="preserve">Enter the Total Amount of C Bonds being issued </v>
      </c>
      <c r="B282" t="s">
        <v>1566</v>
      </c>
      <c r="C282">
        <f>Application!B78</f>
        <v>0</v>
      </c>
      <c r="D282" t="s">
        <v>1567</v>
      </c>
    </row>
    <row r="283" spans="1:5">
      <c r="A283" t="str">
        <f>Application!A89</f>
        <v>Enter the Amount of the Solar Tax Credit</v>
      </c>
      <c r="B283" t="s">
        <v>1568</v>
      </c>
      <c r="C283">
        <f>Application!B89</f>
        <v>0</v>
      </c>
      <c r="D283" t="s">
        <v>1569</v>
      </c>
    </row>
    <row r="284" spans="1:5">
      <c r="A284" t="str">
        <f>Application!A99</f>
        <v xml:space="preserve">Enter the Number of Project-based Vouchers  </v>
      </c>
      <c r="B284" t="s">
        <v>1570</v>
      </c>
      <c r="C284">
        <f>Application!B99</f>
        <v>0</v>
      </c>
      <c r="D284" t="s">
        <v>1571</v>
      </c>
    </row>
    <row r="285" spans="1:5">
      <c r="B285" t="s">
        <v>1572</v>
      </c>
      <c r="C285" t="b">
        <f>Application!$B$92="Yes"</f>
        <v>0</v>
      </c>
      <c r="D285" t="s">
        <v>1573</v>
      </c>
    </row>
    <row r="286" spans="1:5">
      <c r="A286" t="str">
        <f>Application!A102</f>
        <v>State Funds - DOH Vouchers</v>
      </c>
      <c r="C286" t="b">
        <f>Application!$B$92="Yes"</f>
        <v>0</v>
      </c>
      <c r="E286" t="s">
        <v>1559</v>
      </c>
    </row>
    <row r="287" spans="1:5">
      <c r="A287" t="str">
        <f>Application!A103</f>
        <v>Voucher Administrator(s)</v>
      </c>
      <c r="C287">
        <f>Application!B103</f>
        <v>0</v>
      </c>
      <c r="E287" t="s">
        <v>1559</v>
      </c>
    </row>
    <row r="288" spans="1:5">
      <c r="A288" t="str">
        <f>Application!A104</f>
        <v>Number of Vouchers</v>
      </c>
      <c r="C288">
        <f>Application!B104</f>
        <v>0</v>
      </c>
      <c r="E288" t="s">
        <v>1559</v>
      </c>
    </row>
    <row r="289" spans="1:8">
      <c r="A289" t="str">
        <f>Application!A105</f>
        <v>Type of Vouchers</v>
      </c>
      <c r="C289">
        <f>Application!B105</f>
        <v>0</v>
      </c>
      <c r="E289" t="s">
        <v>1559</v>
      </c>
    </row>
    <row r="290" spans="1:8">
      <c r="A290" t="s">
        <v>1574</v>
      </c>
      <c r="B290" t="s">
        <v>1575</v>
      </c>
      <c r="C290" t="b">
        <f>Application!B70="Yes"</f>
        <v>0</v>
      </c>
    </row>
    <row r="291" spans="1:8">
      <c r="B291" t="s">
        <v>1576</v>
      </c>
      <c r="C291" t="b">
        <f>Application!$B$69="Yes"</f>
        <v>0</v>
      </c>
      <c r="D291" t="s">
        <v>1577</v>
      </c>
    </row>
    <row r="292" spans="1:8">
      <c r="B292" t="s">
        <v>265</v>
      </c>
      <c r="C292" s="358" t="str">
        <f>CONCATENATE(Application!B57)</f>
        <v/>
      </c>
    </row>
    <row r="293" spans="1:8">
      <c r="B293" t="s">
        <v>266</v>
      </c>
      <c r="C293" t="b">
        <f>Application!$B$58="Yes"</f>
        <v>0</v>
      </c>
    </row>
    <row r="294" spans="1:8">
      <c r="B294" t="s">
        <v>1578</v>
      </c>
      <c r="C294" t="b">
        <f>Calculations!$B$20</f>
        <v>0</v>
      </c>
      <c r="D294" t="s">
        <v>1579</v>
      </c>
    </row>
    <row r="295" spans="1:8">
      <c r="B295" t="s">
        <v>1580</v>
      </c>
      <c r="C295" t="b">
        <f>Calculations!$B$18</f>
        <v>0</v>
      </c>
      <c r="D295" t="s">
        <v>1581</v>
      </c>
    </row>
    <row r="296" spans="1:8">
      <c r="A296" t="s">
        <v>1582</v>
      </c>
      <c r="B296" t="s">
        <v>1583</v>
      </c>
      <c r="C296" t="b">
        <f>IFERROR(Calculations!B19, FALSE)</f>
        <v>0</v>
      </c>
    </row>
    <row r="297" spans="1:8">
      <c r="A297" t="s">
        <v>1582</v>
      </c>
      <c r="B297" t="s">
        <v>1582</v>
      </c>
      <c r="C297" t="b">
        <f>IFERROR(Calculations!B19, FALSE)</f>
        <v>0</v>
      </c>
    </row>
    <row r="298" spans="1:8">
      <c r="B298" t="s">
        <v>1584</v>
      </c>
      <c r="C298" s="14" t="str">
        <f>CONCATENATE(Application!$B$6)</f>
        <v/>
      </c>
      <c r="D298" t="s">
        <v>1585</v>
      </c>
    </row>
    <row r="299" spans="1:8" ht="30" customHeight="1">
      <c r="B299" t="str">
        <f>Application!A14</f>
        <v>Is this an existing LIHTC property</v>
      </c>
      <c r="C299" t="b">
        <f>Application!B14="Yes"</f>
        <v>0</v>
      </c>
    </row>
    <row r="300" spans="1:8">
      <c r="B300" t="s">
        <v>1586</v>
      </c>
      <c r="C300" s="14" t="str">
        <f>CONCATENATE(Application!$B$38)</f>
        <v/>
      </c>
      <c r="D300" t="s">
        <v>1587</v>
      </c>
    </row>
    <row r="301" spans="1:8">
      <c r="B301" t="s">
        <v>1588</v>
      </c>
      <c r="C301" s="14" t="str">
        <f>CONCATENATE(Application!B13)</f>
        <v/>
      </c>
      <c r="D301" t="s">
        <v>1589</v>
      </c>
      <c r="E301" t="s">
        <v>1590</v>
      </c>
    </row>
    <row r="302" spans="1:8">
      <c r="F302" s="1204" t="s">
        <v>1591</v>
      </c>
      <c r="G302" s="1204"/>
      <c r="H302" s="1204"/>
    </row>
    <row r="303" spans="1:8">
      <c r="B303" t="s">
        <v>1592</v>
      </c>
      <c r="C303" t="b">
        <f>Application!$B$110 &gt; 0</f>
        <v>0</v>
      </c>
      <c r="D303" t="s">
        <v>1593</v>
      </c>
      <c r="F303" s="566" t="s">
        <v>1594</v>
      </c>
      <c r="G303" s="566" t="s">
        <v>1595</v>
      </c>
      <c r="H303" s="566" t="s">
        <v>1596</v>
      </c>
    </row>
    <row r="304" spans="1:8">
      <c r="B304" t="s">
        <v>1597</v>
      </c>
      <c r="C304" s="416" t="str">
        <f>IF(SUM(Application!$B$109:$B$114)=0,"",H304)</f>
        <v/>
      </c>
      <c r="D304" t="s">
        <v>1598</v>
      </c>
      <c r="F304" s="566">
        <f>COUNTIF(Application!$B$109:$B$114, "&gt; 0")</f>
        <v>0</v>
      </c>
      <c r="G304" s="566" t="str">
        <f>INDEX(Application!$A$109:$A$114,MATCH(MAX(Application!$B$109:$B$114),Application!$B$109:$B$114,0))</f>
        <v>Special Populations</v>
      </c>
      <c r="H304" s="566" t="str">
        <f>IF(F304 &gt; 1, "Mixed", G304)</f>
        <v>Special Populations</v>
      </c>
    </row>
    <row r="305" spans="1:11">
      <c r="A305" t="str">
        <f>Application!A109</f>
        <v>Special Populations</v>
      </c>
      <c r="B305" t="s">
        <v>1599</v>
      </c>
      <c r="C305">
        <f>Application!B109</f>
        <v>0</v>
      </c>
      <c r="D305" t="s">
        <v>1600</v>
      </c>
    </row>
    <row r="306" spans="1:11">
      <c r="A306" t="str">
        <f>Application!A110</f>
        <v>Family</v>
      </c>
      <c r="B306" t="s">
        <v>1601</v>
      </c>
      <c r="C306">
        <f>Application!B110</f>
        <v>0</v>
      </c>
      <c r="D306" t="s">
        <v>1602</v>
      </c>
    </row>
    <row r="307" spans="1:11">
      <c r="A307" t="str">
        <f>Application!A111</f>
        <v>Homeless (not PSH)</v>
      </c>
      <c r="B307" t="s">
        <v>1603</v>
      </c>
      <c r="C307">
        <f>Application!B111</f>
        <v>0</v>
      </c>
      <c r="D307" t="s">
        <v>1604</v>
      </c>
    </row>
    <row r="308" spans="1:11">
      <c r="A308" t="str">
        <f>Application!A112</f>
        <v>Older Adult</v>
      </c>
      <c r="B308" t="s">
        <v>1605</v>
      </c>
      <c r="C308">
        <f>Application!B112</f>
        <v>0</v>
      </c>
      <c r="D308" t="s">
        <v>1606</v>
      </c>
    </row>
    <row r="309" spans="1:11">
      <c r="A309" t="str">
        <f>Application!A113</f>
        <v>Veterans</v>
      </c>
      <c r="B309" t="s">
        <v>1607</v>
      </c>
      <c r="C309">
        <f>Application!B113</f>
        <v>0</v>
      </c>
    </row>
    <row r="310" spans="1:11">
      <c r="A310" t="s">
        <v>327</v>
      </c>
      <c r="B310" t="s">
        <v>1608</v>
      </c>
      <c r="C310">
        <f>Application!B114</f>
        <v>0</v>
      </c>
    </row>
    <row r="311" spans="1:11">
      <c r="A311" t="s">
        <v>329</v>
      </c>
      <c r="C311">
        <f>Application!B116</f>
        <v>0</v>
      </c>
    </row>
    <row r="312" spans="1:11">
      <c r="A312" t="s">
        <v>330</v>
      </c>
      <c r="C312">
        <f>Application!B117</f>
        <v>0</v>
      </c>
    </row>
    <row r="313" spans="1:11" s="16" customFormat="1">
      <c r="A313" s="16" t="s">
        <v>1609</v>
      </c>
      <c r="B313" s="16" t="s">
        <v>1610</v>
      </c>
      <c r="C313" s="592">
        <f>Application!B59</f>
        <v>0</v>
      </c>
      <c r="D313" s="16" t="s">
        <v>1611</v>
      </c>
    </row>
    <row r="314" spans="1:11">
      <c r="B314" t="s">
        <v>1612</v>
      </c>
      <c r="C314" t="b">
        <f>OR(Application!$B$59 = 1, Application!$B$59 = 2)</f>
        <v>0</v>
      </c>
      <c r="D314" t="s">
        <v>1613</v>
      </c>
      <c r="E314" t="s">
        <v>1614</v>
      </c>
      <c r="G314" s="16" t="s">
        <v>1615</v>
      </c>
      <c r="K314" s="49"/>
    </row>
    <row r="315" spans="1:11">
      <c r="B315" t="s">
        <v>1616</v>
      </c>
      <c r="C315" t="b">
        <f>OR(Application!$B$59 = 3, Application!$B$59 = 4)</f>
        <v>0</v>
      </c>
      <c r="D315" t="s">
        <v>1617</v>
      </c>
      <c r="E315" t="s">
        <v>1618</v>
      </c>
      <c r="G315" s="16" t="s">
        <v>1615</v>
      </c>
    </row>
    <row r="316" spans="1:11">
      <c r="B316" t="s">
        <v>1619</v>
      </c>
      <c r="C316" t="b">
        <f>Application!$B$59 &gt;= 5</f>
        <v>0</v>
      </c>
      <c r="D316" t="s">
        <v>1620</v>
      </c>
      <c r="E316" t="s">
        <v>1621</v>
      </c>
      <c r="G316" s="16" t="s">
        <v>1615</v>
      </c>
    </row>
    <row r="317" spans="1:11">
      <c r="B317" t="s">
        <v>1622</v>
      </c>
      <c r="C317" t="b">
        <f>Application!$B$62="Elevator"</f>
        <v>0</v>
      </c>
    </row>
    <row r="318" spans="1:11">
      <c r="A318" t="s">
        <v>1623</v>
      </c>
      <c r="B318" t="s">
        <v>1624</v>
      </c>
      <c r="C318">
        <f>Application!B63</f>
        <v>0</v>
      </c>
    </row>
    <row r="319" spans="1:11">
      <c r="A319" t="s">
        <v>270</v>
      </c>
      <c r="B319" t="s">
        <v>1625</v>
      </c>
      <c r="C319" t="str">
        <f>CONCATENATE(Application!B61)</f>
        <v/>
      </c>
    </row>
    <row r="320" spans="1:11">
      <c r="A320" t="s">
        <v>1626</v>
      </c>
      <c r="B320" t="s">
        <v>1627</v>
      </c>
      <c r="C320">
        <f>Application!B139</f>
        <v>0</v>
      </c>
    </row>
    <row r="321" spans="1:3">
      <c r="A321" t="s">
        <v>1628</v>
      </c>
      <c r="B321" t="s">
        <v>1628</v>
      </c>
      <c r="C321">
        <f>Financing!B3</f>
        <v>0</v>
      </c>
    </row>
    <row r="322" spans="1:3">
      <c r="A322" t="s">
        <v>1629</v>
      </c>
      <c r="B322" t="s">
        <v>1629</v>
      </c>
      <c r="C322">
        <f>Financing!B4</f>
        <v>0</v>
      </c>
    </row>
    <row r="323" spans="1:3" ht="15">
      <c r="A323" t="s">
        <v>1630</v>
      </c>
      <c r="B323" t="s">
        <v>1630</v>
      </c>
      <c r="C323" s="341">
        <f>SUM('Development Budget'!C48:D48)</f>
        <v>0</v>
      </c>
    </row>
    <row r="325" spans="1:3" ht="15.6">
      <c r="A325" s="567" t="s">
        <v>1631</v>
      </c>
      <c r="B325" s="579" t="str">
        <f>IF(Application!B125="", "", Application!B125)</f>
        <v/>
      </c>
      <c r="C325" t="str">
        <f>IF(Application!B125="", "", Application!B125)</f>
        <v/>
      </c>
    </row>
    <row r="326" spans="1:3" ht="15.6">
      <c r="A326" s="568" t="s">
        <v>1632</v>
      </c>
      <c r="B326" s="579" t="str">
        <f>IF(Application!B126="","",Application!B126)</f>
        <v/>
      </c>
      <c r="C326" t="str">
        <f>IF(Application!B126="", "", Application!B126)</f>
        <v/>
      </c>
    </row>
    <row r="327" spans="1:3" ht="15.6">
      <c r="A327" s="568" t="s">
        <v>1633</v>
      </c>
      <c r="B327" s="579" t="str">
        <f>IF(Application!B127="","",Application!B127)</f>
        <v/>
      </c>
      <c r="C327" t="str">
        <f>IF(Application!B127="", "", Application!B127)</f>
        <v/>
      </c>
    </row>
    <row r="328" spans="1:3" ht="15.6">
      <c r="A328" s="568" t="s">
        <v>341</v>
      </c>
      <c r="B328" s="579" t="str">
        <f>IF(Application!B128="","",Application!B128)</f>
        <v/>
      </c>
      <c r="C328" t="str">
        <f>IF(Application!B128="", "", Application!B128)</f>
        <v/>
      </c>
    </row>
    <row r="329" spans="1:3" ht="15.6">
      <c r="A329" s="568" t="s">
        <v>1634</v>
      </c>
      <c r="B329" s="579" t="str">
        <f>IF(Application!B129="","",Application!B129)</f>
        <v/>
      </c>
      <c r="C329" t="str">
        <f>IF(Application!B129="", "", Application!B129)</f>
        <v/>
      </c>
    </row>
    <row r="330" spans="1:3" ht="15.6">
      <c r="A330" s="568" t="s">
        <v>343</v>
      </c>
      <c r="B330" s="579" t="str">
        <f>IF(Application!B130="","",Application!B130)</f>
        <v/>
      </c>
      <c r="C330" t="str">
        <f>IF(Application!B130="", "", Application!B130)</f>
        <v/>
      </c>
    </row>
    <row r="331" spans="1:3" ht="15.6">
      <c r="A331" s="568" t="s">
        <v>1635</v>
      </c>
      <c r="B331" s="579" t="str">
        <f>IF(Application!B131="","",Application!B131)</f>
        <v/>
      </c>
      <c r="C331" t="str">
        <f>IF(Application!B131="", "", Application!B131)</f>
        <v/>
      </c>
    </row>
    <row r="332" spans="1:3" ht="15.6">
      <c r="A332" s="568" t="s">
        <v>1636</v>
      </c>
      <c r="B332" s="579" t="str">
        <f>IF(Application!B132="","",Application!B132)</f>
        <v/>
      </c>
      <c r="C332" t="str">
        <f>IF(Application!B132="", "", Application!B132)</f>
        <v/>
      </c>
    </row>
    <row r="333" spans="1:3" ht="31.2">
      <c r="A333" s="626" t="s">
        <v>1637</v>
      </c>
      <c r="B333" s="579" t="str">
        <f>IF(Application!B134="","",Application!B134)</f>
        <v/>
      </c>
      <c r="C333" t="str">
        <f>IF(Application!B134="", "", Application!B134)</f>
        <v/>
      </c>
    </row>
    <row r="334" spans="1:3" ht="16.5" customHeight="1">
      <c r="A334" s="568" t="s">
        <v>1638</v>
      </c>
      <c r="B334" s="579" t="str">
        <f>IF(Application!B135="","",Application!B135)</f>
        <v/>
      </c>
      <c r="C334" t="str">
        <f>IF(Application!B135="", "", Application!B135)</f>
        <v/>
      </c>
    </row>
    <row r="335" spans="1:3" ht="15.6">
      <c r="A335" s="568" t="s">
        <v>1639</v>
      </c>
      <c r="B335" s="579" t="str">
        <f>IF(Application!B136="","",Application!B136)</f>
        <v/>
      </c>
      <c r="C335" t="str">
        <f>IF(Application!B136="", "", Application!B136)</f>
        <v/>
      </c>
    </row>
    <row r="336" spans="1:3" ht="15.6">
      <c r="A336" s="568" t="s">
        <v>1640</v>
      </c>
      <c r="B336" s="579" t="str">
        <f>IF(Application!B137="","",Application!B137)</f>
        <v/>
      </c>
      <c r="C336" t="str">
        <f>IF(Application!B137="", "", Application!B137)</f>
        <v/>
      </c>
    </row>
    <row r="337" spans="1:7" ht="16.5" customHeight="1">
      <c r="A337" s="568" t="s">
        <v>1641</v>
      </c>
      <c r="B337" s="579" t="str">
        <f>IF(Application!B138="","",Application!B138)</f>
        <v/>
      </c>
      <c r="C337" t="str">
        <f>IF(Application!B138="", "", Application!B138)</f>
        <v/>
      </c>
    </row>
    <row r="338" spans="1:7" ht="15.6">
      <c r="A338" s="568" t="s">
        <v>1642</v>
      </c>
      <c r="B338" s="579" t="str">
        <f>IF(Application!B141="","",Application!B141)</f>
        <v/>
      </c>
      <c r="C338" t="str">
        <f>IF(Application!B141="", "", Application!B141)</f>
        <v/>
      </c>
    </row>
    <row r="339" spans="1:7" ht="15.6">
      <c r="A339" s="568" t="s">
        <v>1643</v>
      </c>
      <c r="B339" s="579" t="str">
        <f>IF(Application!B142="","",Application!B142)</f>
        <v/>
      </c>
      <c r="C339" t="str">
        <f>IF(Application!B142="", "", Application!B142)</f>
        <v/>
      </c>
    </row>
    <row r="340" spans="1:7" ht="15.6">
      <c r="A340" s="568" t="s">
        <v>1644</v>
      </c>
      <c r="B340" s="579" t="str">
        <f>IF(Application!B143="","",Application!B143)</f>
        <v/>
      </c>
      <c r="C340" t="str">
        <f>IF(Application!B143="", "", Application!B143)</f>
        <v/>
      </c>
    </row>
    <row r="341" spans="1:7" ht="15.6">
      <c r="A341" s="568" t="s">
        <v>1645</v>
      </c>
      <c r="B341" s="579" t="str">
        <f>IF(Application!B144="","",Application!B144)</f>
        <v/>
      </c>
      <c r="C341" t="str">
        <f>IF(Application!B144="", "", Application!B144)</f>
        <v/>
      </c>
    </row>
    <row r="342" spans="1:7" ht="15.6">
      <c r="A342" s="568" t="s">
        <v>360</v>
      </c>
      <c r="B342" s="579" t="str">
        <f>IF(Application!B145="","",Application!B145)</f>
        <v/>
      </c>
      <c r="C342" t="str">
        <f>IF(Application!B145="", "", Application!B145)</f>
        <v/>
      </c>
    </row>
    <row r="343" spans="1:7" ht="16.5" customHeight="1">
      <c r="A343" t="str">
        <f>'Development Budget'!A4</f>
        <v>Land</v>
      </c>
      <c r="B343" t="s">
        <v>1646</v>
      </c>
      <c r="C343">
        <f>'Development Budget'!B4</f>
        <v>0</v>
      </c>
      <c r="D343" t="s">
        <v>1647</v>
      </c>
    </row>
    <row r="344" spans="1:7">
      <c r="A344" t="str">
        <f>'Development Budget'!A5</f>
        <v>Existing Structures</v>
      </c>
      <c r="B344" t="s">
        <v>1648</v>
      </c>
      <c r="C344">
        <f>'Development Budget'!B5</f>
        <v>0</v>
      </c>
      <c r="D344" t="s">
        <v>1649</v>
      </c>
      <c r="G344" s="316"/>
    </row>
    <row r="345" spans="1:7">
      <c r="A345" t="str">
        <f>'Development Budget'!A6</f>
        <v>Demolition</v>
      </c>
      <c r="B345" t="s">
        <v>401</v>
      </c>
      <c r="C345">
        <f>'Development Budget'!B6</f>
        <v>0</v>
      </c>
      <c r="D345" t="s">
        <v>1650</v>
      </c>
      <c r="G345" s="316"/>
    </row>
    <row r="346" spans="1:7">
      <c r="A346" t="str">
        <f>'Development Budget'!A9</f>
        <v>Onsite Work</v>
      </c>
      <c r="B346" t="s">
        <v>1651</v>
      </c>
      <c r="C346">
        <f>'Development Budget'!B9</f>
        <v>0</v>
      </c>
      <c r="D346">
        <f>'Development Budget'!$D$11</f>
        <v>0</v>
      </c>
      <c r="G346" s="316"/>
    </row>
    <row r="347" spans="1:7">
      <c r="A347" t="str">
        <f>'Development Budget'!A10</f>
        <v>Off Site Work</v>
      </c>
      <c r="B347" t="s">
        <v>1652</v>
      </c>
      <c r="C347">
        <f>'Development Budget'!B10</f>
        <v>0</v>
      </c>
      <c r="D347" t="s">
        <v>1653</v>
      </c>
      <c r="G347" s="316"/>
    </row>
    <row r="348" spans="1:7">
      <c r="A348" t="str">
        <f>'Development Budget'!A13</f>
        <v>New Structures</v>
      </c>
      <c r="B348" t="s">
        <v>1654</v>
      </c>
      <c r="C348">
        <f>'Development Budget'!B13</f>
        <v>0</v>
      </c>
      <c r="D348" t="s">
        <v>1655</v>
      </c>
      <c r="G348" s="316"/>
    </row>
    <row r="349" spans="1:7">
      <c r="A349" t="str">
        <f>'Development Budget'!A14</f>
        <v>Rehabilitation</v>
      </c>
      <c r="B349" t="s">
        <v>1656</v>
      </c>
      <c r="C349">
        <f>'Development Budget'!B14</f>
        <v>0</v>
      </c>
      <c r="D349" t="s">
        <v>1657</v>
      </c>
      <c r="G349" s="316"/>
    </row>
    <row r="350" spans="1:7">
      <c r="A350" t="str">
        <f>'Development Budget'!A15</f>
        <v>Accessory Structures (CSF, storage, garage(s))</v>
      </c>
      <c r="B350" t="s">
        <v>1658</v>
      </c>
      <c r="C350">
        <f>'Development Budget'!B15</f>
        <v>0</v>
      </c>
      <c r="D350" t="s">
        <v>1659</v>
      </c>
      <c r="G350" s="316"/>
    </row>
    <row r="351" spans="1:7">
      <c r="A351" t="str">
        <f>'Development Budget'!A16</f>
        <v>Green Systems (Solar, Geothermal, Other, etc.)</v>
      </c>
      <c r="B351" t="s">
        <v>1660</v>
      </c>
      <c r="C351">
        <f>'Development Budget'!B16</f>
        <v>0</v>
      </c>
      <c r="D351" t="s">
        <v>1661</v>
      </c>
      <c r="G351" s="316"/>
    </row>
    <row r="352" spans="1:7">
      <c r="A352" t="str">
        <f>'Development Budget'!A17</f>
        <v>General Requirements</v>
      </c>
      <c r="B352" t="s">
        <v>1662</v>
      </c>
      <c r="C352">
        <f>'Development Budget'!B17</f>
        <v>0</v>
      </c>
      <c r="D352" t="s">
        <v>1663</v>
      </c>
      <c r="G352" s="316"/>
    </row>
    <row r="353" spans="1:7">
      <c r="A353" t="str">
        <f>'Development Budget'!A18</f>
        <v>Contractor Overhead</v>
      </c>
      <c r="B353" t="s">
        <v>1664</v>
      </c>
      <c r="C353">
        <f>'Development Budget'!B18</f>
        <v>0</v>
      </c>
      <c r="D353" t="s">
        <v>1665</v>
      </c>
      <c r="G353" s="316"/>
    </row>
    <row r="354" spans="1:7">
      <c r="A354" t="str">
        <f>'Development Budget'!A19</f>
        <v>Contractor Profit</v>
      </c>
      <c r="B354" t="s">
        <v>1666</v>
      </c>
      <c r="C354">
        <f>'Development Budget'!B19</f>
        <v>0</v>
      </c>
      <c r="D354" t="s">
        <v>1667</v>
      </c>
      <c r="G354" s="316"/>
    </row>
    <row r="355" spans="1:7">
      <c r="A355" t="str">
        <f>'Development Budget'!A20</f>
        <v>Contractor Construction Contingency</v>
      </c>
      <c r="B355" t="s">
        <v>1668</v>
      </c>
      <c r="C355">
        <f>'Development Budget'!B20</f>
        <v>0</v>
      </c>
      <c r="D355" t="s">
        <v>1669</v>
      </c>
      <c r="G355" s="316"/>
    </row>
    <row r="356" spans="1:7">
      <c r="A356" t="str">
        <f>'Development Budget'!A21</f>
        <v>Owner Hard Cost Contingency</v>
      </c>
      <c r="B356" t="s">
        <v>1670</v>
      </c>
      <c r="C356">
        <f>'Development Budget'!B21</f>
        <v>0</v>
      </c>
      <c r="D356" t="s">
        <v>1671</v>
      </c>
    </row>
    <row r="357" spans="1:7">
      <c r="A357" t="str">
        <f>'Development Budget'!A22</f>
        <v>Furniture, Fixtures, &amp; Equipment</v>
      </c>
      <c r="B357" t="s">
        <v>1672</v>
      </c>
      <c r="C357">
        <f>'Development Budget'!B22</f>
        <v>0</v>
      </c>
      <c r="D357" t="s">
        <v>1673</v>
      </c>
    </row>
    <row r="358" spans="1:7">
      <c r="A358" t="str">
        <f>'Development Budget'!A23</f>
        <v>Building Permits</v>
      </c>
      <c r="B358" t="s">
        <v>1674</v>
      </c>
      <c r="C358">
        <f>'Development Budget'!B23</f>
        <v>0</v>
      </c>
      <c r="D358" t="s">
        <v>1675</v>
      </c>
    </row>
    <row r="359" spans="1:7">
      <c r="A359" t="str">
        <f>'Development Budget'!A24</f>
        <v>Other (Specify)</v>
      </c>
      <c r="B359" t="s">
        <v>1676</v>
      </c>
      <c r="C359">
        <f>'Development Budget'!B24</f>
        <v>0</v>
      </c>
      <c r="D359" t="s">
        <v>1677</v>
      </c>
    </row>
    <row r="360" spans="1:7">
      <c r="A360" t="str">
        <f>'Development Budget'!A25</f>
        <v>Other (Specify)</v>
      </c>
      <c r="B360" t="s">
        <v>1678</v>
      </c>
      <c r="C360">
        <f>'Development Budget'!B25</f>
        <v>0</v>
      </c>
      <c r="D360" t="s">
        <v>1679</v>
      </c>
    </row>
    <row r="361" spans="1:7">
      <c r="A361" t="str">
        <f>'Development Budget'!A26</f>
        <v>Other (Specify)</v>
      </c>
      <c r="B361" t="s">
        <v>1680</v>
      </c>
      <c r="C361">
        <f>'Development Budget'!B26</f>
        <v>0</v>
      </c>
      <c r="D361" t="s">
        <v>1681</v>
      </c>
    </row>
    <row r="362" spans="1:7">
      <c r="A362" t="str">
        <f>'Development Budget'!A29</f>
        <v>Architect, Design</v>
      </c>
      <c r="B362" t="s">
        <v>1682</v>
      </c>
      <c r="C362">
        <f>'Development Budget'!B29</f>
        <v>0</v>
      </c>
      <c r="D362" t="s">
        <v>1683</v>
      </c>
    </row>
    <row r="363" spans="1:7" ht="14.4" customHeight="1">
      <c r="A363" t="str">
        <f>'Development Budget'!A30</f>
        <v>Architect Construction Management/Admin</v>
      </c>
      <c r="B363" t="s">
        <v>1684</v>
      </c>
      <c r="C363">
        <f>'Development Budget'!B30</f>
        <v>0</v>
      </c>
      <c r="D363" t="s">
        <v>1685</v>
      </c>
    </row>
    <row r="364" spans="1:7">
      <c r="A364" t="str">
        <f>'Development Budget'!A31</f>
        <v>Landscape Design</v>
      </c>
      <c r="B364" t="s">
        <v>1686</v>
      </c>
      <c r="C364">
        <f>'Development Budget'!B31</f>
        <v>0</v>
      </c>
      <c r="D364" t="s">
        <v>1687</v>
      </c>
    </row>
    <row r="365" spans="1:7">
      <c r="A365" t="str">
        <f>'Development Budget'!A32</f>
        <v>Structural Engineering</v>
      </c>
      <c r="B365" t="s">
        <v>1688</v>
      </c>
      <c r="C365">
        <f>'Development Budget'!B32</f>
        <v>0</v>
      </c>
      <c r="D365" t="s">
        <v>1689</v>
      </c>
    </row>
    <row r="366" spans="1:7">
      <c r="A366" t="str">
        <f>'Development Budget'!A33</f>
        <v>Civil Engineering</v>
      </c>
      <c r="B366" t="s">
        <v>1690</v>
      </c>
      <c r="C366">
        <f>'Development Budget'!B33</f>
        <v>0</v>
      </c>
      <c r="D366" t="s">
        <v>1691</v>
      </c>
    </row>
    <row r="367" spans="1:7">
      <c r="A367" t="str">
        <f>'Development Budget'!A34</f>
        <v>Other Engineering</v>
      </c>
      <c r="B367" t="s">
        <v>1692</v>
      </c>
      <c r="C367">
        <f>'Development Budget'!B34</f>
        <v>0</v>
      </c>
      <c r="D367" t="s">
        <v>1693</v>
      </c>
    </row>
    <row r="368" spans="1:7">
      <c r="A368" t="str">
        <f>'Development Budget'!A35</f>
        <v>Surveyor</v>
      </c>
      <c r="B368" t="s">
        <v>1694</v>
      </c>
      <c r="C368">
        <f>'Development Budget'!B35</f>
        <v>0</v>
      </c>
      <c r="D368" t="s">
        <v>1695</v>
      </c>
    </row>
    <row r="369" spans="1:4">
      <c r="A369" t="str">
        <f>'Development Budget'!A36</f>
        <v>Attorney, Real Estate</v>
      </c>
      <c r="B369" t="s">
        <v>1696</v>
      </c>
      <c r="C369">
        <f>'Development Budget'!B36</f>
        <v>0</v>
      </c>
      <c r="D369" t="s">
        <v>1697</v>
      </c>
    </row>
    <row r="370" spans="1:4">
      <c r="A370" t="str">
        <f>'Development Budget'!A37</f>
        <v>Green Consultant</v>
      </c>
      <c r="B370" t="s">
        <v>1698</v>
      </c>
      <c r="C370">
        <f>'Development Budget'!B37</f>
        <v>0</v>
      </c>
      <c r="D370" t="s">
        <v>1699</v>
      </c>
    </row>
    <row r="371" spans="1:4">
      <c r="A371" t="str">
        <f>'Development Budget'!A38</f>
        <v>Green Charrette</v>
      </c>
      <c r="B371" t="s">
        <v>1700</v>
      </c>
      <c r="C371">
        <f>'Development Budget'!B38</f>
        <v>0</v>
      </c>
      <c r="D371" t="s">
        <v>1701</v>
      </c>
    </row>
    <row r="372" spans="1:4">
      <c r="A372" t="str">
        <f>'Development Budget'!A39</f>
        <v>Construction Accounting</v>
      </c>
      <c r="B372" t="s">
        <v>1702</v>
      </c>
      <c r="C372">
        <f>'Development Budget'!B39</f>
        <v>0</v>
      </c>
      <c r="D372" t="s">
        <v>1703</v>
      </c>
    </row>
    <row r="373" spans="1:4">
      <c r="A373" t="str">
        <f>'Development Budget'!A40</f>
        <v>Other (Specify)</v>
      </c>
      <c r="B373" t="s">
        <v>1704</v>
      </c>
      <c r="C373">
        <f>'Development Budget'!B40</f>
        <v>0</v>
      </c>
      <c r="D373" t="s">
        <v>1705</v>
      </c>
    </row>
    <row r="374" spans="1:4">
      <c r="A374" t="str">
        <f>'Development Budget'!A41</f>
        <v>Other (Specify)</v>
      </c>
      <c r="B374" t="s">
        <v>1706</v>
      </c>
      <c r="C374">
        <f>'Development Budget'!B41</f>
        <v>0</v>
      </c>
      <c r="D374" t="s">
        <v>1707</v>
      </c>
    </row>
    <row r="375" spans="1:4">
      <c r="A375" t="str">
        <f>'Development Budget'!A42</f>
        <v>Other (Specify)</v>
      </c>
      <c r="B375" t="s">
        <v>1708</v>
      </c>
      <c r="C375">
        <f>'Development Budget'!B42</f>
        <v>0</v>
      </c>
      <c r="D375" t="s">
        <v>1709</v>
      </c>
    </row>
    <row r="376" spans="1:4">
      <c r="A376" t="str">
        <f>'Development Budget'!A45</f>
        <v>Hazard &amp; Liability Insurance</v>
      </c>
      <c r="B376" t="s">
        <v>1710</v>
      </c>
      <c r="C376">
        <f>'Development Budget'!B45</f>
        <v>0</v>
      </c>
      <c r="D376" t="s">
        <v>1711</v>
      </c>
    </row>
    <row r="377" spans="1:4">
      <c r="A377" t="str">
        <f>'Development Budget'!A46</f>
        <v>Builder's Risk Insurance</v>
      </c>
      <c r="B377" t="s">
        <v>1712</v>
      </c>
      <c r="C377">
        <f>'Development Budget'!B46</f>
        <v>0</v>
      </c>
      <c r="D377" t="s">
        <v>1713</v>
      </c>
    </row>
    <row r="378" spans="1:4">
      <c r="A378" t="str">
        <f>'Development Budget'!A47</f>
        <v>Perform. &amp; Pymt Bonds</v>
      </c>
      <c r="B378" t="s">
        <v>1714</v>
      </c>
      <c r="C378">
        <f>'Development Budget'!B47</f>
        <v>0</v>
      </c>
      <c r="D378" t="s">
        <v>1715</v>
      </c>
    </row>
    <row r="379" spans="1:4">
      <c r="A379" t="str">
        <f>'Development Budget'!A48</f>
        <v>Construction Interest</v>
      </c>
      <c r="B379" t="s">
        <v>1716</v>
      </c>
      <c r="C379">
        <f>'Development Budget'!B48</f>
        <v>0</v>
      </c>
      <c r="D379" t="s">
        <v>1717</v>
      </c>
    </row>
    <row r="380" spans="1:4">
      <c r="A380" t="str">
        <f>'Development Budget'!A49</f>
        <v>Constr. Origination Fees</v>
      </c>
      <c r="B380" t="s">
        <v>1718</v>
      </c>
      <c r="C380">
        <f>'Development Budget'!B49</f>
        <v>0</v>
      </c>
      <c r="D380" t="s">
        <v>1719</v>
      </c>
    </row>
    <row r="381" spans="1:4">
      <c r="A381" t="str">
        <f>'Development Budget'!A50</f>
        <v>Tap Fees (Water/Sewer)</v>
      </c>
      <c r="B381" t="s">
        <v>1720</v>
      </c>
      <c r="C381">
        <f>'Development Budget'!B50</f>
        <v>0</v>
      </c>
      <c r="D381" t="s">
        <v>1721</v>
      </c>
    </row>
    <row r="382" spans="1:4">
      <c r="A382" t="str">
        <f>'Development Budget'!A51</f>
        <v>Impact fees</v>
      </c>
      <c r="B382" t="s">
        <v>1722</v>
      </c>
      <c r="C382">
        <f>'Development Budget'!B51</f>
        <v>0</v>
      </c>
      <c r="D382" t="s">
        <v>1723</v>
      </c>
    </row>
    <row r="383" spans="1:4">
      <c r="A383" t="str">
        <f>'Development Budget'!A52</f>
        <v>Materials Testing</v>
      </c>
      <c r="B383" t="s">
        <v>1724</v>
      </c>
      <c r="C383">
        <f>'Development Budget'!B52</f>
        <v>0</v>
      </c>
      <c r="D383" t="s">
        <v>1725</v>
      </c>
    </row>
    <row r="384" spans="1:4">
      <c r="A384" t="str">
        <f>'Development Budget'!A53</f>
        <v>Power and Telecom Provider fees</v>
      </c>
      <c r="B384" t="s">
        <v>1726</v>
      </c>
      <c r="C384">
        <f>'Development Budget'!B53</f>
        <v>0</v>
      </c>
      <c r="D384" t="s">
        <v>1727</v>
      </c>
    </row>
    <row r="385" spans="1:4">
      <c r="A385" t="str">
        <f>'Development Budget'!A54</f>
        <v>3rd Party/Bank Inspections/Admin</v>
      </c>
      <c r="B385" t="s">
        <v>1728</v>
      </c>
      <c r="C385">
        <f>'Development Budget'!B54</f>
        <v>0</v>
      </c>
      <c r="D385" t="s">
        <v>1729</v>
      </c>
    </row>
    <row r="386" spans="1:4">
      <c r="A386" t="str">
        <f>'Development Budget'!A55</f>
        <v>Title &amp; Recording</v>
      </c>
      <c r="B386" t="s">
        <v>1730</v>
      </c>
      <c r="C386">
        <f>'Development Budget'!B55</f>
        <v>0</v>
      </c>
      <c r="D386" t="s">
        <v>1731</v>
      </c>
    </row>
    <row r="387" spans="1:4">
      <c r="A387" t="str">
        <f>'Development Budget'!A56</f>
        <v>Construction Lender Legal Fees</v>
      </c>
      <c r="B387" t="s">
        <v>1732</v>
      </c>
      <c r="C387">
        <f>'Development Budget'!B56</f>
        <v>0</v>
      </c>
      <c r="D387" t="s">
        <v>1733</v>
      </c>
    </row>
    <row r="388" spans="1:4">
      <c r="A388" t="str">
        <f>'Development Budget'!A57</f>
        <v>Prop. Taxes During Construction</v>
      </c>
      <c r="B388" t="s">
        <v>1734</v>
      </c>
      <c r="C388">
        <f>'Development Budget'!B57</f>
        <v>0</v>
      </c>
      <c r="D388" t="s">
        <v>1735</v>
      </c>
    </row>
    <row r="389" spans="1:4">
      <c r="A389" t="str">
        <f>'Development Budget'!A58</f>
        <v>Bridge Loan</v>
      </c>
      <c r="B389" t="s">
        <v>1736</v>
      </c>
      <c r="C389">
        <f>'Development Budget'!B58</f>
        <v>0</v>
      </c>
      <c r="D389" t="s">
        <v>1737</v>
      </c>
    </row>
    <row r="390" spans="1:4">
      <c r="A390" t="s">
        <v>443</v>
      </c>
      <c r="C390">
        <f>'Development Budget'!B59</f>
        <v>0</v>
      </c>
    </row>
    <row r="391" spans="1:4">
      <c r="A391" t="str">
        <f>'Development Budget'!A60</f>
        <v>Other (Specify)</v>
      </c>
      <c r="B391" t="s">
        <v>1738</v>
      </c>
      <c r="C391">
        <f>'Development Budget'!B60</f>
        <v>0</v>
      </c>
      <c r="D391" t="s">
        <v>1739</v>
      </c>
    </row>
    <row r="392" spans="1:4">
      <c r="A392" t="str">
        <f>'Development Budget'!A61</f>
        <v>Other (Specify)</v>
      </c>
      <c r="B392" t="s">
        <v>1740</v>
      </c>
      <c r="C392">
        <f>'Development Budget'!B61</f>
        <v>0</v>
      </c>
      <c r="D392" t="s">
        <v>1741</v>
      </c>
    </row>
    <row r="393" spans="1:4">
      <c r="A393" t="str">
        <f>'Development Budget'!A62</f>
        <v>Other (Specify)</v>
      </c>
      <c r="B393" t="s">
        <v>1742</v>
      </c>
      <c r="C393">
        <f>'Development Budget'!B62</f>
        <v>0</v>
      </c>
      <c r="D393" t="s">
        <v>1743</v>
      </c>
    </row>
    <row r="394" spans="1:4">
      <c r="A394" t="str">
        <f>'Development Budget'!A65</f>
        <v>Bond Premium</v>
      </c>
      <c r="B394" t="s">
        <v>1744</v>
      </c>
      <c r="C394">
        <f>'Development Budget'!B65</f>
        <v>0</v>
      </c>
      <c r="D394" t="s">
        <v>1745</v>
      </c>
    </row>
    <row r="395" spans="1:4">
      <c r="A395" t="str">
        <f>'Development Budget'!A66</f>
        <v>Bond Issue 30-day lag reserve</v>
      </c>
      <c r="B395" t="s">
        <v>1746</v>
      </c>
      <c r="C395">
        <f>'Development Budget'!B66</f>
        <v>0</v>
      </c>
      <c r="D395" t="s">
        <v>1747</v>
      </c>
    </row>
    <row r="396" spans="1:4">
      <c r="A396" t="str">
        <f>'Development Budget'!A67</f>
        <v>Bond Cost of Issuance</v>
      </c>
      <c r="B396" t="s">
        <v>1748</v>
      </c>
      <c r="C396">
        <f>'Development Budget'!B67</f>
        <v>0</v>
      </c>
      <c r="D396" t="s">
        <v>1749</v>
      </c>
    </row>
    <row r="397" spans="1:4">
      <c r="A397" t="str">
        <f>'Development Budget'!A68</f>
        <v>Discount Points</v>
      </c>
      <c r="B397" t="s">
        <v>1750</v>
      </c>
      <c r="C397">
        <f>'Development Budget'!B68</f>
        <v>0</v>
      </c>
      <c r="D397" t="s">
        <v>1751</v>
      </c>
    </row>
    <row r="398" spans="1:4">
      <c r="A398" t="str">
        <f>'Development Budget'!A69</f>
        <v>Perm Loan Origination</v>
      </c>
      <c r="B398" t="s">
        <v>1752</v>
      </c>
      <c r="C398">
        <f>'Development Budget'!B69</f>
        <v>0</v>
      </c>
      <c r="D398" t="s">
        <v>1753</v>
      </c>
    </row>
    <row r="399" spans="1:4">
      <c r="A399" t="str">
        <f>'Development Budget'!A70</f>
        <v>Credit Enhancement</v>
      </c>
      <c r="B399" t="s">
        <v>1754</v>
      </c>
      <c r="C399">
        <f>'Development Budget'!B70</f>
        <v>0</v>
      </c>
      <c r="D399" t="s">
        <v>1755</v>
      </c>
    </row>
    <row r="400" spans="1:4">
      <c r="A400" t="str">
        <f>'Development Budget'!A71</f>
        <v>Title &amp; Recording</v>
      </c>
      <c r="B400" t="s">
        <v>1756</v>
      </c>
      <c r="C400">
        <f>'Development Budget'!B71</f>
        <v>0</v>
      </c>
      <c r="D400" t="s">
        <v>1757</v>
      </c>
    </row>
    <row r="401" spans="1:4">
      <c r="A401" t="str">
        <f>'Development Budget'!A72</f>
        <v>Legal Fees</v>
      </c>
      <c r="B401" t="s">
        <v>1758</v>
      </c>
      <c r="C401">
        <f>'Development Budget'!B72</f>
        <v>0</v>
      </c>
      <c r="D401" t="s">
        <v>1759</v>
      </c>
    </row>
    <row r="402" spans="1:4">
      <c r="A402" t="str">
        <f>'Development Budget'!A73</f>
        <v>Prepaid MIP</v>
      </c>
      <c r="B402" t="s">
        <v>1760</v>
      </c>
      <c r="C402">
        <f>'Development Budget'!B73</f>
        <v>0</v>
      </c>
      <c r="D402" t="s">
        <v>1761</v>
      </c>
    </row>
    <row r="403" spans="1:4">
      <c r="A403" t="str">
        <f>'Development Budget'!A74</f>
        <v>Forward Rate Lock</v>
      </c>
      <c r="B403" t="s">
        <v>1762</v>
      </c>
      <c r="C403">
        <f>'Development Budget'!B74</f>
        <v>0</v>
      </c>
      <c r="D403" t="s">
        <v>1763</v>
      </c>
    </row>
    <row r="404" spans="1:4">
      <c r="A404" t="str">
        <f>'Development Budget'!A75</f>
        <v>Conversion Fee</v>
      </c>
      <c r="B404" t="s">
        <v>1764</v>
      </c>
      <c r="C404">
        <f>'Development Budget'!B75</f>
        <v>0</v>
      </c>
      <c r="D404" t="s">
        <v>1765</v>
      </c>
    </row>
    <row r="405" spans="1:4">
      <c r="A405" t="str">
        <f>'Development Budget'!A76</f>
        <v>Other (Specify)</v>
      </c>
      <c r="B405" t="s">
        <v>1766</v>
      </c>
      <c r="C405">
        <f>'Development Budget'!B76</f>
        <v>0</v>
      </c>
      <c r="D405" t="s">
        <v>1767</v>
      </c>
    </row>
    <row r="406" spans="1:4">
      <c r="A406" t="str">
        <f>'Development Budget'!A77</f>
        <v>Other (Specify)</v>
      </c>
      <c r="B406" t="s">
        <v>1768</v>
      </c>
      <c r="C406">
        <f>'Development Budget'!B77</f>
        <v>0</v>
      </c>
      <c r="D406" t="s">
        <v>1769</v>
      </c>
    </row>
    <row r="407" spans="1:4">
      <c r="A407" t="str">
        <f>'Development Budget'!A78</f>
        <v>Other (Specify)</v>
      </c>
      <c r="B407" t="s">
        <v>1770</v>
      </c>
      <c r="C407">
        <f>'Development Budget'!B78</f>
        <v>0</v>
      </c>
      <c r="D407" t="s">
        <v>1771</v>
      </c>
    </row>
    <row r="408" spans="1:4">
      <c r="A408" t="str">
        <f>'Development Budget'!A81</f>
        <v>Marketing/Leasing Costs</v>
      </c>
      <c r="B408" t="s">
        <v>1772</v>
      </c>
      <c r="C408">
        <f>'Development Budget'!B81</f>
        <v>0</v>
      </c>
      <c r="D408" t="s">
        <v>1773</v>
      </c>
    </row>
    <row r="409" spans="1:4">
      <c r="A409" t="str">
        <f>'Development Budget'!A82</f>
        <v>Cost Estimating/Capital Needs Assessment</v>
      </c>
      <c r="B409" t="s">
        <v>1774</v>
      </c>
      <c r="C409">
        <f>'Development Budget'!B82</f>
        <v>0</v>
      </c>
      <c r="D409" t="s">
        <v>1775</v>
      </c>
    </row>
    <row r="410" spans="1:4">
      <c r="A410" t="str">
        <f>'Development Budget'!A83</f>
        <v>Geotechnical/Soils Study</v>
      </c>
      <c r="B410" t="s">
        <v>1776</v>
      </c>
      <c r="C410">
        <f>'Development Budget'!B83</f>
        <v>0</v>
      </c>
      <c r="D410" t="s">
        <v>1777</v>
      </c>
    </row>
    <row r="411" spans="1:4">
      <c r="A411" t="str">
        <f>'Development Budget'!A84</f>
        <v>Appraisal</v>
      </c>
      <c r="B411" t="s">
        <v>1778</v>
      </c>
      <c r="C411">
        <f>'Development Budget'!B84</f>
        <v>0</v>
      </c>
      <c r="D411" t="s">
        <v>1779</v>
      </c>
    </row>
    <row r="412" spans="1:4">
      <c r="A412" t="str">
        <f>'Development Budget'!A85</f>
        <v>Market Study</v>
      </c>
      <c r="B412" t="s">
        <v>1780</v>
      </c>
      <c r="C412">
        <f>'Development Budget'!B85</f>
        <v>0</v>
      </c>
      <c r="D412" t="s">
        <v>1781</v>
      </c>
    </row>
    <row r="413" spans="1:4">
      <c r="A413" t="str">
        <f>'Development Budget'!A86</f>
        <v>Environmental Study (Phase 1, Phase 2, Lead, Asbestos, etc.)</v>
      </c>
      <c r="B413" t="s">
        <v>1782</v>
      </c>
      <c r="C413">
        <f>'Development Budget'!B86</f>
        <v>0</v>
      </c>
      <c r="D413" t="s">
        <v>1783</v>
      </c>
    </row>
    <row r="414" spans="1:4">
      <c r="A414" t="str">
        <f>'Development Budget'!A87</f>
        <v>Other Studies (traffic, wetlands, etc.)</v>
      </c>
      <c r="B414" t="s">
        <v>1784</v>
      </c>
      <c r="C414">
        <f>'Development Budget'!B87</f>
        <v>0</v>
      </c>
      <c r="D414" t="s">
        <v>1785</v>
      </c>
    </row>
    <row r="415" spans="1:4">
      <c r="A415" t="str">
        <f>'Development Budget'!A88</f>
        <v>Tax Credit Fees</v>
      </c>
      <c r="B415" t="s">
        <v>1786</v>
      </c>
      <c r="C415">
        <f>'Development Budget'!B88</f>
        <v>0</v>
      </c>
      <c r="D415" t="s">
        <v>1787</v>
      </c>
    </row>
    <row r="416" spans="1:4">
      <c r="A416" t="str">
        <f>'Development Budget'!A89</f>
        <v>Compliance Fees</v>
      </c>
      <c r="B416" t="s">
        <v>1788</v>
      </c>
      <c r="C416">
        <f>'Development Budget'!B89</f>
        <v>0</v>
      </c>
      <c r="D416" t="s">
        <v>1789</v>
      </c>
    </row>
    <row r="417" spans="1:4">
      <c r="A417" t="str">
        <f>'Development Budget'!A90</f>
        <v>Cost Certification</v>
      </c>
      <c r="B417" t="s">
        <v>1790</v>
      </c>
      <c r="C417">
        <f>'Development Budget'!B90</f>
        <v>0</v>
      </c>
      <c r="D417" t="s">
        <v>1791</v>
      </c>
    </row>
    <row r="418" spans="1:4">
      <c r="A418" t="str">
        <f>'Development Budget'!A91</f>
        <v>Green Certification Fees (LEED Certification, etc.)</v>
      </c>
      <c r="B418" t="s">
        <v>1792</v>
      </c>
      <c r="C418">
        <f>'Development Budget'!B91</f>
        <v>0</v>
      </c>
      <c r="D418" t="s">
        <v>1793</v>
      </c>
    </row>
    <row r="419" spans="1:4">
      <c r="A419" t="str">
        <f>'Development Budget'!A92</f>
        <v>Relocation - Temporary</v>
      </c>
      <c r="B419" t="s">
        <v>1794</v>
      </c>
      <c r="C419">
        <f>'Development Budget'!B92</f>
        <v>0</v>
      </c>
      <c r="D419" t="s">
        <v>1795</v>
      </c>
    </row>
    <row r="420" spans="1:4">
      <c r="A420" t="str">
        <f>'Development Budget'!A93</f>
        <v>Relocation - Permanent</v>
      </c>
      <c r="B420" t="s">
        <v>1796</v>
      </c>
      <c r="C420">
        <f>'Development Budget'!B93</f>
        <v>0</v>
      </c>
    </row>
    <row r="421" spans="1:4">
      <c r="A421" t="str">
        <f>'Development Budget'!A94</f>
        <v>Soft Cost Contingency</v>
      </c>
      <c r="B421" t="s">
        <v>1797</v>
      </c>
      <c r="C421">
        <f>'Development Budget'!B94</f>
        <v>0</v>
      </c>
      <c r="D421" t="s">
        <v>1798</v>
      </c>
    </row>
    <row r="422" spans="1:4">
      <c r="A422" t="str">
        <f>'Development Budget'!A95</f>
        <v>Other (Specify)</v>
      </c>
      <c r="B422" t="s">
        <v>1799</v>
      </c>
      <c r="C422">
        <f>'Development Budget'!B95</f>
        <v>0</v>
      </c>
      <c r="D422" t="s">
        <v>1800</v>
      </c>
    </row>
    <row r="423" spans="1:4">
      <c r="A423" t="str">
        <f>'Development Budget'!A96</f>
        <v>Other (Specify)</v>
      </c>
      <c r="B423" t="s">
        <v>1801</v>
      </c>
      <c r="C423">
        <f>'Development Budget'!B96</f>
        <v>0</v>
      </c>
      <c r="D423" t="s">
        <v>1802</v>
      </c>
    </row>
    <row r="424" spans="1:4">
      <c r="A424" t="str">
        <f>'Development Budget'!A97</f>
        <v>Other (Specify)</v>
      </c>
      <c r="B424" t="s">
        <v>1803</v>
      </c>
      <c r="C424">
        <f>'Development Budget'!B97</f>
        <v>0</v>
      </c>
      <c r="D424" t="s">
        <v>1804</v>
      </c>
    </row>
    <row r="425" spans="1:4">
      <c r="A425" t="str">
        <f>'Development Budget'!A100</f>
        <v>Organization Costs</v>
      </c>
      <c r="B425" t="s">
        <v>1805</v>
      </c>
      <c r="C425">
        <f>'Development Budget'!B100</f>
        <v>0</v>
      </c>
      <c r="D425" t="s">
        <v>1806</v>
      </c>
    </row>
    <row r="426" spans="1:4">
      <c r="A426" t="str">
        <f>'Development Budget'!A101</f>
        <v>Tax Opinion</v>
      </c>
      <c r="B426" t="s">
        <v>1807</v>
      </c>
      <c r="C426">
        <f>'Development Budget'!B101</f>
        <v>0</v>
      </c>
      <c r="D426" t="s">
        <v>1808</v>
      </c>
    </row>
    <row r="427" spans="1:4">
      <c r="A427" t="str">
        <f>'Development Budget'!A102</f>
        <v>Syndication Legal Fees</v>
      </c>
      <c r="B427" t="s">
        <v>1809</v>
      </c>
      <c r="C427">
        <f>'Development Budget'!B102</f>
        <v>0</v>
      </c>
      <c r="D427" t="s">
        <v>1810</v>
      </c>
    </row>
    <row r="428" spans="1:4">
      <c r="A428" t="str">
        <f>'Development Budget'!A103</f>
        <v>Other (Specify)</v>
      </c>
      <c r="B428" t="s">
        <v>1811</v>
      </c>
      <c r="C428">
        <f>'Development Budget'!B103</f>
        <v>0</v>
      </c>
      <c r="D428" t="s">
        <v>1812</v>
      </c>
    </row>
    <row r="429" spans="1:4">
      <c r="A429" t="str">
        <f>'Development Budget'!A104</f>
        <v>Other (Specify)</v>
      </c>
      <c r="B429" t="s">
        <v>1813</v>
      </c>
      <c r="C429">
        <f>'Development Budget'!B104</f>
        <v>0</v>
      </c>
      <c r="D429" t="s">
        <v>1814</v>
      </c>
    </row>
    <row r="430" spans="1:4" ht="15.75" customHeight="1">
      <c r="A430" t="str">
        <f>'Development Budget'!A105</f>
        <v>Other (Specify)</v>
      </c>
      <c r="B430" t="s">
        <v>1815</v>
      </c>
      <c r="C430">
        <f>'Development Budget'!B105</f>
        <v>0</v>
      </c>
      <c r="D430" t="s">
        <v>1816</v>
      </c>
    </row>
    <row r="431" spans="1:4">
      <c r="A431" t="str">
        <f>'Development Budget'!A108</f>
        <v>Developer Fee</v>
      </c>
      <c r="B431" t="s">
        <v>1817</v>
      </c>
      <c r="C431">
        <f>'Development Budget'!B108</f>
        <v>0</v>
      </c>
      <c r="D431" t="s">
        <v>1818</v>
      </c>
    </row>
    <row r="432" spans="1:4">
      <c r="A432" t="str">
        <f>'Development Budget'!A109</f>
        <v>Developer Overhead</v>
      </c>
      <c r="B432" t="s">
        <v>1819</v>
      </c>
      <c r="C432">
        <f>'Development Budget'!B109</f>
        <v>0</v>
      </c>
      <c r="D432" t="s">
        <v>1820</v>
      </c>
    </row>
    <row r="433" spans="1:5">
      <c r="A433" t="str">
        <f>'Development Budget'!A110</f>
        <v>Developer Profit</v>
      </c>
      <c r="B433" t="s">
        <v>1821</v>
      </c>
      <c r="C433">
        <f>'Development Budget'!B110</f>
        <v>0</v>
      </c>
      <c r="D433" t="s">
        <v>1822</v>
      </c>
    </row>
    <row r="434" spans="1:5">
      <c r="A434" t="str">
        <f>'Development Budget'!A111</f>
        <v>PSH developer fee boost (up to 5%)</v>
      </c>
      <c r="B434" t="s">
        <v>1823</v>
      </c>
      <c r="C434">
        <f>'Development Budget'!B111</f>
        <v>0</v>
      </c>
      <c r="D434" t="s">
        <v>1824</v>
      </c>
    </row>
    <row r="435" spans="1:5">
      <c r="A435" t="str">
        <f>'Development Budget'!A112</f>
        <v>Third Party Development Management/Owner's Rep</v>
      </c>
      <c r="B435" t="s">
        <v>1825</v>
      </c>
      <c r="C435">
        <f>'Development Budget'!B112</f>
        <v>0</v>
      </c>
      <c r="D435" t="s">
        <v>1826</v>
      </c>
    </row>
    <row r="436" spans="1:5">
      <c r="A436" t="str">
        <f>'Development Budget'!A113</f>
        <v>Financial/Tax Credit Consultant, Application Preparation, etc.</v>
      </c>
      <c r="B436" t="s">
        <v>1827</v>
      </c>
      <c r="C436">
        <f>'Development Budget'!B113</f>
        <v>0</v>
      </c>
      <c r="D436" t="s">
        <v>1828</v>
      </c>
    </row>
    <row r="437" spans="1:5">
      <c r="A437" t="str">
        <f>'Development Budget'!A114</f>
        <v>Other Consultant Fees</v>
      </c>
      <c r="B437" t="s">
        <v>1829</v>
      </c>
      <c r="C437">
        <f>'Development Budget'!B114</f>
        <v>0</v>
      </c>
      <c r="D437" t="s">
        <v>1830</v>
      </c>
    </row>
    <row r="438" spans="1:5">
      <c r="A438" t="str">
        <f>'Development Budget'!A117</f>
        <v>Rent-up Reserves</v>
      </c>
      <c r="B438" t="s">
        <v>1831</v>
      </c>
      <c r="C438">
        <f>'Development Budget'!B117</f>
        <v>0</v>
      </c>
      <c r="D438" s="14" t="s">
        <v>1832</v>
      </c>
    </row>
    <row r="439" spans="1:5">
      <c r="A439" t="str">
        <f>'Development Budget'!A118</f>
        <v>Operating Reserves</v>
      </c>
      <c r="B439" t="s">
        <v>1833</v>
      </c>
      <c r="C439">
        <f>'Development Budget'!B118</f>
        <v>0</v>
      </c>
      <c r="D439" s="14" t="s">
        <v>1834</v>
      </c>
    </row>
    <row r="440" spans="1:5">
      <c r="A440" t="str">
        <f>'Development Budget'!A119</f>
        <v>Replacement Reserves</v>
      </c>
      <c r="B440" t="s">
        <v>1835</v>
      </c>
      <c r="C440">
        <f>'Development Budget'!$B$119</f>
        <v>0</v>
      </c>
      <c r="D440" s="14" t="s">
        <v>1836</v>
      </c>
      <c r="E440" t="s">
        <v>1837</v>
      </c>
    </row>
    <row r="441" spans="1:5">
      <c r="A441" t="str">
        <f>'Development Budget'!A120</f>
        <v>Debt Service Reserves</v>
      </c>
      <c r="B441" t="s">
        <v>1838</v>
      </c>
      <c r="C441">
        <f>'Development Budget'!B120</f>
        <v>0</v>
      </c>
      <c r="D441" s="14" t="s">
        <v>1839</v>
      </c>
    </row>
    <row r="442" spans="1:5">
      <c r="A442" t="str">
        <f>'Development Budget'!A121</f>
        <v>Other (Specify)</v>
      </c>
      <c r="B442" t="s">
        <v>1840</v>
      </c>
      <c r="C442">
        <f>'Development Budget'!B121</f>
        <v>0</v>
      </c>
      <c r="D442" t="s">
        <v>1841</v>
      </c>
    </row>
    <row r="443" spans="1:5">
      <c r="A443" t="str">
        <f>'Development Budget'!A122</f>
        <v>Other (Specify)</v>
      </c>
      <c r="B443" t="s">
        <v>1842</v>
      </c>
      <c r="C443">
        <f>'Development Budget'!B122</f>
        <v>0</v>
      </c>
      <c r="D443" t="s">
        <v>1843</v>
      </c>
    </row>
    <row r="444" spans="1:5">
      <c r="A444" t="s">
        <v>1844</v>
      </c>
      <c r="B444" t="s">
        <v>1845</v>
      </c>
      <c r="C444">
        <f>Calculations!B292</f>
        <v>0</v>
      </c>
      <c r="D444" t="s">
        <v>1846</v>
      </c>
    </row>
    <row r="445" spans="1:5">
      <c r="A445" t="s">
        <v>1847</v>
      </c>
      <c r="B445" t="s">
        <v>1848</v>
      </c>
      <c r="C445">
        <f>Calculations!C292</f>
        <v>0</v>
      </c>
      <c r="D445" t="s">
        <v>1849</v>
      </c>
    </row>
    <row r="446" spans="1:5">
      <c r="A446" t="s">
        <v>1850</v>
      </c>
      <c r="B446" t="s">
        <v>1851</v>
      </c>
      <c r="C446">
        <f>Calculations!D292</f>
        <v>0</v>
      </c>
      <c r="D446" t="s">
        <v>1852</v>
      </c>
    </row>
    <row r="447" spans="1:5">
      <c r="A447" t="s">
        <v>1853</v>
      </c>
      <c r="B447" t="s">
        <v>1854</v>
      </c>
      <c r="C447">
        <f>Calculations!B877</f>
        <v>0</v>
      </c>
      <c r="D447" t="s">
        <v>1855</v>
      </c>
    </row>
    <row r="448" spans="1:5">
      <c r="A448" t="s">
        <v>1856</v>
      </c>
      <c r="B448" t="s">
        <v>1857</v>
      </c>
      <c r="C448">
        <f>Calculations!B876</f>
        <v>0</v>
      </c>
      <c r="D448" t="s">
        <v>1858</v>
      </c>
    </row>
    <row r="449" spans="1:4">
      <c r="A449" t="s">
        <v>1859</v>
      </c>
      <c r="B449" t="s">
        <v>1860</v>
      </c>
      <c r="C449" s="137">
        <f>Calculations!B878</f>
        <v>0</v>
      </c>
    </row>
    <row r="450" spans="1:4">
      <c r="A450" t="s">
        <v>1861</v>
      </c>
      <c r="B450" t="s">
        <v>1862</v>
      </c>
      <c r="C450">
        <f>Calculations!G881</f>
        <v>0</v>
      </c>
      <c r="D450" t="s">
        <v>1863</v>
      </c>
    </row>
    <row r="451" spans="1:4">
      <c r="A451" t="s">
        <v>1864</v>
      </c>
      <c r="B451" t="s">
        <v>1865</v>
      </c>
      <c r="C451">
        <f>Calculations!E881</f>
        <v>0</v>
      </c>
      <c r="D451" t="s">
        <v>1866</v>
      </c>
    </row>
    <row r="452" spans="1:4">
      <c r="A452" t="s">
        <v>1867</v>
      </c>
      <c r="B452" t="s">
        <v>1868</v>
      </c>
      <c r="C452">
        <f>Calculations!G882</f>
        <v>0</v>
      </c>
    </row>
    <row r="453" spans="1:4">
      <c r="A453" t="s">
        <v>1869</v>
      </c>
      <c r="B453" t="s">
        <v>1870</v>
      </c>
      <c r="C453">
        <f>Calculations!E882</f>
        <v>0</v>
      </c>
    </row>
    <row r="454" spans="1:4">
      <c r="A454" t="s">
        <v>1871</v>
      </c>
      <c r="B454" t="s">
        <v>1872</v>
      </c>
      <c r="C454">
        <f>Calculations!G880</f>
        <v>0</v>
      </c>
      <c r="D454" t="s">
        <v>1873</v>
      </c>
    </row>
    <row r="455" spans="1:4">
      <c r="A455" t="s">
        <v>1874</v>
      </c>
      <c r="B455" t="s">
        <v>1875</v>
      </c>
      <c r="C455">
        <f>Calculations!E880</f>
        <v>0</v>
      </c>
      <c r="D455" t="s">
        <v>1876</v>
      </c>
    </row>
    <row r="456" spans="1:4">
      <c r="A456" t="s">
        <v>1877</v>
      </c>
      <c r="B456" t="s">
        <v>1878</v>
      </c>
      <c r="C456">
        <f>Calculations!G884</f>
        <v>0</v>
      </c>
      <c r="D456" t="s">
        <v>1879</v>
      </c>
    </row>
    <row r="457" spans="1:4">
      <c r="A457" t="s">
        <v>1880</v>
      </c>
      <c r="B457" t="s">
        <v>1881</v>
      </c>
      <c r="C457">
        <f>Calculations!E884</f>
        <v>0</v>
      </c>
      <c r="D457" t="s">
        <v>1882</v>
      </c>
    </row>
    <row r="458" spans="1:4">
      <c r="A458" t="s">
        <v>1883</v>
      </c>
      <c r="B458" t="s">
        <v>1884</v>
      </c>
      <c r="C458">
        <f>Calculations!$G$883</f>
        <v>0</v>
      </c>
      <c r="D458" t="s">
        <v>1885</v>
      </c>
    </row>
    <row r="459" spans="1:4">
      <c r="A459" t="s">
        <v>1886</v>
      </c>
      <c r="B459" t="s">
        <v>1887</v>
      </c>
      <c r="C459">
        <f>Calculations!$E$883</f>
        <v>0</v>
      </c>
      <c r="D459" t="s">
        <v>1888</v>
      </c>
    </row>
    <row r="462" spans="1:4">
      <c r="A462" t="s">
        <v>1889</v>
      </c>
      <c r="B462" t="s">
        <v>1890</v>
      </c>
      <c r="C462">
        <f>Calculations!H292</f>
        <v>0</v>
      </c>
      <c r="D462" t="s">
        <v>1891</v>
      </c>
    </row>
    <row r="463" spans="1:4">
      <c r="B463" t="s">
        <v>1892</v>
      </c>
      <c r="C463">
        <f>Calculations!K289</f>
        <v>0</v>
      </c>
      <c r="D463" t="s">
        <v>1893</v>
      </c>
    </row>
    <row r="465" spans="2:3">
      <c r="B465" s="391" t="s">
        <v>1894</v>
      </c>
      <c r="C465" s="14" t="s">
        <v>852</v>
      </c>
    </row>
    <row r="466" spans="2:3">
      <c r="B466" s="70">
        <v>0.2</v>
      </c>
      <c r="C466" s="70">
        <v>0.2</v>
      </c>
    </row>
    <row r="467" spans="2:3">
      <c r="B467" t="s">
        <v>1895</v>
      </c>
      <c r="C467">
        <f>Calculations!H34</f>
        <v>0</v>
      </c>
    </row>
    <row r="468" spans="2:3">
      <c r="B468" s="391" t="s">
        <v>1896</v>
      </c>
      <c r="C468" s="14" t="s">
        <v>852</v>
      </c>
    </row>
    <row r="469" spans="2:3">
      <c r="B469" s="70">
        <v>0.3</v>
      </c>
      <c r="C469" s="70">
        <v>0.3</v>
      </c>
    </row>
    <row r="470" spans="2:3">
      <c r="B470" t="s">
        <v>1897</v>
      </c>
      <c r="C470">
        <f>Calculations!H35</f>
        <v>0</v>
      </c>
    </row>
    <row r="471" spans="2:3">
      <c r="B471" s="391" t="s">
        <v>1898</v>
      </c>
      <c r="C471" s="14" t="s">
        <v>852</v>
      </c>
    </row>
    <row r="472" spans="2:3">
      <c r="B472" s="70">
        <v>0.4</v>
      </c>
      <c r="C472" s="70">
        <v>0.4</v>
      </c>
    </row>
    <row r="473" spans="2:3">
      <c r="B473" t="s">
        <v>1899</v>
      </c>
      <c r="C473">
        <f>Calculations!H36</f>
        <v>0</v>
      </c>
    </row>
    <row r="474" spans="2:3">
      <c r="B474" s="391" t="s">
        <v>1900</v>
      </c>
      <c r="C474" s="14" t="s">
        <v>852</v>
      </c>
    </row>
    <row r="475" spans="2:3">
      <c r="B475" s="70">
        <v>0.5</v>
      </c>
      <c r="C475" s="70">
        <v>0.5</v>
      </c>
    </row>
    <row r="476" spans="2:3">
      <c r="B476" t="s">
        <v>1901</v>
      </c>
      <c r="C476">
        <f>Calculations!H37</f>
        <v>0</v>
      </c>
    </row>
    <row r="477" spans="2:3">
      <c r="B477" s="391" t="s">
        <v>1902</v>
      </c>
      <c r="C477" s="14" t="s">
        <v>852</v>
      </c>
    </row>
    <row r="478" spans="2:3">
      <c r="B478" s="70">
        <v>0.6</v>
      </c>
      <c r="C478" s="70">
        <v>0.6</v>
      </c>
    </row>
    <row r="479" spans="2:3">
      <c r="B479" t="s">
        <v>1903</v>
      </c>
      <c r="C479">
        <f>Calculations!H38</f>
        <v>0</v>
      </c>
    </row>
    <row r="480" spans="2:3">
      <c r="B480" s="391" t="s">
        <v>1904</v>
      </c>
      <c r="C480" s="14" t="s">
        <v>852</v>
      </c>
    </row>
    <row r="481" spans="1:4">
      <c r="B481" s="70">
        <v>0.7</v>
      </c>
      <c r="C481" s="70">
        <v>0.7</v>
      </c>
    </row>
    <row r="482" spans="1:4">
      <c r="B482" t="s">
        <v>1905</v>
      </c>
      <c r="C482">
        <f>Calculations!H39</f>
        <v>0</v>
      </c>
    </row>
    <row r="483" spans="1:4">
      <c r="B483" s="391" t="s">
        <v>1906</v>
      </c>
      <c r="C483" s="14" t="s">
        <v>852</v>
      </c>
    </row>
    <row r="484" spans="1:4">
      <c r="B484" s="70">
        <v>0.8</v>
      </c>
      <c r="C484" s="70">
        <v>0.8</v>
      </c>
    </row>
    <row r="485" spans="1:4">
      <c r="B485" t="s">
        <v>1907</v>
      </c>
      <c r="C485">
        <f>Calculations!H40</f>
        <v>0</v>
      </c>
    </row>
    <row r="486" spans="1:4">
      <c r="B486" s="391" t="s">
        <v>1908</v>
      </c>
      <c r="C486" s="14" t="s">
        <v>852</v>
      </c>
    </row>
    <row r="487" spans="1:4">
      <c r="B487" s="70">
        <v>1</v>
      </c>
      <c r="C487" s="70">
        <v>1</v>
      </c>
    </row>
    <row r="488" spans="1:4">
      <c r="B488" t="s">
        <v>1909</v>
      </c>
      <c r="C488">
        <f>Calculations!H44</f>
        <v>0</v>
      </c>
    </row>
    <row r="489" spans="1:4" ht="14.4" customHeight="1">
      <c r="A489" t="s">
        <v>1910</v>
      </c>
      <c r="C489">
        <f>Calculations!H46</f>
        <v>0</v>
      </c>
    </row>
    <row r="490" spans="1:4" ht="14.4" customHeight="1">
      <c r="A490" t="s">
        <v>1911</v>
      </c>
      <c r="B490" t="s">
        <v>1912</v>
      </c>
      <c r="C490">
        <f>Calculations!H43</f>
        <v>0</v>
      </c>
      <c r="D490" t="s">
        <v>1913</v>
      </c>
    </row>
    <row r="491" spans="1:4">
      <c r="A491" t="s">
        <v>1914</v>
      </c>
      <c r="B491" t="s">
        <v>1915</v>
      </c>
      <c r="C491">
        <f>Calculations!M56</f>
        <v>0</v>
      </c>
      <c r="D491" t="s">
        <v>1916</v>
      </c>
    </row>
    <row r="492" spans="1:4">
      <c r="B492" t="s">
        <v>1917</v>
      </c>
      <c r="C492">
        <f>Calculations!H45</f>
        <v>0</v>
      </c>
      <c r="D492" t="s">
        <v>1918</v>
      </c>
    </row>
    <row r="493" spans="1:4">
      <c r="B493" t="s">
        <v>1919</v>
      </c>
      <c r="C493" s="12">
        <f>'Unit Mix &amp; Rents'!B7</f>
        <v>0</v>
      </c>
      <c r="D493" t="s">
        <v>1920</v>
      </c>
    </row>
    <row r="494" spans="1:4">
      <c r="B494" t="s">
        <v>1921</v>
      </c>
      <c r="C494" s="12">
        <f>'Unit Mix &amp; Rents'!B8</f>
        <v>0</v>
      </c>
      <c r="D494" t="s">
        <v>1922</v>
      </c>
    </row>
    <row r="495" spans="1:4">
      <c r="B495" t="s">
        <v>1923</v>
      </c>
      <c r="C495" s="12">
        <f>'Unit Mix &amp; Rents'!B9</f>
        <v>0</v>
      </c>
      <c r="D495" t="s">
        <v>1924</v>
      </c>
    </row>
    <row r="496" spans="1:4">
      <c r="B496" t="s">
        <v>1925</v>
      </c>
      <c r="C496" s="12">
        <f>'Unit Mix &amp; Rents'!B10</f>
        <v>0</v>
      </c>
      <c r="D496" t="s">
        <v>1926</v>
      </c>
    </row>
    <row r="497" spans="1:4">
      <c r="B497" t="s">
        <v>1927</v>
      </c>
      <c r="C497" s="12">
        <f>'Unit Mix &amp; Rents'!B11</f>
        <v>0</v>
      </c>
      <c r="D497" t="s">
        <v>1928</v>
      </c>
    </row>
    <row r="498" spans="1:4">
      <c r="A498" t="s">
        <v>1929</v>
      </c>
      <c r="B498" s="430" t="s">
        <v>1930</v>
      </c>
      <c r="C498" s="432">
        <f>'Unit Mix &amp; Rents'!B12</f>
        <v>0</v>
      </c>
    </row>
    <row r="499" spans="1:4">
      <c r="A499" t="s">
        <v>1931</v>
      </c>
      <c r="B499" t="s">
        <v>1932</v>
      </c>
      <c r="C499" t="b">
        <f>'Unit Mix &amp; Rents'!B4 = "Yes"</f>
        <v>0</v>
      </c>
      <c r="D499" t="s">
        <v>1933</v>
      </c>
    </row>
    <row r="500" spans="1:4">
      <c r="A500" t="s">
        <v>1934</v>
      </c>
      <c r="B500" t="s">
        <v>1935</v>
      </c>
      <c r="C500">
        <f>Calculations!H60</f>
        <v>0</v>
      </c>
      <c r="D500" t="s">
        <v>1936</v>
      </c>
    </row>
    <row r="501" spans="1:4">
      <c r="A501" t="s">
        <v>1937</v>
      </c>
      <c r="B501" t="s">
        <v>1938</v>
      </c>
      <c r="C501">
        <f>Calculations!H58</f>
        <v>0</v>
      </c>
      <c r="D501" t="s">
        <v>1939</v>
      </c>
    </row>
    <row r="502" spans="1:4">
      <c r="A502" t="s">
        <v>1940</v>
      </c>
      <c r="B502" t="s">
        <v>1941</v>
      </c>
      <c r="C502" s="265">
        <f>Application!B64</f>
        <v>0</v>
      </c>
      <c r="D502" t="s">
        <v>1942</v>
      </c>
    </row>
    <row r="503" spans="1:4">
      <c r="B503" t="s">
        <v>1943</v>
      </c>
      <c r="C503">
        <f>Calculations!H41</f>
        <v>0</v>
      </c>
      <c r="D503" t="s">
        <v>1944</v>
      </c>
    </row>
    <row r="504" spans="1:4">
      <c r="B504" t="s">
        <v>1945</v>
      </c>
      <c r="C504" s="265">
        <f>Application!B65</f>
        <v>0</v>
      </c>
      <c r="D504" t="s">
        <v>1946</v>
      </c>
    </row>
    <row r="505" spans="1:4">
      <c r="B505" t="s">
        <v>1947</v>
      </c>
      <c r="C505">
        <f>Calculations!H56</f>
        <v>0</v>
      </c>
      <c r="D505" t="s">
        <v>1948</v>
      </c>
    </row>
    <row r="506" spans="1:4">
      <c r="B506" t="s">
        <v>1949</v>
      </c>
      <c r="C506">
        <f>Calculations!H59</f>
        <v>0</v>
      </c>
      <c r="D506" t="s">
        <v>1950</v>
      </c>
    </row>
    <row r="507" spans="1:4">
      <c r="A507" t="s">
        <v>1951</v>
      </c>
      <c r="B507" t="s">
        <v>1952</v>
      </c>
      <c r="C507" s="137">
        <f>Calculations!L73</f>
        <v>0</v>
      </c>
      <c r="D507" t="s">
        <v>1953</v>
      </c>
    </row>
    <row r="508" spans="1:4">
      <c r="B508" t="s">
        <v>1954</v>
      </c>
      <c r="C508">
        <f>Calculations!H46</f>
        <v>0</v>
      </c>
    </row>
    <row r="510" spans="1:4">
      <c r="B510" t="s">
        <v>1955</v>
      </c>
      <c r="C510" s="14" t="str">
        <f>IF(ISNA(MATCH(Scoring!$B$11, Extended_Low_Income_Use_Table[Extended Low-Income Use], 0)), "", INDEX(Extended_Low_Income_Use_Table[Years], MATCH(Scoring!$B$11, Extended_Low_Income_Use_Table[Extended Low-Income Use], 0)))</f>
        <v/>
      </c>
      <c r="D510" t="s">
        <v>1956</v>
      </c>
    </row>
    <row r="511" spans="1:4">
      <c r="B511" t="s">
        <v>1957</v>
      </c>
      <c r="C511" s="92">
        <f>Calculations!B324</f>
        <v>15</v>
      </c>
      <c r="D511" t="s">
        <v>1958</v>
      </c>
    </row>
    <row r="512" spans="1:4">
      <c r="A512" t="s">
        <v>1959</v>
      </c>
      <c r="B512" t="s">
        <v>1960</v>
      </c>
      <c r="C512" s="430" t="e">
        <f>IF(Scoring!$B$5="Average Income", FALSE, INDEX(Scoring_Threshold_Table[Score 60%], MATCH(Scoring!$B$5, Scoring_Threshold_Table[Scoring Threshold], 0), 1))</f>
        <v>#N/A</v>
      </c>
      <c r="D512" t="s">
        <v>1961</v>
      </c>
    </row>
    <row r="513" spans="1:4">
      <c r="A513" t="s">
        <v>1962</v>
      </c>
      <c r="B513" t="s">
        <v>1963</v>
      </c>
      <c r="C513" s="430" t="e">
        <f>IF(Scoring!$B$5="Average Income", FALSE, NOT(INDEX(Scoring_Threshold_Table[Score 60%], MATCH(Scoring!$B$5, Scoring_Threshold_Table[Scoring Threshold], 0), 1)))</f>
        <v>#N/A</v>
      </c>
      <c r="D513" t="s">
        <v>1964</v>
      </c>
    </row>
    <row r="514" spans="1:4">
      <c r="A514" t="s">
        <v>1965</v>
      </c>
      <c r="B514" t="s">
        <v>1966</v>
      </c>
      <c r="C514" s="430" t="b">
        <f>Scoring!$B$5="Average Income"</f>
        <v>0</v>
      </c>
      <c r="D514" s="394"/>
    </row>
    <row r="515" spans="1:4">
      <c r="A515" t="s">
        <v>1967</v>
      </c>
      <c r="B515" t="s">
        <v>1968</v>
      </c>
      <c r="C515" s="433">
        <f>Calculations!L41</f>
        <v>0</v>
      </c>
      <c r="D515" s="394"/>
    </row>
    <row r="516" spans="1:4">
      <c r="A516" s="70" t="s">
        <v>1969</v>
      </c>
      <c r="B516" t="s">
        <v>1970</v>
      </c>
      <c r="C516" t="e">
        <f>IF($C$512, Calculations!B300, 0)</f>
        <v>#N/A</v>
      </c>
      <c r="D516" t="s">
        <v>1971</v>
      </c>
    </row>
    <row r="517" spans="1:4">
      <c r="A517" s="70" t="s">
        <v>1972</v>
      </c>
      <c r="B517" t="s">
        <v>1973</v>
      </c>
      <c r="C517" t="e">
        <f>IF($C$512, Calculations!B301, 0)</f>
        <v>#N/A</v>
      </c>
      <c r="D517" t="s">
        <v>1974</v>
      </c>
    </row>
    <row r="518" spans="1:4">
      <c r="A518" s="70" t="s">
        <v>1975</v>
      </c>
      <c r="B518" t="s">
        <v>1976</v>
      </c>
      <c r="C518" t="e">
        <f>IF($C$512, Calculations!B302, 0)</f>
        <v>#N/A</v>
      </c>
      <c r="D518" t="s">
        <v>1977</v>
      </c>
    </row>
    <row r="519" spans="1:4">
      <c r="A519" s="70" t="s">
        <v>1978</v>
      </c>
      <c r="B519" t="s">
        <v>1979</v>
      </c>
      <c r="C519" t="e">
        <f>IF($C$513, Calculations!B301, 0)</f>
        <v>#N/A</v>
      </c>
      <c r="D519" t="s">
        <v>1980</v>
      </c>
    </row>
    <row r="520" spans="1:4">
      <c r="A520" s="70" t="s">
        <v>1981</v>
      </c>
      <c r="B520" t="s">
        <v>1982</v>
      </c>
      <c r="C520" t="e">
        <f>IF($C$513, Calculations!B302, 0)</f>
        <v>#N/A</v>
      </c>
      <c r="D520" t="s">
        <v>1983</v>
      </c>
    </row>
    <row r="521" spans="1:4">
      <c r="A521" t="s">
        <v>1984</v>
      </c>
      <c r="B521" t="s">
        <v>1985</v>
      </c>
      <c r="C521" t="e">
        <f>IF(Calculations!$D$304 = 2, Calculations!$B$304, 0)</f>
        <v>#N/A</v>
      </c>
      <c r="D521" t="s">
        <v>1986</v>
      </c>
    </row>
    <row r="522" spans="1:4">
      <c r="A522" t="s">
        <v>1987</v>
      </c>
      <c r="B522" t="s">
        <v>1988</v>
      </c>
      <c r="C522" t="e">
        <f>IF(Calculations!$D$304 = 3, Calculations!$B$304, 0)</f>
        <v>#N/A</v>
      </c>
      <c r="D522" t="s">
        <v>1989</v>
      </c>
    </row>
    <row r="523" spans="1:4">
      <c r="A523" t="s">
        <v>1990</v>
      </c>
      <c r="B523" t="s">
        <v>1991</v>
      </c>
      <c r="C523" t="e">
        <f>IF(Calculations!$D$304 = 4, Calculations!$B$304, 0)</f>
        <v>#N/A</v>
      </c>
      <c r="D523" t="s">
        <v>1992</v>
      </c>
    </row>
    <row r="524" spans="1:4">
      <c r="A524" t="s">
        <v>1993</v>
      </c>
      <c r="B524" t="s">
        <v>1994</v>
      </c>
      <c r="C524" t="e">
        <f>IF(Calculations!$D$305=3, Calculations!$B$305, 0)</f>
        <v>#N/A</v>
      </c>
      <c r="D524" t="s">
        <v>1995</v>
      </c>
    </row>
    <row r="525" spans="1:4">
      <c r="A525" t="s">
        <v>1996</v>
      </c>
      <c r="B525" t="s">
        <v>1997</v>
      </c>
      <c r="C525" t="e">
        <f>IF(Calculations!$D$305=5, Calculations!$B$305, 0)</f>
        <v>#N/A</v>
      </c>
      <c r="D525" t="s">
        <v>1998</v>
      </c>
    </row>
    <row r="526" spans="1:4">
      <c r="A526" t="s">
        <v>1999</v>
      </c>
      <c r="B526" t="s">
        <v>2000</v>
      </c>
      <c r="C526">
        <f>Calculations!B307</f>
        <v>0</v>
      </c>
      <c r="D526" t="s">
        <v>2001</v>
      </c>
    </row>
    <row r="527" spans="1:4">
      <c r="A527" t="s">
        <v>2002</v>
      </c>
      <c r="B527" t="s">
        <v>2003</v>
      </c>
      <c r="C527">
        <f>Calculations!B310</f>
        <v>0</v>
      </c>
      <c r="D527" t="s">
        <v>2004</v>
      </c>
    </row>
    <row r="528" spans="1:4">
      <c r="A528" t="s">
        <v>2005</v>
      </c>
      <c r="B528" t="s">
        <v>2006</v>
      </c>
      <c r="C528">
        <f>IF(Calculations!$D$322 = 2, Calculations!$B$322, 0)</f>
        <v>0</v>
      </c>
      <c r="D528" t="s">
        <v>2007</v>
      </c>
    </row>
    <row r="529" spans="1:4">
      <c r="A529" t="s">
        <v>2008</v>
      </c>
      <c r="B529" t="s">
        <v>2009</v>
      </c>
      <c r="C529">
        <f>IF(Calculations!$D$322 = 3, Calculations!$B$322, 0)</f>
        <v>0</v>
      </c>
      <c r="D529" t="s">
        <v>2010</v>
      </c>
    </row>
    <row r="530" spans="1:4">
      <c r="A530" t="s">
        <v>2011</v>
      </c>
      <c r="B530" t="s">
        <v>4146</v>
      </c>
      <c r="C530">
        <f>Calculations!B306</f>
        <v>0</v>
      </c>
      <c r="D530" t="s">
        <v>2012</v>
      </c>
    </row>
    <row r="531" spans="1:4" s="319" customFormat="1">
      <c r="A531" s="319" t="s">
        <v>2013</v>
      </c>
      <c r="B531" s="319" t="s">
        <v>4147</v>
      </c>
      <c r="C531" s="319">
        <f>Calculations!B311</f>
        <v>0</v>
      </c>
      <c r="D531" s="319" t="s">
        <v>2014</v>
      </c>
    </row>
    <row r="532" spans="1:4" s="319" customFormat="1">
      <c r="A532" s="319" t="s">
        <v>2015</v>
      </c>
      <c r="B532" s="319" t="s">
        <v>4148</v>
      </c>
      <c r="C532" s="319">
        <f>Calculations!B312</f>
        <v>0</v>
      </c>
      <c r="D532" s="319" t="s">
        <v>2016</v>
      </c>
    </row>
    <row r="533" spans="1:4">
      <c r="A533" t="s">
        <v>2017</v>
      </c>
      <c r="B533" t="s">
        <v>4149</v>
      </c>
      <c r="C533">
        <f>Calculations!B313</f>
        <v>0</v>
      </c>
      <c r="D533" t="s">
        <v>2018</v>
      </c>
    </row>
    <row r="534" spans="1:4">
      <c r="A534" t="s">
        <v>2019</v>
      </c>
      <c r="B534" t="s">
        <v>4150</v>
      </c>
      <c r="C534">
        <f>Calculations!B314</f>
        <v>0</v>
      </c>
      <c r="D534" t="s">
        <v>2020</v>
      </c>
    </row>
    <row r="535" spans="1:4">
      <c r="A535" t="s">
        <v>2021</v>
      </c>
      <c r="B535" t="s">
        <v>4151</v>
      </c>
      <c r="C535">
        <f>Calculations!B315</f>
        <v>0</v>
      </c>
      <c r="D535" t="s">
        <v>2022</v>
      </c>
    </row>
    <row r="536" spans="1:4">
      <c r="A536" t="s">
        <v>2023</v>
      </c>
      <c r="B536" t="s">
        <v>4152</v>
      </c>
      <c r="C536">
        <f>Calculations!B316</f>
        <v>0</v>
      </c>
      <c r="D536" t="s">
        <v>2024</v>
      </c>
    </row>
    <row r="537" spans="1:4">
      <c r="A537" t="s">
        <v>2025</v>
      </c>
      <c r="B537" t="s">
        <v>4153</v>
      </c>
      <c r="C537">
        <f>Calculations!B317</f>
        <v>0</v>
      </c>
      <c r="D537" t="s">
        <v>2026</v>
      </c>
    </row>
    <row r="538" spans="1:4">
      <c r="A538" t="s">
        <v>2638</v>
      </c>
      <c r="B538" t="s">
        <v>4154</v>
      </c>
      <c r="C538">
        <f>Calculations!B318</f>
        <v>0</v>
      </c>
    </row>
    <row r="539" spans="1:4">
      <c r="A539" t="s">
        <v>4058</v>
      </c>
      <c r="B539" t="s">
        <v>4155</v>
      </c>
      <c r="C539">
        <f>Calculations!B319</f>
        <v>0</v>
      </c>
    </row>
    <row r="540" spans="1:4">
      <c r="A540" t="s">
        <v>4112</v>
      </c>
      <c r="B540" t="s">
        <v>4131</v>
      </c>
      <c r="C540">
        <f>Calculations!B320</f>
        <v>0</v>
      </c>
    </row>
    <row r="541" spans="1:4">
      <c r="A541" t="s">
        <v>522</v>
      </c>
      <c r="B541" t="s">
        <v>2027</v>
      </c>
      <c r="C541">
        <f>Calculations!B321</f>
        <v>0</v>
      </c>
      <c r="D541" t="s">
        <v>2028</v>
      </c>
    </row>
    <row r="542" spans="1:4">
      <c r="A542" t="s">
        <v>848</v>
      </c>
      <c r="B542" t="s">
        <v>2029</v>
      </c>
      <c r="C542">
        <f>Calculations!B323</f>
        <v>0</v>
      </c>
      <c r="D542" t="s">
        <v>2030</v>
      </c>
    </row>
    <row r="543" spans="1:4">
      <c r="A543" s="18"/>
      <c r="B543" t="s">
        <v>2031</v>
      </c>
      <c r="C543" t="str">
        <f>CONCATENATE('Contact Summary'!B4)</f>
        <v>0</v>
      </c>
      <c r="D543" t="str">
        <f>C543</f>
        <v>0</v>
      </c>
    </row>
    <row r="544" spans="1:4">
      <c r="B544" t="s">
        <v>2032</v>
      </c>
      <c r="C544" t="str">
        <f>CONCATENATE('Contact Summary'!G4)</f>
        <v>0</v>
      </c>
      <c r="D544" t="s">
        <v>2033</v>
      </c>
    </row>
    <row r="545" spans="2:5">
      <c r="B545" t="s">
        <v>2034</v>
      </c>
      <c r="C545" t="str">
        <f>CONCATENATE('Contact Summary'!H4)</f>
        <v>0</v>
      </c>
      <c r="D545" t="s">
        <v>2033</v>
      </c>
    </row>
    <row r="546" spans="2:5">
      <c r="B546" t="s">
        <v>2035</v>
      </c>
      <c r="C546" t="str">
        <f>CONCATENATE('Contact Summary'!C4)</f>
        <v>0</v>
      </c>
    </row>
    <row r="547" spans="2:5">
      <c r="B547" t="s">
        <v>2036</v>
      </c>
      <c r="C547" t="str">
        <f>CONCATENATE('Contact Summary'!D4)</f>
        <v>0</v>
      </c>
    </row>
    <row r="548" spans="2:5">
      <c r="B548" t="s">
        <v>2037</v>
      </c>
      <c r="C548" t="str">
        <f>CONCATENATE('Contact Summary'!I4)</f>
        <v>0</v>
      </c>
      <c r="D548" t="s">
        <v>2033</v>
      </c>
    </row>
    <row r="549" spans="2:5">
      <c r="B549" t="s">
        <v>2038</v>
      </c>
      <c r="C549" t="str">
        <f>CONCATENATE('Contact Summary'!J4)</f>
        <v>0</v>
      </c>
      <c r="D549" t="s">
        <v>2033</v>
      </c>
    </row>
    <row r="550" spans="2:5">
      <c r="B550" t="s">
        <v>2039</v>
      </c>
      <c r="C550" t="str">
        <f>CONCATENATE('Contact Summary'!E4)</f>
        <v>0</v>
      </c>
    </row>
    <row r="551" spans="2:5">
      <c r="B551" t="s">
        <v>2040</v>
      </c>
      <c r="C551" t="str">
        <f>CONCATENATE('Contact Summary'!F4)</f>
        <v>0</v>
      </c>
    </row>
    <row r="552" spans="2:5">
      <c r="B552" t="s">
        <v>2041</v>
      </c>
      <c r="C552">
        <f>'Contact Information'!B22</f>
        <v>0</v>
      </c>
    </row>
    <row r="553" spans="2:5">
      <c r="B553" t="s">
        <v>2042</v>
      </c>
      <c r="C553">
        <f>'Contact Information'!B23</f>
        <v>0</v>
      </c>
    </row>
    <row r="554" spans="2:5">
      <c r="B554" s="1055" t="s">
        <v>4120</v>
      </c>
      <c r="C554" t="str">
        <f>IF(OR('Contact Summary'!B26 = 0, $E$554), "", 'Contact Summary'!B26)</f>
        <v/>
      </c>
      <c r="E554" t="b">
        <f>OR('Contact Summary'!B5="TBD",'Contact Summary'!B5="NA",'Contact Summary'!B5="N/A")</f>
        <v>0</v>
      </c>
    </row>
    <row r="555" spans="2:5">
      <c r="B555" t="s">
        <v>4121</v>
      </c>
      <c r="C555" t="str">
        <f>IF(OR('Contact Summary'!B27 = 0, $E$555), "", 'Contact Summary'!B27)</f>
        <v/>
      </c>
      <c r="E555" t="b">
        <f>OR('Contact Summary'!C5="TBD",'Contact Summary'!C5="NA",'Contact Summary'!C5="N/A")</f>
        <v>0</v>
      </c>
    </row>
    <row r="556" spans="2:5">
      <c r="B556" t="s">
        <v>4122</v>
      </c>
      <c r="C556" t="str">
        <f>IF(OR('Contact Summary'!B28 = 0, $E$556), "", 'Contact Summary'!B28)</f>
        <v/>
      </c>
      <c r="E556" t="b">
        <f>OR('Contact Summary'!D5="TBD",'Contact Summary'!D5="NA",'Contact Summary'!D5="N/A")</f>
        <v>0</v>
      </c>
    </row>
    <row r="557" spans="2:5">
      <c r="B557" t="s">
        <v>4123</v>
      </c>
      <c r="C557" t="str">
        <f>IF(OR('Contact Summary'!B29 = 0, $E$557), "", 'Contact Summary'!B29)</f>
        <v/>
      </c>
      <c r="E557" t="b">
        <f>OR('Contact Summary'!E5="TBD",'Contact Summary'!E5="NA",'Contact Summary'!E5="N/A")</f>
        <v>0</v>
      </c>
    </row>
    <row r="558" spans="2:5">
      <c r="B558" t="s">
        <v>4124</v>
      </c>
      <c r="C558" t="str">
        <f>IF(OR('Contact Summary'!B30 = 0, $E$558), "", 'Contact Summary'!B30)</f>
        <v/>
      </c>
      <c r="E558" t="b">
        <f>OR('Contact Summary'!F5="TBD",'Contact Summary'!F5="NA",'Contact Summary'!F5="N/A")</f>
        <v>0</v>
      </c>
    </row>
    <row r="559" spans="2:5">
      <c r="B559" t="s">
        <v>4125</v>
      </c>
      <c r="C559" t="str">
        <f>IF(OR('Contact Summary'!B31 = 0, $E$559), "", 'Contact Summary'!B31)</f>
        <v/>
      </c>
      <c r="E559" t="b">
        <f>OR('Contact Summary'!G5="TBD",'Contact Summary'!G5="NA",'Contact Summary'!G5="N/A")</f>
        <v>0</v>
      </c>
    </row>
    <row r="560" spans="2:5">
      <c r="B560" t="s">
        <v>4126</v>
      </c>
      <c r="C560" t="str">
        <f>IF(OR('Contact Summary'!B32 = 0, $E$560), "", 'Contact Summary'!B32)</f>
        <v/>
      </c>
      <c r="E560" t="b">
        <f>OR('Contact Summary'!H5="TBD",'Contact Summary'!H5="NA",'Contact Summary'!H5="N/A")</f>
        <v>0</v>
      </c>
    </row>
    <row r="561" spans="2:5">
      <c r="B561" t="s">
        <v>4130</v>
      </c>
      <c r="C561" t="str">
        <f>IF(OR('Contact Summary'!B33 = 0, $E$561), "", 'Contact Summary'!B33)</f>
        <v/>
      </c>
      <c r="E561" t="b">
        <f>OR('Contact Summary'!I5="TBD",'Contact Summary'!I5="NA",'Contact Summary'!I5="N/A")</f>
        <v>0</v>
      </c>
    </row>
    <row r="562" spans="2:5">
      <c r="B562" t="s">
        <v>4129</v>
      </c>
      <c r="C562" t="str">
        <f>IF(OR('Contact Summary'!B34 = 0, $E$562), "", 'Contact Summary'!B34)</f>
        <v/>
      </c>
      <c r="E562" t="b">
        <f>OR('Contact Summary'!J5="TBD",'Contact Summary'!J5="NA",'Contact Summary'!J5="N/A")</f>
        <v>0</v>
      </c>
    </row>
    <row r="563" spans="2:5">
      <c r="B563" t="s">
        <v>4128</v>
      </c>
      <c r="C563">
        <f>'Contact Information'!B35</f>
        <v>0</v>
      </c>
    </row>
    <row r="564" spans="2:5">
      <c r="B564" t="s">
        <v>4127</v>
      </c>
      <c r="C564">
        <f>'Contact Information'!B36</f>
        <v>0</v>
      </c>
    </row>
    <row r="565" spans="2:5">
      <c r="B565" s="1055" t="s">
        <v>2043</v>
      </c>
      <c r="C565" s="319" t="str">
        <f>IF(OR('Contact Summary'!B9 = 0, $E$565), "", 'Contact Summary'!B9)</f>
        <v/>
      </c>
      <c r="D565" t="s">
        <v>2044</v>
      </c>
      <c r="E565" t="b">
        <f>OR('Contact Summary'!B9="TBD",'Contact Summary'!B9="NA",'Contact Summary'!B9="N/A")</f>
        <v>0</v>
      </c>
    </row>
    <row r="566" spans="2:5">
      <c r="B566" t="s">
        <v>2045</v>
      </c>
      <c r="C566" s="319" t="str">
        <f>IF(OR('Contact Summary'!G9 = 0, $E$566), "", 'Contact Summary'!G9)</f>
        <v/>
      </c>
      <c r="D566" t="s">
        <v>2046</v>
      </c>
      <c r="E566" t="b">
        <f>OR('Contact Summary'!G9="TBD",'Contact Summary'!G9="NA",'Contact Summary'!G9="N/A")</f>
        <v>0</v>
      </c>
    </row>
    <row r="567" spans="2:5">
      <c r="B567" t="s">
        <v>2047</v>
      </c>
      <c r="C567" s="319" t="str">
        <f>IF(OR('Contact Summary'!H9 = 0, $E$567), "", 'Contact Summary'!H9)</f>
        <v/>
      </c>
      <c r="D567" t="s">
        <v>2048</v>
      </c>
      <c r="E567" t="b">
        <f>OR('Contact Summary'!H9="TBD",'Contact Summary'!H9="NA",'Contact Summary'!H9="N/A")</f>
        <v>0</v>
      </c>
    </row>
    <row r="568" spans="2:5">
      <c r="B568" t="s">
        <v>2049</v>
      </c>
      <c r="C568" s="319" t="str">
        <f>IF(OR('Contact Summary'!C9 = 0, $E$568), "", 'Contact Summary'!C9)</f>
        <v/>
      </c>
      <c r="D568" t="s">
        <v>2050</v>
      </c>
      <c r="E568" t="b">
        <f>OR('Contact Summary'!C9="TBD",'Contact Summary'!C9="NA",'Contact Summary'!C9="N/A")</f>
        <v>0</v>
      </c>
    </row>
    <row r="569" spans="2:5">
      <c r="B569" t="s">
        <v>2051</v>
      </c>
      <c r="C569" s="319" t="str">
        <f>IF(OR('Contact Summary'!D9 = 0, $E$569), "", 'Contact Summary'!D9)</f>
        <v/>
      </c>
      <c r="D569" t="s">
        <v>2052</v>
      </c>
      <c r="E569" t="b">
        <f>OR('Contact Summary'!D9="TBD",'Contact Summary'!D9="NA",'Contact Summary'!D9="N/A")</f>
        <v>0</v>
      </c>
    </row>
    <row r="570" spans="2:5">
      <c r="B570" t="s">
        <v>2053</v>
      </c>
      <c r="C570" s="14" t="str">
        <f>IF(OR('Contact Summary'!E9 = 0, $E$570), "", 'Contact Summary'!E9)</f>
        <v/>
      </c>
      <c r="D570" t="s">
        <v>2054</v>
      </c>
      <c r="E570" t="b">
        <f>OR('Contact Summary'!E9="TBD",'Contact Summary'!E9="NA",'Contact Summary'!E9="N/A")</f>
        <v>0</v>
      </c>
    </row>
    <row r="571" spans="2:5">
      <c r="B571" t="s">
        <v>2055</v>
      </c>
      <c r="C571" s="319" t="str">
        <f>IF(OR('Contact Summary'!F9 = 0, $E$571), "", 'Contact Summary'!F9)</f>
        <v/>
      </c>
      <c r="D571" t="s">
        <v>2056</v>
      </c>
      <c r="E571" t="b">
        <f>OR('Contact Summary'!F9="TBD",'Contact Summary'!F9="NA",'Contact Summary'!F9="N/A")</f>
        <v>0</v>
      </c>
    </row>
    <row r="572" spans="2:5">
      <c r="B572" t="s">
        <v>2057</v>
      </c>
      <c r="C572" s="319" t="str">
        <f>IF('Contact Information'!B113= "","", 'Contact Information'!B113)</f>
        <v/>
      </c>
      <c r="D572" t="s">
        <v>2058</v>
      </c>
    </row>
    <row r="573" spans="2:5">
      <c r="B573" t="s">
        <v>2059</v>
      </c>
      <c r="C573" s="319" t="str">
        <f>IF(OR('Contact Summary'!I9 = 0, $E$573), "", 'Contact Summary'!I9)</f>
        <v/>
      </c>
      <c r="D573" t="s">
        <v>2060</v>
      </c>
      <c r="E573" t="b">
        <f>OR('Contact Summary'!I9="TBD",'Contact Summary'!I9="NA",'Contact Summary'!I9="N/A")</f>
        <v>0</v>
      </c>
    </row>
    <row r="574" spans="2:5">
      <c r="B574" t="s">
        <v>2061</v>
      </c>
      <c r="C574" s="319" t="str">
        <f>IF(OR('Contact Summary'!J9 = 0, $E$574), "", 'Contact Summary'!J9)</f>
        <v/>
      </c>
      <c r="D574" t="s">
        <v>2062</v>
      </c>
      <c r="E574" t="b">
        <f>OR('Contact Summary'!J9="TBD",'Contact Summary'!J9="NA",'Contact Summary'!J9="N/A")</f>
        <v>0</v>
      </c>
    </row>
    <row r="575" spans="2:5">
      <c r="B575" t="s">
        <v>2063</v>
      </c>
      <c r="C575" s="319" t="str">
        <f>IF(OR('Contact Summary'!I9 = 0, $E$575), "", 'Contact Summary'!I9)</f>
        <v/>
      </c>
      <c r="E575" t="b">
        <f>OR('Contact Summary'!I9="TBD",'Contact Summary'!I9="NA",'Contact Summary'!I9="N/A")</f>
        <v>0</v>
      </c>
    </row>
    <row r="576" spans="2:5" ht="28.8">
      <c r="B576" s="9" t="s">
        <v>150</v>
      </c>
      <c r="C576">
        <f>'Contact Information'!B111</f>
        <v>0</v>
      </c>
    </row>
    <row r="577" spans="2:5">
      <c r="B577" t="s">
        <v>2064</v>
      </c>
      <c r="C577" t="e">
        <f>'Contact Information'!#REF!</f>
        <v>#REF!</v>
      </c>
    </row>
    <row r="578" spans="2:5">
      <c r="B578" t="s">
        <v>2065</v>
      </c>
      <c r="C578" t="e">
        <f>'Contact Information'!#REF!</f>
        <v>#REF!</v>
      </c>
    </row>
    <row r="579" spans="2:5" ht="12.6" customHeight="1">
      <c r="B579" t="s">
        <v>2066</v>
      </c>
      <c r="C579" s="319" t="b">
        <f>'Contact Information'!B129= "Yes"</f>
        <v>0</v>
      </c>
      <c r="D579" t="s">
        <v>2067</v>
      </c>
    </row>
    <row r="580" spans="2:5">
      <c r="B580" t="s">
        <v>2068</v>
      </c>
      <c r="C580" s="319" t="str">
        <f>CONCATENATE('Contact Summary'!G13, "", 'Contact Summary'!H13)</f>
        <v>00</v>
      </c>
      <c r="D580" t="s">
        <v>2069</v>
      </c>
    </row>
    <row r="581" spans="2:5">
      <c r="B581" t="s">
        <v>2070</v>
      </c>
      <c r="C581" s="319" t="str">
        <f>CONCATENATE('Contact Summary'!B13)</f>
        <v>0</v>
      </c>
      <c r="D581" t="s">
        <v>2071</v>
      </c>
    </row>
    <row r="582" spans="2:5">
      <c r="B582" t="s">
        <v>2072</v>
      </c>
      <c r="C582" s="319" t="str">
        <f>CONCATENATE('Contact Summary'!G14, " ", 'Contact Summary'!H14)</f>
        <v>0 0</v>
      </c>
      <c r="D582" t="s">
        <v>2073</v>
      </c>
    </row>
    <row r="583" spans="2:5">
      <c r="B583" t="s">
        <v>2074</v>
      </c>
      <c r="C583" s="319" t="str">
        <f>CONCATENATE('Contact Summary'!B14)</f>
        <v>0</v>
      </c>
      <c r="D583" t="s">
        <v>2075</v>
      </c>
    </row>
    <row r="584" spans="2:5">
      <c r="B584" t="s">
        <v>2076</v>
      </c>
      <c r="C584" s="319" t="str">
        <f>CONCATENATE('Contact Summary'!J14)</f>
        <v>0</v>
      </c>
    </row>
    <row r="585" spans="2:5">
      <c r="B585" t="s">
        <v>2077</v>
      </c>
      <c r="C585" s="319" t="str">
        <f>CONCATENATE('Contact Summary'!I14)</f>
        <v>0</v>
      </c>
    </row>
    <row r="586" spans="2:5">
      <c r="B586" s="1055" t="s">
        <v>2078</v>
      </c>
      <c r="C586" t="str">
        <f>IF(OR('Contact Summary'!G16=0,$E$586)," ",'Contact Summary'!G16)&amp; IF(OR('Contact Summary'!H16=0,$E$586)," ",'Contact Summary'!H16)</f>
        <v xml:space="preserve">  </v>
      </c>
      <c r="D586" t="s">
        <v>2079</v>
      </c>
      <c r="E586" t="b">
        <f>OR('Contact Summary'!G16="TBD",'Contact Summary'!G16="NA",'Contact Summary'!G16="N/A",'Contact Summary'!H16="TBD",'Contact Summary'!H16="NA",'Contact Summary'!H16="N/A")</f>
        <v>0</v>
      </c>
    </row>
    <row r="587" spans="2:5">
      <c r="B587" s="1055" t="s">
        <v>2080</v>
      </c>
      <c r="C587" s="319" t="str">
        <f>IF(OR('Contact Summary'!B16 = 0, $E$587), "", 'Contact Summary'!B16)</f>
        <v/>
      </c>
      <c r="D587" t="s">
        <v>2081</v>
      </c>
      <c r="E587" t="b">
        <f>OR('Contact Summary'!B16="TBD",'Contact Summary'!B16="NA",'Contact Summary'!B16="N/A")</f>
        <v>0</v>
      </c>
    </row>
    <row r="588" spans="2:5">
      <c r="B588" t="s">
        <v>2082</v>
      </c>
      <c r="C588" s="319" t="str">
        <f>CONCATENATE('Contact Summary'!G20, " ", 'Contact Summary'!H20)</f>
        <v>0 0</v>
      </c>
      <c r="D588" t="s">
        <v>2083</v>
      </c>
    </row>
    <row r="589" spans="2:5">
      <c r="B589" t="s">
        <v>2084</v>
      </c>
      <c r="C589" s="319" t="str">
        <f>CONCATENATE('Contact Summary'!B20)</f>
        <v>0</v>
      </c>
      <c r="D589" t="s">
        <v>2085</v>
      </c>
    </row>
    <row r="590" spans="2:5">
      <c r="B590" t="s">
        <v>2086</v>
      </c>
      <c r="C590" s="319" t="str">
        <f>CONCATENATE('Contact Summary'!G21, " ", 'Contact Summary'!H21)</f>
        <v>0 0</v>
      </c>
      <c r="D590" t="s">
        <v>2087</v>
      </c>
    </row>
    <row r="591" spans="2:5">
      <c r="B591" t="s">
        <v>2088</v>
      </c>
      <c r="C591" s="319" t="str">
        <f>CONCATENATE('Contact Summary'!B21)</f>
        <v>0</v>
      </c>
      <c r="D591" t="s">
        <v>2089</v>
      </c>
    </row>
    <row r="592" spans="2:5">
      <c r="B592" t="s">
        <v>2090</v>
      </c>
      <c r="C592" s="319" t="str">
        <f>CONCATENATE('Contact Summary'!B10)</f>
        <v>0</v>
      </c>
      <c r="D592" t="s">
        <v>2091</v>
      </c>
    </row>
    <row r="593" spans="1:5">
      <c r="B593" t="s">
        <v>2092</v>
      </c>
      <c r="C593" s="319" t="str">
        <f>CONCATENATE('Contact Summary'!B7)</f>
        <v>0</v>
      </c>
      <c r="D593" t="s">
        <v>2093</v>
      </c>
    </row>
    <row r="594" spans="1:5">
      <c r="A594" t="s">
        <v>2094</v>
      </c>
      <c r="B594" s="1055" t="s">
        <v>2095</v>
      </c>
      <c r="C594" t="str">
        <f>IF(OR('Contact Summary'!B11 = 0, $E$594), "", 'Contact Summary'!B11)</f>
        <v/>
      </c>
      <c r="E594" t="b">
        <f>OR('Contact Summary'!B11="TBD",'Contact Summary'!B11="NA",'Contact Summary'!B11="N/A")</f>
        <v>0</v>
      </c>
    </row>
    <row r="595" spans="1:5">
      <c r="B595" t="s">
        <v>2096</v>
      </c>
      <c r="C595" s="319">
        <f>'Contact Summary'!B24</f>
        <v>0</v>
      </c>
    </row>
    <row r="596" spans="1:5">
      <c r="B596" s="1" t="s">
        <v>116</v>
      </c>
      <c r="C596" t="str">
        <f>CONCATENATE('Contact Summary'!B6)</f>
        <v>0</v>
      </c>
    </row>
    <row r="597" spans="1:5">
      <c r="B597" t="s">
        <v>117</v>
      </c>
      <c r="C597">
        <f>'Contact Summary'!G6</f>
        <v>0</v>
      </c>
    </row>
    <row r="598" spans="1:5">
      <c r="B598" t="s">
        <v>118</v>
      </c>
      <c r="C598">
        <f>'Contact Summary'!H6</f>
        <v>0</v>
      </c>
    </row>
    <row r="599" spans="1:5">
      <c r="B599" t="s">
        <v>119</v>
      </c>
      <c r="C599">
        <f>'Contact Summary'!I6</f>
        <v>0</v>
      </c>
    </row>
    <row r="600" spans="1:5">
      <c r="B600" t="s">
        <v>120</v>
      </c>
      <c r="C600">
        <f>'Contact Summary'!J6</f>
        <v>0</v>
      </c>
    </row>
    <row r="601" spans="1:5" ht="28.8">
      <c r="B601" s="9" t="s">
        <v>150</v>
      </c>
      <c r="C601" t="str">
        <f>CONCATENATE('Contact Information'!B75)</f>
        <v/>
      </c>
    </row>
    <row r="602" spans="1:5">
      <c r="B602" t="s">
        <v>2097</v>
      </c>
      <c r="C602" t="str">
        <f>CONCATENATE('Contact Information'!B76)</f>
        <v/>
      </c>
    </row>
    <row r="603" spans="1:5">
      <c r="B603" t="s">
        <v>2098</v>
      </c>
      <c r="C603" t="str">
        <f>CONCATENATE('Contact Information'!B77)</f>
        <v/>
      </c>
    </row>
    <row r="604" spans="1:5">
      <c r="A604" t="s">
        <v>2099</v>
      </c>
      <c r="B604" s="1055" t="s">
        <v>116</v>
      </c>
      <c r="C604" t="str">
        <f>IF(OR('Contact Summary'!B12 = 0, $E$604), "", 'Contact Summary'!B12)</f>
        <v/>
      </c>
      <c r="E604" t="b">
        <f>OR('Contact Summary'!B12="TBD",'Contact Summary'!B12="NA",'Contact Summary'!B12="N/A")</f>
        <v>0</v>
      </c>
    </row>
    <row r="605" spans="1:5">
      <c r="B605" t="s">
        <v>117</v>
      </c>
      <c r="C605" t="str">
        <f>IF(OR('Contact Summary'!G12 = 0, $E$605), "", 'Contact Summary'!G12)</f>
        <v/>
      </c>
      <c r="E605" t="b">
        <f>OR('Contact Summary'!G12="TBD",'Contact Summary'!G12="NA",'Contact Summary'!G12="N/A")</f>
        <v>0</v>
      </c>
    </row>
    <row r="606" spans="1:5">
      <c r="B606" t="s">
        <v>118</v>
      </c>
      <c r="C606" t="str">
        <f>IF(OR('Contact Summary'!H12 = 0, $E$606), "", 'Contact Summary'!H12)</f>
        <v/>
      </c>
      <c r="E606" t="b">
        <f>OR('Contact Summary'!H12="TBD",'Contact Summary'!H12="NA",'Contact Summary'!H12="N/A")</f>
        <v>0</v>
      </c>
    </row>
    <row r="607" spans="1:5">
      <c r="B607" t="s">
        <v>119</v>
      </c>
      <c r="C607" t="str">
        <f>IF(OR('Contact Summary'!I12 = 0, $E$607), "", 'Contact Summary'!I12)</f>
        <v/>
      </c>
      <c r="E607" t="b">
        <f>OR('Contact Summary'!I12="TBD",'Contact Summary'!I12="NA",'Contact Summary'!I12="N/A")</f>
        <v>0</v>
      </c>
    </row>
    <row r="608" spans="1:5">
      <c r="B608" t="s">
        <v>120</v>
      </c>
      <c r="C608" t="str">
        <f>IF(OR('Contact Summary'!J12 = 0, $E$608), "", 'Contact Summary'!J12)</f>
        <v/>
      </c>
      <c r="E608" t="b">
        <f>OR('Contact Summary'!J12="TBD",'Contact Summary'!J12="NA",'Contact Summary'!J12="N/A")</f>
        <v>0</v>
      </c>
    </row>
    <row r="609" spans="1:5" ht="28.8">
      <c r="B609" s="9" t="s">
        <v>150</v>
      </c>
      <c r="C609" t="str">
        <f>CONCATENATE('Contact Information'!B167)</f>
        <v/>
      </c>
    </row>
    <row r="610" spans="1:5">
      <c r="B610" t="s">
        <v>2100</v>
      </c>
      <c r="C610" t="str">
        <f>CONCATENATE('Contact Information'!B168)</f>
        <v/>
      </c>
    </row>
    <row r="611" spans="1:5">
      <c r="B611" t="s">
        <v>2101</v>
      </c>
      <c r="C611" t="str">
        <f>CONCATENATE('Contact Information'!B169)</f>
        <v/>
      </c>
    </row>
    <row r="612" spans="1:5">
      <c r="A612" t="s">
        <v>2102</v>
      </c>
      <c r="B612" s="1" t="s">
        <v>116</v>
      </c>
      <c r="C612">
        <f>'Contact Summary'!B7</f>
        <v>0</v>
      </c>
    </row>
    <row r="613" spans="1:5">
      <c r="B613" s="1" t="s">
        <v>117</v>
      </c>
      <c r="C613">
        <f>'Contact Summary'!G7</f>
        <v>0</v>
      </c>
    </row>
    <row r="614" spans="1:5">
      <c r="B614" s="1" t="s">
        <v>118</v>
      </c>
      <c r="C614">
        <f>'Contact Summary'!H7</f>
        <v>0</v>
      </c>
    </row>
    <row r="615" spans="1:5">
      <c r="B615" s="344" t="s">
        <v>119</v>
      </c>
      <c r="C615" s="92">
        <f>'Contact Summary'!I7</f>
        <v>0</v>
      </c>
    </row>
    <row r="616" spans="1:5">
      <c r="B616" s="1" t="s">
        <v>120</v>
      </c>
      <c r="C616">
        <f>'Contact Summary'!J7</f>
        <v>0</v>
      </c>
    </row>
    <row r="617" spans="1:5">
      <c r="B617" s="1056" t="s">
        <v>116</v>
      </c>
      <c r="C617" t="str">
        <f>IF(OR('Contact Summary'!B8 = 0, $E$617), "", 'Contact Summary'!B8)</f>
        <v/>
      </c>
      <c r="E617" t="b">
        <f>OR('Contact Summary'!B8="TBD",'Contact Summary'!B8="NA",'Contact Summary'!B8="N/A")</f>
        <v>0</v>
      </c>
    </row>
    <row r="618" spans="1:5">
      <c r="B618" s="1" t="s">
        <v>117</v>
      </c>
      <c r="C618" t="str">
        <f>IF(OR('Contact Summary'!G8 = 0, $E$618), "", 'Contact Summary'!G8)</f>
        <v/>
      </c>
      <c r="E618" t="b">
        <f>OR('Contact Summary'!G8="TBD",'Contact Summary'!G8="NA",'Contact Summary'!G8="N/A")</f>
        <v>0</v>
      </c>
    </row>
    <row r="619" spans="1:5">
      <c r="B619" s="1" t="s">
        <v>118</v>
      </c>
      <c r="C619" t="str">
        <f>IF(OR('Contact Summary'!H8 = 0, $E$619), "", 'Contact Summary'!H8)</f>
        <v/>
      </c>
      <c r="E619" t="b">
        <f>OR('Contact Summary'!H8="TBD",'Contact Summary'!H8="NA",'Contact Summary'!H8="N/A")</f>
        <v>0</v>
      </c>
    </row>
    <row r="620" spans="1:5">
      <c r="B620" s="344" t="s">
        <v>119</v>
      </c>
      <c r="C620" s="92" t="str">
        <f>IF(OR('Contact Summary'!I8 = 0, $E$620), "", 'Contact Summary'!I8)</f>
        <v/>
      </c>
      <c r="E620" t="b">
        <f>OR('Contact Summary'!I8="TBD",'Contact Summary'!I8="NA",'Contact Summary'!I8="N/A")</f>
        <v>0</v>
      </c>
    </row>
    <row r="621" spans="1:5">
      <c r="B621" s="1" t="s">
        <v>120</v>
      </c>
      <c r="C621" t="str">
        <f>IF(OR('Contact Summary'!J8 = 0, $E$621), "", 'Contact Summary'!J8)</f>
        <v/>
      </c>
      <c r="E621" t="b">
        <f>OR('Contact Summary'!J8="TBD",'Contact Summary'!J8="NA",'Contact Summary'!J8="N/A")</f>
        <v>0</v>
      </c>
    </row>
    <row r="622" spans="1:5">
      <c r="B622" s="1056" t="s">
        <v>116</v>
      </c>
      <c r="C622" t="str">
        <f>IF(OR('Contact Summary'!B11 = 0, $E$622), "", 'Contact Summary'!B11)</f>
        <v/>
      </c>
      <c r="E622" t="b">
        <f>OR('Contact Summary'!B11="TBD",'Contact Summary'!B11="NA",'Contact Summary'!B11="N/A")</f>
        <v>0</v>
      </c>
    </row>
    <row r="623" spans="1:5">
      <c r="B623" s="1" t="s">
        <v>117</v>
      </c>
      <c r="C623" t="str">
        <f>IF(OR('Contact Summary'!G11 = 0, $E$623), "", 'Contact Summary'!G11)</f>
        <v/>
      </c>
      <c r="E623" t="b">
        <f>OR('Contact Summary'!G11="TBD",'Contact Summary'!G11="NA",'Contact Summary'!G11="N/A")</f>
        <v>0</v>
      </c>
    </row>
    <row r="624" spans="1:5">
      <c r="B624" s="1" t="s">
        <v>118</v>
      </c>
      <c r="C624" t="str">
        <f>IF(OR('Contact Summary'!H11 = 0, $E$624), "", 'Contact Summary'!H11)</f>
        <v/>
      </c>
      <c r="E624" t="b">
        <f>OR('Contact Summary'!H11="TBD",'Contact Summary'!H11="NA",'Contact Summary'!H11="N/A")</f>
        <v>0</v>
      </c>
    </row>
    <row r="625" spans="2:5">
      <c r="B625" s="344" t="s">
        <v>119</v>
      </c>
      <c r="C625" s="92" t="str">
        <f>IF(OR('Contact Summary'!I11 = 0, $E$625), "", 'Contact Summary'!I11)</f>
        <v/>
      </c>
      <c r="E625" t="b">
        <f>OR('Contact Summary'!I11="TBD",'Contact Summary'!I11="NA",'Contact Summary'!I11="N/A")</f>
        <v>0</v>
      </c>
    </row>
    <row r="626" spans="2:5">
      <c r="B626" s="1" t="s">
        <v>120</v>
      </c>
      <c r="C626" t="str">
        <f>IF(OR('Contact Summary'!J11 = 0, $E$626), "", 'Contact Summary'!J11)</f>
        <v/>
      </c>
      <c r="E626" t="b">
        <f>OR('Contact Summary'!J11="TBD",'Contact Summary'!J11="NA",'Contact Summary'!J11="N/A")</f>
        <v>0</v>
      </c>
    </row>
    <row r="627" spans="2:5">
      <c r="B627" s="1" t="s">
        <v>116</v>
      </c>
      <c r="C627">
        <f>'Contact Summary'!B13</f>
        <v>0</v>
      </c>
    </row>
    <row r="628" spans="2:5">
      <c r="B628" s="1" t="s">
        <v>117</v>
      </c>
      <c r="C628">
        <f>'Contact Summary'!G13</f>
        <v>0</v>
      </c>
    </row>
    <row r="629" spans="2:5">
      <c r="B629" s="1" t="s">
        <v>118</v>
      </c>
      <c r="C629">
        <f>'Contact Summary'!H13</f>
        <v>0</v>
      </c>
    </row>
    <row r="630" spans="2:5">
      <c r="B630" s="344" t="s">
        <v>119</v>
      </c>
      <c r="C630">
        <f>'Contact Summary'!J13</f>
        <v>0</v>
      </c>
    </row>
    <row r="631" spans="2:5">
      <c r="B631" s="1" t="s">
        <v>120</v>
      </c>
      <c r="C631">
        <f>'Contact Summary'!J13</f>
        <v>0</v>
      </c>
    </row>
    <row r="632" spans="2:5" ht="28.8">
      <c r="B632" s="9" t="s">
        <v>150</v>
      </c>
      <c r="C632" t="str">
        <f>CONCATENATE('Contact Information'!B181)</f>
        <v/>
      </c>
    </row>
    <row r="633" spans="2:5">
      <c r="B633" t="s">
        <v>2103</v>
      </c>
      <c r="C633" t="str">
        <f>CONCATENATE('Contact Information'!B182)</f>
        <v/>
      </c>
    </row>
    <row r="634" spans="2:5">
      <c r="B634" t="s">
        <v>2104</v>
      </c>
      <c r="C634" t="str">
        <f>CONCATENATE('Contact Information'!B183)</f>
        <v/>
      </c>
    </row>
    <row r="635" spans="2:5">
      <c r="B635" s="1" t="s">
        <v>116</v>
      </c>
      <c r="C635">
        <f>'Contact Summary'!B14</f>
        <v>0</v>
      </c>
    </row>
    <row r="636" spans="2:5">
      <c r="B636" s="1" t="s">
        <v>117</v>
      </c>
      <c r="C636">
        <f>'Contact Summary'!G14</f>
        <v>0</v>
      </c>
    </row>
    <row r="637" spans="2:5">
      <c r="B637" s="1" t="s">
        <v>118</v>
      </c>
      <c r="C637">
        <f>'Contact Summary'!H14</f>
        <v>0</v>
      </c>
    </row>
    <row r="638" spans="2:5">
      <c r="B638" s="344" t="s">
        <v>119</v>
      </c>
      <c r="C638" s="92">
        <f>'Contact Summary'!I14</f>
        <v>0</v>
      </c>
    </row>
    <row r="639" spans="2:5">
      <c r="B639" s="1" t="s">
        <v>120</v>
      </c>
      <c r="C639">
        <f>'Contact Summary'!J14</f>
        <v>0</v>
      </c>
    </row>
    <row r="640" spans="2:5">
      <c r="B640" t="s">
        <v>4077</v>
      </c>
      <c r="C640">
        <f>'Contact Information'!B196</f>
        <v>0</v>
      </c>
    </row>
    <row r="641" spans="2:5">
      <c r="B641" t="s">
        <v>4078</v>
      </c>
      <c r="C641">
        <f>'Contact Information'!B197</f>
        <v>0</v>
      </c>
    </row>
    <row r="642" spans="2:5">
      <c r="B642" s="1056" t="s">
        <v>116</v>
      </c>
      <c r="C642" t="str">
        <f>IF(OR('Contact Summary'!B16 = 0, $E$642), "", 'Contact Summary'!B16)</f>
        <v/>
      </c>
      <c r="E642" t="b">
        <f>OR('Contact Summary'!B16="TBD",'Contact Summary'!B16="NA",'Contact Summary'!B16="N/A")</f>
        <v>0</v>
      </c>
    </row>
    <row r="643" spans="2:5">
      <c r="B643" s="1" t="s">
        <v>117</v>
      </c>
      <c r="C643" t="str">
        <f>IF(OR('Contact Summary'!G16 = 0, $E$643), "", 'Contact Summary'!G16)</f>
        <v/>
      </c>
      <c r="E643" t="b">
        <f>OR('Contact Summary'!G16="TBD",'Contact Summary'!G16="NA",'Contact Summary'!G16="N/A")</f>
        <v>0</v>
      </c>
    </row>
    <row r="644" spans="2:5">
      <c r="B644" s="1" t="s">
        <v>118</v>
      </c>
      <c r="C644" t="str">
        <f>IF(OR('Contact Summary'!H16 = 0, $E$644), "", 'Contact Summary'!H16)</f>
        <v/>
      </c>
      <c r="E644" t="b">
        <f>OR('Contact Summary'!H16="TBD",'Contact Summary'!H16="NA",'Contact Summary'!H16="N/A")</f>
        <v>0</v>
      </c>
    </row>
    <row r="645" spans="2:5">
      <c r="B645" s="344" t="s">
        <v>119</v>
      </c>
      <c r="C645" s="92" t="str">
        <f>IF(OR('Contact Summary'!I16 = 0, $E$645), "", 'Contact Summary'!I16)</f>
        <v/>
      </c>
      <c r="E645" t="b">
        <f>OR('Contact Summary'!I16="TBD",'Contact Summary'!I16="NA",'Contact Summary'!I16="N/A")</f>
        <v>0</v>
      </c>
    </row>
    <row r="646" spans="2:5">
      <c r="B646" s="1" t="s">
        <v>120</v>
      </c>
      <c r="C646" s="319" t="str">
        <f>IF(OR('Contact Summary'!J16 = 0, $E$646), "", 'Contact Summary'!J16)</f>
        <v/>
      </c>
      <c r="E646" t="b">
        <f>OR('Contact Summary'!J16="TBD",'Contact Summary'!J16="NA",'Contact Summary'!J16="N/A")</f>
        <v>0</v>
      </c>
    </row>
    <row r="647" spans="2:5">
      <c r="B647" s="1056" t="s">
        <v>116</v>
      </c>
      <c r="C647" t="str">
        <f>IF(OR('Contact Summary'!B17 = 0, $E$647), "", 'Contact Summary'!B17)</f>
        <v/>
      </c>
      <c r="E647" t="b">
        <f>OR('Contact Summary'!B17="TBD",'Contact Summary'!B17="NA",'Contact Summary'!B17="N/A")</f>
        <v>0</v>
      </c>
    </row>
    <row r="648" spans="2:5">
      <c r="B648" s="1" t="s">
        <v>117</v>
      </c>
      <c r="C648" t="str">
        <f>IF(OR('Contact Summary'!G17 = 0, $E$648), "", 'Contact Summary'!G17)</f>
        <v/>
      </c>
      <c r="E648" t="b">
        <f>OR('Contact Summary'!G17="TBD",'Contact Summary'!G17="NA",'Contact Summary'!G17="N/A")</f>
        <v>0</v>
      </c>
    </row>
    <row r="649" spans="2:5">
      <c r="B649" s="1" t="s">
        <v>118</v>
      </c>
      <c r="C649" t="str">
        <f>IF(OR('Contact Summary'!H17 = 0, $E$649), "", 'Contact Summary'!H17)</f>
        <v/>
      </c>
      <c r="E649" t="b">
        <f>OR('Contact Summary'!H17="TBD",'Contact Summary'!H17="NA",'Contact Summary'!H17="N/A")</f>
        <v>0</v>
      </c>
    </row>
    <row r="650" spans="2:5">
      <c r="B650" s="344" t="s">
        <v>119</v>
      </c>
      <c r="C650" s="92" t="str">
        <f>IF(OR('Contact Summary'!I17 = 0, $E$650), "", 'Contact Summary'!I17)</f>
        <v/>
      </c>
      <c r="E650" t="b">
        <f>OR('Contact Summary'!I17="TBD",'Contact Summary'!I17="NA",'Contact Summary'!I17="N/A")</f>
        <v>0</v>
      </c>
    </row>
    <row r="651" spans="2:5">
      <c r="B651" s="1" t="s">
        <v>120</v>
      </c>
      <c r="C651" t="str">
        <f>IF(OR('Contact Summary'!J17 = 0, $E$651), "", 'Contact Summary'!J17)</f>
        <v/>
      </c>
      <c r="E651" t="b">
        <f>OR('Contact Summary'!J17="TBD",'Contact Summary'!J17="NA",'Contact Summary'!J17="N/A")</f>
        <v>0</v>
      </c>
    </row>
    <row r="652" spans="2:5">
      <c r="B652" s="1056" t="s">
        <v>2105</v>
      </c>
    </row>
    <row r="653" spans="2:5">
      <c r="B653" s="1" t="s">
        <v>116</v>
      </c>
      <c r="C653" t="str">
        <f>IF(OR('Contact Summary'!B18 = 0, $E$653), "", 'Contact Summary'!B18)</f>
        <v/>
      </c>
      <c r="E653" t="b">
        <f>OR('Contact Summary'!B18="TBD",'Contact Summary'!B18="NA",'Contact Summary'!B18="N/A")</f>
        <v>0</v>
      </c>
    </row>
    <row r="654" spans="2:5">
      <c r="B654" s="1" t="s">
        <v>117</v>
      </c>
      <c r="C654" t="str">
        <f>IF(OR('Contact Summary'!G18 = 0, $E$654), "", 'Contact Summary'!G18)</f>
        <v/>
      </c>
      <c r="E654" t="b">
        <f>OR('Contact Summary'!G18="TBD",'Contact Summary'!G18="NA",'Contact Summary'!G18="N/A")</f>
        <v>0</v>
      </c>
    </row>
    <row r="655" spans="2:5">
      <c r="B655" s="1" t="s">
        <v>118</v>
      </c>
      <c r="C655" t="str">
        <f>IF(OR('Contact Summary'!H18 = 0, $E$655), "", 'Contact Summary'!H18)</f>
        <v/>
      </c>
      <c r="E655" t="b">
        <f>OR('Contact Summary'!H18="TBD",'Contact Summary'!H18="NA",'Contact Summary'!H18="N/A")</f>
        <v>0</v>
      </c>
    </row>
    <row r="656" spans="2:5">
      <c r="B656" s="344" t="s">
        <v>119</v>
      </c>
      <c r="C656" s="92" t="str">
        <f>IF(OR('Contact Summary'!I18 = 0, $E$656), "", 'Contact Summary'!I18)</f>
        <v/>
      </c>
      <c r="E656" t="b">
        <f>OR('Contact Summary'!I18="TBD",'Contact Summary'!I18="NA",'Contact Summary'!I18="N/A")</f>
        <v>0</v>
      </c>
    </row>
    <row r="657" spans="2:5">
      <c r="B657" s="1" t="s">
        <v>120</v>
      </c>
      <c r="C657" t="str">
        <f>IF(OR('Contact Summary'!J18 = 0, $E$657), "", 'Contact Summary'!J18)</f>
        <v/>
      </c>
      <c r="E657" t="b">
        <f>OR('Contact Summary'!J18="TBD",'Contact Summary'!J18="NA",'Contact Summary'!J18="N/A")</f>
        <v>0</v>
      </c>
    </row>
    <row r="658" spans="2:5">
      <c r="B658" s="1" t="s">
        <v>116</v>
      </c>
      <c r="C658">
        <f>'Contact Summary'!B19</f>
        <v>0</v>
      </c>
    </row>
    <row r="659" spans="2:5">
      <c r="B659" s="1" t="s">
        <v>117</v>
      </c>
      <c r="C659">
        <f>'Contact Summary'!G19</f>
        <v>0</v>
      </c>
    </row>
    <row r="660" spans="2:5">
      <c r="B660" s="1" t="s">
        <v>118</v>
      </c>
      <c r="C660">
        <f>'Contact Summary'!H19</f>
        <v>0</v>
      </c>
    </row>
    <row r="661" spans="2:5">
      <c r="B661" s="344" t="s">
        <v>119</v>
      </c>
      <c r="C661" s="92">
        <f>'Contact Summary'!I19</f>
        <v>0</v>
      </c>
    </row>
    <row r="662" spans="2:5">
      <c r="B662" s="1" t="s">
        <v>120</v>
      </c>
      <c r="C662">
        <f>'Contact Summary'!J19</f>
        <v>0</v>
      </c>
    </row>
    <row r="663" spans="2:5">
      <c r="B663" s="1" t="s">
        <v>116</v>
      </c>
      <c r="C663">
        <f>'Contact Summary'!B20</f>
        <v>0</v>
      </c>
    </row>
    <row r="664" spans="2:5">
      <c r="B664" s="1" t="s">
        <v>117</v>
      </c>
      <c r="C664">
        <f>'Contact Summary'!G20</f>
        <v>0</v>
      </c>
    </row>
    <row r="665" spans="2:5">
      <c r="B665" s="1" t="s">
        <v>118</v>
      </c>
      <c r="C665">
        <f>'Contact Summary'!H20</f>
        <v>0</v>
      </c>
    </row>
    <row r="666" spans="2:5">
      <c r="B666" s="344" t="s">
        <v>119</v>
      </c>
      <c r="C666" s="92">
        <f>'Contact Summary'!I20</f>
        <v>0</v>
      </c>
    </row>
    <row r="667" spans="2:5">
      <c r="B667" s="1" t="s">
        <v>120</v>
      </c>
      <c r="C667">
        <f>'Contact Summary'!J20</f>
        <v>0</v>
      </c>
    </row>
    <row r="668" spans="2:5">
      <c r="B668" s="1" t="s">
        <v>116</v>
      </c>
      <c r="C668">
        <f>'Contact Summary'!B21</f>
        <v>0</v>
      </c>
    </row>
    <row r="669" spans="2:5">
      <c r="B669" s="1" t="s">
        <v>117</v>
      </c>
      <c r="C669">
        <f>'Contact Summary'!G21</f>
        <v>0</v>
      </c>
    </row>
    <row r="670" spans="2:5">
      <c r="B670" s="1" t="s">
        <v>118</v>
      </c>
      <c r="C670">
        <f>'Contact Summary'!H21</f>
        <v>0</v>
      </c>
    </row>
    <row r="671" spans="2:5">
      <c r="B671" s="344" t="s">
        <v>119</v>
      </c>
      <c r="C671" s="92">
        <f>'Contact Summary'!I21</f>
        <v>0</v>
      </c>
    </row>
    <row r="672" spans="2:5">
      <c r="B672" s="1" t="s">
        <v>120</v>
      </c>
      <c r="C672">
        <f>'Contact Summary'!J21</f>
        <v>0</v>
      </c>
    </row>
    <row r="673" spans="2:5">
      <c r="B673" s="1" t="s">
        <v>116</v>
      </c>
      <c r="C673">
        <f>'Contact Summary'!B22</f>
        <v>0</v>
      </c>
    </row>
    <row r="674" spans="2:5">
      <c r="B674" s="1" t="s">
        <v>117</v>
      </c>
      <c r="C674">
        <f>'Contact Summary'!G22</f>
        <v>0</v>
      </c>
    </row>
    <row r="675" spans="2:5">
      <c r="B675" s="1" t="s">
        <v>118</v>
      </c>
      <c r="C675">
        <f>'Contact Summary'!H22</f>
        <v>0</v>
      </c>
    </row>
    <row r="676" spans="2:5">
      <c r="B676" s="344" t="s">
        <v>119</v>
      </c>
      <c r="C676" s="92">
        <f>'Contact Summary'!I22</f>
        <v>0</v>
      </c>
    </row>
    <row r="677" spans="2:5">
      <c r="B677" s="1" t="s">
        <v>120</v>
      </c>
      <c r="C677">
        <f>'Contact Summary'!J22</f>
        <v>0</v>
      </c>
    </row>
    <row r="678" spans="2:5">
      <c r="B678" s="1" t="s">
        <v>116</v>
      </c>
      <c r="C678">
        <f>'Contact Summary'!B24</f>
        <v>0</v>
      </c>
    </row>
    <row r="679" spans="2:5">
      <c r="B679" s="1" t="s">
        <v>117</v>
      </c>
      <c r="C679">
        <f>'Contact Summary'!G24</f>
        <v>0</v>
      </c>
    </row>
    <row r="680" spans="2:5">
      <c r="B680" s="1" t="s">
        <v>118</v>
      </c>
      <c r="C680">
        <f>'Contact Summary'!H24</f>
        <v>0</v>
      </c>
    </row>
    <row r="681" spans="2:5">
      <c r="B681" s="344" t="s">
        <v>119</v>
      </c>
      <c r="C681" s="92">
        <f>'Contact Summary'!I24</f>
        <v>0</v>
      </c>
    </row>
    <row r="682" spans="2:5">
      <c r="B682" s="1" t="s">
        <v>120</v>
      </c>
      <c r="C682">
        <f>'Contact Summary'!J24</f>
        <v>0</v>
      </c>
    </row>
    <row r="683" spans="2:5">
      <c r="B683" s="1056" t="s">
        <v>116</v>
      </c>
      <c r="C683" t="str">
        <f>IF(OR('Contact Summary'!B25 = 0, $E$683), "", 'Contact Summary'!B25)</f>
        <v/>
      </c>
      <c r="E683" t="b">
        <f>OR('Contact Summary'!B25="TBD",'Contact Summary'!B25="NA",'Contact Summary'!B25="N/A")</f>
        <v>0</v>
      </c>
    </row>
    <row r="684" spans="2:5">
      <c r="B684" s="1" t="s">
        <v>117</v>
      </c>
      <c r="C684" t="str">
        <f>IF(OR('Contact Summary'!G25 = 0, $E$684), "", 'Contact Summary'!G25)</f>
        <v/>
      </c>
      <c r="E684" t="b">
        <f>OR('Contact Summary'!G25="TBD",'Contact Summary'!G25="NA",'Contact Summary'!G25="N/A")</f>
        <v>0</v>
      </c>
    </row>
    <row r="685" spans="2:5">
      <c r="B685" s="1" t="s">
        <v>118</v>
      </c>
      <c r="C685" t="str">
        <f>IF(OR('Contact Summary'!H25 = 0, $E$685), "", 'Contact Summary'!H25)</f>
        <v/>
      </c>
      <c r="E685" t="b">
        <f>OR('Contact Summary'!H25="TBD",'Contact Summary'!H25="NA",'Contact Summary'!H25="N/A")</f>
        <v>0</v>
      </c>
    </row>
    <row r="686" spans="2:5">
      <c r="B686" s="344" t="s">
        <v>119</v>
      </c>
      <c r="C686" s="92" t="str">
        <f>IF(OR('Contact Summary'!I25 = 0, $E$686), "", 'Contact Summary'!I25)</f>
        <v/>
      </c>
      <c r="E686" t="b">
        <f>OR('Contact Summary'!I25="TBD",'Contact Summary'!I25="NA",'Contact Summary'!I25="N/A")</f>
        <v>0</v>
      </c>
    </row>
    <row r="687" spans="2:5">
      <c r="B687" s="1" t="s">
        <v>120</v>
      </c>
      <c r="C687" t="str">
        <f>IF(OR('Contact Summary'!J25 = 0, $E$687), "", 'Contact Summary'!J25)</f>
        <v/>
      </c>
      <c r="E687" t="b">
        <f>OR('Contact Summary'!J25="TBD",'Contact Summary'!J25="NA",'Contact Summary'!J25="N/A")</f>
        <v>0</v>
      </c>
    </row>
    <row r="688" spans="2:5">
      <c r="B688" s="1056" t="s">
        <v>116</v>
      </c>
      <c r="C688" t="str">
        <f>IF(OR('Contact Summary'!B26 = 0, $E$688), "", 'Contact Summary'!B26)</f>
        <v/>
      </c>
      <c r="E688" t="b">
        <f>OR('Contact Summary'!B26="TBD",'Contact Summary'!B26="NA",'Contact Summary'!B26="N/A")</f>
        <v>0</v>
      </c>
    </row>
    <row r="689" spans="2:5">
      <c r="B689" s="1" t="s">
        <v>117</v>
      </c>
      <c r="C689" t="str">
        <f>IF(OR('Contact Summary'!G26 = 0, $E$689), "", 'Contact Summary'!G26)</f>
        <v/>
      </c>
      <c r="E689" t="b">
        <f>OR('Contact Summary'!G26="TBD",'Contact Summary'!G26="NA",'Contact Summary'!G26="N/A")</f>
        <v>0</v>
      </c>
    </row>
    <row r="690" spans="2:5">
      <c r="B690" s="1" t="s">
        <v>118</v>
      </c>
      <c r="C690" t="str">
        <f>IF(OR('Contact Summary'!H26 = 0, $E$690), "", 'Contact Summary'!H26)</f>
        <v/>
      </c>
      <c r="E690" t="b">
        <f>OR('Contact Summary'!H26="TBD",'Contact Summary'!H26="NA",'Contact Summary'!H26="N/A")</f>
        <v>0</v>
      </c>
    </row>
    <row r="691" spans="2:5">
      <c r="B691" s="344" t="s">
        <v>119</v>
      </c>
      <c r="C691" s="92" t="str">
        <f>IF(OR('Contact Summary'!I26 = 0, $E$691), "", 'Contact Summary'!I26)</f>
        <v/>
      </c>
      <c r="E691" t="b">
        <f>OR('Contact Summary'!I26="TBD",'Contact Summary'!I26="NA",'Contact Summary'!I26="N/A")</f>
        <v>0</v>
      </c>
    </row>
    <row r="692" spans="2:5">
      <c r="B692" s="1" t="s">
        <v>120</v>
      </c>
      <c r="C692" t="str">
        <f>IF(OR('Contact Summary'!J26 = 0, $E$692), "", 'Contact Summary'!J26)</f>
        <v/>
      </c>
      <c r="E692" t="b">
        <f>OR('Contact Summary'!J26="TBD",'Contact Summary'!J26="NA",'Contact Summary'!J26="N/A")</f>
        <v>0</v>
      </c>
    </row>
    <row r="693" spans="2:5">
      <c r="B693" s="1056" t="s">
        <v>116</v>
      </c>
      <c r="C693" t="str">
        <f>IF(OR('Contact Summary'!B27 = 0, $E$693), "", 'Contact Summary'!B27)</f>
        <v/>
      </c>
      <c r="E693" t="b">
        <f>OR('Contact Summary'!B27="TBD",'Contact Summary'!B27="NA",'Contact Summary'!B27="N/A")</f>
        <v>0</v>
      </c>
    </row>
    <row r="694" spans="2:5">
      <c r="B694" s="1" t="s">
        <v>117</v>
      </c>
      <c r="C694" t="str">
        <f>IF(OR('Contact Summary'!G27 = 0, $E$694), "", 'Contact Summary'!G27)</f>
        <v/>
      </c>
      <c r="E694" t="b">
        <f>OR('Contact Summary'!G27="TBD",'Contact Summary'!G27="NA",'Contact Summary'!G27="N/A")</f>
        <v>0</v>
      </c>
    </row>
    <row r="695" spans="2:5">
      <c r="B695" s="1" t="s">
        <v>118</v>
      </c>
      <c r="C695" t="str">
        <f>IF(OR('Contact Summary'!H27 = 0, $E$695), "", 'Contact Summary'!H27)</f>
        <v/>
      </c>
      <c r="E695" t="b">
        <f>OR('Contact Summary'!H27="TBD",'Contact Summary'!H27="NA",'Contact Summary'!H27="N/A")</f>
        <v>0</v>
      </c>
    </row>
    <row r="696" spans="2:5">
      <c r="B696" s="344" t="s">
        <v>119</v>
      </c>
      <c r="C696" s="92" t="str">
        <f>IF(OR('Contact Summary'!I27 = 0, $E$696), "", 'Contact Summary'!I27)</f>
        <v/>
      </c>
      <c r="E696" t="b">
        <f>OR('Contact Summary'!I27="TBD",'Contact Summary'!I27="NA",'Contact Summary'!I27="N/A")</f>
        <v>0</v>
      </c>
    </row>
    <row r="697" spans="2:5">
      <c r="B697" s="1" t="s">
        <v>120</v>
      </c>
      <c r="C697" t="str">
        <f>IF(OR('Contact Summary'!J27 = 0, $E$697), "", 'Contact Summary'!J27)</f>
        <v/>
      </c>
      <c r="E697" t="b">
        <f>OR('Contact Summary'!J27="TBD",'Contact Summary'!J27="NA",'Contact Summary'!J27="N/A")</f>
        <v>0</v>
      </c>
    </row>
    <row r="698" spans="2:5">
      <c r="B698" s="1056" t="s">
        <v>116</v>
      </c>
      <c r="C698" t="str">
        <f>IF(OR('Contact Summary'!B15 = 0, $E$698), "", 'Contact Summary'!B15)</f>
        <v/>
      </c>
      <c r="E698" t="b">
        <f>OR('Contact Summary'!B15="TBD",'Contact Summary'!B15="NA",'Contact Summary'!B15="N/A")</f>
        <v>0</v>
      </c>
    </row>
    <row r="699" spans="2:5">
      <c r="B699" s="1" t="s">
        <v>117</v>
      </c>
      <c r="C699" t="str">
        <f>IF(OR('Contact Summary'!G15 = 0, $E$699), "", 'Contact Summary'!G15)</f>
        <v/>
      </c>
      <c r="E699" t="b">
        <f>OR('Contact Summary'!G15="TBD",'Contact Summary'!G15="NA",'Contact Summary'!G15="N/A")</f>
        <v>0</v>
      </c>
    </row>
    <row r="700" spans="2:5">
      <c r="B700" s="1" t="s">
        <v>118</v>
      </c>
      <c r="C700" t="str">
        <f>IF(OR('Contact Summary'!H15 = 0, $E$700), "", 'Contact Summary'!H15)</f>
        <v/>
      </c>
      <c r="E700" t="b">
        <f>OR('Contact Summary'!H15="TBD",'Contact Summary'!H15="NA",'Contact Summary'!H15="N/A")</f>
        <v>0</v>
      </c>
    </row>
    <row r="701" spans="2:5">
      <c r="B701" s="1" t="s">
        <v>119</v>
      </c>
      <c r="C701" s="92" t="str">
        <f>IF(OR('Contact Summary'!I15 = 0, $E$701), "", 'Contact Summary'!I15)</f>
        <v/>
      </c>
      <c r="E701" t="b">
        <f>OR('Contact Summary'!I15="TBD",'Contact Summary'!I15="NA",'Contact Summary'!I15="N/A")</f>
        <v>0</v>
      </c>
    </row>
    <row r="702" spans="2:5">
      <c r="B702" s="1" t="s">
        <v>120</v>
      </c>
      <c r="C702" t="str">
        <f>IF(OR('Contact Summary'!J15 = 0, $E$702), "", 'Contact Summary'!J15)</f>
        <v/>
      </c>
      <c r="E702" t="b">
        <f>OR('Contact Summary'!J15="TBD",'Contact Summary'!J15="NA",'Contact Summary'!J15="N/A")</f>
        <v>0</v>
      </c>
    </row>
    <row r="703" spans="2:5" ht="28.8">
      <c r="B703" s="9" t="s">
        <v>150</v>
      </c>
      <c r="C703">
        <f>'Contact Information'!B209</f>
        <v>0</v>
      </c>
    </row>
    <row r="704" spans="2:5">
      <c r="B704" t="s">
        <v>2106</v>
      </c>
      <c r="C704">
        <f>'Contact Information'!B210</f>
        <v>0</v>
      </c>
    </row>
    <row r="705" spans="1:12">
      <c r="B705" t="s">
        <v>2107</v>
      </c>
      <c r="C705">
        <f>'Contact Information'!B211</f>
        <v>0</v>
      </c>
    </row>
    <row r="706" spans="1:12" s="71" customFormat="1"/>
    <row r="707" spans="1:12">
      <c r="A707" t="s">
        <v>2108</v>
      </c>
      <c r="B707" t="s">
        <v>2109</v>
      </c>
      <c r="C707" t="s">
        <v>2110</v>
      </c>
      <c r="D707" t="s">
        <v>2111</v>
      </c>
      <c r="E707" t="s">
        <v>123</v>
      </c>
      <c r="F707" t="s">
        <v>795</v>
      </c>
      <c r="G707" t="s">
        <v>2112</v>
      </c>
      <c r="H707" t="s">
        <v>2113</v>
      </c>
      <c r="I707" t="s">
        <v>2114</v>
      </c>
      <c r="J707" t="s">
        <v>2115</v>
      </c>
      <c r="K707" t="s">
        <v>2116</v>
      </c>
      <c r="L707" t="s">
        <v>2117</v>
      </c>
    </row>
    <row r="708" spans="1:12">
      <c r="A708" s="18">
        <f ca="1">IF(ISNA(MATCH(B708, $A$726:$A$742, 0)), 1, MATCH(B708, $A$726:$A$742, 0))</f>
        <v>1</v>
      </c>
      <c r="B708">
        <v>1</v>
      </c>
      <c r="C708" t="str">
        <f ca="1">CONCATENATE(INDEX($C$726:$L$742, $A708, C$706))</f>
        <v/>
      </c>
      <c r="D708" t="str">
        <f t="shared" ref="D708:K723" ca="1" si="0">CONCATENATE(INDEX($C$726:$L$742, $A708, D$706))</f>
        <v/>
      </c>
      <c r="E708" t="str">
        <f t="shared" ca="1" si="0"/>
        <v/>
      </c>
      <c r="F708" s="14" t="str">
        <f t="shared" ca="1" si="0"/>
        <v/>
      </c>
      <c r="G708" t="str">
        <f t="shared" ca="1" si="0"/>
        <v/>
      </c>
      <c r="H708" t="str">
        <f t="shared" ca="1" si="0"/>
        <v/>
      </c>
      <c r="I708" t="str">
        <f t="shared" ca="1" si="0"/>
        <v/>
      </c>
      <c r="J708" s="14" t="str">
        <f t="shared" ca="1" si="0"/>
        <v/>
      </c>
      <c r="K708" s="14" t="str">
        <f t="shared" ca="1" si="0"/>
        <v/>
      </c>
    </row>
    <row r="709" spans="1:12">
      <c r="A709" s="18">
        <f t="shared" ref="A709:A723" ca="1" si="1">IF(ISNA(MATCH(B709, $A$726:$A$742, 0)), 1, MATCH(B709, $A$726:$A$742, 0))</f>
        <v>1</v>
      </c>
      <c r="B709">
        <v>2</v>
      </c>
      <c r="C709" t="str">
        <f t="shared" ref="C709:C723" ca="1" si="2">CONCATENATE(INDEX($C$726:$L$742, $A709, C$706))</f>
        <v/>
      </c>
      <c r="D709" t="str">
        <f t="shared" ca="1" si="0"/>
        <v/>
      </c>
      <c r="E709" t="str">
        <f t="shared" ca="1" si="0"/>
        <v/>
      </c>
      <c r="F709" s="14" t="str">
        <f t="shared" ca="1" si="0"/>
        <v/>
      </c>
      <c r="G709" t="str">
        <f t="shared" ca="1" si="0"/>
        <v/>
      </c>
      <c r="H709" t="str">
        <f t="shared" ca="1" si="0"/>
        <v/>
      </c>
      <c r="I709" t="str">
        <f t="shared" ca="1" si="0"/>
        <v/>
      </c>
      <c r="J709" s="14" t="str">
        <f t="shared" ca="1" si="0"/>
        <v/>
      </c>
      <c r="K709" s="14" t="str">
        <f t="shared" ca="1" si="0"/>
        <v/>
      </c>
    </row>
    <row r="710" spans="1:12">
      <c r="A710" s="18">
        <f t="shared" ca="1" si="1"/>
        <v>1</v>
      </c>
      <c r="B710">
        <v>3</v>
      </c>
      <c r="C710" t="str">
        <f t="shared" ca="1" si="2"/>
        <v/>
      </c>
      <c r="D710" t="str">
        <f t="shared" ca="1" si="0"/>
        <v/>
      </c>
      <c r="E710" t="str">
        <f t="shared" ca="1" si="0"/>
        <v/>
      </c>
      <c r="F710" s="14" t="str">
        <f t="shared" ca="1" si="0"/>
        <v/>
      </c>
      <c r="G710" t="str">
        <f t="shared" ca="1" si="0"/>
        <v/>
      </c>
      <c r="H710" t="str">
        <f t="shared" ca="1" si="0"/>
        <v/>
      </c>
      <c r="I710" t="str">
        <f t="shared" ca="1" si="0"/>
        <v/>
      </c>
      <c r="J710" s="14" t="str">
        <f t="shared" ca="1" si="0"/>
        <v/>
      </c>
      <c r="K710" s="14" t="str">
        <f t="shared" ca="1" si="0"/>
        <v/>
      </c>
    </row>
    <row r="711" spans="1:12">
      <c r="A711" s="18">
        <f t="shared" ca="1" si="1"/>
        <v>1</v>
      </c>
      <c r="B711">
        <v>4</v>
      </c>
      <c r="C711" t="str">
        <f t="shared" ca="1" si="2"/>
        <v/>
      </c>
      <c r="D711" t="str">
        <f t="shared" ca="1" si="0"/>
        <v/>
      </c>
      <c r="E711" t="str">
        <f t="shared" ca="1" si="0"/>
        <v/>
      </c>
      <c r="F711" s="14" t="str">
        <f t="shared" ca="1" si="0"/>
        <v/>
      </c>
      <c r="G711" t="str">
        <f t="shared" ca="1" si="0"/>
        <v/>
      </c>
      <c r="H711" t="str">
        <f t="shared" ca="1" si="0"/>
        <v/>
      </c>
      <c r="I711" t="str">
        <f t="shared" ca="1" si="0"/>
        <v/>
      </c>
      <c r="J711" s="14" t="str">
        <f t="shared" ca="1" si="0"/>
        <v/>
      </c>
      <c r="K711" s="14" t="str">
        <f t="shared" ca="1" si="0"/>
        <v/>
      </c>
    </row>
    <row r="712" spans="1:12">
      <c r="A712" s="18">
        <f t="shared" ca="1" si="1"/>
        <v>1</v>
      </c>
      <c r="B712">
        <v>5</v>
      </c>
      <c r="C712" t="str">
        <f t="shared" ca="1" si="2"/>
        <v/>
      </c>
      <c r="D712" t="str">
        <f t="shared" ca="1" si="0"/>
        <v/>
      </c>
      <c r="E712" t="str">
        <f t="shared" ca="1" si="0"/>
        <v/>
      </c>
      <c r="F712" s="14" t="str">
        <f t="shared" ca="1" si="0"/>
        <v/>
      </c>
      <c r="G712" t="str">
        <f t="shared" ca="1" si="0"/>
        <v/>
      </c>
      <c r="H712" t="str">
        <f t="shared" ca="1" si="0"/>
        <v/>
      </c>
      <c r="I712" t="str">
        <f t="shared" ca="1" si="0"/>
        <v/>
      </c>
      <c r="J712" s="14" t="str">
        <f t="shared" ca="1" si="0"/>
        <v/>
      </c>
      <c r="K712" s="14" t="str">
        <f t="shared" ca="1" si="0"/>
        <v/>
      </c>
    </row>
    <row r="713" spans="1:12">
      <c r="A713" s="18">
        <f t="shared" ca="1" si="1"/>
        <v>1</v>
      </c>
      <c r="B713">
        <v>6</v>
      </c>
      <c r="C713" t="str">
        <f t="shared" ca="1" si="2"/>
        <v/>
      </c>
      <c r="D713" t="str">
        <f t="shared" ca="1" si="0"/>
        <v/>
      </c>
      <c r="E713" t="str">
        <f t="shared" ca="1" si="0"/>
        <v/>
      </c>
      <c r="F713" s="14" t="str">
        <f t="shared" ca="1" si="0"/>
        <v/>
      </c>
      <c r="G713" t="str">
        <f t="shared" ca="1" si="0"/>
        <v/>
      </c>
      <c r="H713" t="str">
        <f t="shared" ca="1" si="0"/>
        <v/>
      </c>
      <c r="I713" t="str">
        <f t="shared" ca="1" si="0"/>
        <v/>
      </c>
      <c r="J713" s="14" t="str">
        <f t="shared" ca="1" si="0"/>
        <v/>
      </c>
      <c r="K713" s="14" t="str">
        <f t="shared" ca="1" si="0"/>
        <v/>
      </c>
    </row>
    <row r="714" spans="1:12">
      <c r="A714" s="18">
        <f t="shared" ca="1" si="1"/>
        <v>1</v>
      </c>
      <c r="B714">
        <v>7</v>
      </c>
      <c r="C714" t="str">
        <f t="shared" ca="1" si="2"/>
        <v/>
      </c>
      <c r="D714" t="str">
        <f t="shared" ca="1" si="0"/>
        <v/>
      </c>
      <c r="E714" t="str">
        <f t="shared" ca="1" si="0"/>
        <v/>
      </c>
      <c r="F714" s="14" t="str">
        <f t="shared" ca="1" si="0"/>
        <v/>
      </c>
      <c r="G714" t="str">
        <f t="shared" ca="1" si="0"/>
        <v/>
      </c>
      <c r="H714" t="str">
        <f t="shared" ca="1" si="0"/>
        <v/>
      </c>
      <c r="I714" t="str">
        <f t="shared" ca="1" si="0"/>
        <v/>
      </c>
      <c r="J714" s="14" t="str">
        <f t="shared" ca="1" si="0"/>
        <v/>
      </c>
      <c r="K714" s="14" t="str">
        <f t="shared" ca="1" si="0"/>
        <v/>
      </c>
    </row>
    <row r="715" spans="1:12">
      <c r="A715" s="18">
        <f t="shared" ca="1" si="1"/>
        <v>1</v>
      </c>
      <c r="B715">
        <v>8</v>
      </c>
      <c r="C715" t="str">
        <f t="shared" ca="1" si="2"/>
        <v/>
      </c>
      <c r="D715" t="str">
        <f t="shared" ca="1" si="0"/>
        <v/>
      </c>
      <c r="E715" t="str">
        <f t="shared" ca="1" si="0"/>
        <v/>
      </c>
      <c r="F715" s="14" t="str">
        <f t="shared" ca="1" si="0"/>
        <v/>
      </c>
      <c r="G715" t="str">
        <f t="shared" ca="1" si="0"/>
        <v/>
      </c>
      <c r="H715" t="str">
        <f t="shared" ca="1" si="0"/>
        <v/>
      </c>
      <c r="I715" t="str">
        <f t="shared" ca="1" si="0"/>
        <v/>
      </c>
      <c r="J715" s="14" t="str">
        <f t="shared" ca="1" si="0"/>
        <v/>
      </c>
      <c r="K715" s="14" t="str">
        <f t="shared" ca="1" si="0"/>
        <v/>
      </c>
    </row>
    <row r="716" spans="1:12">
      <c r="A716" s="18">
        <f t="shared" ca="1" si="1"/>
        <v>1</v>
      </c>
      <c r="B716">
        <v>9</v>
      </c>
      <c r="C716" t="str">
        <f t="shared" ca="1" si="2"/>
        <v/>
      </c>
      <c r="D716" t="str">
        <f t="shared" ca="1" si="0"/>
        <v/>
      </c>
      <c r="E716" t="str">
        <f t="shared" ca="1" si="0"/>
        <v/>
      </c>
      <c r="F716" s="14" t="str">
        <f t="shared" ca="1" si="0"/>
        <v/>
      </c>
      <c r="G716" t="str">
        <f t="shared" ca="1" si="0"/>
        <v/>
      </c>
      <c r="H716" t="str">
        <f t="shared" ca="1" si="0"/>
        <v/>
      </c>
      <c r="I716" t="str">
        <f t="shared" ca="1" si="0"/>
        <v/>
      </c>
      <c r="J716" s="14" t="str">
        <f t="shared" ca="1" si="0"/>
        <v/>
      </c>
      <c r="K716" s="14" t="str">
        <f t="shared" ca="1" si="0"/>
        <v/>
      </c>
    </row>
    <row r="717" spans="1:12">
      <c r="A717" s="18">
        <f t="shared" ca="1" si="1"/>
        <v>1</v>
      </c>
      <c r="B717">
        <v>10</v>
      </c>
      <c r="C717" t="str">
        <f t="shared" ca="1" si="2"/>
        <v/>
      </c>
      <c r="D717" t="str">
        <f t="shared" ca="1" si="0"/>
        <v/>
      </c>
      <c r="E717" t="str">
        <f t="shared" ca="1" si="0"/>
        <v/>
      </c>
      <c r="F717" s="14" t="str">
        <f t="shared" ca="1" si="0"/>
        <v/>
      </c>
      <c r="G717" t="str">
        <f t="shared" ca="1" si="0"/>
        <v/>
      </c>
      <c r="H717" t="str">
        <f t="shared" ca="1" si="0"/>
        <v/>
      </c>
      <c r="I717" t="str">
        <f t="shared" ca="1" si="0"/>
        <v/>
      </c>
      <c r="J717" s="14" t="str">
        <f t="shared" ca="1" si="0"/>
        <v/>
      </c>
      <c r="K717" s="14" t="str">
        <f t="shared" ca="1" si="0"/>
        <v/>
      </c>
    </row>
    <row r="718" spans="1:12">
      <c r="A718" s="18">
        <f t="shared" ca="1" si="1"/>
        <v>1</v>
      </c>
      <c r="B718">
        <v>11</v>
      </c>
      <c r="C718" t="str">
        <f t="shared" ca="1" si="2"/>
        <v/>
      </c>
      <c r="D718" t="str">
        <f t="shared" ca="1" si="0"/>
        <v/>
      </c>
      <c r="E718" t="str">
        <f t="shared" ca="1" si="0"/>
        <v/>
      </c>
      <c r="F718" s="14" t="str">
        <f t="shared" ca="1" si="0"/>
        <v/>
      </c>
      <c r="G718" t="str">
        <f t="shared" ca="1" si="0"/>
        <v/>
      </c>
      <c r="H718" t="str">
        <f t="shared" ca="1" si="0"/>
        <v/>
      </c>
      <c r="I718" t="str">
        <f t="shared" ca="1" si="0"/>
        <v/>
      </c>
      <c r="J718" s="14" t="str">
        <f t="shared" ca="1" si="0"/>
        <v/>
      </c>
      <c r="K718" s="14" t="str">
        <f t="shared" ca="1" si="0"/>
        <v/>
      </c>
    </row>
    <row r="719" spans="1:12">
      <c r="A719" s="18">
        <f t="shared" ca="1" si="1"/>
        <v>1</v>
      </c>
      <c r="B719">
        <v>12</v>
      </c>
      <c r="C719" t="str">
        <f t="shared" ca="1" si="2"/>
        <v/>
      </c>
      <c r="D719" t="str">
        <f t="shared" ca="1" si="0"/>
        <v/>
      </c>
      <c r="E719" t="str">
        <f t="shared" ca="1" si="0"/>
        <v/>
      </c>
      <c r="F719" s="14" t="str">
        <f t="shared" ca="1" si="0"/>
        <v/>
      </c>
      <c r="G719" t="str">
        <f t="shared" ca="1" si="0"/>
        <v/>
      </c>
      <c r="H719" t="str">
        <f t="shared" ca="1" si="0"/>
        <v/>
      </c>
      <c r="I719" t="str">
        <f t="shared" ca="1" si="0"/>
        <v/>
      </c>
      <c r="J719" s="14" t="str">
        <f t="shared" ca="1" si="0"/>
        <v/>
      </c>
      <c r="K719" s="14" t="str">
        <f t="shared" ca="1" si="0"/>
        <v/>
      </c>
    </row>
    <row r="720" spans="1:12">
      <c r="A720" s="18">
        <f t="shared" ca="1" si="1"/>
        <v>1</v>
      </c>
      <c r="B720">
        <v>13</v>
      </c>
      <c r="C720" t="str">
        <f t="shared" ca="1" si="2"/>
        <v/>
      </c>
      <c r="D720" t="str">
        <f t="shared" ca="1" si="0"/>
        <v/>
      </c>
      <c r="E720" t="str">
        <f t="shared" ca="1" si="0"/>
        <v/>
      </c>
      <c r="F720" s="14" t="str">
        <f t="shared" ca="1" si="0"/>
        <v/>
      </c>
      <c r="G720" t="str">
        <f t="shared" ca="1" si="0"/>
        <v/>
      </c>
      <c r="H720" t="str">
        <f t="shared" ca="1" si="0"/>
        <v/>
      </c>
      <c r="I720" t="str">
        <f t="shared" ca="1" si="0"/>
        <v/>
      </c>
      <c r="J720" s="14" t="str">
        <f t="shared" ca="1" si="0"/>
        <v/>
      </c>
      <c r="K720" s="14" t="str">
        <f t="shared" ca="1" si="0"/>
        <v/>
      </c>
    </row>
    <row r="721" spans="1:26">
      <c r="A721" s="18">
        <f t="shared" ca="1" si="1"/>
        <v>1</v>
      </c>
      <c r="B721">
        <v>14</v>
      </c>
      <c r="C721" t="str">
        <f t="shared" ca="1" si="2"/>
        <v/>
      </c>
      <c r="D721" t="str">
        <f t="shared" ca="1" si="0"/>
        <v/>
      </c>
      <c r="E721" t="str">
        <f t="shared" ca="1" si="0"/>
        <v/>
      </c>
      <c r="F721" s="14" t="str">
        <f t="shared" ca="1" si="0"/>
        <v/>
      </c>
      <c r="G721" t="str">
        <f t="shared" ca="1" si="0"/>
        <v/>
      </c>
      <c r="H721" t="str">
        <f t="shared" ca="1" si="0"/>
        <v/>
      </c>
      <c r="I721" t="str">
        <f t="shared" ca="1" si="0"/>
        <v/>
      </c>
      <c r="J721" s="14" t="str">
        <f t="shared" ca="1" si="0"/>
        <v/>
      </c>
      <c r="K721" s="14" t="str">
        <f t="shared" ca="1" si="0"/>
        <v/>
      </c>
    </row>
    <row r="722" spans="1:26" ht="16.5" customHeight="1">
      <c r="A722" s="18">
        <f t="shared" ca="1" si="1"/>
        <v>1</v>
      </c>
      <c r="B722">
        <v>15</v>
      </c>
      <c r="C722" t="str">
        <f t="shared" ca="1" si="2"/>
        <v/>
      </c>
      <c r="D722" t="str">
        <f t="shared" ca="1" si="0"/>
        <v/>
      </c>
      <c r="E722" t="str">
        <f t="shared" ca="1" si="0"/>
        <v/>
      </c>
      <c r="F722" s="14" t="str">
        <f t="shared" ca="1" si="0"/>
        <v/>
      </c>
      <c r="G722" t="str">
        <f t="shared" ca="1" si="0"/>
        <v/>
      </c>
      <c r="H722" t="str">
        <f t="shared" ca="1" si="0"/>
        <v/>
      </c>
      <c r="I722" t="str">
        <f t="shared" ca="1" si="0"/>
        <v/>
      </c>
      <c r="J722" s="14" t="str">
        <f t="shared" ca="1" si="0"/>
        <v/>
      </c>
      <c r="K722" s="14" t="str">
        <f t="shared" ca="1" si="0"/>
        <v/>
      </c>
    </row>
    <row r="723" spans="1:26" ht="16.5" customHeight="1">
      <c r="A723" s="18">
        <f t="shared" ca="1" si="1"/>
        <v>1</v>
      </c>
      <c r="B723">
        <v>16</v>
      </c>
      <c r="C723" t="str">
        <f t="shared" ca="1" si="2"/>
        <v/>
      </c>
      <c r="D723" t="str">
        <f t="shared" ca="1" si="0"/>
        <v/>
      </c>
      <c r="E723" t="str">
        <f t="shared" ca="1" si="0"/>
        <v/>
      </c>
      <c r="F723" s="14" t="str">
        <f t="shared" ca="1" si="0"/>
        <v/>
      </c>
      <c r="G723" t="str">
        <f t="shared" ca="1" si="0"/>
        <v/>
      </c>
      <c r="H723" t="str">
        <f t="shared" ca="1" si="0"/>
        <v/>
      </c>
      <c r="I723" t="str">
        <f t="shared" ca="1" si="0"/>
        <v/>
      </c>
      <c r="J723" s="14" t="str">
        <f t="shared" ca="1" si="0"/>
        <v/>
      </c>
      <c r="K723" s="14" t="str">
        <f t="shared" ca="1" si="0"/>
        <v/>
      </c>
    </row>
    <row r="724" spans="1:26">
      <c r="A724" s="1" t="s">
        <v>2118</v>
      </c>
      <c r="F724" s="14"/>
      <c r="J724" s="14"/>
      <c r="K724" s="14"/>
    </row>
    <row r="726" spans="1:26">
      <c r="A726" s="313" t="s">
        <v>2119</v>
      </c>
      <c r="L726" t="s">
        <v>2607</v>
      </c>
      <c r="M726" t="s">
        <v>4156</v>
      </c>
      <c r="N726" t="s">
        <v>4157</v>
      </c>
      <c r="O726" t="s">
        <v>4158</v>
      </c>
      <c r="P726" t="s">
        <v>4159</v>
      </c>
      <c r="Q726" t="s">
        <v>4160</v>
      </c>
      <c r="R726" t="s">
        <v>4161</v>
      </c>
      <c r="S726" t="s">
        <v>4162</v>
      </c>
      <c r="T726" s="16" t="s">
        <v>4163</v>
      </c>
      <c r="U726" s="16"/>
      <c r="V726" s="16"/>
      <c r="W726" s="16"/>
      <c r="X726" s="16"/>
      <c r="Y726" s="16"/>
      <c r="Z726" s="16"/>
    </row>
    <row r="727" spans="1:26">
      <c r="A727" s="195" t="str">
        <f ca="1">IF(C727="","",MAX(A725:A$725)+1)</f>
        <v/>
      </c>
      <c r="B727" t="s">
        <v>2120</v>
      </c>
      <c r="C727" t="str" cm="1">
        <f t="array" aca="1" ref="C727" ca="1">IF(L727, INDIRECT(CONCATENATE("'Contact Summary'!",L$726,$S727)), "")</f>
        <v/>
      </c>
      <c r="D727" t="str" cm="1">
        <f t="array" aca="1" ref="D727" ca="1">IF(M727, INDIRECT(CONCATENATE("'Contact Summary'!",M$726,$S727)), "")</f>
        <v/>
      </c>
      <c r="E727" t="str" cm="1">
        <f t="array" aca="1" ref="E727" ca="1">IF(N727, INDIRECT(CONCATENATE("'Contact Summary'!",N$726,$S727)), "")</f>
        <v/>
      </c>
      <c r="F727" t="str" cm="1">
        <f t="array" aca="1" ref="F727" ca="1">IF(O727, INDIRECT(CONCATENATE("'Contact Summary'!",O$726,$S727)), "")</f>
        <v/>
      </c>
      <c r="G727" t="str" cm="1">
        <f t="array" aca="1" ref="G727" ca="1">IF(P727, INDIRECT(CONCATENATE("'Contact Summary'!",P$726,$S727)), "")</f>
        <v/>
      </c>
      <c r="H727" t="str" cm="1">
        <f t="array" aca="1" ref="H727" ca="1">IF(Q727, INDIRECT(CONCATENATE("'Contact Summary'!",Q$726,$S727)), "")</f>
        <v/>
      </c>
      <c r="I727" t="str">
        <f ca="1">IF(R727, 'Contact Summary'!J6, "")</f>
        <v/>
      </c>
      <c r="J727" t="s">
        <v>2120</v>
      </c>
      <c r="K727" t="s">
        <v>2121</v>
      </c>
      <c r="L727" t="b" cm="1">
        <f t="array" aca="1" ref="L727" ca="1">ISTEXT(INDIRECT(CONCATENATE("'Contact Summary'!",L$726,$S727)))</f>
        <v>0</v>
      </c>
      <c r="M727" t="b" cm="1">
        <f t="array" aca="1" ref="M727" ca="1">ISTEXT(INDIRECT(CONCATENATE("'Contact Summary'!",M$726,$S727)))</f>
        <v>0</v>
      </c>
      <c r="N727" t="b" cm="1">
        <f t="array" aca="1" ref="N727" ca="1">ISTEXT(INDIRECT(CONCATENATE("'Contact Summary'!",N$726,$S727)))</f>
        <v>0</v>
      </c>
      <c r="O727" t="b" cm="1">
        <f t="array" aca="1" ref="O727" ca="1">ISTEXT(INDIRECT(CONCATENATE("'Contact Summary'!",O$726,$S727)))</f>
        <v>0</v>
      </c>
      <c r="P727" t="b" cm="1">
        <f t="array" aca="1" ref="P727" ca="1">INDIRECT(CONCATENATE("'Contact Summary'!",P$726,$S727))&gt;0</f>
        <v>0</v>
      </c>
      <c r="Q727" t="b" cm="1">
        <f t="array" aca="1" ref="Q727" ca="1">INDIRECT(CONCATENATE("'Contact Summary'!",Q$726,$S727))&gt;0</f>
        <v>0</v>
      </c>
      <c r="R727" t="b" cm="1">
        <f t="array" aca="1" ref="R727" ca="1">ISTEXT(INDIRECT(CONCATENATE("'Contact Summary'!",R$726,$S727)))</f>
        <v>0</v>
      </c>
      <c r="S727">
        <v>6</v>
      </c>
    </row>
    <row r="728" spans="1:26">
      <c r="A728" s="195" t="str">
        <f ca="1">IF(C728="","",MAX(A$725:A727)+1)</f>
        <v/>
      </c>
      <c r="B728" t="s">
        <v>2092</v>
      </c>
      <c r="C728" t="str" cm="1">
        <f t="array" aca="1" ref="C728" ca="1">IF(L728, INDIRECT(CONCATENATE("'Contact Summary'!",L$726,$S728)), "")</f>
        <v/>
      </c>
      <c r="D728" t="str" cm="1">
        <f t="array" aca="1" ref="D728" ca="1">IF(M728, INDIRECT(CONCATENATE("'Contact Summary'!",M$726,$S728)), "")</f>
        <v/>
      </c>
      <c r="E728" t="str" cm="1">
        <f t="array" aca="1" ref="E728" ca="1">IF(N728, INDIRECT(CONCATENATE("'Contact Summary'!",N$726,$S728)), "")</f>
        <v/>
      </c>
      <c r="F728" t="str" cm="1">
        <f t="array" aca="1" ref="F728" ca="1">IF(O728, INDIRECT(CONCATENATE("'Contact Summary'!",O$726,$S728)), "")</f>
        <v/>
      </c>
      <c r="G728" t="str" cm="1">
        <f t="array" aca="1" ref="G728" ca="1">IF(P728, INDIRECT(CONCATENATE("'Contact Summary'!",P$726,$S728)), "")</f>
        <v/>
      </c>
      <c r="H728" t="str" cm="1">
        <f t="array" aca="1" ref="H728" ca="1">IF(Q728, INDIRECT(CONCATENATE("'Contact Summary'!",Q$726,$S728)), "")</f>
        <v/>
      </c>
      <c r="I728" t="str">
        <f ca="1">IF(R728, 'Contact Summary'!J7, "")</f>
        <v/>
      </c>
      <c r="J728" t="s">
        <v>2092</v>
      </c>
      <c r="K728" t="s">
        <v>2121</v>
      </c>
      <c r="L728" t="b" cm="1">
        <f t="array" aca="1" ref="L728" ca="1">ISTEXT(INDIRECT(CONCATENATE("'Contact Summary'!",L$726,$S728)))</f>
        <v>0</v>
      </c>
      <c r="M728" t="b" cm="1">
        <f t="array" aca="1" ref="M728" ca="1">ISTEXT(INDIRECT(CONCATENATE("'Contact Summary'!",M$726,$S728)))</f>
        <v>0</v>
      </c>
      <c r="N728" t="b" cm="1">
        <f t="array" aca="1" ref="N728" ca="1">ISTEXT(INDIRECT(CONCATENATE("'Contact Summary'!",N$726,$S728)))</f>
        <v>0</v>
      </c>
      <c r="O728" t="b" cm="1">
        <f t="array" aca="1" ref="O728" ca="1">ISTEXT(INDIRECT(CONCATENATE("'Contact Summary'!",O$726,$S728)))</f>
        <v>0</v>
      </c>
      <c r="P728" t="b" cm="1">
        <f t="array" aca="1" ref="P728" ca="1">INDIRECT(CONCATENATE("'Contact Summary'!",P$726,$S728))&gt;0</f>
        <v>0</v>
      </c>
      <c r="Q728" t="b" cm="1">
        <f t="array" aca="1" ref="Q728" ca="1">INDIRECT(CONCATENATE("'Contact Summary'!",Q$726,$S728))&gt;0</f>
        <v>0</v>
      </c>
      <c r="R728" t="b" cm="1">
        <f t="array" aca="1" ref="R728" ca="1">ISTEXT(INDIRECT(CONCATENATE("'Contact Summary'!",R$726,$S728)))</f>
        <v>0</v>
      </c>
      <c r="S728">
        <v>7</v>
      </c>
    </row>
    <row r="729" spans="1:26">
      <c r="A729" s="195" t="str">
        <f ca="1">IF(C729="","",MAX(A$725:A728)+1)</f>
        <v/>
      </c>
      <c r="B729" t="s">
        <v>2122</v>
      </c>
      <c r="C729" t="str" cm="1">
        <f t="array" aca="1" ref="C729" ca="1">IF(L729, INDIRECT(CONCATENATE("'Contact Summary'!",L$726,$S729)), "")</f>
        <v/>
      </c>
      <c r="D729" t="str" cm="1">
        <f t="array" aca="1" ref="D729" ca="1">IF(M729, INDIRECT(CONCATENATE("'Contact Summary'!",M$726,$S729)), "")</f>
        <v/>
      </c>
      <c r="E729" t="str" cm="1">
        <f t="array" aca="1" ref="E729" ca="1">IF(N729, INDIRECT(CONCATENATE("'Contact Summary'!",N$726,$S729)), "")</f>
        <v/>
      </c>
      <c r="F729" t="str" cm="1">
        <f t="array" aca="1" ref="F729" ca="1">IF(O729, INDIRECT(CONCATENATE("'Contact Summary'!",O$726,$S729)), "")</f>
        <v/>
      </c>
      <c r="G729" t="str" cm="1">
        <f t="array" aca="1" ref="G729" ca="1">IF(P729, INDIRECT(CONCATENATE("'Contact Summary'!",P$726,$S729)), "")</f>
        <v/>
      </c>
      <c r="H729" t="str" cm="1">
        <f t="array" aca="1" ref="H729" ca="1">IF(Q729, INDIRECT(CONCATENATE("'Contact Summary'!",Q$726,$S729)), "")</f>
        <v/>
      </c>
      <c r="I729" t="str">
        <f ca="1">IF(R729, 'Contact Summary'!J8, "")</f>
        <v/>
      </c>
      <c r="J729" t="s">
        <v>152</v>
      </c>
      <c r="K729" t="s">
        <v>2121</v>
      </c>
      <c r="L729" t="b" cm="1">
        <f t="array" aca="1" ref="L729" ca="1">ISTEXT(INDIRECT(CONCATENATE("'Contact Summary'!",L$726,$S729)))</f>
        <v>0</v>
      </c>
      <c r="M729" t="b" cm="1">
        <f t="array" aca="1" ref="M729" ca="1">ISTEXT(INDIRECT(CONCATENATE("'Contact Summary'!",M$726,$S729)))</f>
        <v>0</v>
      </c>
      <c r="N729" t="b" cm="1">
        <f t="array" aca="1" ref="N729" ca="1">ISTEXT(INDIRECT(CONCATENATE("'Contact Summary'!",N$726,$S729)))</f>
        <v>0</v>
      </c>
      <c r="O729" t="b" cm="1">
        <f t="array" aca="1" ref="O729" ca="1">ISTEXT(INDIRECT(CONCATENATE("'Contact Summary'!",O$726,$S729)))</f>
        <v>0</v>
      </c>
      <c r="P729" t="b" cm="1">
        <f t="array" aca="1" ref="P729" ca="1">INDIRECT(CONCATENATE("'Contact Summary'!",P$726,$S729))&gt;0</f>
        <v>0</v>
      </c>
      <c r="Q729" t="b" cm="1">
        <f t="array" aca="1" ref="Q729" ca="1">INDIRECT(CONCATENATE("'Contact Summary'!",Q$726,$S729))&gt;0</f>
        <v>0</v>
      </c>
      <c r="R729" t="b" cm="1">
        <f t="array" aca="1" ref="R729" ca="1">ISTEXT(INDIRECT(CONCATENATE("'Contact Summary'!",R$726,$S729)))</f>
        <v>0</v>
      </c>
      <c r="S729">
        <v>8</v>
      </c>
    </row>
    <row r="730" spans="1:26">
      <c r="A730" s="195" t="str">
        <f ca="1">IF(C730="","",MAX(A$725:A729)+1)</f>
        <v/>
      </c>
      <c r="B730" t="s">
        <v>2123</v>
      </c>
      <c r="C730" t="str" cm="1">
        <f t="array" aca="1" ref="C730" ca="1">IF(L730, INDIRECT(CONCATENATE("'Contact Summary'!",L$726,$S730)), "")</f>
        <v/>
      </c>
      <c r="D730" t="str" cm="1">
        <f t="array" aca="1" ref="D730" ca="1">IF(M730, INDIRECT(CONCATENATE("'Contact Summary'!",M$726,$S730)), "")</f>
        <v/>
      </c>
      <c r="E730" t="str" cm="1">
        <f t="array" aca="1" ref="E730" ca="1">IF(N730, INDIRECT(CONCATENATE("'Contact Summary'!",N$726,$S730)), "")</f>
        <v/>
      </c>
      <c r="F730" t="str" cm="1">
        <f t="array" aca="1" ref="F730" ca="1">IF(O730, INDIRECT(CONCATENATE("'Contact Summary'!",O$726,$S730)), "")</f>
        <v/>
      </c>
      <c r="G730" t="str" cm="1">
        <f t="array" aca="1" ref="G730" ca="1">IF(P730, INDIRECT(CONCATENATE("'Contact Summary'!",P$726,$S730)), "")</f>
        <v/>
      </c>
      <c r="H730" t="str" cm="1">
        <f t="array" aca="1" ref="H730" ca="1">IF(Q730, INDIRECT(CONCATENATE("'Contact Summary'!",Q$726,$S730)), "")</f>
        <v/>
      </c>
      <c r="I730" t="str">
        <f ca="1">IF(R730, 'Contact Summary'!J11, "")</f>
        <v/>
      </c>
      <c r="J730" t="s">
        <v>2124</v>
      </c>
      <c r="K730" t="s">
        <v>2121</v>
      </c>
      <c r="L730" t="b" cm="1">
        <f t="array" aca="1" ref="L730" ca="1">ISTEXT(INDIRECT(CONCATENATE("'Contact Summary'!",L$726,$S730)))</f>
        <v>0</v>
      </c>
      <c r="M730" t="b" cm="1">
        <f t="array" aca="1" ref="M730" ca="1">ISTEXT(INDIRECT(CONCATENATE("'Contact Summary'!",M$726,$S730)))</f>
        <v>0</v>
      </c>
      <c r="N730" t="b" cm="1">
        <f t="array" aca="1" ref="N730" ca="1">ISTEXT(INDIRECT(CONCATENATE("'Contact Summary'!",N$726,$S730)))</f>
        <v>0</v>
      </c>
      <c r="O730" t="b" cm="1">
        <f t="array" aca="1" ref="O730" ca="1">ISTEXT(INDIRECT(CONCATENATE("'Contact Summary'!",O$726,$S730)))</f>
        <v>0</v>
      </c>
      <c r="P730" t="b" cm="1">
        <f t="array" aca="1" ref="P730" ca="1">INDIRECT(CONCATENATE("'Contact Summary'!",P$726,$S730))&gt;0</f>
        <v>0</v>
      </c>
      <c r="Q730" t="b" cm="1">
        <f t="array" aca="1" ref="Q730" ca="1">INDIRECT(CONCATENATE("'Contact Summary'!",Q$726,$S730))&gt;0</f>
        <v>0</v>
      </c>
      <c r="R730" t="b" cm="1">
        <f t="array" aca="1" ref="R730" ca="1">ISTEXT(INDIRECT(CONCATENATE("'Contact Summary'!",R$726,$S730)))</f>
        <v>0</v>
      </c>
      <c r="S730">
        <v>11</v>
      </c>
    </row>
    <row r="731" spans="1:26">
      <c r="A731" s="195" t="str">
        <f ca="1">IF(C731="","",MAX(A$725:A730)+1)</f>
        <v/>
      </c>
      <c r="B731" t="s">
        <v>2125</v>
      </c>
      <c r="C731" t="str" cm="1">
        <f t="array" aca="1" ref="C731" ca="1">IF(L731, INDIRECT(CONCATENATE("'Contact Summary'!",L$726,$S731)), "")</f>
        <v/>
      </c>
      <c r="D731" t="str" cm="1">
        <f t="array" aca="1" ref="D731" ca="1">IF(M731, INDIRECT(CONCATENATE("'Contact Summary'!",M$726,$S731)), "")</f>
        <v/>
      </c>
      <c r="E731" t="str" cm="1">
        <f t="array" aca="1" ref="E731" ca="1">IF(N731, INDIRECT(CONCATENATE("'Contact Summary'!",N$726,$S731)), "")</f>
        <v/>
      </c>
      <c r="F731" t="str" cm="1">
        <f t="array" aca="1" ref="F731" ca="1">IF(O731, INDIRECT(CONCATENATE("'Contact Summary'!",O$726,$S731)), "")</f>
        <v/>
      </c>
      <c r="G731" t="str" cm="1">
        <f t="array" aca="1" ref="G731" ca="1">IF(P731, INDIRECT(CONCATENATE("'Contact Summary'!",P$726,$S731)), "")</f>
        <v/>
      </c>
      <c r="H731" t="str" cm="1">
        <f t="array" aca="1" ref="H731" ca="1">IF(Q731, INDIRECT(CONCATENATE("'Contact Summary'!",Q$726,$S731)), "")</f>
        <v/>
      </c>
      <c r="I731" t="str">
        <f ca="1">IF(R731, 'Contact Summary'!J13, "")</f>
        <v/>
      </c>
      <c r="J731" t="s">
        <v>178</v>
      </c>
      <c r="K731" t="s">
        <v>2121</v>
      </c>
      <c r="L731" t="b" cm="1">
        <f t="array" aca="1" ref="L731" ca="1">ISTEXT(INDIRECT(CONCATENATE("'Contact Summary'!",L$726,$S731)))</f>
        <v>0</v>
      </c>
      <c r="M731" t="b" cm="1">
        <f t="array" aca="1" ref="M731" ca="1">ISTEXT(INDIRECT(CONCATENATE("'Contact Summary'!",M$726,$S731)))</f>
        <v>0</v>
      </c>
      <c r="N731" t="b" cm="1">
        <f t="array" aca="1" ref="N731" ca="1">ISTEXT(INDIRECT(CONCATENATE("'Contact Summary'!",N$726,$S731)))</f>
        <v>0</v>
      </c>
      <c r="O731" t="b" cm="1">
        <f t="array" aca="1" ref="O731" ca="1">ISTEXT(INDIRECT(CONCATENATE("'Contact Summary'!",O$726,$S731)))</f>
        <v>0</v>
      </c>
      <c r="P731" t="b" cm="1">
        <f t="array" aca="1" ref="P731" ca="1">INDIRECT(CONCATENATE("'Contact Summary'!",P$726,$S731))&gt;0</f>
        <v>0</v>
      </c>
      <c r="Q731" t="b" cm="1">
        <f t="array" aca="1" ref="Q731" ca="1">INDIRECT(CONCATENATE("'Contact Summary'!",Q$726,$S731))&gt;0</f>
        <v>0</v>
      </c>
      <c r="R731" t="b" cm="1">
        <f t="array" aca="1" ref="R731" ca="1">ISTEXT(INDIRECT(CONCATENATE("'Contact Summary'!",R$726,$S731)))</f>
        <v>0</v>
      </c>
      <c r="S731">
        <v>13</v>
      </c>
    </row>
    <row r="732" spans="1:26">
      <c r="A732" s="195" t="str">
        <f ca="1">IF(C732="","",MAX(A$725:A731)+1)</f>
        <v/>
      </c>
      <c r="B732" t="s">
        <v>2126</v>
      </c>
      <c r="C732" t="str" cm="1">
        <f t="array" aca="1" ref="C732" ca="1">IF(L732, INDIRECT(CONCATENATE("'Contact Summary'!",L$726,$S732)), "")</f>
        <v/>
      </c>
      <c r="D732" t="str" cm="1">
        <f t="array" aca="1" ref="D732" ca="1">IF(M732, INDIRECT(CONCATENATE("'Contact Summary'!",M$726,$S732)), "")</f>
        <v/>
      </c>
      <c r="E732" t="str" cm="1">
        <f t="array" aca="1" ref="E732" ca="1">IF(N732, INDIRECT(CONCATENATE("'Contact Summary'!",N$726,$S732)), "")</f>
        <v/>
      </c>
      <c r="F732" t="str" cm="1">
        <f t="array" aca="1" ref="F732" ca="1">IF(O732, INDIRECT(CONCATENATE("'Contact Summary'!",O$726,$S732)), "")</f>
        <v/>
      </c>
      <c r="G732" t="str" cm="1">
        <f t="array" aca="1" ref="G732" ca="1">IF(P732, INDIRECT(CONCATENATE("'Contact Summary'!",P$726,$S732)), "")</f>
        <v/>
      </c>
      <c r="H732" t="str" cm="1">
        <f t="array" aca="1" ref="H732" ca="1">IF(Q732, INDIRECT(CONCATENATE("'Contact Summary'!",Q$726,$S732)), "")</f>
        <v/>
      </c>
      <c r="I732" t="str">
        <f ca="1">IF(R732, 'Contact Summary'!J14, "")</f>
        <v/>
      </c>
      <c r="J732" t="s">
        <v>2127</v>
      </c>
      <c r="K732" t="s">
        <v>2121</v>
      </c>
      <c r="L732" t="b" cm="1">
        <f t="array" aca="1" ref="L732" ca="1">ISTEXT(INDIRECT(CONCATENATE("'Contact Summary'!",L$726,$S732)))</f>
        <v>0</v>
      </c>
      <c r="M732" t="b" cm="1">
        <f t="array" aca="1" ref="M732" ca="1">ISTEXT(INDIRECT(CONCATENATE("'Contact Summary'!",M$726,$S732)))</f>
        <v>0</v>
      </c>
      <c r="N732" t="b" cm="1">
        <f t="array" aca="1" ref="N732" ca="1">ISTEXT(INDIRECT(CONCATENATE("'Contact Summary'!",N$726,$S732)))</f>
        <v>0</v>
      </c>
      <c r="O732" t="b" cm="1">
        <f t="array" aca="1" ref="O732" ca="1">ISTEXT(INDIRECT(CONCATENATE("'Contact Summary'!",O$726,$S732)))</f>
        <v>0</v>
      </c>
      <c r="P732" t="b" cm="1">
        <f t="array" aca="1" ref="P732" ca="1">INDIRECT(CONCATENATE("'Contact Summary'!",P$726,$S732))&gt;0</f>
        <v>0</v>
      </c>
      <c r="Q732" t="b" cm="1">
        <f t="array" aca="1" ref="Q732" ca="1">INDIRECT(CONCATENATE("'Contact Summary'!",Q$726,$S732))&gt;0</f>
        <v>0</v>
      </c>
      <c r="R732" t="b" cm="1">
        <f t="array" aca="1" ref="R732" ca="1">ISTEXT(INDIRECT(CONCATENATE("'Contact Summary'!",R$726,$S732)))</f>
        <v>0</v>
      </c>
      <c r="S732">
        <v>14</v>
      </c>
    </row>
    <row r="733" spans="1:26">
      <c r="A733" s="195" t="str">
        <f ca="1">IF(C733="","",MAX(A$725:A732)+1)</f>
        <v/>
      </c>
      <c r="B733" t="s">
        <v>2128</v>
      </c>
      <c r="C733" t="str" cm="1">
        <f t="array" aca="1" ref="C733" ca="1">IF(L733, INDIRECT(CONCATENATE("'Contact Summary'!",L$726,$S733)), "")</f>
        <v/>
      </c>
      <c r="D733" t="str" cm="1">
        <f t="array" aca="1" ref="D733" ca="1">IF(M733, INDIRECT(CONCATENATE("'Contact Summary'!",M$726,$S733)), "")</f>
        <v/>
      </c>
      <c r="E733" t="str" cm="1">
        <f t="array" aca="1" ref="E733" ca="1">IF(N733, INDIRECT(CONCATENATE("'Contact Summary'!",N$726,$S733)), "")</f>
        <v/>
      </c>
      <c r="F733" t="str" cm="1">
        <f t="array" aca="1" ref="F733" ca="1">IF(O733, INDIRECT(CONCATENATE("'Contact Summary'!",O$726,$S733)), "")</f>
        <v/>
      </c>
      <c r="G733" t="str" cm="1">
        <f t="array" aca="1" ref="G733" ca="1">IF(P733, INDIRECT(CONCATENATE("'Contact Summary'!",P$726,$S733)), "")</f>
        <v/>
      </c>
      <c r="H733" t="str" cm="1">
        <f t="array" aca="1" ref="H733" ca="1">IF(Q733, INDIRECT(CONCATENATE("'Contact Summary'!",Q$726,$S733)), "")</f>
        <v/>
      </c>
      <c r="I733" t="str">
        <f ca="1">IF(R733, 'Contact Summary'!J16, "")</f>
        <v/>
      </c>
      <c r="J733" t="s">
        <v>2128</v>
      </c>
      <c r="K733" t="s">
        <v>2121</v>
      </c>
      <c r="L733" t="b" cm="1">
        <f t="array" aca="1" ref="L733" ca="1">ISTEXT(INDIRECT(CONCATENATE("'Contact Summary'!",L$726,$S733)))</f>
        <v>0</v>
      </c>
      <c r="M733" t="b" cm="1">
        <f t="array" aca="1" ref="M733" ca="1">ISTEXT(INDIRECT(CONCATENATE("'Contact Summary'!",M$726,$S733)))</f>
        <v>0</v>
      </c>
      <c r="N733" t="b" cm="1">
        <f t="array" aca="1" ref="N733" ca="1">ISTEXT(INDIRECT(CONCATENATE("'Contact Summary'!",N$726,$S733)))</f>
        <v>0</v>
      </c>
      <c r="O733" t="b" cm="1">
        <f t="array" aca="1" ref="O733" ca="1">ISTEXT(INDIRECT(CONCATENATE("'Contact Summary'!",O$726,$S733)))</f>
        <v>0</v>
      </c>
      <c r="P733" t="b" cm="1">
        <f t="array" aca="1" ref="P733" ca="1">INDIRECT(CONCATENATE("'Contact Summary'!",P$726,$S733))&gt;0</f>
        <v>0</v>
      </c>
      <c r="Q733" t="b" cm="1">
        <f t="array" aca="1" ref="Q733" ca="1">INDIRECT(CONCATENATE("'Contact Summary'!",Q$726,$S733))&gt;0</f>
        <v>0</v>
      </c>
      <c r="R733" t="b" cm="1">
        <f t="array" aca="1" ref="R733" ca="1">ISTEXT(INDIRECT(CONCATENATE("'Contact Summary'!",R$726,$S733)))</f>
        <v>0</v>
      </c>
      <c r="S733">
        <v>16</v>
      </c>
    </row>
    <row r="734" spans="1:26">
      <c r="A734" s="195" t="str">
        <f ca="1">IF(C734="","",MAX(A$725:A733)+1)</f>
        <v/>
      </c>
      <c r="B734" t="s">
        <v>2129</v>
      </c>
      <c r="C734" t="str" cm="1">
        <f t="array" aca="1" ref="C734" ca="1">IF(L734, INDIRECT(CONCATENATE("'Contact Summary'!",L$726,$S734)), "")</f>
        <v/>
      </c>
      <c r="D734" t="str" cm="1">
        <f t="array" aca="1" ref="D734" ca="1">IF(M734, INDIRECT(CONCATENATE("'Contact Summary'!",M$726,$S734)), "")</f>
        <v/>
      </c>
      <c r="E734" t="str" cm="1">
        <f t="array" aca="1" ref="E734" ca="1">IF(N734, INDIRECT(CONCATENATE("'Contact Summary'!",N$726,$S734)), "")</f>
        <v/>
      </c>
      <c r="F734" t="str" cm="1">
        <f t="array" aca="1" ref="F734" ca="1">IF(O734, INDIRECT(CONCATENATE("'Contact Summary'!",O$726,$S734)), "")</f>
        <v/>
      </c>
      <c r="G734" t="str" cm="1">
        <f t="array" aca="1" ref="G734" ca="1">IF(P734, INDIRECT(CONCATENATE("'Contact Summary'!",P$726,$S734)), "")</f>
        <v/>
      </c>
      <c r="H734" t="str" cm="1">
        <f t="array" aca="1" ref="H734" ca="1">IF(Q734, INDIRECT(CONCATENATE("'Contact Summary'!",Q$726,$S734)), "")</f>
        <v/>
      </c>
      <c r="I734" t="str">
        <f ca="1">IF(R734, 'Contact Summary'!J19, "")</f>
        <v/>
      </c>
      <c r="J734" t="s">
        <v>2130</v>
      </c>
      <c r="K734" t="s">
        <v>2121</v>
      </c>
      <c r="L734" t="b" cm="1">
        <f t="array" aca="1" ref="L734" ca="1">ISTEXT(INDIRECT(CONCATENATE("'Contact Summary'!",L$726,$S734)))</f>
        <v>0</v>
      </c>
      <c r="M734" t="b" cm="1">
        <f t="array" aca="1" ref="M734" ca="1">ISTEXT(INDIRECT(CONCATENATE("'Contact Summary'!",M$726,$S734)))</f>
        <v>0</v>
      </c>
      <c r="N734" t="b" cm="1">
        <f t="array" aca="1" ref="N734" ca="1">ISTEXT(INDIRECT(CONCATENATE("'Contact Summary'!",N$726,$S734)))</f>
        <v>0</v>
      </c>
      <c r="O734" t="b" cm="1">
        <f t="array" aca="1" ref="O734" ca="1">ISTEXT(INDIRECT(CONCATENATE("'Contact Summary'!",O$726,$S734)))</f>
        <v>0</v>
      </c>
      <c r="P734" t="b" cm="1">
        <f t="array" aca="1" ref="P734" ca="1">INDIRECT(CONCATENATE("'Contact Summary'!",P$726,$S734))&gt;0</f>
        <v>0</v>
      </c>
      <c r="Q734" t="b" cm="1">
        <f t="array" aca="1" ref="Q734" ca="1">INDIRECT(CONCATENATE("'Contact Summary'!",Q$726,$S734))&gt;0</f>
        <v>0</v>
      </c>
      <c r="R734" t="b" cm="1">
        <f t="array" aca="1" ref="R734" ca="1">ISTEXT(INDIRECT(CONCATENATE("'Contact Summary'!",R$726,$S734)))</f>
        <v>0</v>
      </c>
      <c r="S734">
        <v>19</v>
      </c>
    </row>
    <row r="735" spans="1:26">
      <c r="A735" s="195" t="str">
        <f ca="1">IF(C735="","",MAX(A$725:A734)+1)</f>
        <v/>
      </c>
      <c r="B735" t="s">
        <v>2131</v>
      </c>
      <c r="C735" t="str" cm="1">
        <f t="array" aca="1" ref="C735" ca="1">IF(L735, INDIRECT(CONCATENATE("'Contact Summary'!",L$726,$S735)), "")</f>
        <v/>
      </c>
      <c r="D735" t="str" cm="1">
        <f t="array" aca="1" ref="D735" ca="1">IF(M735, INDIRECT(CONCATENATE("'Contact Summary'!",M$726,$S735)), "")</f>
        <v/>
      </c>
      <c r="E735" t="str" cm="1">
        <f t="array" aca="1" ref="E735" ca="1">IF(N735, INDIRECT(CONCATENATE("'Contact Summary'!",N$726,$S735)), "")</f>
        <v/>
      </c>
      <c r="F735" t="str" cm="1">
        <f t="array" aca="1" ref="F735" ca="1">IF(O735, INDIRECT(CONCATENATE("'Contact Summary'!",O$726,$S735)), "")</f>
        <v/>
      </c>
      <c r="G735" t="str" cm="1">
        <f t="array" aca="1" ref="G735" ca="1">IF(P735, INDIRECT(CONCATENATE("'Contact Summary'!",P$726,$S735)), "")</f>
        <v/>
      </c>
      <c r="H735" t="str" cm="1">
        <f t="array" aca="1" ref="H735" ca="1">IF(Q735, INDIRECT(CONCATENATE("'Contact Summary'!",Q$726,$S735)), "")</f>
        <v/>
      </c>
      <c r="I735" t="str">
        <f ca="1">IF(R735, 'Contact Summary'!J20, "")</f>
        <v/>
      </c>
      <c r="J735" t="s">
        <v>2132</v>
      </c>
      <c r="K735" t="s">
        <v>2121</v>
      </c>
      <c r="L735" t="b" cm="1">
        <f t="array" aca="1" ref="L735" ca="1">ISTEXT(INDIRECT(CONCATENATE("'Contact Summary'!",L$726,$S735)))</f>
        <v>0</v>
      </c>
      <c r="M735" t="b" cm="1">
        <f t="array" aca="1" ref="M735" ca="1">ISTEXT(INDIRECT(CONCATENATE("'Contact Summary'!",M$726,$S735)))</f>
        <v>0</v>
      </c>
      <c r="N735" t="b" cm="1">
        <f t="array" aca="1" ref="N735" ca="1">ISTEXT(INDIRECT(CONCATENATE("'Contact Summary'!",N$726,$S735)))</f>
        <v>0</v>
      </c>
      <c r="O735" t="b" cm="1">
        <f t="array" aca="1" ref="O735" ca="1">ISTEXT(INDIRECT(CONCATENATE("'Contact Summary'!",O$726,$S735)))</f>
        <v>0</v>
      </c>
      <c r="P735" t="b" cm="1">
        <f t="array" aca="1" ref="P735" ca="1">INDIRECT(CONCATENATE("'Contact Summary'!",P$726,$S735))&gt;0</f>
        <v>0</v>
      </c>
      <c r="Q735" t="b" cm="1">
        <f t="array" aca="1" ref="Q735" ca="1">INDIRECT(CONCATENATE("'Contact Summary'!",Q$726,$S735))&gt;0</f>
        <v>0</v>
      </c>
      <c r="R735" t="b" cm="1">
        <f t="array" aca="1" ref="R735" ca="1">ISTEXT(INDIRECT(CONCATENATE("'Contact Summary'!",R$726,$S735)))</f>
        <v>0</v>
      </c>
      <c r="S735">
        <v>20</v>
      </c>
    </row>
    <row r="736" spans="1:26">
      <c r="A736" s="195" t="str">
        <f ca="1">IF(C736="","",MAX(A$725:A735)+1)</f>
        <v/>
      </c>
      <c r="B736" t="s">
        <v>2133</v>
      </c>
      <c r="C736" t="str" cm="1">
        <f t="array" aca="1" ref="C736" ca="1">IF(L736, INDIRECT(CONCATENATE("'Contact Summary'!",L$726,$S736)), "")</f>
        <v/>
      </c>
      <c r="D736" t="str" cm="1">
        <f t="array" aca="1" ref="D736" ca="1">IF(M736, INDIRECT(CONCATENATE("'Contact Summary'!",M$726,$S736)), "")</f>
        <v/>
      </c>
      <c r="E736" t="str" cm="1">
        <f t="array" aca="1" ref="E736" ca="1">IF(N736, INDIRECT(CONCATENATE("'Contact Summary'!",N$726,$S736)), "")</f>
        <v/>
      </c>
      <c r="F736" t="str" cm="1">
        <f t="array" aca="1" ref="F736" ca="1">IF(O736, INDIRECT(CONCATENATE("'Contact Summary'!",O$726,$S736)), "")</f>
        <v/>
      </c>
      <c r="G736" t="str" cm="1">
        <f t="array" aca="1" ref="G736" ca="1">IF(P736, INDIRECT(CONCATENATE("'Contact Summary'!",P$726,$S736)), "")</f>
        <v/>
      </c>
      <c r="H736" t="str" cm="1">
        <f t="array" aca="1" ref="H736" ca="1">IF(Q736, INDIRECT(CONCATENATE("'Contact Summary'!",Q$726,$S736)), "")</f>
        <v/>
      </c>
      <c r="I736" t="str">
        <f ca="1">IF(R736, 'Contact Summary'!J21, "")</f>
        <v/>
      </c>
      <c r="J736" t="s">
        <v>2134</v>
      </c>
      <c r="K736" t="s">
        <v>2121</v>
      </c>
      <c r="L736" t="b" cm="1">
        <f t="array" aca="1" ref="L736" ca="1">ISTEXT(INDIRECT(CONCATENATE("'Contact Summary'!",L$726,$S736)))</f>
        <v>0</v>
      </c>
      <c r="M736" t="b" cm="1">
        <f t="array" aca="1" ref="M736" ca="1">ISTEXT(INDIRECT(CONCATENATE("'Contact Summary'!",M$726,$S736)))</f>
        <v>0</v>
      </c>
      <c r="N736" t="b" cm="1">
        <f t="array" aca="1" ref="N736" ca="1">ISTEXT(INDIRECT(CONCATENATE("'Contact Summary'!",N$726,$S736)))</f>
        <v>0</v>
      </c>
      <c r="O736" t="b" cm="1">
        <f t="array" aca="1" ref="O736" ca="1">ISTEXT(INDIRECT(CONCATENATE("'Contact Summary'!",O$726,$S736)))</f>
        <v>0</v>
      </c>
      <c r="P736" t="b" cm="1">
        <f t="array" aca="1" ref="P736" ca="1">INDIRECT(CONCATENATE("'Contact Summary'!",P$726,$S736))&gt;0</f>
        <v>0</v>
      </c>
      <c r="Q736" t="b" cm="1">
        <f t="array" aca="1" ref="Q736" ca="1">INDIRECT(CONCATENATE("'Contact Summary'!",Q$726,$S736))&gt;0</f>
        <v>0</v>
      </c>
      <c r="R736" t="b" cm="1">
        <f t="array" aca="1" ref="R736" ca="1">ISTEXT(INDIRECT(CONCATENATE("'Contact Summary'!",R$726,$S736)))</f>
        <v>0</v>
      </c>
      <c r="S736">
        <v>21</v>
      </c>
    </row>
    <row r="737" spans="1:19">
      <c r="A737" s="195" t="str">
        <f ca="1">IF(C737="","",MAX(A$725:A736)+1)</f>
        <v/>
      </c>
      <c r="B737" t="s">
        <v>2135</v>
      </c>
      <c r="C737" t="str" cm="1">
        <f t="array" aca="1" ref="C737" ca="1">IF(L737, INDIRECT(CONCATENATE("'Contact Summary'!",L$726,$S737)), "")</f>
        <v/>
      </c>
      <c r="D737" t="str" cm="1">
        <f t="array" aca="1" ref="D737" ca="1">IF(M737, INDIRECT(CONCATENATE("'Contact Summary'!",M$726,$S737)), "")</f>
        <v/>
      </c>
      <c r="E737" t="str" cm="1">
        <f t="array" aca="1" ref="E737" ca="1">IF(N737, INDIRECT(CONCATENATE("'Contact Summary'!",N$726,$S737)), "")</f>
        <v/>
      </c>
      <c r="F737" t="str" cm="1">
        <f t="array" aca="1" ref="F737" ca="1">IF(O737, INDIRECT(CONCATENATE("'Contact Summary'!",O$726,$S737)), "")</f>
        <v/>
      </c>
      <c r="G737" t="str" cm="1">
        <f t="array" aca="1" ref="G737" ca="1">IF(P737, INDIRECT(CONCATENATE("'Contact Summary'!",P$726,$S737)), "")</f>
        <v/>
      </c>
      <c r="H737" t="str" cm="1">
        <f t="array" aca="1" ref="H737" ca="1">IF(Q737, INDIRECT(CONCATENATE("'Contact Summary'!",Q$726,$S737)), "")</f>
        <v/>
      </c>
      <c r="I737" t="str">
        <f ca="1">IF(R737, 'Contact Summary'!J22, "")</f>
        <v/>
      </c>
      <c r="J737" t="s">
        <v>186</v>
      </c>
      <c r="K737" t="s">
        <v>2121</v>
      </c>
      <c r="L737" t="b" cm="1">
        <f t="array" aca="1" ref="L737" ca="1">ISTEXT(INDIRECT(CONCATENATE("'Contact Summary'!",L$726,$S737)))</f>
        <v>0</v>
      </c>
      <c r="M737" t="b" cm="1">
        <f t="array" aca="1" ref="M737" ca="1">ISTEXT(INDIRECT(CONCATENATE("'Contact Summary'!",M$726,$S737)))</f>
        <v>0</v>
      </c>
      <c r="N737" t="b" cm="1">
        <f t="array" aca="1" ref="N737" ca="1">ISTEXT(INDIRECT(CONCATENATE("'Contact Summary'!",N$726,$S737)))</f>
        <v>0</v>
      </c>
      <c r="O737" t="b" cm="1">
        <f t="array" aca="1" ref="O737" ca="1">ISTEXT(INDIRECT(CONCATENATE("'Contact Summary'!",O$726,$S737)))</f>
        <v>0</v>
      </c>
      <c r="P737" t="b" cm="1">
        <f t="array" aca="1" ref="P737" ca="1">INDIRECT(CONCATENATE("'Contact Summary'!",P$726,$S737))&gt;0</f>
        <v>0</v>
      </c>
      <c r="Q737" t="b" cm="1">
        <f t="array" aca="1" ref="Q737" ca="1">INDIRECT(CONCATENATE("'Contact Summary'!",Q$726,$S737))&gt;0</f>
        <v>0</v>
      </c>
      <c r="R737" t="b" cm="1">
        <f t="array" aca="1" ref="R737" ca="1">ISTEXT(INDIRECT(CONCATENATE("'Contact Summary'!",R$726,$S737)))</f>
        <v>0</v>
      </c>
      <c r="S737">
        <v>22</v>
      </c>
    </row>
    <row r="738" spans="1:19">
      <c r="A738" s="195" t="str">
        <f ca="1">IF(C738="","",MAX(A$725:A737)+1)</f>
        <v/>
      </c>
      <c r="B738" t="s">
        <v>2096</v>
      </c>
      <c r="C738" t="str" cm="1">
        <f t="array" aca="1" ref="C738" ca="1">IF(L738, INDIRECT(CONCATENATE("'Contact Summary'!",L$726,$S738)), "")</f>
        <v/>
      </c>
      <c r="D738" t="str" cm="1">
        <f t="array" aca="1" ref="D738" ca="1">IF(M738, INDIRECT(CONCATENATE("'Contact Summary'!",M$726,$S738)), "")</f>
        <v/>
      </c>
      <c r="E738" t="str" cm="1">
        <f t="array" aca="1" ref="E738" ca="1">IF(N738, INDIRECT(CONCATENATE("'Contact Summary'!",N$726,$S738)), "")</f>
        <v/>
      </c>
      <c r="F738" t="str" cm="1">
        <f t="array" aca="1" ref="F738" ca="1">IF(O738, INDIRECT(CONCATENATE("'Contact Summary'!",O$726,$S738)), "")</f>
        <v/>
      </c>
      <c r="G738" t="str" cm="1">
        <f t="array" aca="1" ref="G738" ca="1">IF(P738, INDIRECT(CONCATENATE("'Contact Summary'!",P$726,$S738)), "")</f>
        <v/>
      </c>
      <c r="H738" t="str" cm="1">
        <f t="array" aca="1" ref="H738" ca="1">IF(Q738, INDIRECT(CONCATENATE("'Contact Summary'!",Q$726,$S738)), "")</f>
        <v/>
      </c>
      <c r="I738" t="str">
        <f ca="1">IF(R738, 'Contact Summary'!J24, "")</f>
        <v/>
      </c>
      <c r="J738" t="s">
        <v>188</v>
      </c>
      <c r="K738" t="s">
        <v>2121</v>
      </c>
      <c r="L738" t="b" cm="1">
        <f t="array" aca="1" ref="L738" ca="1">ISTEXT(INDIRECT(CONCATENATE("'Contact Summary'!",L$726,$S738)))</f>
        <v>0</v>
      </c>
      <c r="M738" t="b" cm="1">
        <f t="array" aca="1" ref="M738" ca="1">ISTEXT(INDIRECT(CONCATENATE("'Contact Summary'!",M$726,$S738)))</f>
        <v>0</v>
      </c>
      <c r="N738" t="b" cm="1">
        <f t="array" aca="1" ref="N738" ca="1">ISTEXT(INDIRECT(CONCATENATE("'Contact Summary'!",N$726,$S738)))</f>
        <v>0</v>
      </c>
      <c r="O738" t="b" cm="1">
        <f t="array" aca="1" ref="O738" ca="1">ISTEXT(INDIRECT(CONCATENATE("'Contact Summary'!",O$726,$S738)))</f>
        <v>0</v>
      </c>
      <c r="P738" t="b" cm="1">
        <f t="array" aca="1" ref="P738" ca="1">INDIRECT(CONCATENATE("'Contact Summary'!",P$726,$S738))&gt;0</f>
        <v>0</v>
      </c>
      <c r="Q738" t="b" cm="1">
        <f t="array" aca="1" ref="Q738" ca="1">INDIRECT(CONCATENATE("'Contact Summary'!",Q$726,$S738))&gt;0</f>
        <v>0</v>
      </c>
      <c r="R738" t="b" cm="1">
        <f t="array" aca="1" ref="R738" ca="1">ISTEXT(INDIRECT(CONCATENATE("'Contact Summary'!",R$726,$S738)))</f>
        <v>0</v>
      </c>
      <c r="S738">
        <v>24</v>
      </c>
    </row>
    <row r="739" spans="1:19">
      <c r="A739" s="195" t="str">
        <f ca="1">IF(C739="","",MAX(A$725:A738)+1)</f>
        <v/>
      </c>
      <c r="B739" t="s">
        <v>2136</v>
      </c>
      <c r="C739" t="str" cm="1">
        <f t="array" aca="1" ref="C739" ca="1">IF(L739, INDIRECT(CONCATENATE("'Contact Summary'!",L$726,$S739)), "")</f>
        <v/>
      </c>
      <c r="D739" t="str" cm="1">
        <f t="array" aca="1" ref="D739" ca="1">IF(M739, INDIRECT(CONCATENATE("'Contact Summary'!",M$726,$S739)), "")</f>
        <v/>
      </c>
      <c r="E739" t="str" cm="1">
        <f t="array" aca="1" ref="E739" ca="1">IF(N739, INDIRECT(CONCATENATE("'Contact Summary'!",N$726,$S739)), "")</f>
        <v/>
      </c>
      <c r="F739" t="str" cm="1">
        <f t="array" aca="1" ref="F739" ca="1">IF(O739, INDIRECT(CONCATENATE("'Contact Summary'!",O$726,$S739)), "")</f>
        <v/>
      </c>
      <c r="G739" t="str" cm="1">
        <f t="array" aca="1" ref="G739" ca="1">IF(P739, INDIRECT(CONCATENATE("'Contact Summary'!",P$726,$S739)), "")</f>
        <v/>
      </c>
      <c r="H739" t="str" cm="1">
        <f t="array" aca="1" ref="H739" ca="1">IF(Q739, INDIRECT(CONCATENATE("'Contact Summary'!",Q$726,$S739)), "")</f>
        <v/>
      </c>
      <c r="I739" t="str">
        <f ca="1">IF(R739, 'Contact Summary'!J25, "")</f>
        <v/>
      </c>
      <c r="J739" t="s">
        <v>2137</v>
      </c>
      <c r="K739" t="s">
        <v>2121</v>
      </c>
      <c r="L739" t="b" cm="1">
        <f t="array" aca="1" ref="L739" ca="1">ISTEXT(INDIRECT(CONCATENATE("'Contact Summary'!",L$726,$S739)))</f>
        <v>0</v>
      </c>
      <c r="M739" t="b" cm="1">
        <f t="array" aca="1" ref="M739" ca="1">ISTEXT(INDIRECT(CONCATENATE("'Contact Summary'!",M$726,$S739)))</f>
        <v>0</v>
      </c>
      <c r="N739" t="b" cm="1">
        <f t="array" aca="1" ref="N739" ca="1">ISTEXT(INDIRECT(CONCATENATE("'Contact Summary'!",N$726,$S739)))</f>
        <v>0</v>
      </c>
      <c r="O739" t="b" cm="1">
        <f t="array" aca="1" ref="O739" ca="1">ISTEXT(INDIRECT(CONCATENATE("'Contact Summary'!",O$726,$S739)))</f>
        <v>0</v>
      </c>
      <c r="P739" t="b" cm="1">
        <f t="array" aca="1" ref="P739" ca="1">INDIRECT(CONCATENATE("'Contact Summary'!",P$726,$S739))&gt;0</f>
        <v>0</v>
      </c>
      <c r="Q739" t="b" cm="1">
        <f t="array" aca="1" ref="Q739" ca="1">INDIRECT(CONCATENATE("'Contact Summary'!",Q$726,$S739))&gt;0</f>
        <v>0</v>
      </c>
      <c r="R739" t="b" cm="1">
        <f t="array" aca="1" ref="R739" ca="1">ISTEXT(INDIRECT(CONCATENATE("'Contact Summary'!",R$726,$S739)))</f>
        <v>0</v>
      </c>
      <c r="S739">
        <v>25</v>
      </c>
    </row>
    <row r="740" spans="1:19">
      <c r="A740" s="195" t="str">
        <f ca="1">IF(C740="","",MAX(A$725:A739)+1)</f>
        <v/>
      </c>
      <c r="B740" t="s">
        <v>2138</v>
      </c>
      <c r="C740" t="str" cm="1">
        <f t="array" aca="1" ref="C740" ca="1">IF(L740, INDIRECT(CONCATENATE("'Contact Summary'!",L$726,$S740)), "")</f>
        <v/>
      </c>
      <c r="D740" t="str" cm="1">
        <f t="array" aca="1" ref="D740" ca="1">IF(M740, INDIRECT(CONCATENATE("'Contact Summary'!",M$726,$S740)), "")</f>
        <v/>
      </c>
      <c r="E740" t="str" cm="1">
        <f t="array" aca="1" ref="E740" ca="1">IF(N740, INDIRECT(CONCATENATE("'Contact Summary'!",N$726,$S740)), "")</f>
        <v/>
      </c>
      <c r="F740" t="str" cm="1">
        <f t="array" aca="1" ref="F740" ca="1">IF(O740, INDIRECT(CONCATENATE("'Contact Summary'!",O$726,$S740)), "")</f>
        <v/>
      </c>
      <c r="G740" t="str" cm="1">
        <f t="array" aca="1" ref="G740" ca="1">IF(P740, INDIRECT(CONCATENATE("'Contact Summary'!",P$726,$S740)), "")</f>
        <v/>
      </c>
      <c r="H740" t="str" cm="1">
        <f t="array" aca="1" ref="H740" ca="1">IF(Q740, INDIRECT(CONCATENATE("'Contact Summary'!",Q$726,$S740)), "")</f>
        <v/>
      </c>
      <c r="I740" t="str">
        <f ca="1">IF(R740, 'Contact Summary'!J26, "")</f>
        <v/>
      </c>
      <c r="J740" t="s">
        <v>190</v>
      </c>
      <c r="K740" t="s">
        <v>2121</v>
      </c>
      <c r="L740" t="b" cm="1">
        <f t="array" aca="1" ref="L740" ca="1">ISTEXT(INDIRECT(CONCATENATE("'Contact Summary'!",L$726,$S740)))</f>
        <v>0</v>
      </c>
      <c r="M740" t="b" cm="1">
        <f t="array" aca="1" ref="M740" ca="1">ISTEXT(INDIRECT(CONCATENATE("'Contact Summary'!",M$726,$S740)))</f>
        <v>0</v>
      </c>
      <c r="N740" t="b" cm="1">
        <f t="array" aca="1" ref="N740" ca="1">ISTEXT(INDIRECT(CONCATENATE("'Contact Summary'!",N$726,$S740)))</f>
        <v>0</v>
      </c>
      <c r="O740" t="b" cm="1">
        <f t="array" aca="1" ref="O740" ca="1">ISTEXT(INDIRECT(CONCATENATE("'Contact Summary'!",O$726,$S740)))</f>
        <v>0</v>
      </c>
      <c r="P740" t="b" cm="1">
        <f t="array" aca="1" ref="P740" ca="1">INDIRECT(CONCATENATE("'Contact Summary'!",P$726,$S740))&gt;0</f>
        <v>0</v>
      </c>
      <c r="Q740" t="b" cm="1">
        <f t="array" aca="1" ref="Q740" ca="1">INDIRECT(CONCATENATE("'Contact Summary'!",Q$726,$S740))&gt;0</f>
        <v>0</v>
      </c>
      <c r="R740" t="b" cm="1">
        <f t="array" aca="1" ref="R740" ca="1">ISTEXT(INDIRECT(CONCATENATE("'Contact Summary'!",R$726,$S740)))</f>
        <v>0</v>
      </c>
      <c r="S740">
        <v>26</v>
      </c>
    </row>
    <row r="741" spans="1:19">
      <c r="A741" s="195" t="str">
        <f ca="1">IF(C741="","",MAX(A$725:A740)+1)</f>
        <v/>
      </c>
      <c r="B741" t="s">
        <v>2139</v>
      </c>
      <c r="C741" t="str" cm="1">
        <f t="array" aca="1" ref="C741" ca="1">IF(L741, INDIRECT(CONCATENATE("'Contact Summary'!",L$726,$S741)), "")</f>
        <v/>
      </c>
      <c r="D741" t="str" cm="1">
        <f t="array" aca="1" ref="D741" ca="1">IF(M741, INDIRECT(CONCATENATE("'Contact Summary'!",M$726,$S741)), "")</f>
        <v/>
      </c>
      <c r="E741" t="str" cm="1">
        <f t="array" aca="1" ref="E741" ca="1">IF(N741, INDIRECT(CONCATENATE("'Contact Summary'!",N$726,$S741)), "")</f>
        <v/>
      </c>
      <c r="F741" t="str" cm="1">
        <f t="array" aca="1" ref="F741" ca="1">IF(O741, INDIRECT(CONCATENATE("'Contact Summary'!",O$726,$S741)), "")</f>
        <v/>
      </c>
      <c r="G741" t="str" cm="1">
        <f t="array" aca="1" ref="G741" ca="1">IF(P741, INDIRECT(CONCATENATE("'Contact Summary'!",P$726,$S741)), "")</f>
        <v/>
      </c>
      <c r="H741" t="str" cm="1">
        <f t="array" aca="1" ref="H741" ca="1">IF(Q741, INDIRECT(CONCATENATE("'Contact Summary'!",Q$726,$S741)), "")</f>
        <v/>
      </c>
      <c r="I741" t="str">
        <f ca="1">IF(R741, 'Contact Summary'!J27, "")</f>
        <v/>
      </c>
      <c r="J741" t="s">
        <v>191</v>
      </c>
      <c r="K741" t="s">
        <v>2121</v>
      </c>
      <c r="L741" t="b" cm="1">
        <f t="array" aca="1" ref="L741" ca="1">ISTEXT(INDIRECT(CONCATENATE("'Contact Summary'!",L$726,$S741)))</f>
        <v>0</v>
      </c>
      <c r="M741" t="b" cm="1">
        <f t="array" aca="1" ref="M741" ca="1">ISTEXT(INDIRECT(CONCATENATE("'Contact Summary'!",M$726,$S741)))</f>
        <v>0</v>
      </c>
      <c r="N741" t="b" cm="1">
        <f t="array" aca="1" ref="N741" ca="1">ISTEXT(INDIRECT(CONCATENATE("'Contact Summary'!",N$726,$S741)))</f>
        <v>0</v>
      </c>
      <c r="O741" t="b" cm="1">
        <f t="array" aca="1" ref="O741" ca="1">ISTEXT(INDIRECT(CONCATENATE("'Contact Summary'!",O$726,$S741)))</f>
        <v>0</v>
      </c>
      <c r="P741" t="b" cm="1">
        <f t="array" aca="1" ref="P741" ca="1">INDIRECT(CONCATENATE("'Contact Summary'!",P$726,$S741))&gt;0</f>
        <v>0</v>
      </c>
      <c r="Q741" t="b" cm="1">
        <f t="array" aca="1" ref="Q741" ca="1">INDIRECT(CONCATENATE("'Contact Summary'!",Q$726,$S741))&gt;0</f>
        <v>0</v>
      </c>
      <c r="R741" t="b" cm="1">
        <f t="array" aca="1" ref="R741" ca="1">ISTEXT(INDIRECT(CONCATENATE("'Contact Summary'!",R$726,$S741)))</f>
        <v>0</v>
      </c>
      <c r="S741">
        <v>27</v>
      </c>
    </row>
    <row r="742" spans="1:19">
      <c r="A742" s="195" t="str">
        <f ca="1">IF(C742="","",MAX(A$725:A741)+1)</f>
        <v/>
      </c>
      <c r="B742" t="s">
        <v>4132</v>
      </c>
      <c r="C742" t="str" cm="1">
        <f t="array" aca="1" ref="C742" ca="1">IF(L742, INDIRECT(CONCATENATE("'Contact Summary'!",L$726,$S742)), "")</f>
        <v/>
      </c>
      <c r="D742" t="str" cm="1">
        <f t="array" aca="1" ref="D742" ca="1">IF(M742, INDIRECT(CONCATENATE("'Contact Summary'!",M$726,$S742)), "")</f>
        <v/>
      </c>
      <c r="E742" t="str" cm="1">
        <f t="array" aca="1" ref="E742" ca="1">IF(N742, INDIRECT(CONCATENATE("'Contact Summary'!",N$726,$S742)), "")</f>
        <v/>
      </c>
      <c r="F742" t="str" cm="1">
        <f t="array" aca="1" ref="F742" ca="1">IF(O742, INDIRECT(CONCATENATE("'Contact Summary'!",O$726,$S742)), "")</f>
        <v/>
      </c>
      <c r="G742" t="str" cm="1">
        <f t="array" aca="1" ref="G742" ca="1">IF(P742, INDIRECT(CONCATENATE("'Contact Summary'!",P$726,$S742)), "")</f>
        <v/>
      </c>
      <c r="H742" t="str" cm="1">
        <f t="array" aca="1" ref="H742" ca="1">IF(Q742, INDIRECT(CONCATENATE("'Contact Summary'!",Q$726,$S742)), "")</f>
        <v/>
      </c>
      <c r="I742" t="str">
        <f ca="1">IF(R742, 'Contact Summary'!J5, "")</f>
        <v/>
      </c>
      <c r="J742" t="s">
        <v>4132</v>
      </c>
      <c r="K742" t="s">
        <v>2121</v>
      </c>
      <c r="L742" t="b" cm="1">
        <f t="array" aca="1" ref="L742" ca="1">ISTEXT(INDIRECT(CONCATENATE("'Contact Summary'!",L$726,$S742)))</f>
        <v>0</v>
      </c>
      <c r="M742" t="b" cm="1">
        <f t="array" aca="1" ref="M742" ca="1">ISTEXT(INDIRECT(CONCATENATE("'Contact Summary'!",M$726,$S742)))</f>
        <v>0</v>
      </c>
      <c r="N742" t="b" cm="1">
        <f t="array" aca="1" ref="N742" ca="1">ISTEXT(INDIRECT(CONCATENATE("'Contact Summary'!",N$726,$S742)))</f>
        <v>0</v>
      </c>
      <c r="O742" t="b" cm="1">
        <f t="array" aca="1" ref="O742" ca="1">ISTEXT(INDIRECT(CONCATENATE("'Contact Summary'!",O$726,$S742)))</f>
        <v>0</v>
      </c>
      <c r="P742" t="b" cm="1">
        <f t="array" aca="1" ref="P742" ca="1">INDIRECT(CONCATENATE("'Contact Summary'!",P$726,$S742))&gt;0</f>
        <v>0</v>
      </c>
      <c r="Q742" t="b" cm="1">
        <f t="array" aca="1" ref="Q742" ca="1">INDIRECT(CONCATENATE("'Contact Summary'!",Q$726,$S742))&gt;0</f>
        <v>0</v>
      </c>
      <c r="R742" t="b" cm="1">
        <f t="array" aca="1" ref="R742" ca="1">ISTEXT(INDIRECT(CONCATENATE("'Contact Summary'!",R$726,$S742)))</f>
        <v>0</v>
      </c>
      <c r="S742">
        <v>5</v>
      </c>
    </row>
    <row r="743" spans="1:19" s="319" customFormat="1">
      <c r="A743" s="627"/>
      <c r="B743" s="627"/>
      <c r="C743" s="627"/>
      <c r="D743" s="627"/>
      <c r="E743" s="627"/>
      <c r="F743" s="627"/>
      <c r="G743" s="627"/>
      <c r="H743" s="627"/>
      <c r="I743" s="627"/>
      <c r="J743" s="627"/>
      <c r="K743" s="627"/>
    </row>
    <row r="748" spans="1:19">
      <c r="A748" t="str">
        <f>'Contact Summary'!A45</f>
        <v xml:space="preserve">Has the applicant, or other principals of the development's ownership entity, previously received tax credits in Colorado? </v>
      </c>
      <c r="B748" t="s">
        <v>2140</v>
      </c>
      <c r="C748" t="b">
        <f>'Contact Information'!B40= "Yes"</f>
        <v>0</v>
      </c>
      <c r="D748" t="s">
        <v>2141</v>
      </c>
    </row>
    <row r="749" spans="1:19">
      <c r="A749" t="str">
        <f>'Contact Summary'!A50</f>
        <v>Has the applicant, or other principals of the development's ownership entity, previously received tax credits in other states?</v>
      </c>
      <c r="B749" t="s">
        <v>2142</v>
      </c>
      <c r="C749" t="b">
        <f>'Contact Information'!B42 = "Yes"</f>
        <v>0</v>
      </c>
      <c r="D749" t="s">
        <v>2143</v>
      </c>
    </row>
    <row r="750" spans="1:19">
      <c r="A750" t="s">
        <v>2144</v>
      </c>
      <c r="B750" t="s">
        <v>2145</v>
      </c>
      <c r="C750" s="319" t="b">
        <f>'Contact Information'!B358="Bonds are Private Placement"</f>
        <v>0</v>
      </c>
      <c r="D750" t="s">
        <v>2146</v>
      </c>
    </row>
    <row r="751" spans="1:19">
      <c r="A751" t="s">
        <v>2147</v>
      </c>
      <c r="B751" t="s">
        <v>2148</v>
      </c>
      <c r="C751" s="319" t="b">
        <f>'Contact Information'!B358="Bonds are Public Placement"</f>
        <v>0</v>
      </c>
      <c r="D751" t="s">
        <v>2149</v>
      </c>
    </row>
    <row r="752" spans="1:19">
      <c r="A752" t="s">
        <v>2150</v>
      </c>
      <c r="B752" t="s">
        <v>2151</v>
      </c>
      <c r="C752" t="str">
        <f>CONCATENATE('Contact Summary'!B31)</f>
        <v>0</v>
      </c>
      <c r="D752" t="s">
        <v>2152</v>
      </c>
    </row>
    <row r="753" spans="1:4">
      <c r="A753" t="s">
        <v>2153</v>
      </c>
      <c r="B753" t="s">
        <v>2154</v>
      </c>
      <c r="C753" s="319" t="str">
        <f>CONCATENATE('Contact Summary'!G31, " ", 'Contact Summary'!H31)</f>
        <v>0 0</v>
      </c>
      <c r="D753" t="s">
        <v>2155</v>
      </c>
    </row>
    <row r="754" spans="1:4">
      <c r="A754" t="s">
        <v>2111</v>
      </c>
      <c r="B754" t="s">
        <v>2156</v>
      </c>
      <c r="C754" t="str">
        <f>CONCATENATE('Contact Summary'!C31)</f>
        <v>0</v>
      </c>
      <c r="D754" t="s">
        <v>2157</v>
      </c>
    </row>
    <row r="755" spans="1:4">
      <c r="A755" t="s">
        <v>123</v>
      </c>
      <c r="B755" t="s">
        <v>2158</v>
      </c>
      <c r="C755" t="str">
        <f>CONCATENATE('Contact Summary'!D31)</f>
        <v>0</v>
      </c>
      <c r="D755" t="s">
        <v>2159</v>
      </c>
    </row>
    <row r="756" spans="1:4">
      <c r="A756" t="s">
        <v>2160</v>
      </c>
      <c r="B756" t="s">
        <v>2161</v>
      </c>
      <c r="C756" t="str">
        <f>CONCATENATE('Contact Summary'!F31)</f>
        <v>0</v>
      </c>
      <c r="D756" t="s">
        <v>2162</v>
      </c>
    </row>
    <row r="757" spans="1:4">
      <c r="A757" t="s">
        <v>2163</v>
      </c>
      <c r="B757" t="s">
        <v>2164</v>
      </c>
      <c r="C757" t="str">
        <f>CONCATENATE('Contact Summary'!I31)</f>
        <v>0</v>
      </c>
      <c r="D757" t="s">
        <v>2165</v>
      </c>
    </row>
    <row r="758" spans="1:4">
      <c r="A758" t="s">
        <v>2166</v>
      </c>
      <c r="C758" t="str">
        <f>CONCATENATE('Contact Summary'!E31)</f>
        <v>0</v>
      </c>
    </row>
    <row r="759" spans="1:4">
      <c r="A759" t="s">
        <v>2167</v>
      </c>
      <c r="C759" t="str">
        <f>CONCATENATE('Contact Summary'!J31)</f>
        <v>0</v>
      </c>
    </row>
    <row r="760" spans="1:4">
      <c r="A760" t="s">
        <v>2168</v>
      </c>
      <c r="B760" t="s">
        <v>2169</v>
      </c>
      <c r="C760" t="str">
        <f>CONCATENATE('Contact Summary'!B35)</f>
        <v>0</v>
      </c>
      <c r="D760" t="s">
        <v>2170</v>
      </c>
    </row>
    <row r="761" spans="1:4">
      <c r="A761" t="s">
        <v>2153</v>
      </c>
      <c r="B761" t="s">
        <v>2171</v>
      </c>
      <c r="C761" s="319" t="str">
        <f>CONCATENATE('Contact Summary'!G35, " ", 'Contact Summary'!H35)</f>
        <v>0 0</v>
      </c>
      <c r="D761" t="s">
        <v>2172</v>
      </c>
    </row>
    <row r="762" spans="1:4">
      <c r="A762" t="s">
        <v>2111</v>
      </c>
      <c r="B762" t="s">
        <v>2173</v>
      </c>
      <c r="C762" t="str">
        <f>CONCATENATE('Contact Summary'!C35)</f>
        <v>0</v>
      </c>
      <c r="D762" t="s">
        <v>2174</v>
      </c>
    </row>
    <row r="763" spans="1:4">
      <c r="A763" t="s">
        <v>2175</v>
      </c>
      <c r="B763" t="s">
        <v>2176</v>
      </c>
      <c r="C763" t="str">
        <f>CONCATENATE('Contact Summary'!D35)</f>
        <v>0</v>
      </c>
      <c r="D763" t="s">
        <v>2177</v>
      </c>
    </row>
    <row r="764" spans="1:4">
      <c r="A764" t="s">
        <v>2160</v>
      </c>
      <c r="B764" t="s">
        <v>2178</v>
      </c>
      <c r="C764" t="str">
        <f>CONCATENATE('Contact Summary'!F35)</f>
        <v>0</v>
      </c>
      <c r="D764" t="s">
        <v>2179</v>
      </c>
    </row>
    <row r="765" spans="1:4">
      <c r="A765" t="s">
        <v>2180</v>
      </c>
      <c r="B765" t="s">
        <v>2181</v>
      </c>
      <c r="C765" t="str">
        <f>CONCATENATE('Contact Summary'!I35)</f>
        <v>0</v>
      </c>
      <c r="D765" t="s">
        <v>2182</v>
      </c>
    </row>
    <row r="766" spans="1:4">
      <c r="A766" t="s">
        <v>124</v>
      </c>
      <c r="C766" t="str">
        <f>CONCATENATE('Contact Summary'!E35)</f>
        <v>0</v>
      </c>
    </row>
    <row r="767" spans="1:4">
      <c r="A767" t="s">
        <v>120</v>
      </c>
      <c r="C767" t="str">
        <f>CONCATENATE('Contact Summary'!J35)</f>
        <v>0</v>
      </c>
    </row>
    <row r="768" spans="1:4">
      <c r="A768" t="s">
        <v>2183</v>
      </c>
      <c r="B768" t="s">
        <v>2184</v>
      </c>
      <c r="C768" s="319" t="str">
        <f>CONCATENATE('Contact Summary'!G32, " ", 'Contact Summary'!H32)</f>
        <v>0 0</v>
      </c>
    </row>
    <row r="769" spans="1:20">
      <c r="A769" t="s">
        <v>2185</v>
      </c>
      <c r="C769" s="319" t="str">
        <f>CONCATENATE('Contact Summary'!J32)</f>
        <v>0</v>
      </c>
    </row>
    <row r="770" spans="1:20">
      <c r="A770" t="s">
        <v>1018</v>
      </c>
      <c r="B770" t="s">
        <v>2186</v>
      </c>
      <c r="C770">
        <f>Calculations!L267</f>
        <v>0</v>
      </c>
      <c r="D770" t="s">
        <v>2187</v>
      </c>
    </row>
    <row r="771" spans="1:20">
      <c r="A771" t="s">
        <v>2188</v>
      </c>
      <c r="B771" t="s">
        <v>2189</v>
      </c>
      <c r="C771">
        <f>Calculations!B26</f>
        <v>0</v>
      </c>
      <c r="D771" t="s">
        <v>2190</v>
      </c>
    </row>
    <row r="772" spans="1:20">
      <c r="A772" t="s">
        <v>222</v>
      </c>
      <c r="C772" s="648" t="str">
        <f>Application!B11</f>
        <v/>
      </c>
    </row>
    <row r="773" spans="1:20">
      <c r="A773" t="s">
        <v>229</v>
      </c>
      <c r="B773" t="s">
        <v>2191</v>
      </c>
      <c r="C773">
        <f>Application!B17</f>
        <v>0</v>
      </c>
      <c r="D773" t="s">
        <v>2192</v>
      </c>
      <c r="E773" t="s">
        <v>2193</v>
      </c>
    </row>
    <row r="774" spans="1:20" s="319" customFormat="1">
      <c r="A774" s="319" t="s">
        <v>230</v>
      </c>
      <c r="C774" s="319">
        <f>Application!B18</f>
        <v>0</v>
      </c>
    </row>
    <row r="775" spans="1:20">
      <c r="A775" t="s">
        <v>4116</v>
      </c>
      <c r="C775">
        <f>Calculations!C631</f>
        <v>0</v>
      </c>
    </row>
    <row r="776" spans="1:20" s="319" customFormat="1">
      <c r="A776" s="319" t="s">
        <v>4075</v>
      </c>
      <c r="C776" s="319" t="b">
        <f>Application!$B$12="Yes"</f>
        <v>0</v>
      </c>
    </row>
    <row r="777" spans="1:20" s="319" customFormat="1">
      <c r="A777" s="319" t="s">
        <v>4049</v>
      </c>
      <c r="C777" s="319">
        <f>Calculations!B611</f>
        <v>0</v>
      </c>
    </row>
    <row r="778" spans="1:20" s="71" customFormat="1">
      <c r="A778" t="s">
        <v>379</v>
      </c>
      <c r="B778" t="s">
        <v>2194</v>
      </c>
      <c r="C778" s="319">
        <f>Financing!B39</f>
        <v>0</v>
      </c>
      <c r="D778" s="319" t="s">
        <v>2195</v>
      </c>
      <c r="E778"/>
      <c r="F778"/>
      <c r="G778"/>
      <c r="H778"/>
      <c r="I778"/>
      <c r="J778"/>
      <c r="K778"/>
      <c r="L778"/>
      <c r="M778"/>
      <c r="N778"/>
      <c r="O778"/>
      <c r="P778"/>
      <c r="Q778"/>
      <c r="R778"/>
      <c r="S778"/>
      <c r="T778"/>
    </row>
    <row r="779" spans="1:20" s="71" customFormat="1">
      <c r="A779" t="s">
        <v>806</v>
      </c>
      <c r="B779"/>
      <c r="C779" t="str">
        <f>CONCATENATE('Contact Summary'!G33, " ", 'Contact Summary'!H33)</f>
        <v>0 0</v>
      </c>
      <c r="D779"/>
      <c r="E779"/>
      <c r="F779"/>
      <c r="G779"/>
      <c r="H779"/>
      <c r="I779"/>
      <c r="J779"/>
      <c r="K779"/>
      <c r="L779"/>
      <c r="M779"/>
      <c r="N779"/>
      <c r="O779"/>
      <c r="P779"/>
      <c r="Q779"/>
      <c r="R779"/>
      <c r="S779"/>
      <c r="T779"/>
    </row>
    <row r="780" spans="1:20" s="18" customFormat="1">
      <c r="A780" t="s">
        <v>2196</v>
      </c>
      <c r="B780"/>
      <c r="C780" s="18" t="str">
        <f>CONCATENATE('Contact Summary'!J33)</f>
        <v>0</v>
      </c>
    </row>
    <row r="781" spans="1:20">
      <c r="A781" t="s">
        <v>2197</v>
      </c>
      <c r="B781" t="s">
        <v>2198</v>
      </c>
      <c r="C781">
        <f>Calculations!B362</f>
        <v>0</v>
      </c>
      <c r="D781" t="s">
        <v>2199</v>
      </c>
    </row>
    <row r="782" spans="1:20">
      <c r="A782" t="s">
        <v>2200</v>
      </c>
      <c r="B782" t="s">
        <v>2201</v>
      </c>
      <c r="C782">
        <f>Calculations!B363</f>
        <v>0</v>
      </c>
      <c r="D782" t="s">
        <v>2202</v>
      </c>
    </row>
    <row r="783" spans="1:20">
      <c r="A783" t="s">
        <v>946</v>
      </c>
      <c r="B783" t="s">
        <v>2203</v>
      </c>
      <c r="C783">
        <f>Calculations!B364</f>
        <v>0</v>
      </c>
      <c r="D783" t="s">
        <v>2204</v>
      </c>
    </row>
    <row r="784" spans="1:20">
      <c r="A784" t="s">
        <v>557</v>
      </c>
      <c r="B784" t="s">
        <v>2205</v>
      </c>
      <c r="C784">
        <f>'Proforma, Income &amp; Expense'!B18</f>
        <v>0</v>
      </c>
      <c r="D784" t="s">
        <v>2206</v>
      </c>
    </row>
    <row r="787" spans="1:6">
      <c r="A787" t="s">
        <v>2207</v>
      </c>
      <c r="B787" t="s">
        <v>2208</v>
      </c>
      <c r="C787" t="e">
        <f>IF($E$787=2, Calculations!$H$45, 0)</f>
        <v>#N/A</v>
      </c>
      <c r="D787" t="s">
        <v>2209</v>
      </c>
      <c r="E787" t="e">
        <f>MATCH(Application!$B$9, Developer_Additional_Question_Table[Developer Additional Question], 0)</f>
        <v>#N/A</v>
      </c>
      <c r="F787" s="300" t="s">
        <v>2210</v>
      </c>
    </row>
    <row r="788" spans="1:6">
      <c r="A788" t="s">
        <v>2211</v>
      </c>
      <c r="B788" t="s">
        <v>2212</v>
      </c>
      <c r="C788" t="e">
        <f>IF($E$787=2, Calculations!$B$404, 0)</f>
        <v>#N/A</v>
      </c>
      <c r="D788" t="s">
        <v>2213</v>
      </c>
      <c r="E788" t="s">
        <v>2214</v>
      </c>
    </row>
    <row r="789" spans="1:6">
      <c r="A789" t="s">
        <v>2215</v>
      </c>
      <c r="B789" t="s">
        <v>2216</v>
      </c>
      <c r="C789" t="e">
        <f>IF($E$787=1, Calculations!$H$45, 0)</f>
        <v>#N/A</v>
      </c>
      <c r="D789" t="s">
        <v>2217</v>
      </c>
    </row>
    <row r="790" spans="1:6">
      <c r="A790" t="s">
        <v>2218</v>
      </c>
      <c r="B790" t="s">
        <v>2219</v>
      </c>
      <c r="C790" s="70" t="e">
        <f>IF($E$787=1, Calculations!$B$404, 0)</f>
        <v>#N/A</v>
      </c>
      <c r="D790" t="s">
        <v>2220</v>
      </c>
      <c r="E790" t="s">
        <v>2221</v>
      </c>
    </row>
    <row r="794" spans="1:6">
      <c r="A794" t="s">
        <v>2222</v>
      </c>
      <c r="B794" t="s">
        <v>2223</v>
      </c>
      <c r="C794" s="319" t="b">
        <f>'Cost Summary'!C5="Yes"</f>
        <v>0</v>
      </c>
    </row>
    <row r="795" spans="1:6">
      <c r="A795" s="65" t="str">
        <f>'Cost Summary'!B8</f>
        <v>General Requirements</v>
      </c>
      <c r="B795" t="s">
        <v>2224</v>
      </c>
      <c r="C795" s="12">
        <f>'Cost Summary'!C8</f>
        <v>0</v>
      </c>
      <c r="D795" t="s">
        <v>2225</v>
      </c>
    </row>
    <row r="796" spans="1:6">
      <c r="A796" s="65" t="str">
        <f>'Cost Summary'!B9</f>
        <v>Existing Conditions</v>
      </c>
      <c r="B796" t="s">
        <v>2226</v>
      </c>
      <c r="C796" s="12">
        <f>'Cost Summary'!C9</f>
        <v>0</v>
      </c>
      <c r="D796" t="s">
        <v>2227</v>
      </c>
    </row>
    <row r="797" spans="1:6">
      <c r="A797" s="65" t="str">
        <f>'Cost Summary'!B10</f>
        <v>Concrete</v>
      </c>
      <c r="B797" t="s">
        <v>2228</v>
      </c>
      <c r="C797" s="12">
        <f>'Cost Summary'!C10</f>
        <v>0</v>
      </c>
      <c r="D797" t="s">
        <v>2229</v>
      </c>
    </row>
    <row r="798" spans="1:6">
      <c r="A798" s="65" t="str">
        <f>'Cost Summary'!B11</f>
        <v>Masonry</v>
      </c>
      <c r="B798" t="s">
        <v>2230</v>
      </c>
      <c r="C798" s="12">
        <f>'Cost Summary'!C11</f>
        <v>0</v>
      </c>
      <c r="D798" t="s">
        <v>2231</v>
      </c>
    </row>
    <row r="799" spans="1:6">
      <c r="A799" s="65" t="str">
        <f>'Cost Summary'!B12</f>
        <v>Metals</v>
      </c>
      <c r="B799" t="s">
        <v>2232</v>
      </c>
      <c r="C799" s="12">
        <f>'Cost Summary'!C12</f>
        <v>0</v>
      </c>
      <c r="D799" t="s">
        <v>2233</v>
      </c>
    </row>
    <row r="800" spans="1:6">
      <c r="A800" s="65" t="str">
        <f>'Cost Summary'!B13</f>
        <v>Wood, Plastics &amp; Composites</v>
      </c>
      <c r="B800" t="s">
        <v>2234</v>
      </c>
      <c r="C800" s="12">
        <f>'Cost Summary'!C13</f>
        <v>0</v>
      </c>
      <c r="D800" t="s">
        <v>2235</v>
      </c>
    </row>
    <row r="801" spans="1:4">
      <c r="A801" s="65" t="str">
        <f>'Cost Summary'!B14</f>
        <v>Thermal and Moisture Protection</v>
      </c>
      <c r="B801" t="s">
        <v>2236</v>
      </c>
      <c r="C801" s="12">
        <f>'Cost Summary'!C14</f>
        <v>0</v>
      </c>
      <c r="D801" t="s">
        <v>2237</v>
      </c>
    </row>
    <row r="802" spans="1:4">
      <c r="A802" s="65" t="str">
        <f>'Cost Summary'!B15</f>
        <v>Openings</v>
      </c>
      <c r="B802" t="s">
        <v>2238</v>
      </c>
      <c r="C802" s="12">
        <f>'Cost Summary'!C15</f>
        <v>0</v>
      </c>
      <c r="D802" t="s">
        <v>2239</v>
      </c>
    </row>
    <row r="803" spans="1:4">
      <c r="A803" s="65" t="str">
        <f>'Cost Summary'!B16</f>
        <v>Finishes</v>
      </c>
      <c r="B803" t="s">
        <v>2240</v>
      </c>
      <c r="C803" s="12">
        <f>'Cost Summary'!C16</f>
        <v>0</v>
      </c>
      <c r="D803" t="s">
        <v>2241</v>
      </c>
    </row>
    <row r="804" spans="1:4">
      <c r="A804" s="65" t="str">
        <f>'Cost Summary'!B17</f>
        <v>Specialties</v>
      </c>
      <c r="B804" t="s">
        <v>2242</v>
      </c>
      <c r="C804" s="12">
        <f>'Cost Summary'!C17</f>
        <v>0</v>
      </c>
      <c r="D804" t="s">
        <v>2243</v>
      </c>
    </row>
    <row r="805" spans="1:4">
      <c r="A805" s="65" t="str">
        <f>'Cost Summary'!B18</f>
        <v>Equipment</v>
      </c>
      <c r="B805" t="s">
        <v>2244</v>
      </c>
      <c r="C805" s="12">
        <f>'Cost Summary'!C18</f>
        <v>0</v>
      </c>
      <c r="D805" t="s">
        <v>2245</v>
      </c>
    </row>
    <row r="806" spans="1:4">
      <c r="A806" s="65" t="str">
        <f>'Cost Summary'!B19</f>
        <v>Furnishings</v>
      </c>
      <c r="B806" t="s">
        <v>2246</v>
      </c>
      <c r="C806" s="12">
        <f>'Cost Summary'!C19</f>
        <v>0</v>
      </c>
      <c r="D806" t="s">
        <v>2247</v>
      </c>
    </row>
    <row r="807" spans="1:4">
      <c r="A807" s="65" t="str">
        <f>'Cost Summary'!B20</f>
        <v>Special Construction</v>
      </c>
      <c r="B807" t="s">
        <v>2248</v>
      </c>
      <c r="C807" s="12">
        <f>'Cost Summary'!C20</f>
        <v>0</v>
      </c>
      <c r="D807" t="s">
        <v>2249</v>
      </c>
    </row>
    <row r="808" spans="1:4">
      <c r="A808" s="65" t="str">
        <f>'Cost Summary'!B21</f>
        <v>Conveying Equipment</v>
      </c>
      <c r="B808" t="s">
        <v>2250</v>
      </c>
      <c r="C808" s="12">
        <f>'Cost Summary'!C21</f>
        <v>0</v>
      </c>
      <c r="D808" t="s">
        <v>2251</v>
      </c>
    </row>
    <row r="809" spans="1:4">
      <c r="A809" s="65" t="str">
        <f>'Cost Summary'!B22</f>
        <v>Fire Suppression</v>
      </c>
      <c r="B809" t="s">
        <v>2252</v>
      </c>
      <c r="C809" s="12">
        <f>'Cost Summary'!C22</f>
        <v>0</v>
      </c>
      <c r="D809" t="s">
        <v>2253</v>
      </c>
    </row>
    <row r="810" spans="1:4">
      <c r="A810" s="65" t="str">
        <f>'Cost Summary'!B23</f>
        <v>Plumbing</v>
      </c>
      <c r="B810" t="s">
        <v>2254</v>
      </c>
      <c r="C810" s="12">
        <f>'Cost Summary'!C23</f>
        <v>0</v>
      </c>
      <c r="D810" t="s">
        <v>2255</v>
      </c>
    </row>
    <row r="811" spans="1:4">
      <c r="A811" s="65" t="str">
        <f>'Cost Summary'!B24</f>
        <v>Heating Ventilation Air Conditioning</v>
      </c>
      <c r="B811" t="s">
        <v>2256</v>
      </c>
      <c r="C811" s="12">
        <f>'Cost Summary'!C24</f>
        <v>0</v>
      </c>
      <c r="D811" t="s">
        <v>2257</v>
      </c>
    </row>
    <row r="812" spans="1:4">
      <c r="A812" s="65" t="str">
        <f>'Cost Summary'!B25</f>
        <v>Integrated Automation</v>
      </c>
      <c r="B812" t="s">
        <v>2258</v>
      </c>
      <c r="C812" s="12">
        <f>'Cost Summary'!C25</f>
        <v>0</v>
      </c>
      <c r="D812" t="s">
        <v>2259</v>
      </c>
    </row>
    <row r="813" spans="1:4">
      <c r="A813" s="65" t="str">
        <f>'Cost Summary'!B26</f>
        <v>Electrical</v>
      </c>
      <c r="B813" t="s">
        <v>2260</v>
      </c>
      <c r="C813" s="12">
        <f>'Cost Summary'!C26</f>
        <v>0</v>
      </c>
      <c r="D813" t="s">
        <v>2261</v>
      </c>
    </row>
    <row r="814" spans="1:4">
      <c r="A814" s="65" t="str">
        <f>'Cost Summary'!B27</f>
        <v>Communications</v>
      </c>
      <c r="B814" t="s">
        <v>2262</v>
      </c>
      <c r="C814" s="12">
        <f>'Cost Summary'!C27</f>
        <v>0</v>
      </c>
      <c r="D814" t="s">
        <v>2263</v>
      </c>
    </row>
    <row r="815" spans="1:4">
      <c r="A815" s="65" t="str">
        <f>'Cost Summary'!B28</f>
        <v>Electronic Safety &amp; Security</v>
      </c>
      <c r="B815" t="s">
        <v>2264</v>
      </c>
      <c r="C815" s="12">
        <f>'Cost Summary'!C28</f>
        <v>0</v>
      </c>
      <c r="D815" t="s">
        <v>2265</v>
      </c>
    </row>
    <row r="816" spans="1:4">
      <c r="A816" s="65" t="str">
        <f>'Cost Summary'!B29</f>
        <v>Earthwork</v>
      </c>
      <c r="B816" t="s">
        <v>2266</v>
      </c>
      <c r="C816" s="12">
        <f>'Cost Summary'!C29</f>
        <v>0</v>
      </c>
      <c r="D816" t="s">
        <v>2267</v>
      </c>
    </row>
    <row r="817" spans="1:4">
      <c r="A817" s="65" t="str">
        <f>'Cost Summary'!B30</f>
        <v>Exterior Improvements</v>
      </c>
      <c r="B817" t="s">
        <v>2268</v>
      </c>
      <c r="C817" s="12">
        <f>'Cost Summary'!C30</f>
        <v>0</v>
      </c>
      <c r="D817" t="s">
        <v>2269</v>
      </c>
    </row>
    <row r="818" spans="1:4">
      <c r="A818" s="65" t="str">
        <f>'Cost Summary'!B31</f>
        <v>Utilities</v>
      </c>
      <c r="B818" t="s">
        <v>2270</v>
      </c>
      <c r="C818" s="12">
        <f>'Cost Summary'!C31</f>
        <v>0</v>
      </c>
      <c r="D818" t="s">
        <v>2271</v>
      </c>
    </row>
    <row r="819" spans="1:4">
      <c r="A819" s="65" t="str">
        <f>'Cost Summary'!B32</f>
        <v>Transportation</v>
      </c>
      <c r="B819" t="s">
        <v>2272</v>
      </c>
      <c r="C819" s="12">
        <f>'Cost Summary'!C32</f>
        <v>0</v>
      </c>
      <c r="D819" t="s">
        <v>2273</v>
      </c>
    </row>
    <row r="820" spans="1:4">
      <c r="A820" s="65" t="s">
        <v>2274</v>
      </c>
      <c r="C820" s="12">
        <f>'Cost Summary'!C33</f>
        <v>0</v>
      </c>
      <c r="D820" t="s">
        <v>2275</v>
      </c>
    </row>
    <row r="821" spans="1:4">
      <c r="A821" s="65" t="str">
        <f>'Cost Summary'!B34</f>
        <v>[Other - describe]</v>
      </c>
      <c r="B821" t="s">
        <v>2276</v>
      </c>
      <c r="C821" s="12">
        <f>'Cost Summary'!C34</f>
        <v>0</v>
      </c>
      <c r="D821" t="s">
        <v>2277</v>
      </c>
    </row>
    <row r="822" spans="1:4">
      <c r="A822" s="65" t="str">
        <f>'Cost Summary'!B35</f>
        <v>[Other - describe]</v>
      </c>
      <c r="B822" t="s">
        <v>2278</v>
      </c>
      <c r="C822" s="12">
        <f>'Cost Summary'!C35</f>
        <v>0</v>
      </c>
      <c r="D822" t="s">
        <v>2279</v>
      </c>
    </row>
    <row r="823" spans="1:4">
      <c r="A823" s="65" t="str">
        <f>'Cost Summary'!B38</f>
        <v>Procurement Pre-construction, Design-Build</v>
      </c>
      <c r="B823" t="s">
        <v>2280</v>
      </c>
      <c r="C823" s="12">
        <f>'Cost Summary'!C38</f>
        <v>0</v>
      </c>
      <c r="D823" t="s">
        <v>2281</v>
      </c>
    </row>
    <row r="824" spans="1:4">
      <c r="A824" s="65" t="str">
        <f>'Cost Summary'!B39</f>
        <v>[Other - describe]</v>
      </c>
      <c r="B824" t="s">
        <v>2282</v>
      </c>
      <c r="C824" s="12">
        <f>'Cost Summary'!C39</f>
        <v>0</v>
      </c>
      <c r="D824" t="s">
        <v>2283</v>
      </c>
    </row>
    <row r="825" spans="1:4">
      <c r="A825" s="65" t="str">
        <f>'Cost Summary'!B40</f>
        <v>[Other - describe]</v>
      </c>
      <c r="B825" t="s">
        <v>2284</v>
      </c>
      <c r="C825" s="12">
        <f>'Cost Summary'!C40</f>
        <v>0</v>
      </c>
      <c r="D825" t="s">
        <v>2285</v>
      </c>
    </row>
    <row r="826" spans="1:4">
      <c r="A826" s="65" t="str">
        <f>'Cost Summary'!B41</f>
        <v>[Other - describe]</v>
      </c>
      <c r="B826" t="s">
        <v>2286</v>
      </c>
      <c r="C826" s="12">
        <f>'Cost Summary'!C41</f>
        <v>0</v>
      </c>
      <c r="D826" t="s">
        <v>2287</v>
      </c>
    </row>
    <row r="827" spans="1:4">
      <c r="A827" s="65" t="str">
        <f>'Cost Summary'!B44</f>
        <v>Payment &amp; Performance Bond</v>
      </c>
      <c r="B827" t="s">
        <v>2288</v>
      </c>
      <c r="C827" s="12">
        <f>'Cost Summary'!C44</f>
        <v>0</v>
      </c>
      <c r="D827" t="s">
        <v>2289</v>
      </c>
    </row>
    <row r="828" spans="1:4">
      <c r="A828" s="65" t="str">
        <f>'Cost Summary'!B45</f>
        <v>Builders Risk</v>
      </c>
      <c r="B828" t="s">
        <v>2290</v>
      </c>
      <c r="C828" s="12">
        <f>'Cost Summary'!C45</f>
        <v>0</v>
      </c>
      <c r="D828" t="s">
        <v>2291</v>
      </c>
    </row>
    <row r="829" spans="1:4">
      <c r="A829" s="65" t="str">
        <f>'Cost Summary'!B46</f>
        <v>General Liability</v>
      </c>
      <c r="B829" t="s">
        <v>2292</v>
      </c>
      <c r="C829" s="12">
        <f>'Cost Summary'!C46</f>
        <v>0</v>
      </c>
      <c r="D829" t="s">
        <v>2293</v>
      </c>
    </row>
    <row r="830" spans="1:4">
      <c r="A830" s="65" t="str">
        <f>'Cost Summary'!B47</f>
        <v>Wrap Insurance Program</v>
      </c>
      <c r="B830" t="s">
        <v>2294</v>
      </c>
      <c r="C830" s="12">
        <f>'Cost Summary'!C47</f>
        <v>0</v>
      </c>
      <c r="D830" t="s">
        <v>2295</v>
      </c>
    </row>
    <row r="831" spans="1:4">
      <c r="A831" s="65" t="str">
        <f>'Cost Summary'!B48</f>
        <v>[Other - describe]</v>
      </c>
      <c r="B831" t="s">
        <v>2296</v>
      </c>
      <c r="C831" s="12">
        <f>'Cost Summary'!C48</f>
        <v>0</v>
      </c>
      <c r="D831" t="s">
        <v>2297</v>
      </c>
    </row>
    <row r="832" spans="1:4">
      <c r="A832" s="65" t="str">
        <f>'Cost Summary'!B51</f>
        <v>Contingency (Contractor's)</v>
      </c>
      <c r="B832" t="s">
        <v>2298</v>
      </c>
      <c r="C832" s="12">
        <f>'Cost Summary'!C51</f>
        <v>0</v>
      </c>
      <c r="D832" t="s">
        <v>2299</v>
      </c>
    </row>
    <row r="833" spans="1:4">
      <c r="A833" s="65" t="str">
        <f>'Cost Summary'!B52</f>
        <v>Contractor Overhead</v>
      </c>
      <c r="B833" t="s">
        <v>2300</v>
      </c>
      <c r="C833" s="12">
        <f>'Cost Summary'!C52</f>
        <v>0</v>
      </c>
      <c r="D833" t="s">
        <v>2301</v>
      </c>
    </row>
    <row r="834" spans="1:4">
      <c r="A834" s="65" t="str">
        <f>'Cost Summary'!B53</f>
        <v>Contractor Profit</v>
      </c>
      <c r="B834" t="s">
        <v>2302</v>
      </c>
      <c r="C834" s="12">
        <f>'Cost Summary'!C53</f>
        <v>0</v>
      </c>
      <c r="D834" t="s">
        <v>2303</v>
      </c>
    </row>
    <row r="835" spans="1:4">
      <c r="A835" s="65" t="str">
        <f>'Cost Summary'!B54</f>
        <v>Cost progression/ escalation</v>
      </c>
      <c r="B835" t="s">
        <v>2304</v>
      </c>
      <c r="C835" s="12">
        <f>'Cost Summary'!C54</f>
        <v>0</v>
      </c>
      <c r="D835" t="s">
        <v>2305</v>
      </c>
    </row>
    <row r="836" spans="1:4">
      <c r="A836" s="65" t="str">
        <f>'Cost Summary'!B55</f>
        <v>Permits</v>
      </c>
      <c r="B836" t="s">
        <v>2306</v>
      </c>
      <c r="C836" s="12">
        <f>'Cost Summary'!C55</f>
        <v>0</v>
      </c>
      <c r="D836" t="s">
        <v>2307</v>
      </c>
    </row>
    <row r="837" spans="1:4">
      <c r="A837" s="65" t="str">
        <f>'Cost Summary'!B56</f>
        <v>Sales, Use Taxes, etc.</v>
      </c>
      <c r="B837" t="s">
        <v>2308</v>
      </c>
      <c r="C837" s="12">
        <f>'Cost Summary'!C56</f>
        <v>0</v>
      </c>
      <c r="D837" t="s">
        <v>2309</v>
      </c>
    </row>
    <row r="838" spans="1:4">
      <c r="A838" t="s">
        <v>2310</v>
      </c>
      <c r="B838" t="s">
        <v>2311</v>
      </c>
      <c r="C838" s="621" t="str">
        <f>'Cost Summary'!B34</f>
        <v>[Other - describe]</v>
      </c>
    </row>
    <row r="839" spans="1:4">
      <c r="A839" t="s">
        <v>2312</v>
      </c>
      <c r="B839" t="s">
        <v>2313</v>
      </c>
      <c r="C839" s="621" t="str">
        <f>'Cost Summary'!B35</f>
        <v>[Other - describe]</v>
      </c>
    </row>
    <row r="840" spans="1:4">
      <c r="A840" t="s">
        <v>2314</v>
      </c>
      <c r="B840" t="s">
        <v>2315</v>
      </c>
      <c r="C840" s="621" t="str">
        <f>'Cost Summary'!B39</f>
        <v>[Other - describe]</v>
      </c>
    </row>
    <row r="841" spans="1:4">
      <c r="A841" t="s">
        <v>2316</v>
      </c>
      <c r="B841" t="s">
        <v>2317</v>
      </c>
      <c r="C841" s="621" t="str">
        <f>'Cost Summary'!B40</f>
        <v>[Other - describe]</v>
      </c>
    </row>
    <row r="842" spans="1:4">
      <c r="A842" t="s">
        <v>2318</v>
      </c>
      <c r="B842" t="s">
        <v>2319</v>
      </c>
      <c r="C842" s="621" t="str">
        <f>'Cost Summary'!B41</f>
        <v>[Other - describe]</v>
      </c>
    </row>
    <row r="843" spans="1:4">
      <c r="A843" t="s">
        <v>2320</v>
      </c>
      <c r="B843" t="s">
        <v>2321</v>
      </c>
      <c r="C843" s="621" t="str">
        <f>'Cost Summary'!B48</f>
        <v>[Other - describe]</v>
      </c>
    </row>
    <row r="844" spans="1:4">
      <c r="A844" s="65"/>
      <c r="C844" s="65"/>
    </row>
    <row r="845" spans="1:4">
      <c r="A845" s="65"/>
      <c r="C845" s="65"/>
    </row>
    <row r="846" spans="1:4">
      <c r="A846" s="65"/>
      <c r="C846" s="65"/>
    </row>
    <row r="847" spans="1:4" ht="14.25" customHeight="1">
      <c r="A847" s="65"/>
      <c r="C847" s="65"/>
    </row>
    <row r="848" spans="1:4">
      <c r="A848" s="65"/>
      <c r="C848" s="65"/>
    </row>
    <row r="851" spans="1:9">
      <c r="A851" t="s">
        <v>2322</v>
      </c>
    </row>
    <row r="852" spans="1:9">
      <c r="A852" s="195"/>
      <c r="B852" t="s">
        <v>2323</v>
      </c>
      <c r="C852" t="s">
        <v>393</v>
      </c>
      <c r="D852" t="s">
        <v>2324</v>
      </c>
      <c r="E852" t="s">
        <v>2325</v>
      </c>
      <c r="F852" t="s">
        <v>2326</v>
      </c>
      <c r="G852" t="s">
        <v>2327</v>
      </c>
      <c r="H852" t="s">
        <v>2328</v>
      </c>
    </row>
    <row r="853" spans="1:9">
      <c r="A853" s="313" t="s">
        <v>2119</v>
      </c>
    </row>
    <row r="854" spans="1:9">
      <c r="A854" s="195" t="str">
        <f>IF(B854="","",MAX(A$852:A852)+1)</f>
        <v/>
      </c>
      <c r="B854" t="str">
        <f>CONCATENATE(Financing!A9)</f>
        <v/>
      </c>
      <c r="C854" t="str">
        <f>CONCATENATE(Financing!B9)</f>
        <v/>
      </c>
      <c r="D854" t="str">
        <f>CONCATENATE(Financing!C9)</f>
        <v/>
      </c>
      <c r="E854" t="str">
        <f>CONCATENATE(Financing!D9)</f>
        <v/>
      </c>
      <c r="F854" t="str">
        <f>CONCATENATE(Financing!E9)</f>
        <v/>
      </c>
      <c r="G854" t="str">
        <f>IF(D854 = "", "", -PMT(D854/100/12,F854*12,C854)*12)</f>
        <v/>
      </c>
      <c r="H854" t="str">
        <f>IF(B854="", "", "Permanent")</f>
        <v/>
      </c>
    </row>
    <row r="855" spans="1:9">
      <c r="A855" s="195" t="str">
        <f>IF(B855="","",MAX(A$852:A854)+1)</f>
        <v/>
      </c>
      <c r="B855" t="str">
        <f>CONCATENATE(Financing!A10)</f>
        <v/>
      </c>
      <c r="C855" t="str">
        <f>CONCATENATE(Financing!B10)</f>
        <v/>
      </c>
      <c r="D855" t="str">
        <f>CONCATENATE(Financing!C10)</f>
        <v/>
      </c>
      <c r="E855" t="str">
        <f>CONCATENATE(Financing!D10)</f>
        <v/>
      </c>
      <c r="F855" t="str">
        <f>CONCATENATE(Financing!E10)</f>
        <v/>
      </c>
      <c r="G855" t="str">
        <f t="shared" ref="G855:G856" si="3">IF(D855 = "", "", -PMT(D855/100/12,F855*12,C855)*12)</f>
        <v/>
      </c>
      <c r="H855" t="str">
        <f t="shared" ref="H855:H856" si="4">IF(B855="", "", "Permanent")</f>
        <v/>
      </c>
    </row>
    <row r="856" spans="1:9">
      <c r="A856" s="195" t="str">
        <f>IF(B856="","",MAX(A$852:A855)+1)</f>
        <v/>
      </c>
      <c r="B856" t="str">
        <f>CONCATENATE(Financing!A11)</f>
        <v/>
      </c>
      <c r="C856" t="str">
        <f>CONCATENATE(Financing!B11)</f>
        <v/>
      </c>
      <c r="D856" t="str">
        <f>CONCATENATE(Financing!C11)</f>
        <v/>
      </c>
      <c r="E856" t="str">
        <f>CONCATENATE(Financing!D11)</f>
        <v/>
      </c>
      <c r="F856" t="str">
        <f>CONCATENATE(Financing!E11)</f>
        <v/>
      </c>
      <c r="G856" t="str">
        <f t="shared" si="3"/>
        <v/>
      </c>
      <c r="H856" t="str">
        <f t="shared" si="4"/>
        <v/>
      </c>
    </row>
    <row r="857" spans="1:9">
      <c r="A857" s="195" t="str">
        <f>IF(B857="","",MAX(A$852:A856)+1)</f>
        <v/>
      </c>
      <c r="B857" t="str">
        <f>CONCATENATE(Financing!A16)</f>
        <v/>
      </c>
      <c r="C857" t="str">
        <f>CONCATENATE(Financing!B16)</f>
        <v/>
      </c>
      <c r="D857" t="str">
        <f>CONCATENATE(Financing!C16)</f>
        <v/>
      </c>
      <c r="E857" t="str">
        <f>CONCATENATE(Financing!D16)</f>
        <v/>
      </c>
      <c r="F857" t="str">
        <f>IF(B857="", "", 0)</f>
        <v/>
      </c>
      <c r="G857" t="str">
        <f>IF(B857="", "", 0)</f>
        <v/>
      </c>
      <c r="H857" t="str">
        <f>IF(B857="", "", "Permanent")</f>
        <v/>
      </c>
    </row>
    <row r="858" spans="1:9">
      <c r="A858" s="195" t="str">
        <f>IF(B858="","",MAX(A$852:A857)+1)</f>
        <v/>
      </c>
      <c r="B858" t="str">
        <f>CONCATENATE(Financing!A17)</f>
        <v/>
      </c>
      <c r="C858" t="str">
        <f>CONCATENATE(Financing!B17)</f>
        <v/>
      </c>
      <c r="D858" t="str">
        <f>CONCATENATE(Financing!C17)</f>
        <v/>
      </c>
      <c r="E858" t="str">
        <f>CONCATENATE(Financing!D17)</f>
        <v/>
      </c>
      <c r="F858" t="str">
        <f t="shared" ref="F858:F862" si="5">IF(B858="", "", 0)</f>
        <v/>
      </c>
      <c r="G858" t="str">
        <f t="shared" ref="G858:G862" si="6">IF(B858="", "", 0)</f>
        <v/>
      </c>
      <c r="H858" t="str">
        <f t="shared" ref="H858:H862" si="7">IF(B858="", "", "Permanent")</f>
        <v/>
      </c>
    </row>
    <row r="859" spans="1:9">
      <c r="A859" s="195" t="str">
        <f>IF(B859="","",MAX(A$852:A858)+1)</f>
        <v/>
      </c>
      <c r="B859" t="str">
        <f>CONCATENATE(Financing!A18)</f>
        <v/>
      </c>
      <c r="C859" t="str">
        <f>CONCATENATE(Financing!B18)</f>
        <v/>
      </c>
      <c r="D859" t="str">
        <f>CONCATENATE(Financing!C18)</f>
        <v/>
      </c>
      <c r="E859" t="str">
        <f>CONCATENATE(Financing!D18)</f>
        <v/>
      </c>
      <c r="F859" t="str">
        <f t="shared" si="5"/>
        <v/>
      </c>
      <c r="G859" t="str">
        <f t="shared" si="6"/>
        <v/>
      </c>
      <c r="H859" t="str">
        <f t="shared" si="7"/>
        <v/>
      </c>
    </row>
    <row r="860" spans="1:9">
      <c r="A860" s="195" t="str">
        <f>IF(B860="","",MAX(A$852:A859)+1)</f>
        <v/>
      </c>
      <c r="B860" t="str">
        <f>CONCATENATE(Financing!A19)</f>
        <v/>
      </c>
      <c r="C860" t="str">
        <f>CONCATENATE(Financing!B19)</f>
        <v/>
      </c>
      <c r="D860" t="str">
        <f>CONCATENATE(Financing!C19)</f>
        <v/>
      </c>
      <c r="E860" t="str">
        <f>CONCATENATE(Financing!D19)</f>
        <v/>
      </c>
      <c r="F860" t="str">
        <f t="shared" si="5"/>
        <v/>
      </c>
      <c r="G860" t="str">
        <f t="shared" si="6"/>
        <v/>
      </c>
      <c r="H860" t="str">
        <f t="shared" si="7"/>
        <v/>
      </c>
    </row>
    <row r="861" spans="1:9">
      <c r="A861" s="195" t="str">
        <f>IF(B861="","",MAX(A$852:A860)+1)</f>
        <v/>
      </c>
      <c r="B861" t="str">
        <f>CONCATENATE(Financing!A20)</f>
        <v/>
      </c>
      <c r="C861" t="str">
        <f>CONCATENATE(Financing!B20)</f>
        <v/>
      </c>
      <c r="D861" t="str">
        <f>CONCATENATE(Financing!C20)</f>
        <v/>
      </c>
      <c r="E861" t="str">
        <f>CONCATENATE(Financing!D20)</f>
        <v/>
      </c>
      <c r="F861" t="str">
        <f t="shared" si="5"/>
        <v/>
      </c>
      <c r="G861" t="str">
        <f t="shared" si="6"/>
        <v/>
      </c>
      <c r="H861" t="str">
        <f t="shared" si="7"/>
        <v/>
      </c>
    </row>
    <row r="862" spans="1:9">
      <c r="A862" s="195" t="str">
        <f>IF(B862="","",MAX(A$852:A861)+1)</f>
        <v/>
      </c>
      <c r="B862" t="str">
        <f>CONCATENATE(Financing!A21)</f>
        <v/>
      </c>
      <c r="C862" t="str">
        <f>CONCATENATE(Financing!B21)</f>
        <v/>
      </c>
      <c r="D862" t="str">
        <f>CONCATENATE(Financing!C21)</f>
        <v/>
      </c>
      <c r="E862" t="str">
        <f>CONCATENATE(Financing!D21)</f>
        <v/>
      </c>
      <c r="F862" t="str">
        <f t="shared" si="5"/>
        <v/>
      </c>
      <c r="G862" t="str">
        <f t="shared" si="6"/>
        <v/>
      </c>
      <c r="H862" t="str">
        <f t="shared" si="7"/>
        <v/>
      </c>
    </row>
    <row r="864" spans="1:9">
      <c r="A864" t="s">
        <v>2329</v>
      </c>
      <c r="C864" t="s">
        <v>2330</v>
      </c>
      <c r="D864" t="s">
        <v>393</v>
      </c>
      <c r="E864" t="s">
        <v>2324</v>
      </c>
      <c r="F864" t="s">
        <v>2325</v>
      </c>
      <c r="G864" t="s">
        <v>2326</v>
      </c>
      <c r="H864" t="s">
        <v>2327</v>
      </c>
      <c r="I864" t="s">
        <v>2328</v>
      </c>
    </row>
    <row r="865" spans="1:10">
      <c r="A865" t="s">
        <v>2108</v>
      </c>
      <c r="B865" t="s">
        <v>2109</v>
      </c>
      <c r="C865">
        <v>1</v>
      </c>
      <c r="D865">
        <v>2</v>
      </c>
      <c r="E865">
        <v>3</v>
      </c>
      <c r="F865">
        <v>4</v>
      </c>
      <c r="G865">
        <v>5</v>
      </c>
      <c r="H865">
        <v>6</v>
      </c>
      <c r="I865">
        <v>7</v>
      </c>
    </row>
    <row r="866" spans="1:10">
      <c r="A866" s="195">
        <f>IF(ISNA(MATCH(B866, $A$853:$A$862, 0)), 1, MATCH(B866, $A$853:$A$862, 0))</f>
        <v>1</v>
      </c>
      <c r="B866">
        <v>1</v>
      </c>
      <c r="C866" t="str">
        <f t="shared" ref="C866:J874" si="8">CONCATENATE(INDEX($B$853:$L$862, $A866, C$865))</f>
        <v/>
      </c>
      <c r="D866" t="str">
        <f t="shared" si="8"/>
        <v/>
      </c>
      <c r="E866" t="str">
        <f t="shared" si="8"/>
        <v/>
      </c>
      <c r="F866" t="str">
        <f t="shared" si="8"/>
        <v/>
      </c>
      <c r="G866" t="str">
        <f t="shared" si="8"/>
        <v/>
      </c>
      <c r="H866" t="str">
        <f t="shared" si="8"/>
        <v/>
      </c>
      <c r="I866" s="14" t="str">
        <f t="shared" si="8"/>
        <v/>
      </c>
      <c r="J866" t="str">
        <f t="shared" si="8"/>
        <v/>
      </c>
    </row>
    <row r="867" spans="1:10">
      <c r="A867" s="195">
        <f t="shared" ref="A867:A874" si="9">IF(ISNA(MATCH(B867, $A$853:$A$862, 0)), 1, MATCH(B867, $A$853:$A$862, 0))</f>
        <v>1</v>
      </c>
      <c r="B867">
        <v>2</v>
      </c>
      <c r="C867" t="str">
        <f t="shared" si="8"/>
        <v/>
      </c>
      <c r="D867" t="str">
        <f t="shared" si="8"/>
        <v/>
      </c>
      <c r="E867" t="str">
        <f t="shared" si="8"/>
        <v/>
      </c>
      <c r="F867" t="str">
        <f t="shared" si="8"/>
        <v/>
      </c>
      <c r="G867" t="str">
        <f t="shared" si="8"/>
        <v/>
      </c>
      <c r="H867" t="str">
        <f t="shared" si="8"/>
        <v/>
      </c>
      <c r="I867" s="14" t="str">
        <f t="shared" si="8"/>
        <v/>
      </c>
      <c r="J867" t="str">
        <f t="shared" si="8"/>
        <v/>
      </c>
    </row>
    <row r="868" spans="1:10">
      <c r="A868" s="195">
        <f t="shared" si="9"/>
        <v>1</v>
      </c>
      <c r="B868">
        <v>3</v>
      </c>
      <c r="C868" t="str">
        <f t="shared" si="8"/>
        <v/>
      </c>
      <c r="D868" t="str">
        <f t="shared" si="8"/>
        <v/>
      </c>
      <c r="E868" t="str">
        <f t="shared" si="8"/>
        <v/>
      </c>
      <c r="F868" t="str">
        <f t="shared" si="8"/>
        <v/>
      </c>
      <c r="G868" t="str">
        <f t="shared" si="8"/>
        <v/>
      </c>
      <c r="H868" t="str">
        <f t="shared" si="8"/>
        <v/>
      </c>
      <c r="I868" s="14" t="str">
        <f t="shared" si="8"/>
        <v/>
      </c>
      <c r="J868" t="str">
        <f t="shared" si="8"/>
        <v/>
      </c>
    </row>
    <row r="869" spans="1:10">
      <c r="A869" s="195">
        <f t="shared" si="9"/>
        <v>1</v>
      </c>
      <c r="B869">
        <v>4</v>
      </c>
      <c r="C869" t="str">
        <f t="shared" si="8"/>
        <v/>
      </c>
      <c r="D869" t="str">
        <f t="shared" si="8"/>
        <v/>
      </c>
      <c r="E869" t="str">
        <f t="shared" si="8"/>
        <v/>
      </c>
      <c r="F869" t="str">
        <f t="shared" si="8"/>
        <v/>
      </c>
      <c r="G869" t="str">
        <f t="shared" si="8"/>
        <v/>
      </c>
      <c r="H869" t="str">
        <f t="shared" si="8"/>
        <v/>
      </c>
      <c r="I869" s="14" t="str">
        <f t="shared" si="8"/>
        <v/>
      </c>
      <c r="J869" t="str">
        <f t="shared" si="8"/>
        <v/>
      </c>
    </row>
    <row r="870" spans="1:10">
      <c r="A870" s="195">
        <f t="shared" si="9"/>
        <v>1</v>
      </c>
      <c r="B870">
        <v>5</v>
      </c>
      <c r="C870" t="str">
        <f t="shared" si="8"/>
        <v/>
      </c>
      <c r="D870" t="str">
        <f t="shared" si="8"/>
        <v/>
      </c>
      <c r="E870" t="str">
        <f t="shared" si="8"/>
        <v/>
      </c>
      <c r="F870" t="str">
        <f t="shared" si="8"/>
        <v/>
      </c>
      <c r="G870" t="str">
        <f t="shared" si="8"/>
        <v/>
      </c>
      <c r="H870" t="str">
        <f t="shared" si="8"/>
        <v/>
      </c>
      <c r="I870" s="14" t="str">
        <f t="shared" si="8"/>
        <v/>
      </c>
      <c r="J870" t="str">
        <f t="shared" si="8"/>
        <v/>
      </c>
    </row>
    <row r="871" spans="1:10">
      <c r="A871" s="195">
        <f t="shared" si="9"/>
        <v>1</v>
      </c>
      <c r="B871">
        <v>6</v>
      </c>
      <c r="C871" t="str">
        <f t="shared" si="8"/>
        <v/>
      </c>
      <c r="D871" t="str">
        <f t="shared" si="8"/>
        <v/>
      </c>
      <c r="E871" t="str">
        <f t="shared" si="8"/>
        <v/>
      </c>
      <c r="F871" t="str">
        <f t="shared" si="8"/>
        <v/>
      </c>
      <c r="G871" t="str">
        <f t="shared" si="8"/>
        <v/>
      </c>
      <c r="H871" t="str">
        <f t="shared" si="8"/>
        <v/>
      </c>
      <c r="I871" s="14" t="str">
        <f t="shared" si="8"/>
        <v/>
      </c>
      <c r="J871" t="str">
        <f t="shared" si="8"/>
        <v/>
      </c>
    </row>
    <row r="872" spans="1:10">
      <c r="A872" s="195">
        <f t="shared" si="9"/>
        <v>1</v>
      </c>
      <c r="B872">
        <v>7</v>
      </c>
      <c r="C872" t="str">
        <f t="shared" si="8"/>
        <v/>
      </c>
      <c r="D872" t="str">
        <f t="shared" si="8"/>
        <v/>
      </c>
      <c r="E872" t="str">
        <f t="shared" si="8"/>
        <v/>
      </c>
      <c r="F872" t="str">
        <f t="shared" si="8"/>
        <v/>
      </c>
      <c r="G872" t="str">
        <f t="shared" si="8"/>
        <v/>
      </c>
      <c r="H872" t="str">
        <f t="shared" si="8"/>
        <v/>
      </c>
      <c r="I872" s="14" t="str">
        <f t="shared" si="8"/>
        <v/>
      </c>
      <c r="J872" t="str">
        <f t="shared" si="8"/>
        <v/>
      </c>
    </row>
    <row r="873" spans="1:10">
      <c r="A873" s="195">
        <f t="shared" si="9"/>
        <v>1</v>
      </c>
      <c r="B873">
        <v>8</v>
      </c>
      <c r="C873" t="str">
        <f t="shared" si="8"/>
        <v/>
      </c>
      <c r="D873" t="str">
        <f t="shared" si="8"/>
        <v/>
      </c>
      <c r="E873" t="str">
        <f t="shared" si="8"/>
        <v/>
      </c>
      <c r="F873" t="str">
        <f t="shared" si="8"/>
        <v/>
      </c>
      <c r="G873" t="str">
        <f t="shared" si="8"/>
        <v/>
      </c>
      <c r="H873" t="str">
        <f t="shared" si="8"/>
        <v/>
      </c>
      <c r="I873" s="14" t="str">
        <f t="shared" si="8"/>
        <v/>
      </c>
      <c r="J873" t="str">
        <f t="shared" si="8"/>
        <v/>
      </c>
    </row>
    <row r="874" spans="1:10">
      <c r="A874" s="195">
        <f t="shared" si="9"/>
        <v>1</v>
      </c>
      <c r="B874">
        <v>9</v>
      </c>
      <c r="C874" t="str">
        <f t="shared" si="8"/>
        <v/>
      </c>
      <c r="D874" t="str">
        <f t="shared" si="8"/>
        <v/>
      </c>
      <c r="E874" t="str">
        <f t="shared" si="8"/>
        <v/>
      </c>
      <c r="F874" t="str">
        <f t="shared" si="8"/>
        <v/>
      </c>
      <c r="G874" t="str">
        <f t="shared" si="8"/>
        <v/>
      </c>
      <c r="H874" t="str">
        <f t="shared" si="8"/>
        <v/>
      </c>
      <c r="I874" s="14" t="str">
        <f t="shared" si="8"/>
        <v/>
      </c>
      <c r="J874" t="str">
        <f t="shared" si="8"/>
        <v/>
      </c>
    </row>
    <row r="876" spans="1:10">
      <c r="A876" t="s">
        <v>2331</v>
      </c>
    </row>
    <row r="877" spans="1:10">
      <c r="B877" t="s">
        <v>2323</v>
      </c>
      <c r="C877" t="s">
        <v>393</v>
      </c>
      <c r="D877" t="s">
        <v>2328</v>
      </c>
    </row>
    <row r="878" spans="1:10">
      <c r="A878" s="313" t="s">
        <v>2119</v>
      </c>
    </row>
    <row r="879" spans="1:10">
      <c r="A879" s="195" t="str">
        <f>IF(B879="","",MAX(A$877:A877)+1)</f>
        <v/>
      </c>
      <c r="B879" t="str">
        <f>CONCATENATE(Financing!A26)</f>
        <v/>
      </c>
      <c r="C879" t="str">
        <f>CONCATENATE(Financing!B26)</f>
        <v/>
      </c>
      <c r="D879" t="str">
        <f>IF(B879="", "", "Grant")</f>
        <v/>
      </c>
    </row>
    <row r="880" spans="1:10">
      <c r="A880" s="195" t="str">
        <f>IF(B880="","",MAX(A$877:A879)+1)</f>
        <v/>
      </c>
      <c r="B880" t="str">
        <f>CONCATENATE(Financing!A27)</f>
        <v/>
      </c>
      <c r="C880" t="str">
        <f>CONCATENATE(Financing!B27)</f>
        <v/>
      </c>
      <c r="D880" t="str">
        <f t="shared" ref="D880:D886" si="10">IF(B880="", "", "Grant")</f>
        <v/>
      </c>
    </row>
    <row r="881" spans="1:5">
      <c r="A881" s="195" t="str">
        <f>IF(B881="","",MAX(A$877:A880)+1)</f>
        <v/>
      </c>
      <c r="B881" t="str">
        <f>CONCATENATE(Financing!A28)</f>
        <v/>
      </c>
      <c r="C881" t="str">
        <f>CONCATENATE(Financing!B28)</f>
        <v/>
      </c>
      <c r="D881" t="str">
        <f t="shared" si="10"/>
        <v/>
      </c>
    </row>
    <row r="882" spans="1:5">
      <c r="A882" s="195" t="str">
        <f>IF(B882="","",MAX(A$877:A881)+1)</f>
        <v/>
      </c>
      <c r="B882" t="str">
        <f>CONCATENATE(Financing!A29)</f>
        <v/>
      </c>
      <c r="C882" t="str">
        <f>CONCATENATE(Financing!B29)</f>
        <v/>
      </c>
      <c r="D882" t="str">
        <f t="shared" si="10"/>
        <v/>
      </c>
    </row>
    <row r="883" spans="1:5">
      <c r="A883" s="195" t="str">
        <f>IF(B883="","",MAX(A$877:A882)+1)</f>
        <v/>
      </c>
      <c r="B883" t="str">
        <f>CONCATENATE(Financing!A30)</f>
        <v/>
      </c>
      <c r="C883" t="str">
        <f>CONCATENATE(Financing!B30)</f>
        <v/>
      </c>
      <c r="D883" t="str">
        <f t="shared" si="10"/>
        <v/>
      </c>
    </row>
    <row r="884" spans="1:5">
      <c r="A884" s="195" t="str">
        <f>IF(B884="","",MAX(A$877:A883)+1)</f>
        <v/>
      </c>
      <c r="B884" t="str">
        <f>CONCATENATE(Financing!A31)</f>
        <v/>
      </c>
      <c r="C884" t="str">
        <f>CONCATENATE(Financing!B31)</f>
        <v/>
      </c>
      <c r="D884" t="str">
        <f t="shared" si="10"/>
        <v/>
      </c>
    </row>
    <row r="885" spans="1:5">
      <c r="A885" s="195" t="str">
        <f>IF(B885="","",MAX(A$877:A884)+1)</f>
        <v/>
      </c>
      <c r="B885" t="str">
        <f>CONCATENATE(Financing!A32)</f>
        <v/>
      </c>
      <c r="C885" t="str">
        <f>CONCATENATE(Financing!B32)</f>
        <v/>
      </c>
      <c r="D885" t="str">
        <f t="shared" si="10"/>
        <v/>
      </c>
    </row>
    <row r="886" spans="1:5">
      <c r="A886" s="195" t="str">
        <f>IF(B886="","",MAX(A$877:A885)+1)</f>
        <v/>
      </c>
      <c r="B886" t="str">
        <f>CONCATENATE(Financing!A33)</f>
        <v/>
      </c>
      <c r="C886" t="str">
        <f>CONCATENATE(Financing!B33)</f>
        <v/>
      </c>
      <c r="D886" t="str">
        <f t="shared" si="10"/>
        <v/>
      </c>
    </row>
    <row r="888" spans="1:5">
      <c r="A888" t="s">
        <v>2332</v>
      </c>
      <c r="C888" t="s">
        <v>2323</v>
      </c>
      <c r="D888" t="s">
        <v>393</v>
      </c>
      <c r="E888" t="s">
        <v>2328</v>
      </c>
    </row>
    <row r="889" spans="1:5">
      <c r="A889" t="s">
        <v>2108</v>
      </c>
      <c r="B889" t="s">
        <v>2109</v>
      </c>
      <c r="C889">
        <v>1</v>
      </c>
      <c r="D889">
        <v>2</v>
      </c>
      <c r="E889">
        <v>3</v>
      </c>
    </row>
    <row r="890" spans="1:5">
      <c r="A890" s="195">
        <f>IF(ISNA(MATCH(B890, $A$878:$A$886, 0)), 1, MATCH(B890, $A$878:$A$886, 0))</f>
        <v>1</v>
      </c>
      <c r="B890">
        <v>1</v>
      </c>
      <c r="C890" t="str">
        <f>CONCATENATE(INDEX($B$878:$D$886, $A890, C$889))</f>
        <v/>
      </c>
      <c r="D890" t="str">
        <f t="shared" ref="D890:E897" si="11">CONCATENATE(INDEX($B$878:$D$886, $A890, D$889))</f>
        <v/>
      </c>
      <c r="E890" s="14" t="str">
        <f t="shared" si="11"/>
        <v/>
      </c>
    </row>
    <row r="891" spans="1:5">
      <c r="A891" s="195">
        <f t="shared" ref="A891:A897" si="12">IF(ISNA(MATCH(B891, $A$878:$A$886, 0)), 1, MATCH(B891, $A$878:$A$886, 0))</f>
        <v>1</v>
      </c>
      <c r="B891">
        <v>2</v>
      </c>
      <c r="C891" t="str">
        <f t="shared" ref="C891:C897" si="13">CONCATENATE(INDEX($B$878:$D$886, $A891, C$889))</f>
        <v/>
      </c>
      <c r="D891" t="str">
        <f t="shared" si="11"/>
        <v/>
      </c>
      <c r="E891" s="14" t="str">
        <f t="shared" si="11"/>
        <v/>
      </c>
    </row>
    <row r="892" spans="1:5">
      <c r="A892" s="195">
        <f t="shared" si="12"/>
        <v>1</v>
      </c>
      <c r="B892">
        <v>3</v>
      </c>
      <c r="C892" t="str">
        <f t="shared" si="13"/>
        <v/>
      </c>
      <c r="D892" t="str">
        <f t="shared" si="11"/>
        <v/>
      </c>
      <c r="E892" s="14" t="str">
        <f t="shared" si="11"/>
        <v/>
      </c>
    </row>
    <row r="893" spans="1:5">
      <c r="A893" s="195">
        <f t="shared" si="12"/>
        <v>1</v>
      </c>
      <c r="B893">
        <v>4</v>
      </c>
      <c r="C893" t="str">
        <f t="shared" si="13"/>
        <v/>
      </c>
      <c r="D893" t="str">
        <f t="shared" si="11"/>
        <v/>
      </c>
      <c r="E893" s="14" t="str">
        <f t="shared" si="11"/>
        <v/>
      </c>
    </row>
    <row r="894" spans="1:5">
      <c r="A894" s="195">
        <f t="shared" si="12"/>
        <v>1</v>
      </c>
      <c r="B894">
        <v>5</v>
      </c>
      <c r="C894" t="str">
        <f t="shared" si="13"/>
        <v/>
      </c>
      <c r="D894" t="str">
        <f t="shared" si="11"/>
        <v/>
      </c>
      <c r="E894" s="14" t="str">
        <f t="shared" si="11"/>
        <v/>
      </c>
    </row>
    <row r="895" spans="1:5">
      <c r="A895" s="195">
        <f t="shared" si="12"/>
        <v>1</v>
      </c>
      <c r="B895">
        <v>6</v>
      </c>
      <c r="C895" t="str">
        <f t="shared" si="13"/>
        <v/>
      </c>
      <c r="D895" t="str">
        <f t="shared" si="11"/>
        <v/>
      </c>
      <c r="E895" s="14" t="str">
        <f t="shared" si="11"/>
        <v/>
      </c>
    </row>
    <row r="896" spans="1:5">
      <c r="A896" s="195">
        <f t="shared" si="12"/>
        <v>1</v>
      </c>
      <c r="B896">
        <v>7</v>
      </c>
      <c r="C896" t="str">
        <f t="shared" si="13"/>
        <v/>
      </c>
      <c r="D896" t="str">
        <f t="shared" si="11"/>
        <v/>
      </c>
      <c r="E896" s="14" t="str">
        <f t="shared" si="11"/>
        <v/>
      </c>
    </row>
    <row r="897" spans="1:5">
      <c r="A897" s="195">
        <f t="shared" si="12"/>
        <v>1</v>
      </c>
      <c r="B897">
        <v>8</v>
      </c>
      <c r="C897" t="str">
        <f t="shared" si="13"/>
        <v/>
      </c>
      <c r="D897" t="str">
        <f t="shared" si="11"/>
        <v/>
      </c>
      <c r="E897" s="14" t="str">
        <f t="shared" si="11"/>
        <v/>
      </c>
    </row>
    <row r="901" spans="1:5">
      <c r="B901" t="s">
        <v>393</v>
      </c>
      <c r="D901" t="s">
        <v>2333</v>
      </c>
    </row>
    <row r="902" spans="1:5">
      <c r="B902" t="s">
        <v>2328</v>
      </c>
      <c r="D902" t="s">
        <v>2334</v>
      </c>
    </row>
    <row r="903" spans="1:5">
      <c r="B903" t="s">
        <v>2323</v>
      </c>
      <c r="D903" t="s">
        <v>2335</v>
      </c>
    </row>
    <row r="905" spans="1:5">
      <c r="B905" t="s">
        <v>393</v>
      </c>
      <c r="D905" t="s">
        <v>2336</v>
      </c>
    </row>
    <row r="906" spans="1:5">
      <c r="B906" t="s">
        <v>2327</v>
      </c>
      <c r="D906" t="s">
        <v>2337</v>
      </c>
    </row>
    <row r="907" spans="1:5">
      <c r="B907" t="s">
        <v>2324</v>
      </c>
      <c r="D907" t="s">
        <v>2338</v>
      </c>
    </row>
    <row r="908" spans="1:5">
      <c r="B908" t="s">
        <v>2326</v>
      </c>
      <c r="D908" t="s">
        <v>2339</v>
      </c>
    </row>
    <row r="909" spans="1:5">
      <c r="B909" t="s">
        <v>2325</v>
      </c>
      <c r="D909" t="s">
        <v>2340</v>
      </c>
    </row>
    <row r="910" spans="1:5">
      <c r="B910" t="s">
        <v>2328</v>
      </c>
      <c r="D910" t="s">
        <v>2341</v>
      </c>
    </row>
    <row r="911" spans="1:5">
      <c r="B911" t="s">
        <v>2323</v>
      </c>
      <c r="D911" t="s">
        <v>2342</v>
      </c>
    </row>
    <row r="918" spans="2:4">
      <c r="B918" t="s">
        <v>2343</v>
      </c>
    </row>
    <row r="919" spans="2:4">
      <c r="B919" t="s">
        <v>2344</v>
      </c>
      <c r="C919" t="s">
        <v>2345</v>
      </c>
      <c r="D919" t="s">
        <v>393</v>
      </c>
    </row>
    <row r="920" spans="2:4">
      <c r="B920">
        <v>1</v>
      </c>
      <c r="C920" s="14" t="s">
        <v>2346</v>
      </c>
      <c r="D920" s="410">
        <f>IF(Calculations!$B$6, Calculations!B835, 0)</f>
        <v>0</v>
      </c>
    </row>
    <row r="921" spans="2:4">
      <c r="B921">
        <v>2</v>
      </c>
      <c r="C921" s="14" t="s">
        <v>2347</v>
      </c>
      <c r="D921" s="410">
        <f>IF(NOT(Calculations!$B$6), Calculations!B850, 0)</f>
        <v>15000</v>
      </c>
    </row>
    <row r="922" spans="2:4">
      <c r="B922">
        <v>3</v>
      </c>
      <c r="C922" s="14" t="s">
        <v>2348</v>
      </c>
      <c r="D922" s="410">
        <f>IF(Calculations!$B$6, Calculations!B838, 0)</f>
        <v>0</v>
      </c>
    </row>
    <row r="923" spans="2:4">
      <c r="B923">
        <v>4</v>
      </c>
      <c r="C923" s="14" t="s">
        <v>2349</v>
      </c>
      <c r="D923" s="410">
        <f>IFERROR(IF(NOT(Calculations!$B$6), Calculations!B853, 0), 0)</f>
        <v>0</v>
      </c>
    </row>
    <row r="924" spans="2:4">
      <c r="B924">
        <v>5</v>
      </c>
      <c r="C924" s="14" t="s">
        <v>2350</v>
      </c>
      <c r="D924" s="410">
        <f>IF(Calculations!$B$6, Calculations!B841, 0)</f>
        <v>0</v>
      </c>
    </row>
    <row r="925" spans="2:4">
      <c r="B925">
        <v>6</v>
      </c>
      <c r="C925" s="14" t="s">
        <v>2351</v>
      </c>
      <c r="D925" s="410">
        <f>IFERROR(IF(NOT(Calculations!$B$6), Calculations!B855, 0),0)</f>
        <v>0</v>
      </c>
    </row>
    <row r="926" spans="2:4">
      <c r="B926">
        <v>7</v>
      </c>
      <c r="C926" s="14" t="s">
        <v>2352</v>
      </c>
      <c r="D926" s="410">
        <f>Calculations!B860</f>
        <v>0</v>
      </c>
    </row>
    <row r="927" spans="2:4">
      <c r="B927">
        <v>8</v>
      </c>
      <c r="C927" s="14" t="s">
        <v>2353</v>
      </c>
      <c r="D927" s="410">
        <f>Calculations!B854</f>
        <v>0</v>
      </c>
    </row>
    <row r="928" spans="2:4">
      <c r="B928">
        <v>9</v>
      </c>
      <c r="C928" s="14" t="s">
        <v>4076</v>
      </c>
      <c r="D928" s="655">
        <f>Calculations!B864</f>
        <v>0</v>
      </c>
    </row>
    <row r="929" spans="1:10">
      <c r="B929">
        <v>10</v>
      </c>
      <c r="C929" s="14" t="s">
        <v>4133</v>
      </c>
      <c r="D929" s="410">
        <f>Calculations!B849</f>
        <v>0</v>
      </c>
    </row>
    <row r="930" spans="1:10">
      <c r="B930" t="s">
        <v>393</v>
      </c>
      <c r="D930" t="s">
        <v>2354</v>
      </c>
    </row>
    <row r="931" spans="1:10">
      <c r="B931" t="s">
        <v>2345</v>
      </c>
      <c r="D931" t="s">
        <v>2355</v>
      </c>
    </row>
    <row r="933" spans="1:10">
      <c r="D933" t="s">
        <v>457</v>
      </c>
    </row>
    <row r="937" spans="1:10">
      <c r="H937" t="s">
        <v>2356</v>
      </c>
      <c r="J937" t="s">
        <v>2357</v>
      </c>
    </row>
    <row r="938" spans="1:10">
      <c r="B938" t="s">
        <v>2109</v>
      </c>
      <c r="C938" t="s">
        <v>2358</v>
      </c>
      <c r="D938" t="s">
        <v>2356</v>
      </c>
      <c r="H938" t="s">
        <v>2358</v>
      </c>
      <c r="J938" t="s">
        <v>2359</v>
      </c>
    </row>
    <row r="939" spans="1:10">
      <c r="A939" t="s">
        <v>2360</v>
      </c>
      <c r="B939">
        <v>1</v>
      </c>
      <c r="C939">
        <f>Calculations!B41</f>
        <v>0</v>
      </c>
      <c r="D939" s="14" t="s">
        <v>2361</v>
      </c>
      <c r="H939" t="s">
        <v>2356</v>
      </c>
      <c r="J939" t="s">
        <v>2362</v>
      </c>
    </row>
    <row r="940" spans="1:10">
      <c r="A940" t="s">
        <v>2363</v>
      </c>
      <c r="B940">
        <v>2</v>
      </c>
      <c r="C940">
        <f>Calculations!C41</f>
        <v>0</v>
      </c>
      <c r="D940" s="14" t="s">
        <v>2364</v>
      </c>
      <c r="H940" t="s">
        <v>2358</v>
      </c>
      <c r="J940" t="s">
        <v>2365</v>
      </c>
    </row>
    <row r="941" spans="1:10">
      <c r="A941" t="s">
        <v>2366</v>
      </c>
      <c r="B941">
        <v>3</v>
      </c>
      <c r="C941">
        <f>Calculations!D41</f>
        <v>0</v>
      </c>
      <c r="D941" s="14" t="s">
        <v>2367</v>
      </c>
      <c r="H941" t="s">
        <v>2356</v>
      </c>
      <c r="J941" t="s">
        <v>2368</v>
      </c>
    </row>
    <row r="942" spans="1:10">
      <c r="A942" t="s">
        <v>2369</v>
      </c>
      <c r="B942">
        <v>4</v>
      </c>
      <c r="C942">
        <f>Calculations!E41</f>
        <v>0</v>
      </c>
      <c r="D942" s="14" t="s">
        <v>2370</v>
      </c>
      <c r="H942" t="s">
        <v>2358</v>
      </c>
      <c r="J942" t="s">
        <v>2371</v>
      </c>
    </row>
    <row r="943" spans="1:10">
      <c r="A943" t="s">
        <v>2372</v>
      </c>
      <c r="B943">
        <v>5</v>
      </c>
      <c r="C943">
        <f>Calculations!F41</f>
        <v>0</v>
      </c>
      <c r="D943" s="14" t="s">
        <v>2373</v>
      </c>
      <c r="H943" t="s">
        <v>2356</v>
      </c>
      <c r="J943" t="s">
        <v>2374</v>
      </c>
    </row>
    <row r="944" spans="1:10">
      <c r="A944" t="s">
        <v>2375</v>
      </c>
      <c r="B944">
        <v>6</v>
      </c>
      <c r="C944">
        <f>Calculations!G41</f>
        <v>0</v>
      </c>
      <c r="D944" s="14" t="s">
        <v>2376</v>
      </c>
      <c r="H944" t="s">
        <v>2358</v>
      </c>
      <c r="J944" t="s">
        <v>2377</v>
      </c>
    </row>
    <row r="945" spans="1:10">
      <c r="H945" t="s">
        <v>2356</v>
      </c>
      <c r="J945" t="s">
        <v>2378</v>
      </c>
    </row>
    <row r="946" spans="1:10">
      <c r="H946" t="s">
        <v>2358</v>
      </c>
      <c r="J946" t="s">
        <v>2379</v>
      </c>
    </row>
    <row r="949" spans="1:10">
      <c r="A949" t="s">
        <v>2380</v>
      </c>
    </row>
    <row r="950" spans="1:10">
      <c r="B950" t="s">
        <v>2381</v>
      </c>
      <c r="C950" t="s">
        <v>2382</v>
      </c>
      <c r="D950" t="s">
        <v>2383</v>
      </c>
      <c r="E950" t="s">
        <v>2384</v>
      </c>
      <c r="F950" t="s">
        <v>2385</v>
      </c>
    </row>
    <row r="951" spans="1:10">
      <c r="A951" s="313" t="s">
        <v>2119</v>
      </c>
    </row>
    <row r="952" spans="1:10">
      <c r="A952" s="195" t="str">
        <f>IF(B952="","",MAX(A$950:A950)+1)</f>
        <v/>
      </c>
      <c r="B952" s="70" t="str">
        <f>IF('Unit Mix &amp; Rents'!A17 = "", "", 'Unit Mix &amp; Rents'!A17)</f>
        <v/>
      </c>
      <c r="C952" t="str">
        <f>IF('Unit Mix &amp; Rents'!B17 = "", "", 'Unit Mix &amp; Rents'!B17)</f>
        <v/>
      </c>
      <c r="D952" t="str">
        <f>IF('Unit Mix &amp; Rents'!C17 = "", "", 'Unit Mix &amp; Rents'!C17)</f>
        <v/>
      </c>
      <c r="E952" t="str">
        <f>IF('Unit Mix &amp; Rents'!D17 = "", "", 'Unit Mix &amp; Rents'!D17)</f>
        <v/>
      </c>
      <c r="F952" t="str">
        <f>IF('Unit Mix &amp; Rents'!E17 = "", "", 'Unit Mix &amp; Rents'!E17)</f>
        <v/>
      </c>
    </row>
    <row r="953" spans="1:10">
      <c r="A953" s="195" t="str">
        <f>IF(B953="","",MAX(A$950:A952)+1)</f>
        <v/>
      </c>
      <c r="B953" s="70" t="str">
        <f>IF('Unit Mix &amp; Rents'!A18 = "", "", 'Unit Mix &amp; Rents'!A18)</f>
        <v/>
      </c>
      <c r="C953" t="str">
        <f>IF('Unit Mix &amp; Rents'!B18 = "", "", 'Unit Mix &amp; Rents'!B18)</f>
        <v/>
      </c>
      <c r="D953" t="str">
        <f>IF('Unit Mix &amp; Rents'!C18 = "", "", 'Unit Mix &amp; Rents'!C18)</f>
        <v/>
      </c>
      <c r="E953" t="str">
        <f>IF('Unit Mix &amp; Rents'!D18 = "", "", 'Unit Mix &amp; Rents'!D18)</f>
        <v/>
      </c>
      <c r="F953" t="str">
        <f>IF('Unit Mix &amp; Rents'!E18 = "", "", 'Unit Mix &amp; Rents'!E18)</f>
        <v/>
      </c>
    </row>
    <row r="954" spans="1:10">
      <c r="A954" s="195" t="str">
        <f>IF(B954="","",MAX(A$950:A953)+1)</f>
        <v/>
      </c>
      <c r="B954" s="70" t="str">
        <f>IF('Unit Mix &amp; Rents'!A19 = "", "", 'Unit Mix &amp; Rents'!A19)</f>
        <v/>
      </c>
      <c r="C954" t="str">
        <f>IF('Unit Mix &amp; Rents'!B19 = "", "", 'Unit Mix &amp; Rents'!B19)</f>
        <v/>
      </c>
      <c r="D954" t="str">
        <f>IF('Unit Mix &amp; Rents'!C19 = "", "", 'Unit Mix &amp; Rents'!C19)</f>
        <v/>
      </c>
      <c r="E954" t="str">
        <f>IF('Unit Mix &amp; Rents'!D19 = "", "", 'Unit Mix &amp; Rents'!D19)</f>
        <v/>
      </c>
      <c r="F954" t="str">
        <f>IF('Unit Mix &amp; Rents'!E19 = "", "", 'Unit Mix &amp; Rents'!E19)</f>
        <v/>
      </c>
    </row>
    <row r="955" spans="1:10">
      <c r="A955" s="195" t="str">
        <f>IF(B955="","",MAX(A$950:A954)+1)</f>
        <v/>
      </c>
      <c r="B955" s="70" t="str">
        <f>IF('Unit Mix &amp; Rents'!A20 = "", "", 'Unit Mix &amp; Rents'!A20)</f>
        <v/>
      </c>
      <c r="C955" t="str">
        <f>IF('Unit Mix &amp; Rents'!B20 = "", "", 'Unit Mix &amp; Rents'!B20)</f>
        <v/>
      </c>
      <c r="D955" t="str">
        <f>IF('Unit Mix &amp; Rents'!C20 = "", "", 'Unit Mix &amp; Rents'!C20)</f>
        <v/>
      </c>
      <c r="E955" t="str">
        <f>IF('Unit Mix &amp; Rents'!D20 = "", "", 'Unit Mix &amp; Rents'!D20)</f>
        <v/>
      </c>
      <c r="F955" t="str">
        <f>IF('Unit Mix &amp; Rents'!E20 = "", "", 'Unit Mix &amp; Rents'!E20)</f>
        <v/>
      </c>
    </row>
    <row r="956" spans="1:10">
      <c r="A956" s="195" t="str">
        <f>IF(B956="","",MAX(A$950:A955)+1)</f>
        <v/>
      </c>
      <c r="B956" s="70" t="str">
        <f>IF('Unit Mix &amp; Rents'!A21 = "", "", 'Unit Mix &amp; Rents'!A21)</f>
        <v/>
      </c>
      <c r="C956" t="str">
        <f>IF('Unit Mix &amp; Rents'!B21 = "", "", 'Unit Mix &amp; Rents'!B21)</f>
        <v/>
      </c>
      <c r="D956" t="str">
        <f>IF('Unit Mix &amp; Rents'!C21 = "", "", 'Unit Mix &amp; Rents'!C21)</f>
        <v/>
      </c>
      <c r="E956" t="str">
        <f>IF('Unit Mix &amp; Rents'!D21 = "", "", 'Unit Mix &amp; Rents'!D21)</f>
        <v/>
      </c>
      <c r="F956" t="str">
        <f>IF('Unit Mix &amp; Rents'!E21 = "", "", 'Unit Mix &amp; Rents'!E21)</f>
        <v/>
      </c>
    </row>
    <row r="957" spans="1:10">
      <c r="A957" s="195" t="str">
        <f>IF(B957="","",MAX(A$950:A956)+1)</f>
        <v/>
      </c>
      <c r="B957" s="70" t="str">
        <f>IF('Unit Mix &amp; Rents'!A22 = "", "", 'Unit Mix &amp; Rents'!A22)</f>
        <v/>
      </c>
      <c r="C957" t="str">
        <f>IF('Unit Mix &amp; Rents'!B22 = "", "", 'Unit Mix &amp; Rents'!B22)</f>
        <v/>
      </c>
      <c r="D957" t="str">
        <f>IF('Unit Mix &amp; Rents'!C22 = "", "", 'Unit Mix &amp; Rents'!C22)</f>
        <v/>
      </c>
      <c r="E957" t="str">
        <f>IF('Unit Mix &amp; Rents'!D22 = "", "", 'Unit Mix &amp; Rents'!D22)</f>
        <v/>
      </c>
      <c r="F957" t="str">
        <f>IF('Unit Mix &amp; Rents'!E22 = "", "", 'Unit Mix &amp; Rents'!E22)</f>
        <v/>
      </c>
    </row>
    <row r="958" spans="1:10">
      <c r="A958" s="195" t="str">
        <f>IF(B958="","",MAX(A$950:A957)+1)</f>
        <v/>
      </c>
      <c r="B958" s="70" t="str">
        <f>IF('Unit Mix &amp; Rents'!A23 = "", "", 'Unit Mix &amp; Rents'!A23)</f>
        <v/>
      </c>
      <c r="C958" t="str">
        <f>IF('Unit Mix &amp; Rents'!B23 = "", "", 'Unit Mix &amp; Rents'!B23)</f>
        <v/>
      </c>
      <c r="D958" t="str">
        <f>IF('Unit Mix &amp; Rents'!C23 = "", "", 'Unit Mix &amp; Rents'!C23)</f>
        <v/>
      </c>
      <c r="E958" t="str">
        <f>IF('Unit Mix &amp; Rents'!D23 = "", "", 'Unit Mix &amp; Rents'!D23)</f>
        <v/>
      </c>
      <c r="F958" t="str">
        <f>IF('Unit Mix &amp; Rents'!E23 = "", "", 'Unit Mix &amp; Rents'!E23)</f>
        <v/>
      </c>
    </row>
    <row r="959" spans="1:10">
      <c r="A959" s="195" t="str">
        <f>IF(B959="","",MAX(A$950:A958)+1)</f>
        <v/>
      </c>
      <c r="B959" s="70" t="str">
        <f>IF('Unit Mix &amp; Rents'!A24 = "", "", 'Unit Mix &amp; Rents'!A24)</f>
        <v/>
      </c>
      <c r="C959" t="str">
        <f>IF('Unit Mix &amp; Rents'!B24 = "", "", 'Unit Mix &amp; Rents'!B24)</f>
        <v/>
      </c>
      <c r="D959" t="str">
        <f>IF('Unit Mix &amp; Rents'!C24 = "", "", 'Unit Mix &amp; Rents'!C24)</f>
        <v/>
      </c>
      <c r="E959" t="str">
        <f>IF('Unit Mix &amp; Rents'!D24 = "", "", 'Unit Mix &amp; Rents'!D24)</f>
        <v/>
      </c>
      <c r="F959" t="str">
        <f>IF('Unit Mix &amp; Rents'!E24 = "", "", 'Unit Mix &amp; Rents'!E24)</f>
        <v/>
      </c>
    </row>
    <row r="960" spans="1:10">
      <c r="A960" s="195" t="str">
        <f>IF(B960="","",MAX(A$950:A959)+1)</f>
        <v/>
      </c>
      <c r="B960" s="70" t="str">
        <f>IF('Unit Mix &amp; Rents'!A25 = "", "", 'Unit Mix &amp; Rents'!A25)</f>
        <v/>
      </c>
      <c r="C960" t="str">
        <f>IF('Unit Mix &amp; Rents'!B25 = "", "", 'Unit Mix &amp; Rents'!B25)</f>
        <v/>
      </c>
      <c r="D960" t="str">
        <f>IF('Unit Mix &amp; Rents'!C25 = "", "", 'Unit Mix &amp; Rents'!C25)</f>
        <v/>
      </c>
      <c r="E960" t="str">
        <f>IF('Unit Mix &amp; Rents'!D25 = "", "", 'Unit Mix &amp; Rents'!D25)</f>
        <v/>
      </c>
      <c r="F960" t="str">
        <f>IF('Unit Mix &amp; Rents'!E25 = "", "", 'Unit Mix &amp; Rents'!E25)</f>
        <v/>
      </c>
    </row>
    <row r="961" spans="1:6">
      <c r="A961" s="195" t="str">
        <f>IF(B961="","",MAX(A$950:A960)+1)</f>
        <v/>
      </c>
      <c r="B961" s="70" t="str">
        <f>IF('Unit Mix &amp; Rents'!A26 = "", "", 'Unit Mix &amp; Rents'!A26)</f>
        <v/>
      </c>
      <c r="C961" t="str">
        <f>IF('Unit Mix &amp; Rents'!B26 = "", "", 'Unit Mix &amp; Rents'!B26)</f>
        <v/>
      </c>
      <c r="D961" t="str">
        <f>IF('Unit Mix &amp; Rents'!C26 = "", "", 'Unit Mix &amp; Rents'!C26)</f>
        <v/>
      </c>
      <c r="E961" t="str">
        <f>IF('Unit Mix &amp; Rents'!D26 = "", "", 'Unit Mix &amp; Rents'!D26)</f>
        <v/>
      </c>
      <c r="F961" t="str">
        <f>IF('Unit Mix &amp; Rents'!E26 = "", "", 'Unit Mix &amp; Rents'!E26)</f>
        <v/>
      </c>
    </row>
    <row r="962" spans="1:6">
      <c r="A962" s="195" t="str">
        <f>IF(B962="","",MAX(A$950:A961)+1)</f>
        <v/>
      </c>
      <c r="B962" s="70" t="str">
        <f>IF('Unit Mix &amp; Rents'!A27 = "", "", 'Unit Mix &amp; Rents'!A27)</f>
        <v/>
      </c>
      <c r="C962" t="str">
        <f>IF('Unit Mix &amp; Rents'!B27 = "", "", 'Unit Mix &amp; Rents'!B27)</f>
        <v/>
      </c>
      <c r="D962" t="str">
        <f>IF('Unit Mix &amp; Rents'!C27 = "", "", 'Unit Mix &amp; Rents'!C27)</f>
        <v/>
      </c>
      <c r="E962" t="str">
        <f>IF('Unit Mix &amp; Rents'!D27 = "", "", 'Unit Mix &amp; Rents'!D27)</f>
        <v/>
      </c>
      <c r="F962" t="str">
        <f>IF('Unit Mix &amp; Rents'!E27 = "", "", 'Unit Mix &amp; Rents'!E27)</f>
        <v/>
      </c>
    </row>
    <row r="963" spans="1:6">
      <c r="A963" s="195" t="str">
        <f>IF(B963="","",MAX(A$950:A962)+1)</f>
        <v/>
      </c>
      <c r="B963" s="70" t="str">
        <f>IF('Unit Mix &amp; Rents'!A28 = "", "", 'Unit Mix &amp; Rents'!A28)</f>
        <v/>
      </c>
      <c r="C963" t="str">
        <f>IF('Unit Mix &amp; Rents'!B28 = "", "", 'Unit Mix &amp; Rents'!B28)</f>
        <v/>
      </c>
      <c r="D963" t="str">
        <f>IF('Unit Mix &amp; Rents'!C28 = "", "", 'Unit Mix &amp; Rents'!C28)</f>
        <v/>
      </c>
      <c r="E963" t="str">
        <f>IF('Unit Mix &amp; Rents'!D28 = "", "", 'Unit Mix &amp; Rents'!D28)</f>
        <v/>
      </c>
      <c r="F963" t="str">
        <f>IF('Unit Mix &amp; Rents'!E28 = "", "", 'Unit Mix &amp; Rents'!E28)</f>
        <v/>
      </c>
    </row>
    <row r="964" spans="1:6">
      <c r="A964" s="195" t="str">
        <f>IF(B964="","",MAX(A$950:A963)+1)</f>
        <v/>
      </c>
      <c r="B964" s="70" t="str">
        <f>IF('Unit Mix &amp; Rents'!A29 = "", "", 'Unit Mix &amp; Rents'!A29)</f>
        <v/>
      </c>
      <c r="C964" t="str">
        <f>IF('Unit Mix &amp; Rents'!B29 = "", "", 'Unit Mix &amp; Rents'!B29)</f>
        <v/>
      </c>
      <c r="D964" t="str">
        <f>IF('Unit Mix &amp; Rents'!C29 = "", "", 'Unit Mix &amp; Rents'!C29)</f>
        <v/>
      </c>
      <c r="E964" t="str">
        <f>IF('Unit Mix &amp; Rents'!D29 = "", "", 'Unit Mix &amp; Rents'!D29)</f>
        <v/>
      </c>
      <c r="F964" t="str">
        <f>IF('Unit Mix &amp; Rents'!E29 = "", "", 'Unit Mix &amp; Rents'!E29)</f>
        <v/>
      </c>
    </row>
    <row r="965" spans="1:6">
      <c r="A965" s="195" t="str">
        <f>IF(B965="","",MAX(A$950:A964)+1)</f>
        <v/>
      </c>
      <c r="B965" s="70" t="str">
        <f>IF('Unit Mix &amp; Rents'!A30 = "", "", 'Unit Mix &amp; Rents'!A30)</f>
        <v/>
      </c>
      <c r="C965" t="str">
        <f>IF('Unit Mix &amp; Rents'!B30 = "", "", 'Unit Mix &amp; Rents'!B30)</f>
        <v/>
      </c>
      <c r="D965" t="str">
        <f>IF('Unit Mix &amp; Rents'!C30 = "", "", 'Unit Mix &amp; Rents'!C30)</f>
        <v/>
      </c>
      <c r="E965" t="str">
        <f>IF('Unit Mix &amp; Rents'!D30 = "", "", 'Unit Mix &amp; Rents'!D30)</f>
        <v/>
      </c>
      <c r="F965" t="str">
        <f>IF('Unit Mix &amp; Rents'!E30 = "", "", 'Unit Mix &amp; Rents'!E30)</f>
        <v/>
      </c>
    </row>
    <row r="966" spans="1:6">
      <c r="A966" s="195" t="str">
        <f>IF(B966="","",MAX(A$950:A965)+1)</f>
        <v/>
      </c>
      <c r="B966" s="70" t="str">
        <f>IF('Unit Mix &amp; Rents'!A31 = "", "", 'Unit Mix &amp; Rents'!A31)</f>
        <v/>
      </c>
      <c r="C966" t="str">
        <f>IF('Unit Mix &amp; Rents'!B31 = "", "", 'Unit Mix &amp; Rents'!B31)</f>
        <v/>
      </c>
      <c r="D966" t="str">
        <f>IF('Unit Mix &amp; Rents'!C31 = "", "", 'Unit Mix &amp; Rents'!C31)</f>
        <v/>
      </c>
      <c r="E966" t="str">
        <f>IF('Unit Mix &amp; Rents'!D31 = "", "", 'Unit Mix &amp; Rents'!D31)</f>
        <v/>
      </c>
      <c r="F966" t="str">
        <f>IF('Unit Mix &amp; Rents'!E31 = "", "", 'Unit Mix &amp; Rents'!E31)</f>
        <v/>
      </c>
    </row>
    <row r="967" spans="1:6">
      <c r="A967" s="195" t="str">
        <f>IF(B967="","",MAX(A$950:A966)+1)</f>
        <v/>
      </c>
      <c r="B967" s="70" t="str">
        <f>IF('Unit Mix &amp; Rents'!A32 = "", "", 'Unit Mix &amp; Rents'!A32)</f>
        <v/>
      </c>
      <c r="C967" t="str">
        <f>IF('Unit Mix &amp; Rents'!B32 = "", "", 'Unit Mix &amp; Rents'!B32)</f>
        <v/>
      </c>
      <c r="D967" t="str">
        <f>IF('Unit Mix &amp; Rents'!C32 = "", "", 'Unit Mix &amp; Rents'!C32)</f>
        <v/>
      </c>
      <c r="E967" t="str">
        <f>IF('Unit Mix &amp; Rents'!D32 = "", "", 'Unit Mix &amp; Rents'!D32)</f>
        <v/>
      </c>
      <c r="F967" t="str">
        <f>IF('Unit Mix &amp; Rents'!E32 = "", "", 'Unit Mix &amp; Rents'!E32)</f>
        <v/>
      </c>
    </row>
    <row r="968" spans="1:6">
      <c r="A968" s="195" t="str">
        <f>IF(B968="","",MAX(A$950:A967)+1)</f>
        <v/>
      </c>
      <c r="B968" s="70" t="str">
        <f>IF('Unit Mix &amp; Rents'!A33 = "", "", 'Unit Mix &amp; Rents'!A33)</f>
        <v/>
      </c>
      <c r="C968" t="str">
        <f>IF('Unit Mix &amp; Rents'!B33 = "", "", 'Unit Mix &amp; Rents'!B33)</f>
        <v/>
      </c>
      <c r="D968" t="str">
        <f>IF('Unit Mix &amp; Rents'!C33 = "", "", 'Unit Mix &amp; Rents'!C33)</f>
        <v/>
      </c>
      <c r="E968" t="str">
        <f>IF('Unit Mix &amp; Rents'!D33 = "", "", 'Unit Mix &amp; Rents'!D33)</f>
        <v/>
      </c>
      <c r="F968" t="str">
        <f>IF('Unit Mix &amp; Rents'!E33 = "", "", 'Unit Mix &amp; Rents'!E33)</f>
        <v/>
      </c>
    </row>
    <row r="969" spans="1:6">
      <c r="A969" s="195" t="str">
        <f>IF(B969="","",MAX(A$950:A968)+1)</f>
        <v/>
      </c>
      <c r="B969" s="70" t="str">
        <f>IF('Unit Mix &amp; Rents'!A34 = "", "", 'Unit Mix &amp; Rents'!A34)</f>
        <v/>
      </c>
      <c r="C969" t="str">
        <f>IF('Unit Mix &amp; Rents'!B34 = "", "", 'Unit Mix &amp; Rents'!B34)</f>
        <v/>
      </c>
      <c r="D969" t="str">
        <f>IF('Unit Mix &amp; Rents'!C34 = "", "", 'Unit Mix &amp; Rents'!C34)</f>
        <v/>
      </c>
      <c r="E969" t="str">
        <f>IF('Unit Mix &amp; Rents'!D34 = "", "", 'Unit Mix &amp; Rents'!D34)</f>
        <v/>
      </c>
      <c r="F969" t="str">
        <f>IF('Unit Mix &amp; Rents'!E34 = "", "", 'Unit Mix &amp; Rents'!E34)</f>
        <v/>
      </c>
    </row>
    <row r="970" spans="1:6">
      <c r="A970" s="195" t="str">
        <f>IF(B970="","",MAX(A$950:A969)+1)</f>
        <v/>
      </c>
      <c r="B970" s="70" t="str">
        <f>IF('Unit Mix &amp; Rents'!A35 = "", "", 'Unit Mix &amp; Rents'!A35)</f>
        <v/>
      </c>
      <c r="C970" t="str">
        <f>IF('Unit Mix &amp; Rents'!B35 = "", "", 'Unit Mix &amp; Rents'!B35)</f>
        <v/>
      </c>
      <c r="D970" t="str">
        <f>IF('Unit Mix &amp; Rents'!C35 = "", "", 'Unit Mix &amp; Rents'!C35)</f>
        <v/>
      </c>
      <c r="E970" t="str">
        <f>IF('Unit Mix &amp; Rents'!D35 = "", "", 'Unit Mix &amp; Rents'!D35)</f>
        <v/>
      </c>
      <c r="F970" t="str">
        <f>IF('Unit Mix &amp; Rents'!E35 = "", "", 'Unit Mix &amp; Rents'!E35)</f>
        <v/>
      </c>
    </row>
    <row r="971" spans="1:6">
      <c r="A971" s="195" t="str">
        <f>IF(B971="","",MAX(A$950:A970)+1)</f>
        <v/>
      </c>
      <c r="B971" s="70" t="str">
        <f>IF('Unit Mix &amp; Rents'!A36 = "", "", 'Unit Mix &amp; Rents'!A36)</f>
        <v/>
      </c>
      <c r="C971" t="str">
        <f>IF('Unit Mix &amp; Rents'!B36 = "", "", 'Unit Mix &amp; Rents'!B36)</f>
        <v/>
      </c>
      <c r="D971" t="str">
        <f>IF('Unit Mix &amp; Rents'!C36 = "", "", 'Unit Mix &amp; Rents'!C36)</f>
        <v/>
      </c>
      <c r="E971" t="str">
        <f>IF('Unit Mix &amp; Rents'!D36 = "", "", 'Unit Mix &amp; Rents'!D36)</f>
        <v/>
      </c>
      <c r="F971" t="str">
        <f>IF('Unit Mix &amp; Rents'!E36 = "", "", 'Unit Mix &amp; Rents'!E36)</f>
        <v/>
      </c>
    </row>
    <row r="972" spans="1:6">
      <c r="A972" s="195" t="str">
        <f>IF(B972="","",MAX(A$950:A971)+1)</f>
        <v/>
      </c>
      <c r="B972" s="70" t="str">
        <f>IF('Unit Mix &amp; Rents'!A37 = "", "", 'Unit Mix &amp; Rents'!A37)</f>
        <v/>
      </c>
      <c r="C972" t="str">
        <f>IF('Unit Mix &amp; Rents'!B37 = "", "", 'Unit Mix &amp; Rents'!B37)</f>
        <v/>
      </c>
      <c r="D972" t="str">
        <f>IF('Unit Mix &amp; Rents'!C37 = "", "", 'Unit Mix &amp; Rents'!C37)</f>
        <v/>
      </c>
      <c r="E972" t="str">
        <f>IF('Unit Mix &amp; Rents'!D37 = "", "", 'Unit Mix &amp; Rents'!D37)</f>
        <v/>
      </c>
      <c r="F972" t="str">
        <f>IF('Unit Mix &amp; Rents'!E37 = "", "", 'Unit Mix &amp; Rents'!E37)</f>
        <v/>
      </c>
    </row>
    <row r="973" spans="1:6">
      <c r="A973" s="195" t="str">
        <f>IF(B973="","",MAX(A$950:A972)+1)</f>
        <v/>
      </c>
      <c r="B973" s="70" t="str">
        <f>IF('Unit Mix &amp; Rents'!A38 = "", "", 'Unit Mix &amp; Rents'!A38)</f>
        <v/>
      </c>
      <c r="C973" t="str">
        <f>IF('Unit Mix &amp; Rents'!B38 = "", "", 'Unit Mix &amp; Rents'!B38)</f>
        <v/>
      </c>
      <c r="D973" t="str">
        <f>IF('Unit Mix &amp; Rents'!C38 = "", "", 'Unit Mix &amp; Rents'!C38)</f>
        <v/>
      </c>
      <c r="E973" t="str">
        <f>IF('Unit Mix &amp; Rents'!D38 = "", "", 'Unit Mix &amp; Rents'!D38)</f>
        <v/>
      </c>
      <c r="F973" t="str">
        <f>IF('Unit Mix &amp; Rents'!E38 = "", "", 'Unit Mix &amp; Rents'!E38)</f>
        <v/>
      </c>
    </row>
    <row r="974" spans="1:6">
      <c r="A974" s="195" t="str">
        <f>IF(B974="","",MAX(A$950:A973)+1)</f>
        <v/>
      </c>
      <c r="B974" s="70" t="str">
        <f>IF('Unit Mix &amp; Rents'!A39 = "", "", 'Unit Mix &amp; Rents'!A39)</f>
        <v/>
      </c>
      <c r="C974" t="str">
        <f>IF('Unit Mix &amp; Rents'!B39 = "", "", 'Unit Mix &amp; Rents'!B39)</f>
        <v/>
      </c>
      <c r="D974" t="str">
        <f>IF('Unit Mix &amp; Rents'!C39 = "", "", 'Unit Mix &amp; Rents'!C39)</f>
        <v/>
      </c>
      <c r="E974" t="str">
        <f>IF('Unit Mix &amp; Rents'!D39 = "", "", 'Unit Mix &amp; Rents'!D39)</f>
        <v/>
      </c>
      <c r="F974" t="str">
        <f>IF('Unit Mix &amp; Rents'!E39 = "", "", 'Unit Mix &amp; Rents'!E39)</f>
        <v/>
      </c>
    </row>
    <row r="975" spans="1:6">
      <c r="A975" s="195" t="str">
        <f>IF(B975="","",MAX(A$950:A974)+1)</f>
        <v/>
      </c>
      <c r="B975" s="70" t="str">
        <f>IF('Unit Mix &amp; Rents'!A40 = "", "", 'Unit Mix &amp; Rents'!A40)</f>
        <v/>
      </c>
      <c r="C975" t="str">
        <f>IF('Unit Mix &amp; Rents'!B40 = "", "", 'Unit Mix &amp; Rents'!B40)</f>
        <v/>
      </c>
      <c r="D975" t="str">
        <f>IF('Unit Mix &amp; Rents'!C40 = "", "", 'Unit Mix &amp; Rents'!C40)</f>
        <v/>
      </c>
      <c r="E975" t="str">
        <f>IF('Unit Mix &amp; Rents'!D40 = "", "", 'Unit Mix &amp; Rents'!D40)</f>
        <v/>
      </c>
      <c r="F975" t="str">
        <f>IF('Unit Mix &amp; Rents'!E40 = "", "", 'Unit Mix &amp; Rents'!E40)</f>
        <v/>
      </c>
    </row>
    <row r="976" spans="1:6">
      <c r="A976" s="195" t="str">
        <f>IF(B976="","",MAX(A$950:A975)+1)</f>
        <v/>
      </c>
      <c r="B976" s="70" t="str">
        <f>IF('Unit Mix &amp; Rents'!A41 = "", "", 'Unit Mix &amp; Rents'!A41)</f>
        <v/>
      </c>
      <c r="C976" t="str">
        <f>IF('Unit Mix &amp; Rents'!B41 = "", "", 'Unit Mix &amp; Rents'!B41)</f>
        <v/>
      </c>
      <c r="D976" t="str">
        <f>IF('Unit Mix &amp; Rents'!C41 = "", "", 'Unit Mix &amp; Rents'!C41)</f>
        <v/>
      </c>
      <c r="E976" t="str">
        <f>IF('Unit Mix &amp; Rents'!D41 = "", "", 'Unit Mix &amp; Rents'!D41)</f>
        <v/>
      </c>
      <c r="F976" t="str">
        <f>IF('Unit Mix &amp; Rents'!E41 = "", "", 'Unit Mix &amp; Rents'!E41)</f>
        <v/>
      </c>
    </row>
    <row r="977" spans="1:6">
      <c r="A977" s="195" t="str">
        <f>IF(B977="","",MAX(A$950:A976)+1)</f>
        <v/>
      </c>
      <c r="B977" s="70" t="str">
        <f>IF('Unit Mix &amp; Rents'!A42 = "", "", 'Unit Mix &amp; Rents'!A42)</f>
        <v/>
      </c>
      <c r="C977" t="str">
        <f>IF('Unit Mix &amp; Rents'!B42 = "", "", 'Unit Mix &amp; Rents'!B42)</f>
        <v/>
      </c>
      <c r="D977" t="str">
        <f>IF('Unit Mix &amp; Rents'!C42 = "", "", 'Unit Mix &amp; Rents'!C42)</f>
        <v/>
      </c>
      <c r="E977" t="str">
        <f>IF('Unit Mix &amp; Rents'!D42 = "", "", 'Unit Mix &amp; Rents'!D42)</f>
        <v/>
      </c>
      <c r="F977" t="str">
        <f>IF('Unit Mix &amp; Rents'!E42 = "", "", 'Unit Mix &amp; Rents'!E42)</f>
        <v/>
      </c>
    </row>
    <row r="978" spans="1:6">
      <c r="A978" s="195" t="str">
        <f>IF(B978="","",MAX(A$950:A977)+1)</f>
        <v/>
      </c>
      <c r="B978" s="70" t="str">
        <f>IF('Unit Mix &amp; Rents'!A43 = "", "", 'Unit Mix &amp; Rents'!A43)</f>
        <v/>
      </c>
      <c r="C978" t="str">
        <f>IF('Unit Mix &amp; Rents'!B43 = "", "", 'Unit Mix &amp; Rents'!B43)</f>
        <v/>
      </c>
      <c r="D978" t="str">
        <f>IF('Unit Mix &amp; Rents'!C43 = "", "", 'Unit Mix &amp; Rents'!C43)</f>
        <v/>
      </c>
      <c r="E978" t="str">
        <f>IF('Unit Mix &amp; Rents'!D43 = "", "", 'Unit Mix &amp; Rents'!D43)</f>
        <v/>
      </c>
      <c r="F978" t="str">
        <f>IF('Unit Mix &amp; Rents'!E43 = "", "", 'Unit Mix &amp; Rents'!E43)</f>
        <v/>
      </c>
    </row>
    <row r="979" spans="1:6">
      <c r="A979" s="195" t="str">
        <f>IF(B979="","",MAX(A$950:A978)+1)</f>
        <v/>
      </c>
      <c r="B979" s="70" t="str">
        <f>IF('Unit Mix &amp; Rents'!A44 = "", "", 'Unit Mix &amp; Rents'!A44)</f>
        <v/>
      </c>
      <c r="C979" t="str">
        <f>IF('Unit Mix &amp; Rents'!B44 = "", "", 'Unit Mix &amp; Rents'!B44)</f>
        <v/>
      </c>
      <c r="D979" t="str">
        <f>IF('Unit Mix &amp; Rents'!C44 = "", "", 'Unit Mix &amp; Rents'!C44)</f>
        <v/>
      </c>
      <c r="E979" t="str">
        <f>IF('Unit Mix &amp; Rents'!D44 = "", "", 'Unit Mix &amp; Rents'!D44)</f>
        <v/>
      </c>
      <c r="F979" t="str">
        <f>IF('Unit Mix &amp; Rents'!E44 = "", "", 'Unit Mix &amp; Rents'!E44)</f>
        <v/>
      </c>
    </row>
    <row r="980" spans="1:6">
      <c r="A980" s="195" t="str">
        <f>IF(B980="","",MAX(A$950:A979)+1)</f>
        <v/>
      </c>
      <c r="B980" s="70" t="str">
        <f>IF('Unit Mix &amp; Rents'!A45 = "", "", 'Unit Mix &amp; Rents'!A45)</f>
        <v/>
      </c>
      <c r="C980" t="str">
        <f>IF('Unit Mix &amp; Rents'!B45 = "", "", 'Unit Mix &amp; Rents'!B45)</f>
        <v/>
      </c>
      <c r="D980" t="str">
        <f>IF('Unit Mix &amp; Rents'!C45 = "", "", 'Unit Mix &amp; Rents'!C45)</f>
        <v/>
      </c>
      <c r="E980" t="str">
        <f>IF('Unit Mix &amp; Rents'!D45 = "", "", 'Unit Mix &amp; Rents'!D45)</f>
        <v/>
      </c>
      <c r="F980" t="str">
        <f>IF('Unit Mix &amp; Rents'!E45 = "", "", 'Unit Mix &amp; Rents'!E45)</f>
        <v/>
      </c>
    </row>
    <row r="981" spans="1:6">
      <c r="A981" s="195" t="str">
        <f>IF(B981="","",MAX(A$950:A980)+1)</f>
        <v/>
      </c>
      <c r="B981" s="70" t="str">
        <f>IF('Unit Mix &amp; Rents'!A46 = "", "", 'Unit Mix &amp; Rents'!A46)</f>
        <v/>
      </c>
      <c r="C981" t="str">
        <f>IF('Unit Mix &amp; Rents'!B46 = "", "", 'Unit Mix &amp; Rents'!B46)</f>
        <v/>
      </c>
      <c r="D981" t="str">
        <f>IF('Unit Mix &amp; Rents'!C46 = "", "", 'Unit Mix &amp; Rents'!C46)</f>
        <v/>
      </c>
      <c r="E981" t="str">
        <f>IF('Unit Mix &amp; Rents'!D46 = "", "", 'Unit Mix &amp; Rents'!D46)</f>
        <v/>
      </c>
      <c r="F981" t="str">
        <f>IF('Unit Mix &amp; Rents'!E46 = "", "", 'Unit Mix &amp; Rents'!E46)</f>
        <v/>
      </c>
    </row>
    <row r="982" spans="1:6">
      <c r="A982" s="195" t="str">
        <f>IF(B982="","",MAX(A$950:A981)+1)</f>
        <v/>
      </c>
      <c r="B982" s="70" t="str">
        <f>IF('Unit Mix &amp; Rents'!A47 = "", "", 'Unit Mix &amp; Rents'!A47)</f>
        <v/>
      </c>
      <c r="C982" t="str">
        <f>IF('Unit Mix &amp; Rents'!B47 = "", "", 'Unit Mix &amp; Rents'!B47)</f>
        <v/>
      </c>
      <c r="D982" t="str">
        <f>IF('Unit Mix &amp; Rents'!C47 = "", "", 'Unit Mix &amp; Rents'!C47)</f>
        <v/>
      </c>
      <c r="E982" t="str">
        <f>IF('Unit Mix &amp; Rents'!D47 = "", "", 'Unit Mix &amp; Rents'!D47)</f>
        <v/>
      </c>
      <c r="F982" t="str">
        <f>IF('Unit Mix &amp; Rents'!E47 = "", "", 'Unit Mix &amp; Rents'!E47)</f>
        <v/>
      </c>
    </row>
    <row r="983" spans="1:6">
      <c r="A983" s="195" t="str">
        <f>IF(B983="","",MAX(A$950:A982)+1)</f>
        <v/>
      </c>
      <c r="B983" s="70" t="str">
        <f>IF('Unit Mix &amp; Rents'!A48 = "", "", 'Unit Mix &amp; Rents'!A48)</f>
        <v/>
      </c>
      <c r="C983" t="str">
        <f>IF('Unit Mix &amp; Rents'!B48 = "", "", 'Unit Mix &amp; Rents'!B48)</f>
        <v/>
      </c>
      <c r="D983" t="str">
        <f>IF('Unit Mix &amp; Rents'!C48 = "", "", 'Unit Mix &amp; Rents'!C48)</f>
        <v/>
      </c>
      <c r="E983" t="str">
        <f>IF('Unit Mix &amp; Rents'!D48 = "", "", 'Unit Mix &amp; Rents'!D48)</f>
        <v/>
      </c>
      <c r="F983" t="str">
        <f>IF('Unit Mix &amp; Rents'!E48 = "", "", 'Unit Mix &amp; Rents'!E48)</f>
        <v/>
      </c>
    </row>
    <row r="984" spans="1:6">
      <c r="A984" s="195" t="str">
        <f>IF(B984="","",MAX(A$950:A983)+1)</f>
        <v/>
      </c>
      <c r="B984" s="70" t="str">
        <f>IF('Unit Mix &amp; Rents'!A49 = "", "", 'Unit Mix &amp; Rents'!A49)</f>
        <v/>
      </c>
      <c r="C984" t="str">
        <f>IF('Unit Mix &amp; Rents'!B49 = "", "", 'Unit Mix &amp; Rents'!B49)</f>
        <v/>
      </c>
      <c r="D984" t="str">
        <f>IF('Unit Mix &amp; Rents'!C49 = "", "", 'Unit Mix &amp; Rents'!C49)</f>
        <v/>
      </c>
      <c r="E984" t="str">
        <f>IF('Unit Mix &amp; Rents'!D49 = "", "", 'Unit Mix &amp; Rents'!D49)</f>
        <v/>
      </c>
      <c r="F984" t="str">
        <f>IF('Unit Mix &amp; Rents'!E49 = "", "", 'Unit Mix &amp; Rents'!E49)</f>
        <v/>
      </c>
    </row>
    <row r="985" spans="1:6">
      <c r="A985" s="195" t="str">
        <f>IF(B985="","",MAX(A$950:A984)+1)</f>
        <v/>
      </c>
      <c r="B985" s="70" t="str">
        <f>IF('Unit Mix &amp; Rents'!A50 = "", "", 'Unit Mix &amp; Rents'!A50)</f>
        <v/>
      </c>
      <c r="C985" t="str">
        <f>IF('Unit Mix &amp; Rents'!B50 = "", "", 'Unit Mix &amp; Rents'!B50)</f>
        <v/>
      </c>
      <c r="D985" t="str">
        <f>IF('Unit Mix &amp; Rents'!C50 = "", "", 'Unit Mix &amp; Rents'!C50)</f>
        <v/>
      </c>
      <c r="E985" t="str">
        <f>IF('Unit Mix &amp; Rents'!D50 = "", "", 'Unit Mix &amp; Rents'!D50)</f>
        <v/>
      </c>
      <c r="F985" t="str">
        <f>IF('Unit Mix &amp; Rents'!E50 = "", "", 'Unit Mix &amp; Rents'!E50)</f>
        <v/>
      </c>
    </row>
    <row r="986" spans="1:6">
      <c r="A986" s="195" t="str">
        <f>IF(B986="","",MAX(A$950:A985)+1)</f>
        <v/>
      </c>
      <c r="B986" s="70" t="str">
        <f>IF('Unit Mix &amp; Rents'!A51 = "", "", 'Unit Mix &amp; Rents'!A51)</f>
        <v/>
      </c>
      <c r="C986" t="str">
        <f>IF('Unit Mix &amp; Rents'!B51 = "", "", 'Unit Mix &amp; Rents'!B51)</f>
        <v/>
      </c>
      <c r="D986" t="str">
        <f>IF('Unit Mix &amp; Rents'!C51 = "", "", 'Unit Mix &amp; Rents'!C51)</f>
        <v/>
      </c>
      <c r="E986" t="str">
        <f>IF('Unit Mix &amp; Rents'!D51 = "", "", 'Unit Mix &amp; Rents'!D51)</f>
        <v/>
      </c>
      <c r="F986" t="str">
        <f>IF('Unit Mix &amp; Rents'!E51 = "", "", 'Unit Mix &amp; Rents'!E51)</f>
        <v/>
      </c>
    </row>
    <row r="987" spans="1:6">
      <c r="A987" s="195" t="str">
        <f>IF(B987="","",MAX(A$950:A986)+1)</f>
        <v/>
      </c>
      <c r="B987" s="70" t="str">
        <f>IF('Unit Mix &amp; Rents'!A52 = "", "", 'Unit Mix &amp; Rents'!A52)</f>
        <v/>
      </c>
      <c r="C987" t="str">
        <f>IF('Unit Mix &amp; Rents'!B52 = "", "", 'Unit Mix &amp; Rents'!B52)</f>
        <v/>
      </c>
      <c r="D987" t="str">
        <f>IF('Unit Mix &amp; Rents'!C52 = "", "", 'Unit Mix &amp; Rents'!C52)</f>
        <v/>
      </c>
      <c r="E987" t="str">
        <f>IF('Unit Mix &amp; Rents'!D52 = "", "", 'Unit Mix &amp; Rents'!D52)</f>
        <v/>
      </c>
      <c r="F987" t="str">
        <f>IF('Unit Mix &amp; Rents'!E52 = "", "", 'Unit Mix &amp; Rents'!E52)</f>
        <v/>
      </c>
    </row>
    <row r="988" spans="1:6">
      <c r="A988" s="195" t="str">
        <f>IF(B988="","",MAX(A$950:A987)+1)</f>
        <v/>
      </c>
      <c r="B988" s="70" t="str">
        <f>IF('Unit Mix &amp; Rents'!A53 = "", "", 'Unit Mix &amp; Rents'!A53)</f>
        <v/>
      </c>
      <c r="C988" t="str">
        <f>IF('Unit Mix &amp; Rents'!B53 = "", "", 'Unit Mix &amp; Rents'!B53)</f>
        <v/>
      </c>
      <c r="D988" t="str">
        <f>IF('Unit Mix &amp; Rents'!C53 = "", "", 'Unit Mix &amp; Rents'!C53)</f>
        <v/>
      </c>
      <c r="E988" t="str">
        <f>IF('Unit Mix &amp; Rents'!D53 = "", "", 'Unit Mix &amp; Rents'!D53)</f>
        <v/>
      </c>
      <c r="F988" t="str">
        <f>IF('Unit Mix &amp; Rents'!E53 = "", "", 'Unit Mix &amp; Rents'!E53)</f>
        <v/>
      </c>
    </row>
    <row r="989" spans="1:6">
      <c r="A989" s="195" t="str">
        <f>IF(B989="","",MAX(A$950:A988)+1)</f>
        <v/>
      </c>
      <c r="B989" s="70" t="str">
        <f>IF('Unit Mix &amp; Rents'!A54 = "", "", 'Unit Mix &amp; Rents'!A54)</f>
        <v/>
      </c>
      <c r="C989" t="str">
        <f>IF('Unit Mix &amp; Rents'!B54 = "", "", 'Unit Mix &amp; Rents'!B54)</f>
        <v/>
      </c>
      <c r="D989" t="str">
        <f>IF('Unit Mix &amp; Rents'!C54 = "", "", 'Unit Mix &amp; Rents'!C54)</f>
        <v/>
      </c>
      <c r="E989" t="str">
        <f>IF('Unit Mix &amp; Rents'!D54 = "", "", 'Unit Mix &amp; Rents'!D54)</f>
        <v/>
      </c>
      <c r="F989" t="str">
        <f>IF('Unit Mix &amp; Rents'!E54 = "", "", 'Unit Mix &amp; Rents'!E54)</f>
        <v/>
      </c>
    </row>
    <row r="990" spans="1:6">
      <c r="A990" s="195" t="str">
        <f>IF(B990="","",MAX(A$950:A989)+1)</f>
        <v/>
      </c>
      <c r="B990" s="70" t="str">
        <f>IF('Unit Mix &amp; Rents'!A55 = "", "", 'Unit Mix &amp; Rents'!A55)</f>
        <v/>
      </c>
      <c r="C990" t="str">
        <f>IF('Unit Mix &amp; Rents'!B55 = "", "", 'Unit Mix &amp; Rents'!B55)</f>
        <v/>
      </c>
      <c r="D990" t="str">
        <f>IF('Unit Mix &amp; Rents'!C55 = "", "", 'Unit Mix &amp; Rents'!C55)</f>
        <v/>
      </c>
      <c r="E990" t="str">
        <f>IF('Unit Mix &amp; Rents'!D55 = "", "", 'Unit Mix &amp; Rents'!D55)</f>
        <v/>
      </c>
      <c r="F990" t="str">
        <f>IF('Unit Mix &amp; Rents'!E55 = "", "", 'Unit Mix &amp; Rents'!E55)</f>
        <v/>
      </c>
    </row>
    <row r="991" spans="1:6">
      <c r="A991" s="195" t="str">
        <f>IF(B991="","",MAX(A$950:A990)+1)</f>
        <v/>
      </c>
      <c r="B991" s="70" t="str">
        <f>IF('Unit Mix &amp; Rents'!A56 = "", "", 'Unit Mix &amp; Rents'!A56)</f>
        <v/>
      </c>
      <c r="C991" t="str">
        <f>IF('Unit Mix &amp; Rents'!B56 = "", "", 'Unit Mix &amp; Rents'!B56)</f>
        <v/>
      </c>
      <c r="D991" t="str">
        <f>IF('Unit Mix &amp; Rents'!C56 = "", "", 'Unit Mix &amp; Rents'!C56)</f>
        <v/>
      </c>
      <c r="E991" t="str">
        <f>IF('Unit Mix &amp; Rents'!D56 = "", "", 'Unit Mix &amp; Rents'!D56)</f>
        <v/>
      </c>
      <c r="F991" t="str">
        <f>IF('Unit Mix &amp; Rents'!E56 = "", "", 'Unit Mix &amp; Rents'!E56)</f>
        <v/>
      </c>
    </row>
    <row r="992" spans="1:6">
      <c r="A992" s="195" t="str">
        <f>IF(B992="","",MAX(A$950:A991)+1)</f>
        <v/>
      </c>
      <c r="B992" s="70" t="str">
        <f>IF('Unit Mix &amp; Rents'!A57 = "", "", 'Unit Mix &amp; Rents'!A57)</f>
        <v/>
      </c>
      <c r="C992" t="str">
        <f>IF('Unit Mix &amp; Rents'!B57 = "", "", 'Unit Mix &amp; Rents'!B57)</f>
        <v/>
      </c>
      <c r="D992" t="str">
        <f>IF('Unit Mix &amp; Rents'!C57 = "", "", 'Unit Mix &amp; Rents'!C57)</f>
        <v/>
      </c>
      <c r="E992" t="str">
        <f>IF('Unit Mix &amp; Rents'!D57 = "", "", 'Unit Mix &amp; Rents'!D57)</f>
        <v/>
      </c>
      <c r="F992" t="str">
        <f>IF('Unit Mix &amp; Rents'!E57 = "", "", 'Unit Mix &amp; Rents'!E57)</f>
        <v/>
      </c>
    </row>
    <row r="993" spans="1:6">
      <c r="A993" s="195" t="str">
        <f>IF(B993="","",MAX(A$950:A992)+1)</f>
        <v/>
      </c>
      <c r="B993" s="70" t="str">
        <f>IF('Unit Mix &amp; Rents'!A58 = "", "", 'Unit Mix &amp; Rents'!A58)</f>
        <v/>
      </c>
      <c r="C993" t="str">
        <f>IF('Unit Mix &amp; Rents'!B58 = "", "", 'Unit Mix &amp; Rents'!B58)</f>
        <v/>
      </c>
      <c r="D993" t="str">
        <f>IF('Unit Mix &amp; Rents'!C58 = "", "", 'Unit Mix &amp; Rents'!C58)</f>
        <v/>
      </c>
      <c r="E993" t="str">
        <f>IF('Unit Mix &amp; Rents'!D58 = "", "", 'Unit Mix &amp; Rents'!D58)</f>
        <v/>
      </c>
      <c r="F993" t="str">
        <f>IF('Unit Mix &amp; Rents'!E58 = "", "", 'Unit Mix &amp; Rents'!E58)</f>
        <v/>
      </c>
    </row>
    <row r="994" spans="1:6">
      <c r="A994" s="195" t="str">
        <f>IF(B994="","",MAX(A$950:A993)+1)</f>
        <v/>
      </c>
      <c r="B994" s="70" t="str">
        <f>IF('Unit Mix &amp; Rents'!A59 = "", "", 'Unit Mix &amp; Rents'!A59)</f>
        <v/>
      </c>
      <c r="C994" t="str">
        <f>IF('Unit Mix &amp; Rents'!B59 = "", "", 'Unit Mix &amp; Rents'!B59)</f>
        <v/>
      </c>
      <c r="D994" t="str">
        <f>IF('Unit Mix &amp; Rents'!C59 = "", "", 'Unit Mix &amp; Rents'!C59)</f>
        <v/>
      </c>
      <c r="E994" t="str">
        <f>IF('Unit Mix &amp; Rents'!D59 = "", "", 'Unit Mix &amp; Rents'!D59)</f>
        <v/>
      </c>
      <c r="F994" t="str">
        <f>IF('Unit Mix &amp; Rents'!E59 = "", "", 'Unit Mix &amp; Rents'!E59)</f>
        <v/>
      </c>
    </row>
    <row r="995" spans="1:6">
      <c r="A995" s="195" t="str">
        <f>IF(B995="","",MAX(A$950:A994)+1)</f>
        <v/>
      </c>
      <c r="B995" s="70" t="str">
        <f>IF('Unit Mix &amp; Rents'!A60 = "", "", 'Unit Mix &amp; Rents'!A60)</f>
        <v/>
      </c>
      <c r="C995" t="str">
        <f>IF('Unit Mix &amp; Rents'!B60 = "", "", 'Unit Mix &amp; Rents'!B60)</f>
        <v/>
      </c>
      <c r="D995" t="str">
        <f>IF('Unit Mix &amp; Rents'!C60 = "", "", 'Unit Mix &amp; Rents'!C60)</f>
        <v/>
      </c>
      <c r="E995" t="str">
        <f>IF('Unit Mix &amp; Rents'!D60 = "", "", 'Unit Mix &amp; Rents'!D60)</f>
        <v/>
      </c>
      <c r="F995" t="str">
        <f>IF('Unit Mix &amp; Rents'!E60 = "", "", 'Unit Mix &amp; Rents'!E60)</f>
        <v/>
      </c>
    </row>
    <row r="996" spans="1:6">
      <c r="A996" s="195" t="str">
        <f>IF(B996="","",MAX(A$950:A995)+1)</f>
        <v/>
      </c>
      <c r="B996" s="70" t="str">
        <f>IF('Unit Mix &amp; Rents'!A61 = "", "", 'Unit Mix &amp; Rents'!A61)</f>
        <v/>
      </c>
      <c r="C996" t="str">
        <f>IF('Unit Mix &amp; Rents'!B61 = "", "", 'Unit Mix &amp; Rents'!B61)</f>
        <v/>
      </c>
      <c r="D996" t="str">
        <f>IF('Unit Mix &amp; Rents'!C61 = "", "", 'Unit Mix &amp; Rents'!C61)</f>
        <v/>
      </c>
      <c r="E996" t="str">
        <f>IF('Unit Mix &amp; Rents'!D61 = "", "", 'Unit Mix &amp; Rents'!D61)</f>
        <v/>
      </c>
      <c r="F996" t="str">
        <f>IF('Unit Mix &amp; Rents'!E61 = "", "", 'Unit Mix &amp; Rents'!E61)</f>
        <v/>
      </c>
    </row>
    <row r="997" spans="1:6">
      <c r="A997" s="195" t="str">
        <f>IF(B997="","",MAX(A$950:A996)+1)</f>
        <v/>
      </c>
      <c r="B997" s="70" t="str">
        <f>IF('Unit Mix &amp; Rents'!A62 = "", "", 'Unit Mix &amp; Rents'!A62)</f>
        <v/>
      </c>
      <c r="C997" t="str">
        <f>IF('Unit Mix &amp; Rents'!B62 = "", "", 'Unit Mix &amp; Rents'!B62)</f>
        <v/>
      </c>
      <c r="D997" t="str">
        <f>IF('Unit Mix &amp; Rents'!C62 = "", "", 'Unit Mix &amp; Rents'!C62)</f>
        <v/>
      </c>
      <c r="E997" t="str">
        <f>IF('Unit Mix &amp; Rents'!D62 = "", "", 'Unit Mix &amp; Rents'!D62)</f>
        <v/>
      </c>
      <c r="F997" t="str">
        <f>IF('Unit Mix &amp; Rents'!E62 = "", "", 'Unit Mix &amp; Rents'!E62)</f>
        <v/>
      </c>
    </row>
    <row r="998" spans="1:6">
      <c r="A998" s="195" t="str">
        <f>IF(B998="","",MAX(A$950:A997)+1)</f>
        <v/>
      </c>
      <c r="B998" s="70" t="str">
        <f>IF('Unit Mix &amp; Rents'!A63 = "", "", 'Unit Mix &amp; Rents'!A63)</f>
        <v/>
      </c>
      <c r="C998" t="str">
        <f>IF('Unit Mix &amp; Rents'!B63 = "", "", 'Unit Mix &amp; Rents'!B63)</f>
        <v/>
      </c>
      <c r="D998" t="str">
        <f>IF('Unit Mix &amp; Rents'!C63 = "", "", 'Unit Mix &amp; Rents'!C63)</f>
        <v/>
      </c>
      <c r="E998" t="str">
        <f>IF('Unit Mix &amp; Rents'!D63 = "", "", 'Unit Mix &amp; Rents'!D63)</f>
        <v/>
      </c>
      <c r="F998" t="str">
        <f>IF('Unit Mix &amp; Rents'!E63 = "", "", 'Unit Mix &amp; Rents'!E63)</f>
        <v/>
      </c>
    </row>
    <row r="999" spans="1:6">
      <c r="A999" s="195" t="str">
        <f>IF(B999="","",MAX(A$950:A998)+1)</f>
        <v/>
      </c>
      <c r="B999" s="70" t="str">
        <f>IF('Unit Mix &amp; Rents'!A64 = "", "", 'Unit Mix &amp; Rents'!A64)</f>
        <v/>
      </c>
      <c r="C999" t="str">
        <f>IF('Unit Mix &amp; Rents'!B64 = "", "", 'Unit Mix &amp; Rents'!B64)</f>
        <v/>
      </c>
      <c r="D999" t="str">
        <f>IF('Unit Mix &amp; Rents'!C64 = "", "", 'Unit Mix &amp; Rents'!C64)</f>
        <v/>
      </c>
      <c r="E999" t="str">
        <f>IF('Unit Mix &amp; Rents'!D64 = "", "", 'Unit Mix &amp; Rents'!D64)</f>
        <v/>
      </c>
      <c r="F999" t="str">
        <f>IF('Unit Mix &amp; Rents'!E64 = "", "", 'Unit Mix &amp; Rents'!E64)</f>
        <v/>
      </c>
    </row>
    <row r="1000" spans="1:6">
      <c r="A1000" s="195" t="str">
        <f>IF(B1000="","",MAX(A$950:A999)+1)</f>
        <v/>
      </c>
      <c r="B1000" s="70" t="str">
        <f>IF('Unit Mix &amp; Rents'!A65 = "", "", 'Unit Mix &amp; Rents'!A65)</f>
        <v/>
      </c>
      <c r="C1000" t="str">
        <f>IF('Unit Mix &amp; Rents'!B65 = "", "", 'Unit Mix &amp; Rents'!B65)</f>
        <v/>
      </c>
      <c r="D1000" t="str">
        <f>IF('Unit Mix &amp; Rents'!C65 = "", "", 'Unit Mix &amp; Rents'!C65)</f>
        <v/>
      </c>
      <c r="E1000" t="str">
        <f>IF('Unit Mix &amp; Rents'!D65 = "", "", 'Unit Mix &amp; Rents'!D65)</f>
        <v/>
      </c>
      <c r="F1000" t="str">
        <f>IF('Unit Mix &amp; Rents'!E65 = "", "", 'Unit Mix &amp; Rents'!E65)</f>
        <v/>
      </c>
    </row>
    <row r="1001" spans="1:6">
      <c r="A1001" s="195" t="str">
        <f>IF(B1001="","",MAX(A$950:A1000)+1)</f>
        <v/>
      </c>
      <c r="B1001" s="70" t="str">
        <f>IF('Unit Mix &amp; Rents'!A66 = "", "", 'Unit Mix &amp; Rents'!A66)</f>
        <v/>
      </c>
      <c r="C1001" t="str">
        <f>IF('Unit Mix &amp; Rents'!B66 = "", "", 'Unit Mix &amp; Rents'!B66)</f>
        <v/>
      </c>
      <c r="D1001" t="str">
        <f>IF('Unit Mix &amp; Rents'!C66 = "", "", 'Unit Mix &amp; Rents'!C66)</f>
        <v/>
      </c>
      <c r="E1001" t="str">
        <f>IF('Unit Mix &amp; Rents'!D66 = "", "", 'Unit Mix &amp; Rents'!D66)</f>
        <v/>
      </c>
      <c r="F1001" t="str">
        <f>IF('Unit Mix &amp; Rents'!E66 = "", "", 'Unit Mix &amp; Rents'!E66)</f>
        <v/>
      </c>
    </row>
    <row r="1002" spans="1:6">
      <c r="A1002" s="195" t="str">
        <f>IF(B1002="","",MAX(A$950:A1001)+1)</f>
        <v/>
      </c>
      <c r="B1002" s="70" t="str">
        <f>IF('Unit Mix &amp; Rents'!A67 = "", "", 'Unit Mix &amp; Rents'!A67)</f>
        <v/>
      </c>
      <c r="C1002" t="str">
        <f>IF('Unit Mix &amp; Rents'!B67 = "", "", 'Unit Mix &amp; Rents'!B67)</f>
        <v/>
      </c>
      <c r="D1002" t="str">
        <f>IF('Unit Mix &amp; Rents'!C67 = "", "", 'Unit Mix &amp; Rents'!C67)</f>
        <v/>
      </c>
      <c r="E1002" t="str">
        <f>IF('Unit Mix &amp; Rents'!D67 = "", "", 'Unit Mix &amp; Rents'!D67)</f>
        <v/>
      </c>
      <c r="F1002" t="str">
        <f>IF('Unit Mix &amp; Rents'!E67 = "", "", 'Unit Mix &amp; Rents'!E67)</f>
        <v/>
      </c>
    </row>
    <row r="1003" spans="1:6">
      <c r="A1003" s="195" t="str">
        <f>IF(B1003="","",MAX(A$950:A1002)+1)</f>
        <v/>
      </c>
      <c r="B1003" s="70" t="str">
        <f>IF('Unit Mix &amp; Rents'!A68 = "", "", 'Unit Mix &amp; Rents'!A68)</f>
        <v/>
      </c>
      <c r="C1003" t="str">
        <f>IF('Unit Mix &amp; Rents'!B68 = "", "", 'Unit Mix &amp; Rents'!B68)</f>
        <v/>
      </c>
      <c r="D1003" t="str">
        <f>IF('Unit Mix &amp; Rents'!C68 = "", "", 'Unit Mix &amp; Rents'!C68)</f>
        <v/>
      </c>
      <c r="E1003" t="str">
        <f>IF('Unit Mix &amp; Rents'!D68 = "", "", 'Unit Mix &amp; Rents'!D68)</f>
        <v/>
      </c>
      <c r="F1003" t="str">
        <f>IF('Unit Mix &amp; Rents'!E68 = "", "", 'Unit Mix &amp; Rents'!E68)</f>
        <v/>
      </c>
    </row>
    <row r="1004" spans="1:6">
      <c r="A1004" s="195" t="str">
        <f>IF(B1004="","",MAX(A$950:A1003)+1)</f>
        <v/>
      </c>
      <c r="B1004" s="70" t="str">
        <f>IF('Unit Mix &amp; Rents'!A69 = "", "", 'Unit Mix &amp; Rents'!A69)</f>
        <v/>
      </c>
      <c r="C1004" t="str">
        <f>IF('Unit Mix &amp; Rents'!B69 = "", "", 'Unit Mix &amp; Rents'!B69)</f>
        <v/>
      </c>
      <c r="D1004" t="str">
        <f>IF('Unit Mix &amp; Rents'!C69 = "", "", 'Unit Mix &amp; Rents'!C69)</f>
        <v/>
      </c>
      <c r="E1004" t="str">
        <f>IF('Unit Mix &amp; Rents'!D69 = "", "", 'Unit Mix &amp; Rents'!D69)</f>
        <v/>
      </c>
      <c r="F1004" t="str">
        <f>IF('Unit Mix &amp; Rents'!E69 = "", "", 'Unit Mix &amp; Rents'!E69)</f>
        <v/>
      </c>
    </row>
    <row r="1005" spans="1:6">
      <c r="A1005" s="195" t="str">
        <f>IF(B1005="","",MAX(A$950:A1004)+1)</f>
        <v/>
      </c>
      <c r="B1005" s="70" t="str">
        <f>IF('Unit Mix &amp; Rents'!A70 = "", "", 'Unit Mix &amp; Rents'!A70)</f>
        <v/>
      </c>
      <c r="C1005" t="str">
        <f>IF('Unit Mix &amp; Rents'!B70 = "", "", 'Unit Mix &amp; Rents'!B70)</f>
        <v/>
      </c>
      <c r="D1005" t="str">
        <f>IF('Unit Mix &amp; Rents'!C70 = "", "", 'Unit Mix &amp; Rents'!C70)</f>
        <v/>
      </c>
      <c r="E1005" t="str">
        <f>IF('Unit Mix &amp; Rents'!D70 = "", "", 'Unit Mix &amp; Rents'!D70)</f>
        <v/>
      </c>
      <c r="F1005" t="str">
        <f>IF('Unit Mix &amp; Rents'!E70 = "", "", 'Unit Mix &amp; Rents'!E70)</f>
        <v/>
      </c>
    </row>
    <row r="1006" spans="1:6">
      <c r="A1006" s="195" t="str">
        <f>IF(B1006="","",MAX(A$950:A1005)+1)</f>
        <v/>
      </c>
      <c r="B1006" s="70" t="str">
        <f>IF('Unit Mix &amp; Rents'!A71 = "", "", 'Unit Mix &amp; Rents'!A71)</f>
        <v/>
      </c>
      <c r="C1006" t="str">
        <f>IF('Unit Mix &amp; Rents'!B71 = "", "", 'Unit Mix &amp; Rents'!B71)</f>
        <v/>
      </c>
      <c r="D1006" t="str">
        <f>IF('Unit Mix &amp; Rents'!C71 = "", "", 'Unit Mix &amp; Rents'!C71)</f>
        <v/>
      </c>
      <c r="E1006" t="str">
        <f>IF('Unit Mix &amp; Rents'!D71 = "", "", 'Unit Mix &amp; Rents'!D71)</f>
        <v/>
      </c>
      <c r="F1006" t="str">
        <f>IF('Unit Mix &amp; Rents'!E71 = "", "", 'Unit Mix &amp; Rents'!E71)</f>
        <v/>
      </c>
    </row>
    <row r="1007" spans="1:6">
      <c r="A1007" s="195" t="str">
        <f>IF(B1007="","",MAX(A$950:A1006)+1)</f>
        <v/>
      </c>
      <c r="B1007" s="70" t="str">
        <f>IF('Unit Mix &amp; Rents'!A72 = "", "", 'Unit Mix &amp; Rents'!A72)</f>
        <v/>
      </c>
      <c r="C1007" t="str">
        <f>IF('Unit Mix &amp; Rents'!B72 = "", "", 'Unit Mix &amp; Rents'!B72)</f>
        <v/>
      </c>
      <c r="D1007" t="str">
        <f>IF('Unit Mix &amp; Rents'!C72 = "", "", 'Unit Mix &amp; Rents'!C72)</f>
        <v/>
      </c>
      <c r="E1007" t="str">
        <f>IF('Unit Mix &amp; Rents'!D72 = "", "", 'Unit Mix &amp; Rents'!D72)</f>
        <v/>
      </c>
      <c r="F1007" t="str">
        <f>IF('Unit Mix &amp; Rents'!E72 = "", "", 'Unit Mix &amp; Rents'!E72)</f>
        <v/>
      </c>
    </row>
    <row r="1008" spans="1:6">
      <c r="A1008" s="195" t="str">
        <f>IF(B1008="","",MAX(A$950:A1007)+1)</f>
        <v/>
      </c>
      <c r="B1008" s="70" t="str">
        <f>IF('Unit Mix &amp; Rents'!A73 = "", "", 'Unit Mix &amp; Rents'!A73)</f>
        <v/>
      </c>
      <c r="C1008" t="str">
        <f>IF('Unit Mix &amp; Rents'!B73 = "", "", 'Unit Mix &amp; Rents'!B73)</f>
        <v/>
      </c>
      <c r="D1008" t="str">
        <f>IF('Unit Mix &amp; Rents'!C73 = "", "", 'Unit Mix &amp; Rents'!C73)</f>
        <v/>
      </c>
      <c r="E1008" t="str">
        <f>IF('Unit Mix &amp; Rents'!D73 = "", "", 'Unit Mix &amp; Rents'!D73)</f>
        <v/>
      </c>
      <c r="F1008" t="str">
        <f>IF('Unit Mix &amp; Rents'!E73 = "", "", 'Unit Mix &amp; Rents'!E73)</f>
        <v/>
      </c>
    </row>
    <row r="1009" spans="1:7">
      <c r="A1009" s="195" t="str">
        <f>IF(B1009="","",MAX(A$950:A1008)+1)</f>
        <v/>
      </c>
      <c r="B1009" s="70" t="str">
        <f>IF('Unit Mix &amp; Rents'!A74 = "", "", 'Unit Mix &amp; Rents'!A74)</f>
        <v/>
      </c>
      <c r="C1009" t="str">
        <f>IF('Unit Mix &amp; Rents'!B74 = "", "", 'Unit Mix &amp; Rents'!B74)</f>
        <v/>
      </c>
      <c r="D1009" t="str">
        <f>IF('Unit Mix &amp; Rents'!C74 = "", "", 'Unit Mix &amp; Rents'!C74)</f>
        <v/>
      </c>
      <c r="E1009" t="str">
        <f>IF('Unit Mix &amp; Rents'!D74 = "", "", 'Unit Mix &amp; Rents'!D74)</f>
        <v/>
      </c>
      <c r="F1009" t="str">
        <f>IF('Unit Mix &amp; Rents'!E74 = "", "", 'Unit Mix &amp; Rents'!E74)</f>
        <v/>
      </c>
    </row>
    <row r="1010" spans="1:7">
      <c r="A1010" s="195" t="str">
        <f>IF(B1010="","",MAX(A$950:A1009)+1)</f>
        <v/>
      </c>
      <c r="B1010" s="70" t="str">
        <f>IF('Unit Mix &amp; Rents'!A75 = "", "", 'Unit Mix &amp; Rents'!A75)</f>
        <v/>
      </c>
      <c r="C1010" t="str">
        <f>IF('Unit Mix &amp; Rents'!B75 = "", "", 'Unit Mix &amp; Rents'!B75)</f>
        <v/>
      </c>
      <c r="D1010" t="str">
        <f>IF('Unit Mix &amp; Rents'!C75 = "", "", 'Unit Mix &amp; Rents'!C75)</f>
        <v/>
      </c>
      <c r="E1010" t="str">
        <f>IF('Unit Mix &amp; Rents'!D75 = "", "", 'Unit Mix &amp; Rents'!D75)</f>
        <v/>
      </c>
      <c r="F1010" t="str">
        <f>IF('Unit Mix &amp; Rents'!E75 = "", "", 'Unit Mix &amp; Rents'!E75)</f>
        <v/>
      </c>
    </row>
    <row r="1011" spans="1:7">
      <c r="A1011" s="195" t="str">
        <f>IF(B1011="","",MAX(A$950:A1010)+1)</f>
        <v/>
      </c>
      <c r="B1011" s="70" t="str">
        <f>IF('Unit Mix &amp; Rents'!A76 = "", "", 'Unit Mix &amp; Rents'!A76)</f>
        <v/>
      </c>
      <c r="C1011" t="str">
        <f>IF('Unit Mix &amp; Rents'!B76 = "", "", 'Unit Mix &amp; Rents'!B76)</f>
        <v/>
      </c>
      <c r="D1011" t="str">
        <f>IF('Unit Mix &amp; Rents'!C76 = "", "", 'Unit Mix &amp; Rents'!C76)</f>
        <v/>
      </c>
      <c r="E1011" t="str">
        <f>IF('Unit Mix &amp; Rents'!D76 = "", "", 'Unit Mix &amp; Rents'!D76)</f>
        <v/>
      </c>
      <c r="F1011" t="str">
        <f>IF('Unit Mix &amp; Rents'!E76 = "", "", 'Unit Mix &amp; Rents'!E76)</f>
        <v/>
      </c>
    </row>
    <row r="1014" spans="1:7">
      <c r="A1014" t="s">
        <v>2386</v>
      </c>
      <c r="C1014" t="s">
        <v>2381</v>
      </c>
      <c r="D1014" t="s">
        <v>2382</v>
      </c>
      <c r="E1014" t="s">
        <v>2383</v>
      </c>
      <c r="F1014" t="s">
        <v>2384</v>
      </c>
      <c r="G1014" t="s">
        <v>2385</v>
      </c>
    </row>
    <row r="1015" spans="1:7">
      <c r="A1015" t="s">
        <v>2108</v>
      </c>
      <c r="B1015" t="s">
        <v>2109</v>
      </c>
      <c r="C1015">
        <v>1</v>
      </c>
      <c r="D1015">
        <v>2</v>
      </c>
      <c r="E1015">
        <v>3</v>
      </c>
      <c r="F1015">
        <v>4</v>
      </c>
      <c r="G1015">
        <v>5</v>
      </c>
    </row>
    <row r="1016" spans="1:7">
      <c r="A1016" s="195">
        <f t="shared" ref="A1016:A1075" si="14">IF(ISNA(MATCH(B1016, $A$951:$A$1011, 0)), 1, MATCH(B1016, $A$951:$A$1011, 0))</f>
        <v>1</v>
      </c>
      <c r="B1016">
        <v>1</v>
      </c>
      <c r="C1016" s="1060" t="str" cm="1">
        <f t="array" ref="C1016">IF(_xlfn.SINGLE(INDEX($B$951:$F$1011, $A1016, C$1015)) = "", "", INDEX($B$951:$F$1011, $A1016, C$1015))</f>
        <v/>
      </c>
      <c r="D1016" s="480" t="str">
        <f t="shared" ref="D1016:G1031" si="15">CONCATENATE(INDEX($B$951:$F$1011, $A1016, D$1015))</f>
        <v/>
      </c>
      <c r="E1016" t="str">
        <f t="shared" si="15"/>
        <v/>
      </c>
      <c r="F1016" t="str">
        <f t="shared" si="15"/>
        <v/>
      </c>
      <c r="G1016" t="str">
        <f t="shared" si="15"/>
        <v/>
      </c>
    </row>
    <row r="1017" spans="1:7">
      <c r="A1017" s="195">
        <f t="shared" si="14"/>
        <v>1</v>
      </c>
      <c r="B1017">
        <v>2</v>
      </c>
      <c r="C1017" s="1060" t="str" cm="1">
        <f t="array" ref="C1017">IF(_xlfn.SINGLE(INDEX($B$951:$F$1011, $A1017, C$1015)) = "", "", INDEX($B$951:$F$1011, $A1017, C$1015))</f>
        <v/>
      </c>
      <c r="D1017" s="480" t="str">
        <f t="shared" si="15"/>
        <v/>
      </c>
      <c r="E1017" t="str">
        <f t="shared" si="15"/>
        <v/>
      </c>
      <c r="F1017" t="str">
        <f t="shared" si="15"/>
        <v/>
      </c>
      <c r="G1017" t="str">
        <f t="shared" si="15"/>
        <v/>
      </c>
    </row>
    <row r="1018" spans="1:7">
      <c r="A1018" s="195">
        <f t="shared" si="14"/>
        <v>1</v>
      </c>
      <c r="B1018">
        <v>3</v>
      </c>
      <c r="C1018" s="1060" t="str" cm="1">
        <f t="array" ref="C1018">IF(_xlfn.SINGLE(INDEX($B$951:$F$1011, $A1018, C$1015)) = "", "", INDEX($B$951:$F$1011, $A1018, C$1015))</f>
        <v/>
      </c>
      <c r="D1018" s="480" t="str">
        <f t="shared" si="15"/>
        <v/>
      </c>
      <c r="E1018" t="str">
        <f t="shared" si="15"/>
        <v/>
      </c>
      <c r="F1018" t="str">
        <f t="shared" si="15"/>
        <v/>
      </c>
      <c r="G1018" t="str">
        <f t="shared" si="15"/>
        <v/>
      </c>
    </row>
    <row r="1019" spans="1:7">
      <c r="A1019" s="195">
        <f t="shared" si="14"/>
        <v>1</v>
      </c>
      <c r="B1019">
        <v>4</v>
      </c>
      <c r="C1019" s="1060" t="str" cm="1">
        <f t="array" ref="C1019">IF(_xlfn.SINGLE(INDEX($B$951:$F$1011, $A1019, C$1015)) = "", "", INDEX($B$951:$F$1011, $A1019, C$1015))</f>
        <v/>
      </c>
      <c r="D1019" s="480" t="str">
        <f t="shared" si="15"/>
        <v/>
      </c>
      <c r="E1019" t="str">
        <f t="shared" si="15"/>
        <v/>
      </c>
      <c r="F1019" t="str">
        <f t="shared" si="15"/>
        <v/>
      </c>
      <c r="G1019" t="str">
        <f t="shared" si="15"/>
        <v/>
      </c>
    </row>
    <row r="1020" spans="1:7">
      <c r="A1020" s="195">
        <f t="shared" si="14"/>
        <v>1</v>
      </c>
      <c r="B1020">
        <v>5</v>
      </c>
      <c r="C1020" s="1060" t="str" cm="1">
        <f t="array" ref="C1020">IF(_xlfn.SINGLE(INDEX($B$951:$F$1011, $A1020, C$1015)) = "", "", INDEX($B$951:$F$1011, $A1020, C$1015))</f>
        <v/>
      </c>
      <c r="D1020" s="480" t="str">
        <f t="shared" si="15"/>
        <v/>
      </c>
      <c r="E1020" t="str">
        <f t="shared" si="15"/>
        <v/>
      </c>
      <c r="F1020" t="str">
        <f t="shared" si="15"/>
        <v/>
      </c>
      <c r="G1020" t="str">
        <f t="shared" si="15"/>
        <v/>
      </c>
    </row>
    <row r="1021" spans="1:7">
      <c r="A1021" s="195">
        <f t="shared" si="14"/>
        <v>1</v>
      </c>
      <c r="B1021">
        <v>6</v>
      </c>
      <c r="C1021" s="1060" t="str" cm="1">
        <f t="array" ref="C1021">IF(_xlfn.SINGLE(INDEX($B$951:$F$1011, $A1021, C$1015)) = "", "", INDEX($B$951:$F$1011, $A1021, C$1015))</f>
        <v/>
      </c>
      <c r="D1021" s="480" t="str">
        <f t="shared" si="15"/>
        <v/>
      </c>
      <c r="E1021" t="str">
        <f t="shared" si="15"/>
        <v/>
      </c>
      <c r="F1021" t="str">
        <f t="shared" si="15"/>
        <v/>
      </c>
      <c r="G1021" t="str">
        <f t="shared" si="15"/>
        <v/>
      </c>
    </row>
    <row r="1022" spans="1:7">
      <c r="A1022" s="195">
        <f t="shared" si="14"/>
        <v>1</v>
      </c>
      <c r="B1022">
        <v>7</v>
      </c>
      <c r="C1022" s="1060" t="str" cm="1">
        <f t="array" ref="C1022">IF(_xlfn.SINGLE(INDEX($B$951:$F$1011, $A1022, C$1015)) = "", "", INDEX($B$951:$F$1011, $A1022, C$1015))</f>
        <v/>
      </c>
      <c r="D1022" s="480" t="str">
        <f t="shared" si="15"/>
        <v/>
      </c>
      <c r="E1022" t="str">
        <f t="shared" si="15"/>
        <v/>
      </c>
      <c r="F1022" t="str">
        <f t="shared" si="15"/>
        <v/>
      </c>
      <c r="G1022" t="str">
        <f t="shared" si="15"/>
        <v/>
      </c>
    </row>
    <row r="1023" spans="1:7">
      <c r="A1023" s="195">
        <f t="shared" si="14"/>
        <v>1</v>
      </c>
      <c r="B1023">
        <v>8</v>
      </c>
      <c r="C1023" s="1060" t="str" cm="1">
        <f t="array" ref="C1023">IF(_xlfn.SINGLE(INDEX($B$951:$F$1011, $A1023, C$1015)) = "", "", INDEX($B$951:$F$1011, $A1023, C$1015))</f>
        <v/>
      </c>
      <c r="D1023" s="480" t="str">
        <f t="shared" si="15"/>
        <v/>
      </c>
      <c r="E1023" t="str">
        <f t="shared" si="15"/>
        <v/>
      </c>
      <c r="F1023" t="str">
        <f t="shared" si="15"/>
        <v/>
      </c>
      <c r="G1023" t="str">
        <f t="shared" si="15"/>
        <v/>
      </c>
    </row>
    <row r="1024" spans="1:7">
      <c r="A1024" s="195">
        <f t="shared" si="14"/>
        <v>1</v>
      </c>
      <c r="B1024">
        <v>9</v>
      </c>
      <c r="C1024" s="1060" t="str" cm="1">
        <f t="array" ref="C1024">IF(_xlfn.SINGLE(INDEX($B$951:$F$1011, $A1024, C$1015)) = "", "", INDEX($B$951:$F$1011, $A1024, C$1015))</f>
        <v/>
      </c>
      <c r="D1024" s="480" t="str">
        <f t="shared" si="15"/>
        <v/>
      </c>
      <c r="E1024" t="str">
        <f t="shared" si="15"/>
        <v/>
      </c>
      <c r="F1024" t="str">
        <f t="shared" si="15"/>
        <v/>
      </c>
      <c r="G1024" t="str">
        <f t="shared" si="15"/>
        <v/>
      </c>
    </row>
    <row r="1025" spans="1:7">
      <c r="A1025" s="195">
        <f t="shared" si="14"/>
        <v>1</v>
      </c>
      <c r="B1025">
        <v>10</v>
      </c>
      <c r="C1025" s="1060" t="str" cm="1">
        <f t="array" ref="C1025">IF(_xlfn.SINGLE(INDEX($B$951:$F$1011, $A1025, C$1015)) = "", "", INDEX($B$951:$F$1011, $A1025, C$1015))</f>
        <v/>
      </c>
      <c r="D1025" s="480" t="str">
        <f t="shared" si="15"/>
        <v/>
      </c>
      <c r="E1025" t="str">
        <f t="shared" si="15"/>
        <v/>
      </c>
      <c r="F1025" t="str">
        <f t="shared" si="15"/>
        <v/>
      </c>
      <c r="G1025" t="str">
        <f t="shared" si="15"/>
        <v/>
      </c>
    </row>
    <row r="1026" spans="1:7">
      <c r="A1026" s="195">
        <f t="shared" si="14"/>
        <v>1</v>
      </c>
      <c r="B1026">
        <v>11</v>
      </c>
      <c r="C1026" s="1060" t="str" cm="1">
        <f t="array" ref="C1026">IF(_xlfn.SINGLE(INDEX($B$951:$F$1011, $A1026, C$1015)) = "", "", INDEX($B$951:$F$1011, $A1026, C$1015))</f>
        <v/>
      </c>
      <c r="D1026" s="480" t="str">
        <f t="shared" si="15"/>
        <v/>
      </c>
      <c r="E1026" t="str">
        <f t="shared" si="15"/>
        <v/>
      </c>
      <c r="F1026" t="str">
        <f t="shared" si="15"/>
        <v/>
      </c>
      <c r="G1026" t="str">
        <f t="shared" si="15"/>
        <v/>
      </c>
    </row>
    <row r="1027" spans="1:7">
      <c r="A1027" s="195">
        <f t="shared" si="14"/>
        <v>1</v>
      </c>
      <c r="B1027">
        <v>12</v>
      </c>
      <c r="C1027" s="1060" t="str" cm="1">
        <f t="array" ref="C1027">IF(_xlfn.SINGLE(INDEX($B$951:$F$1011, $A1027, C$1015)) = "", "", INDEX($B$951:$F$1011, $A1027, C$1015))</f>
        <v/>
      </c>
      <c r="D1027" s="480" t="str">
        <f t="shared" si="15"/>
        <v/>
      </c>
      <c r="E1027" t="str">
        <f t="shared" si="15"/>
        <v/>
      </c>
      <c r="F1027" t="str">
        <f t="shared" si="15"/>
        <v/>
      </c>
      <c r="G1027" t="str">
        <f t="shared" si="15"/>
        <v/>
      </c>
    </row>
    <row r="1028" spans="1:7">
      <c r="A1028" s="195">
        <f t="shared" si="14"/>
        <v>1</v>
      </c>
      <c r="B1028">
        <v>13</v>
      </c>
      <c r="C1028" s="1060" t="str" cm="1">
        <f t="array" ref="C1028">IF(_xlfn.SINGLE(INDEX($B$951:$F$1011, $A1028, C$1015)) = "", "", INDEX($B$951:$F$1011, $A1028, C$1015))</f>
        <v/>
      </c>
      <c r="D1028" s="480" t="str">
        <f t="shared" si="15"/>
        <v/>
      </c>
      <c r="E1028" t="str">
        <f t="shared" si="15"/>
        <v/>
      </c>
      <c r="F1028" t="str">
        <f t="shared" si="15"/>
        <v/>
      </c>
      <c r="G1028" t="str">
        <f t="shared" si="15"/>
        <v/>
      </c>
    </row>
    <row r="1029" spans="1:7">
      <c r="A1029" s="195">
        <f t="shared" si="14"/>
        <v>1</v>
      </c>
      <c r="B1029">
        <v>14</v>
      </c>
      <c r="C1029" s="1060" t="str" cm="1">
        <f t="array" ref="C1029">IF(_xlfn.SINGLE(INDEX($B$951:$F$1011, $A1029, C$1015)) = "", "", INDEX($B$951:$F$1011, $A1029, C$1015))</f>
        <v/>
      </c>
      <c r="D1029" s="480" t="str">
        <f t="shared" si="15"/>
        <v/>
      </c>
      <c r="E1029" t="str">
        <f t="shared" si="15"/>
        <v/>
      </c>
      <c r="F1029" t="str">
        <f t="shared" si="15"/>
        <v/>
      </c>
      <c r="G1029" t="str">
        <f t="shared" si="15"/>
        <v/>
      </c>
    </row>
    <row r="1030" spans="1:7">
      <c r="A1030" s="195">
        <f t="shared" si="14"/>
        <v>1</v>
      </c>
      <c r="B1030">
        <v>15</v>
      </c>
      <c r="C1030" s="1060" t="str" cm="1">
        <f t="array" ref="C1030">IF(_xlfn.SINGLE(INDEX($B$951:$F$1011, $A1030, C$1015)) = "", "", INDEX($B$951:$F$1011, $A1030, C$1015))</f>
        <v/>
      </c>
      <c r="D1030" s="480" t="str">
        <f t="shared" si="15"/>
        <v/>
      </c>
      <c r="E1030" t="str">
        <f t="shared" si="15"/>
        <v/>
      </c>
      <c r="F1030" t="str">
        <f t="shared" si="15"/>
        <v/>
      </c>
      <c r="G1030" t="str">
        <f t="shared" si="15"/>
        <v/>
      </c>
    </row>
    <row r="1031" spans="1:7">
      <c r="A1031" s="195">
        <f t="shared" si="14"/>
        <v>1</v>
      </c>
      <c r="B1031">
        <v>16</v>
      </c>
      <c r="C1031" s="1060" t="str" cm="1">
        <f t="array" ref="C1031">IF(_xlfn.SINGLE(INDEX($B$951:$F$1011, $A1031, C$1015)) = "", "", INDEX($B$951:$F$1011, $A1031, C$1015))</f>
        <v/>
      </c>
      <c r="D1031" s="480" t="str">
        <f t="shared" si="15"/>
        <v/>
      </c>
      <c r="E1031" t="str">
        <f t="shared" si="15"/>
        <v/>
      </c>
      <c r="F1031" t="str">
        <f t="shared" si="15"/>
        <v/>
      </c>
      <c r="G1031" t="str">
        <f t="shared" si="15"/>
        <v/>
      </c>
    </row>
    <row r="1032" spans="1:7">
      <c r="A1032" s="195">
        <f t="shared" si="14"/>
        <v>1</v>
      </c>
      <c r="B1032">
        <v>17</v>
      </c>
      <c r="C1032" s="1060" t="str" cm="1">
        <f t="array" ref="C1032">IF(_xlfn.SINGLE(INDEX($B$951:$F$1011, $A1032, C$1015)) = "", "", INDEX($B$951:$F$1011, $A1032, C$1015))</f>
        <v/>
      </c>
      <c r="D1032" s="480" t="str">
        <f t="shared" ref="D1032:G1071" si="16">CONCATENATE(INDEX($B$951:$F$1011, $A1032, D$1015))</f>
        <v/>
      </c>
      <c r="E1032" t="str">
        <f t="shared" si="16"/>
        <v/>
      </c>
      <c r="F1032" t="str">
        <f t="shared" si="16"/>
        <v/>
      </c>
      <c r="G1032" t="str">
        <f t="shared" si="16"/>
        <v/>
      </c>
    </row>
    <row r="1033" spans="1:7">
      <c r="A1033" s="195">
        <f t="shared" si="14"/>
        <v>1</v>
      </c>
      <c r="B1033">
        <v>18</v>
      </c>
      <c r="C1033" s="1060" t="str" cm="1">
        <f t="array" ref="C1033">IF(_xlfn.SINGLE(INDEX($B$951:$F$1011, $A1033, C$1015)) = "", "", INDEX($B$951:$F$1011, $A1033, C$1015))</f>
        <v/>
      </c>
      <c r="D1033" s="480" t="str">
        <f t="shared" si="16"/>
        <v/>
      </c>
      <c r="E1033" t="str">
        <f t="shared" si="16"/>
        <v/>
      </c>
      <c r="F1033" t="str">
        <f t="shared" si="16"/>
        <v/>
      </c>
      <c r="G1033" t="str">
        <f t="shared" si="16"/>
        <v/>
      </c>
    </row>
    <row r="1034" spans="1:7">
      <c r="A1034" s="195">
        <f t="shared" si="14"/>
        <v>1</v>
      </c>
      <c r="B1034">
        <v>19</v>
      </c>
      <c r="C1034" s="1060" t="str" cm="1">
        <f t="array" ref="C1034">IF(_xlfn.SINGLE(INDEX($B$951:$F$1011, $A1034, C$1015)) = "", "", INDEX($B$951:$F$1011, $A1034, C$1015))</f>
        <v/>
      </c>
      <c r="D1034" s="480" t="str">
        <f t="shared" si="16"/>
        <v/>
      </c>
      <c r="E1034" t="str">
        <f t="shared" si="16"/>
        <v/>
      </c>
      <c r="F1034" t="str">
        <f t="shared" si="16"/>
        <v/>
      </c>
      <c r="G1034" t="str">
        <f t="shared" si="16"/>
        <v/>
      </c>
    </row>
    <row r="1035" spans="1:7">
      <c r="A1035" s="195">
        <f t="shared" si="14"/>
        <v>1</v>
      </c>
      <c r="B1035">
        <v>20</v>
      </c>
      <c r="C1035" s="1060" t="str" cm="1">
        <f t="array" ref="C1035">IF(_xlfn.SINGLE(INDEX($B$951:$F$1011, $A1035, C$1015)) = "", "", INDEX($B$951:$F$1011, $A1035, C$1015))</f>
        <v/>
      </c>
      <c r="D1035" s="480" t="str">
        <f t="shared" si="16"/>
        <v/>
      </c>
      <c r="E1035" t="str">
        <f t="shared" si="16"/>
        <v/>
      </c>
      <c r="F1035" t="str">
        <f t="shared" si="16"/>
        <v/>
      </c>
      <c r="G1035" t="str">
        <f t="shared" si="16"/>
        <v/>
      </c>
    </row>
    <row r="1036" spans="1:7">
      <c r="A1036" s="195">
        <f t="shared" si="14"/>
        <v>1</v>
      </c>
      <c r="B1036">
        <v>21</v>
      </c>
      <c r="C1036" s="1060" t="str" cm="1">
        <f t="array" ref="C1036">IF(_xlfn.SINGLE(INDEX($B$951:$F$1011, $A1036, C$1015)) = "", "", INDEX($B$951:$F$1011, $A1036, C$1015))</f>
        <v/>
      </c>
      <c r="D1036" s="480" t="str">
        <f t="shared" si="16"/>
        <v/>
      </c>
      <c r="E1036" t="str">
        <f t="shared" si="16"/>
        <v/>
      </c>
      <c r="F1036" t="str">
        <f t="shared" si="16"/>
        <v/>
      </c>
      <c r="G1036" t="str">
        <f t="shared" si="16"/>
        <v/>
      </c>
    </row>
    <row r="1037" spans="1:7">
      <c r="A1037" s="195">
        <f t="shared" si="14"/>
        <v>1</v>
      </c>
      <c r="B1037">
        <v>22</v>
      </c>
      <c r="C1037" s="1060" t="str" cm="1">
        <f t="array" ref="C1037">IF(_xlfn.SINGLE(INDEX($B$951:$F$1011, $A1037, C$1015)) = "", "", INDEX($B$951:$F$1011, $A1037, C$1015))</f>
        <v/>
      </c>
      <c r="D1037" s="480" t="str">
        <f t="shared" si="16"/>
        <v/>
      </c>
      <c r="E1037" t="str">
        <f t="shared" si="16"/>
        <v/>
      </c>
      <c r="F1037" t="str">
        <f t="shared" si="16"/>
        <v/>
      </c>
      <c r="G1037" t="str">
        <f t="shared" si="16"/>
        <v/>
      </c>
    </row>
    <row r="1038" spans="1:7">
      <c r="A1038" s="195">
        <f t="shared" si="14"/>
        <v>1</v>
      </c>
      <c r="B1038">
        <v>23</v>
      </c>
      <c r="C1038" s="1060" t="str" cm="1">
        <f t="array" ref="C1038">IF(_xlfn.SINGLE(INDEX($B$951:$F$1011, $A1038, C$1015)) = "", "", INDEX($B$951:$F$1011, $A1038, C$1015))</f>
        <v/>
      </c>
      <c r="D1038" s="480" t="str">
        <f t="shared" si="16"/>
        <v/>
      </c>
      <c r="E1038" t="str">
        <f t="shared" si="16"/>
        <v/>
      </c>
      <c r="F1038" t="str">
        <f t="shared" si="16"/>
        <v/>
      </c>
      <c r="G1038" t="str">
        <f t="shared" si="16"/>
        <v/>
      </c>
    </row>
    <row r="1039" spans="1:7">
      <c r="A1039" s="195">
        <f t="shared" si="14"/>
        <v>1</v>
      </c>
      <c r="B1039">
        <v>24</v>
      </c>
      <c r="C1039" s="1060" t="str" cm="1">
        <f t="array" ref="C1039">IF(_xlfn.SINGLE(INDEX($B$951:$F$1011, $A1039, C$1015)) = "", "", INDEX($B$951:$F$1011, $A1039, C$1015))</f>
        <v/>
      </c>
      <c r="D1039" s="480" t="str">
        <f t="shared" si="16"/>
        <v/>
      </c>
      <c r="E1039" t="str">
        <f t="shared" si="16"/>
        <v/>
      </c>
      <c r="F1039" t="str">
        <f t="shared" si="16"/>
        <v/>
      </c>
      <c r="G1039" t="str">
        <f t="shared" si="16"/>
        <v/>
      </c>
    </row>
    <row r="1040" spans="1:7">
      <c r="A1040" s="195">
        <f t="shared" si="14"/>
        <v>1</v>
      </c>
      <c r="B1040">
        <v>25</v>
      </c>
      <c r="C1040" s="1060" t="str" cm="1">
        <f t="array" ref="C1040">IF(_xlfn.SINGLE(INDEX($B$951:$F$1011, $A1040, C$1015)) = "", "", INDEX($B$951:$F$1011, $A1040, C$1015))</f>
        <v/>
      </c>
      <c r="D1040" s="480" t="str">
        <f t="shared" si="16"/>
        <v/>
      </c>
      <c r="E1040" t="str">
        <f t="shared" si="16"/>
        <v/>
      </c>
      <c r="F1040" t="str">
        <f t="shared" si="16"/>
        <v/>
      </c>
      <c r="G1040" t="str">
        <f t="shared" si="16"/>
        <v/>
      </c>
    </row>
    <row r="1041" spans="1:7">
      <c r="A1041" s="195">
        <f t="shared" si="14"/>
        <v>1</v>
      </c>
      <c r="B1041">
        <v>26</v>
      </c>
      <c r="C1041" s="1060" t="str" cm="1">
        <f t="array" ref="C1041">IF(_xlfn.SINGLE(INDEX($B$951:$F$1011, $A1041, C$1015)) = "", "", INDEX($B$951:$F$1011, $A1041, C$1015))</f>
        <v/>
      </c>
      <c r="D1041" s="480" t="str">
        <f t="shared" si="16"/>
        <v/>
      </c>
      <c r="E1041" t="str">
        <f t="shared" si="16"/>
        <v/>
      </c>
      <c r="F1041" t="str">
        <f t="shared" si="16"/>
        <v/>
      </c>
      <c r="G1041" t="str">
        <f t="shared" si="16"/>
        <v/>
      </c>
    </row>
    <row r="1042" spans="1:7">
      <c r="A1042" s="195">
        <f t="shared" si="14"/>
        <v>1</v>
      </c>
      <c r="B1042">
        <v>27</v>
      </c>
      <c r="C1042" s="1060" t="str" cm="1">
        <f t="array" ref="C1042">IF(_xlfn.SINGLE(INDEX($B$951:$F$1011, $A1042, C$1015)) = "", "", INDEX($B$951:$F$1011, $A1042, C$1015))</f>
        <v/>
      </c>
      <c r="D1042" s="480" t="str">
        <f t="shared" si="16"/>
        <v/>
      </c>
      <c r="E1042" t="str">
        <f t="shared" si="16"/>
        <v/>
      </c>
      <c r="F1042" t="str">
        <f t="shared" si="16"/>
        <v/>
      </c>
      <c r="G1042" t="str">
        <f t="shared" si="16"/>
        <v/>
      </c>
    </row>
    <row r="1043" spans="1:7">
      <c r="A1043" s="195">
        <f t="shared" si="14"/>
        <v>1</v>
      </c>
      <c r="B1043">
        <v>28</v>
      </c>
      <c r="C1043" s="1060" t="str" cm="1">
        <f t="array" ref="C1043">IF(_xlfn.SINGLE(INDEX($B$951:$F$1011, $A1043, C$1015)) = "", "", INDEX($B$951:$F$1011, $A1043, C$1015))</f>
        <v/>
      </c>
      <c r="D1043" s="480" t="str">
        <f t="shared" si="16"/>
        <v/>
      </c>
      <c r="E1043" t="str">
        <f t="shared" si="16"/>
        <v/>
      </c>
      <c r="F1043" t="str">
        <f t="shared" si="16"/>
        <v/>
      </c>
      <c r="G1043" t="str">
        <f t="shared" si="16"/>
        <v/>
      </c>
    </row>
    <row r="1044" spans="1:7">
      <c r="A1044" s="195">
        <f t="shared" si="14"/>
        <v>1</v>
      </c>
      <c r="B1044">
        <v>29</v>
      </c>
      <c r="C1044" s="1060" t="str" cm="1">
        <f t="array" ref="C1044">IF(_xlfn.SINGLE(INDEX($B$951:$F$1011, $A1044, C$1015)) = "", "", INDEX($B$951:$F$1011, $A1044, C$1015))</f>
        <v/>
      </c>
      <c r="D1044" s="480" t="str">
        <f t="shared" si="16"/>
        <v/>
      </c>
      <c r="E1044" t="str">
        <f t="shared" si="16"/>
        <v/>
      </c>
      <c r="F1044" t="str">
        <f t="shared" si="16"/>
        <v/>
      </c>
      <c r="G1044" t="str">
        <f t="shared" si="16"/>
        <v/>
      </c>
    </row>
    <row r="1045" spans="1:7">
      <c r="A1045" s="195">
        <f t="shared" si="14"/>
        <v>1</v>
      </c>
      <c r="B1045">
        <v>30</v>
      </c>
      <c r="C1045" s="1060" t="str" cm="1">
        <f t="array" ref="C1045">IF(_xlfn.SINGLE(INDEX($B$951:$F$1011, $A1045, C$1015)) = "", "", INDEX($B$951:$F$1011, $A1045, C$1015))</f>
        <v/>
      </c>
      <c r="D1045" s="480" t="str">
        <f t="shared" si="16"/>
        <v/>
      </c>
      <c r="E1045" t="str">
        <f t="shared" si="16"/>
        <v/>
      </c>
      <c r="F1045" t="str">
        <f t="shared" si="16"/>
        <v/>
      </c>
      <c r="G1045" t="str">
        <f t="shared" si="16"/>
        <v/>
      </c>
    </row>
    <row r="1046" spans="1:7">
      <c r="A1046" s="195">
        <f t="shared" si="14"/>
        <v>1</v>
      </c>
      <c r="B1046">
        <v>31</v>
      </c>
      <c r="C1046" s="1060" t="str" cm="1">
        <f t="array" ref="C1046">IF(_xlfn.SINGLE(INDEX($B$951:$F$1011, $A1046, C$1015)) = "", "", INDEX($B$951:$F$1011, $A1046, C$1015))</f>
        <v/>
      </c>
      <c r="D1046" s="480" t="str">
        <f t="shared" si="16"/>
        <v/>
      </c>
      <c r="E1046" t="str">
        <f t="shared" si="16"/>
        <v/>
      </c>
      <c r="F1046" t="str">
        <f t="shared" si="16"/>
        <v/>
      </c>
      <c r="G1046" t="str">
        <f t="shared" si="16"/>
        <v/>
      </c>
    </row>
    <row r="1047" spans="1:7">
      <c r="A1047" s="195">
        <f t="shared" si="14"/>
        <v>1</v>
      </c>
      <c r="B1047">
        <v>32</v>
      </c>
      <c r="C1047" s="1060" t="str" cm="1">
        <f t="array" ref="C1047">IF(_xlfn.SINGLE(INDEX($B$951:$F$1011, $A1047, C$1015)) = "", "", INDEX($B$951:$F$1011, $A1047, C$1015))</f>
        <v/>
      </c>
      <c r="D1047" s="480" t="str">
        <f t="shared" si="16"/>
        <v/>
      </c>
      <c r="E1047" t="str">
        <f t="shared" si="16"/>
        <v/>
      </c>
      <c r="F1047" t="str">
        <f t="shared" si="16"/>
        <v/>
      </c>
      <c r="G1047" t="str">
        <f t="shared" si="16"/>
        <v/>
      </c>
    </row>
    <row r="1048" spans="1:7">
      <c r="A1048" s="195">
        <f t="shared" si="14"/>
        <v>1</v>
      </c>
      <c r="B1048">
        <v>33</v>
      </c>
      <c r="C1048" s="1060" t="str" cm="1">
        <f t="array" ref="C1048">IF(_xlfn.SINGLE(INDEX($B$951:$F$1011, $A1048, C$1015)) = "", "", INDEX($B$951:$F$1011, $A1048, C$1015))</f>
        <v/>
      </c>
      <c r="D1048" s="480" t="str">
        <f t="shared" si="16"/>
        <v/>
      </c>
      <c r="E1048" t="str">
        <f t="shared" si="16"/>
        <v/>
      </c>
      <c r="F1048" t="str">
        <f t="shared" si="16"/>
        <v/>
      </c>
      <c r="G1048" t="str">
        <f t="shared" si="16"/>
        <v/>
      </c>
    </row>
    <row r="1049" spans="1:7">
      <c r="A1049" s="195">
        <f t="shared" si="14"/>
        <v>1</v>
      </c>
      <c r="B1049">
        <v>34</v>
      </c>
      <c r="C1049" s="1060" t="str" cm="1">
        <f t="array" ref="C1049">IF(_xlfn.SINGLE(INDEX($B$951:$F$1011, $A1049, C$1015)) = "", "", INDEX($B$951:$F$1011, $A1049, C$1015))</f>
        <v/>
      </c>
      <c r="D1049" s="480" t="str">
        <f t="shared" si="16"/>
        <v/>
      </c>
      <c r="E1049" t="str">
        <f t="shared" si="16"/>
        <v/>
      </c>
      <c r="F1049" t="str">
        <f t="shared" si="16"/>
        <v/>
      </c>
      <c r="G1049" t="str">
        <f t="shared" si="16"/>
        <v/>
      </c>
    </row>
    <row r="1050" spans="1:7">
      <c r="A1050" s="195">
        <f t="shared" si="14"/>
        <v>1</v>
      </c>
      <c r="B1050">
        <v>35</v>
      </c>
      <c r="C1050" s="1060" t="str" cm="1">
        <f t="array" ref="C1050">IF(_xlfn.SINGLE(INDEX($B$951:$F$1011, $A1050, C$1015)) = "", "", INDEX($B$951:$F$1011, $A1050, C$1015))</f>
        <v/>
      </c>
      <c r="D1050" s="480" t="str">
        <f t="shared" si="16"/>
        <v/>
      </c>
      <c r="E1050" t="str">
        <f t="shared" si="16"/>
        <v/>
      </c>
      <c r="F1050" t="str">
        <f t="shared" si="16"/>
        <v/>
      </c>
      <c r="G1050" t="str">
        <f t="shared" si="16"/>
        <v/>
      </c>
    </row>
    <row r="1051" spans="1:7">
      <c r="A1051" s="195">
        <f t="shared" si="14"/>
        <v>1</v>
      </c>
      <c r="B1051">
        <v>36</v>
      </c>
      <c r="C1051" s="1060" t="str" cm="1">
        <f t="array" ref="C1051">IF(_xlfn.SINGLE(INDEX($B$951:$F$1011, $A1051, C$1015)) = "", "", INDEX($B$951:$F$1011, $A1051, C$1015))</f>
        <v/>
      </c>
      <c r="D1051" s="480" t="str">
        <f t="shared" si="16"/>
        <v/>
      </c>
      <c r="E1051" t="str">
        <f t="shared" si="16"/>
        <v/>
      </c>
      <c r="F1051" t="str">
        <f t="shared" si="16"/>
        <v/>
      </c>
      <c r="G1051" t="str">
        <f t="shared" si="16"/>
        <v/>
      </c>
    </row>
    <row r="1052" spans="1:7">
      <c r="A1052" s="195">
        <f t="shared" si="14"/>
        <v>1</v>
      </c>
      <c r="B1052">
        <v>37</v>
      </c>
      <c r="C1052" s="1060" t="str" cm="1">
        <f t="array" ref="C1052">IF(_xlfn.SINGLE(INDEX($B$951:$F$1011, $A1052, C$1015)) = "", "", INDEX($B$951:$F$1011, $A1052, C$1015))</f>
        <v/>
      </c>
      <c r="D1052" s="480" t="str">
        <f t="shared" si="16"/>
        <v/>
      </c>
      <c r="E1052" t="str">
        <f t="shared" si="16"/>
        <v/>
      </c>
      <c r="F1052" t="str">
        <f t="shared" si="16"/>
        <v/>
      </c>
      <c r="G1052" t="str">
        <f t="shared" si="16"/>
        <v/>
      </c>
    </row>
    <row r="1053" spans="1:7">
      <c r="A1053" s="195">
        <f t="shared" si="14"/>
        <v>1</v>
      </c>
      <c r="B1053">
        <v>38</v>
      </c>
      <c r="C1053" s="1060" t="str" cm="1">
        <f t="array" ref="C1053">IF(_xlfn.SINGLE(INDEX($B$951:$F$1011, $A1053, C$1015)) = "", "", INDEX($B$951:$F$1011, $A1053, C$1015))</f>
        <v/>
      </c>
      <c r="D1053" s="480" t="str">
        <f t="shared" si="16"/>
        <v/>
      </c>
      <c r="E1053" t="str">
        <f t="shared" si="16"/>
        <v/>
      </c>
      <c r="F1053" t="str">
        <f t="shared" si="16"/>
        <v/>
      </c>
      <c r="G1053" t="str">
        <f t="shared" si="16"/>
        <v/>
      </c>
    </row>
    <row r="1054" spans="1:7">
      <c r="A1054" s="195">
        <f t="shared" si="14"/>
        <v>1</v>
      </c>
      <c r="B1054">
        <v>39</v>
      </c>
      <c r="C1054" s="1060" t="str" cm="1">
        <f t="array" ref="C1054">IF(_xlfn.SINGLE(INDEX($B$951:$F$1011, $A1054, C$1015)) = "", "", INDEX($B$951:$F$1011, $A1054, C$1015))</f>
        <v/>
      </c>
      <c r="D1054" s="480" t="str">
        <f t="shared" si="16"/>
        <v/>
      </c>
      <c r="E1054" t="str">
        <f t="shared" si="16"/>
        <v/>
      </c>
      <c r="F1054" t="str">
        <f t="shared" si="16"/>
        <v/>
      </c>
      <c r="G1054" t="str">
        <f t="shared" si="16"/>
        <v/>
      </c>
    </row>
    <row r="1055" spans="1:7">
      <c r="A1055" s="195">
        <f t="shared" si="14"/>
        <v>1</v>
      </c>
      <c r="B1055">
        <v>40</v>
      </c>
      <c r="C1055" s="1060" t="str" cm="1">
        <f t="array" ref="C1055">IF(_xlfn.SINGLE(INDEX($B$951:$F$1011, $A1055, C$1015)) = "", "", INDEX($B$951:$F$1011, $A1055, C$1015))</f>
        <v/>
      </c>
      <c r="D1055" s="480" t="str">
        <f t="shared" si="16"/>
        <v/>
      </c>
      <c r="E1055" t="str">
        <f t="shared" si="16"/>
        <v/>
      </c>
      <c r="F1055" t="str">
        <f t="shared" si="16"/>
        <v/>
      </c>
      <c r="G1055" t="str">
        <f t="shared" si="16"/>
        <v/>
      </c>
    </row>
    <row r="1056" spans="1:7">
      <c r="A1056" s="195">
        <f t="shared" si="14"/>
        <v>1</v>
      </c>
      <c r="B1056">
        <v>41</v>
      </c>
      <c r="C1056" s="1060" t="str" cm="1">
        <f t="array" ref="C1056">IF(_xlfn.SINGLE(INDEX($B$951:$F$1011, $A1056, C$1015)) = "", "", INDEX($B$951:$F$1011, $A1056, C$1015))</f>
        <v/>
      </c>
      <c r="D1056" s="480" t="str">
        <f t="shared" si="16"/>
        <v/>
      </c>
      <c r="E1056" t="str">
        <f t="shared" si="16"/>
        <v/>
      </c>
      <c r="F1056" t="str">
        <f t="shared" si="16"/>
        <v/>
      </c>
      <c r="G1056" t="str">
        <f t="shared" si="16"/>
        <v/>
      </c>
    </row>
    <row r="1057" spans="1:7">
      <c r="A1057" s="195">
        <f t="shared" si="14"/>
        <v>1</v>
      </c>
      <c r="B1057">
        <v>42</v>
      </c>
      <c r="C1057" s="1060" t="str" cm="1">
        <f t="array" ref="C1057">IF(_xlfn.SINGLE(INDEX($B$951:$F$1011, $A1057, C$1015)) = "", "", INDEX($B$951:$F$1011, $A1057, C$1015))</f>
        <v/>
      </c>
      <c r="D1057" s="480" t="str">
        <f t="shared" si="16"/>
        <v/>
      </c>
      <c r="E1057" t="str">
        <f t="shared" si="16"/>
        <v/>
      </c>
      <c r="F1057" t="str">
        <f t="shared" si="16"/>
        <v/>
      </c>
      <c r="G1057" t="str">
        <f t="shared" si="16"/>
        <v/>
      </c>
    </row>
    <row r="1058" spans="1:7">
      <c r="A1058" s="195">
        <f t="shared" si="14"/>
        <v>1</v>
      </c>
      <c r="B1058">
        <v>43</v>
      </c>
      <c r="C1058" s="1060" t="str" cm="1">
        <f t="array" ref="C1058">IF(_xlfn.SINGLE(INDEX($B$951:$F$1011, $A1058, C$1015)) = "", "", INDEX($B$951:$F$1011, $A1058, C$1015))</f>
        <v/>
      </c>
      <c r="D1058" s="480" t="str">
        <f t="shared" si="16"/>
        <v/>
      </c>
      <c r="E1058" t="str">
        <f t="shared" si="16"/>
        <v/>
      </c>
      <c r="F1058" t="str">
        <f t="shared" si="16"/>
        <v/>
      </c>
      <c r="G1058" t="str">
        <f t="shared" si="16"/>
        <v/>
      </c>
    </row>
    <row r="1059" spans="1:7">
      <c r="A1059" s="195">
        <f t="shared" si="14"/>
        <v>1</v>
      </c>
      <c r="B1059">
        <v>44</v>
      </c>
      <c r="C1059" s="1060" t="str" cm="1">
        <f t="array" ref="C1059">IF(_xlfn.SINGLE(INDEX($B$951:$F$1011, $A1059, C$1015)) = "", "", INDEX($B$951:$F$1011, $A1059, C$1015))</f>
        <v/>
      </c>
      <c r="D1059" s="480" t="str">
        <f t="shared" si="16"/>
        <v/>
      </c>
      <c r="E1059" t="str">
        <f t="shared" si="16"/>
        <v/>
      </c>
      <c r="F1059" t="str">
        <f t="shared" si="16"/>
        <v/>
      </c>
      <c r="G1059" t="str">
        <f t="shared" si="16"/>
        <v/>
      </c>
    </row>
    <row r="1060" spans="1:7">
      <c r="A1060" s="195">
        <f t="shared" si="14"/>
        <v>1</v>
      </c>
      <c r="B1060">
        <v>45</v>
      </c>
      <c r="C1060" s="1060" t="str" cm="1">
        <f t="array" ref="C1060">IF(_xlfn.SINGLE(INDEX($B$951:$F$1011, $A1060, C$1015)) = "", "", INDEX($B$951:$F$1011, $A1060, C$1015))</f>
        <v/>
      </c>
      <c r="D1060" s="480" t="str">
        <f t="shared" si="16"/>
        <v/>
      </c>
      <c r="E1060" t="str">
        <f t="shared" si="16"/>
        <v/>
      </c>
      <c r="F1060" t="str">
        <f t="shared" si="16"/>
        <v/>
      </c>
      <c r="G1060" t="str">
        <f t="shared" si="16"/>
        <v/>
      </c>
    </row>
    <row r="1061" spans="1:7">
      <c r="A1061" s="195">
        <f t="shared" si="14"/>
        <v>1</v>
      </c>
      <c r="B1061">
        <v>46</v>
      </c>
      <c r="C1061" s="1060" t="str" cm="1">
        <f t="array" ref="C1061">IF(_xlfn.SINGLE(INDEX($B$951:$F$1011, $A1061, C$1015)) = "", "", INDEX($B$951:$F$1011, $A1061, C$1015))</f>
        <v/>
      </c>
      <c r="D1061" s="480" t="str">
        <f t="shared" si="16"/>
        <v/>
      </c>
      <c r="E1061" t="str">
        <f t="shared" si="16"/>
        <v/>
      </c>
      <c r="F1061" t="str">
        <f t="shared" si="16"/>
        <v/>
      </c>
      <c r="G1061" t="str">
        <f t="shared" si="16"/>
        <v/>
      </c>
    </row>
    <row r="1062" spans="1:7">
      <c r="A1062" s="195">
        <f t="shared" si="14"/>
        <v>1</v>
      </c>
      <c r="B1062">
        <v>47</v>
      </c>
      <c r="C1062" s="1060" t="str" cm="1">
        <f t="array" ref="C1062">IF(_xlfn.SINGLE(INDEX($B$951:$F$1011, $A1062, C$1015)) = "", "", INDEX($B$951:$F$1011, $A1062, C$1015))</f>
        <v/>
      </c>
      <c r="D1062" s="480" t="str">
        <f t="shared" si="16"/>
        <v/>
      </c>
      <c r="E1062" t="str">
        <f t="shared" si="16"/>
        <v/>
      </c>
      <c r="F1062" t="str">
        <f t="shared" si="16"/>
        <v/>
      </c>
      <c r="G1062" t="str">
        <f t="shared" si="16"/>
        <v/>
      </c>
    </row>
    <row r="1063" spans="1:7">
      <c r="A1063" s="195">
        <f t="shared" si="14"/>
        <v>1</v>
      </c>
      <c r="B1063">
        <v>48</v>
      </c>
      <c r="C1063" s="1060" t="str" cm="1">
        <f t="array" ref="C1063">IF(_xlfn.SINGLE(INDEX($B$951:$F$1011, $A1063, C$1015)) = "", "", INDEX($B$951:$F$1011, $A1063, C$1015))</f>
        <v/>
      </c>
      <c r="D1063" s="480" t="str">
        <f t="shared" si="16"/>
        <v/>
      </c>
      <c r="E1063" t="str">
        <f t="shared" si="16"/>
        <v/>
      </c>
      <c r="F1063" t="str">
        <f t="shared" si="16"/>
        <v/>
      </c>
      <c r="G1063" t="str">
        <f t="shared" si="16"/>
        <v/>
      </c>
    </row>
    <row r="1064" spans="1:7">
      <c r="A1064" s="195">
        <f t="shared" si="14"/>
        <v>1</v>
      </c>
      <c r="B1064">
        <v>49</v>
      </c>
      <c r="C1064" s="1060" t="str" cm="1">
        <f t="array" ref="C1064">IF(_xlfn.SINGLE(INDEX($B$951:$F$1011, $A1064, C$1015)) = "", "", INDEX($B$951:$F$1011, $A1064, C$1015))</f>
        <v/>
      </c>
      <c r="D1064" s="480" t="str">
        <f t="shared" si="16"/>
        <v/>
      </c>
      <c r="E1064" t="str">
        <f t="shared" si="16"/>
        <v/>
      </c>
      <c r="F1064" t="str">
        <f t="shared" si="16"/>
        <v/>
      </c>
      <c r="G1064" t="str">
        <f t="shared" si="16"/>
        <v/>
      </c>
    </row>
    <row r="1065" spans="1:7">
      <c r="A1065" s="195">
        <f t="shared" si="14"/>
        <v>1</v>
      </c>
      <c r="B1065">
        <v>50</v>
      </c>
      <c r="C1065" s="1060" t="str" cm="1">
        <f t="array" ref="C1065">IF(_xlfn.SINGLE(INDEX($B$951:$F$1011, $A1065, C$1015)) = "", "", INDEX($B$951:$F$1011, $A1065, C$1015))</f>
        <v/>
      </c>
      <c r="D1065" s="480" t="str">
        <f t="shared" si="16"/>
        <v/>
      </c>
      <c r="E1065" t="str">
        <f t="shared" si="16"/>
        <v/>
      </c>
      <c r="F1065" t="str">
        <f t="shared" si="16"/>
        <v/>
      </c>
      <c r="G1065" t="str">
        <f t="shared" si="16"/>
        <v/>
      </c>
    </row>
    <row r="1066" spans="1:7">
      <c r="A1066" s="195">
        <f t="shared" si="14"/>
        <v>1</v>
      </c>
      <c r="B1066">
        <v>51</v>
      </c>
      <c r="C1066" s="1060" t="str" cm="1">
        <f t="array" ref="C1066">IF(_xlfn.SINGLE(INDEX($B$951:$F$1011, $A1066, C$1015)) = "", "", INDEX($B$951:$F$1011, $A1066, C$1015))</f>
        <v/>
      </c>
      <c r="D1066" s="480" t="str">
        <f t="shared" si="16"/>
        <v/>
      </c>
      <c r="E1066" t="str">
        <f t="shared" si="16"/>
        <v/>
      </c>
      <c r="F1066" t="str">
        <f t="shared" si="16"/>
        <v/>
      </c>
      <c r="G1066" t="str">
        <f t="shared" si="16"/>
        <v/>
      </c>
    </row>
    <row r="1067" spans="1:7">
      <c r="A1067" s="195">
        <f t="shared" si="14"/>
        <v>1</v>
      </c>
      <c r="B1067">
        <v>52</v>
      </c>
      <c r="C1067" s="1060" t="str" cm="1">
        <f t="array" ref="C1067">IF(_xlfn.SINGLE(INDEX($B$951:$F$1011, $A1067, C$1015)) = "", "", INDEX($B$951:$F$1011, $A1067, C$1015))</f>
        <v/>
      </c>
      <c r="D1067" s="480" t="str">
        <f t="shared" si="16"/>
        <v/>
      </c>
      <c r="E1067" t="str">
        <f t="shared" si="16"/>
        <v/>
      </c>
      <c r="F1067" t="str">
        <f t="shared" si="16"/>
        <v/>
      </c>
      <c r="G1067" t="str">
        <f t="shared" si="16"/>
        <v/>
      </c>
    </row>
    <row r="1068" spans="1:7">
      <c r="A1068" s="195">
        <f t="shared" si="14"/>
        <v>1</v>
      </c>
      <c r="B1068">
        <v>53</v>
      </c>
      <c r="C1068" s="1060" t="str" cm="1">
        <f t="array" ref="C1068">IF(_xlfn.SINGLE(INDEX($B$951:$F$1011, $A1068, C$1015)) = "", "", INDEX($B$951:$F$1011, $A1068, C$1015))</f>
        <v/>
      </c>
      <c r="D1068" s="480" t="str">
        <f t="shared" si="16"/>
        <v/>
      </c>
      <c r="E1068" t="str">
        <f t="shared" si="16"/>
        <v/>
      </c>
      <c r="F1068" t="str">
        <f t="shared" si="16"/>
        <v/>
      </c>
      <c r="G1068" t="str">
        <f t="shared" si="16"/>
        <v/>
      </c>
    </row>
    <row r="1069" spans="1:7">
      <c r="A1069" s="195">
        <f t="shared" si="14"/>
        <v>1</v>
      </c>
      <c r="B1069">
        <v>54</v>
      </c>
      <c r="C1069" s="1060" t="str" cm="1">
        <f t="array" ref="C1069">IF(_xlfn.SINGLE(INDEX($B$951:$F$1011, $A1069, C$1015)) = "", "", INDEX($B$951:$F$1011, $A1069, C$1015))</f>
        <v/>
      </c>
      <c r="D1069" s="480" t="str">
        <f t="shared" si="16"/>
        <v/>
      </c>
      <c r="E1069" t="str">
        <f t="shared" si="16"/>
        <v/>
      </c>
      <c r="F1069" t="str">
        <f t="shared" si="16"/>
        <v/>
      </c>
      <c r="G1069" t="str">
        <f t="shared" si="16"/>
        <v/>
      </c>
    </row>
    <row r="1070" spans="1:7">
      <c r="A1070" s="195">
        <f t="shared" si="14"/>
        <v>1</v>
      </c>
      <c r="B1070">
        <v>55</v>
      </c>
      <c r="C1070" s="1060" t="str" cm="1">
        <f t="array" ref="C1070">IF(_xlfn.SINGLE(INDEX($B$951:$F$1011, $A1070, C$1015)) = "", "", INDEX($B$951:$F$1011, $A1070, C$1015))</f>
        <v/>
      </c>
      <c r="D1070" s="480" t="str">
        <f t="shared" si="16"/>
        <v/>
      </c>
      <c r="E1070" t="str">
        <f t="shared" si="16"/>
        <v/>
      </c>
      <c r="F1070" t="str">
        <f t="shared" si="16"/>
        <v/>
      </c>
      <c r="G1070" t="str">
        <f t="shared" si="16"/>
        <v/>
      </c>
    </row>
    <row r="1071" spans="1:7">
      <c r="A1071" s="195">
        <f t="shared" si="14"/>
        <v>1</v>
      </c>
      <c r="B1071">
        <v>56</v>
      </c>
      <c r="C1071" s="1060" t="str" cm="1">
        <f t="array" ref="C1071">IF(_xlfn.SINGLE(INDEX($B$951:$F$1011, $A1071, C$1015)) = "", "", INDEX($B$951:$F$1011, $A1071, C$1015))</f>
        <v/>
      </c>
      <c r="D1071" s="480" t="str">
        <f t="shared" si="16"/>
        <v/>
      </c>
      <c r="E1071" t="str">
        <f t="shared" si="16"/>
        <v/>
      </c>
      <c r="F1071" t="str">
        <f t="shared" si="16"/>
        <v/>
      </c>
      <c r="G1071" t="str">
        <f t="shared" si="16"/>
        <v/>
      </c>
    </row>
    <row r="1072" spans="1:7">
      <c r="A1072" s="195">
        <f t="shared" si="14"/>
        <v>1</v>
      </c>
      <c r="B1072">
        <v>57</v>
      </c>
      <c r="C1072" s="1060" t="str" cm="1">
        <f t="array" ref="C1072">IF(_xlfn.SINGLE(INDEX($B$951:$F$1011, $A1072, C$1015)) = "", "", INDEX($B$951:$F$1011, $A1072, C$1015))</f>
        <v/>
      </c>
      <c r="D1072" s="480" t="str">
        <f t="shared" ref="D1072:G1075" si="17">CONCATENATE(INDEX($B$951:$F$1011, $A1072, D$1015))</f>
        <v/>
      </c>
      <c r="E1072" t="str">
        <f t="shared" si="17"/>
        <v/>
      </c>
      <c r="F1072" t="str">
        <f t="shared" si="17"/>
        <v/>
      </c>
      <c r="G1072" t="str">
        <f t="shared" si="17"/>
        <v/>
      </c>
    </row>
    <row r="1073" spans="1:7">
      <c r="A1073" s="195">
        <f t="shared" si="14"/>
        <v>1</v>
      </c>
      <c r="B1073">
        <v>58</v>
      </c>
      <c r="C1073" s="1060" t="str" cm="1">
        <f t="array" ref="C1073">IF(_xlfn.SINGLE(INDEX($B$951:$F$1011, $A1073, C$1015)) = "", "", INDEX($B$951:$F$1011, $A1073, C$1015))</f>
        <v/>
      </c>
      <c r="D1073" s="480" t="str">
        <f t="shared" si="17"/>
        <v/>
      </c>
      <c r="E1073" t="str">
        <f t="shared" si="17"/>
        <v/>
      </c>
      <c r="F1073" t="str">
        <f t="shared" si="17"/>
        <v/>
      </c>
      <c r="G1073" t="str">
        <f t="shared" si="17"/>
        <v/>
      </c>
    </row>
    <row r="1074" spans="1:7">
      <c r="A1074" s="195">
        <f t="shared" si="14"/>
        <v>1</v>
      </c>
      <c r="B1074">
        <v>59</v>
      </c>
      <c r="C1074" s="1060" t="str" cm="1">
        <f t="array" ref="C1074">IF(_xlfn.SINGLE(INDEX($B$951:$F$1011, $A1074, C$1015)) = "", "", INDEX($B$951:$F$1011, $A1074, C$1015))</f>
        <v/>
      </c>
      <c r="D1074" s="480" t="str">
        <f t="shared" si="17"/>
        <v/>
      </c>
      <c r="E1074" t="str">
        <f t="shared" si="17"/>
        <v/>
      </c>
      <c r="F1074" t="str">
        <f t="shared" si="17"/>
        <v/>
      </c>
      <c r="G1074" t="str">
        <f t="shared" si="17"/>
        <v/>
      </c>
    </row>
    <row r="1075" spans="1:7">
      <c r="A1075" s="195">
        <f t="shared" si="14"/>
        <v>1</v>
      </c>
      <c r="B1075">
        <v>60</v>
      </c>
      <c r="C1075" s="1060" t="str" cm="1">
        <f t="array" ref="C1075">IF(_xlfn.SINGLE(INDEX($B$951:$F$1011, $A1075, C$1015)) = "", "", INDEX($B$951:$F$1011, $A1075, C$1015))</f>
        <v/>
      </c>
      <c r="D1075" s="480" t="str">
        <f t="shared" si="17"/>
        <v/>
      </c>
      <c r="E1075" t="str">
        <f t="shared" si="17"/>
        <v/>
      </c>
      <c r="F1075" t="str">
        <f t="shared" si="17"/>
        <v/>
      </c>
      <c r="G1075" t="str">
        <f t="shared" si="17"/>
        <v/>
      </c>
    </row>
    <row r="1077" spans="1:7">
      <c r="B1077" t="s">
        <v>2385</v>
      </c>
      <c r="D1077" t="s">
        <v>2387</v>
      </c>
    </row>
    <row r="1078" spans="1:7">
      <c r="B1078" t="s">
        <v>2381</v>
      </c>
      <c r="D1078" t="s">
        <v>2388</v>
      </c>
    </row>
    <row r="1079" spans="1:7">
      <c r="B1079" t="s">
        <v>2382</v>
      </c>
      <c r="D1079" t="s">
        <v>2389</v>
      </c>
    </row>
    <row r="1080" spans="1:7">
      <c r="B1080" t="s">
        <v>2383</v>
      </c>
      <c r="D1080" t="s">
        <v>2390</v>
      </c>
    </row>
    <row r="1081" spans="1:7">
      <c r="B1081" t="s">
        <v>2384</v>
      </c>
      <c r="D1081" t="s">
        <v>2391</v>
      </c>
    </row>
    <row r="1089" spans="1:20">
      <c r="A1089" t="s">
        <v>877</v>
      </c>
      <c r="B1089" t="s">
        <v>2392</v>
      </c>
      <c r="C1089" t="e">
        <f>Calculations!$B$511</f>
        <v>#N/A</v>
      </c>
      <c r="D1089" t="s">
        <v>2393</v>
      </c>
    </row>
    <row r="1090" spans="1:20">
      <c r="A1090" t="s">
        <v>2394</v>
      </c>
      <c r="B1090" t="s">
        <v>2395</v>
      </c>
      <c r="C1090">
        <f>Calculations!R808</f>
        <v>0</v>
      </c>
      <c r="D1090" t="s">
        <v>2396</v>
      </c>
    </row>
    <row r="1091" spans="1:20">
      <c r="A1091" t="s">
        <v>2397</v>
      </c>
      <c r="B1091" t="s">
        <v>2398</v>
      </c>
      <c r="C1091">
        <f>Calculations!T808</f>
        <v>0</v>
      </c>
      <c r="D1091" t="s">
        <v>2399</v>
      </c>
    </row>
    <row r="1092" spans="1:20">
      <c r="A1092" t="s">
        <v>2400</v>
      </c>
      <c r="B1092" t="s">
        <v>2401</v>
      </c>
      <c r="C1092">
        <f>Calculations!V808</f>
        <v>0</v>
      </c>
      <c r="D1092" t="s">
        <v>2402</v>
      </c>
    </row>
    <row r="1093" spans="1:20">
      <c r="A1093" t="s">
        <v>2403</v>
      </c>
      <c r="B1093" t="s">
        <v>2404</v>
      </c>
      <c r="C1093" s="393">
        <f>Calculations!W808</f>
        <v>0</v>
      </c>
      <c r="D1093" t="s">
        <v>2405</v>
      </c>
      <c r="E1093" t="s">
        <v>2406</v>
      </c>
    </row>
    <row r="1094" spans="1:20">
      <c r="A1094" t="s">
        <v>2407</v>
      </c>
      <c r="B1094" t="s">
        <v>2408</v>
      </c>
      <c r="C1094" s="393">
        <f>Calculations!X808</f>
        <v>0</v>
      </c>
      <c r="D1094" t="s">
        <v>2409</v>
      </c>
      <c r="E1094" t="s">
        <v>2410</v>
      </c>
    </row>
    <row r="1095" spans="1:20">
      <c r="A1095" t="s">
        <v>2411</v>
      </c>
      <c r="B1095" t="s">
        <v>2412</v>
      </c>
      <c r="C1095" s="393" t="e">
        <f>Calculations!AA808</f>
        <v>#DIV/0!</v>
      </c>
      <c r="D1095" t="s">
        <v>2413</v>
      </c>
      <c r="E1095" t="s">
        <v>2414</v>
      </c>
    </row>
    <row r="1098" spans="1:20">
      <c r="A1098" t="s">
        <v>2415</v>
      </c>
    </row>
    <row r="1099" spans="1:20">
      <c r="B1099" t="s">
        <v>2416</v>
      </c>
      <c r="C1099" t="s">
        <v>2417</v>
      </c>
      <c r="D1099" t="s">
        <v>1513</v>
      </c>
      <c r="E1099" t="s">
        <v>2358</v>
      </c>
      <c r="F1099" t="s">
        <v>2418</v>
      </c>
      <c r="G1099" t="s">
        <v>2419</v>
      </c>
      <c r="H1099" t="s">
        <v>2420</v>
      </c>
      <c r="I1099" t="s">
        <v>2421</v>
      </c>
      <c r="J1099" t="s">
        <v>2422</v>
      </c>
      <c r="K1099" t="s">
        <v>2423</v>
      </c>
      <c r="L1099" t="s">
        <v>2424</v>
      </c>
      <c r="M1099" t="s">
        <v>2425</v>
      </c>
      <c r="N1099" t="s">
        <v>2426</v>
      </c>
      <c r="O1099" t="s">
        <v>2427</v>
      </c>
      <c r="P1099" t="s">
        <v>2428</v>
      </c>
      <c r="Q1099" t="s">
        <v>2429</v>
      </c>
      <c r="R1099" t="s">
        <v>2430</v>
      </c>
      <c r="S1099" t="s">
        <v>2431</v>
      </c>
      <c r="T1099" t="s">
        <v>2432</v>
      </c>
    </row>
    <row r="1100" spans="1:20">
      <c r="A1100" s="313" t="s">
        <v>2119</v>
      </c>
      <c r="B1100" s="313"/>
    </row>
    <row r="1101" spans="1:20">
      <c r="A1101" s="195" t="str">
        <f>IF(D1101="","",MAX(A$1099:A1100)+1)</f>
        <v/>
      </c>
      <c r="B1101" s="195" t="b">
        <f>A1101&lt;&gt;""</f>
        <v>0</v>
      </c>
      <c r="C1101" t="str">
        <f>CONCATENATE('Final Building Profile'!B4)</f>
        <v/>
      </c>
      <c r="D1101" t="str">
        <f>CONCATENATE('Final Building Profile'!C4)</f>
        <v/>
      </c>
      <c r="E1101" t="str">
        <f>CONCATENATE('Final Building Profile'!F4)</f>
        <v/>
      </c>
      <c r="F1101" s="314" t="str">
        <f>IF(AND($B1101, Calculations!$B$9), 'Final Building Profile'!J4, "")</f>
        <v/>
      </c>
      <c r="G1101" s="250" t="str">
        <f>IF(AND($B1101, Calculations!$B$9), 'Final Building Profile'!K4, "")</f>
        <v/>
      </c>
      <c r="H1101" t="str">
        <f>IF(AND($B1101, Calculations!$B$9),'Final Building Profile'!M4,"")</f>
        <v/>
      </c>
      <c r="I1101" t="str">
        <f>IF(AND($B1101, Calculations!$B$9),Calculations!AB709,"")</f>
        <v/>
      </c>
      <c r="J1101" t="str">
        <f>IF(AND($B1101, Calculations!$B$9),Calculations!AC709,"")</f>
        <v/>
      </c>
      <c r="K1101" s="314" t="str">
        <f>IF(AND($B1101, Calculations!$B$8), 'Final Building Profile'!J4, "")</f>
        <v/>
      </c>
      <c r="L1101" s="250" t="str">
        <f>IF(AND($B1101, Calculations!$B$8), 'Final Building Profile'!K4, "")</f>
        <v/>
      </c>
      <c r="M1101" t="str">
        <f>IF(AND($B1101, Calculations!$B$8), 'Final Building Profile'!L4, "")</f>
        <v/>
      </c>
      <c r="N1101" t="str">
        <f>IF(AND($B1101, Calculations!$B$8),Calculations!AB709,"")</f>
        <v/>
      </c>
      <c r="O1101" t="str">
        <f>IF(AND($B1101, Calculations!$B$8),Calculations!AC709,"")</f>
        <v/>
      </c>
      <c r="P1101" s="314" t="str">
        <f>IF(AND($B1101, Calculations!$B$7), 'Final Building Profile'!P4, "")</f>
        <v/>
      </c>
      <c r="Q1101" s="204" t="str">
        <f>IF(AND($B1101, Calculations!$B$7), 'Final Building Profile'!Q4, "")</f>
        <v/>
      </c>
      <c r="R1101" t="str">
        <f>IF(AND($B1101, Calculations!$B$7), 'Final Building Profile'!N4-'Final Building Profile'!O4, "")</f>
        <v/>
      </c>
      <c r="S1101" t="str">
        <f>IF(AND($B1101, Calculations!$B$7),Calculations!AD709,"")</f>
        <v/>
      </c>
      <c r="T1101" t="str">
        <f>IF(AND($B1101, Calculations!$B$7),Calculations!AE709,"")</f>
        <v/>
      </c>
    </row>
    <row r="1102" spans="1:20">
      <c r="A1102" s="195" t="str">
        <f>IF(C1102="","",MAX(A$1099:A1101)+1)</f>
        <v/>
      </c>
      <c r="B1102" s="195" t="b">
        <f t="shared" ref="B1102:B1165" si="18">A1102&lt;&gt;""</f>
        <v>0</v>
      </c>
      <c r="C1102" t="str">
        <f>CONCATENATE('Final Building Profile'!B5)</f>
        <v/>
      </c>
      <c r="D1102" t="str">
        <f>CONCATENATE('Final Building Profile'!C5)</f>
        <v/>
      </c>
      <c r="E1102" t="str">
        <f>CONCATENATE('Final Building Profile'!F5)</f>
        <v/>
      </c>
      <c r="F1102" s="314" t="str">
        <f>IF(AND($B1102, Calculations!$B$9), 'Final Building Profile'!J5, "")</f>
        <v/>
      </c>
      <c r="G1102" s="250" t="str">
        <f>IF(AND($B1102, Calculations!$B$9), 'Final Building Profile'!K5, "")</f>
        <v/>
      </c>
      <c r="H1102" t="str">
        <f>IF(AND($B1102, Calculations!$B$9),'Final Building Profile'!M5,"")</f>
        <v/>
      </c>
      <c r="I1102" t="str">
        <f>IF(AND($B1102, Calculations!$B$9),Calculations!AB710,"")</f>
        <v/>
      </c>
      <c r="J1102" t="str">
        <f>IF(AND($B1102, Calculations!$B$9),Calculations!AC710,"")</f>
        <v/>
      </c>
      <c r="K1102" s="314" t="str">
        <f>IF(AND($B1102, Calculations!$B$8), 'Final Building Profile'!J5, "")</f>
        <v/>
      </c>
      <c r="L1102" s="250" t="str">
        <f>IF(AND($B1102, Calculations!$B$8), 'Final Building Profile'!K5, "")</f>
        <v/>
      </c>
      <c r="M1102" t="str">
        <f>IF(AND($B1102, Calculations!$B$8), 'Final Building Profile'!L5, "")</f>
        <v/>
      </c>
      <c r="N1102" t="str">
        <f>IF(AND($B1102, Calculations!$B$8),Calculations!AB710,"")</f>
        <v/>
      </c>
      <c r="O1102" t="str">
        <f>IF(AND($B1102, Calculations!$B$8),Calculations!AC710,"")</f>
        <v/>
      </c>
      <c r="P1102" s="314" t="str">
        <f>IF(AND($B1102, Calculations!$B$7), 'Final Building Profile'!P5, "")</f>
        <v/>
      </c>
      <c r="Q1102" s="204" t="str">
        <f>IF(AND($B1102, Calculations!$B$7), 'Final Building Profile'!Q5, "")</f>
        <v/>
      </c>
      <c r="R1102" t="str">
        <f>IF(AND($B1102, Calculations!$B$7), 'Final Building Profile'!N5-'Final Building Profile'!O5, "")</f>
        <v/>
      </c>
      <c r="S1102" t="str">
        <f>IF(AND($B1102, Calculations!$B$7),Calculations!AD710,"")</f>
        <v/>
      </c>
      <c r="T1102" t="str">
        <f>IF(AND($B1102, Calculations!$B$7),Calculations!AE710,"")</f>
        <v/>
      </c>
    </row>
    <row r="1103" spans="1:20">
      <c r="A1103" s="195" t="str">
        <f>IF(C1103="","",MAX(A$1099:A1102)+1)</f>
        <v/>
      </c>
      <c r="B1103" s="195" t="b">
        <f t="shared" si="18"/>
        <v>0</v>
      </c>
      <c r="C1103" t="str">
        <f>CONCATENATE('Final Building Profile'!B6)</f>
        <v/>
      </c>
      <c r="D1103" t="str">
        <f>CONCATENATE('Final Building Profile'!C6)</f>
        <v/>
      </c>
      <c r="E1103" t="str">
        <f>CONCATENATE('Final Building Profile'!F6)</f>
        <v/>
      </c>
      <c r="F1103" s="314" t="str">
        <f>IF(AND($B1103, Calculations!$B$9), 'Final Building Profile'!J6, "")</f>
        <v/>
      </c>
      <c r="G1103" s="250" t="str">
        <f>IF(AND($B1103, Calculations!$B$9), 'Final Building Profile'!K6, "")</f>
        <v/>
      </c>
      <c r="H1103" t="str">
        <f>IF(AND($B1103, Calculations!$B$9),'Final Building Profile'!M6,"")</f>
        <v/>
      </c>
      <c r="I1103" t="str">
        <f>IF(AND($B1103, Calculations!$B$9),Calculations!AB711,"")</f>
        <v/>
      </c>
      <c r="J1103" t="str">
        <f>IF(AND($B1103, Calculations!$B$9),Calculations!AC711,"")</f>
        <v/>
      </c>
      <c r="K1103" s="314" t="str">
        <f>IF(AND($B1103, Calculations!$B$8), 'Final Building Profile'!J6, "")</f>
        <v/>
      </c>
      <c r="L1103" s="250" t="str">
        <f>IF(AND($B1103, Calculations!$B$8), 'Final Building Profile'!K6, "")</f>
        <v/>
      </c>
      <c r="M1103" t="str">
        <f>IF(AND($B1103, Calculations!$B$8), 'Final Building Profile'!L6, "")</f>
        <v/>
      </c>
      <c r="N1103" t="str">
        <f>IF(AND($B1103, Calculations!$B$8),Calculations!AB711,"")</f>
        <v/>
      </c>
      <c r="O1103" t="str">
        <f>IF(AND($B1103, Calculations!$B$8),Calculations!AC711,"")</f>
        <v/>
      </c>
      <c r="P1103" s="314" t="str">
        <f>IF(AND($B1103, Calculations!$B$7), 'Final Building Profile'!P6, "")</f>
        <v/>
      </c>
      <c r="Q1103" s="204" t="str">
        <f>IF(AND($B1103, Calculations!$B$7), 'Final Building Profile'!Q6, "")</f>
        <v/>
      </c>
      <c r="R1103" t="str">
        <f>IF(AND($B1103, Calculations!$B$7), 'Final Building Profile'!N6-'Final Building Profile'!O6, "")</f>
        <v/>
      </c>
      <c r="S1103" t="str">
        <f>IF(AND($B1103, Calculations!$B$7),Calculations!AD711,"")</f>
        <v/>
      </c>
      <c r="T1103" t="str">
        <f>IF(AND($B1103, Calculations!$B$7),Calculations!AE711,"")</f>
        <v/>
      </c>
    </row>
    <row r="1104" spans="1:20">
      <c r="A1104" s="195" t="str">
        <f>IF(C1104="","",MAX(A$1099:A1103)+1)</f>
        <v/>
      </c>
      <c r="B1104" s="195" t="b">
        <f t="shared" si="18"/>
        <v>0</v>
      </c>
      <c r="C1104" t="str">
        <f>CONCATENATE('Final Building Profile'!B7)</f>
        <v/>
      </c>
      <c r="D1104" t="str">
        <f>CONCATENATE('Final Building Profile'!C7)</f>
        <v/>
      </c>
      <c r="E1104" t="str">
        <f>CONCATENATE('Final Building Profile'!F7)</f>
        <v/>
      </c>
      <c r="F1104" s="314" t="str">
        <f>IF(AND($B1104, Calculations!$B$9), 'Final Building Profile'!J7, "")</f>
        <v/>
      </c>
      <c r="G1104" s="250" t="str">
        <f>IF(AND($B1104, Calculations!$B$9), 'Final Building Profile'!K7, "")</f>
        <v/>
      </c>
      <c r="H1104" t="str">
        <f>IF(AND($B1104, Calculations!$B$9),'Final Building Profile'!M7,"")</f>
        <v/>
      </c>
      <c r="I1104" t="str">
        <f>IF(AND($B1104, Calculations!$B$9),Calculations!AB712,"")</f>
        <v/>
      </c>
      <c r="J1104" t="str">
        <f>IF(AND($B1104, Calculations!$B$9),Calculations!AC712,"")</f>
        <v/>
      </c>
      <c r="K1104" s="314" t="str">
        <f>IF(AND($B1104, Calculations!$B$8), 'Final Building Profile'!J7, "")</f>
        <v/>
      </c>
      <c r="L1104" s="250" t="str">
        <f>IF(AND($B1104, Calculations!$B$8), 'Final Building Profile'!K7, "")</f>
        <v/>
      </c>
      <c r="M1104" t="str">
        <f>IF(AND($B1104, Calculations!$B$8), 'Final Building Profile'!L7, "")</f>
        <v/>
      </c>
      <c r="N1104" t="str">
        <f>IF(AND($B1104, Calculations!$B$8),Calculations!AB712,"")</f>
        <v/>
      </c>
      <c r="O1104" t="str">
        <f>IF(AND($B1104, Calculations!$B$8),Calculations!AC712,"")</f>
        <v/>
      </c>
      <c r="P1104" s="314" t="str">
        <f>IF(AND($B1104, Calculations!$B$7), 'Final Building Profile'!P7, "")</f>
        <v/>
      </c>
      <c r="Q1104" s="204" t="str">
        <f>IF(AND($B1104, Calculations!$B$7), 'Final Building Profile'!Q7, "")</f>
        <v/>
      </c>
      <c r="R1104" t="str">
        <f>IF(AND($B1104, Calculations!$B$7), 'Final Building Profile'!N7-'Final Building Profile'!O7, "")</f>
        <v/>
      </c>
      <c r="S1104" t="str">
        <f>IF(AND($B1104, Calculations!$B$7),Calculations!AD712,"")</f>
        <v/>
      </c>
      <c r="T1104" t="str">
        <f>IF(AND($B1104, Calculations!$B$7),Calculations!AE712,"")</f>
        <v/>
      </c>
    </row>
    <row r="1105" spans="1:20">
      <c r="A1105" s="195" t="str">
        <f>IF(C1105="","",MAX(A$1099:A1104)+1)</f>
        <v/>
      </c>
      <c r="B1105" s="195" t="b">
        <f t="shared" si="18"/>
        <v>0</v>
      </c>
      <c r="C1105" t="str">
        <f>CONCATENATE('Final Building Profile'!B8)</f>
        <v/>
      </c>
      <c r="D1105" t="str">
        <f>CONCATENATE('Final Building Profile'!C8)</f>
        <v/>
      </c>
      <c r="E1105" t="str">
        <f>CONCATENATE('Final Building Profile'!F8)</f>
        <v/>
      </c>
      <c r="F1105" s="314" t="str">
        <f>IF(AND($B1105, Calculations!$B$9), 'Final Building Profile'!J8, "")</f>
        <v/>
      </c>
      <c r="G1105" s="250" t="str">
        <f>IF(AND($B1105, Calculations!$B$9), 'Final Building Profile'!K8, "")</f>
        <v/>
      </c>
      <c r="H1105" t="str">
        <f>IF(AND($B1105, Calculations!$B$9),'Final Building Profile'!M8,"")</f>
        <v/>
      </c>
      <c r="I1105" t="str">
        <f>IF(AND($B1105, Calculations!$B$9),Calculations!AB713,"")</f>
        <v/>
      </c>
      <c r="J1105" t="str">
        <f>IF(AND($B1105, Calculations!$B$9),Calculations!AC713,"")</f>
        <v/>
      </c>
      <c r="K1105" s="314" t="str">
        <f>IF(AND($B1105, Calculations!$B$8), 'Final Building Profile'!J8, "")</f>
        <v/>
      </c>
      <c r="L1105" s="250" t="str">
        <f>IF(AND($B1105, Calculations!$B$8), 'Final Building Profile'!K8, "")</f>
        <v/>
      </c>
      <c r="M1105" t="str">
        <f>IF(AND($B1105, Calculations!$B$8), 'Final Building Profile'!L8, "")</f>
        <v/>
      </c>
      <c r="N1105" t="str">
        <f>IF(AND($B1105, Calculations!$B$8),Calculations!AB713,"")</f>
        <v/>
      </c>
      <c r="O1105" t="str">
        <f>IF(AND($B1105, Calculations!$B$8),Calculations!AC713,"")</f>
        <v/>
      </c>
      <c r="P1105" s="314" t="str">
        <f>IF(AND($B1105, Calculations!$B$7), 'Final Building Profile'!P8, "")</f>
        <v/>
      </c>
      <c r="Q1105" s="204" t="str">
        <f>IF(AND($B1105, Calculations!$B$7), 'Final Building Profile'!Q8, "")</f>
        <v/>
      </c>
      <c r="R1105" t="str">
        <f>IF(AND($B1105, Calculations!$B$7), 'Final Building Profile'!N8-'Final Building Profile'!O8, "")</f>
        <v/>
      </c>
      <c r="S1105" t="str">
        <f>IF(AND($B1105, Calculations!$B$7),Calculations!AD713,"")</f>
        <v/>
      </c>
      <c r="T1105" t="str">
        <f>IF(AND($B1105, Calculations!$B$7),Calculations!AE713,"")</f>
        <v/>
      </c>
    </row>
    <row r="1106" spans="1:20">
      <c r="A1106" s="195" t="str">
        <f>IF(C1106="","",MAX(A$1099:A1105)+1)</f>
        <v/>
      </c>
      <c r="B1106" s="195" t="b">
        <f t="shared" si="18"/>
        <v>0</v>
      </c>
      <c r="C1106" t="str">
        <f>CONCATENATE('Final Building Profile'!B9)</f>
        <v/>
      </c>
      <c r="D1106" t="str">
        <f>CONCATENATE('Final Building Profile'!C9)</f>
        <v/>
      </c>
      <c r="E1106" t="str">
        <f>CONCATENATE('Final Building Profile'!F9)</f>
        <v/>
      </c>
      <c r="F1106" s="314" t="str">
        <f>IF(AND($B1106, Calculations!$B$9), 'Final Building Profile'!J9, "")</f>
        <v/>
      </c>
      <c r="G1106" s="250" t="str">
        <f>IF(AND($B1106, Calculations!$B$9), 'Final Building Profile'!K9, "")</f>
        <v/>
      </c>
      <c r="H1106" t="str">
        <f>IF(AND($B1106, Calculations!$B$9),'Final Building Profile'!M9,"")</f>
        <v/>
      </c>
      <c r="I1106" t="str">
        <f>IF(AND($B1106, Calculations!$B$9),Calculations!AB714,"")</f>
        <v/>
      </c>
      <c r="J1106" t="str">
        <f>IF(AND($B1106, Calculations!$B$9),Calculations!AC714,"")</f>
        <v/>
      </c>
      <c r="K1106" s="314" t="str">
        <f>IF(AND($B1106, Calculations!$B$8), 'Final Building Profile'!J9, "")</f>
        <v/>
      </c>
      <c r="L1106" s="250" t="str">
        <f>IF(AND($B1106, Calculations!$B$8), 'Final Building Profile'!K9, "")</f>
        <v/>
      </c>
      <c r="M1106" t="str">
        <f>IF(AND($B1106, Calculations!$B$8), 'Final Building Profile'!L9, "")</f>
        <v/>
      </c>
      <c r="N1106" t="str">
        <f>IF(AND($B1106, Calculations!$B$8),Calculations!AB714,"")</f>
        <v/>
      </c>
      <c r="O1106" t="str">
        <f>IF(AND($B1106, Calculations!$B$8),Calculations!AC714,"")</f>
        <v/>
      </c>
      <c r="P1106" s="314" t="str">
        <f>IF(AND($B1106, Calculations!$B$7), 'Final Building Profile'!P9, "")</f>
        <v/>
      </c>
      <c r="Q1106" s="204" t="str">
        <f>IF(AND($B1106, Calculations!$B$7), 'Final Building Profile'!Q9, "")</f>
        <v/>
      </c>
      <c r="R1106" t="str">
        <f>IF(AND($B1106, Calculations!$B$7), 'Final Building Profile'!N9-'Final Building Profile'!O9, "")</f>
        <v/>
      </c>
      <c r="S1106" t="str">
        <f>IF(AND($B1106, Calculations!$B$7),Calculations!AD714,"")</f>
        <v/>
      </c>
      <c r="T1106" t="str">
        <f>IF(AND($B1106, Calculations!$B$7),Calculations!AE714,"")</f>
        <v/>
      </c>
    </row>
    <row r="1107" spans="1:20">
      <c r="A1107" s="195" t="str">
        <f>IF(C1107="","",MAX(A$1099:A1106)+1)</f>
        <v/>
      </c>
      <c r="B1107" s="195" t="b">
        <f t="shared" si="18"/>
        <v>0</v>
      </c>
      <c r="C1107" t="str">
        <f>CONCATENATE('Final Building Profile'!B10)</f>
        <v/>
      </c>
      <c r="D1107" t="str">
        <f>CONCATENATE('Final Building Profile'!C10)</f>
        <v/>
      </c>
      <c r="E1107" t="str">
        <f>CONCATENATE('Final Building Profile'!F10)</f>
        <v/>
      </c>
      <c r="F1107" s="314" t="str">
        <f>IF(AND($B1107, Calculations!$B$9), 'Final Building Profile'!J10, "")</f>
        <v/>
      </c>
      <c r="G1107" s="250" t="str">
        <f>IF(AND($B1107, Calculations!$B$9), 'Final Building Profile'!K10, "")</f>
        <v/>
      </c>
      <c r="H1107" t="str">
        <f>IF(AND($B1107, Calculations!$B$9),'Final Building Profile'!M10,"")</f>
        <v/>
      </c>
      <c r="I1107" t="str">
        <f>IF(AND($B1107, Calculations!$B$9),Calculations!AB715,"")</f>
        <v/>
      </c>
      <c r="J1107" t="str">
        <f>IF(AND($B1107, Calculations!$B$9),Calculations!AC715,"")</f>
        <v/>
      </c>
      <c r="K1107" s="314" t="str">
        <f>IF(AND($B1107, Calculations!$B$8), 'Final Building Profile'!J10, "")</f>
        <v/>
      </c>
      <c r="L1107" s="250" t="str">
        <f>IF(AND($B1107, Calculations!$B$8), 'Final Building Profile'!K10, "")</f>
        <v/>
      </c>
      <c r="M1107" t="str">
        <f>IF(AND($B1107, Calculations!$B$8), 'Final Building Profile'!L10, "")</f>
        <v/>
      </c>
      <c r="N1107" t="str">
        <f>IF(AND($B1107, Calculations!$B$8),Calculations!AB715,"")</f>
        <v/>
      </c>
      <c r="O1107" t="str">
        <f>IF(AND($B1107, Calculations!$B$8),Calculations!AC715,"")</f>
        <v/>
      </c>
      <c r="P1107" s="314" t="str">
        <f>IF(AND($B1107, Calculations!$B$7), 'Final Building Profile'!P10, "")</f>
        <v/>
      </c>
      <c r="Q1107" s="204" t="str">
        <f>IF(AND($B1107, Calculations!$B$7), 'Final Building Profile'!Q10, "")</f>
        <v/>
      </c>
      <c r="R1107" t="str">
        <f>IF(AND($B1107, Calculations!$B$7), 'Final Building Profile'!N10-'Final Building Profile'!O10, "")</f>
        <v/>
      </c>
      <c r="S1107" t="str">
        <f>IF(AND($B1107, Calculations!$B$7),Calculations!AD715,"")</f>
        <v/>
      </c>
      <c r="T1107" t="str">
        <f>IF(AND($B1107, Calculations!$B$7),Calculations!AE715,"")</f>
        <v/>
      </c>
    </row>
    <row r="1108" spans="1:20">
      <c r="A1108" s="195" t="str">
        <f>IF(C1108="","",MAX(A$1099:A1107)+1)</f>
        <v/>
      </c>
      <c r="B1108" s="195" t="b">
        <f t="shared" si="18"/>
        <v>0</v>
      </c>
      <c r="C1108" t="str">
        <f>CONCATENATE('Final Building Profile'!B11)</f>
        <v/>
      </c>
      <c r="D1108" t="str">
        <f>CONCATENATE('Final Building Profile'!C11)</f>
        <v/>
      </c>
      <c r="E1108" t="str">
        <f>CONCATENATE('Final Building Profile'!F11)</f>
        <v/>
      </c>
      <c r="F1108" s="314" t="str">
        <f>IF(AND($B1108, Calculations!$B$9), 'Final Building Profile'!J11, "")</f>
        <v/>
      </c>
      <c r="G1108" s="250" t="str">
        <f>IF(AND($B1108, Calculations!$B$9), 'Final Building Profile'!K11, "")</f>
        <v/>
      </c>
      <c r="H1108" t="str">
        <f>IF(AND($B1108, Calculations!$B$9),'Final Building Profile'!M11,"")</f>
        <v/>
      </c>
      <c r="I1108" t="str">
        <f>IF(AND($B1108, Calculations!$B$9),Calculations!AB716,"")</f>
        <v/>
      </c>
      <c r="J1108" t="str">
        <f>IF(AND($B1108, Calculations!$B$9),Calculations!AC716,"")</f>
        <v/>
      </c>
      <c r="K1108" s="314" t="str">
        <f>IF(AND($B1108, Calculations!$B$8), 'Final Building Profile'!J11, "")</f>
        <v/>
      </c>
      <c r="L1108" s="250" t="str">
        <f>IF(AND($B1108, Calculations!$B$8), 'Final Building Profile'!K11, "")</f>
        <v/>
      </c>
      <c r="M1108" t="str">
        <f>IF(AND($B1108, Calculations!$B$8), 'Final Building Profile'!L11, "")</f>
        <v/>
      </c>
      <c r="N1108" t="str">
        <f>IF(AND($B1108, Calculations!$B$8),Calculations!AB716,"")</f>
        <v/>
      </c>
      <c r="O1108" t="str">
        <f>IF(AND($B1108, Calculations!$B$8),Calculations!AC716,"")</f>
        <v/>
      </c>
      <c r="P1108" s="314" t="str">
        <f>IF(AND($B1108, Calculations!$B$7), 'Final Building Profile'!P11, "")</f>
        <v/>
      </c>
      <c r="Q1108" s="204" t="str">
        <f>IF(AND($B1108, Calculations!$B$7), 'Final Building Profile'!Q11, "")</f>
        <v/>
      </c>
      <c r="R1108" t="str">
        <f>IF(AND($B1108, Calculations!$B$7), 'Final Building Profile'!N11-'Final Building Profile'!O11, "")</f>
        <v/>
      </c>
      <c r="S1108" t="str">
        <f>IF(AND($B1108, Calculations!$B$7),Calculations!AD716,"")</f>
        <v/>
      </c>
      <c r="T1108" t="str">
        <f>IF(AND($B1108, Calculations!$B$7),Calculations!AE716,"")</f>
        <v/>
      </c>
    </row>
    <row r="1109" spans="1:20">
      <c r="A1109" s="195" t="str">
        <f>IF(C1109="","",MAX(A$1099:A1108)+1)</f>
        <v/>
      </c>
      <c r="B1109" s="195" t="b">
        <f t="shared" si="18"/>
        <v>0</v>
      </c>
      <c r="C1109" t="str">
        <f>CONCATENATE('Final Building Profile'!B12)</f>
        <v/>
      </c>
      <c r="D1109" t="str">
        <f>CONCATENATE('Final Building Profile'!C12)</f>
        <v/>
      </c>
      <c r="E1109" t="str">
        <f>CONCATENATE('Final Building Profile'!F12)</f>
        <v/>
      </c>
      <c r="F1109" s="314" t="str">
        <f>IF(AND($B1109, Calculations!$B$9), 'Final Building Profile'!J12, "")</f>
        <v/>
      </c>
      <c r="G1109" s="250" t="str">
        <f>IF(AND($B1109, Calculations!$B$9), 'Final Building Profile'!K12, "")</f>
        <v/>
      </c>
      <c r="H1109" t="str">
        <f>IF(AND($B1109, Calculations!$B$9),'Final Building Profile'!M12,"")</f>
        <v/>
      </c>
      <c r="I1109" t="str">
        <f>IF(AND($B1109, Calculations!$B$9),Calculations!AB717,"")</f>
        <v/>
      </c>
      <c r="J1109" t="str">
        <f>IF(AND($B1109, Calculations!$B$9),Calculations!AC717,"")</f>
        <v/>
      </c>
      <c r="K1109" s="314" t="str">
        <f>IF(AND($B1109, Calculations!$B$8), 'Final Building Profile'!J12, "")</f>
        <v/>
      </c>
      <c r="L1109" s="250" t="str">
        <f>IF(AND($B1109, Calculations!$B$8), 'Final Building Profile'!K12, "")</f>
        <v/>
      </c>
      <c r="M1109" t="str">
        <f>IF(AND($B1109, Calculations!$B$8), 'Final Building Profile'!L12, "")</f>
        <v/>
      </c>
      <c r="N1109" t="str">
        <f>IF(AND($B1109, Calculations!$B$8),Calculations!AB717,"")</f>
        <v/>
      </c>
      <c r="O1109" t="str">
        <f>IF(AND($B1109, Calculations!$B$8),Calculations!AC717,"")</f>
        <v/>
      </c>
      <c r="P1109" s="314" t="str">
        <f>IF(AND($B1109, Calculations!$B$7), 'Final Building Profile'!P12, "")</f>
        <v/>
      </c>
      <c r="Q1109" s="204" t="str">
        <f>IF(AND($B1109, Calculations!$B$7), 'Final Building Profile'!Q12, "")</f>
        <v/>
      </c>
      <c r="R1109" t="str">
        <f>IF(AND($B1109, Calculations!$B$7), 'Final Building Profile'!N12-'Final Building Profile'!O12, "")</f>
        <v/>
      </c>
      <c r="S1109" t="str">
        <f>IF(AND($B1109, Calculations!$B$7),Calculations!AD717,"")</f>
        <v/>
      </c>
      <c r="T1109" t="str">
        <f>IF(AND($B1109, Calculations!$B$7),Calculations!AE717,"")</f>
        <v/>
      </c>
    </row>
    <row r="1110" spans="1:20">
      <c r="A1110" s="195" t="str">
        <f>IF(C1110="","",MAX(A$1099:A1109)+1)</f>
        <v/>
      </c>
      <c r="B1110" s="195" t="b">
        <f t="shared" si="18"/>
        <v>0</v>
      </c>
      <c r="C1110" t="str">
        <f>CONCATENATE('Final Building Profile'!B13)</f>
        <v/>
      </c>
      <c r="D1110" t="str">
        <f>CONCATENATE('Final Building Profile'!C13)</f>
        <v/>
      </c>
      <c r="E1110" t="str">
        <f>CONCATENATE('Final Building Profile'!F13)</f>
        <v/>
      </c>
      <c r="F1110" s="314" t="str">
        <f>IF(AND($B1110, Calculations!$B$9), 'Final Building Profile'!J13, "")</f>
        <v/>
      </c>
      <c r="G1110" s="250" t="str">
        <f>IF(AND($B1110, Calculations!$B$9), 'Final Building Profile'!K13, "")</f>
        <v/>
      </c>
      <c r="H1110" t="str">
        <f>IF(AND($B1110, Calculations!$B$9),'Final Building Profile'!M13,"")</f>
        <v/>
      </c>
      <c r="I1110" t="str">
        <f>IF(AND($B1110, Calculations!$B$9),Calculations!AB718,"")</f>
        <v/>
      </c>
      <c r="J1110" t="str">
        <f>IF(AND($B1110, Calculations!$B$9),Calculations!AC718,"")</f>
        <v/>
      </c>
      <c r="K1110" s="314" t="str">
        <f>IF(AND($B1110, Calculations!$B$8), 'Final Building Profile'!J13, "")</f>
        <v/>
      </c>
      <c r="L1110" s="250" t="str">
        <f>IF(AND($B1110, Calculations!$B$8), 'Final Building Profile'!K13, "")</f>
        <v/>
      </c>
      <c r="M1110" t="str">
        <f>IF(AND($B1110, Calculations!$B$8), 'Final Building Profile'!L13, "")</f>
        <v/>
      </c>
      <c r="N1110" t="str">
        <f>IF(AND($B1110, Calculations!$B$8),Calculations!AB718,"")</f>
        <v/>
      </c>
      <c r="O1110" t="str">
        <f>IF(AND($B1110, Calculations!$B$8),Calculations!AC718,"")</f>
        <v/>
      </c>
      <c r="P1110" s="314" t="str">
        <f>IF(AND($B1110, Calculations!$B$7), 'Final Building Profile'!P13, "")</f>
        <v/>
      </c>
      <c r="Q1110" s="204" t="str">
        <f>IF(AND($B1110, Calculations!$B$7), 'Final Building Profile'!Q13, "")</f>
        <v/>
      </c>
      <c r="R1110" t="str">
        <f>IF(AND($B1110, Calculations!$B$7), 'Final Building Profile'!N13-'Final Building Profile'!O13, "")</f>
        <v/>
      </c>
      <c r="S1110" t="str">
        <f>IF(AND($B1110, Calculations!$B$7),Calculations!AD718,"")</f>
        <v/>
      </c>
      <c r="T1110" t="str">
        <f>IF(AND($B1110, Calculations!$B$7),Calculations!AE718,"")</f>
        <v/>
      </c>
    </row>
    <row r="1111" spans="1:20">
      <c r="A1111" s="195" t="str">
        <f>IF(C1111="","",MAX(A$1099:A1110)+1)</f>
        <v/>
      </c>
      <c r="B1111" s="195" t="b">
        <f t="shared" si="18"/>
        <v>0</v>
      </c>
      <c r="C1111" t="str">
        <f>CONCATENATE('Final Building Profile'!B14)</f>
        <v/>
      </c>
      <c r="D1111" t="str">
        <f>CONCATENATE('Final Building Profile'!C14)</f>
        <v/>
      </c>
      <c r="E1111" t="str">
        <f>CONCATENATE('Final Building Profile'!F14)</f>
        <v/>
      </c>
      <c r="F1111" s="314" t="str">
        <f>IF(AND($B1111, Calculations!$B$9), 'Final Building Profile'!J14, "")</f>
        <v/>
      </c>
      <c r="G1111" s="250" t="str">
        <f>IF(AND($B1111, Calculations!$B$9), 'Final Building Profile'!K14, "")</f>
        <v/>
      </c>
      <c r="H1111" t="str">
        <f>IF(AND($B1111, Calculations!$B$9),'Final Building Profile'!M14,"")</f>
        <v/>
      </c>
      <c r="I1111" t="str">
        <f>IF(AND($B1111, Calculations!$B$9),Calculations!AB719,"")</f>
        <v/>
      </c>
      <c r="J1111" t="str">
        <f>IF(AND($B1111, Calculations!$B$9),Calculations!AC719,"")</f>
        <v/>
      </c>
      <c r="K1111" s="314" t="str">
        <f>IF(AND($B1111, Calculations!$B$8), 'Final Building Profile'!J14, "")</f>
        <v/>
      </c>
      <c r="L1111" s="250" t="str">
        <f>IF(AND($B1111, Calculations!$B$8), 'Final Building Profile'!K14, "")</f>
        <v/>
      </c>
      <c r="M1111" t="str">
        <f>IF(AND($B1111, Calculations!$B$8), 'Final Building Profile'!L14, "")</f>
        <v/>
      </c>
      <c r="N1111" t="str">
        <f>IF(AND($B1111, Calculations!$B$8),Calculations!AB719,"")</f>
        <v/>
      </c>
      <c r="O1111" t="str">
        <f>IF(AND($B1111, Calculations!$B$8),Calculations!AC719,"")</f>
        <v/>
      </c>
      <c r="P1111" s="314" t="str">
        <f>IF(AND($B1111, Calculations!$B$7), 'Final Building Profile'!P14, "")</f>
        <v/>
      </c>
      <c r="Q1111" s="204" t="str">
        <f>IF(AND($B1111, Calculations!$B$7), 'Final Building Profile'!Q14, "")</f>
        <v/>
      </c>
      <c r="R1111" t="str">
        <f>IF(AND($B1111, Calculations!$B$7), 'Final Building Profile'!N14-'Final Building Profile'!O14, "")</f>
        <v/>
      </c>
      <c r="S1111" t="str">
        <f>IF(AND($B1111, Calculations!$B$7),Calculations!AD719,"")</f>
        <v/>
      </c>
      <c r="T1111" t="str">
        <f>IF(AND($B1111, Calculations!$B$7),Calculations!AE719,"")</f>
        <v/>
      </c>
    </row>
    <row r="1112" spans="1:20">
      <c r="A1112" s="195" t="str">
        <f>IF(C1112="","",MAX(A$1099:A1111)+1)</f>
        <v/>
      </c>
      <c r="B1112" s="195" t="b">
        <f t="shared" si="18"/>
        <v>0</v>
      </c>
      <c r="C1112" t="str">
        <f>CONCATENATE('Final Building Profile'!B15)</f>
        <v/>
      </c>
      <c r="D1112" t="str">
        <f>CONCATENATE('Final Building Profile'!C15)</f>
        <v/>
      </c>
      <c r="E1112" t="str">
        <f>CONCATENATE('Final Building Profile'!F15)</f>
        <v/>
      </c>
      <c r="F1112" s="314" t="str">
        <f>IF(AND($B1112, Calculations!$B$9), 'Final Building Profile'!J15, "")</f>
        <v/>
      </c>
      <c r="G1112" s="250" t="str">
        <f>IF(AND($B1112, Calculations!$B$9), 'Final Building Profile'!K15, "")</f>
        <v/>
      </c>
      <c r="H1112" t="str">
        <f>IF(AND($B1112, Calculations!$B$9),'Final Building Profile'!M15,"")</f>
        <v/>
      </c>
      <c r="I1112" t="str">
        <f>IF(AND($B1112, Calculations!$B$9),Calculations!AB720,"")</f>
        <v/>
      </c>
      <c r="J1112" t="str">
        <f>IF(AND($B1112, Calculations!$B$9),Calculations!AC720,"")</f>
        <v/>
      </c>
      <c r="K1112" s="314" t="str">
        <f>IF(AND($B1112, Calculations!$B$8), 'Final Building Profile'!J15, "")</f>
        <v/>
      </c>
      <c r="L1112" s="250" t="str">
        <f>IF(AND($B1112, Calculations!$B$8), 'Final Building Profile'!K15, "")</f>
        <v/>
      </c>
      <c r="M1112" t="str">
        <f>IF(AND($B1112, Calculations!$B$8), 'Final Building Profile'!L15, "")</f>
        <v/>
      </c>
      <c r="N1112" t="str">
        <f>IF(AND($B1112, Calculations!$B$8),Calculations!AB720,"")</f>
        <v/>
      </c>
      <c r="O1112" t="str">
        <f>IF(AND($B1112, Calculations!$B$8),Calculations!AC720,"")</f>
        <v/>
      </c>
      <c r="P1112" s="314" t="str">
        <f>IF(AND($B1112, Calculations!$B$7), 'Final Building Profile'!P15, "")</f>
        <v/>
      </c>
      <c r="Q1112" s="204" t="str">
        <f>IF(AND($B1112, Calculations!$B$7), 'Final Building Profile'!Q15, "")</f>
        <v/>
      </c>
      <c r="R1112" t="str">
        <f>IF(AND($B1112, Calculations!$B$7), 'Final Building Profile'!N15-'Final Building Profile'!O15, "")</f>
        <v/>
      </c>
      <c r="S1112" t="str">
        <f>IF(AND($B1112, Calculations!$B$7),Calculations!AD720,"")</f>
        <v/>
      </c>
      <c r="T1112" t="str">
        <f>IF(AND($B1112, Calculations!$B$7),Calculations!AE720,"")</f>
        <v/>
      </c>
    </row>
    <row r="1113" spans="1:20">
      <c r="A1113" s="195" t="str">
        <f>IF(C1113="","",MAX(A$1099:A1112)+1)</f>
        <v/>
      </c>
      <c r="B1113" s="195" t="b">
        <f t="shared" si="18"/>
        <v>0</v>
      </c>
      <c r="C1113" t="str">
        <f>CONCATENATE('Final Building Profile'!B16)</f>
        <v/>
      </c>
      <c r="D1113" t="str">
        <f>CONCATENATE('Final Building Profile'!C16)</f>
        <v/>
      </c>
      <c r="E1113" t="str">
        <f>CONCATENATE('Final Building Profile'!F16)</f>
        <v/>
      </c>
      <c r="F1113" s="314" t="str">
        <f>IF(AND($B1113, Calculations!$B$9), 'Final Building Profile'!J16, "")</f>
        <v/>
      </c>
      <c r="G1113" s="250" t="str">
        <f>IF(AND($B1113, Calculations!$B$9), 'Final Building Profile'!K16, "")</f>
        <v/>
      </c>
      <c r="H1113" t="str">
        <f>IF(AND($B1113, Calculations!$B$9),'Final Building Profile'!M16,"")</f>
        <v/>
      </c>
      <c r="I1113" t="str">
        <f>IF(AND($B1113, Calculations!$B$9),Calculations!AB721,"")</f>
        <v/>
      </c>
      <c r="J1113" t="str">
        <f>IF(AND($B1113, Calculations!$B$9),Calculations!AC721,"")</f>
        <v/>
      </c>
      <c r="K1113" s="314" t="str">
        <f>IF(AND($B1113, Calculations!$B$8), 'Final Building Profile'!J16, "")</f>
        <v/>
      </c>
      <c r="L1113" s="250" t="str">
        <f>IF(AND($B1113, Calculations!$B$8), 'Final Building Profile'!K16, "")</f>
        <v/>
      </c>
      <c r="M1113" t="str">
        <f>IF(AND($B1113, Calculations!$B$8), 'Final Building Profile'!L16, "")</f>
        <v/>
      </c>
      <c r="N1113" t="str">
        <f>IF(AND($B1113, Calculations!$B$8),Calculations!AB721,"")</f>
        <v/>
      </c>
      <c r="O1113" t="str">
        <f>IF(AND($B1113, Calculations!$B$8),Calculations!AC721,"")</f>
        <v/>
      </c>
      <c r="P1113" s="314" t="str">
        <f>IF(AND($B1113, Calculations!$B$7), 'Final Building Profile'!P16, "")</f>
        <v/>
      </c>
      <c r="Q1113" s="204" t="str">
        <f>IF(AND($B1113, Calculations!$B$7), 'Final Building Profile'!Q16, "")</f>
        <v/>
      </c>
      <c r="R1113" t="str">
        <f>IF(AND($B1113, Calculations!$B$7), 'Final Building Profile'!N16-'Final Building Profile'!O16, "")</f>
        <v/>
      </c>
      <c r="S1113" t="str">
        <f>IF(AND($B1113, Calculations!$B$7),Calculations!AD721,"")</f>
        <v/>
      </c>
      <c r="T1113" t="str">
        <f>IF(AND($B1113, Calculations!$B$7),Calculations!AE721,"")</f>
        <v/>
      </c>
    </row>
    <row r="1114" spans="1:20">
      <c r="A1114" s="195" t="str">
        <f>IF(C1114="","",MAX(A$1099:A1113)+1)</f>
        <v/>
      </c>
      <c r="B1114" s="195" t="b">
        <f t="shared" si="18"/>
        <v>0</v>
      </c>
      <c r="C1114" t="str">
        <f>CONCATENATE('Final Building Profile'!B17)</f>
        <v/>
      </c>
      <c r="D1114" t="str">
        <f>CONCATENATE('Final Building Profile'!C17)</f>
        <v/>
      </c>
      <c r="E1114" t="str">
        <f>CONCATENATE('Final Building Profile'!F17)</f>
        <v/>
      </c>
      <c r="F1114" s="314" t="str">
        <f>IF(AND($B1114, Calculations!$B$9), 'Final Building Profile'!J17, "")</f>
        <v/>
      </c>
      <c r="G1114" s="250" t="str">
        <f>IF(AND($B1114, Calculations!$B$9), 'Final Building Profile'!K17, "")</f>
        <v/>
      </c>
      <c r="H1114" t="str">
        <f>IF(AND($B1114, Calculations!$B$9),'Final Building Profile'!M17,"")</f>
        <v/>
      </c>
      <c r="I1114" t="str">
        <f>IF(AND($B1114, Calculations!$B$9),Calculations!AB722,"")</f>
        <v/>
      </c>
      <c r="J1114" t="str">
        <f>IF(AND($B1114, Calculations!$B$9),Calculations!AC722,"")</f>
        <v/>
      </c>
      <c r="K1114" s="314" t="str">
        <f>IF(AND($B1114, Calculations!$B$8), 'Final Building Profile'!J17, "")</f>
        <v/>
      </c>
      <c r="L1114" s="250" t="str">
        <f>IF(AND($B1114, Calculations!$B$8), 'Final Building Profile'!K17, "")</f>
        <v/>
      </c>
      <c r="M1114" t="str">
        <f>IF(AND($B1114, Calculations!$B$8), 'Final Building Profile'!L17, "")</f>
        <v/>
      </c>
      <c r="N1114" t="str">
        <f>IF(AND($B1114, Calculations!$B$8),Calculations!AB722,"")</f>
        <v/>
      </c>
      <c r="O1114" t="str">
        <f>IF(AND($B1114, Calculations!$B$8),Calculations!AC722,"")</f>
        <v/>
      </c>
      <c r="P1114" s="314" t="str">
        <f>IF(AND($B1114, Calculations!$B$7), 'Final Building Profile'!P17, "")</f>
        <v/>
      </c>
      <c r="Q1114" s="204" t="str">
        <f>IF(AND($B1114, Calculations!$B$7), 'Final Building Profile'!Q17, "")</f>
        <v/>
      </c>
      <c r="R1114" t="str">
        <f>IF(AND($B1114, Calculations!$B$7), 'Final Building Profile'!N17-'Final Building Profile'!O17, "")</f>
        <v/>
      </c>
      <c r="S1114" t="str">
        <f>IF(AND($B1114, Calculations!$B$7),Calculations!AD722,"")</f>
        <v/>
      </c>
      <c r="T1114" t="str">
        <f>IF(AND($B1114, Calculations!$B$7),Calculations!AE722,"")</f>
        <v/>
      </c>
    </row>
    <row r="1115" spans="1:20">
      <c r="A1115" s="195" t="str">
        <f>IF(C1115="","",MAX(A$1099:A1114)+1)</f>
        <v/>
      </c>
      <c r="B1115" s="195" t="b">
        <f t="shared" si="18"/>
        <v>0</v>
      </c>
      <c r="C1115" t="str">
        <f>CONCATENATE('Final Building Profile'!B18)</f>
        <v/>
      </c>
      <c r="D1115" t="str">
        <f>CONCATENATE('Final Building Profile'!C18)</f>
        <v/>
      </c>
      <c r="E1115" t="str">
        <f>CONCATENATE('Final Building Profile'!F18)</f>
        <v/>
      </c>
      <c r="F1115" s="314" t="str">
        <f>IF(AND($B1115, Calculations!$B$9), 'Final Building Profile'!J18, "")</f>
        <v/>
      </c>
      <c r="G1115" s="250" t="str">
        <f>IF(AND($B1115, Calculations!$B$9), 'Final Building Profile'!K18, "")</f>
        <v/>
      </c>
      <c r="H1115" t="str">
        <f>IF(AND($B1115, Calculations!$B$9),'Final Building Profile'!M18,"")</f>
        <v/>
      </c>
      <c r="I1115" t="str">
        <f>IF(AND($B1115, Calculations!$B$9),Calculations!AB723,"")</f>
        <v/>
      </c>
      <c r="J1115" t="str">
        <f>IF(AND($B1115, Calculations!$B$9),Calculations!AC723,"")</f>
        <v/>
      </c>
      <c r="K1115" s="314" t="str">
        <f>IF(AND($B1115, Calculations!$B$8), 'Final Building Profile'!J18, "")</f>
        <v/>
      </c>
      <c r="L1115" s="250" t="str">
        <f>IF(AND($B1115, Calculations!$B$8), 'Final Building Profile'!K18, "")</f>
        <v/>
      </c>
      <c r="M1115" t="str">
        <f>IF(AND($B1115, Calculations!$B$8), 'Final Building Profile'!L18, "")</f>
        <v/>
      </c>
      <c r="N1115" t="str">
        <f>IF(AND($B1115, Calculations!$B$8),Calculations!AB723,"")</f>
        <v/>
      </c>
      <c r="O1115" t="str">
        <f>IF(AND($B1115, Calculations!$B$8),Calculations!AC723,"")</f>
        <v/>
      </c>
      <c r="P1115" s="314" t="str">
        <f>IF(AND($B1115, Calculations!$B$7), 'Final Building Profile'!P18, "")</f>
        <v/>
      </c>
      <c r="Q1115" s="204" t="str">
        <f>IF(AND($B1115, Calculations!$B$7), 'Final Building Profile'!Q18, "")</f>
        <v/>
      </c>
      <c r="R1115" t="str">
        <f>IF(AND($B1115, Calculations!$B$7), 'Final Building Profile'!N18-'Final Building Profile'!O18, "")</f>
        <v/>
      </c>
      <c r="S1115" t="str">
        <f>IF(AND($B1115, Calculations!$B$7),Calculations!AD723,"")</f>
        <v/>
      </c>
      <c r="T1115" t="str">
        <f>IF(AND($B1115, Calculations!$B$7),Calculations!AE723,"")</f>
        <v/>
      </c>
    </row>
    <row r="1116" spans="1:20">
      <c r="A1116" s="195" t="str">
        <f>IF(C1116="","",MAX(A$1099:A1115)+1)</f>
        <v/>
      </c>
      <c r="B1116" s="195" t="b">
        <f t="shared" si="18"/>
        <v>0</v>
      </c>
      <c r="C1116" t="str">
        <f>CONCATENATE('Final Building Profile'!B19)</f>
        <v/>
      </c>
      <c r="D1116" t="str">
        <f>CONCATENATE('Final Building Profile'!C19)</f>
        <v/>
      </c>
      <c r="E1116" t="str">
        <f>CONCATENATE('Final Building Profile'!F19)</f>
        <v/>
      </c>
      <c r="F1116" s="314" t="str">
        <f>IF(AND($B1116, Calculations!$B$9), 'Final Building Profile'!J19, "")</f>
        <v/>
      </c>
      <c r="G1116" s="250" t="str">
        <f>IF(AND($B1116, Calculations!$B$9), 'Final Building Profile'!K19, "")</f>
        <v/>
      </c>
      <c r="H1116" t="str">
        <f>IF(AND($B1116, Calculations!$B$9),'Final Building Profile'!M19,"")</f>
        <v/>
      </c>
      <c r="I1116" t="str">
        <f>IF(AND($B1116, Calculations!$B$9),Calculations!AB724,"")</f>
        <v/>
      </c>
      <c r="J1116" t="str">
        <f>IF(AND($B1116, Calculations!$B$9),Calculations!AC724,"")</f>
        <v/>
      </c>
      <c r="K1116" s="314" t="str">
        <f>IF(AND($B1116, Calculations!$B$8), 'Final Building Profile'!J19, "")</f>
        <v/>
      </c>
      <c r="L1116" s="250" t="str">
        <f>IF(AND($B1116, Calculations!$B$8), 'Final Building Profile'!K19, "")</f>
        <v/>
      </c>
      <c r="M1116" t="str">
        <f>IF(AND($B1116, Calculations!$B$8), 'Final Building Profile'!L19, "")</f>
        <v/>
      </c>
      <c r="N1116" t="str">
        <f>IF(AND($B1116, Calculations!$B$8),Calculations!AB724,"")</f>
        <v/>
      </c>
      <c r="O1116" t="str">
        <f>IF(AND($B1116, Calculations!$B$8),Calculations!AC724,"")</f>
        <v/>
      </c>
      <c r="P1116" s="314" t="str">
        <f>IF(AND($B1116, Calculations!$B$7), 'Final Building Profile'!P19, "")</f>
        <v/>
      </c>
      <c r="Q1116" s="204" t="str">
        <f>IF(AND($B1116, Calculations!$B$7), 'Final Building Profile'!Q19, "")</f>
        <v/>
      </c>
      <c r="R1116" t="str">
        <f>IF(AND($B1116, Calculations!$B$7), 'Final Building Profile'!N19-'Final Building Profile'!O19, "")</f>
        <v/>
      </c>
      <c r="S1116" t="str">
        <f>IF(AND($B1116, Calculations!$B$7),Calculations!AD724,"")</f>
        <v/>
      </c>
      <c r="T1116" t="str">
        <f>IF(AND($B1116, Calculations!$B$7),Calculations!AE724,"")</f>
        <v/>
      </c>
    </row>
    <row r="1117" spans="1:20">
      <c r="A1117" s="195" t="str">
        <f>IF(C1117="","",MAX(A$1099:A1116)+1)</f>
        <v/>
      </c>
      <c r="B1117" s="195" t="b">
        <f t="shared" si="18"/>
        <v>0</v>
      </c>
      <c r="C1117" t="str">
        <f>CONCATENATE('Final Building Profile'!B20)</f>
        <v/>
      </c>
      <c r="D1117" t="str">
        <f>CONCATENATE('Final Building Profile'!C20)</f>
        <v/>
      </c>
      <c r="E1117" t="str">
        <f>CONCATENATE('Final Building Profile'!F20)</f>
        <v/>
      </c>
      <c r="F1117" s="314" t="str">
        <f>IF(AND($B1117, Calculations!$B$9), 'Final Building Profile'!J20, "")</f>
        <v/>
      </c>
      <c r="G1117" s="250" t="str">
        <f>IF(AND($B1117, Calculations!$B$9), 'Final Building Profile'!K20, "")</f>
        <v/>
      </c>
      <c r="H1117" t="str">
        <f>IF(AND($B1117, Calculations!$B$9),'Final Building Profile'!M20,"")</f>
        <v/>
      </c>
      <c r="I1117" t="str">
        <f>IF(AND($B1117, Calculations!$B$9),Calculations!AB725,"")</f>
        <v/>
      </c>
      <c r="J1117" t="str">
        <f>IF(AND($B1117, Calculations!$B$9),Calculations!AC725,"")</f>
        <v/>
      </c>
      <c r="K1117" s="314" t="str">
        <f>IF(AND($B1117, Calculations!$B$8), 'Final Building Profile'!J20, "")</f>
        <v/>
      </c>
      <c r="L1117" s="250" t="str">
        <f>IF(AND($B1117, Calculations!$B$8), 'Final Building Profile'!K20, "")</f>
        <v/>
      </c>
      <c r="M1117" t="str">
        <f>IF(AND($B1117, Calculations!$B$8), 'Final Building Profile'!L20, "")</f>
        <v/>
      </c>
      <c r="N1117" t="str">
        <f>IF(AND($B1117, Calculations!$B$8),Calculations!AB725,"")</f>
        <v/>
      </c>
      <c r="O1117" t="str">
        <f>IF(AND($B1117, Calculations!$B$8),Calculations!AC725,"")</f>
        <v/>
      </c>
      <c r="P1117" s="314" t="str">
        <f>IF(AND($B1117, Calculations!$B$7), 'Final Building Profile'!P20, "")</f>
        <v/>
      </c>
      <c r="Q1117" s="204" t="str">
        <f>IF(AND($B1117, Calculations!$B$7), 'Final Building Profile'!Q20, "")</f>
        <v/>
      </c>
      <c r="R1117" t="str">
        <f>IF(AND($B1117, Calculations!$B$7), 'Final Building Profile'!N20-'Final Building Profile'!O20, "")</f>
        <v/>
      </c>
      <c r="S1117" t="str">
        <f>IF(AND($B1117, Calculations!$B$7),Calculations!AD725,"")</f>
        <v/>
      </c>
      <c r="T1117" t="str">
        <f>IF(AND($B1117, Calculations!$B$7),Calculations!AE725,"")</f>
        <v/>
      </c>
    </row>
    <row r="1118" spans="1:20">
      <c r="A1118" s="195" t="str">
        <f>IF(C1118="","",MAX(A$1099:A1117)+1)</f>
        <v/>
      </c>
      <c r="B1118" s="195" t="b">
        <f t="shared" si="18"/>
        <v>0</v>
      </c>
      <c r="C1118" t="str">
        <f>CONCATENATE('Final Building Profile'!B21)</f>
        <v/>
      </c>
      <c r="D1118" t="str">
        <f>CONCATENATE('Final Building Profile'!C21)</f>
        <v/>
      </c>
      <c r="E1118" t="str">
        <f>CONCATENATE('Final Building Profile'!F21)</f>
        <v/>
      </c>
      <c r="F1118" s="314" t="str">
        <f>IF(AND($B1118, Calculations!$B$9), 'Final Building Profile'!J21, "")</f>
        <v/>
      </c>
      <c r="G1118" s="250" t="str">
        <f>IF(AND($B1118, Calculations!$B$9), 'Final Building Profile'!K21, "")</f>
        <v/>
      </c>
      <c r="H1118" t="str">
        <f>IF(AND($B1118, Calculations!$B$9),'Final Building Profile'!M21,"")</f>
        <v/>
      </c>
      <c r="I1118" t="str">
        <f>IF(AND($B1118, Calculations!$B$9),Calculations!AB726,"")</f>
        <v/>
      </c>
      <c r="J1118" t="str">
        <f>IF(AND($B1118, Calculations!$B$9),Calculations!AC726,"")</f>
        <v/>
      </c>
      <c r="K1118" s="314" t="str">
        <f>IF(AND($B1118, Calculations!$B$8), 'Final Building Profile'!J21, "")</f>
        <v/>
      </c>
      <c r="L1118" s="250" t="str">
        <f>IF(AND($B1118, Calculations!$B$8), 'Final Building Profile'!K21, "")</f>
        <v/>
      </c>
      <c r="M1118" t="str">
        <f>IF(AND($B1118, Calculations!$B$8), 'Final Building Profile'!L21, "")</f>
        <v/>
      </c>
      <c r="N1118" t="str">
        <f>IF(AND($B1118, Calculations!$B$8),Calculations!AB726,"")</f>
        <v/>
      </c>
      <c r="O1118" t="str">
        <f>IF(AND($B1118, Calculations!$B$8),Calculations!AC726,"")</f>
        <v/>
      </c>
      <c r="P1118" s="314" t="str">
        <f>IF(AND($B1118, Calculations!$B$7), 'Final Building Profile'!P21, "")</f>
        <v/>
      </c>
      <c r="Q1118" s="204" t="str">
        <f>IF(AND($B1118, Calculations!$B$7), 'Final Building Profile'!Q21, "")</f>
        <v/>
      </c>
      <c r="R1118" t="str">
        <f>IF(AND($B1118, Calculations!$B$7), 'Final Building Profile'!N21-'Final Building Profile'!O21, "")</f>
        <v/>
      </c>
      <c r="S1118" t="str">
        <f>IF(AND($B1118, Calculations!$B$7),Calculations!AD726,"")</f>
        <v/>
      </c>
      <c r="T1118" t="str">
        <f>IF(AND($B1118, Calculations!$B$7),Calculations!AE726,"")</f>
        <v/>
      </c>
    </row>
    <row r="1119" spans="1:20">
      <c r="A1119" s="195" t="str">
        <f>IF(C1119="","",MAX(A$1099:A1118)+1)</f>
        <v/>
      </c>
      <c r="B1119" s="195" t="b">
        <f t="shared" si="18"/>
        <v>0</v>
      </c>
      <c r="C1119" t="str">
        <f>CONCATENATE('Final Building Profile'!B22)</f>
        <v/>
      </c>
      <c r="D1119" t="str">
        <f>CONCATENATE('Final Building Profile'!C22)</f>
        <v/>
      </c>
      <c r="E1119" t="str">
        <f>CONCATENATE('Final Building Profile'!F22)</f>
        <v/>
      </c>
      <c r="F1119" s="314" t="str">
        <f>IF(AND($B1119, Calculations!$B$9), 'Final Building Profile'!J22, "")</f>
        <v/>
      </c>
      <c r="G1119" s="250" t="str">
        <f>IF(AND($B1119, Calculations!$B$9), 'Final Building Profile'!K22, "")</f>
        <v/>
      </c>
      <c r="H1119" t="str">
        <f>IF(AND($B1119, Calculations!$B$9),'Final Building Profile'!M22,"")</f>
        <v/>
      </c>
      <c r="I1119" t="str">
        <f>IF(AND($B1119, Calculations!$B$9),Calculations!AB727,"")</f>
        <v/>
      </c>
      <c r="J1119" t="str">
        <f>IF(AND($B1119, Calculations!$B$9),Calculations!AC727,"")</f>
        <v/>
      </c>
      <c r="K1119" s="314" t="str">
        <f>IF(AND($B1119, Calculations!$B$8), 'Final Building Profile'!J22, "")</f>
        <v/>
      </c>
      <c r="L1119" s="250" t="str">
        <f>IF(AND($B1119, Calculations!$B$8), 'Final Building Profile'!K22, "")</f>
        <v/>
      </c>
      <c r="M1119" t="str">
        <f>IF(AND($B1119, Calculations!$B$8), 'Final Building Profile'!L22, "")</f>
        <v/>
      </c>
      <c r="N1119" t="str">
        <f>IF(AND($B1119, Calculations!$B$8),Calculations!AB727,"")</f>
        <v/>
      </c>
      <c r="O1119" t="str">
        <f>IF(AND($B1119, Calculations!$B$8),Calculations!AC727,"")</f>
        <v/>
      </c>
      <c r="P1119" s="314" t="str">
        <f>IF(AND($B1119, Calculations!$B$7), 'Final Building Profile'!P22, "")</f>
        <v/>
      </c>
      <c r="Q1119" s="204" t="str">
        <f>IF(AND($B1119, Calculations!$B$7), 'Final Building Profile'!Q22, "")</f>
        <v/>
      </c>
      <c r="R1119" t="str">
        <f>IF(AND($B1119, Calculations!$B$7), 'Final Building Profile'!N22-'Final Building Profile'!O22, "")</f>
        <v/>
      </c>
      <c r="S1119" t="str">
        <f>IF(AND($B1119, Calculations!$B$7),Calculations!AD727,"")</f>
        <v/>
      </c>
      <c r="T1119" t="str">
        <f>IF(AND($B1119, Calculations!$B$7),Calculations!AE727,"")</f>
        <v/>
      </c>
    </row>
    <row r="1120" spans="1:20">
      <c r="A1120" s="195" t="str">
        <f>IF(C1120="","",MAX(A$1099:A1119)+1)</f>
        <v/>
      </c>
      <c r="B1120" s="195" t="b">
        <f t="shared" si="18"/>
        <v>0</v>
      </c>
      <c r="C1120" t="str">
        <f>CONCATENATE('Final Building Profile'!B23)</f>
        <v/>
      </c>
      <c r="D1120" t="str">
        <f>CONCATENATE('Final Building Profile'!C23)</f>
        <v/>
      </c>
      <c r="E1120" t="str">
        <f>CONCATENATE('Final Building Profile'!F23)</f>
        <v/>
      </c>
      <c r="F1120" s="314" t="str">
        <f>IF(AND($B1120, Calculations!$B$9), 'Final Building Profile'!J23, "")</f>
        <v/>
      </c>
      <c r="G1120" s="250" t="str">
        <f>IF(AND($B1120, Calculations!$B$9), 'Final Building Profile'!K23, "")</f>
        <v/>
      </c>
      <c r="H1120" t="str">
        <f>IF(AND($B1120, Calculations!$B$9),'Final Building Profile'!M23,"")</f>
        <v/>
      </c>
      <c r="I1120" t="str">
        <f>IF(AND($B1120, Calculations!$B$9),Calculations!AB728,"")</f>
        <v/>
      </c>
      <c r="J1120" t="str">
        <f>IF(AND($B1120, Calculations!$B$9),Calculations!AC728,"")</f>
        <v/>
      </c>
      <c r="K1120" s="314" t="str">
        <f>IF(AND($B1120, Calculations!$B$8), 'Final Building Profile'!J23, "")</f>
        <v/>
      </c>
      <c r="L1120" s="250" t="str">
        <f>IF(AND($B1120, Calculations!$B$8), 'Final Building Profile'!K23, "")</f>
        <v/>
      </c>
      <c r="M1120" t="str">
        <f>IF(AND($B1120, Calculations!$B$8), 'Final Building Profile'!L23, "")</f>
        <v/>
      </c>
      <c r="N1120" t="str">
        <f>IF(AND($B1120, Calculations!$B$8),Calculations!AB728,"")</f>
        <v/>
      </c>
      <c r="O1120" t="str">
        <f>IF(AND($B1120, Calculations!$B$8),Calculations!AC728,"")</f>
        <v/>
      </c>
      <c r="P1120" s="314" t="str">
        <f>IF(AND($B1120, Calculations!$B$7), 'Final Building Profile'!P23, "")</f>
        <v/>
      </c>
      <c r="Q1120" s="204" t="str">
        <f>IF(AND($B1120, Calculations!$B$7), 'Final Building Profile'!Q23, "")</f>
        <v/>
      </c>
      <c r="R1120" t="str">
        <f>IF(AND($B1120, Calculations!$B$7), 'Final Building Profile'!N23-'Final Building Profile'!O23, "")</f>
        <v/>
      </c>
      <c r="S1120" t="str">
        <f>IF(AND($B1120, Calculations!$B$7),Calculations!AD728,"")</f>
        <v/>
      </c>
      <c r="T1120" t="str">
        <f>IF(AND($B1120, Calculations!$B$7),Calculations!AE728,"")</f>
        <v/>
      </c>
    </row>
    <row r="1121" spans="1:20">
      <c r="A1121" s="195" t="str">
        <f>IF(C1121="","",MAX(A$1099:A1120)+1)</f>
        <v/>
      </c>
      <c r="B1121" s="195" t="b">
        <f t="shared" si="18"/>
        <v>0</v>
      </c>
      <c r="C1121" t="str">
        <f>CONCATENATE('Final Building Profile'!B24)</f>
        <v/>
      </c>
      <c r="D1121" t="str">
        <f>CONCATENATE('Final Building Profile'!C24)</f>
        <v/>
      </c>
      <c r="E1121" t="str">
        <f>CONCATENATE('Final Building Profile'!F24)</f>
        <v/>
      </c>
      <c r="F1121" s="314" t="str">
        <f>IF(AND($B1121, Calculations!$B$9), 'Final Building Profile'!J24, "")</f>
        <v/>
      </c>
      <c r="G1121" s="250" t="str">
        <f>IF(AND($B1121, Calculations!$B$9), 'Final Building Profile'!K24, "")</f>
        <v/>
      </c>
      <c r="H1121" t="str">
        <f>IF(AND($B1121, Calculations!$B$9),'Final Building Profile'!M24,"")</f>
        <v/>
      </c>
      <c r="I1121" t="str">
        <f>IF(AND($B1121, Calculations!$B$9),Calculations!AB729,"")</f>
        <v/>
      </c>
      <c r="J1121" t="str">
        <f>IF(AND($B1121, Calculations!$B$9),Calculations!AC729,"")</f>
        <v/>
      </c>
      <c r="K1121" s="314" t="str">
        <f>IF(AND($B1121, Calculations!$B$8), 'Final Building Profile'!J24, "")</f>
        <v/>
      </c>
      <c r="L1121" s="250" t="str">
        <f>IF(AND($B1121, Calculations!$B$8), 'Final Building Profile'!K24, "")</f>
        <v/>
      </c>
      <c r="M1121" t="str">
        <f>IF(AND($B1121, Calculations!$B$8), 'Final Building Profile'!L24, "")</f>
        <v/>
      </c>
      <c r="N1121" t="str">
        <f>IF(AND($B1121, Calculations!$B$8),Calculations!AB729,"")</f>
        <v/>
      </c>
      <c r="O1121" t="str">
        <f>IF(AND($B1121, Calculations!$B$8),Calculations!AC729,"")</f>
        <v/>
      </c>
      <c r="P1121" s="314" t="str">
        <f>IF(AND($B1121, Calculations!$B$7), 'Final Building Profile'!P24, "")</f>
        <v/>
      </c>
      <c r="Q1121" s="204" t="str">
        <f>IF(AND($B1121, Calculations!$B$7), 'Final Building Profile'!Q24, "")</f>
        <v/>
      </c>
      <c r="R1121" t="str">
        <f>IF(AND($B1121, Calculations!$B$7), 'Final Building Profile'!N24-'Final Building Profile'!O24, "")</f>
        <v/>
      </c>
      <c r="S1121" t="str">
        <f>IF(AND($B1121, Calculations!$B$7),Calculations!AD729,"")</f>
        <v/>
      </c>
      <c r="T1121" t="str">
        <f>IF(AND($B1121, Calculations!$B$7),Calculations!AE729,"")</f>
        <v/>
      </c>
    </row>
    <row r="1122" spans="1:20">
      <c r="A1122" s="195" t="str">
        <f>IF(C1122="","",MAX(A$1099:A1121)+1)</f>
        <v/>
      </c>
      <c r="B1122" s="195" t="b">
        <f t="shared" si="18"/>
        <v>0</v>
      </c>
      <c r="C1122" t="str">
        <f>CONCATENATE('Final Building Profile'!B25)</f>
        <v/>
      </c>
      <c r="D1122" t="str">
        <f>CONCATENATE('Final Building Profile'!C25)</f>
        <v/>
      </c>
      <c r="E1122" t="str">
        <f>CONCATENATE('Final Building Profile'!F25)</f>
        <v/>
      </c>
      <c r="F1122" s="314" t="str">
        <f>IF(AND($B1122, Calculations!$B$9), 'Final Building Profile'!J25, "")</f>
        <v/>
      </c>
      <c r="G1122" s="250" t="str">
        <f>IF(AND($B1122, Calculations!$B$9), 'Final Building Profile'!K25, "")</f>
        <v/>
      </c>
      <c r="H1122" t="str">
        <f>IF(AND($B1122, Calculations!$B$9),'Final Building Profile'!M25,"")</f>
        <v/>
      </c>
      <c r="I1122" t="str">
        <f>IF(AND($B1122, Calculations!$B$9),Calculations!AB730,"")</f>
        <v/>
      </c>
      <c r="J1122" t="str">
        <f>IF(AND($B1122, Calculations!$B$9),Calculations!AC730,"")</f>
        <v/>
      </c>
      <c r="K1122" s="314" t="str">
        <f>IF(AND($B1122, Calculations!$B$8), 'Final Building Profile'!J25, "")</f>
        <v/>
      </c>
      <c r="L1122" s="250" t="str">
        <f>IF(AND($B1122, Calculations!$B$8), 'Final Building Profile'!K25, "")</f>
        <v/>
      </c>
      <c r="M1122" t="str">
        <f>IF(AND($B1122, Calculations!$B$8), 'Final Building Profile'!L25, "")</f>
        <v/>
      </c>
      <c r="N1122" t="str">
        <f>IF(AND($B1122, Calculations!$B$8),Calculations!AB730,"")</f>
        <v/>
      </c>
      <c r="O1122" t="str">
        <f>IF(AND($B1122, Calculations!$B$8),Calculations!AC730,"")</f>
        <v/>
      </c>
      <c r="P1122" s="314" t="str">
        <f>IF(AND($B1122, Calculations!$B$7), 'Final Building Profile'!P25, "")</f>
        <v/>
      </c>
      <c r="Q1122" s="204" t="str">
        <f>IF(AND($B1122, Calculations!$B$7), 'Final Building Profile'!Q25, "")</f>
        <v/>
      </c>
      <c r="R1122" t="str">
        <f>IF(AND($B1122, Calculations!$B$7), 'Final Building Profile'!N25-'Final Building Profile'!O25, "")</f>
        <v/>
      </c>
      <c r="S1122" t="str">
        <f>IF(AND($B1122, Calculations!$B$7),Calculations!AD730,"")</f>
        <v/>
      </c>
      <c r="T1122" t="str">
        <f>IF(AND($B1122, Calculations!$B$7),Calculations!AE730,"")</f>
        <v/>
      </c>
    </row>
    <row r="1123" spans="1:20">
      <c r="A1123" s="195" t="str">
        <f>IF(C1123="","",MAX(A$1099:A1122)+1)</f>
        <v/>
      </c>
      <c r="B1123" s="195" t="b">
        <f t="shared" si="18"/>
        <v>0</v>
      </c>
      <c r="C1123" t="str">
        <f>CONCATENATE('Final Building Profile'!B26)</f>
        <v/>
      </c>
      <c r="D1123" t="str">
        <f>CONCATENATE('Final Building Profile'!C26)</f>
        <v/>
      </c>
      <c r="E1123" t="str">
        <f>CONCATENATE('Final Building Profile'!F26)</f>
        <v/>
      </c>
      <c r="F1123" s="314" t="str">
        <f>IF(AND($B1123, Calculations!$B$9), 'Final Building Profile'!J26, "")</f>
        <v/>
      </c>
      <c r="G1123" s="250" t="str">
        <f>IF(AND($B1123, Calculations!$B$9), 'Final Building Profile'!K26, "")</f>
        <v/>
      </c>
      <c r="H1123" t="str">
        <f>IF(AND($B1123, Calculations!$B$9),'Final Building Profile'!M26,"")</f>
        <v/>
      </c>
      <c r="I1123" t="str">
        <f>IF(AND($B1123, Calculations!$B$9),Calculations!AB731,"")</f>
        <v/>
      </c>
      <c r="J1123" t="str">
        <f>IF(AND($B1123, Calculations!$B$9),Calculations!AC731,"")</f>
        <v/>
      </c>
      <c r="K1123" s="314" t="str">
        <f>IF(AND($B1123, Calculations!$B$8), 'Final Building Profile'!J26, "")</f>
        <v/>
      </c>
      <c r="L1123" s="250" t="str">
        <f>IF(AND($B1123, Calculations!$B$8), 'Final Building Profile'!K26, "")</f>
        <v/>
      </c>
      <c r="M1123" t="str">
        <f>IF(AND($B1123, Calculations!$B$8), 'Final Building Profile'!L26, "")</f>
        <v/>
      </c>
      <c r="N1123" t="str">
        <f>IF(AND($B1123, Calculations!$B$8),Calculations!AB731,"")</f>
        <v/>
      </c>
      <c r="O1123" t="str">
        <f>IF(AND($B1123, Calculations!$B$8),Calculations!AC731,"")</f>
        <v/>
      </c>
      <c r="P1123" s="314" t="str">
        <f>IF(AND($B1123, Calculations!$B$7), 'Final Building Profile'!P26, "")</f>
        <v/>
      </c>
      <c r="Q1123" s="204" t="str">
        <f>IF(AND($B1123, Calculations!$B$7), 'Final Building Profile'!Q26, "")</f>
        <v/>
      </c>
      <c r="R1123" t="str">
        <f>IF(AND($B1123, Calculations!$B$7), 'Final Building Profile'!N26-'Final Building Profile'!O26, "")</f>
        <v/>
      </c>
      <c r="S1123" t="str">
        <f>IF(AND($B1123, Calculations!$B$7),Calculations!AD731,"")</f>
        <v/>
      </c>
      <c r="T1123" t="str">
        <f>IF(AND($B1123, Calculations!$B$7),Calculations!AE731,"")</f>
        <v/>
      </c>
    </row>
    <row r="1124" spans="1:20">
      <c r="A1124" s="195" t="str">
        <f>IF(C1124="","",MAX(A$1099:A1123)+1)</f>
        <v/>
      </c>
      <c r="B1124" s="195" t="b">
        <f t="shared" si="18"/>
        <v>0</v>
      </c>
      <c r="C1124" t="str">
        <f>CONCATENATE('Final Building Profile'!B27)</f>
        <v/>
      </c>
      <c r="D1124" t="str">
        <f>CONCATENATE('Final Building Profile'!C27)</f>
        <v/>
      </c>
      <c r="E1124" t="str">
        <f>CONCATENATE('Final Building Profile'!F27)</f>
        <v/>
      </c>
      <c r="F1124" s="314" t="str">
        <f>IF(AND($B1124, Calculations!$B$9), 'Final Building Profile'!J27, "")</f>
        <v/>
      </c>
      <c r="G1124" s="250" t="str">
        <f>IF(AND($B1124, Calculations!$B$9), 'Final Building Profile'!K27, "")</f>
        <v/>
      </c>
      <c r="H1124" t="str">
        <f>IF(AND($B1124, Calculations!$B$9),'Final Building Profile'!M27,"")</f>
        <v/>
      </c>
      <c r="I1124" t="str">
        <f>IF(AND($B1124, Calculations!$B$9),Calculations!AB732,"")</f>
        <v/>
      </c>
      <c r="J1124" t="str">
        <f>IF(AND($B1124, Calculations!$B$9),Calculations!AC732,"")</f>
        <v/>
      </c>
      <c r="K1124" s="314" t="str">
        <f>IF(AND($B1124, Calculations!$B$8), 'Final Building Profile'!J27, "")</f>
        <v/>
      </c>
      <c r="L1124" s="250" t="str">
        <f>IF(AND($B1124, Calculations!$B$8), 'Final Building Profile'!K27, "")</f>
        <v/>
      </c>
      <c r="M1124" t="str">
        <f>IF(AND($B1124, Calculations!$B$8), 'Final Building Profile'!L27, "")</f>
        <v/>
      </c>
      <c r="N1124" t="str">
        <f>IF(AND($B1124, Calculations!$B$8),Calculations!AB732,"")</f>
        <v/>
      </c>
      <c r="O1124" t="str">
        <f>IF(AND($B1124, Calculations!$B$8),Calculations!AC732,"")</f>
        <v/>
      </c>
      <c r="P1124" s="314" t="str">
        <f>IF(AND($B1124, Calculations!$B$7), 'Final Building Profile'!P27, "")</f>
        <v/>
      </c>
      <c r="Q1124" s="204" t="str">
        <f>IF(AND($B1124, Calculations!$B$7), 'Final Building Profile'!Q27, "")</f>
        <v/>
      </c>
      <c r="R1124" t="str">
        <f>IF(AND($B1124, Calculations!$B$7), 'Final Building Profile'!N27-'Final Building Profile'!O27, "")</f>
        <v/>
      </c>
      <c r="S1124" t="str">
        <f>IF(AND($B1124, Calculations!$B$7),Calculations!AD732,"")</f>
        <v/>
      </c>
      <c r="T1124" t="str">
        <f>IF(AND($B1124, Calculations!$B$7),Calculations!AE732,"")</f>
        <v/>
      </c>
    </row>
    <row r="1125" spans="1:20">
      <c r="A1125" s="195" t="str">
        <f>IF(C1125="","",MAX(A$1099:A1124)+1)</f>
        <v/>
      </c>
      <c r="B1125" s="195" t="b">
        <f t="shared" si="18"/>
        <v>0</v>
      </c>
      <c r="C1125" t="str">
        <f>CONCATENATE('Final Building Profile'!B28)</f>
        <v/>
      </c>
      <c r="D1125" t="str">
        <f>CONCATENATE('Final Building Profile'!C28)</f>
        <v/>
      </c>
      <c r="E1125" t="str">
        <f>CONCATENATE('Final Building Profile'!F28)</f>
        <v/>
      </c>
      <c r="F1125" s="314" t="str">
        <f>IF(AND($B1125, Calculations!$B$9), 'Final Building Profile'!J28, "")</f>
        <v/>
      </c>
      <c r="G1125" s="250" t="str">
        <f>IF(AND($B1125, Calculations!$B$9), 'Final Building Profile'!K28, "")</f>
        <v/>
      </c>
      <c r="H1125" t="str">
        <f>IF(AND($B1125, Calculations!$B$9),'Final Building Profile'!M28,"")</f>
        <v/>
      </c>
      <c r="I1125" t="str">
        <f>IF(AND($B1125, Calculations!$B$9),Calculations!AB733,"")</f>
        <v/>
      </c>
      <c r="J1125" t="str">
        <f>IF(AND($B1125, Calculations!$B$9),Calculations!AC733,"")</f>
        <v/>
      </c>
      <c r="K1125" s="314" t="str">
        <f>IF(AND($B1125, Calculations!$B$8), 'Final Building Profile'!J28, "")</f>
        <v/>
      </c>
      <c r="L1125" s="250" t="str">
        <f>IF(AND($B1125, Calculations!$B$8), 'Final Building Profile'!K28, "")</f>
        <v/>
      </c>
      <c r="M1125" t="str">
        <f>IF(AND($B1125, Calculations!$B$8), 'Final Building Profile'!L28, "")</f>
        <v/>
      </c>
      <c r="N1125" t="str">
        <f>IF(AND($B1125, Calculations!$B$8),Calculations!AB733,"")</f>
        <v/>
      </c>
      <c r="O1125" t="str">
        <f>IF(AND($B1125, Calculations!$B$8),Calculations!AC733,"")</f>
        <v/>
      </c>
      <c r="P1125" s="314" t="str">
        <f>IF(AND($B1125, Calculations!$B$7), 'Final Building Profile'!P28, "")</f>
        <v/>
      </c>
      <c r="Q1125" s="204" t="str">
        <f>IF(AND($B1125, Calculations!$B$7), 'Final Building Profile'!Q28, "")</f>
        <v/>
      </c>
      <c r="R1125" t="str">
        <f>IF(AND($B1125, Calculations!$B$7), 'Final Building Profile'!N28-'Final Building Profile'!O28, "")</f>
        <v/>
      </c>
      <c r="S1125" t="str">
        <f>IF(AND($B1125, Calculations!$B$7),Calculations!AD733,"")</f>
        <v/>
      </c>
      <c r="T1125" t="str">
        <f>IF(AND($B1125, Calculations!$B$7),Calculations!AE733,"")</f>
        <v/>
      </c>
    </row>
    <row r="1126" spans="1:20">
      <c r="A1126" s="195" t="str">
        <f>IF(C1126="","",MAX(A$1099:A1125)+1)</f>
        <v/>
      </c>
      <c r="B1126" s="195" t="b">
        <f t="shared" si="18"/>
        <v>0</v>
      </c>
      <c r="C1126" t="str">
        <f>CONCATENATE('Final Building Profile'!B29)</f>
        <v/>
      </c>
      <c r="D1126" t="str">
        <f>CONCATENATE('Final Building Profile'!C29)</f>
        <v/>
      </c>
      <c r="E1126" t="str">
        <f>CONCATENATE('Final Building Profile'!F29)</f>
        <v/>
      </c>
      <c r="F1126" s="314" t="str">
        <f>IF(AND($B1126, Calculations!$B$9), 'Final Building Profile'!J29, "")</f>
        <v/>
      </c>
      <c r="G1126" s="250" t="str">
        <f>IF(AND($B1126, Calculations!$B$9), 'Final Building Profile'!K29, "")</f>
        <v/>
      </c>
      <c r="H1126" t="str">
        <f>IF(AND($B1126, Calculations!$B$9),'Final Building Profile'!M29,"")</f>
        <v/>
      </c>
      <c r="I1126" t="str">
        <f>IF(AND($B1126, Calculations!$B$9),Calculations!AB734,"")</f>
        <v/>
      </c>
      <c r="J1126" t="str">
        <f>IF(AND($B1126, Calculations!$B$9),Calculations!AC734,"")</f>
        <v/>
      </c>
      <c r="K1126" s="314" t="str">
        <f>IF(AND($B1126, Calculations!$B$8), 'Final Building Profile'!J29, "")</f>
        <v/>
      </c>
      <c r="L1126" s="250" t="str">
        <f>IF(AND($B1126, Calculations!$B$8), 'Final Building Profile'!K29, "")</f>
        <v/>
      </c>
      <c r="M1126" t="str">
        <f>IF(AND($B1126, Calculations!$B$8), 'Final Building Profile'!L29, "")</f>
        <v/>
      </c>
      <c r="N1126" t="str">
        <f>IF(AND($B1126, Calculations!$B$8),Calculations!AB734,"")</f>
        <v/>
      </c>
      <c r="O1126" t="str">
        <f>IF(AND($B1126, Calculations!$B$8),Calculations!AC734,"")</f>
        <v/>
      </c>
      <c r="P1126" s="314" t="str">
        <f>IF(AND($B1126, Calculations!$B$7), 'Final Building Profile'!P29, "")</f>
        <v/>
      </c>
      <c r="Q1126" s="204" t="str">
        <f>IF(AND($B1126, Calculations!$B$7), 'Final Building Profile'!Q29, "")</f>
        <v/>
      </c>
      <c r="R1126" t="str">
        <f>IF(AND($B1126, Calculations!$B$7), 'Final Building Profile'!N29-'Final Building Profile'!O29, "")</f>
        <v/>
      </c>
      <c r="S1126" t="str">
        <f>IF(AND($B1126, Calculations!$B$7),Calculations!AD734,"")</f>
        <v/>
      </c>
      <c r="T1126" t="str">
        <f>IF(AND($B1126, Calculations!$B$7),Calculations!AE734,"")</f>
        <v/>
      </c>
    </row>
    <row r="1127" spans="1:20">
      <c r="A1127" s="195" t="str">
        <f>IF(C1127="","",MAX(A$1099:A1126)+1)</f>
        <v/>
      </c>
      <c r="B1127" s="195" t="b">
        <f t="shared" si="18"/>
        <v>0</v>
      </c>
      <c r="C1127" t="str">
        <f>CONCATENATE('Final Building Profile'!B30)</f>
        <v/>
      </c>
      <c r="D1127" t="str">
        <f>CONCATENATE('Final Building Profile'!C30)</f>
        <v/>
      </c>
      <c r="E1127" t="str">
        <f>CONCATENATE('Final Building Profile'!F30)</f>
        <v/>
      </c>
      <c r="F1127" s="314" t="str">
        <f>IF(AND($B1127, Calculations!$B$9), 'Final Building Profile'!J30, "")</f>
        <v/>
      </c>
      <c r="G1127" s="250" t="str">
        <f>IF(AND($B1127, Calculations!$B$9), 'Final Building Profile'!K30, "")</f>
        <v/>
      </c>
      <c r="H1127" t="str">
        <f>IF(AND($B1127, Calculations!$B$9),'Final Building Profile'!M30,"")</f>
        <v/>
      </c>
      <c r="I1127" t="str">
        <f>IF(AND($B1127, Calculations!$B$9),Calculations!AB735,"")</f>
        <v/>
      </c>
      <c r="J1127" t="str">
        <f>IF(AND($B1127, Calculations!$B$9),Calculations!AC735,"")</f>
        <v/>
      </c>
      <c r="K1127" s="314" t="str">
        <f>IF(AND($B1127, Calculations!$B$8), 'Final Building Profile'!J30, "")</f>
        <v/>
      </c>
      <c r="L1127" s="250" t="str">
        <f>IF(AND($B1127, Calculations!$B$8), 'Final Building Profile'!K30, "")</f>
        <v/>
      </c>
      <c r="M1127" t="str">
        <f>IF(AND($B1127, Calculations!$B$8), 'Final Building Profile'!L30, "")</f>
        <v/>
      </c>
      <c r="N1127" t="str">
        <f>IF(AND($B1127, Calculations!$B$8),Calculations!AB735,"")</f>
        <v/>
      </c>
      <c r="O1127" t="str">
        <f>IF(AND($B1127, Calculations!$B$8),Calculations!AC735,"")</f>
        <v/>
      </c>
      <c r="P1127" s="314" t="str">
        <f>IF(AND($B1127, Calculations!$B$7), 'Final Building Profile'!P30, "")</f>
        <v/>
      </c>
      <c r="Q1127" s="204" t="str">
        <f>IF(AND($B1127, Calculations!$B$7), 'Final Building Profile'!Q30, "")</f>
        <v/>
      </c>
      <c r="R1127" t="str">
        <f>IF(AND($B1127, Calculations!$B$7), 'Final Building Profile'!N30-'Final Building Profile'!O30, "")</f>
        <v/>
      </c>
      <c r="S1127" t="str">
        <f>IF(AND($B1127, Calculations!$B$7),Calculations!AD735,"")</f>
        <v/>
      </c>
      <c r="T1127" t="str">
        <f>IF(AND($B1127, Calculations!$B$7),Calculations!AE735,"")</f>
        <v/>
      </c>
    </row>
    <row r="1128" spans="1:20">
      <c r="A1128" s="195" t="str">
        <f>IF(C1128="","",MAX(A$1099:A1127)+1)</f>
        <v/>
      </c>
      <c r="B1128" s="195" t="b">
        <f t="shared" si="18"/>
        <v>0</v>
      </c>
      <c r="C1128" t="str">
        <f>CONCATENATE('Final Building Profile'!B31)</f>
        <v/>
      </c>
      <c r="D1128" t="str">
        <f>CONCATENATE('Final Building Profile'!C31)</f>
        <v/>
      </c>
      <c r="E1128" t="str">
        <f>CONCATENATE('Final Building Profile'!F31)</f>
        <v/>
      </c>
      <c r="F1128" s="314" t="str">
        <f>IF(AND($B1128, Calculations!$B$9), 'Final Building Profile'!J31, "")</f>
        <v/>
      </c>
      <c r="G1128" s="250" t="str">
        <f>IF(AND($B1128, Calculations!$B$9), 'Final Building Profile'!K31, "")</f>
        <v/>
      </c>
      <c r="H1128" t="str">
        <f>IF(AND($B1128, Calculations!$B$9),'Final Building Profile'!M31,"")</f>
        <v/>
      </c>
      <c r="I1128" t="str">
        <f>IF(AND($B1128, Calculations!$B$9),Calculations!AB736,"")</f>
        <v/>
      </c>
      <c r="J1128" t="str">
        <f>IF(AND($B1128, Calculations!$B$9),Calculations!AC736,"")</f>
        <v/>
      </c>
      <c r="K1128" s="314" t="str">
        <f>IF(AND($B1128, Calculations!$B$8), 'Final Building Profile'!J31, "")</f>
        <v/>
      </c>
      <c r="L1128" s="250" t="str">
        <f>IF(AND($B1128, Calculations!$B$8), 'Final Building Profile'!K31, "")</f>
        <v/>
      </c>
      <c r="M1128" t="str">
        <f>IF(AND($B1128, Calculations!$B$8), 'Final Building Profile'!L31, "")</f>
        <v/>
      </c>
      <c r="N1128" t="str">
        <f>IF(AND($B1128, Calculations!$B$8),Calculations!AB736,"")</f>
        <v/>
      </c>
      <c r="O1128" t="str">
        <f>IF(AND($B1128, Calculations!$B$8),Calculations!AC736,"")</f>
        <v/>
      </c>
      <c r="P1128" s="314" t="str">
        <f>IF(AND($B1128, Calculations!$B$7), 'Final Building Profile'!P31, "")</f>
        <v/>
      </c>
      <c r="Q1128" s="204" t="str">
        <f>IF(AND($B1128, Calculations!$B$7), 'Final Building Profile'!Q31, "")</f>
        <v/>
      </c>
      <c r="R1128" t="str">
        <f>IF(AND($B1128, Calculations!$B$7), 'Final Building Profile'!N31-'Final Building Profile'!O31, "")</f>
        <v/>
      </c>
      <c r="S1128" t="str">
        <f>IF(AND($B1128, Calculations!$B$7),Calculations!AD736,"")</f>
        <v/>
      </c>
      <c r="T1128" t="str">
        <f>IF(AND($B1128, Calculations!$B$7),Calculations!AE736,"")</f>
        <v/>
      </c>
    </row>
    <row r="1129" spans="1:20">
      <c r="A1129" s="195" t="str">
        <f>IF(C1129="","",MAX(A$1099:A1128)+1)</f>
        <v/>
      </c>
      <c r="B1129" s="195" t="b">
        <f t="shared" si="18"/>
        <v>0</v>
      </c>
      <c r="C1129" t="str">
        <f>CONCATENATE('Final Building Profile'!B32)</f>
        <v/>
      </c>
      <c r="D1129" t="str">
        <f>CONCATENATE('Final Building Profile'!C32)</f>
        <v/>
      </c>
      <c r="E1129" t="str">
        <f>CONCATENATE('Final Building Profile'!F32)</f>
        <v/>
      </c>
      <c r="F1129" s="314" t="str">
        <f>IF(AND($B1129, Calculations!$B$9), 'Final Building Profile'!J32, "")</f>
        <v/>
      </c>
      <c r="G1129" s="250" t="str">
        <f>IF(AND($B1129, Calculations!$B$9), 'Final Building Profile'!K32, "")</f>
        <v/>
      </c>
      <c r="H1129" t="str">
        <f>IF(AND($B1129, Calculations!$B$9),'Final Building Profile'!M32,"")</f>
        <v/>
      </c>
      <c r="I1129" t="str">
        <f>IF(AND($B1129, Calculations!$B$9),Calculations!AB737,"")</f>
        <v/>
      </c>
      <c r="J1129" t="str">
        <f>IF(AND($B1129, Calculations!$B$9),Calculations!AC737,"")</f>
        <v/>
      </c>
      <c r="K1129" s="314" t="str">
        <f>IF(AND($B1129, Calculations!$B$8), 'Final Building Profile'!J32, "")</f>
        <v/>
      </c>
      <c r="L1129" s="250" t="str">
        <f>IF(AND($B1129, Calculations!$B$8), 'Final Building Profile'!K32, "")</f>
        <v/>
      </c>
      <c r="M1129" t="str">
        <f>IF(AND($B1129, Calculations!$B$8), 'Final Building Profile'!L32, "")</f>
        <v/>
      </c>
      <c r="N1129" t="str">
        <f>IF(AND($B1129, Calculations!$B$8),Calculations!AB737,"")</f>
        <v/>
      </c>
      <c r="O1129" t="str">
        <f>IF(AND($B1129, Calculations!$B$8),Calculations!AC737,"")</f>
        <v/>
      </c>
      <c r="P1129" s="314" t="str">
        <f>IF(AND($B1129, Calculations!$B$7), 'Final Building Profile'!P32, "")</f>
        <v/>
      </c>
      <c r="Q1129" s="204" t="str">
        <f>IF(AND($B1129, Calculations!$B$7), 'Final Building Profile'!Q32, "")</f>
        <v/>
      </c>
      <c r="R1129" t="str">
        <f>IF(AND($B1129, Calculations!$B$7), 'Final Building Profile'!N32-'Final Building Profile'!O32, "")</f>
        <v/>
      </c>
      <c r="S1129" t="str">
        <f>IF(AND($B1129, Calculations!$B$7),Calculations!AD737,"")</f>
        <v/>
      </c>
      <c r="T1129" t="str">
        <f>IF(AND($B1129, Calculations!$B$7),Calculations!AE737,"")</f>
        <v/>
      </c>
    </row>
    <row r="1130" spans="1:20">
      <c r="A1130" s="195" t="str">
        <f>IF(C1130="","",MAX(A$1099:A1129)+1)</f>
        <v/>
      </c>
      <c r="B1130" s="195" t="b">
        <f t="shared" si="18"/>
        <v>0</v>
      </c>
      <c r="C1130" t="str">
        <f>CONCATENATE('Final Building Profile'!B33)</f>
        <v/>
      </c>
      <c r="D1130" t="str">
        <f>CONCATENATE('Final Building Profile'!C33)</f>
        <v/>
      </c>
      <c r="E1130" t="str">
        <f>CONCATENATE('Final Building Profile'!F33)</f>
        <v/>
      </c>
      <c r="F1130" s="314" t="str">
        <f>IF(AND($B1130, Calculations!$B$9), 'Final Building Profile'!J33, "")</f>
        <v/>
      </c>
      <c r="G1130" s="250" t="str">
        <f>IF(AND($B1130, Calculations!$B$9), 'Final Building Profile'!K33, "")</f>
        <v/>
      </c>
      <c r="H1130" t="str">
        <f>IF(AND($B1130, Calculations!$B$9),'Final Building Profile'!M33,"")</f>
        <v/>
      </c>
      <c r="I1130" t="str">
        <f>IF(AND($B1130, Calculations!$B$9),Calculations!AB738,"")</f>
        <v/>
      </c>
      <c r="J1130" t="str">
        <f>IF(AND($B1130, Calculations!$B$9),Calculations!AC738,"")</f>
        <v/>
      </c>
      <c r="K1130" s="314" t="str">
        <f>IF(AND($B1130, Calculations!$B$8), 'Final Building Profile'!J33, "")</f>
        <v/>
      </c>
      <c r="L1130" s="250" t="str">
        <f>IF(AND($B1130, Calculations!$B$8), 'Final Building Profile'!K33, "")</f>
        <v/>
      </c>
      <c r="M1130" t="str">
        <f>IF(AND($B1130, Calculations!$B$8), 'Final Building Profile'!L33, "")</f>
        <v/>
      </c>
      <c r="N1130" t="str">
        <f>IF(AND($B1130, Calculations!$B$8),Calculations!AB738,"")</f>
        <v/>
      </c>
      <c r="O1130" t="str">
        <f>IF(AND($B1130, Calculations!$B$8),Calculations!AC738,"")</f>
        <v/>
      </c>
      <c r="P1130" s="314" t="str">
        <f>IF(AND($B1130, Calculations!$B$7), 'Final Building Profile'!P33, "")</f>
        <v/>
      </c>
      <c r="Q1130" s="204" t="str">
        <f>IF(AND($B1130, Calculations!$B$7), 'Final Building Profile'!Q33, "")</f>
        <v/>
      </c>
      <c r="R1130" t="str">
        <f>IF(AND($B1130, Calculations!$B$7), 'Final Building Profile'!N33-'Final Building Profile'!O33, "")</f>
        <v/>
      </c>
      <c r="S1130" t="str">
        <f>IF(AND($B1130, Calculations!$B$7),Calculations!AD738,"")</f>
        <v/>
      </c>
      <c r="T1130" t="str">
        <f>IF(AND($B1130, Calculations!$B$7),Calculations!AE738,"")</f>
        <v/>
      </c>
    </row>
    <row r="1131" spans="1:20">
      <c r="A1131" s="195" t="str">
        <f>IF(C1131="","",MAX(A$1099:A1130)+1)</f>
        <v/>
      </c>
      <c r="B1131" s="195" t="b">
        <f t="shared" si="18"/>
        <v>0</v>
      </c>
      <c r="C1131" t="str">
        <f>CONCATENATE('Final Building Profile'!B34)</f>
        <v/>
      </c>
      <c r="D1131" t="str">
        <f>CONCATENATE('Final Building Profile'!C34)</f>
        <v/>
      </c>
      <c r="E1131" t="str">
        <f>CONCATENATE('Final Building Profile'!F34)</f>
        <v/>
      </c>
      <c r="F1131" s="314" t="str">
        <f>IF(AND($B1131, Calculations!$B$9), 'Final Building Profile'!J34, "")</f>
        <v/>
      </c>
      <c r="G1131" s="250" t="str">
        <f>IF(AND($B1131, Calculations!$B$9), 'Final Building Profile'!K34, "")</f>
        <v/>
      </c>
      <c r="H1131" t="str">
        <f>IF(AND($B1131, Calculations!$B$9),'Final Building Profile'!M34,"")</f>
        <v/>
      </c>
      <c r="I1131" t="str">
        <f>IF(AND($B1131, Calculations!$B$9),Calculations!AB739,"")</f>
        <v/>
      </c>
      <c r="J1131" t="str">
        <f>IF(AND($B1131, Calculations!$B$9),Calculations!AC739,"")</f>
        <v/>
      </c>
      <c r="K1131" s="314" t="str">
        <f>IF(AND($B1131, Calculations!$B$8), 'Final Building Profile'!J34, "")</f>
        <v/>
      </c>
      <c r="L1131" s="250" t="str">
        <f>IF(AND($B1131, Calculations!$B$8), 'Final Building Profile'!K34, "")</f>
        <v/>
      </c>
      <c r="M1131" t="str">
        <f>IF(AND($B1131, Calculations!$B$8), 'Final Building Profile'!L34, "")</f>
        <v/>
      </c>
      <c r="N1131" t="str">
        <f>IF(AND($B1131, Calculations!$B$8),Calculations!AB739,"")</f>
        <v/>
      </c>
      <c r="O1131" t="str">
        <f>IF(AND($B1131, Calculations!$B$8),Calculations!AC739,"")</f>
        <v/>
      </c>
      <c r="P1131" s="314" t="str">
        <f>IF(AND($B1131, Calculations!$B$7), 'Final Building Profile'!P34, "")</f>
        <v/>
      </c>
      <c r="Q1131" s="204" t="str">
        <f>IF(AND($B1131, Calculations!$B$7), 'Final Building Profile'!Q34, "")</f>
        <v/>
      </c>
      <c r="R1131" t="str">
        <f>IF(AND($B1131, Calculations!$B$7), 'Final Building Profile'!N34-'Final Building Profile'!O34, "")</f>
        <v/>
      </c>
      <c r="S1131" t="str">
        <f>IF(AND($B1131, Calculations!$B$7),Calculations!AD739,"")</f>
        <v/>
      </c>
      <c r="T1131" t="str">
        <f>IF(AND($B1131, Calculations!$B$7),Calculations!AE739,"")</f>
        <v/>
      </c>
    </row>
    <row r="1132" spans="1:20">
      <c r="A1132" s="195" t="str">
        <f>IF(C1132="","",MAX(A$1099:A1131)+1)</f>
        <v/>
      </c>
      <c r="B1132" s="195" t="b">
        <f t="shared" si="18"/>
        <v>0</v>
      </c>
      <c r="C1132" t="str">
        <f>CONCATENATE('Final Building Profile'!B35)</f>
        <v/>
      </c>
      <c r="D1132" t="str">
        <f>CONCATENATE('Final Building Profile'!C35)</f>
        <v/>
      </c>
      <c r="E1132" t="str">
        <f>CONCATENATE('Final Building Profile'!F35)</f>
        <v/>
      </c>
      <c r="F1132" s="314" t="str">
        <f>IF(AND($B1132, Calculations!$B$9), 'Final Building Profile'!J35, "")</f>
        <v/>
      </c>
      <c r="G1132" s="250" t="str">
        <f>IF(AND($B1132, Calculations!$B$9), 'Final Building Profile'!K35, "")</f>
        <v/>
      </c>
      <c r="H1132" t="str">
        <f>IF(AND($B1132, Calculations!$B$9),'Final Building Profile'!M35,"")</f>
        <v/>
      </c>
      <c r="I1132" t="str">
        <f>IF(AND($B1132, Calculations!$B$9),Calculations!AB740,"")</f>
        <v/>
      </c>
      <c r="J1132" t="str">
        <f>IF(AND($B1132, Calculations!$B$9),Calculations!AC740,"")</f>
        <v/>
      </c>
      <c r="K1132" s="314" t="str">
        <f>IF(AND($B1132, Calculations!$B$8), 'Final Building Profile'!J35, "")</f>
        <v/>
      </c>
      <c r="L1132" s="250" t="str">
        <f>IF(AND($B1132, Calculations!$B$8), 'Final Building Profile'!K35, "")</f>
        <v/>
      </c>
      <c r="M1132" t="str">
        <f>IF(AND($B1132, Calculations!$B$8), 'Final Building Profile'!L35, "")</f>
        <v/>
      </c>
      <c r="N1132" t="str">
        <f>IF(AND($B1132, Calculations!$B$8),Calculations!AB740,"")</f>
        <v/>
      </c>
      <c r="O1132" t="str">
        <f>IF(AND($B1132, Calculations!$B$8),Calculations!AC740,"")</f>
        <v/>
      </c>
      <c r="P1132" s="314" t="str">
        <f>IF(AND($B1132, Calculations!$B$7), 'Final Building Profile'!P35, "")</f>
        <v/>
      </c>
      <c r="Q1132" s="204" t="str">
        <f>IF(AND($B1132, Calculations!$B$7), 'Final Building Profile'!Q35, "")</f>
        <v/>
      </c>
      <c r="R1132" t="str">
        <f>IF(AND($B1132, Calculations!$B$7), 'Final Building Profile'!N35-'Final Building Profile'!O35, "")</f>
        <v/>
      </c>
      <c r="S1132" t="str">
        <f>IF(AND($B1132, Calculations!$B$7),Calculations!AD740,"")</f>
        <v/>
      </c>
      <c r="T1132" t="str">
        <f>IF(AND($B1132, Calculations!$B$7),Calculations!AE740,"")</f>
        <v/>
      </c>
    </row>
    <row r="1133" spans="1:20">
      <c r="A1133" s="195" t="str">
        <f>IF(C1133="","",MAX(A$1099:A1132)+1)</f>
        <v/>
      </c>
      <c r="B1133" s="195" t="b">
        <f t="shared" si="18"/>
        <v>0</v>
      </c>
      <c r="C1133" t="str">
        <f>CONCATENATE('Final Building Profile'!B36)</f>
        <v/>
      </c>
      <c r="D1133" t="str">
        <f>CONCATENATE('Final Building Profile'!C36)</f>
        <v/>
      </c>
      <c r="E1133" t="str">
        <f>CONCATENATE('Final Building Profile'!F36)</f>
        <v/>
      </c>
      <c r="F1133" s="314" t="str">
        <f>IF(AND($B1133, Calculations!$B$9), 'Final Building Profile'!J36, "")</f>
        <v/>
      </c>
      <c r="G1133" s="250" t="str">
        <f>IF(AND($B1133, Calculations!$B$9), 'Final Building Profile'!K36, "")</f>
        <v/>
      </c>
      <c r="H1133" t="str">
        <f>IF(AND($B1133, Calculations!$B$9),'Final Building Profile'!M36,"")</f>
        <v/>
      </c>
      <c r="I1133" t="str">
        <f>IF(AND($B1133, Calculations!$B$9),Calculations!AB741,"")</f>
        <v/>
      </c>
      <c r="J1133" t="str">
        <f>IF(AND($B1133, Calculations!$B$9),Calculations!AC741,"")</f>
        <v/>
      </c>
      <c r="K1133" s="314" t="str">
        <f>IF(AND($B1133, Calculations!$B$8), 'Final Building Profile'!J36, "")</f>
        <v/>
      </c>
      <c r="L1133" s="250" t="str">
        <f>IF(AND($B1133, Calculations!$B$8), 'Final Building Profile'!K36, "")</f>
        <v/>
      </c>
      <c r="M1133" t="str">
        <f>IF(AND($B1133, Calculations!$B$8), 'Final Building Profile'!L36, "")</f>
        <v/>
      </c>
      <c r="N1133" t="str">
        <f>IF(AND($B1133, Calculations!$B$8),Calculations!AB741,"")</f>
        <v/>
      </c>
      <c r="O1133" t="str">
        <f>IF(AND($B1133, Calculations!$B$8),Calculations!AC741,"")</f>
        <v/>
      </c>
      <c r="P1133" s="314" t="str">
        <f>IF(AND($B1133, Calculations!$B$7), 'Final Building Profile'!P36, "")</f>
        <v/>
      </c>
      <c r="Q1133" s="204" t="str">
        <f>IF(AND($B1133, Calculations!$B$7), 'Final Building Profile'!Q36, "")</f>
        <v/>
      </c>
      <c r="R1133" t="str">
        <f>IF(AND($B1133, Calculations!$B$7), 'Final Building Profile'!N36-'Final Building Profile'!O36, "")</f>
        <v/>
      </c>
      <c r="S1133" t="str">
        <f>IF(AND($B1133, Calculations!$B$7),Calculations!AD741,"")</f>
        <v/>
      </c>
      <c r="T1133" t="str">
        <f>IF(AND($B1133, Calculations!$B$7),Calculations!AE741,"")</f>
        <v/>
      </c>
    </row>
    <row r="1134" spans="1:20">
      <c r="A1134" s="195" t="str">
        <f>IF(C1134="","",MAX(A$1099:A1133)+1)</f>
        <v/>
      </c>
      <c r="B1134" s="195" t="b">
        <f t="shared" si="18"/>
        <v>0</v>
      </c>
      <c r="C1134" t="str">
        <f>CONCATENATE('Final Building Profile'!B37)</f>
        <v/>
      </c>
      <c r="D1134" t="str">
        <f>CONCATENATE('Final Building Profile'!C37)</f>
        <v/>
      </c>
      <c r="E1134" t="str">
        <f>CONCATENATE('Final Building Profile'!F37)</f>
        <v/>
      </c>
      <c r="F1134" s="314" t="str">
        <f>IF(AND($B1134, Calculations!$B$9), 'Final Building Profile'!J37, "")</f>
        <v/>
      </c>
      <c r="G1134" s="250" t="str">
        <f>IF(AND($B1134, Calculations!$B$9), 'Final Building Profile'!K37, "")</f>
        <v/>
      </c>
      <c r="H1134" t="str">
        <f>IF(AND($B1134, Calculations!$B$9),'Final Building Profile'!M37,"")</f>
        <v/>
      </c>
      <c r="I1134" t="str">
        <f>IF(AND($B1134, Calculations!$B$9),Calculations!AB742,"")</f>
        <v/>
      </c>
      <c r="J1134" t="str">
        <f>IF(AND($B1134, Calculations!$B$9),Calculations!AC742,"")</f>
        <v/>
      </c>
      <c r="K1134" s="314" t="str">
        <f>IF(AND($B1134, Calculations!$B$8), 'Final Building Profile'!J37, "")</f>
        <v/>
      </c>
      <c r="L1134" s="250" t="str">
        <f>IF(AND($B1134, Calculations!$B$8), 'Final Building Profile'!K37, "")</f>
        <v/>
      </c>
      <c r="M1134" t="str">
        <f>IF(AND($B1134, Calculations!$B$8), 'Final Building Profile'!L37, "")</f>
        <v/>
      </c>
      <c r="N1134" t="str">
        <f>IF(AND($B1134, Calculations!$B$8),Calculations!AB742,"")</f>
        <v/>
      </c>
      <c r="O1134" t="str">
        <f>IF(AND($B1134, Calculations!$B$8),Calculations!AC742,"")</f>
        <v/>
      </c>
      <c r="P1134" s="314" t="str">
        <f>IF(AND($B1134, Calculations!$B$7), 'Final Building Profile'!P37, "")</f>
        <v/>
      </c>
      <c r="Q1134" s="204" t="str">
        <f>IF(AND($B1134, Calculations!$B$7), 'Final Building Profile'!Q37, "")</f>
        <v/>
      </c>
      <c r="R1134" t="str">
        <f>IF(AND($B1134, Calculations!$B$7), 'Final Building Profile'!N37-'Final Building Profile'!O37, "")</f>
        <v/>
      </c>
      <c r="S1134" t="str">
        <f>IF(AND($B1134, Calculations!$B$7),Calculations!AD742,"")</f>
        <v/>
      </c>
      <c r="T1134" t="str">
        <f>IF(AND($B1134, Calculations!$B$7),Calculations!AE742,"")</f>
        <v/>
      </c>
    </row>
    <row r="1135" spans="1:20">
      <c r="A1135" s="195" t="str">
        <f>IF(C1135="","",MAX(A$1099:A1134)+1)</f>
        <v/>
      </c>
      <c r="B1135" s="195" t="b">
        <f t="shared" si="18"/>
        <v>0</v>
      </c>
      <c r="C1135" t="str">
        <f>CONCATENATE('Final Building Profile'!B38)</f>
        <v/>
      </c>
      <c r="D1135" t="str">
        <f>CONCATENATE('Final Building Profile'!C38)</f>
        <v/>
      </c>
      <c r="E1135" t="str">
        <f>CONCATENATE('Final Building Profile'!F38)</f>
        <v/>
      </c>
      <c r="F1135" s="314" t="str">
        <f>IF(AND($B1135, Calculations!$B$9), 'Final Building Profile'!J38, "")</f>
        <v/>
      </c>
      <c r="G1135" s="250" t="str">
        <f>IF(AND($B1135, Calculations!$B$9), 'Final Building Profile'!K38, "")</f>
        <v/>
      </c>
      <c r="H1135" t="str">
        <f>IF(AND($B1135, Calculations!$B$9),'Final Building Profile'!M38,"")</f>
        <v/>
      </c>
      <c r="I1135" t="str">
        <f>IF(AND($B1135, Calculations!$B$9),Calculations!AB743,"")</f>
        <v/>
      </c>
      <c r="J1135" t="str">
        <f>IF(AND($B1135, Calculations!$B$9),Calculations!AC743,"")</f>
        <v/>
      </c>
      <c r="K1135" s="314" t="str">
        <f>IF(AND($B1135, Calculations!$B$8), 'Final Building Profile'!J38, "")</f>
        <v/>
      </c>
      <c r="L1135" s="250" t="str">
        <f>IF(AND($B1135, Calculations!$B$8), 'Final Building Profile'!K38, "")</f>
        <v/>
      </c>
      <c r="M1135" t="str">
        <f>IF(AND($B1135, Calculations!$B$8), 'Final Building Profile'!L38, "")</f>
        <v/>
      </c>
      <c r="N1135" t="str">
        <f>IF(AND($B1135, Calculations!$B$8),Calculations!AB743,"")</f>
        <v/>
      </c>
      <c r="O1135" t="str">
        <f>IF(AND($B1135, Calculations!$B$8),Calculations!AC743,"")</f>
        <v/>
      </c>
      <c r="P1135" s="314" t="str">
        <f>IF(AND($B1135, Calculations!$B$7), 'Final Building Profile'!P38, "")</f>
        <v/>
      </c>
      <c r="Q1135" s="204" t="str">
        <f>IF(AND($B1135, Calculations!$B$7), 'Final Building Profile'!Q38, "")</f>
        <v/>
      </c>
      <c r="R1135" t="str">
        <f>IF(AND($B1135, Calculations!$B$7), 'Final Building Profile'!N38-'Final Building Profile'!O38, "")</f>
        <v/>
      </c>
      <c r="S1135" t="str">
        <f>IF(AND($B1135, Calculations!$B$7),Calculations!AD743,"")</f>
        <v/>
      </c>
      <c r="T1135" t="str">
        <f>IF(AND($B1135, Calculations!$B$7),Calculations!AE743,"")</f>
        <v/>
      </c>
    </row>
    <row r="1136" spans="1:20">
      <c r="A1136" s="195" t="str">
        <f>IF(C1136="","",MAX(A$1099:A1135)+1)</f>
        <v/>
      </c>
      <c r="B1136" s="195" t="b">
        <f t="shared" si="18"/>
        <v>0</v>
      </c>
      <c r="C1136" t="str">
        <f>CONCATENATE('Final Building Profile'!B39)</f>
        <v/>
      </c>
      <c r="D1136" t="str">
        <f>CONCATENATE('Final Building Profile'!C39)</f>
        <v/>
      </c>
      <c r="E1136" t="str">
        <f>CONCATENATE('Final Building Profile'!F39)</f>
        <v/>
      </c>
      <c r="F1136" s="314" t="str">
        <f>IF(AND($B1136, Calculations!$B$9), 'Final Building Profile'!J39, "")</f>
        <v/>
      </c>
      <c r="G1136" s="250" t="str">
        <f>IF(AND($B1136, Calculations!$B$9), 'Final Building Profile'!K39, "")</f>
        <v/>
      </c>
      <c r="H1136" t="str">
        <f>IF(AND($B1136, Calculations!$B$9),'Final Building Profile'!M39,"")</f>
        <v/>
      </c>
      <c r="I1136" t="str">
        <f>IF(AND($B1136, Calculations!$B$9),Calculations!AB744,"")</f>
        <v/>
      </c>
      <c r="J1136" t="str">
        <f>IF(AND($B1136, Calculations!$B$9),Calculations!AC744,"")</f>
        <v/>
      </c>
      <c r="K1136" s="314" t="str">
        <f>IF(AND($B1136, Calculations!$B$8), 'Final Building Profile'!J39, "")</f>
        <v/>
      </c>
      <c r="L1136" s="250" t="str">
        <f>IF(AND($B1136, Calculations!$B$8), 'Final Building Profile'!K39, "")</f>
        <v/>
      </c>
      <c r="M1136" t="str">
        <f>IF(AND($B1136, Calculations!$B$8), 'Final Building Profile'!L39, "")</f>
        <v/>
      </c>
      <c r="N1136" t="str">
        <f>IF(AND($B1136, Calculations!$B$8),Calculations!AB744,"")</f>
        <v/>
      </c>
      <c r="O1136" t="str">
        <f>IF(AND($B1136, Calculations!$B$8),Calculations!AC744,"")</f>
        <v/>
      </c>
      <c r="P1136" s="314" t="str">
        <f>IF(AND($B1136, Calculations!$B$7), 'Final Building Profile'!P39, "")</f>
        <v/>
      </c>
      <c r="Q1136" s="204" t="str">
        <f>IF(AND($B1136, Calculations!$B$7), 'Final Building Profile'!Q39, "")</f>
        <v/>
      </c>
      <c r="R1136" t="str">
        <f>IF(AND($B1136, Calculations!$B$7), 'Final Building Profile'!N39-'Final Building Profile'!O39, "")</f>
        <v/>
      </c>
      <c r="S1136" t="str">
        <f>IF(AND($B1136, Calculations!$B$7),Calculations!AD744,"")</f>
        <v/>
      </c>
      <c r="T1136" t="str">
        <f>IF(AND($B1136, Calculations!$B$7),Calculations!AE744,"")</f>
        <v/>
      </c>
    </row>
    <row r="1137" spans="1:20">
      <c r="A1137" s="195" t="str">
        <f>IF(C1137="","",MAX(A$1099:A1136)+1)</f>
        <v/>
      </c>
      <c r="B1137" s="195" t="b">
        <f t="shared" si="18"/>
        <v>0</v>
      </c>
      <c r="C1137" t="str">
        <f>CONCATENATE('Final Building Profile'!B40)</f>
        <v/>
      </c>
      <c r="D1137" t="str">
        <f>CONCATENATE('Final Building Profile'!C40)</f>
        <v/>
      </c>
      <c r="E1137" t="str">
        <f>CONCATENATE('Final Building Profile'!F40)</f>
        <v/>
      </c>
      <c r="F1137" s="314" t="str">
        <f>IF(AND($B1137, Calculations!$B$9), 'Final Building Profile'!J40, "")</f>
        <v/>
      </c>
      <c r="G1137" s="250" t="str">
        <f>IF(AND($B1137, Calculations!$B$9), 'Final Building Profile'!K40, "")</f>
        <v/>
      </c>
      <c r="H1137" t="str">
        <f>IF(AND($B1137, Calculations!$B$9),'Final Building Profile'!M40,"")</f>
        <v/>
      </c>
      <c r="I1137" t="str">
        <f>IF(AND($B1137, Calculations!$B$9),Calculations!AB745,"")</f>
        <v/>
      </c>
      <c r="J1137" t="str">
        <f>IF(AND($B1137, Calculations!$B$9),Calculations!AC745,"")</f>
        <v/>
      </c>
      <c r="K1137" s="314" t="str">
        <f>IF(AND($B1137, Calculations!$B$8), 'Final Building Profile'!J40, "")</f>
        <v/>
      </c>
      <c r="L1137" s="250" t="str">
        <f>IF(AND($B1137, Calculations!$B$8), 'Final Building Profile'!K40, "")</f>
        <v/>
      </c>
      <c r="M1137" t="str">
        <f>IF(AND($B1137, Calculations!$B$8), 'Final Building Profile'!L40, "")</f>
        <v/>
      </c>
      <c r="N1137" t="str">
        <f>IF(AND($B1137, Calculations!$B$8),Calculations!AB745,"")</f>
        <v/>
      </c>
      <c r="O1137" t="str">
        <f>IF(AND($B1137, Calculations!$B$8),Calculations!AC745,"")</f>
        <v/>
      </c>
      <c r="P1137" s="314" t="str">
        <f>IF(AND($B1137, Calculations!$B$7), 'Final Building Profile'!P40, "")</f>
        <v/>
      </c>
      <c r="Q1137" s="204" t="str">
        <f>IF(AND($B1137, Calculations!$B$7), 'Final Building Profile'!Q40, "")</f>
        <v/>
      </c>
      <c r="R1137" t="str">
        <f>IF(AND($B1137, Calculations!$B$7), 'Final Building Profile'!N40-'Final Building Profile'!O40, "")</f>
        <v/>
      </c>
      <c r="S1137" t="str">
        <f>IF(AND($B1137, Calculations!$B$7),Calculations!AD745,"")</f>
        <v/>
      </c>
      <c r="T1137" t="str">
        <f>IF(AND($B1137, Calculations!$B$7),Calculations!AE745,"")</f>
        <v/>
      </c>
    </row>
    <row r="1138" spans="1:20">
      <c r="A1138" s="195" t="str">
        <f>IF(C1138="","",MAX(A$1099:A1137)+1)</f>
        <v/>
      </c>
      <c r="B1138" s="195" t="b">
        <f t="shared" si="18"/>
        <v>0</v>
      </c>
      <c r="C1138" t="str">
        <f>CONCATENATE('Final Building Profile'!B41)</f>
        <v/>
      </c>
      <c r="D1138" t="str">
        <f>CONCATENATE('Final Building Profile'!C41)</f>
        <v/>
      </c>
      <c r="E1138" t="str">
        <f>CONCATENATE('Final Building Profile'!F41)</f>
        <v/>
      </c>
      <c r="F1138" s="314" t="str">
        <f>IF(AND($B1138, Calculations!$B$9), 'Final Building Profile'!J41, "")</f>
        <v/>
      </c>
      <c r="G1138" s="250" t="str">
        <f>IF(AND($B1138, Calculations!$B$9), 'Final Building Profile'!K41, "")</f>
        <v/>
      </c>
      <c r="H1138" t="str">
        <f>IF(AND($B1138, Calculations!$B$9),'Final Building Profile'!M41,"")</f>
        <v/>
      </c>
      <c r="I1138" t="str">
        <f>IF(AND($B1138, Calculations!$B$9),Calculations!AB746,"")</f>
        <v/>
      </c>
      <c r="J1138" t="str">
        <f>IF(AND($B1138, Calculations!$B$9),Calculations!AC746,"")</f>
        <v/>
      </c>
      <c r="K1138" s="314" t="str">
        <f>IF(AND($B1138, Calculations!$B$8), 'Final Building Profile'!J41, "")</f>
        <v/>
      </c>
      <c r="L1138" s="250" t="str">
        <f>IF(AND($B1138, Calculations!$B$8), 'Final Building Profile'!K41, "")</f>
        <v/>
      </c>
      <c r="M1138" t="str">
        <f>IF(AND($B1138, Calculations!$B$8), 'Final Building Profile'!L41, "")</f>
        <v/>
      </c>
      <c r="N1138" t="str">
        <f>IF(AND($B1138, Calculations!$B$8),Calculations!AB746,"")</f>
        <v/>
      </c>
      <c r="O1138" t="str">
        <f>IF(AND($B1138, Calculations!$B$8),Calculations!AC746,"")</f>
        <v/>
      </c>
      <c r="P1138" s="314" t="str">
        <f>IF(AND($B1138, Calculations!$B$7), 'Final Building Profile'!P41, "")</f>
        <v/>
      </c>
      <c r="Q1138" s="204" t="str">
        <f>IF(AND($B1138, Calculations!$B$7), 'Final Building Profile'!Q41, "")</f>
        <v/>
      </c>
      <c r="R1138" t="str">
        <f>IF(AND($B1138, Calculations!$B$7), 'Final Building Profile'!N41-'Final Building Profile'!O41, "")</f>
        <v/>
      </c>
      <c r="S1138" t="str">
        <f>IF(AND($B1138, Calculations!$B$7),Calculations!AD746,"")</f>
        <v/>
      </c>
      <c r="T1138" t="str">
        <f>IF(AND($B1138, Calculations!$B$7),Calculations!AE746,"")</f>
        <v/>
      </c>
    </row>
    <row r="1139" spans="1:20">
      <c r="A1139" s="195" t="str">
        <f>IF(C1139="","",MAX(A$1099:A1138)+1)</f>
        <v/>
      </c>
      <c r="B1139" s="195" t="b">
        <f t="shared" si="18"/>
        <v>0</v>
      </c>
      <c r="C1139" t="str">
        <f>CONCATENATE('Final Building Profile'!B42)</f>
        <v/>
      </c>
      <c r="D1139" t="str">
        <f>CONCATENATE('Final Building Profile'!C42)</f>
        <v/>
      </c>
      <c r="E1139" t="str">
        <f>CONCATENATE('Final Building Profile'!F42)</f>
        <v/>
      </c>
      <c r="F1139" s="314" t="str">
        <f>IF(AND($B1139, Calculations!$B$9), 'Final Building Profile'!J42, "")</f>
        <v/>
      </c>
      <c r="G1139" s="250" t="str">
        <f>IF(AND($B1139, Calculations!$B$9), 'Final Building Profile'!K42, "")</f>
        <v/>
      </c>
      <c r="H1139" t="str">
        <f>IF(AND($B1139, Calculations!$B$9),'Final Building Profile'!M42,"")</f>
        <v/>
      </c>
      <c r="I1139" t="str">
        <f>IF(AND($B1139, Calculations!$B$9),Calculations!AB747,"")</f>
        <v/>
      </c>
      <c r="J1139" t="str">
        <f>IF(AND($B1139, Calculations!$B$9),Calculations!AC747,"")</f>
        <v/>
      </c>
      <c r="K1139" s="314" t="str">
        <f>IF(AND($B1139, Calculations!$B$8), 'Final Building Profile'!J42, "")</f>
        <v/>
      </c>
      <c r="L1139" s="250" t="str">
        <f>IF(AND($B1139, Calculations!$B$8), 'Final Building Profile'!K42, "")</f>
        <v/>
      </c>
      <c r="M1139" t="str">
        <f>IF(AND($B1139, Calculations!$B$8), 'Final Building Profile'!L42, "")</f>
        <v/>
      </c>
      <c r="N1139" t="str">
        <f>IF(AND($B1139, Calculations!$B$8),Calculations!AB747,"")</f>
        <v/>
      </c>
      <c r="O1139" t="str">
        <f>IF(AND($B1139, Calculations!$B$8),Calculations!AC747,"")</f>
        <v/>
      </c>
      <c r="P1139" s="314" t="str">
        <f>IF(AND($B1139, Calculations!$B$7), 'Final Building Profile'!P42, "")</f>
        <v/>
      </c>
      <c r="Q1139" s="204" t="str">
        <f>IF(AND($B1139, Calculations!$B$7), 'Final Building Profile'!Q42, "")</f>
        <v/>
      </c>
      <c r="R1139" t="str">
        <f>IF(AND($B1139, Calculations!$B$7), 'Final Building Profile'!N42-'Final Building Profile'!O42, "")</f>
        <v/>
      </c>
      <c r="S1139" t="str">
        <f>IF(AND($B1139, Calculations!$B$7),Calculations!AD747,"")</f>
        <v/>
      </c>
      <c r="T1139" t="str">
        <f>IF(AND($B1139, Calculations!$B$7),Calculations!AE747,"")</f>
        <v/>
      </c>
    </row>
    <row r="1140" spans="1:20">
      <c r="A1140" s="195" t="str">
        <f>IF(C1140="","",MAX(A$1099:A1139)+1)</f>
        <v/>
      </c>
      <c r="B1140" s="195" t="b">
        <f t="shared" si="18"/>
        <v>0</v>
      </c>
      <c r="C1140" t="str">
        <f>CONCATENATE('Final Building Profile'!B43)</f>
        <v/>
      </c>
      <c r="D1140" t="str">
        <f>CONCATENATE('Final Building Profile'!C43)</f>
        <v/>
      </c>
      <c r="E1140" t="str">
        <f>CONCATENATE('Final Building Profile'!F43)</f>
        <v/>
      </c>
      <c r="F1140" s="314" t="str">
        <f>IF(AND($B1140, Calculations!$B$9), 'Final Building Profile'!J43, "")</f>
        <v/>
      </c>
      <c r="G1140" s="250" t="str">
        <f>IF(AND($B1140, Calculations!$B$9), 'Final Building Profile'!K43, "")</f>
        <v/>
      </c>
      <c r="H1140" t="str">
        <f>IF(AND($B1140, Calculations!$B$9),'Final Building Profile'!M43,"")</f>
        <v/>
      </c>
      <c r="I1140" t="str">
        <f>IF(AND($B1140, Calculations!$B$9),Calculations!AB748,"")</f>
        <v/>
      </c>
      <c r="J1140" t="str">
        <f>IF(AND($B1140, Calculations!$B$9),Calculations!AC748,"")</f>
        <v/>
      </c>
      <c r="K1140" s="314" t="str">
        <f>IF(AND($B1140, Calculations!$B$8), 'Final Building Profile'!J43, "")</f>
        <v/>
      </c>
      <c r="L1140" s="250" t="str">
        <f>IF(AND($B1140, Calculations!$B$8), 'Final Building Profile'!K43, "")</f>
        <v/>
      </c>
      <c r="M1140" t="str">
        <f>IF(AND($B1140, Calculations!$B$8), 'Final Building Profile'!L43, "")</f>
        <v/>
      </c>
      <c r="N1140" t="str">
        <f>IF(AND($B1140, Calculations!$B$8),Calculations!AB748,"")</f>
        <v/>
      </c>
      <c r="O1140" t="str">
        <f>IF(AND($B1140, Calculations!$B$8),Calculations!AC748,"")</f>
        <v/>
      </c>
      <c r="P1140" s="314" t="str">
        <f>IF(AND($B1140, Calculations!$B$7), 'Final Building Profile'!P43, "")</f>
        <v/>
      </c>
      <c r="Q1140" s="204" t="str">
        <f>IF(AND($B1140, Calculations!$B$7), 'Final Building Profile'!Q43, "")</f>
        <v/>
      </c>
      <c r="R1140" t="str">
        <f>IF(AND($B1140, Calculations!$B$7), 'Final Building Profile'!N43-'Final Building Profile'!O43, "")</f>
        <v/>
      </c>
      <c r="S1140" t="str">
        <f>IF(AND($B1140, Calculations!$B$7),Calculations!AD748,"")</f>
        <v/>
      </c>
      <c r="T1140" t="str">
        <f>IF(AND($B1140, Calculations!$B$7),Calculations!AE748,"")</f>
        <v/>
      </c>
    </row>
    <row r="1141" spans="1:20">
      <c r="A1141" s="195" t="str">
        <f>IF(C1141="","",MAX(A$1099:A1140)+1)</f>
        <v/>
      </c>
      <c r="B1141" s="195" t="b">
        <f t="shared" si="18"/>
        <v>0</v>
      </c>
      <c r="C1141" t="str">
        <f>CONCATENATE('Final Building Profile'!B44)</f>
        <v/>
      </c>
      <c r="D1141" t="str">
        <f>CONCATENATE('Final Building Profile'!C44)</f>
        <v/>
      </c>
      <c r="E1141" t="str">
        <f>CONCATENATE('Final Building Profile'!F44)</f>
        <v/>
      </c>
      <c r="F1141" s="314" t="str">
        <f>IF(AND($B1141, Calculations!$B$9), 'Final Building Profile'!J44, "")</f>
        <v/>
      </c>
      <c r="G1141" s="250" t="str">
        <f>IF(AND($B1141, Calculations!$B$9), 'Final Building Profile'!K44, "")</f>
        <v/>
      </c>
      <c r="H1141" t="str">
        <f>IF(AND($B1141, Calculations!$B$9),'Final Building Profile'!M44,"")</f>
        <v/>
      </c>
      <c r="I1141" t="str">
        <f>IF(AND($B1141, Calculations!$B$9),Calculations!AB749,"")</f>
        <v/>
      </c>
      <c r="J1141" t="str">
        <f>IF(AND($B1141, Calculations!$B$9),Calculations!AC749,"")</f>
        <v/>
      </c>
      <c r="K1141" s="314" t="str">
        <f>IF(AND($B1141, Calculations!$B$8), 'Final Building Profile'!J44, "")</f>
        <v/>
      </c>
      <c r="L1141" s="250" t="str">
        <f>IF(AND($B1141, Calculations!$B$8), 'Final Building Profile'!K44, "")</f>
        <v/>
      </c>
      <c r="M1141" t="str">
        <f>IF(AND($B1141, Calculations!$B$8), 'Final Building Profile'!L44, "")</f>
        <v/>
      </c>
      <c r="N1141" t="str">
        <f>IF(AND($B1141, Calculations!$B$8),Calculations!AB749,"")</f>
        <v/>
      </c>
      <c r="O1141" t="str">
        <f>IF(AND($B1141, Calculations!$B$8),Calculations!AC749,"")</f>
        <v/>
      </c>
      <c r="P1141" s="314" t="str">
        <f>IF(AND($B1141, Calculations!$B$7), 'Final Building Profile'!P44, "")</f>
        <v/>
      </c>
      <c r="Q1141" s="204" t="str">
        <f>IF(AND($B1141, Calculations!$B$7), 'Final Building Profile'!Q44, "")</f>
        <v/>
      </c>
      <c r="R1141" t="str">
        <f>IF(AND($B1141, Calculations!$B$7), 'Final Building Profile'!N44-'Final Building Profile'!O44, "")</f>
        <v/>
      </c>
      <c r="S1141" t="str">
        <f>IF(AND($B1141, Calculations!$B$7),Calculations!AD749,"")</f>
        <v/>
      </c>
      <c r="T1141" t="str">
        <f>IF(AND($B1141, Calculations!$B$7),Calculations!AE749,"")</f>
        <v/>
      </c>
    </row>
    <row r="1142" spans="1:20">
      <c r="A1142" s="195" t="str">
        <f>IF(C1142="","",MAX(A$1099:A1141)+1)</f>
        <v/>
      </c>
      <c r="B1142" s="195" t="b">
        <f t="shared" si="18"/>
        <v>0</v>
      </c>
      <c r="C1142" t="str">
        <f>CONCATENATE('Final Building Profile'!B45)</f>
        <v/>
      </c>
      <c r="D1142" t="str">
        <f>CONCATENATE('Final Building Profile'!C45)</f>
        <v/>
      </c>
      <c r="E1142" t="str">
        <f>CONCATENATE('Final Building Profile'!F45)</f>
        <v/>
      </c>
      <c r="F1142" s="314" t="str">
        <f>IF(AND($B1142, Calculations!$B$9), 'Final Building Profile'!J45, "")</f>
        <v/>
      </c>
      <c r="G1142" s="250" t="str">
        <f>IF(AND($B1142, Calculations!$B$9), 'Final Building Profile'!K45, "")</f>
        <v/>
      </c>
      <c r="H1142" t="str">
        <f>IF(AND($B1142, Calculations!$B$9),'Final Building Profile'!M45,"")</f>
        <v/>
      </c>
      <c r="I1142" t="str">
        <f>IF(AND($B1142, Calculations!$B$9),Calculations!AB750,"")</f>
        <v/>
      </c>
      <c r="J1142" t="str">
        <f>IF(AND($B1142, Calculations!$B$9),Calculations!AC750,"")</f>
        <v/>
      </c>
      <c r="K1142" s="314" t="str">
        <f>IF(AND($B1142, Calculations!$B$8), 'Final Building Profile'!J45, "")</f>
        <v/>
      </c>
      <c r="L1142" s="250" t="str">
        <f>IF(AND($B1142, Calculations!$B$8), 'Final Building Profile'!K45, "")</f>
        <v/>
      </c>
      <c r="M1142" t="str">
        <f>IF(AND($B1142, Calculations!$B$8), 'Final Building Profile'!L45, "")</f>
        <v/>
      </c>
      <c r="N1142" t="str">
        <f>IF(AND($B1142, Calculations!$B$8),Calculations!AB750,"")</f>
        <v/>
      </c>
      <c r="O1142" t="str">
        <f>IF(AND($B1142, Calculations!$B$8),Calculations!AC750,"")</f>
        <v/>
      </c>
      <c r="P1142" s="314" t="str">
        <f>IF(AND($B1142, Calculations!$B$7), 'Final Building Profile'!P45, "")</f>
        <v/>
      </c>
      <c r="Q1142" s="204" t="str">
        <f>IF(AND($B1142, Calculations!$B$7), 'Final Building Profile'!Q45, "")</f>
        <v/>
      </c>
      <c r="R1142" t="str">
        <f>IF(AND($B1142, Calculations!$B$7), 'Final Building Profile'!N45-'Final Building Profile'!O45, "")</f>
        <v/>
      </c>
      <c r="S1142" t="str">
        <f>IF(AND($B1142, Calculations!$B$7),Calculations!AD750,"")</f>
        <v/>
      </c>
      <c r="T1142" t="str">
        <f>IF(AND($B1142, Calculations!$B$7),Calculations!AE750,"")</f>
        <v/>
      </c>
    </row>
    <row r="1143" spans="1:20">
      <c r="A1143" s="195" t="str">
        <f>IF(C1143="","",MAX(A$1099:A1142)+1)</f>
        <v/>
      </c>
      <c r="B1143" s="195" t="b">
        <f t="shared" si="18"/>
        <v>0</v>
      </c>
      <c r="C1143" t="str">
        <f>CONCATENATE('Final Building Profile'!B46)</f>
        <v/>
      </c>
      <c r="D1143" t="str">
        <f>CONCATENATE('Final Building Profile'!C46)</f>
        <v/>
      </c>
      <c r="E1143" t="str">
        <f>CONCATENATE('Final Building Profile'!F46)</f>
        <v/>
      </c>
      <c r="F1143" s="314" t="str">
        <f>IF(AND($B1143, Calculations!$B$9), 'Final Building Profile'!J46, "")</f>
        <v/>
      </c>
      <c r="G1143" s="250" t="str">
        <f>IF(AND($B1143, Calculations!$B$9), 'Final Building Profile'!K46, "")</f>
        <v/>
      </c>
      <c r="H1143" t="str">
        <f>IF(AND($B1143, Calculations!$B$9),'Final Building Profile'!M46,"")</f>
        <v/>
      </c>
      <c r="I1143" t="str">
        <f>IF(AND($B1143, Calculations!$B$9),Calculations!AB751,"")</f>
        <v/>
      </c>
      <c r="J1143" t="str">
        <f>IF(AND($B1143, Calculations!$B$9),Calculations!AC751,"")</f>
        <v/>
      </c>
      <c r="K1143" s="314" t="str">
        <f>IF(AND($B1143, Calculations!$B$8), 'Final Building Profile'!J46, "")</f>
        <v/>
      </c>
      <c r="L1143" s="250" t="str">
        <f>IF(AND($B1143, Calculations!$B$8), 'Final Building Profile'!K46, "")</f>
        <v/>
      </c>
      <c r="M1143" t="str">
        <f>IF(AND($B1143, Calculations!$B$8), 'Final Building Profile'!L46, "")</f>
        <v/>
      </c>
      <c r="N1143" t="str">
        <f>IF(AND($B1143, Calculations!$B$8),Calculations!AB751,"")</f>
        <v/>
      </c>
      <c r="O1143" t="str">
        <f>IF(AND($B1143, Calculations!$B$8),Calculations!AC751,"")</f>
        <v/>
      </c>
      <c r="P1143" s="314" t="str">
        <f>IF(AND($B1143, Calculations!$B$7), 'Final Building Profile'!P46, "")</f>
        <v/>
      </c>
      <c r="Q1143" s="204" t="str">
        <f>IF(AND($B1143, Calculations!$B$7), 'Final Building Profile'!Q46, "")</f>
        <v/>
      </c>
      <c r="R1143" t="str">
        <f>IF(AND($B1143, Calculations!$B$7), 'Final Building Profile'!N46-'Final Building Profile'!O46, "")</f>
        <v/>
      </c>
      <c r="S1143" t="str">
        <f>IF(AND($B1143, Calculations!$B$7),Calculations!AD751,"")</f>
        <v/>
      </c>
      <c r="T1143" t="str">
        <f>IF(AND($B1143, Calculations!$B$7),Calculations!AE751,"")</f>
        <v/>
      </c>
    </row>
    <row r="1144" spans="1:20">
      <c r="A1144" s="195" t="str">
        <f>IF(C1144="","",MAX(A$1099:A1143)+1)</f>
        <v/>
      </c>
      <c r="B1144" s="195" t="b">
        <f t="shared" si="18"/>
        <v>0</v>
      </c>
      <c r="C1144" t="str">
        <f>CONCATENATE('Final Building Profile'!B47)</f>
        <v/>
      </c>
      <c r="D1144" t="str">
        <f>CONCATENATE('Final Building Profile'!C47)</f>
        <v/>
      </c>
      <c r="E1144" t="str">
        <f>CONCATENATE('Final Building Profile'!F47)</f>
        <v/>
      </c>
      <c r="F1144" s="314" t="str">
        <f>IF(AND($B1144, Calculations!$B$9), 'Final Building Profile'!J47, "")</f>
        <v/>
      </c>
      <c r="G1144" s="250" t="str">
        <f>IF(AND($B1144, Calculations!$B$9), 'Final Building Profile'!K47, "")</f>
        <v/>
      </c>
      <c r="H1144" t="str">
        <f>IF(AND($B1144, Calculations!$B$9),'Final Building Profile'!M47,"")</f>
        <v/>
      </c>
      <c r="I1144" t="str">
        <f>IF(AND($B1144, Calculations!$B$9),Calculations!AB752,"")</f>
        <v/>
      </c>
      <c r="J1144" t="str">
        <f>IF(AND($B1144, Calculations!$B$9),Calculations!AC752,"")</f>
        <v/>
      </c>
      <c r="K1144" s="314" t="str">
        <f>IF(AND($B1144, Calculations!$B$8), 'Final Building Profile'!J47, "")</f>
        <v/>
      </c>
      <c r="L1144" s="250" t="str">
        <f>IF(AND($B1144, Calculations!$B$8), 'Final Building Profile'!K47, "")</f>
        <v/>
      </c>
      <c r="M1144" t="str">
        <f>IF(AND($B1144, Calculations!$B$8), 'Final Building Profile'!L47, "")</f>
        <v/>
      </c>
      <c r="N1144" t="str">
        <f>IF(AND($B1144, Calculations!$B$8),Calculations!AB752,"")</f>
        <v/>
      </c>
      <c r="O1144" t="str">
        <f>IF(AND($B1144, Calculations!$B$8),Calculations!AC752,"")</f>
        <v/>
      </c>
      <c r="P1144" s="314" t="str">
        <f>IF(AND($B1144, Calculations!$B$7), 'Final Building Profile'!P47, "")</f>
        <v/>
      </c>
      <c r="Q1144" s="204" t="str">
        <f>IF(AND($B1144, Calculations!$B$7), 'Final Building Profile'!Q47, "")</f>
        <v/>
      </c>
      <c r="R1144" t="str">
        <f>IF(AND($B1144, Calculations!$B$7), 'Final Building Profile'!N47-'Final Building Profile'!O47, "")</f>
        <v/>
      </c>
      <c r="S1144" t="str">
        <f>IF(AND($B1144, Calculations!$B$7),Calculations!AD752,"")</f>
        <v/>
      </c>
      <c r="T1144" t="str">
        <f>IF(AND($B1144, Calculations!$B$7),Calculations!AE752,"")</f>
        <v/>
      </c>
    </row>
    <row r="1145" spans="1:20">
      <c r="A1145" s="195" t="str">
        <f>IF(C1145="","",MAX(A$1099:A1144)+1)</f>
        <v/>
      </c>
      <c r="B1145" s="195" t="b">
        <f t="shared" si="18"/>
        <v>0</v>
      </c>
      <c r="C1145" t="str">
        <f>CONCATENATE('Final Building Profile'!B48)</f>
        <v/>
      </c>
      <c r="D1145" t="str">
        <f>CONCATENATE('Final Building Profile'!C48)</f>
        <v/>
      </c>
      <c r="E1145" t="str">
        <f>CONCATENATE('Final Building Profile'!F48)</f>
        <v/>
      </c>
      <c r="F1145" s="314" t="str">
        <f>IF(AND($B1145, Calculations!$B$9), 'Final Building Profile'!J48, "")</f>
        <v/>
      </c>
      <c r="G1145" s="250" t="str">
        <f>IF(AND($B1145, Calculations!$B$9), 'Final Building Profile'!K48, "")</f>
        <v/>
      </c>
      <c r="H1145" t="str">
        <f>IF(AND($B1145, Calculations!$B$9),'Final Building Profile'!M48,"")</f>
        <v/>
      </c>
      <c r="I1145" t="str">
        <f>IF(AND($B1145, Calculations!$B$9),Calculations!AB753,"")</f>
        <v/>
      </c>
      <c r="J1145" t="str">
        <f>IF(AND($B1145, Calculations!$B$9),Calculations!AC753,"")</f>
        <v/>
      </c>
      <c r="K1145" s="314" t="str">
        <f>IF(AND($B1145, Calculations!$B$8), 'Final Building Profile'!J48, "")</f>
        <v/>
      </c>
      <c r="L1145" s="250" t="str">
        <f>IF(AND($B1145, Calculations!$B$8), 'Final Building Profile'!K48, "")</f>
        <v/>
      </c>
      <c r="M1145" t="str">
        <f>IF(AND($B1145, Calculations!$B$8), 'Final Building Profile'!L48, "")</f>
        <v/>
      </c>
      <c r="N1145" t="str">
        <f>IF(AND($B1145, Calculations!$B$8),Calculations!AB753,"")</f>
        <v/>
      </c>
      <c r="O1145" t="str">
        <f>IF(AND($B1145, Calculations!$B$8),Calculations!AC753,"")</f>
        <v/>
      </c>
      <c r="P1145" s="314" t="str">
        <f>IF(AND($B1145, Calculations!$B$7), 'Final Building Profile'!P48, "")</f>
        <v/>
      </c>
      <c r="Q1145" s="204" t="str">
        <f>IF(AND($B1145, Calculations!$B$7), 'Final Building Profile'!Q48, "")</f>
        <v/>
      </c>
      <c r="R1145" t="str">
        <f>IF(AND($B1145, Calculations!$B$7), 'Final Building Profile'!N48-'Final Building Profile'!O48, "")</f>
        <v/>
      </c>
      <c r="S1145" t="str">
        <f>IF(AND($B1145, Calculations!$B$7),Calculations!AD753,"")</f>
        <v/>
      </c>
      <c r="T1145" t="str">
        <f>IF(AND($B1145, Calculations!$B$7),Calculations!AE753,"")</f>
        <v/>
      </c>
    </row>
    <row r="1146" spans="1:20">
      <c r="A1146" s="195" t="str">
        <f>IF(C1146="","",MAX(A$1099:A1145)+1)</f>
        <v/>
      </c>
      <c r="B1146" s="195" t="b">
        <f t="shared" si="18"/>
        <v>0</v>
      </c>
      <c r="C1146" t="str">
        <f>CONCATENATE('Final Building Profile'!B49)</f>
        <v/>
      </c>
      <c r="D1146" t="str">
        <f>CONCATENATE('Final Building Profile'!C49)</f>
        <v/>
      </c>
      <c r="E1146" t="str">
        <f>CONCATENATE('Final Building Profile'!F49)</f>
        <v/>
      </c>
      <c r="F1146" s="314" t="str">
        <f>IF(AND($B1146, Calculations!$B$9), 'Final Building Profile'!J49, "")</f>
        <v/>
      </c>
      <c r="G1146" s="250" t="str">
        <f>IF(AND($B1146, Calculations!$B$9), 'Final Building Profile'!K49, "")</f>
        <v/>
      </c>
      <c r="H1146" t="str">
        <f>IF(AND($B1146, Calculations!$B$9),'Final Building Profile'!M49,"")</f>
        <v/>
      </c>
      <c r="I1146" t="str">
        <f>IF(AND($B1146, Calculations!$B$9),Calculations!AB754,"")</f>
        <v/>
      </c>
      <c r="J1146" t="str">
        <f>IF(AND($B1146, Calculations!$B$9),Calculations!AC754,"")</f>
        <v/>
      </c>
      <c r="K1146" s="314" t="str">
        <f>IF(AND($B1146, Calculations!$B$8), 'Final Building Profile'!J49, "")</f>
        <v/>
      </c>
      <c r="L1146" s="250" t="str">
        <f>IF(AND($B1146, Calculations!$B$8), 'Final Building Profile'!K49, "")</f>
        <v/>
      </c>
      <c r="M1146" t="str">
        <f>IF(AND($B1146, Calculations!$B$8), 'Final Building Profile'!L49, "")</f>
        <v/>
      </c>
      <c r="N1146" t="str">
        <f>IF(AND($B1146, Calculations!$B$8),Calculations!AB754,"")</f>
        <v/>
      </c>
      <c r="O1146" t="str">
        <f>IF(AND($B1146, Calculations!$B$8),Calculations!AC754,"")</f>
        <v/>
      </c>
      <c r="P1146" s="314" t="str">
        <f>IF(AND($B1146, Calculations!$B$7), 'Final Building Profile'!P49, "")</f>
        <v/>
      </c>
      <c r="Q1146" s="204" t="str">
        <f>IF(AND($B1146, Calculations!$B$7), 'Final Building Profile'!Q49, "")</f>
        <v/>
      </c>
      <c r="R1146" t="str">
        <f>IF(AND($B1146, Calculations!$B$7), 'Final Building Profile'!N49-'Final Building Profile'!O49, "")</f>
        <v/>
      </c>
      <c r="S1146" t="str">
        <f>IF(AND($B1146, Calculations!$B$7),Calculations!AD754,"")</f>
        <v/>
      </c>
      <c r="T1146" t="str">
        <f>IF(AND($B1146, Calculations!$B$7),Calculations!AE754,"")</f>
        <v/>
      </c>
    </row>
    <row r="1147" spans="1:20">
      <c r="A1147" s="195" t="str">
        <f>IF(C1147="","",MAX(A$1099:A1146)+1)</f>
        <v/>
      </c>
      <c r="B1147" s="195" t="b">
        <f t="shared" si="18"/>
        <v>0</v>
      </c>
      <c r="C1147" t="str">
        <f>CONCATENATE('Final Building Profile'!B50)</f>
        <v/>
      </c>
      <c r="D1147" t="str">
        <f>CONCATENATE('Final Building Profile'!C50)</f>
        <v/>
      </c>
      <c r="E1147" t="str">
        <f>CONCATENATE('Final Building Profile'!F50)</f>
        <v/>
      </c>
      <c r="F1147" s="314" t="str">
        <f>IF(AND($B1147, Calculations!$B$9), 'Final Building Profile'!J50, "")</f>
        <v/>
      </c>
      <c r="G1147" s="250" t="str">
        <f>IF(AND($B1147, Calculations!$B$9), 'Final Building Profile'!K50, "")</f>
        <v/>
      </c>
      <c r="H1147" t="str">
        <f>IF(AND($B1147, Calculations!$B$9),'Final Building Profile'!M50,"")</f>
        <v/>
      </c>
      <c r="I1147" t="str">
        <f>IF(AND($B1147, Calculations!$B$9),Calculations!AB755,"")</f>
        <v/>
      </c>
      <c r="J1147" t="str">
        <f>IF(AND($B1147, Calculations!$B$9),Calculations!AC755,"")</f>
        <v/>
      </c>
      <c r="K1147" s="314" t="str">
        <f>IF(AND($B1147, Calculations!$B$8), 'Final Building Profile'!J50, "")</f>
        <v/>
      </c>
      <c r="L1147" s="250" t="str">
        <f>IF(AND($B1147, Calculations!$B$8), 'Final Building Profile'!K50, "")</f>
        <v/>
      </c>
      <c r="M1147" t="str">
        <f>IF(AND($B1147, Calculations!$B$8), 'Final Building Profile'!L50, "")</f>
        <v/>
      </c>
      <c r="N1147" t="str">
        <f>IF(AND($B1147, Calculations!$B$8),Calculations!AB755,"")</f>
        <v/>
      </c>
      <c r="O1147" t="str">
        <f>IF(AND($B1147, Calculations!$B$8),Calculations!AC755,"")</f>
        <v/>
      </c>
      <c r="P1147" s="314" t="str">
        <f>IF(AND($B1147, Calculations!$B$7), 'Final Building Profile'!P50, "")</f>
        <v/>
      </c>
      <c r="Q1147" s="204" t="str">
        <f>IF(AND($B1147, Calculations!$B$7), 'Final Building Profile'!Q50, "")</f>
        <v/>
      </c>
      <c r="R1147" t="str">
        <f>IF(AND($B1147, Calculations!$B$7), 'Final Building Profile'!N50-'Final Building Profile'!O50, "")</f>
        <v/>
      </c>
      <c r="S1147" t="str">
        <f>IF(AND($B1147, Calculations!$B$7),Calculations!AD755,"")</f>
        <v/>
      </c>
      <c r="T1147" t="str">
        <f>IF(AND($B1147, Calculations!$B$7),Calculations!AE755,"")</f>
        <v/>
      </c>
    </row>
    <row r="1148" spans="1:20">
      <c r="A1148" s="195" t="str">
        <f>IF(C1148="","",MAX(A$1099:A1147)+1)</f>
        <v/>
      </c>
      <c r="B1148" s="195" t="b">
        <f t="shared" si="18"/>
        <v>0</v>
      </c>
      <c r="C1148" t="str">
        <f>CONCATENATE('Final Building Profile'!B51)</f>
        <v/>
      </c>
      <c r="D1148" t="str">
        <f>CONCATENATE('Final Building Profile'!C51)</f>
        <v/>
      </c>
      <c r="E1148" t="str">
        <f>CONCATENATE('Final Building Profile'!F51)</f>
        <v/>
      </c>
      <c r="F1148" s="314" t="str">
        <f>IF(AND($B1148, Calculations!$B$9), 'Final Building Profile'!J51, "")</f>
        <v/>
      </c>
      <c r="G1148" s="250" t="str">
        <f>IF(AND($B1148, Calculations!$B$9), 'Final Building Profile'!K51, "")</f>
        <v/>
      </c>
      <c r="H1148" t="str">
        <f>IF(AND($B1148, Calculations!$B$9),'Final Building Profile'!M51,"")</f>
        <v/>
      </c>
      <c r="I1148" t="str">
        <f>IF(AND($B1148, Calculations!$B$9),Calculations!AB756,"")</f>
        <v/>
      </c>
      <c r="J1148" t="str">
        <f>IF(AND($B1148, Calculations!$B$9),Calculations!AC756,"")</f>
        <v/>
      </c>
      <c r="K1148" s="314" t="str">
        <f>IF(AND($B1148, Calculations!$B$8), 'Final Building Profile'!J51, "")</f>
        <v/>
      </c>
      <c r="L1148" s="250" t="str">
        <f>IF(AND($B1148, Calculations!$B$8), 'Final Building Profile'!K51, "")</f>
        <v/>
      </c>
      <c r="M1148" t="str">
        <f>IF(AND($B1148, Calculations!$B$8), 'Final Building Profile'!L51, "")</f>
        <v/>
      </c>
      <c r="N1148" t="str">
        <f>IF(AND($B1148, Calculations!$B$8),Calculations!AB756,"")</f>
        <v/>
      </c>
      <c r="O1148" t="str">
        <f>IF(AND($B1148, Calculations!$B$8),Calculations!AC756,"")</f>
        <v/>
      </c>
      <c r="P1148" s="314" t="str">
        <f>IF(AND($B1148, Calculations!$B$7), 'Final Building Profile'!P51, "")</f>
        <v/>
      </c>
      <c r="Q1148" s="204" t="str">
        <f>IF(AND($B1148, Calculations!$B$7), 'Final Building Profile'!Q51, "")</f>
        <v/>
      </c>
      <c r="R1148" t="str">
        <f>IF(AND($B1148, Calculations!$B$7), 'Final Building Profile'!N51-'Final Building Profile'!O51, "")</f>
        <v/>
      </c>
      <c r="S1148" t="str">
        <f>IF(AND($B1148, Calculations!$B$7),Calculations!AD756,"")</f>
        <v/>
      </c>
      <c r="T1148" t="str">
        <f>IF(AND($B1148, Calculations!$B$7),Calculations!AE756,"")</f>
        <v/>
      </c>
    </row>
    <row r="1149" spans="1:20">
      <c r="A1149" s="195" t="str">
        <f>IF(C1149="","",MAX(A$1099:A1148)+1)</f>
        <v/>
      </c>
      <c r="B1149" s="195" t="b">
        <f t="shared" si="18"/>
        <v>0</v>
      </c>
      <c r="C1149" t="str">
        <f>CONCATENATE('Final Building Profile'!B52)</f>
        <v/>
      </c>
      <c r="D1149" t="str">
        <f>CONCATENATE('Final Building Profile'!C52)</f>
        <v/>
      </c>
      <c r="E1149" t="str">
        <f>CONCATENATE('Final Building Profile'!F52)</f>
        <v/>
      </c>
      <c r="F1149" s="314" t="str">
        <f>IF(AND($B1149, Calculations!$B$9), 'Final Building Profile'!J52, "")</f>
        <v/>
      </c>
      <c r="G1149" s="250" t="str">
        <f>IF(AND($B1149, Calculations!$B$9), 'Final Building Profile'!K52, "")</f>
        <v/>
      </c>
      <c r="H1149" t="str">
        <f>IF(AND($B1149, Calculations!$B$9),'Final Building Profile'!M52,"")</f>
        <v/>
      </c>
      <c r="I1149" t="str">
        <f>IF(AND($B1149, Calculations!$B$9),Calculations!AB757,"")</f>
        <v/>
      </c>
      <c r="J1149" t="str">
        <f>IF(AND($B1149, Calculations!$B$9),Calculations!AC757,"")</f>
        <v/>
      </c>
      <c r="K1149" s="314" t="str">
        <f>IF(AND($B1149, Calculations!$B$8), 'Final Building Profile'!J52, "")</f>
        <v/>
      </c>
      <c r="L1149" s="250" t="str">
        <f>IF(AND($B1149, Calculations!$B$8), 'Final Building Profile'!K52, "")</f>
        <v/>
      </c>
      <c r="M1149" t="str">
        <f>IF(AND($B1149, Calculations!$B$8), 'Final Building Profile'!L52, "")</f>
        <v/>
      </c>
      <c r="N1149" t="str">
        <f>IF(AND($B1149, Calculations!$B$8),Calculations!AB757,"")</f>
        <v/>
      </c>
      <c r="O1149" t="str">
        <f>IF(AND($B1149, Calculations!$B$8),Calculations!AC757,"")</f>
        <v/>
      </c>
      <c r="P1149" s="314" t="str">
        <f>IF(AND($B1149, Calculations!$B$7), 'Final Building Profile'!P52, "")</f>
        <v/>
      </c>
      <c r="Q1149" s="204" t="str">
        <f>IF(AND($B1149, Calculations!$B$7), 'Final Building Profile'!Q52, "")</f>
        <v/>
      </c>
      <c r="R1149" t="str">
        <f>IF(AND($B1149, Calculations!$B$7), 'Final Building Profile'!N52-'Final Building Profile'!O52, "")</f>
        <v/>
      </c>
      <c r="S1149" t="str">
        <f>IF(AND($B1149, Calculations!$B$7),Calculations!AD757,"")</f>
        <v/>
      </c>
      <c r="T1149" t="str">
        <f>IF(AND($B1149, Calculations!$B$7),Calculations!AE757,"")</f>
        <v/>
      </c>
    </row>
    <row r="1150" spans="1:20">
      <c r="A1150" s="195" t="str">
        <f>IF(C1150="","",MAX(A$1099:A1149)+1)</f>
        <v/>
      </c>
      <c r="B1150" s="195" t="b">
        <f t="shared" si="18"/>
        <v>0</v>
      </c>
      <c r="C1150" t="str">
        <f>CONCATENATE('Final Building Profile'!B53)</f>
        <v/>
      </c>
      <c r="D1150" t="str">
        <f>CONCATENATE('Final Building Profile'!C53)</f>
        <v/>
      </c>
      <c r="E1150" t="str">
        <f>CONCATENATE('Final Building Profile'!F53)</f>
        <v/>
      </c>
      <c r="F1150" s="314" t="str">
        <f>IF(AND($B1150, Calculations!$B$9), 'Final Building Profile'!J53, "")</f>
        <v/>
      </c>
      <c r="G1150" s="250" t="str">
        <f>IF(AND($B1150, Calculations!$B$9), 'Final Building Profile'!K53, "")</f>
        <v/>
      </c>
      <c r="H1150" t="str">
        <f>IF(AND($B1150, Calculations!$B$9),'Final Building Profile'!M53,"")</f>
        <v/>
      </c>
      <c r="I1150" t="str">
        <f>IF(AND($B1150, Calculations!$B$9),Calculations!AB758,"")</f>
        <v/>
      </c>
      <c r="J1150" t="str">
        <f>IF(AND($B1150, Calculations!$B$9),Calculations!AC758,"")</f>
        <v/>
      </c>
      <c r="K1150" s="314" t="str">
        <f>IF(AND($B1150, Calculations!$B$8), 'Final Building Profile'!J53, "")</f>
        <v/>
      </c>
      <c r="L1150" s="250" t="str">
        <f>IF(AND($B1150, Calculations!$B$8), 'Final Building Profile'!K53, "")</f>
        <v/>
      </c>
      <c r="M1150" t="str">
        <f>IF(AND($B1150, Calculations!$B$8), 'Final Building Profile'!L53, "")</f>
        <v/>
      </c>
      <c r="N1150" t="str">
        <f>IF(AND($B1150, Calculations!$B$8),Calculations!AB758,"")</f>
        <v/>
      </c>
      <c r="O1150" t="str">
        <f>IF(AND($B1150, Calculations!$B$8),Calculations!AC758,"")</f>
        <v/>
      </c>
      <c r="P1150" s="314" t="str">
        <f>IF(AND($B1150, Calculations!$B$7), 'Final Building Profile'!P53, "")</f>
        <v/>
      </c>
      <c r="Q1150" s="204" t="str">
        <f>IF(AND($B1150, Calculations!$B$7), 'Final Building Profile'!Q53, "")</f>
        <v/>
      </c>
      <c r="R1150" t="str">
        <f>IF(AND($B1150, Calculations!$B$7), 'Final Building Profile'!N53-'Final Building Profile'!O53, "")</f>
        <v/>
      </c>
      <c r="S1150" t="str">
        <f>IF(AND($B1150, Calculations!$B$7),Calculations!AD758,"")</f>
        <v/>
      </c>
      <c r="T1150" t="str">
        <f>IF(AND($B1150, Calculations!$B$7),Calculations!AE758,"")</f>
        <v/>
      </c>
    </row>
    <row r="1151" spans="1:20">
      <c r="A1151" s="195" t="str">
        <f>IF(C1151="","",MAX(A$1099:A1150)+1)</f>
        <v/>
      </c>
      <c r="B1151" s="195" t="b">
        <f t="shared" si="18"/>
        <v>0</v>
      </c>
      <c r="C1151" t="str">
        <f>CONCATENATE('Final Building Profile'!B54)</f>
        <v/>
      </c>
      <c r="D1151" t="str">
        <f>CONCATENATE('Final Building Profile'!C54)</f>
        <v/>
      </c>
      <c r="E1151" t="str">
        <f>CONCATENATE('Final Building Profile'!F54)</f>
        <v/>
      </c>
      <c r="F1151" s="314" t="str">
        <f>IF(AND($B1151, Calculations!$B$9), 'Final Building Profile'!J54, "")</f>
        <v/>
      </c>
      <c r="G1151" s="250" t="str">
        <f>IF(AND($B1151, Calculations!$B$9), 'Final Building Profile'!K54, "")</f>
        <v/>
      </c>
      <c r="H1151" t="str">
        <f>IF(AND($B1151, Calculations!$B$9),'Final Building Profile'!M54,"")</f>
        <v/>
      </c>
      <c r="I1151" t="str">
        <f>IF(AND($B1151, Calculations!$B$9),Calculations!AB759,"")</f>
        <v/>
      </c>
      <c r="J1151" t="str">
        <f>IF(AND($B1151, Calculations!$B$9),Calculations!AC759,"")</f>
        <v/>
      </c>
      <c r="K1151" s="314" t="str">
        <f>IF(AND($B1151, Calculations!$B$8), 'Final Building Profile'!J54, "")</f>
        <v/>
      </c>
      <c r="L1151" s="250" t="str">
        <f>IF(AND($B1151, Calculations!$B$8), 'Final Building Profile'!K54, "")</f>
        <v/>
      </c>
      <c r="M1151" t="str">
        <f>IF(AND($B1151, Calculations!$B$8), 'Final Building Profile'!L54, "")</f>
        <v/>
      </c>
      <c r="N1151" t="str">
        <f>IF(AND($B1151, Calculations!$B$8),Calculations!AB759,"")</f>
        <v/>
      </c>
      <c r="O1151" t="str">
        <f>IF(AND($B1151, Calculations!$B$8),Calculations!AC759,"")</f>
        <v/>
      </c>
      <c r="P1151" s="314" t="str">
        <f>IF(AND($B1151, Calculations!$B$7), 'Final Building Profile'!P54, "")</f>
        <v/>
      </c>
      <c r="Q1151" s="204" t="str">
        <f>IF(AND($B1151, Calculations!$B$7), 'Final Building Profile'!Q54, "")</f>
        <v/>
      </c>
      <c r="R1151" t="str">
        <f>IF(AND($B1151, Calculations!$B$7), 'Final Building Profile'!N54-'Final Building Profile'!O54, "")</f>
        <v/>
      </c>
      <c r="S1151" t="str">
        <f>IF(AND($B1151, Calculations!$B$7),Calculations!AD759,"")</f>
        <v/>
      </c>
      <c r="T1151" t="str">
        <f>IF(AND($B1151, Calculations!$B$7),Calculations!AE759,"")</f>
        <v/>
      </c>
    </row>
    <row r="1152" spans="1:20">
      <c r="A1152" s="195" t="str">
        <f>IF(C1152="","",MAX(A$1099:A1151)+1)</f>
        <v/>
      </c>
      <c r="B1152" s="195" t="b">
        <f t="shared" si="18"/>
        <v>0</v>
      </c>
      <c r="C1152" t="str">
        <f>CONCATENATE('Final Building Profile'!B55)</f>
        <v/>
      </c>
      <c r="D1152" t="str">
        <f>CONCATENATE('Final Building Profile'!C55)</f>
        <v/>
      </c>
      <c r="E1152" t="str">
        <f>CONCATENATE('Final Building Profile'!F55)</f>
        <v/>
      </c>
      <c r="F1152" s="314" t="str">
        <f>IF(AND($B1152, Calculations!$B$9), 'Final Building Profile'!J55, "")</f>
        <v/>
      </c>
      <c r="G1152" s="250" t="str">
        <f>IF(AND($B1152, Calculations!$B$9), 'Final Building Profile'!K55, "")</f>
        <v/>
      </c>
      <c r="H1152" t="str">
        <f>IF(AND($B1152, Calculations!$B$9),'Final Building Profile'!M55,"")</f>
        <v/>
      </c>
      <c r="I1152" t="str">
        <f>IF(AND($B1152, Calculations!$B$9),Calculations!AB760,"")</f>
        <v/>
      </c>
      <c r="J1152" t="str">
        <f>IF(AND($B1152, Calculations!$B$9),Calculations!AC760,"")</f>
        <v/>
      </c>
      <c r="K1152" s="314" t="str">
        <f>IF(AND($B1152, Calculations!$B$8), 'Final Building Profile'!J55, "")</f>
        <v/>
      </c>
      <c r="L1152" s="250" t="str">
        <f>IF(AND($B1152, Calculations!$B$8), 'Final Building Profile'!K55, "")</f>
        <v/>
      </c>
      <c r="M1152" t="str">
        <f>IF(AND($B1152, Calculations!$B$8), 'Final Building Profile'!L55, "")</f>
        <v/>
      </c>
      <c r="N1152" t="str">
        <f>IF(AND($B1152, Calculations!$B$8),Calculations!AB760,"")</f>
        <v/>
      </c>
      <c r="O1152" t="str">
        <f>IF(AND($B1152, Calculations!$B$8),Calculations!AC760,"")</f>
        <v/>
      </c>
      <c r="P1152" s="314" t="str">
        <f>IF(AND($B1152, Calculations!$B$7), 'Final Building Profile'!P55, "")</f>
        <v/>
      </c>
      <c r="Q1152" s="204" t="str">
        <f>IF(AND($B1152, Calculations!$B$7), 'Final Building Profile'!Q55, "")</f>
        <v/>
      </c>
      <c r="R1152" t="str">
        <f>IF(AND($B1152, Calculations!$B$7), 'Final Building Profile'!N55-'Final Building Profile'!O55, "")</f>
        <v/>
      </c>
      <c r="S1152" t="str">
        <f>IF(AND($B1152, Calculations!$B$7),Calculations!AD760,"")</f>
        <v/>
      </c>
      <c r="T1152" t="str">
        <f>IF(AND($B1152, Calculations!$B$7),Calculations!AE760,"")</f>
        <v/>
      </c>
    </row>
    <row r="1153" spans="1:20">
      <c r="A1153" s="195" t="str">
        <f>IF(C1153="","",MAX(A$1099:A1152)+1)</f>
        <v/>
      </c>
      <c r="B1153" s="195" t="b">
        <f t="shared" si="18"/>
        <v>0</v>
      </c>
      <c r="C1153" t="str">
        <f>CONCATENATE('Final Building Profile'!B56)</f>
        <v/>
      </c>
      <c r="D1153" t="str">
        <f>CONCATENATE('Final Building Profile'!C56)</f>
        <v/>
      </c>
      <c r="E1153" t="str">
        <f>CONCATENATE('Final Building Profile'!F56)</f>
        <v/>
      </c>
      <c r="F1153" s="314" t="str">
        <f>IF(AND($B1153, Calculations!$B$9), 'Final Building Profile'!J56, "")</f>
        <v/>
      </c>
      <c r="G1153" s="250" t="str">
        <f>IF(AND($B1153, Calculations!$B$9), 'Final Building Profile'!K56, "")</f>
        <v/>
      </c>
      <c r="H1153" t="str">
        <f>IF(AND($B1153, Calculations!$B$9),'Final Building Profile'!M56,"")</f>
        <v/>
      </c>
      <c r="I1153" t="str">
        <f>IF(AND($B1153, Calculations!$B$9),Calculations!AB761,"")</f>
        <v/>
      </c>
      <c r="J1153" t="str">
        <f>IF(AND($B1153, Calculations!$B$9),Calculations!AC761,"")</f>
        <v/>
      </c>
      <c r="K1153" s="314" t="str">
        <f>IF(AND($B1153, Calculations!$B$8), 'Final Building Profile'!J56, "")</f>
        <v/>
      </c>
      <c r="L1153" s="250" t="str">
        <f>IF(AND($B1153, Calculations!$B$8), 'Final Building Profile'!K56, "")</f>
        <v/>
      </c>
      <c r="M1153" t="str">
        <f>IF(AND($B1153, Calculations!$B$8), 'Final Building Profile'!L56, "")</f>
        <v/>
      </c>
      <c r="N1153" t="str">
        <f>IF(AND($B1153, Calculations!$B$8),Calculations!AB761,"")</f>
        <v/>
      </c>
      <c r="O1153" t="str">
        <f>IF(AND($B1153, Calculations!$B$8),Calculations!AC761,"")</f>
        <v/>
      </c>
      <c r="P1153" s="314" t="str">
        <f>IF(AND($B1153, Calculations!$B$7), 'Final Building Profile'!P56, "")</f>
        <v/>
      </c>
      <c r="Q1153" s="204" t="str">
        <f>IF(AND($B1153, Calculations!$B$7), 'Final Building Profile'!Q56, "")</f>
        <v/>
      </c>
      <c r="R1153" t="str">
        <f>IF(AND($B1153, Calculations!$B$7), 'Final Building Profile'!N56-'Final Building Profile'!O56, "")</f>
        <v/>
      </c>
      <c r="S1153" t="str">
        <f>IF(AND($B1153, Calculations!$B$7),Calculations!AD761,"")</f>
        <v/>
      </c>
      <c r="T1153" t="str">
        <f>IF(AND($B1153, Calculations!$B$7),Calculations!AE761,"")</f>
        <v/>
      </c>
    </row>
    <row r="1154" spans="1:20">
      <c r="A1154" s="195" t="str">
        <f>IF(C1154="","",MAX(A$1099:A1153)+1)</f>
        <v/>
      </c>
      <c r="B1154" s="195" t="b">
        <f t="shared" si="18"/>
        <v>0</v>
      </c>
      <c r="C1154" t="str">
        <f>CONCATENATE('Final Building Profile'!B57)</f>
        <v/>
      </c>
      <c r="D1154" t="str">
        <f>CONCATENATE('Final Building Profile'!C57)</f>
        <v/>
      </c>
      <c r="E1154" t="str">
        <f>CONCATENATE('Final Building Profile'!F57)</f>
        <v/>
      </c>
      <c r="F1154" s="314" t="str">
        <f>IF(AND($B1154, Calculations!$B$9), 'Final Building Profile'!J57, "")</f>
        <v/>
      </c>
      <c r="G1154" s="250" t="str">
        <f>IF(AND($B1154, Calculations!$B$9), 'Final Building Profile'!K57, "")</f>
        <v/>
      </c>
      <c r="H1154" t="str">
        <f>IF(AND($B1154, Calculations!$B$9),'Final Building Profile'!M57,"")</f>
        <v/>
      </c>
      <c r="I1154" t="str">
        <f>IF(AND($B1154, Calculations!$B$9),Calculations!AB762,"")</f>
        <v/>
      </c>
      <c r="J1154" t="str">
        <f>IF(AND($B1154, Calculations!$B$9),Calculations!AC762,"")</f>
        <v/>
      </c>
      <c r="K1154" s="314" t="str">
        <f>IF(AND($B1154, Calculations!$B$8), 'Final Building Profile'!J57, "")</f>
        <v/>
      </c>
      <c r="L1154" s="250" t="str">
        <f>IF(AND($B1154, Calculations!$B$8), 'Final Building Profile'!K57, "")</f>
        <v/>
      </c>
      <c r="M1154" t="str">
        <f>IF(AND($B1154, Calculations!$B$8), 'Final Building Profile'!L57, "")</f>
        <v/>
      </c>
      <c r="N1154" t="str">
        <f>IF(AND($B1154, Calculations!$B$8),Calculations!AB762,"")</f>
        <v/>
      </c>
      <c r="O1154" t="str">
        <f>IF(AND($B1154, Calculations!$B$8),Calculations!AC762,"")</f>
        <v/>
      </c>
      <c r="P1154" s="314" t="str">
        <f>IF(AND($B1154, Calculations!$B$7), 'Final Building Profile'!P57, "")</f>
        <v/>
      </c>
      <c r="Q1154" s="204" t="str">
        <f>IF(AND($B1154, Calculations!$B$7), 'Final Building Profile'!Q57, "")</f>
        <v/>
      </c>
      <c r="R1154" t="str">
        <f>IF(AND($B1154, Calculations!$B$7), 'Final Building Profile'!N57-'Final Building Profile'!O57, "")</f>
        <v/>
      </c>
      <c r="S1154" t="str">
        <f>IF(AND($B1154, Calculations!$B$7),Calculations!AD762,"")</f>
        <v/>
      </c>
      <c r="T1154" t="str">
        <f>IF(AND($B1154, Calculations!$B$7),Calculations!AE762,"")</f>
        <v/>
      </c>
    </row>
    <row r="1155" spans="1:20">
      <c r="A1155" s="195" t="str">
        <f>IF(C1155="","",MAX(A$1099:A1154)+1)</f>
        <v/>
      </c>
      <c r="B1155" s="195" t="b">
        <f t="shared" si="18"/>
        <v>0</v>
      </c>
      <c r="C1155" t="str">
        <f>CONCATENATE('Final Building Profile'!B58)</f>
        <v/>
      </c>
      <c r="D1155" t="str">
        <f>CONCATENATE('Final Building Profile'!C58)</f>
        <v/>
      </c>
      <c r="E1155" t="str">
        <f>CONCATENATE('Final Building Profile'!F58)</f>
        <v/>
      </c>
      <c r="F1155" s="314" t="str">
        <f>IF(AND($B1155, Calculations!$B$9), 'Final Building Profile'!J58, "")</f>
        <v/>
      </c>
      <c r="G1155" s="250" t="str">
        <f>IF(AND($B1155, Calculations!$B$9), 'Final Building Profile'!K58, "")</f>
        <v/>
      </c>
      <c r="H1155" t="str">
        <f>IF(AND($B1155, Calculations!$B$9),'Final Building Profile'!M58,"")</f>
        <v/>
      </c>
      <c r="I1155" t="str">
        <f>IF(AND($B1155, Calculations!$B$9),Calculations!AB763,"")</f>
        <v/>
      </c>
      <c r="J1155" t="str">
        <f>IF(AND($B1155, Calculations!$B$9),Calculations!AC763,"")</f>
        <v/>
      </c>
      <c r="K1155" s="314" t="str">
        <f>IF(AND($B1155, Calculations!$B$8), 'Final Building Profile'!J58, "")</f>
        <v/>
      </c>
      <c r="L1155" s="250" t="str">
        <f>IF(AND($B1155, Calculations!$B$8), 'Final Building Profile'!K58, "")</f>
        <v/>
      </c>
      <c r="M1155" t="str">
        <f>IF(AND($B1155, Calculations!$B$8), 'Final Building Profile'!L58, "")</f>
        <v/>
      </c>
      <c r="N1155" t="str">
        <f>IF(AND($B1155, Calculations!$B$8),Calculations!AB763,"")</f>
        <v/>
      </c>
      <c r="O1155" t="str">
        <f>IF(AND($B1155, Calculations!$B$8),Calculations!AC763,"")</f>
        <v/>
      </c>
      <c r="P1155" s="314" t="str">
        <f>IF(AND($B1155, Calculations!$B$7), 'Final Building Profile'!P58, "")</f>
        <v/>
      </c>
      <c r="Q1155" s="204" t="str">
        <f>IF(AND($B1155, Calculations!$B$7), 'Final Building Profile'!Q58, "")</f>
        <v/>
      </c>
      <c r="R1155" t="str">
        <f>IF(AND($B1155, Calculations!$B$7), 'Final Building Profile'!N58-'Final Building Profile'!O58, "")</f>
        <v/>
      </c>
      <c r="S1155" t="str">
        <f>IF(AND($B1155, Calculations!$B$7),Calculations!AD763,"")</f>
        <v/>
      </c>
      <c r="T1155" t="str">
        <f>IF(AND($B1155, Calculations!$B$7),Calculations!AE763,"")</f>
        <v/>
      </c>
    </row>
    <row r="1156" spans="1:20">
      <c r="A1156" s="195" t="str">
        <f>IF(C1156="","",MAX(A$1099:A1155)+1)</f>
        <v/>
      </c>
      <c r="B1156" s="195" t="b">
        <f t="shared" si="18"/>
        <v>0</v>
      </c>
      <c r="C1156" t="str">
        <f>CONCATENATE('Final Building Profile'!B59)</f>
        <v/>
      </c>
      <c r="D1156" t="str">
        <f>CONCATENATE('Final Building Profile'!C59)</f>
        <v/>
      </c>
      <c r="E1156" t="str">
        <f>CONCATENATE('Final Building Profile'!F59)</f>
        <v/>
      </c>
      <c r="F1156" s="314" t="str">
        <f>IF(AND($B1156, Calculations!$B$9), 'Final Building Profile'!J59, "")</f>
        <v/>
      </c>
      <c r="G1156" s="250" t="str">
        <f>IF(AND($B1156, Calculations!$B$9), 'Final Building Profile'!K59, "")</f>
        <v/>
      </c>
      <c r="H1156" t="str">
        <f>IF(AND($B1156, Calculations!$B$9),'Final Building Profile'!M59,"")</f>
        <v/>
      </c>
      <c r="I1156" t="str">
        <f>IF(AND($B1156, Calculations!$B$9),Calculations!AB764,"")</f>
        <v/>
      </c>
      <c r="J1156" t="str">
        <f>IF(AND($B1156, Calculations!$B$9),Calculations!AC764,"")</f>
        <v/>
      </c>
      <c r="K1156" s="314" t="str">
        <f>IF(AND($B1156, Calculations!$B$8), 'Final Building Profile'!J59, "")</f>
        <v/>
      </c>
      <c r="L1156" s="250" t="str">
        <f>IF(AND($B1156, Calculations!$B$8), 'Final Building Profile'!K59, "")</f>
        <v/>
      </c>
      <c r="M1156" t="str">
        <f>IF(AND($B1156, Calculations!$B$8), 'Final Building Profile'!L59, "")</f>
        <v/>
      </c>
      <c r="N1156" t="str">
        <f>IF(AND($B1156, Calculations!$B$8),Calculations!AB764,"")</f>
        <v/>
      </c>
      <c r="O1156" t="str">
        <f>IF(AND($B1156, Calculations!$B$8),Calculations!AC764,"")</f>
        <v/>
      </c>
      <c r="P1156" s="314" t="str">
        <f>IF(AND($B1156, Calculations!$B$7), 'Final Building Profile'!P59, "")</f>
        <v/>
      </c>
      <c r="Q1156" s="204" t="str">
        <f>IF(AND($B1156, Calculations!$B$7), 'Final Building Profile'!Q59, "")</f>
        <v/>
      </c>
      <c r="R1156" t="str">
        <f>IF(AND($B1156, Calculations!$B$7), 'Final Building Profile'!N59-'Final Building Profile'!O59, "")</f>
        <v/>
      </c>
      <c r="S1156" t="str">
        <f>IF(AND($B1156, Calculations!$B$7),Calculations!AD764,"")</f>
        <v/>
      </c>
      <c r="T1156" t="str">
        <f>IF(AND($B1156, Calculations!$B$7),Calculations!AE764,"")</f>
        <v/>
      </c>
    </row>
    <row r="1157" spans="1:20">
      <c r="A1157" s="195" t="str">
        <f>IF(C1157="","",MAX(A$1099:A1156)+1)</f>
        <v/>
      </c>
      <c r="B1157" s="195" t="b">
        <f t="shared" si="18"/>
        <v>0</v>
      </c>
      <c r="C1157" t="str">
        <f>CONCATENATE('Final Building Profile'!B60)</f>
        <v/>
      </c>
      <c r="D1157" t="str">
        <f>CONCATENATE('Final Building Profile'!C60)</f>
        <v/>
      </c>
      <c r="E1157" t="str">
        <f>CONCATENATE('Final Building Profile'!F60)</f>
        <v/>
      </c>
      <c r="F1157" s="314" t="str">
        <f>IF(AND($B1157, Calculations!$B$9), 'Final Building Profile'!J60, "")</f>
        <v/>
      </c>
      <c r="G1157" s="250" t="str">
        <f>IF(AND($B1157, Calculations!$B$9), 'Final Building Profile'!K60, "")</f>
        <v/>
      </c>
      <c r="H1157" t="str">
        <f>IF(AND($B1157, Calculations!$B$9),'Final Building Profile'!M60,"")</f>
        <v/>
      </c>
      <c r="I1157" t="str">
        <f>IF(AND($B1157, Calculations!$B$9),Calculations!AB765,"")</f>
        <v/>
      </c>
      <c r="J1157" t="str">
        <f>IF(AND($B1157, Calculations!$B$9),Calculations!AC765,"")</f>
        <v/>
      </c>
      <c r="K1157" s="314" t="str">
        <f>IF(AND($B1157, Calculations!$B$8), 'Final Building Profile'!J60, "")</f>
        <v/>
      </c>
      <c r="L1157" s="250" t="str">
        <f>IF(AND($B1157, Calculations!$B$8), 'Final Building Profile'!K60, "")</f>
        <v/>
      </c>
      <c r="M1157" t="str">
        <f>IF(AND($B1157, Calculations!$B$8), 'Final Building Profile'!L60, "")</f>
        <v/>
      </c>
      <c r="N1157" t="str">
        <f>IF(AND($B1157, Calculations!$B$8),Calculations!AB765,"")</f>
        <v/>
      </c>
      <c r="O1157" t="str">
        <f>IF(AND($B1157, Calculations!$B$8),Calculations!AC765,"")</f>
        <v/>
      </c>
      <c r="P1157" s="314" t="str">
        <f>IF(AND($B1157, Calculations!$B$7), 'Final Building Profile'!P60, "")</f>
        <v/>
      </c>
      <c r="Q1157" s="204" t="str">
        <f>IF(AND($B1157, Calculations!$B$7), 'Final Building Profile'!Q60, "")</f>
        <v/>
      </c>
      <c r="R1157" t="str">
        <f>IF(AND($B1157, Calculations!$B$7), 'Final Building Profile'!N60-'Final Building Profile'!O60, "")</f>
        <v/>
      </c>
      <c r="S1157" t="str">
        <f>IF(AND($B1157, Calculations!$B$7),Calculations!AD765,"")</f>
        <v/>
      </c>
      <c r="T1157" t="str">
        <f>IF(AND($B1157, Calculations!$B$7),Calculations!AE765,"")</f>
        <v/>
      </c>
    </row>
    <row r="1158" spans="1:20">
      <c r="A1158" s="195" t="str">
        <f>IF(C1158="","",MAX(A$1099:A1157)+1)</f>
        <v/>
      </c>
      <c r="B1158" s="195" t="b">
        <f t="shared" si="18"/>
        <v>0</v>
      </c>
      <c r="C1158" t="str">
        <f>CONCATENATE('Final Building Profile'!B61)</f>
        <v/>
      </c>
      <c r="D1158" t="str">
        <f>CONCATENATE('Final Building Profile'!C61)</f>
        <v/>
      </c>
      <c r="E1158" t="str">
        <f>CONCATENATE('Final Building Profile'!F61)</f>
        <v/>
      </c>
      <c r="F1158" s="314" t="str">
        <f>IF(AND($B1158, Calculations!$B$9), 'Final Building Profile'!J61, "")</f>
        <v/>
      </c>
      <c r="G1158" s="250" t="str">
        <f>IF(AND($B1158, Calculations!$B$9), 'Final Building Profile'!K61, "")</f>
        <v/>
      </c>
      <c r="H1158" t="str">
        <f>IF(AND($B1158, Calculations!$B$9),'Final Building Profile'!M61,"")</f>
        <v/>
      </c>
      <c r="I1158" t="str">
        <f>IF(AND($B1158, Calculations!$B$9),Calculations!AB766,"")</f>
        <v/>
      </c>
      <c r="J1158" t="str">
        <f>IF(AND($B1158, Calculations!$B$9),Calculations!AC766,"")</f>
        <v/>
      </c>
      <c r="K1158" s="314" t="str">
        <f>IF(AND($B1158, Calculations!$B$8), 'Final Building Profile'!J61, "")</f>
        <v/>
      </c>
      <c r="L1158" s="250" t="str">
        <f>IF(AND($B1158, Calculations!$B$8), 'Final Building Profile'!K61, "")</f>
        <v/>
      </c>
      <c r="M1158" t="str">
        <f>IF(AND($B1158, Calculations!$B$8), 'Final Building Profile'!L61, "")</f>
        <v/>
      </c>
      <c r="N1158" t="str">
        <f>IF(AND($B1158, Calculations!$B$8),Calculations!AB766,"")</f>
        <v/>
      </c>
      <c r="O1158" t="str">
        <f>IF(AND($B1158, Calculations!$B$8),Calculations!AC766,"")</f>
        <v/>
      </c>
      <c r="P1158" s="314" t="str">
        <f>IF(AND($B1158, Calculations!$B$7), 'Final Building Profile'!P61, "")</f>
        <v/>
      </c>
      <c r="Q1158" s="204" t="str">
        <f>IF(AND($B1158, Calculations!$B$7), 'Final Building Profile'!Q61, "")</f>
        <v/>
      </c>
      <c r="R1158" t="str">
        <f>IF(AND($B1158, Calculations!$B$7), 'Final Building Profile'!N61-'Final Building Profile'!O61, "")</f>
        <v/>
      </c>
      <c r="S1158" t="str">
        <f>IF(AND($B1158, Calculations!$B$7),Calculations!AD766,"")</f>
        <v/>
      </c>
      <c r="T1158" t="str">
        <f>IF(AND($B1158, Calculations!$B$7),Calculations!AE766,"")</f>
        <v/>
      </c>
    </row>
    <row r="1159" spans="1:20">
      <c r="A1159" s="195" t="str">
        <f>IF(C1159="","",MAX(A$1099:A1158)+1)</f>
        <v/>
      </c>
      <c r="B1159" s="195" t="b">
        <f t="shared" si="18"/>
        <v>0</v>
      </c>
      <c r="C1159" t="str">
        <f>CONCATENATE('Final Building Profile'!B62)</f>
        <v/>
      </c>
      <c r="D1159" t="str">
        <f>CONCATENATE('Final Building Profile'!C62)</f>
        <v/>
      </c>
      <c r="E1159" t="str">
        <f>CONCATENATE('Final Building Profile'!F62)</f>
        <v/>
      </c>
      <c r="F1159" s="314" t="str">
        <f>IF(AND($B1159, Calculations!$B$9), 'Final Building Profile'!J62, "")</f>
        <v/>
      </c>
      <c r="G1159" s="250" t="str">
        <f>IF(AND($B1159, Calculations!$B$9), 'Final Building Profile'!K62, "")</f>
        <v/>
      </c>
      <c r="H1159" t="str">
        <f>IF(AND($B1159, Calculations!$B$9),'Final Building Profile'!M62,"")</f>
        <v/>
      </c>
      <c r="I1159" t="str">
        <f>IF(AND($B1159, Calculations!$B$9),Calculations!AB767,"")</f>
        <v/>
      </c>
      <c r="J1159" t="str">
        <f>IF(AND($B1159, Calculations!$B$9),Calculations!AC767,"")</f>
        <v/>
      </c>
      <c r="K1159" s="314" t="str">
        <f>IF(AND($B1159, Calculations!$B$8), 'Final Building Profile'!J62, "")</f>
        <v/>
      </c>
      <c r="L1159" s="250" t="str">
        <f>IF(AND($B1159, Calculations!$B$8), 'Final Building Profile'!K62, "")</f>
        <v/>
      </c>
      <c r="M1159" t="str">
        <f>IF(AND($B1159, Calculations!$B$8), 'Final Building Profile'!L62, "")</f>
        <v/>
      </c>
      <c r="N1159" t="str">
        <f>IF(AND($B1159, Calculations!$B$8),Calculations!AB767,"")</f>
        <v/>
      </c>
      <c r="O1159" t="str">
        <f>IF(AND($B1159, Calculations!$B$8),Calculations!AC767,"")</f>
        <v/>
      </c>
      <c r="P1159" s="314" t="str">
        <f>IF(AND($B1159, Calculations!$B$7), 'Final Building Profile'!P62, "")</f>
        <v/>
      </c>
      <c r="Q1159" s="204" t="str">
        <f>IF(AND($B1159, Calculations!$B$7), 'Final Building Profile'!Q62, "")</f>
        <v/>
      </c>
      <c r="R1159" t="str">
        <f>IF(AND($B1159, Calculations!$B$7), 'Final Building Profile'!N62-'Final Building Profile'!O62, "")</f>
        <v/>
      </c>
      <c r="S1159" t="str">
        <f>IF(AND($B1159, Calculations!$B$7),Calculations!AD767,"")</f>
        <v/>
      </c>
      <c r="T1159" t="str">
        <f>IF(AND($B1159, Calculations!$B$7),Calculations!AE767,"")</f>
        <v/>
      </c>
    </row>
    <row r="1160" spans="1:20">
      <c r="A1160" s="195" t="str">
        <f>IF(C1160="","",MAX(A$1099:A1159)+1)</f>
        <v/>
      </c>
      <c r="B1160" s="195" t="b">
        <f t="shared" si="18"/>
        <v>0</v>
      </c>
      <c r="C1160" t="str">
        <f>CONCATENATE('Final Building Profile'!B63)</f>
        <v/>
      </c>
      <c r="D1160" t="str">
        <f>CONCATENATE('Final Building Profile'!C63)</f>
        <v/>
      </c>
      <c r="E1160" t="str">
        <f>CONCATENATE('Final Building Profile'!F63)</f>
        <v/>
      </c>
      <c r="F1160" s="314" t="str">
        <f>IF(AND($B1160, Calculations!$B$9), 'Final Building Profile'!J63, "")</f>
        <v/>
      </c>
      <c r="G1160" s="250" t="str">
        <f>IF(AND($B1160, Calculations!$B$9), 'Final Building Profile'!K63, "")</f>
        <v/>
      </c>
      <c r="H1160" t="str">
        <f>IF(AND($B1160, Calculations!$B$9),'Final Building Profile'!M63,"")</f>
        <v/>
      </c>
      <c r="I1160" t="str">
        <f>IF(AND($B1160, Calculations!$B$9),Calculations!AB768,"")</f>
        <v/>
      </c>
      <c r="J1160" t="str">
        <f>IF(AND($B1160, Calculations!$B$9),Calculations!AC768,"")</f>
        <v/>
      </c>
      <c r="K1160" s="314" t="str">
        <f>IF(AND($B1160, Calculations!$B$8), 'Final Building Profile'!J63, "")</f>
        <v/>
      </c>
      <c r="L1160" s="250" t="str">
        <f>IF(AND($B1160, Calculations!$B$8), 'Final Building Profile'!K63, "")</f>
        <v/>
      </c>
      <c r="M1160" t="str">
        <f>IF(AND($B1160, Calculations!$B$8), 'Final Building Profile'!L63, "")</f>
        <v/>
      </c>
      <c r="N1160" t="str">
        <f>IF(AND($B1160, Calculations!$B$8),Calculations!AB768,"")</f>
        <v/>
      </c>
      <c r="O1160" t="str">
        <f>IF(AND($B1160, Calculations!$B$8),Calculations!AC768,"")</f>
        <v/>
      </c>
      <c r="P1160" s="314" t="str">
        <f>IF(AND($B1160, Calculations!$B$7), 'Final Building Profile'!P63, "")</f>
        <v/>
      </c>
      <c r="Q1160" s="204" t="str">
        <f>IF(AND($B1160, Calculations!$B$7), 'Final Building Profile'!Q63, "")</f>
        <v/>
      </c>
      <c r="R1160" t="str">
        <f>IF(AND($B1160, Calculations!$B$7), 'Final Building Profile'!N63-'Final Building Profile'!O63, "")</f>
        <v/>
      </c>
      <c r="S1160" t="str">
        <f>IF(AND($B1160, Calculations!$B$7),Calculations!AD768,"")</f>
        <v/>
      </c>
      <c r="T1160" t="str">
        <f>IF(AND($B1160, Calculations!$B$7),Calculations!AE768,"")</f>
        <v/>
      </c>
    </row>
    <row r="1161" spans="1:20">
      <c r="A1161" s="195" t="str">
        <f>IF(C1161="","",MAX(A$1099:A1160)+1)</f>
        <v/>
      </c>
      <c r="B1161" s="195" t="b">
        <f t="shared" si="18"/>
        <v>0</v>
      </c>
      <c r="C1161" t="str">
        <f>CONCATENATE('Final Building Profile'!B64)</f>
        <v/>
      </c>
      <c r="D1161" t="str">
        <f>CONCATENATE('Final Building Profile'!C64)</f>
        <v/>
      </c>
      <c r="E1161" t="str">
        <f>CONCATENATE('Final Building Profile'!F64)</f>
        <v/>
      </c>
      <c r="F1161" s="314" t="str">
        <f>IF(AND($B1161, Calculations!$B$9), 'Final Building Profile'!J64, "")</f>
        <v/>
      </c>
      <c r="G1161" s="250" t="str">
        <f>IF(AND($B1161, Calculations!$B$9), 'Final Building Profile'!K64, "")</f>
        <v/>
      </c>
      <c r="H1161" t="str">
        <f>IF(AND($B1161, Calculations!$B$9),'Final Building Profile'!M64,"")</f>
        <v/>
      </c>
      <c r="I1161" t="str">
        <f>IF(AND($B1161, Calculations!$B$9),Calculations!AB769,"")</f>
        <v/>
      </c>
      <c r="J1161" t="str">
        <f>IF(AND($B1161, Calculations!$B$9),Calculations!AC769,"")</f>
        <v/>
      </c>
      <c r="K1161" s="314" t="str">
        <f>IF(AND($B1161, Calculations!$B$8), 'Final Building Profile'!J64, "")</f>
        <v/>
      </c>
      <c r="L1161" s="250" t="str">
        <f>IF(AND($B1161, Calculations!$B$8), 'Final Building Profile'!K64, "")</f>
        <v/>
      </c>
      <c r="M1161" t="str">
        <f>IF(AND($B1161, Calculations!$B$8), 'Final Building Profile'!L64, "")</f>
        <v/>
      </c>
      <c r="N1161" t="str">
        <f>IF(AND($B1161, Calculations!$B$8),Calculations!AB769,"")</f>
        <v/>
      </c>
      <c r="O1161" t="str">
        <f>IF(AND($B1161, Calculations!$B$8),Calculations!AC769,"")</f>
        <v/>
      </c>
      <c r="P1161" s="314" t="str">
        <f>IF(AND($B1161, Calculations!$B$7), 'Final Building Profile'!P64, "")</f>
        <v/>
      </c>
      <c r="Q1161" s="204" t="str">
        <f>IF(AND($B1161, Calculations!$B$7), 'Final Building Profile'!Q64, "")</f>
        <v/>
      </c>
      <c r="R1161" t="str">
        <f>IF(AND($B1161, Calculations!$B$7), 'Final Building Profile'!N64-'Final Building Profile'!O64, "")</f>
        <v/>
      </c>
      <c r="S1161" t="str">
        <f>IF(AND($B1161, Calculations!$B$7),Calculations!AD769,"")</f>
        <v/>
      </c>
      <c r="T1161" t="str">
        <f>IF(AND($B1161, Calculations!$B$7),Calculations!AE769,"")</f>
        <v/>
      </c>
    </row>
    <row r="1162" spans="1:20">
      <c r="A1162" s="195" t="str">
        <f>IF(C1162="","",MAX(A$1099:A1161)+1)</f>
        <v/>
      </c>
      <c r="B1162" s="195" t="b">
        <f t="shared" si="18"/>
        <v>0</v>
      </c>
      <c r="C1162" t="str">
        <f>CONCATENATE('Final Building Profile'!B65)</f>
        <v/>
      </c>
      <c r="D1162" t="str">
        <f>CONCATENATE('Final Building Profile'!C65)</f>
        <v/>
      </c>
      <c r="E1162" t="str">
        <f>CONCATENATE('Final Building Profile'!F65)</f>
        <v/>
      </c>
      <c r="F1162" s="314" t="str">
        <f>IF(AND($B1162, Calculations!$B$9), 'Final Building Profile'!J65, "")</f>
        <v/>
      </c>
      <c r="G1162" s="250" t="str">
        <f>IF(AND($B1162, Calculations!$B$9), 'Final Building Profile'!K65, "")</f>
        <v/>
      </c>
      <c r="H1162" t="str">
        <f>IF(AND($B1162, Calculations!$B$9),'Final Building Profile'!M65,"")</f>
        <v/>
      </c>
      <c r="I1162" t="str">
        <f>IF(AND($B1162, Calculations!$B$9),Calculations!AB770,"")</f>
        <v/>
      </c>
      <c r="J1162" t="str">
        <f>IF(AND($B1162, Calculations!$B$9),Calculations!AC770,"")</f>
        <v/>
      </c>
      <c r="K1162" s="314" t="str">
        <f>IF(AND($B1162, Calculations!$B$8), 'Final Building Profile'!J65, "")</f>
        <v/>
      </c>
      <c r="L1162" s="250" t="str">
        <f>IF(AND($B1162, Calculations!$B$8), 'Final Building Profile'!K65, "")</f>
        <v/>
      </c>
      <c r="M1162" t="str">
        <f>IF(AND($B1162, Calculations!$B$8), 'Final Building Profile'!L65, "")</f>
        <v/>
      </c>
      <c r="N1162" t="str">
        <f>IF(AND($B1162, Calculations!$B$8),Calculations!AB770,"")</f>
        <v/>
      </c>
      <c r="O1162" t="str">
        <f>IF(AND($B1162, Calculations!$B$8),Calculations!AC770,"")</f>
        <v/>
      </c>
      <c r="P1162" s="314" t="str">
        <f>IF(AND($B1162, Calculations!$B$7), 'Final Building Profile'!P65, "")</f>
        <v/>
      </c>
      <c r="Q1162" s="204" t="str">
        <f>IF(AND($B1162, Calculations!$B$7), 'Final Building Profile'!Q65, "")</f>
        <v/>
      </c>
      <c r="R1162" t="str">
        <f>IF(AND($B1162, Calculations!$B$7), 'Final Building Profile'!N65-'Final Building Profile'!O65, "")</f>
        <v/>
      </c>
      <c r="S1162" t="str">
        <f>IF(AND($B1162, Calculations!$B$7),Calculations!AD770,"")</f>
        <v/>
      </c>
      <c r="T1162" t="str">
        <f>IF(AND($B1162, Calculations!$B$7),Calculations!AE770,"")</f>
        <v/>
      </c>
    </row>
    <row r="1163" spans="1:20">
      <c r="A1163" s="195" t="str">
        <f>IF(C1163="","",MAX(A$1099:A1162)+1)</f>
        <v/>
      </c>
      <c r="B1163" s="195" t="b">
        <f t="shared" si="18"/>
        <v>0</v>
      </c>
      <c r="C1163" t="str">
        <f>CONCATENATE('Final Building Profile'!B66)</f>
        <v/>
      </c>
      <c r="D1163" t="str">
        <f>CONCATENATE('Final Building Profile'!C66)</f>
        <v/>
      </c>
      <c r="E1163" t="str">
        <f>CONCATENATE('Final Building Profile'!F66)</f>
        <v/>
      </c>
      <c r="F1163" s="314" t="str">
        <f>IF(AND($B1163, Calculations!$B$9), 'Final Building Profile'!J66, "")</f>
        <v/>
      </c>
      <c r="G1163" s="250" t="str">
        <f>IF(AND($B1163, Calculations!$B$9), 'Final Building Profile'!K66, "")</f>
        <v/>
      </c>
      <c r="H1163" t="str">
        <f>IF(AND($B1163, Calculations!$B$9),'Final Building Profile'!M66,"")</f>
        <v/>
      </c>
      <c r="I1163" t="str">
        <f>IF(AND($B1163, Calculations!$B$9),Calculations!AB771,"")</f>
        <v/>
      </c>
      <c r="J1163" t="str">
        <f>IF(AND($B1163, Calculations!$B$9),Calculations!AC771,"")</f>
        <v/>
      </c>
      <c r="K1163" s="314" t="str">
        <f>IF(AND($B1163, Calculations!$B$8), 'Final Building Profile'!J66, "")</f>
        <v/>
      </c>
      <c r="L1163" s="250" t="str">
        <f>IF(AND($B1163, Calculations!$B$8), 'Final Building Profile'!K66, "")</f>
        <v/>
      </c>
      <c r="M1163" t="str">
        <f>IF(AND($B1163, Calculations!$B$8), 'Final Building Profile'!L66, "")</f>
        <v/>
      </c>
      <c r="N1163" t="str">
        <f>IF(AND($B1163, Calculations!$B$8),Calculations!AB771,"")</f>
        <v/>
      </c>
      <c r="O1163" t="str">
        <f>IF(AND($B1163, Calculations!$B$8),Calculations!AC771,"")</f>
        <v/>
      </c>
      <c r="P1163" s="314" t="str">
        <f>IF(AND($B1163, Calculations!$B$7), 'Final Building Profile'!P66, "")</f>
        <v/>
      </c>
      <c r="Q1163" s="204" t="str">
        <f>IF(AND($B1163, Calculations!$B$7), 'Final Building Profile'!Q66, "")</f>
        <v/>
      </c>
      <c r="R1163" t="str">
        <f>IF(AND($B1163, Calculations!$B$7), 'Final Building Profile'!N66-'Final Building Profile'!O66, "")</f>
        <v/>
      </c>
      <c r="S1163" t="str">
        <f>IF(AND($B1163, Calculations!$B$7),Calculations!AD771,"")</f>
        <v/>
      </c>
      <c r="T1163" t="str">
        <f>IF(AND($B1163, Calculations!$B$7),Calculations!AE771,"")</f>
        <v/>
      </c>
    </row>
    <row r="1164" spans="1:20">
      <c r="A1164" s="195" t="str">
        <f>IF(C1164="","",MAX(A$1099:A1163)+1)</f>
        <v/>
      </c>
      <c r="B1164" s="195" t="b">
        <f t="shared" si="18"/>
        <v>0</v>
      </c>
      <c r="C1164" t="str">
        <f>CONCATENATE('Final Building Profile'!B67)</f>
        <v/>
      </c>
      <c r="D1164" t="str">
        <f>CONCATENATE('Final Building Profile'!C67)</f>
        <v/>
      </c>
      <c r="E1164" t="str">
        <f>CONCATENATE('Final Building Profile'!F67)</f>
        <v/>
      </c>
      <c r="F1164" s="314" t="str">
        <f>IF(AND($B1164, Calculations!$B$9), 'Final Building Profile'!J67, "")</f>
        <v/>
      </c>
      <c r="G1164" s="250" t="str">
        <f>IF(AND($B1164, Calculations!$B$9), 'Final Building Profile'!K67, "")</f>
        <v/>
      </c>
      <c r="H1164" t="str">
        <f>IF(AND($B1164, Calculations!$B$9),'Final Building Profile'!M67,"")</f>
        <v/>
      </c>
      <c r="I1164" t="str">
        <f>IF(AND($B1164, Calculations!$B$9),Calculations!AB772,"")</f>
        <v/>
      </c>
      <c r="J1164" t="str">
        <f>IF(AND($B1164, Calculations!$B$9),Calculations!AC772,"")</f>
        <v/>
      </c>
      <c r="K1164" s="314" t="str">
        <f>IF(AND($B1164, Calculations!$B$8), 'Final Building Profile'!J67, "")</f>
        <v/>
      </c>
      <c r="L1164" s="250" t="str">
        <f>IF(AND($B1164, Calculations!$B$8), 'Final Building Profile'!K67, "")</f>
        <v/>
      </c>
      <c r="M1164" t="str">
        <f>IF(AND($B1164, Calculations!$B$8), 'Final Building Profile'!L67, "")</f>
        <v/>
      </c>
      <c r="N1164" t="str">
        <f>IF(AND($B1164, Calculations!$B$8),Calculations!AB772,"")</f>
        <v/>
      </c>
      <c r="O1164" t="str">
        <f>IF(AND($B1164, Calculations!$B$8),Calculations!AC772,"")</f>
        <v/>
      </c>
      <c r="P1164" s="314" t="str">
        <f>IF(AND($B1164, Calculations!$B$7), 'Final Building Profile'!P67, "")</f>
        <v/>
      </c>
      <c r="Q1164" s="204" t="str">
        <f>IF(AND($B1164, Calculations!$B$7), 'Final Building Profile'!Q67, "")</f>
        <v/>
      </c>
      <c r="R1164" t="str">
        <f>IF(AND($B1164, Calculations!$B$7), 'Final Building Profile'!N67-'Final Building Profile'!O67, "")</f>
        <v/>
      </c>
      <c r="S1164" t="str">
        <f>IF(AND($B1164, Calculations!$B$7),Calculations!AD772,"")</f>
        <v/>
      </c>
      <c r="T1164" t="str">
        <f>IF(AND($B1164, Calculations!$B$7),Calculations!AE772,"")</f>
        <v/>
      </c>
    </row>
    <row r="1165" spans="1:20">
      <c r="A1165" s="195" t="str">
        <f>IF(C1165="","",MAX(A$1099:A1164)+1)</f>
        <v/>
      </c>
      <c r="B1165" s="195" t="b">
        <f t="shared" si="18"/>
        <v>0</v>
      </c>
      <c r="C1165" t="str">
        <f>CONCATENATE('Final Building Profile'!B68)</f>
        <v/>
      </c>
      <c r="D1165" t="str">
        <f>CONCATENATE('Final Building Profile'!C68)</f>
        <v/>
      </c>
      <c r="E1165" t="str">
        <f>CONCATENATE('Final Building Profile'!F68)</f>
        <v/>
      </c>
      <c r="F1165" s="314" t="str">
        <f>IF(AND($B1165, Calculations!$B$9), 'Final Building Profile'!J68, "")</f>
        <v/>
      </c>
      <c r="G1165" s="250" t="str">
        <f>IF(AND($B1165, Calculations!$B$9), 'Final Building Profile'!K68, "")</f>
        <v/>
      </c>
      <c r="H1165" t="str">
        <f>IF(AND($B1165, Calculations!$B$9),'Final Building Profile'!M68,"")</f>
        <v/>
      </c>
      <c r="I1165" t="str">
        <f>IF(AND($B1165, Calculations!$B$9),Calculations!AB773,"")</f>
        <v/>
      </c>
      <c r="J1165" t="str">
        <f>IF(AND($B1165, Calculations!$B$9),Calculations!AC773,"")</f>
        <v/>
      </c>
      <c r="K1165" s="314" t="str">
        <f>IF(AND($B1165, Calculations!$B$8), 'Final Building Profile'!J68, "")</f>
        <v/>
      </c>
      <c r="L1165" s="250" t="str">
        <f>IF(AND($B1165, Calculations!$B$8), 'Final Building Profile'!K68, "")</f>
        <v/>
      </c>
      <c r="M1165" t="str">
        <f>IF(AND($B1165, Calculations!$B$8), 'Final Building Profile'!L68, "")</f>
        <v/>
      </c>
      <c r="N1165" t="str">
        <f>IF(AND($B1165, Calculations!$B$8),Calculations!AB773,"")</f>
        <v/>
      </c>
      <c r="O1165" t="str">
        <f>IF(AND($B1165, Calculations!$B$8),Calculations!AC773,"")</f>
        <v/>
      </c>
      <c r="P1165" s="314" t="str">
        <f>IF(AND($B1165, Calculations!$B$7), 'Final Building Profile'!P68, "")</f>
        <v/>
      </c>
      <c r="Q1165" s="204" t="str">
        <f>IF(AND($B1165, Calculations!$B$7), 'Final Building Profile'!Q68, "")</f>
        <v/>
      </c>
      <c r="R1165" t="str">
        <f>IF(AND($B1165, Calculations!$B$7), 'Final Building Profile'!N68-'Final Building Profile'!O68, "")</f>
        <v/>
      </c>
      <c r="S1165" t="str">
        <f>IF(AND($B1165, Calculations!$B$7),Calculations!AD773,"")</f>
        <v/>
      </c>
      <c r="T1165" t="str">
        <f>IF(AND($B1165, Calculations!$B$7),Calculations!AE773,"")</f>
        <v/>
      </c>
    </row>
    <row r="1166" spans="1:20">
      <c r="A1166" s="195" t="str">
        <f>IF(C1166="","",MAX(A$1099:A1165)+1)</f>
        <v/>
      </c>
      <c r="B1166" s="195" t="b">
        <f t="shared" ref="B1166:B1199" si="19">A1166&lt;&gt;""</f>
        <v>0</v>
      </c>
      <c r="C1166" t="str">
        <f>CONCATENATE('Final Building Profile'!B69)</f>
        <v/>
      </c>
      <c r="D1166" t="str">
        <f>CONCATENATE('Final Building Profile'!C69)</f>
        <v/>
      </c>
      <c r="E1166" t="str">
        <f>CONCATENATE('Final Building Profile'!F69)</f>
        <v/>
      </c>
      <c r="F1166" s="314" t="str">
        <f>IF(AND($B1166, Calculations!$B$9), 'Final Building Profile'!J69, "")</f>
        <v/>
      </c>
      <c r="G1166" s="250" t="str">
        <f>IF(AND($B1166, Calculations!$B$9), 'Final Building Profile'!K69, "")</f>
        <v/>
      </c>
      <c r="H1166" t="str">
        <f>IF(AND($B1166, Calculations!$B$9),'Final Building Profile'!M69,"")</f>
        <v/>
      </c>
      <c r="I1166" t="str">
        <f>IF(AND($B1166, Calculations!$B$9),Calculations!AB774,"")</f>
        <v/>
      </c>
      <c r="J1166" t="str">
        <f>IF(AND($B1166, Calculations!$B$9),Calculations!AC774,"")</f>
        <v/>
      </c>
      <c r="K1166" s="314" t="str">
        <f>IF(AND($B1166, Calculations!$B$8), 'Final Building Profile'!J69, "")</f>
        <v/>
      </c>
      <c r="L1166" s="250" t="str">
        <f>IF(AND($B1166, Calculations!$B$8), 'Final Building Profile'!K69, "")</f>
        <v/>
      </c>
      <c r="M1166" t="str">
        <f>IF(AND($B1166, Calculations!$B$8), 'Final Building Profile'!L69, "")</f>
        <v/>
      </c>
      <c r="N1166" t="str">
        <f>IF(AND($B1166, Calculations!$B$8),Calculations!AB774,"")</f>
        <v/>
      </c>
      <c r="O1166" t="str">
        <f>IF(AND($B1166, Calculations!$B$8),Calculations!AC774,"")</f>
        <v/>
      </c>
      <c r="P1166" s="314" t="str">
        <f>IF(AND($B1166, Calculations!$B$7), 'Final Building Profile'!P69, "")</f>
        <v/>
      </c>
      <c r="Q1166" s="204" t="str">
        <f>IF(AND($B1166, Calculations!$B$7), 'Final Building Profile'!Q69, "")</f>
        <v/>
      </c>
      <c r="R1166" t="str">
        <f>IF(AND($B1166, Calculations!$B$7), 'Final Building Profile'!N69-'Final Building Profile'!O69, "")</f>
        <v/>
      </c>
      <c r="S1166" t="str">
        <f>IF(AND($B1166, Calculations!$B$7),Calculations!AD774,"")</f>
        <v/>
      </c>
      <c r="T1166" t="str">
        <f>IF(AND($B1166, Calculations!$B$7),Calculations!AE774,"")</f>
        <v/>
      </c>
    </row>
    <row r="1167" spans="1:20">
      <c r="A1167" s="195" t="str">
        <f>IF(C1167="","",MAX(A$1099:A1166)+1)</f>
        <v/>
      </c>
      <c r="B1167" s="195" t="b">
        <f t="shared" si="19"/>
        <v>0</v>
      </c>
      <c r="C1167" t="str">
        <f>CONCATENATE('Final Building Profile'!B70)</f>
        <v/>
      </c>
      <c r="D1167" t="str">
        <f>CONCATENATE('Final Building Profile'!C70)</f>
        <v/>
      </c>
      <c r="E1167" t="str">
        <f>CONCATENATE('Final Building Profile'!F70)</f>
        <v/>
      </c>
      <c r="F1167" s="314" t="str">
        <f>IF(AND($B1167, Calculations!$B$9), 'Final Building Profile'!J70, "")</f>
        <v/>
      </c>
      <c r="G1167" s="250" t="str">
        <f>IF(AND($B1167, Calculations!$B$9), 'Final Building Profile'!K70, "")</f>
        <v/>
      </c>
      <c r="H1167" t="str">
        <f>IF(AND($B1167, Calculations!$B$9),'Final Building Profile'!M70,"")</f>
        <v/>
      </c>
      <c r="I1167" t="str">
        <f>IF(AND($B1167, Calculations!$B$9),Calculations!AB775,"")</f>
        <v/>
      </c>
      <c r="J1167" t="str">
        <f>IF(AND($B1167, Calculations!$B$9),Calculations!AC775,"")</f>
        <v/>
      </c>
      <c r="K1167" s="314" t="str">
        <f>IF(AND($B1167, Calculations!$B$8), 'Final Building Profile'!J70, "")</f>
        <v/>
      </c>
      <c r="L1167" s="250" t="str">
        <f>IF(AND($B1167, Calculations!$B$8), 'Final Building Profile'!K70, "")</f>
        <v/>
      </c>
      <c r="M1167" t="str">
        <f>IF(AND($B1167, Calculations!$B$8), 'Final Building Profile'!L70, "")</f>
        <v/>
      </c>
      <c r="N1167" t="str">
        <f>IF(AND($B1167, Calculations!$B$8),Calculations!AB775,"")</f>
        <v/>
      </c>
      <c r="O1167" t="str">
        <f>IF(AND($B1167, Calculations!$B$8),Calculations!AC775,"")</f>
        <v/>
      </c>
      <c r="P1167" s="314" t="str">
        <f>IF(AND($B1167, Calculations!$B$7), 'Final Building Profile'!P70, "")</f>
        <v/>
      </c>
      <c r="Q1167" s="204" t="str">
        <f>IF(AND($B1167, Calculations!$B$7), 'Final Building Profile'!Q70, "")</f>
        <v/>
      </c>
      <c r="R1167" t="str">
        <f>IF(AND($B1167, Calculations!$B$7), 'Final Building Profile'!N70-'Final Building Profile'!O70, "")</f>
        <v/>
      </c>
      <c r="S1167" t="str">
        <f>IF(AND($B1167, Calculations!$B$7),Calculations!AD775,"")</f>
        <v/>
      </c>
      <c r="T1167" t="str">
        <f>IF(AND($B1167, Calculations!$B$7),Calculations!AE775,"")</f>
        <v/>
      </c>
    </row>
    <row r="1168" spans="1:20">
      <c r="A1168" s="195" t="str">
        <f>IF(C1168="","",MAX(A$1099:A1167)+1)</f>
        <v/>
      </c>
      <c r="B1168" s="195" t="b">
        <f t="shared" si="19"/>
        <v>0</v>
      </c>
      <c r="C1168" t="str">
        <f>CONCATENATE('Final Building Profile'!B71)</f>
        <v/>
      </c>
      <c r="D1168" t="str">
        <f>CONCATENATE('Final Building Profile'!C71)</f>
        <v/>
      </c>
      <c r="E1168" t="str">
        <f>CONCATENATE('Final Building Profile'!F71)</f>
        <v/>
      </c>
      <c r="F1168" s="314" t="str">
        <f>IF(AND($B1168, Calculations!$B$9), 'Final Building Profile'!J71, "")</f>
        <v/>
      </c>
      <c r="G1168" s="250" t="str">
        <f>IF(AND($B1168, Calculations!$B$9), 'Final Building Profile'!K71, "")</f>
        <v/>
      </c>
      <c r="H1168" t="str">
        <f>IF(AND($B1168, Calculations!$B$9),'Final Building Profile'!M71,"")</f>
        <v/>
      </c>
      <c r="I1168" t="str">
        <f>IF(AND($B1168, Calculations!$B$9),Calculations!AB776,"")</f>
        <v/>
      </c>
      <c r="J1168" t="str">
        <f>IF(AND($B1168, Calculations!$B$9),Calculations!AC776,"")</f>
        <v/>
      </c>
      <c r="K1168" s="314" t="str">
        <f>IF(AND($B1168, Calculations!$B$8), 'Final Building Profile'!J71, "")</f>
        <v/>
      </c>
      <c r="L1168" s="250" t="str">
        <f>IF(AND($B1168, Calculations!$B$8), 'Final Building Profile'!K71, "")</f>
        <v/>
      </c>
      <c r="M1168" t="str">
        <f>IF(AND($B1168, Calculations!$B$8), 'Final Building Profile'!L71, "")</f>
        <v/>
      </c>
      <c r="N1168" t="str">
        <f>IF(AND($B1168, Calculations!$B$8),Calculations!AB776,"")</f>
        <v/>
      </c>
      <c r="O1168" t="str">
        <f>IF(AND($B1168, Calculations!$B$8),Calculations!AC776,"")</f>
        <v/>
      </c>
      <c r="P1168" s="314" t="str">
        <f>IF(AND($B1168, Calculations!$B$7), 'Final Building Profile'!P71, "")</f>
        <v/>
      </c>
      <c r="Q1168" s="204" t="str">
        <f>IF(AND($B1168, Calculations!$B$7), 'Final Building Profile'!Q71, "")</f>
        <v/>
      </c>
      <c r="R1168" t="str">
        <f>IF(AND($B1168, Calculations!$B$7), 'Final Building Profile'!N71-'Final Building Profile'!O71, "")</f>
        <v/>
      </c>
      <c r="S1168" t="str">
        <f>IF(AND($B1168, Calculations!$B$7),Calculations!AD776,"")</f>
        <v/>
      </c>
      <c r="T1168" t="str">
        <f>IF(AND($B1168, Calculations!$B$7),Calculations!AE776,"")</f>
        <v/>
      </c>
    </row>
    <row r="1169" spans="1:20">
      <c r="A1169" s="195" t="str">
        <f>IF(C1169="","",MAX(A$1099:A1168)+1)</f>
        <v/>
      </c>
      <c r="B1169" s="195" t="b">
        <f t="shared" si="19"/>
        <v>0</v>
      </c>
      <c r="C1169" t="str">
        <f>CONCATENATE('Final Building Profile'!B72)</f>
        <v/>
      </c>
      <c r="D1169" t="str">
        <f>CONCATENATE('Final Building Profile'!C72)</f>
        <v/>
      </c>
      <c r="E1169" t="str">
        <f>CONCATENATE('Final Building Profile'!F72)</f>
        <v/>
      </c>
      <c r="F1169" s="314" t="str">
        <f>IF(AND($B1169, Calculations!$B$9), 'Final Building Profile'!J72, "")</f>
        <v/>
      </c>
      <c r="G1169" s="250" t="str">
        <f>IF(AND($B1169, Calculations!$B$9), 'Final Building Profile'!K72, "")</f>
        <v/>
      </c>
      <c r="H1169" t="str">
        <f>IF(AND($B1169, Calculations!$B$9),'Final Building Profile'!M72,"")</f>
        <v/>
      </c>
      <c r="I1169" t="str">
        <f>IF(AND($B1169, Calculations!$B$9),Calculations!AB777,"")</f>
        <v/>
      </c>
      <c r="J1169" t="str">
        <f>IF(AND($B1169, Calculations!$B$9),Calculations!AC777,"")</f>
        <v/>
      </c>
      <c r="K1169" s="314" t="str">
        <f>IF(AND($B1169, Calculations!$B$8), 'Final Building Profile'!J72, "")</f>
        <v/>
      </c>
      <c r="L1169" s="250" t="str">
        <f>IF(AND($B1169, Calculations!$B$8), 'Final Building Profile'!K72, "")</f>
        <v/>
      </c>
      <c r="M1169" t="str">
        <f>IF(AND($B1169, Calculations!$B$8), 'Final Building Profile'!L72, "")</f>
        <v/>
      </c>
      <c r="N1169" t="str">
        <f>IF(AND($B1169, Calculations!$B$8),Calculations!AB777,"")</f>
        <v/>
      </c>
      <c r="O1169" t="str">
        <f>IF(AND($B1169, Calculations!$B$8),Calculations!AC777,"")</f>
        <v/>
      </c>
      <c r="P1169" s="314" t="str">
        <f>IF(AND($B1169, Calculations!$B$7), 'Final Building Profile'!P72, "")</f>
        <v/>
      </c>
      <c r="Q1169" s="204" t="str">
        <f>IF(AND($B1169, Calculations!$B$7), 'Final Building Profile'!Q72, "")</f>
        <v/>
      </c>
      <c r="R1169" t="str">
        <f>IF(AND($B1169, Calculations!$B$7), 'Final Building Profile'!N72-'Final Building Profile'!O72, "")</f>
        <v/>
      </c>
      <c r="S1169" t="str">
        <f>IF(AND($B1169, Calculations!$B$7),Calculations!AD777,"")</f>
        <v/>
      </c>
      <c r="T1169" t="str">
        <f>IF(AND($B1169, Calculations!$B$7),Calculations!AE777,"")</f>
        <v/>
      </c>
    </row>
    <row r="1170" spans="1:20">
      <c r="A1170" s="195" t="str">
        <f>IF(C1170="","",MAX(A$1099:A1169)+1)</f>
        <v/>
      </c>
      <c r="B1170" s="195" t="b">
        <f t="shared" si="19"/>
        <v>0</v>
      </c>
      <c r="C1170" t="str">
        <f>CONCATENATE('Final Building Profile'!B73)</f>
        <v/>
      </c>
      <c r="D1170" t="str">
        <f>CONCATENATE('Final Building Profile'!C73)</f>
        <v/>
      </c>
      <c r="E1170" t="str">
        <f>CONCATENATE('Final Building Profile'!F73)</f>
        <v/>
      </c>
      <c r="F1170" s="314" t="str">
        <f>IF(AND($B1170, Calculations!$B$9), 'Final Building Profile'!J73, "")</f>
        <v/>
      </c>
      <c r="G1170" s="250" t="str">
        <f>IF(AND($B1170, Calculations!$B$9), 'Final Building Profile'!K73, "")</f>
        <v/>
      </c>
      <c r="H1170" t="str">
        <f>IF(AND($B1170, Calculations!$B$9),'Final Building Profile'!M73,"")</f>
        <v/>
      </c>
      <c r="I1170" t="str">
        <f>IF(AND($B1170, Calculations!$B$9),Calculations!AB778,"")</f>
        <v/>
      </c>
      <c r="J1170" t="str">
        <f>IF(AND($B1170, Calculations!$B$9),Calculations!AC778,"")</f>
        <v/>
      </c>
      <c r="K1170" s="314" t="str">
        <f>IF(AND($B1170, Calculations!$B$8), 'Final Building Profile'!J73, "")</f>
        <v/>
      </c>
      <c r="L1170" s="250" t="str">
        <f>IF(AND($B1170, Calculations!$B$8), 'Final Building Profile'!K73, "")</f>
        <v/>
      </c>
      <c r="M1170" t="str">
        <f>IF(AND($B1170, Calculations!$B$8), 'Final Building Profile'!L73, "")</f>
        <v/>
      </c>
      <c r="N1170" t="str">
        <f>IF(AND($B1170, Calculations!$B$8),Calculations!AB778,"")</f>
        <v/>
      </c>
      <c r="O1170" t="str">
        <f>IF(AND($B1170, Calculations!$B$8),Calculations!AC778,"")</f>
        <v/>
      </c>
      <c r="P1170" s="314" t="str">
        <f>IF(AND($B1170, Calculations!$B$7), 'Final Building Profile'!P73, "")</f>
        <v/>
      </c>
      <c r="Q1170" s="204" t="str">
        <f>IF(AND($B1170, Calculations!$B$7), 'Final Building Profile'!Q73, "")</f>
        <v/>
      </c>
      <c r="R1170" t="str">
        <f>IF(AND($B1170, Calculations!$B$7), 'Final Building Profile'!N73-'Final Building Profile'!O73, "")</f>
        <v/>
      </c>
      <c r="S1170" t="str">
        <f>IF(AND($B1170, Calculations!$B$7),Calculations!AD778,"")</f>
        <v/>
      </c>
      <c r="T1170" t="str">
        <f>IF(AND($B1170, Calculations!$B$7),Calculations!AE778,"")</f>
        <v/>
      </c>
    </row>
    <row r="1171" spans="1:20">
      <c r="A1171" s="195" t="str">
        <f>IF(C1171="","",MAX(A$1099:A1170)+1)</f>
        <v/>
      </c>
      <c r="B1171" s="195" t="b">
        <f t="shared" si="19"/>
        <v>0</v>
      </c>
      <c r="C1171" t="str">
        <f>CONCATENATE('Final Building Profile'!B74)</f>
        <v/>
      </c>
      <c r="D1171" t="str">
        <f>CONCATENATE('Final Building Profile'!C74)</f>
        <v/>
      </c>
      <c r="E1171" t="str">
        <f>CONCATENATE('Final Building Profile'!F74)</f>
        <v/>
      </c>
      <c r="F1171" s="314" t="str">
        <f>IF(AND($B1171, Calculations!$B$9), 'Final Building Profile'!J74, "")</f>
        <v/>
      </c>
      <c r="G1171" s="250" t="str">
        <f>IF(AND($B1171, Calculations!$B$9), 'Final Building Profile'!K74, "")</f>
        <v/>
      </c>
      <c r="H1171" t="str">
        <f>IF(AND($B1171, Calculations!$B$9),'Final Building Profile'!M74,"")</f>
        <v/>
      </c>
      <c r="I1171" t="str">
        <f>IF(AND($B1171, Calculations!$B$9),Calculations!AB779,"")</f>
        <v/>
      </c>
      <c r="J1171" t="str">
        <f>IF(AND($B1171, Calculations!$B$9),Calculations!AC779,"")</f>
        <v/>
      </c>
      <c r="K1171" s="314" t="str">
        <f>IF(AND($B1171, Calculations!$B$8), 'Final Building Profile'!J74, "")</f>
        <v/>
      </c>
      <c r="L1171" s="250" t="str">
        <f>IF(AND($B1171, Calculations!$B$8), 'Final Building Profile'!K74, "")</f>
        <v/>
      </c>
      <c r="M1171" t="str">
        <f>IF(AND($B1171, Calculations!$B$8), 'Final Building Profile'!L74, "")</f>
        <v/>
      </c>
      <c r="N1171" t="str">
        <f>IF(AND($B1171, Calculations!$B$8),Calculations!AB779,"")</f>
        <v/>
      </c>
      <c r="O1171" t="str">
        <f>IF(AND($B1171, Calculations!$B$8),Calculations!AC779,"")</f>
        <v/>
      </c>
      <c r="P1171" s="314" t="str">
        <f>IF(AND($B1171, Calculations!$B$7), 'Final Building Profile'!P74, "")</f>
        <v/>
      </c>
      <c r="Q1171" s="204" t="str">
        <f>IF(AND($B1171, Calculations!$B$7), 'Final Building Profile'!Q74, "")</f>
        <v/>
      </c>
      <c r="R1171" t="str">
        <f>IF(AND($B1171, Calculations!$B$7), 'Final Building Profile'!N74-'Final Building Profile'!O74, "")</f>
        <v/>
      </c>
      <c r="S1171" t="str">
        <f>IF(AND($B1171, Calculations!$B$7),Calculations!AD779,"")</f>
        <v/>
      </c>
      <c r="T1171" t="str">
        <f>IF(AND($B1171, Calculations!$B$7),Calculations!AE779,"")</f>
        <v/>
      </c>
    </row>
    <row r="1172" spans="1:20">
      <c r="A1172" s="195" t="str">
        <f>IF(C1172="","",MAX(A$1099:A1171)+1)</f>
        <v/>
      </c>
      <c r="B1172" s="195" t="b">
        <f t="shared" si="19"/>
        <v>0</v>
      </c>
      <c r="C1172" t="str">
        <f>CONCATENATE('Final Building Profile'!B75)</f>
        <v/>
      </c>
      <c r="D1172" t="str">
        <f>CONCATENATE('Final Building Profile'!C75)</f>
        <v/>
      </c>
      <c r="E1172" t="str">
        <f>CONCATENATE('Final Building Profile'!F75)</f>
        <v/>
      </c>
      <c r="F1172" s="314" t="str">
        <f>IF(AND($B1172, Calculations!$B$9), 'Final Building Profile'!J75, "")</f>
        <v/>
      </c>
      <c r="G1172" s="250" t="str">
        <f>IF(AND($B1172, Calculations!$B$9), 'Final Building Profile'!K75, "")</f>
        <v/>
      </c>
      <c r="H1172" t="str">
        <f>IF(AND($B1172, Calculations!$B$9),'Final Building Profile'!M75,"")</f>
        <v/>
      </c>
      <c r="I1172" t="str">
        <f>IF(AND($B1172, Calculations!$B$9),Calculations!AB780,"")</f>
        <v/>
      </c>
      <c r="J1172" t="str">
        <f>IF(AND($B1172, Calculations!$B$9),Calculations!AC780,"")</f>
        <v/>
      </c>
      <c r="K1172" s="314" t="str">
        <f>IF(AND($B1172, Calculations!$B$8), 'Final Building Profile'!J75, "")</f>
        <v/>
      </c>
      <c r="L1172" s="250" t="str">
        <f>IF(AND($B1172, Calculations!$B$8), 'Final Building Profile'!K75, "")</f>
        <v/>
      </c>
      <c r="M1172" t="str">
        <f>IF(AND($B1172, Calculations!$B$8), 'Final Building Profile'!L75, "")</f>
        <v/>
      </c>
      <c r="N1172" t="str">
        <f>IF(AND($B1172, Calculations!$B$8),Calculations!AB780,"")</f>
        <v/>
      </c>
      <c r="O1172" t="str">
        <f>IF(AND($B1172, Calculations!$B$8),Calculations!AC780,"")</f>
        <v/>
      </c>
      <c r="P1172" s="314" t="str">
        <f>IF(AND($B1172, Calculations!$B$7), 'Final Building Profile'!P75, "")</f>
        <v/>
      </c>
      <c r="Q1172" s="204" t="str">
        <f>IF(AND($B1172, Calculations!$B$7), 'Final Building Profile'!Q75, "")</f>
        <v/>
      </c>
      <c r="R1172" t="str">
        <f>IF(AND($B1172, Calculations!$B$7), 'Final Building Profile'!N75-'Final Building Profile'!O75, "")</f>
        <v/>
      </c>
      <c r="S1172" t="str">
        <f>IF(AND($B1172, Calculations!$B$7),Calculations!AD780,"")</f>
        <v/>
      </c>
      <c r="T1172" t="str">
        <f>IF(AND($B1172, Calculations!$B$7),Calculations!AE780,"")</f>
        <v/>
      </c>
    </row>
    <row r="1173" spans="1:20">
      <c r="A1173" s="195" t="str">
        <f>IF(C1173="","",MAX(A$1099:A1172)+1)</f>
        <v/>
      </c>
      <c r="B1173" s="195" t="b">
        <f t="shared" si="19"/>
        <v>0</v>
      </c>
      <c r="C1173" t="str">
        <f>CONCATENATE('Final Building Profile'!B76)</f>
        <v/>
      </c>
      <c r="D1173" t="str">
        <f>CONCATENATE('Final Building Profile'!C76)</f>
        <v/>
      </c>
      <c r="E1173" t="str">
        <f>CONCATENATE('Final Building Profile'!F76)</f>
        <v/>
      </c>
      <c r="F1173" s="314" t="str">
        <f>IF(AND($B1173, Calculations!$B$9), 'Final Building Profile'!J76, "")</f>
        <v/>
      </c>
      <c r="G1173" s="250" t="str">
        <f>IF(AND($B1173, Calculations!$B$9), 'Final Building Profile'!K76, "")</f>
        <v/>
      </c>
      <c r="H1173" t="str">
        <f>IF(AND($B1173, Calculations!$B$9),'Final Building Profile'!M76,"")</f>
        <v/>
      </c>
      <c r="I1173" t="str">
        <f>IF(AND($B1173, Calculations!$B$9),Calculations!AB781,"")</f>
        <v/>
      </c>
      <c r="J1173" t="str">
        <f>IF(AND($B1173, Calculations!$B$9),Calculations!AC781,"")</f>
        <v/>
      </c>
      <c r="K1173" s="314" t="str">
        <f>IF(AND($B1173, Calculations!$B$8), 'Final Building Profile'!J76, "")</f>
        <v/>
      </c>
      <c r="L1173" s="250" t="str">
        <f>IF(AND($B1173, Calculations!$B$8), 'Final Building Profile'!K76, "")</f>
        <v/>
      </c>
      <c r="M1173" t="str">
        <f>IF(AND($B1173, Calculations!$B$8), 'Final Building Profile'!L76, "")</f>
        <v/>
      </c>
      <c r="N1173" t="str">
        <f>IF(AND($B1173, Calculations!$B$8),Calculations!AB781,"")</f>
        <v/>
      </c>
      <c r="O1173" t="str">
        <f>IF(AND($B1173, Calculations!$B$8),Calculations!AC781,"")</f>
        <v/>
      </c>
      <c r="P1173" s="314" t="str">
        <f>IF(AND($B1173, Calculations!$B$7), 'Final Building Profile'!P76, "")</f>
        <v/>
      </c>
      <c r="Q1173" s="204" t="str">
        <f>IF(AND($B1173, Calculations!$B$7), 'Final Building Profile'!Q76, "")</f>
        <v/>
      </c>
      <c r="R1173" t="str">
        <f>IF(AND($B1173, Calculations!$B$7), 'Final Building Profile'!N76-'Final Building Profile'!O76, "")</f>
        <v/>
      </c>
      <c r="S1173" t="str">
        <f>IF(AND($B1173, Calculations!$B$7),Calculations!AD781,"")</f>
        <v/>
      </c>
      <c r="T1173" t="str">
        <f>IF(AND($B1173, Calculations!$B$7),Calculations!AE781,"")</f>
        <v/>
      </c>
    </row>
    <row r="1174" spans="1:20">
      <c r="A1174" s="195" t="str">
        <f>IF(C1174="","",MAX(A$1099:A1173)+1)</f>
        <v/>
      </c>
      <c r="B1174" s="195" t="b">
        <f t="shared" si="19"/>
        <v>0</v>
      </c>
      <c r="C1174" t="str">
        <f>CONCATENATE('Final Building Profile'!B77)</f>
        <v/>
      </c>
      <c r="D1174" t="str">
        <f>CONCATENATE('Final Building Profile'!C77)</f>
        <v/>
      </c>
      <c r="E1174" t="str">
        <f>CONCATENATE('Final Building Profile'!F77)</f>
        <v/>
      </c>
      <c r="F1174" s="314" t="str">
        <f>IF(AND($B1174, Calculations!$B$9), 'Final Building Profile'!J77, "")</f>
        <v/>
      </c>
      <c r="G1174" s="250" t="str">
        <f>IF(AND($B1174, Calculations!$B$9), 'Final Building Profile'!K77, "")</f>
        <v/>
      </c>
      <c r="H1174" t="str">
        <f>IF(AND($B1174, Calculations!$B$9),'Final Building Profile'!M77,"")</f>
        <v/>
      </c>
      <c r="I1174" t="str">
        <f>IF(AND($B1174, Calculations!$B$9),Calculations!AB782,"")</f>
        <v/>
      </c>
      <c r="J1174" t="str">
        <f>IF(AND($B1174, Calculations!$B$9),Calculations!AC782,"")</f>
        <v/>
      </c>
      <c r="K1174" s="314" t="str">
        <f>IF(AND($B1174, Calculations!$B$8), 'Final Building Profile'!J77, "")</f>
        <v/>
      </c>
      <c r="L1174" s="250" t="str">
        <f>IF(AND($B1174, Calculations!$B$8), 'Final Building Profile'!K77, "")</f>
        <v/>
      </c>
      <c r="M1174" t="str">
        <f>IF(AND($B1174, Calculations!$B$8), 'Final Building Profile'!L77, "")</f>
        <v/>
      </c>
      <c r="N1174" t="str">
        <f>IF(AND($B1174, Calculations!$B$8),Calculations!AB782,"")</f>
        <v/>
      </c>
      <c r="O1174" t="str">
        <f>IF(AND($B1174, Calculations!$B$8),Calculations!AC782,"")</f>
        <v/>
      </c>
      <c r="P1174" s="314" t="str">
        <f>IF(AND($B1174, Calculations!$B$7), 'Final Building Profile'!P77, "")</f>
        <v/>
      </c>
      <c r="Q1174" s="204" t="str">
        <f>IF(AND($B1174, Calculations!$B$7), 'Final Building Profile'!Q77, "")</f>
        <v/>
      </c>
      <c r="R1174" t="str">
        <f>IF(AND($B1174, Calculations!$B$7), 'Final Building Profile'!N77-'Final Building Profile'!O77, "")</f>
        <v/>
      </c>
      <c r="S1174" t="str">
        <f>IF(AND($B1174, Calculations!$B$7),Calculations!AD782,"")</f>
        <v/>
      </c>
      <c r="T1174" t="str">
        <f>IF(AND($B1174, Calculations!$B$7),Calculations!AE782,"")</f>
        <v/>
      </c>
    </row>
    <row r="1175" spans="1:20">
      <c r="A1175" s="195" t="str">
        <f>IF(C1175="","",MAX(A$1099:A1174)+1)</f>
        <v/>
      </c>
      <c r="B1175" s="195" t="b">
        <f t="shared" si="19"/>
        <v>0</v>
      </c>
      <c r="C1175" t="str">
        <f>CONCATENATE('Final Building Profile'!B78)</f>
        <v/>
      </c>
      <c r="D1175" t="str">
        <f>CONCATENATE('Final Building Profile'!C78)</f>
        <v/>
      </c>
      <c r="E1175" t="str">
        <f>CONCATENATE('Final Building Profile'!F78)</f>
        <v/>
      </c>
      <c r="F1175" s="314" t="str">
        <f>IF(AND($B1175, Calculations!$B$9), 'Final Building Profile'!J78, "")</f>
        <v/>
      </c>
      <c r="G1175" s="250" t="str">
        <f>IF(AND($B1175, Calculations!$B$9), 'Final Building Profile'!K78, "")</f>
        <v/>
      </c>
      <c r="H1175" t="str">
        <f>IF(AND($B1175, Calculations!$B$9),'Final Building Profile'!M78,"")</f>
        <v/>
      </c>
      <c r="I1175" t="str">
        <f>IF(AND($B1175, Calculations!$B$9),Calculations!AB783,"")</f>
        <v/>
      </c>
      <c r="J1175" t="str">
        <f>IF(AND($B1175, Calculations!$B$9),Calculations!AC783,"")</f>
        <v/>
      </c>
      <c r="K1175" s="314" t="str">
        <f>IF(AND($B1175, Calculations!$B$8), 'Final Building Profile'!J78, "")</f>
        <v/>
      </c>
      <c r="L1175" s="250" t="str">
        <f>IF(AND($B1175, Calculations!$B$8), 'Final Building Profile'!K78, "")</f>
        <v/>
      </c>
      <c r="M1175" t="str">
        <f>IF(AND($B1175, Calculations!$B$8), 'Final Building Profile'!L78, "")</f>
        <v/>
      </c>
      <c r="N1175" t="str">
        <f>IF(AND($B1175, Calculations!$B$8),Calculations!AB783,"")</f>
        <v/>
      </c>
      <c r="O1175" t="str">
        <f>IF(AND($B1175, Calculations!$B$8),Calculations!AC783,"")</f>
        <v/>
      </c>
      <c r="P1175" s="314" t="str">
        <f>IF(AND($B1175, Calculations!$B$7), 'Final Building Profile'!P78, "")</f>
        <v/>
      </c>
      <c r="Q1175" s="204" t="str">
        <f>IF(AND($B1175, Calculations!$B$7), 'Final Building Profile'!Q78, "")</f>
        <v/>
      </c>
      <c r="R1175" t="str">
        <f>IF(AND($B1175, Calculations!$B$7), 'Final Building Profile'!N78-'Final Building Profile'!O78, "")</f>
        <v/>
      </c>
      <c r="S1175" t="str">
        <f>IF(AND($B1175, Calculations!$B$7),Calculations!AD783,"")</f>
        <v/>
      </c>
      <c r="T1175" t="str">
        <f>IF(AND($B1175, Calculations!$B$7),Calculations!AE783,"")</f>
        <v/>
      </c>
    </row>
    <row r="1176" spans="1:20">
      <c r="A1176" s="195" t="str">
        <f>IF(C1176="","",MAX(A$1099:A1175)+1)</f>
        <v/>
      </c>
      <c r="B1176" s="195" t="b">
        <f t="shared" si="19"/>
        <v>0</v>
      </c>
      <c r="C1176" t="str">
        <f>CONCATENATE('Final Building Profile'!B79)</f>
        <v/>
      </c>
      <c r="D1176" t="str">
        <f>CONCATENATE('Final Building Profile'!C79)</f>
        <v/>
      </c>
      <c r="E1176" t="str">
        <f>CONCATENATE('Final Building Profile'!F79)</f>
        <v/>
      </c>
      <c r="F1176" s="314" t="str">
        <f>IF(AND($B1176, Calculations!$B$9), 'Final Building Profile'!J79, "")</f>
        <v/>
      </c>
      <c r="G1176" s="250" t="str">
        <f>IF(AND($B1176, Calculations!$B$9), 'Final Building Profile'!K79, "")</f>
        <v/>
      </c>
      <c r="H1176" t="str">
        <f>IF(AND($B1176, Calculations!$B$9),'Final Building Profile'!M79,"")</f>
        <v/>
      </c>
      <c r="I1176" t="str">
        <f>IF(AND($B1176, Calculations!$B$9),Calculations!AB784,"")</f>
        <v/>
      </c>
      <c r="J1176" t="str">
        <f>IF(AND($B1176, Calculations!$B$9),Calculations!AC784,"")</f>
        <v/>
      </c>
      <c r="K1176" s="314" t="str">
        <f>IF(AND($B1176, Calculations!$B$8), 'Final Building Profile'!J79, "")</f>
        <v/>
      </c>
      <c r="L1176" s="250" t="str">
        <f>IF(AND($B1176, Calculations!$B$8), 'Final Building Profile'!K79, "")</f>
        <v/>
      </c>
      <c r="M1176" t="str">
        <f>IF(AND($B1176, Calculations!$B$8), 'Final Building Profile'!L79, "")</f>
        <v/>
      </c>
      <c r="N1176" t="str">
        <f>IF(AND($B1176, Calculations!$B$8),Calculations!AB784,"")</f>
        <v/>
      </c>
      <c r="O1176" t="str">
        <f>IF(AND($B1176, Calculations!$B$8),Calculations!AC784,"")</f>
        <v/>
      </c>
      <c r="P1176" s="314" t="str">
        <f>IF(AND($B1176, Calculations!$B$7), 'Final Building Profile'!P79, "")</f>
        <v/>
      </c>
      <c r="Q1176" s="204" t="str">
        <f>IF(AND($B1176, Calculations!$B$7), 'Final Building Profile'!Q79, "")</f>
        <v/>
      </c>
      <c r="R1176" t="str">
        <f>IF(AND($B1176, Calculations!$B$7), 'Final Building Profile'!N79-'Final Building Profile'!O79, "")</f>
        <v/>
      </c>
      <c r="S1176" t="str">
        <f>IF(AND($B1176, Calculations!$B$7),Calculations!AD784,"")</f>
        <v/>
      </c>
      <c r="T1176" t="str">
        <f>IF(AND($B1176, Calculations!$B$7),Calculations!AE784,"")</f>
        <v/>
      </c>
    </row>
    <row r="1177" spans="1:20">
      <c r="A1177" s="195" t="str">
        <f>IF(C1177="","",MAX(A$1099:A1176)+1)</f>
        <v/>
      </c>
      <c r="B1177" s="195" t="b">
        <f t="shared" si="19"/>
        <v>0</v>
      </c>
      <c r="C1177" t="str">
        <f>CONCATENATE('Final Building Profile'!B80)</f>
        <v/>
      </c>
      <c r="D1177" t="str">
        <f>CONCATENATE('Final Building Profile'!C80)</f>
        <v/>
      </c>
      <c r="E1177" t="str">
        <f>CONCATENATE('Final Building Profile'!F80)</f>
        <v/>
      </c>
      <c r="F1177" s="314" t="str">
        <f>IF(AND($B1177, Calculations!$B$9), 'Final Building Profile'!J80, "")</f>
        <v/>
      </c>
      <c r="G1177" s="250" t="str">
        <f>IF(AND($B1177, Calculations!$B$9), 'Final Building Profile'!K80, "")</f>
        <v/>
      </c>
      <c r="H1177" t="str">
        <f>IF(AND($B1177, Calculations!$B$9),'Final Building Profile'!M80,"")</f>
        <v/>
      </c>
      <c r="I1177" t="str">
        <f>IF(AND($B1177, Calculations!$B$9),Calculations!AB785,"")</f>
        <v/>
      </c>
      <c r="J1177" t="str">
        <f>IF(AND($B1177, Calculations!$B$9),Calculations!AC785,"")</f>
        <v/>
      </c>
      <c r="K1177" s="314" t="str">
        <f>IF(AND($B1177, Calculations!$B$8), 'Final Building Profile'!J80, "")</f>
        <v/>
      </c>
      <c r="L1177" s="250" t="str">
        <f>IF(AND($B1177, Calculations!$B$8), 'Final Building Profile'!K80, "")</f>
        <v/>
      </c>
      <c r="M1177" t="str">
        <f>IF(AND($B1177, Calculations!$B$8), 'Final Building Profile'!L80, "")</f>
        <v/>
      </c>
      <c r="N1177" t="str">
        <f>IF(AND($B1177, Calculations!$B$8),Calculations!AB785,"")</f>
        <v/>
      </c>
      <c r="O1177" t="str">
        <f>IF(AND($B1177, Calculations!$B$8),Calculations!AC785,"")</f>
        <v/>
      </c>
      <c r="P1177" s="314" t="str">
        <f>IF(AND($B1177, Calculations!$B$7), 'Final Building Profile'!P80, "")</f>
        <v/>
      </c>
      <c r="Q1177" s="204" t="str">
        <f>IF(AND($B1177, Calculations!$B$7), 'Final Building Profile'!Q80, "")</f>
        <v/>
      </c>
      <c r="R1177" t="str">
        <f>IF(AND($B1177, Calculations!$B$7), 'Final Building Profile'!N80-'Final Building Profile'!O80, "")</f>
        <v/>
      </c>
      <c r="S1177" t="str">
        <f>IF(AND($B1177, Calculations!$B$7),Calculations!AD785,"")</f>
        <v/>
      </c>
      <c r="T1177" t="str">
        <f>IF(AND($B1177, Calculations!$B$7),Calculations!AE785,"")</f>
        <v/>
      </c>
    </row>
    <row r="1178" spans="1:20">
      <c r="A1178" s="195" t="str">
        <f>IF(C1178="","",MAX(A$1099:A1177)+1)</f>
        <v/>
      </c>
      <c r="B1178" s="195" t="b">
        <f t="shared" si="19"/>
        <v>0</v>
      </c>
      <c r="C1178" t="str">
        <f>CONCATENATE('Final Building Profile'!B81)</f>
        <v/>
      </c>
      <c r="D1178" t="str">
        <f>CONCATENATE('Final Building Profile'!C81)</f>
        <v/>
      </c>
      <c r="E1178" t="str">
        <f>CONCATENATE('Final Building Profile'!F81)</f>
        <v/>
      </c>
      <c r="F1178" s="314" t="str">
        <f>IF(AND($B1178, Calculations!$B$9), 'Final Building Profile'!J81, "")</f>
        <v/>
      </c>
      <c r="G1178" s="250" t="str">
        <f>IF(AND($B1178, Calculations!$B$9), 'Final Building Profile'!K81, "")</f>
        <v/>
      </c>
      <c r="H1178" t="str">
        <f>IF(AND($B1178, Calculations!$B$9),'Final Building Profile'!M81,"")</f>
        <v/>
      </c>
      <c r="I1178" t="str">
        <f>IF(AND($B1178, Calculations!$B$9),Calculations!AB786,"")</f>
        <v/>
      </c>
      <c r="J1178" t="str">
        <f>IF(AND($B1178, Calculations!$B$9),Calculations!AC786,"")</f>
        <v/>
      </c>
      <c r="K1178" s="314" t="str">
        <f>IF(AND($B1178, Calculations!$B$8), 'Final Building Profile'!J81, "")</f>
        <v/>
      </c>
      <c r="L1178" s="250" t="str">
        <f>IF(AND($B1178, Calculations!$B$8), 'Final Building Profile'!K81, "")</f>
        <v/>
      </c>
      <c r="M1178" t="str">
        <f>IF(AND($B1178, Calculations!$B$8), 'Final Building Profile'!L81, "")</f>
        <v/>
      </c>
      <c r="N1178" t="str">
        <f>IF(AND($B1178, Calculations!$B$8),Calculations!AB786,"")</f>
        <v/>
      </c>
      <c r="O1178" t="str">
        <f>IF(AND($B1178, Calculations!$B$8),Calculations!AC786,"")</f>
        <v/>
      </c>
      <c r="P1178" s="314" t="str">
        <f>IF(AND($B1178, Calculations!$B$7), 'Final Building Profile'!P81, "")</f>
        <v/>
      </c>
      <c r="Q1178" s="204" t="str">
        <f>IF(AND($B1178, Calculations!$B$7), 'Final Building Profile'!Q81, "")</f>
        <v/>
      </c>
      <c r="R1178" t="str">
        <f>IF(AND($B1178, Calculations!$B$7), 'Final Building Profile'!N81-'Final Building Profile'!O81, "")</f>
        <v/>
      </c>
      <c r="S1178" t="str">
        <f>IF(AND($B1178, Calculations!$B$7),Calculations!AD786,"")</f>
        <v/>
      </c>
      <c r="T1178" t="str">
        <f>IF(AND($B1178, Calculations!$B$7),Calculations!AE786,"")</f>
        <v/>
      </c>
    </row>
    <row r="1179" spans="1:20">
      <c r="A1179" s="195" t="str">
        <f>IF(C1179="","",MAX(A$1099:A1178)+1)</f>
        <v/>
      </c>
      <c r="B1179" s="195" t="b">
        <f t="shared" si="19"/>
        <v>0</v>
      </c>
      <c r="C1179" t="str">
        <f>CONCATENATE('Final Building Profile'!B82)</f>
        <v/>
      </c>
      <c r="D1179" t="str">
        <f>CONCATENATE('Final Building Profile'!C82)</f>
        <v/>
      </c>
      <c r="E1179" t="str">
        <f>CONCATENATE('Final Building Profile'!F82)</f>
        <v/>
      </c>
      <c r="F1179" s="314" t="str">
        <f>IF(AND($B1179, Calculations!$B$9), 'Final Building Profile'!J82, "")</f>
        <v/>
      </c>
      <c r="G1179" s="250" t="str">
        <f>IF(AND($B1179, Calculations!$B$9), 'Final Building Profile'!K82, "")</f>
        <v/>
      </c>
      <c r="H1179" t="str">
        <f>IF(AND($B1179, Calculations!$B$9),'Final Building Profile'!M82,"")</f>
        <v/>
      </c>
      <c r="I1179" t="str">
        <f>IF(AND($B1179, Calculations!$B$9),Calculations!AB787,"")</f>
        <v/>
      </c>
      <c r="J1179" t="str">
        <f>IF(AND($B1179, Calculations!$B$9),Calculations!AC787,"")</f>
        <v/>
      </c>
      <c r="K1179" s="314" t="str">
        <f>IF(AND($B1179, Calculations!$B$8), 'Final Building Profile'!J82, "")</f>
        <v/>
      </c>
      <c r="L1179" s="250" t="str">
        <f>IF(AND($B1179, Calculations!$B$8), 'Final Building Profile'!K82, "")</f>
        <v/>
      </c>
      <c r="M1179" t="str">
        <f>IF(AND($B1179, Calculations!$B$8), 'Final Building Profile'!L82, "")</f>
        <v/>
      </c>
      <c r="N1179" t="str">
        <f>IF(AND($B1179, Calculations!$B$8),Calculations!AB787,"")</f>
        <v/>
      </c>
      <c r="O1179" t="str">
        <f>IF(AND($B1179, Calculations!$B$8),Calculations!AC787,"")</f>
        <v/>
      </c>
      <c r="P1179" s="314" t="str">
        <f>IF(AND($B1179, Calculations!$B$7), 'Final Building Profile'!P82, "")</f>
        <v/>
      </c>
      <c r="Q1179" s="204" t="str">
        <f>IF(AND($B1179, Calculations!$B$7), 'Final Building Profile'!Q82, "")</f>
        <v/>
      </c>
      <c r="R1179" t="str">
        <f>IF(AND($B1179, Calculations!$B$7), 'Final Building Profile'!N82-'Final Building Profile'!O82, "")</f>
        <v/>
      </c>
      <c r="S1179" t="str">
        <f>IF(AND($B1179, Calculations!$B$7),Calculations!AD787,"")</f>
        <v/>
      </c>
      <c r="T1179" t="str">
        <f>IF(AND($B1179, Calculations!$B$7),Calculations!AE787,"")</f>
        <v/>
      </c>
    </row>
    <row r="1180" spans="1:20">
      <c r="A1180" s="195" t="str">
        <f>IF(C1180="","",MAX(A$1099:A1179)+1)</f>
        <v/>
      </c>
      <c r="B1180" s="195" t="b">
        <f t="shared" si="19"/>
        <v>0</v>
      </c>
      <c r="C1180" t="str">
        <f>CONCATENATE('Final Building Profile'!B83)</f>
        <v/>
      </c>
      <c r="D1180" t="str">
        <f>CONCATENATE('Final Building Profile'!C83)</f>
        <v/>
      </c>
      <c r="E1180" t="str">
        <f>CONCATENATE('Final Building Profile'!F83)</f>
        <v/>
      </c>
      <c r="F1180" s="314" t="str">
        <f>IF(AND($B1180, Calculations!$B$9), 'Final Building Profile'!J83, "")</f>
        <v/>
      </c>
      <c r="G1180" s="250" t="str">
        <f>IF(AND($B1180, Calculations!$B$9), 'Final Building Profile'!K83, "")</f>
        <v/>
      </c>
      <c r="H1180" t="str">
        <f>IF(AND($B1180, Calculations!$B$9),'Final Building Profile'!M83,"")</f>
        <v/>
      </c>
      <c r="I1180" t="str">
        <f>IF(AND($B1180, Calculations!$B$9),Calculations!AB788,"")</f>
        <v/>
      </c>
      <c r="J1180" t="str">
        <f>IF(AND($B1180, Calculations!$B$9),Calculations!AC788,"")</f>
        <v/>
      </c>
      <c r="K1180" s="314" t="str">
        <f>IF(AND($B1180, Calculations!$B$8), 'Final Building Profile'!J83, "")</f>
        <v/>
      </c>
      <c r="L1180" s="250" t="str">
        <f>IF(AND($B1180, Calculations!$B$8), 'Final Building Profile'!K83, "")</f>
        <v/>
      </c>
      <c r="M1180" t="str">
        <f>IF(AND($B1180, Calculations!$B$8), 'Final Building Profile'!L83, "")</f>
        <v/>
      </c>
      <c r="N1180" t="str">
        <f>IF(AND($B1180, Calculations!$B$8),Calculations!AB788,"")</f>
        <v/>
      </c>
      <c r="O1180" t="str">
        <f>IF(AND($B1180, Calculations!$B$8),Calculations!AC788,"")</f>
        <v/>
      </c>
      <c r="P1180" s="314" t="str">
        <f>IF(AND($B1180, Calculations!$B$7), 'Final Building Profile'!P83, "")</f>
        <v/>
      </c>
      <c r="Q1180" s="204" t="str">
        <f>IF(AND($B1180, Calculations!$B$7), 'Final Building Profile'!Q83, "")</f>
        <v/>
      </c>
      <c r="R1180" t="str">
        <f>IF(AND($B1180, Calculations!$B$7), 'Final Building Profile'!N83-'Final Building Profile'!O83, "")</f>
        <v/>
      </c>
      <c r="S1180" t="str">
        <f>IF(AND($B1180, Calculations!$B$7),Calculations!AD788,"")</f>
        <v/>
      </c>
      <c r="T1180" t="str">
        <f>IF(AND($B1180, Calculations!$B$7),Calculations!AE788,"")</f>
        <v/>
      </c>
    </row>
    <row r="1181" spans="1:20">
      <c r="A1181" s="195" t="str">
        <f>IF(C1181="","",MAX(A$1099:A1180)+1)</f>
        <v/>
      </c>
      <c r="B1181" s="195" t="b">
        <f t="shared" si="19"/>
        <v>0</v>
      </c>
      <c r="C1181" t="str">
        <f>CONCATENATE('Final Building Profile'!B84)</f>
        <v/>
      </c>
      <c r="D1181" t="str">
        <f>CONCATENATE('Final Building Profile'!C84)</f>
        <v/>
      </c>
      <c r="E1181" t="str">
        <f>CONCATENATE('Final Building Profile'!F84)</f>
        <v/>
      </c>
      <c r="F1181" s="314" t="str">
        <f>IF(AND($B1181, Calculations!$B$9), 'Final Building Profile'!J84, "")</f>
        <v/>
      </c>
      <c r="G1181" s="250" t="str">
        <f>IF(AND($B1181, Calculations!$B$9), 'Final Building Profile'!K84, "")</f>
        <v/>
      </c>
      <c r="H1181" t="str">
        <f>IF(AND($B1181, Calculations!$B$9),'Final Building Profile'!M84,"")</f>
        <v/>
      </c>
      <c r="I1181" t="str">
        <f>IF(AND($B1181, Calculations!$B$9),Calculations!AB789,"")</f>
        <v/>
      </c>
      <c r="J1181" t="str">
        <f>IF(AND($B1181, Calculations!$B$9),Calculations!AC789,"")</f>
        <v/>
      </c>
      <c r="K1181" s="314" t="str">
        <f>IF(AND($B1181, Calculations!$B$8), 'Final Building Profile'!J84, "")</f>
        <v/>
      </c>
      <c r="L1181" s="250" t="str">
        <f>IF(AND($B1181, Calculations!$B$8), 'Final Building Profile'!K84, "")</f>
        <v/>
      </c>
      <c r="M1181" t="str">
        <f>IF(AND($B1181, Calculations!$B$8), 'Final Building Profile'!L84, "")</f>
        <v/>
      </c>
      <c r="N1181" t="str">
        <f>IF(AND($B1181, Calculations!$B$8),Calculations!AB789,"")</f>
        <v/>
      </c>
      <c r="O1181" t="str">
        <f>IF(AND($B1181, Calculations!$B$8),Calculations!AC789,"")</f>
        <v/>
      </c>
      <c r="P1181" s="314" t="str">
        <f>IF(AND($B1181, Calculations!$B$7), 'Final Building Profile'!P84, "")</f>
        <v/>
      </c>
      <c r="Q1181" s="204" t="str">
        <f>IF(AND($B1181, Calculations!$B$7), 'Final Building Profile'!Q84, "")</f>
        <v/>
      </c>
      <c r="R1181" t="str">
        <f>IF(AND($B1181, Calculations!$B$7), 'Final Building Profile'!N84-'Final Building Profile'!O84, "")</f>
        <v/>
      </c>
      <c r="S1181" t="str">
        <f>IF(AND($B1181, Calculations!$B$7),Calculations!AD789,"")</f>
        <v/>
      </c>
      <c r="T1181" t="str">
        <f>IF(AND($B1181, Calculations!$B$7),Calculations!AE789,"")</f>
        <v/>
      </c>
    </row>
    <row r="1182" spans="1:20">
      <c r="A1182" s="195" t="str">
        <f>IF(C1182="","",MAX(A$1099:A1181)+1)</f>
        <v/>
      </c>
      <c r="B1182" s="195" t="b">
        <f t="shared" si="19"/>
        <v>0</v>
      </c>
      <c r="C1182" t="str">
        <f>CONCATENATE('Final Building Profile'!B85)</f>
        <v/>
      </c>
      <c r="D1182" t="str">
        <f>CONCATENATE('Final Building Profile'!C85)</f>
        <v/>
      </c>
      <c r="E1182" t="str">
        <f>CONCATENATE('Final Building Profile'!F85)</f>
        <v/>
      </c>
      <c r="F1182" s="314" t="str">
        <f>IF(AND($B1182, Calculations!$B$9), 'Final Building Profile'!J85, "")</f>
        <v/>
      </c>
      <c r="G1182" s="250" t="str">
        <f>IF(AND($B1182, Calculations!$B$9), 'Final Building Profile'!K85, "")</f>
        <v/>
      </c>
      <c r="H1182" t="str">
        <f>IF(AND($B1182, Calculations!$B$9),'Final Building Profile'!M85,"")</f>
        <v/>
      </c>
      <c r="I1182" t="str">
        <f>IF(AND($B1182, Calculations!$B$9),Calculations!AB790,"")</f>
        <v/>
      </c>
      <c r="J1182" t="str">
        <f>IF(AND($B1182, Calculations!$B$9),Calculations!AC790,"")</f>
        <v/>
      </c>
      <c r="K1182" s="314" t="str">
        <f>IF(AND($B1182, Calculations!$B$8), 'Final Building Profile'!J85, "")</f>
        <v/>
      </c>
      <c r="L1182" s="250" t="str">
        <f>IF(AND($B1182, Calculations!$B$8), 'Final Building Profile'!K85, "")</f>
        <v/>
      </c>
      <c r="M1182" t="str">
        <f>IF(AND($B1182, Calculations!$B$8), 'Final Building Profile'!L85, "")</f>
        <v/>
      </c>
      <c r="N1182" t="str">
        <f>IF(AND($B1182, Calculations!$B$8),Calculations!AB790,"")</f>
        <v/>
      </c>
      <c r="O1182" t="str">
        <f>IF(AND($B1182, Calculations!$B$8),Calculations!AC790,"")</f>
        <v/>
      </c>
      <c r="P1182" s="314" t="str">
        <f>IF(AND($B1182, Calculations!$B$7), 'Final Building Profile'!P85, "")</f>
        <v/>
      </c>
      <c r="Q1182" s="204" t="str">
        <f>IF(AND($B1182, Calculations!$B$7), 'Final Building Profile'!Q85, "")</f>
        <v/>
      </c>
      <c r="R1182" t="str">
        <f>IF(AND($B1182, Calculations!$B$7), 'Final Building Profile'!N85-'Final Building Profile'!O85, "")</f>
        <v/>
      </c>
      <c r="S1182" t="str">
        <f>IF(AND($B1182, Calculations!$B$7),Calculations!AD790,"")</f>
        <v/>
      </c>
      <c r="T1182" t="str">
        <f>IF(AND($B1182, Calculations!$B$7),Calculations!AE790,"")</f>
        <v/>
      </c>
    </row>
    <row r="1183" spans="1:20">
      <c r="A1183" s="195" t="str">
        <f>IF(C1183="","",MAX(A$1099:A1182)+1)</f>
        <v/>
      </c>
      <c r="B1183" s="195" t="b">
        <f t="shared" si="19"/>
        <v>0</v>
      </c>
      <c r="C1183" t="str">
        <f>CONCATENATE('Final Building Profile'!B86)</f>
        <v/>
      </c>
      <c r="D1183" t="str">
        <f>CONCATENATE('Final Building Profile'!C86)</f>
        <v/>
      </c>
      <c r="E1183" t="str">
        <f>CONCATENATE('Final Building Profile'!F86)</f>
        <v/>
      </c>
      <c r="F1183" s="314" t="str">
        <f>IF(AND($B1183, Calculations!$B$9), 'Final Building Profile'!J86, "")</f>
        <v/>
      </c>
      <c r="G1183" s="250" t="str">
        <f>IF(AND($B1183, Calculations!$B$9), 'Final Building Profile'!K86, "")</f>
        <v/>
      </c>
      <c r="H1183" t="str">
        <f>IF(AND($B1183, Calculations!$B$9),'Final Building Profile'!M86,"")</f>
        <v/>
      </c>
      <c r="I1183" t="str">
        <f>IF(AND($B1183, Calculations!$B$9),Calculations!AB791,"")</f>
        <v/>
      </c>
      <c r="J1183" t="str">
        <f>IF(AND($B1183, Calculations!$B$9),Calculations!AC791,"")</f>
        <v/>
      </c>
      <c r="K1183" s="314" t="str">
        <f>IF(AND($B1183, Calculations!$B$8), 'Final Building Profile'!J86, "")</f>
        <v/>
      </c>
      <c r="L1183" s="250" t="str">
        <f>IF(AND($B1183, Calculations!$B$8), 'Final Building Profile'!K86, "")</f>
        <v/>
      </c>
      <c r="M1183" t="str">
        <f>IF(AND($B1183, Calculations!$B$8), 'Final Building Profile'!L86, "")</f>
        <v/>
      </c>
      <c r="N1183" t="str">
        <f>IF(AND($B1183, Calculations!$B$8),Calculations!AB791,"")</f>
        <v/>
      </c>
      <c r="O1183" t="str">
        <f>IF(AND($B1183, Calculations!$B$8),Calculations!AC791,"")</f>
        <v/>
      </c>
      <c r="P1183" s="314" t="str">
        <f>IF(AND($B1183, Calculations!$B$7), 'Final Building Profile'!P86, "")</f>
        <v/>
      </c>
      <c r="Q1183" s="204" t="str">
        <f>IF(AND($B1183, Calculations!$B$7), 'Final Building Profile'!Q86, "")</f>
        <v/>
      </c>
      <c r="R1183" t="str">
        <f>IF(AND($B1183, Calculations!$B$7), 'Final Building Profile'!N86-'Final Building Profile'!O86, "")</f>
        <v/>
      </c>
      <c r="S1183" t="str">
        <f>IF(AND($B1183, Calculations!$B$7),Calculations!AD791,"")</f>
        <v/>
      </c>
      <c r="T1183" t="str">
        <f>IF(AND($B1183, Calculations!$B$7),Calculations!AE791,"")</f>
        <v/>
      </c>
    </row>
    <row r="1184" spans="1:20">
      <c r="A1184" s="195" t="str">
        <f>IF(C1184="","",MAX(A$1099:A1183)+1)</f>
        <v/>
      </c>
      <c r="B1184" s="195" t="b">
        <f t="shared" si="19"/>
        <v>0</v>
      </c>
      <c r="C1184" t="str">
        <f>CONCATENATE('Final Building Profile'!B87)</f>
        <v/>
      </c>
      <c r="D1184" t="str">
        <f>CONCATENATE('Final Building Profile'!C87)</f>
        <v/>
      </c>
      <c r="E1184" t="str">
        <f>CONCATENATE('Final Building Profile'!F87)</f>
        <v/>
      </c>
      <c r="F1184" s="314" t="str">
        <f>IF(AND($B1184, Calculations!$B$9), 'Final Building Profile'!J87, "")</f>
        <v/>
      </c>
      <c r="G1184" s="250" t="str">
        <f>IF(AND($B1184, Calculations!$B$9), 'Final Building Profile'!K87, "")</f>
        <v/>
      </c>
      <c r="H1184" t="str">
        <f>IF(AND($B1184, Calculations!$B$9),'Final Building Profile'!M87,"")</f>
        <v/>
      </c>
      <c r="I1184" t="str">
        <f>IF(AND($B1184, Calculations!$B$9),Calculations!AB792,"")</f>
        <v/>
      </c>
      <c r="J1184" t="str">
        <f>IF(AND($B1184, Calculations!$B$9),Calculations!AC792,"")</f>
        <v/>
      </c>
      <c r="K1184" s="314" t="str">
        <f>IF(AND($B1184, Calculations!$B$8), 'Final Building Profile'!J87, "")</f>
        <v/>
      </c>
      <c r="L1184" s="250" t="str">
        <f>IF(AND($B1184, Calculations!$B$8), 'Final Building Profile'!K87, "")</f>
        <v/>
      </c>
      <c r="M1184" t="str">
        <f>IF(AND($B1184, Calculations!$B$8), 'Final Building Profile'!L87, "")</f>
        <v/>
      </c>
      <c r="N1184" t="str">
        <f>IF(AND($B1184, Calculations!$B$8),Calculations!AB792,"")</f>
        <v/>
      </c>
      <c r="O1184" t="str">
        <f>IF(AND($B1184, Calculations!$B$8),Calculations!AC792,"")</f>
        <v/>
      </c>
      <c r="P1184" s="314" t="str">
        <f>IF(AND($B1184, Calculations!$B$7), 'Final Building Profile'!P87, "")</f>
        <v/>
      </c>
      <c r="Q1184" s="204" t="str">
        <f>IF(AND($B1184, Calculations!$B$7), 'Final Building Profile'!Q87, "")</f>
        <v/>
      </c>
      <c r="R1184" t="str">
        <f>IF(AND($B1184, Calculations!$B$7), 'Final Building Profile'!N87-'Final Building Profile'!O87, "")</f>
        <v/>
      </c>
      <c r="S1184" t="str">
        <f>IF(AND($B1184, Calculations!$B$7),Calculations!AD792,"")</f>
        <v/>
      </c>
      <c r="T1184" t="str">
        <f>IF(AND($B1184, Calculations!$B$7),Calculations!AE792,"")</f>
        <v/>
      </c>
    </row>
    <row r="1185" spans="1:20">
      <c r="A1185" s="195" t="str">
        <f>IF(C1185="","",MAX(A$1099:A1184)+1)</f>
        <v/>
      </c>
      <c r="B1185" s="195" t="b">
        <f t="shared" si="19"/>
        <v>0</v>
      </c>
      <c r="C1185" t="str">
        <f>CONCATENATE('Final Building Profile'!B88)</f>
        <v/>
      </c>
      <c r="D1185" t="str">
        <f>CONCATENATE('Final Building Profile'!C88)</f>
        <v/>
      </c>
      <c r="E1185" t="str">
        <f>CONCATENATE('Final Building Profile'!F88)</f>
        <v/>
      </c>
      <c r="F1185" s="314" t="str">
        <f>IF(AND($B1185, Calculations!$B$9), 'Final Building Profile'!J88, "")</f>
        <v/>
      </c>
      <c r="G1185" s="250" t="str">
        <f>IF(AND($B1185, Calculations!$B$9), 'Final Building Profile'!K88, "")</f>
        <v/>
      </c>
      <c r="H1185" t="str">
        <f>IF(AND($B1185, Calculations!$B$9),'Final Building Profile'!M88,"")</f>
        <v/>
      </c>
      <c r="I1185" t="str">
        <f>IF(AND($B1185, Calculations!$B$9),Calculations!AB793,"")</f>
        <v/>
      </c>
      <c r="J1185" t="str">
        <f>IF(AND($B1185, Calculations!$B$9),Calculations!AC793,"")</f>
        <v/>
      </c>
      <c r="K1185" s="314" t="str">
        <f>IF(AND($B1185, Calculations!$B$8), 'Final Building Profile'!J88, "")</f>
        <v/>
      </c>
      <c r="L1185" s="250" t="str">
        <f>IF(AND($B1185, Calculations!$B$8), 'Final Building Profile'!K88, "")</f>
        <v/>
      </c>
      <c r="M1185" t="str">
        <f>IF(AND($B1185, Calculations!$B$8), 'Final Building Profile'!L88, "")</f>
        <v/>
      </c>
      <c r="N1185" t="str">
        <f>IF(AND($B1185, Calculations!$B$8),Calculations!AB793,"")</f>
        <v/>
      </c>
      <c r="O1185" t="str">
        <f>IF(AND($B1185, Calculations!$B$8),Calculations!AC793,"")</f>
        <v/>
      </c>
      <c r="P1185" s="314" t="str">
        <f>IF(AND($B1185, Calculations!$B$7), 'Final Building Profile'!P88, "")</f>
        <v/>
      </c>
      <c r="Q1185" s="204" t="str">
        <f>IF(AND($B1185, Calculations!$B$7), 'Final Building Profile'!Q88, "")</f>
        <v/>
      </c>
      <c r="R1185" t="str">
        <f>IF(AND($B1185, Calculations!$B$7), 'Final Building Profile'!N88-'Final Building Profile'!O88, "")</f>
        <v/>
      </c>
      <c r="S1185" t="str">
        <f>IF(AND($B1185, Calculations!$B$7),Calculations!AD793,"")</f>
        <v/>
      </c>
      <c r="T1185" t="str">
        <f>IF(AND($B1185, Calculations!$B$7),Calculations!AE793,"")</f>
        <v/>
      </c>
    </row>
    <row r="1186" spans="1:20">
      <c r="A1186" s="195" t="str">
        <f>IF(C1186="","",MAX(A$1099:A1185)+1)</f>
        <v/>
      </c>
      <c r="B1186" s="195" t="b">
        <f t="shared" si="19"/>
        <v>0</v>
      </c>
      <c r="C1186" t="str">
        <f>CONCATENATE('Final Building Profile'!B89)</f>
        <v/>
      </c>
      <c r="D1186" t="str">
        <f>CONCATENATE('Final Building Profile'!C89)</f>
        <v/>
      </c>
      <c r="E1186" t="str">
        <f>CONCATENATE('Final Building Profile'!F89)</f>
        <v/>
      </c>
      <c r="F1186" s="314" t="str">
        <f>IF(AND($B1186, Calculations!$B$9), 'Final Building Profile'!J89, "")</f>
        <v/>
      </c>
      <c r="G1186" s="250" t="str">
        <f>IF(AND($B1186, Calculations!$B$9), 'Final Building Profile'!K89, "")</f>
        <v/>
      </c>
      <c r="H1186" t="str">
        <f>IF(AND($B1186, Calculations!$B$9),'Final Building Profile'!M89,"")</f>
        <v/>
      </c>
      <c r="I1186" t="str">
        <f>IF(AND($B1186, Calculations!$B$9),Calculations!AB794,"")</f>
        <v/>
      </c>
      <c r="J1186" t="str">
        <f>IF(AND($B1186, Calculations!$B$9),Calculations!AC794,"")</f>
        <v/>
      </c>
      <c r="K1186" s="314" t="str">
        <f>IF(AND($B1186, Calculations!$B$8), 'Final Building Profile'!J89, "")</f>
        <v/>
      </c>
      <c r="L1186" s="250" t="str">
        <f>IF(AND($B1186, Calculations!$B$8), 'Final Building Profile'!K89, "")</f>
        <v/>
      </c>
      <c r="M1186" t="str">
        <f>IF(AND($B1186, Calculations!$B$8), 'Final Building Profile'!L89, "")</f>
        <v/>
      </c>
      <c r="N1186" t="str">
        <f>IF(AND($B1186, Calculations!$B$8),Calculations!AB794,"")</f>
        <v/>
      </c>
      <c r="O1186" t="str">
        <f>IF(AND($B1186, Calculations!$B$8),Calculations!AC794,"")</f>
        <v/>
      </c>
      <c r="P1186" s="314" t="str">
        <f>IF(AND($B1186, Calculations!$B$7), 'Final Building Profile'!P89, "")</f>
        <v/>
      </c>
      <c r="Q1186" s="204" t="str">
        <f>IF(AND($B1186, Calculations!$B$7), 'Final Building Profile'!Q89, "")</f>
        <v/>
      </c>
      <c r="R1186" t="str">
        <f>IF(AND($B1186, Calculations!$B$7), 'Final Building Profile'!N89-'Final Building Profile'!O89, "")</f>
        <v/>
      </c>
      <c r="S1186" t="str">
        <f>IF(AND($B1186, Calculations!$B$7),Calculations!AD794,"")</f>
        <v/>
      </c>
      <c r="T1186" t="str">
        <f>IF(AND($B1186, Calculations!$B$7),Calculations!AE794,"")</f>
        <v/>
      </c>
    </row>
    <row r="1187" spans="1:20">
      <c r="A1187" s="195" t="str">
        <f>IF(C1187="","",MAX(A$1099:A1186)+1)</f>
        <v/>
      </c>
      <c r="B1187" s="195" t="b">
        <f t="shared" si="19"/>
        <v>0</v>
      </c>
      <c r="C1187" t="str">
        <f>CONCATENATE('Final Building Profile'!B90)</f>
        <v/>
      </c>
      <c r="D1187" t="str">
        <f>CONCATENATE('Final Building Profile'!C90)</f>
        <v/>
      </c>
      <c r="E1187" t="str">
        <f>CONCATENATE('Final Building Profile'!F90)</f>
        <v/>
      </c>
      <c r="F1187" s="314" t="str">
        <f>IF(AND($B1187, Calculations!$B$9), 'Final Building Profile'!J90, "")</f>
        <v/>
      </c>
      <c r="G1187" s="250" t="str">
        <f>IF(AND($B1187, Calculations!$B$9), 'Final Building Profile'!K90, "")</f>
        <v/>
      </c>
      <c r="H1187" t="str">
        <f>IF(AND($B1187, Calculations!$B$9),'Final Building Profile'!M90,"")</f>
        <v/>
      </c>
      <c r="I1187" t="str">
        <f>IF(AND($B1187, Calculations!$B$9),Calculations!AB795,"")</f>
        <v/>
      </c>
      <c r="J1187" t="str">
        <f>IF(AND($B1187, Calculations!$B$9),Calculations!AC795,"")</f>
        <v/>
      </c>
      <c r="K1187" s="314" t="str">
        <f>IF(AND($B1187, Calculations!$B$8), 'Final Building Profile'!J90, "")</f>
        <v/>
      </c>
      <c r="L1187" s="250" t="str">
        <f>IF(AND($B1187, Calculations!$B$8), 'Final Building Profile'!K90, "")</f>
        <v/>
      </c>
      <c r="M1187" t="str">
        <f>IF(AND($B1187, Calculations!$B$8), 'Final Building Profile'!L90, "")</f>
        <v/>
      </c>
      <c r="N1187" t="str">
        <f>IF(AND($B1187, Calculations!$B$8),Calculations!AB795,"")</f>
        <v/>
      </c>
      <c r="O1187" t="str">
        <f>IF(AND($B1187, Calculations!$B$8),Calculations!AC795,"")</f>
        <v/>
      </c>
      <c r="P1187" s="314" t="str">
        <f>IF(AND($B1187, Calculations!$B$7), 'Final Building Profile'!P90, "")</f>
        <v/>
      </c>
      <c r="Q1187" s="204" t="str">
        <f>IF(AND($B1187, Calculations!$B$7), 'Final Building Profile'!Q90, "")</f>
        <v/>
      </c>
      <c r="R1187" t="str">
        <f>IF(AND($B1187, Calculations!$B$7), 'Final Building Profile'!N90-'Final Building Profile'!O90, "")</f>
        <v/>
      </c>
      <c r="S1187" t="str">
        <f>IF(AND($B1187, Calculations!$B$7),Calculations!AD795,"")</f>
        <v/>
      </c>
      <c r="T1187" t="str">
        <f>IF(AND($B1187, Calculations!$B$7),Calculations!AE795,"")</f>
        <v/>
      </c>
    </row>
    <row r="1188" spans="1:20">
      <c r="A1188" s="195" t="str">
        <f>IF(C1188="","",MAX(A$1099:A1187)+1)</f>
        <v/>
      </c>
      <c r="B1188" s="195" t="b">
        <f t="shared" si="19"/>
        <v>0</v>
      </c>
      <c r="C1188" t="str">
        <f>CONCATENATE('Final Building Profile'!B91)</f>
        <v/>
      </c>
      <c r="D1188" t="str">
        <f>CONCATENATE('Final Building Profile'!C91)</f>
        <v/>
      </c>
      <c r="E1188" t="str">
        <f>CONCATENATE('Final Building Profile'!F91)</f>
        <v/>
      </c>
      <c r="F1188" s="314" t="str">
        <f>IF(AND($B1188, Calculations!$B$9), 'Final Building Profile'!J91, "")</f>
        <v/>
      </c>
      <c r="G1188" s="250" t="str">
        <f>IF(AND($B1188, Calculations!$B$9), 'Final Building Profile'!K91, "")</f>
        <v/>
      </c>
      <c r="H1188" t="str">
        <f>IF(AND($B1188, Calculations!$B$9),'Final Building Profile'!M91,"")</f>
        <v/>
      </c>
      <c r="I1188" t="str">
        <f>IF(AND($B1188, Calculations!$B$9),Calculations!AB796,"")</f>
        <v/>
      </c>
      <c r="J1188" t="str">
        <f>IF(AND($B1188, Calculations!$B$9),Calculations!AC796,"")</f>
        <v/>
      </c>
      <c r="K1188" s="314" t="str">
        <f>IF(AND($B1188, Calculations!$B$8), 'Final Building Profile'!J91, "")</f>
        <v/>
      </c>
      <c r="L1188" s="250" t="str">
        <f>IF(AND($B1188, Calculations!$B$8), 'Final Building Profile'!K91, "")</f>
        <v/>
      </c>
      <c r="M1188" t="str">
        <f>IF(AND($B1188, Calculations!$B$8), 'Final Building Profile'!L91, "")</f>
        <v/>
      </c>
      <c r="N1188" t="str">
        <f>IF(AND($B1188, Calculations!$B$8),Calculations!AB796,"")</f>
        <v/>
      </c>
      <c r="O1188" t="str">
        <f>IF(AND($B1188, Calculations!$B$8),Calculations!AC796,"")</f>
        <v/>
      </c>
      <c r="P1188" s="314" t="str">
        <f>IF(AND($B1188, Calculations!$B$7), 'Final Building Profile'!P91, "")</f>
        <v/>
      </c>
      <c r="Q1188" s="204" t="str">
        <f>IF(AND($B1188, Calculations!$B$7), 'Final Building Profile'!Q91, "")</f>
        <v/>
      </c>
      <c r="R1188" t="str">
        <f>IF(AND($B1188, Calculations!$B$7), 'Final Building Profile'!N91-'Final Building Profile'!O91, "")</f>
        <v/>
      </c>
      <c r="S1188" t="str">
        <f>IF(AND($B1188, Calculations!$B$7),Calculations!AD796,"")</f>
        <v/>
      </c>
      <c r="T1188" t="str">
        <f>IF(AND($B1188, Calculations!$B$7),Calculations!AE796,"")</f>
        <v/>
      </c>
    </row>
    <row r="1189" spans="1:20">
      <c r="A1189" s="195" t="str">
        <f>IF(C1189="","",MAX(A$1099:A1188)+1)</f>
        <v/>
      </c>
      <c r="B1189" s="195" t="b">
        <f t="shared" si="19"/>
        <v>0</v>
      </c>
      <c r="C1189" t="str">
        <f>CONCATENATE('Final Building Profile'!B92)</f>
        <v/>
      </c>
      <c r="D1189" t="str">
        <f>CONCATENATE('Final Building Profile'!C92)</f>
        <v/>
      </c>
      <c r="E1189" t="str">
        <f>CONCATENATE('Final Building Profile'!F92)</f>
        <v/>
      </c>
      <c r="F1189" s="314" t="str">
        <f>IF(AND($B1189, Calculations!$B$9), 'Final Building Profile'!J92, "")</f>
        <v/>
      </c>
      <c r="G1189" s="250" t="str">
        <f>IF(AND($B1189, Calculations!$B$9), 'Final Building Profile'!K92, "")</f>
        <v/>
      </c>
      <c r="H1189" t="str">
        <f>IF(AND($B1189, Calculations!$B$9),'Final Building Profile'!M92,"")</f>
        <v/>
      </c>
      <c r="I1189" t="str">
        <f>IF(AND($B1189, Calculations!$B$9),Calculations!AB797,"")</f>
        <v/>
      </c>
      <c r="J1189" t="str">
        <f>IF(AND($B1189, Calculations!$B$9),Calculations!AC797,"")</f>
        <v/>
      </c>
      <c r="K1189" s="314" t="str">
        <f>IF(AND($B1189, Calculations!$B$8), 'Final Building Profile'!J92, "")</f>
        <v/>
      </c>
      <c r="L1189" s="250" t="str">
        <f>IF(AND($B1189, Calculations!$B$8), 'Final Building Profile'!K92, "")</f>
        <v/>
      </c>
      <c r="M1189" t="str">
        <f>IF(AND($B1189, Calculations!$B$8), 'Final Building Profile'!L92, "")</f>
        <v/>
      </c>
      <c r="N1189" t="str">
        <f>IF(AND($B1189, Calculations!$B$8),Calculations!AB797,"")</f>
        <v/>
      </c>
      <c r="O1189" t="str">
        <f>IF(AND($B1189, Calculations!$B$8),Calculations!AC797,"")</f>
        <v/>
      </c>
      <c r="P1189" s="314" t="str">
        <f>IF(AND($B1189, Calculations!$B$7), 'Final Building Profile'!P92, "")</f>
        <v/>
      </c>
      <c r="Q1189" s="204" t="str">
        <f>IF(AND($B1189, Calculations!$B$7), 'Final Building Profile'!Q92, "")</f>
        <v/>
      </c>
      <c r="R1189" t="str">
        <f>IF(AND($B1189, Calculations!$B$7), 'Final Building Profile'!N92-'Final Building Profile'!O92, "")</f>
        <v/>
      </c>
      <c r="S1189" t="str">
        <f>IF(AND($B1189, Calculations!$B$7),Calculations!AD797,"")</f>
        <v/>
      </c>
      <c r="T1189" t="str">
        <f>IF(AND($B1189, Calculations!$B$7),Calculations!AE797,"")</f>
        <v/>
      </c>
    </row>
    <row r="1190" spans="1:20">
      <c r="A1190" s="195" t="str">
        <f>IF(C1190="","",MAX(A$1099:A1189)+1)</f>
        <v/>
      </c>
      <c r="B1190" s="195" t="b">
        <f t="shared" si="19"/>
        <v>0</v>
      </c>
      <c r="C1190" t="str">
        <f>CONCATENATE('Final Building Profile'!B93)</f>
        <v/>
      </c>
      <c r="D1190" t="str">
        <f>CONCATENATE('Final Building Profile'!C93)</f>
        <v/>
      </c>
      <c r="E1190" t="str">
        <f>CONCATENATE('Final Building Profile'!F93)</f>
        <v/>
      </c>
      <c r="F1190" s="314" t="str">
        <f>IF(AND($B1190, Calculations!$B$9), 'Final Building Profile'!J93, "")</f>
        <v/>
      </c>
      <c r="G1190" s="250" t="str">
        <f>IF(AND($B1190, Calculations!$B$9), 'Final Building Profile'!K93, "")</f>
        <v/>
      </c>
      <c r="H1190" t="str">
        <f>IF(AND($B1190, Calculations!$B$9),'Final Building Profile'!M93,"")</f>
        <v/>
      </c>
      <c r="I1190" t="str">
        <f>IF(AND($B1190, Calculations!$B$9),Calculations!AB798,"")</f>
        <v/>
      </c>
      <c r="J1190" t="str">
        <f>IF(AND($B1190, Calculations!$B$9),Calculations!AC798,"")</f>
        <v/>
      </c>
      <c r="K1190" s="314" t="str">
        <f>IF(AND($B1190, Calculations!$B$8), 'Final Building Profile'!J93, "")</f>
        <v/>
      </c>
      <c r="L1190" s="250" t="str">
        <f>IF(AND($B1190, Calculations!$B$8), 'Final Building Profile'!K93, "")</f>
        <v/>
      </c>
      <c r="M1190" t="str">
        <f>IF(AND($B1190, Calculations!$B$8), 'Final Building Profile'!L93, "")</f>
        <v/>
      </c>
      <c r="N1190" t="str">
        <f>IF(AND($B1190, Calculations!$B$8),Calculations!AB798,"")</f>
        <v/>
      </c>
      <c r="O1190" t="str">
        <f>IF(AND($B1190, Calculations!$B$8),Calculations!AC798,"")</f>
        <v/>
      </c>
      <c r="P1190" s="314" t="str">
        <f>IF(AND($B1190, Calculations!$B$7), 'Final Building Profile'!P93, "")</f>
        <v/>
      </c>
      <c r="Q1190" s="204" t="str">
        <f>IF(AND($B1190, Calculations!$B$7), 'Final Building Profile'!Q93, "")</f>
        <v/>
      </c>
      <c r="R1190" t="str">
        <f>IF(AND($B1190, Calculations!$B$7), 'Final Building Profile'!N93-'Final Building Profile'!O93, "")</f>
        <v/>
      </c>
      <c r="S1190" t="str">
        <f>IF(AND($B1190, Calculations!$B$7),Calculations!AD798,"")</f>
        <v/>
      </c>
      <c r="T1190" t="str">
        <f>IF(AND($B1190, Calculations!$B$7),Calculations!AE798,"")</f>
        <v/>
      </c>
    </row>
    <row r="1191" spans="1:20">
      <c r="A1191" s="195" t="str">
        <f>IF(C1191="","",MAX(A$1099:A1190)+1)</f>
        <v/>
      </c>
      <c r="B1191" s="195" t="b">
        <f t="shared" si="19"/>
        <v>0</v>
      </c>
      <c r="C1191" t="str">
        <f>CONCATENATE('Final Building Profile'!B94)</f>
        <v/>
      </c>
      <c r="D1191" t="str">
        <f>CONCATENATE('Final Building Profile'!C94)</f>
        <v/>
      </c>
      <c r="E1191" t="str">
        <f>CONCATENATE('Final Building Profile'!F94)</f>
        <v/>
      </c>
      <c r="F1191" s="314" t="str">
        <f>IF(AND($B1191, Calculations!$B$9), 'Final Building Profile'!J94, "")</f>
        <v/>
      </c>
      <c r="G1191" s="250" t="str">
        <f>IF(AND($B1191, Calculations!$B$9), 'Final Building Profile'!K94, "")</f>
        <v/>
      </c>
      <c r="H1191" t="str">
        <f>IF(AND($B1191, Calculations!$B$9),'Final Building Profile'!M94,"")</f>
        <v/>
      </c>
      <c r="I1191" t="str">
        <f>IF(AND($B1191, Calculations!$B$9),Calculations!AB799,"")</f>
        <v/>
      </c>
      <c r="J1191" t="str">
        <f>IF(AND($B1191, Calculations!$B$9),Calculations!AC799,"")</f>
        <v/>
      </c>
      <c r="K1191" s="314" t="str">
        <f>IF(AND($B1191, Calculations!$B$8), 'Final Building Profile'!J94, "")</f>
        <v/>
      </c>
      <c r="L1191" s="250" t="str">
        <f>IF(AND($B1191, Calculations!$B$8), 'Final Building Profile'!K94, "")</f>
        <v/>
      </c>
      <c r="M1191" t="str">
        <f>IF(AND($B1191, Calculations!$B$8), 'Final Building Profile'!L94, "")</f>
        <v/>
      </c>
      <c r="N1191" t="str">
        <f>IF(AND($B1191, Calculations!$B$8),Calculations!AB799,"")</f>
        <v/>
      </c>
      <c r="O1191" t="str">
        <f>IF(AND($B1191, Calculations!$B$8),Calculations!AC799,"")</f>
        <v/>
      </c>
      <c r="P1191" s="314" t="str">
        <f>IF(AND($B1191, Calculations!$B$7), 'Final Building Profile'!P94, "")</f>
        <v/>
      </c>
      <c r="Q1191" s="204" t="str">
        <f>IF(AND($B1191, Calculations!$B$7), 'Final Building Profile'!Q94, "")</f>
        <v/>
      </c>
      <c r="R1191" t="str">
        <f>IF(AND($B1191, Calculations!$B$7), 'Final Building Profile'!N94-'Final Building Profile'!O94, "")</f>
        <v/>
      </c>
      <c r="S1191" t="str">
        <f>IF(AND($B1191, Calculations!$B$7),Calculations!AD799,"")</f>
        <v/>
      </c>
      <c r="T1191" t="str">
        <f>IF(AND($B1191, Calculations!$B$7),Calculations!AE799,"")</f>
        <v/>
      </c>
    </row>
    <row r="1192" spans="1:20">
      <c r="A1192" s="195" t="str">
        <f>IF(C1192="","",MAX(A$1099:A1191)+1)</f>
        <v/>
      </c>
      <c r="B1192" s="195" t="b">
        <f t="shared" si="19"/>
        <v>0</v>
      </c>
      <c r="C1192" t="str">
        <f>CONCATENATE('Final Building Profile'!B95)</f>
        <v/>
      </c>
      <c r="D1192" t="str">
        <f>CONCATENATE('Final Building Profile'!C95)</f>
        <v/>
      </c>
      <c r="E1192" t="str">
        <f>CONCATENATE('Final Building Profile'!F95)</f>
        <v/>
      </c>
      <c r="F1192" s="314" t="str">
        <f>IF(AND($B1192, Calculations!$B$9), 'Final Building Profile'!J95, "")</f>
        <v/>
      </c>
      <c r="G1192" s="250" t="str">
        <f>IF(AND($B1192, Calculations!$B$9), 'Final Building Profile'!K95, "")</f>
        <v/>
      </c>
      <c r="H1192" t="str">
        <f>IF(AND($B1192, Calculations!$B$9),'Final Building Profile'!M95,"")</f>
        <v/>
      </c>
      <c r="I1192" t="str">
        <f>IF(AND($B1192, Calculations!$B$9),Calculations!AB800,"")</f>
        <v/>
      </c>
      <c r="J1192" t="str">
        <f>IF(AND($B1192, Calculations!$B$9),Calculations!AC800,"")</f>
        <v/>
      </c>
      <c r="K1192" s="314" t="str">
        <f>IF(AND($B1192, Calculations!$B$8), 'Final Building Profile'!J95, "")</f>
        <v/>
      </c>
      <c r="L1192" s="250" t="str">
        <f>IF(AND($B1192, Calculations!$B$8), 'Final Building Profile'!K95, "")</f>
        <v/>
      </c>
      <c r="M1192" t="str">
        <f>IF(AND($B1192, Calculations!$B$8), 'Final Building Profile'!L95, "")</f>
        <v/>
      </c>
      <c r="N1192" t="str">
        <f>IF(AND($B1192, Calculations!$B$8),Calculations!AB800,"")</f>
        <v/>
      </c>
      <c r="O1192" t="str">
        <f>IF(AND($B1192, Calculations!$B$8),Calculations!AC800,"")</f>
        <v/>
      </c>
      <c r="P1192" s="314" t="str">
        <f>IF(AND($B1192, Calculations!$B$7), 'Final Building Profile'!P95, "")</f>
        <v/>
      </c>
      <c r="Q1192" s="204" t="str">
        <f>IF(AND($B1192, Calculations!$B$7), 'Final Building Profile'!Q95, "")</f>
        <v/>
      </c>
      <c r="R1192" t="str">
        <f>IF(AND($B1192, Calculations!$B$7), 'Final Building Profile'!N95-'Final Building Profile'!O95, "")</f>
        <v/>
      </c>
      <c r="S1192" t="str">
        <f>IF(AND($B1192, Calculations!$B$7),Calculations!AD800,"")</f>
        <v/>
      </c>
      <c r="T1192" t="str">
        <f>IF(AND($B1192, Calculations!$B$7),Calculations!AE800,"")</f>
        <v/>
      </c>
    </row>
    <row r="1193" spans="1:20">
      <c r="A1193" s="195" t="str">
        <f>IF(C1193="","",MAX(A$1099:A1192)+1)</f>
        <v/>
      </c>
      <c r="B1193" s="195" t="b">
        <f t="shared" si="19"/>
        <v>0</v>
      </c>
      <c r="C1193" t="str">
        <f>CONCATENATE('Final Building Profile'!B96)</f>
        <v/>
      </c>
      <c r="D1193" t="str">
        <f>CONCATENATE('Final Building Profile'!C96)</f>
        <v/>
      </c>
      <c r="E1193" t="str">
        <f>CONCATENATE('Final Building Profile'!F96)</f>
        <v/>
      </c>
      <c r="F1193" s="314" t="str">
        <f>IF(AND($B1193, Calculations!$B$9), 'Final Building Profile'!J96, "")</f>
        <v/>
      </c>
      <c r="G1193" s="250" t="str">
        <f>IF(AND($B1193, Calculations!$B$9), 'Final Building Profile'!K96, "")</f>
        <v/>
      </c>
      <c r="H1193" t="str">
        <f>IF(AND($B1193, Calculations!$B$9),'Final Building Profile'!M96,"")</f>
        <v/>
      </c>
      <c r="I1193" t="str">
        <f>IF(AND($B1193, Calculations!$B$9),Calculations!AB801,"")</f>
        <v/>
      </c>
      <c r="J1193" t="str">
        <f>IF(AND($B1193, Calculations!$B$9),Calculations!AC801,"")</f>
        <v/>
      </c>
      <c r="K1193" s="314" t="str">
        <f>IF(AND($B1193, Calculations!$B$8), 'Final Building Profile'!J96, "")</f>
        <v/>
      </c>
      <c r="L1193" s="250" t="str">
        <f>IF(AND($B1193, Calculations!$B$8), 'Final Building Profile'!K96, "")</f>
        <v/>
      </c>
      <c r="M1193" t="str">
        <f>IF(AND($B1193, Calculations!$B$8), 'Final Building Profile'!L96, "")</f>
        <v/>
      </c>
      <c r="N1193" t="str">
        <f>IF(AND($B1193, Calculations!$B$8),Calculations!AB801,"")</f>
        <v/>
      </c>
      <c r="O1193" t="str">
        <f>IF(AND($B1193, Calculations!$B$8),Calculations!AC801,"")</f>
        <v/>
      </c>
      <c r="P1193" s="314" t="str">
        <f>IF(AND($B1193, Calculations!$B$7), 'Final Building Profile'!P96, "")</f>
        <v/>
      </c>
      <c r="Q1193" s="204" t="str">
        <f>IF(AND($B1193, Calculations!$B$7), 'Final Building Profile'!Q96, "")</f>
        <v/>
      </c>
      <c r="R1193" t="str">
        <f>IF(AND($B1193, Calculations!$B$7), 'Final Building Profile'!N96-'Final Building Profile'!O96, "")</f>
        <v/>
      </c>
      <c r="S1193" t="str">
        <f>IF(AND($B1193, Calculations!$B$7),Calculations!AD801,"")</f>
        <v/>
      </c>
      <c r="T1193" t="str">
        <f>IF(AND($B1193, Calculations!$B$7),Calculations!AE801,"")</f>
        <v/>
      </c>
    </row>
    <row r="1194" spans="1:20">
      <c r="A1194" s="195" t="str">
        <f>IF(C1194="","",MAX(A$1099:A1193)+1)</f>
        <v/>
      </c>
      <c r="B1194" s="195" t="b">
        <f t="shared" si="19"/>
        <v>0</v>
      </c>
      <c r="C1194" t="str">
        <f>CONCATENATE('Final Building Profile'!B97)</f>
        <v/>
      </c>
      <c r="D1194" t="str">
        <f>CONCATENATE('Final Building Profile'!C97)</f>
        <v/>
      </c>
      <c r="E1194" t="str">
        <f>CONCATENATE('Final Building Profile'!F97)</f>
        <v/>
      </c>
      <c r="F1194" s="314" t="str">
        <f>IF(AND($B1194, Calculations!$B$9), 'Final Building Profile'!J97, "")</f>
        <v/>
      </c>
      <c r="G1194" s="250" t="str">
        <f>IF(AND($B1194, Calculations!$B$9), 'Final Building Profile'!K97, "")</f>
        <v/>
      </c>
      <c r="H1194" t="str">
        <f>IF(AND($B1194, Calculations!$B$9),'Final Building Profile'!M97,"")</f>
        <v/>
      </c>
      <c r="I1194" t="str">
        <f>IF(AND($B1194, Calculations!$B$9),Calculations!AB802,"")</f>
        <v/>
      </c>
      <c r="J1194" t="str">
        <f>IF(AND($B1194, Calculations!$B$9),Calculations!AC802,"")</f>
        <v/>
      </c>
      <c r="K1194" s="314" t="str">
        <f>IF(AND($B1194, Calculations!$B$8), 'Final Building Profile'!J97, "")</f>
        <v/>
      </c>
      <c r="L1194" s="250" t="str">
        <f>IF(AND($B1194, Calculations!$B$8), 'Final Building Profile'!K97, "")</f>
        <v/>
      </c>
      <c r="M1194" t="str">
        <f>IF(AND($B1194, Calculations!$B$8), 'Final Building Profile'!L97, "")</f>
        <v/>
      </c>
      <c r="N1194" t="str">
        <f>IF(AND($B1194, Calculations!$B$8),Calculations!AB802,"")</f>
        <v/>
      </c>
      <c r="O1194" t="str">
        <f>IF(AND($B1194, Calculations!$B$8),Calculations!AC802,"")</f>
        <v/>
      </c>
      <c r="P1194" s="314" t="str">
        <f>IF(AND($B1194, Calculations!$B$7), 'Final Building Profile'!P97, "")</f>
        <v/>
      </c>
      <c r="Q1194" s="204" t="str">
        <f>IF(AND($B1194, Calculations!$B$7), 'Final Building Profile'!Q97, "")</f>
        <v/>
      </c>
      <c r="R1194" t="str">
        <f>IF(AND($B1194, Calculations!$B$7), 'Final Building Profile'!N97-'Final Building Profile'!O97, "")</f>
        <v/>
      </c>
      <c r="S1194" t="str">
        <f>IF(AND($B1194, Calculations!$B$7),Calculations!AD802,"")</f>
        <v/>
      </c>
      <c r="T1194" t="str">
        <f>IF(AND($B1194, Calculations!$B$7),Calculations!AE802,"")</f>
        <v/>
      </c>
    </row>
    <row r="1195" spans="1:20">
      <c r="A1195" s="195" t="str">
        <f>IF(C1195="","",MAX(A$1099:A1194)+1)</f>
        <v/>
      </c>
      <c r="B1195" s="195" t="b">
        <f t="shared" si="19"/>
        <v>0</v>
      </c>
      <c r="C1195" t="str">
        <f>CONCATENATE('Final Building Profile'!B98)</f>
        <v/>
      </c>
      <c r="D1195" t="str">
        <f>CONCATENATE('Final Building Profile'!C98)</f>
        <v/>
      </c>
      <c r="E1195" t="str">
        <f>CONCATENATE('Final Building Profile'!F98)</f>
        <v/>
      </c>
      <c r="F1195" s="314" t="str">
        <f>IF(AND($B1195, Calculations!$B$9), 'Final Building Profile'!J98, "")</f>
        <v/>
      </c>
      <c r="G1195" s="250" t="str">
        <f>IF(AND($B1195, Calculations!$B$9), 'Final Building Profile'!K98, "")</f>
        <v/>
      </c>
      <c r="H1195" t="str">
        <f>IF(AND($B1195, Calculations!$B$9),'Final Building Profile'!M98,"")</f>
        <v/>
      </c>
      <c r="I1195" t="str">
        <f>IF(AND($B1195, Calculations!$B$9),Calculations!AB803,"")</f>
        <v/>
      </c>
      <c r="J1195" t="str">
        <f>IF(AND($B1195, Calculations!$B$9),Calculations!AC803,"")</f>
        <v/>
      </c>
      <c r="K1195" s="314" t="str">
        <f>IF(AND($B1195, Calculations!$B$8), 'Final Building Profile'!J98, "")</f>
        <v/>
      </c>
      <c r="L1195" s="250" t="str">
        <f>IF(AND($B1195, Calculations!$B$8), 'Final Building Profile'!K98, "")</f>
        <v/>
      </c>
      <c r="M1195" t="str">
        <f>IF(AND($B1195, Calculations!$B$8), 'Final Building Profile'!L98, "")</f>
        <v/>
      </c>
      <c r="N1195" t="str">
        <f>IF(AND($B1195, Calculations!$B$8),Calculations!AB803,"")</f>
        <v/>
      </c>
      <c r="O1195" t="str">
        <f>IF(AND($B1195, Calculations!$B$8),Calculations!AC803,"")</f>
        <v/>
      </c>
      <c r="P1195" s="314" t="str">
        <f>IF(AND($B1195, Calculations!$B$7), 'Final Building Profile'!P98, "")</f>
        <v/>
      </c>
      <c r="Q1195" s="204" t="str">
        <f>IF(AND($B1195, Calculations!$B$7), 'Final Building Profile'!Q98, "")</f>
        <v/>
      </c>
      <c r="R1195" t="str">
        <f>IF(AND($B1195, Calculations!$B$7), 'Final Building Profile'!N98-'Final Building Profile'!O98, "")</f>
        <v/>
      </c>
      <c r="S1195" t="str">
        <f>IF(AND($B1195, Calculations!$B$7),Calculations!AD803,"")</f>
        <v/>
      </c>
      <c r="T1195" t="str">
        <f>IF(AND($B1195, Calculations!$B$7),Calculations!AE803,"")</f>
        <v/>
      </c>
    </row>
    <row r="1196" spans="1:20">
      <c r="A1196" s="195" t="str">
        <f>IF(C1196="","",MAX(A$1099:A1195)+1)</f>
        <v/>
      </c>
      <c r="B1196" s="195" t="b">
        <f t="shared" si="19"/>
        <v>0</v>
      </c>
      <c r="C1196" t="str">
        <f>CONCATENATE('Final Building Profile'!B99)</f>
        <v/>
      </c>
      <c r="D1196" t="str">
        <f>CONCATENATE('Final Building Profile'!C99)</f>
        <v/>
      </c>
      <c r="E1196" t="str">
        <f>CONCATENATE('Final Building Profile'!F99)</f>
        <v/>
      </c>
      <c r="F1196" s="314" t="str">
        <f>IF(AND($B1196, Calculations!$B$9), 'Final Building Profile'!J99, "")</f>
        <v/>
      </c>
      <c r="G1196" s="250" t="str">
        <f>IF(AND($B1196, Calculations!$B$9), 'Final Building Profile'!K99, "")</f>
        <v/>
      </c>
      <c r="H1196" t="str">
        <f>IF(AND($B1196, Calculations!$B$9),'Final Building Profile'!M99,"")</f>
        <v/>
      </c>
      <c r="I1196" t="str">
        <f>IF(AND($B1196, Calculations!$B$9),Calculations!AB804,"")</f>
        <v/>
      </c>
      <c r="J1196" t="str">
        <f>IF(AND($B1196, Calculations!$B$9),Calculations!AC804,"")</f>
        <v/>
      </c>
      <c r="K1196" s="314" t="str">
        <f>IF(AND($B1196, Calculations!$B$8), 'Final Building Profile'!J99, "")</f>
        <v/>
      </c>
      <c r="L1196" s="250" t="str">
        <f>IF(AND($B1196, Calculations!$B$8), 'Final Building Profile'!K99, "")</f>
        <v/>
      </c>
      <c r="M1196" t="str">
        <f>IF(AND($B1196, Calculations!$B$8), 'Final Building Profile'!L99, "")</f>
        <v/>
      </c>
      <c r="N1196" t="str">
        <f>IF(AND($B1196, Calculations!$B$8),Calculations!AB804,"")</f>
        <v/>
      </c>
      <c r="O1196" t="str">
        <f>IF(AND($B1196, Calculations!$B$8),Calculations!AC804,"")</f>
        <v/>
      </c>
      <c r="P1196" s="314" t="str">
        <f>IF(AND($B1196, Calculations!$B$7), 'Final Building Profile'!P99, "")</f>
        <v/>
      </c>
      <c r="Q1196" s="204" t="str">
        <f>IF(AND($B1196, Calculations!$B$7), 'Final Building Profile'!Q99, "")</f>
        <v/>
      </c>
      <c r="R1196" t="str">
        <f>IF(AND($B1196, Calculations!$B$7), 'Final Building Profile'!N99-'Final Building Profile'!O99, "")</f>
        <v/>
      </c>
      <c r="S1196" t="str">
        <f>IF(AND($B1196, Calculations!$B$7),Calculations!AD804,"")</f>
        <v/>
      </c>
      <c r="T1196" t="str">
        <f>IF(AND($B1196, Calculations!$B$7),Calculations!AE804,"")</f>
        <v/>
      </c>
    </row>
    <row r="1197" spans="1:20">
      <c r="A1197" s="195" t="str">
        <f>IF(C1197="","",MAX(A$1099:A1196)+1)</f>
        <v/>
      </c>
      <c r="B1197" s="195" t="b">
        <f t="shared" si="19"/>
        <v>0</v>
      </c>
      <c r="C1197" t="str">
        <f>CONCATENATE('Final Building Profile'!B100)</f>
        <v/>
      </c>
      <c r="D1197" t="str">
        <f>CONCATENATE('Final Building Profile'!C100)</f>
        <v/>
      </c>
      <c r="E1197" t="str">
        <f>CONCATENATE('Final Building Profile'!F100)</f>
        <v/>
      </c>
      <c r="F1197" s="314" t="str">
        <f>IF(AND($B1197, Calculations!$B$9), 'Final Building Profile'!J100, "")</f>
        <v/>
      </c>
      <c r="G1197" s="250" t="str">
        <f>IF(AND($B1197, Calculations!$B$9), 'Final Building Profile'!K100, "")</f>
        <v/>
      </c>
      <c r="H1197" t="str">
        <f>IF(AND($B1197, Calculations!$B$9),'Final Building Profile'!M100,"")</f>
        <v/>
      </c>
      <c r="I1197" t="str">
        <f>IF(AND($B1197, Calculations!$B$9),Calculations!AB805,"")</f>
        <v/>
      </c>
      <c r="J1197" t="str">
        <f>IF(AND($B1197, Calculations!$B$9),Calculations!AC805,"")</f>
        <v/>
      </c>
      <c r="K1197" s="314" t="str">
        <f>IF(AND($B1197, Calculations!$B$8), 'Final Building Profile'!J100, "")</f>
        <v/>
      </c>
      <c r="L1197" s="250" t="str">
        <f>IF(AND($B1197, Calculations!$B$8), 'Final Building Profile'!K100, "")</f>
        <v/>
      </c>
      <c r="M1197" t="str">
        <f>IF(AND($B1197, Calculations!$B$8), 'Final Building Profile'!L100, "")</f>
        <v/>
      </c>
      <c r="N1197" t="str">
        <f>IF(AND($B1197, Calculations!$B$8),Calculations!AB805,"")</f>
        <v/>
      </c>
      <c r="O1197" t="str">
        <f>IF(AND($B1197, Calculations!$B$8),Calculations!AC805,"")</f>
        <v/>
      </c>
      <c r="P1197" s="314" t="str">
        <f>IF(AND($B1197, Calculations!$B$7), 'Final Building Profile'!P100, "")</f>
        <v/>
      </c>
      <c r="Q1197" s="204" t="str">
        <f>IF(AND($B1197, Calculations!$B$7), 'Final Building Profile'!Q100, "")</f>
        <v/>
      </c>
      <c r="R1197" t="str">
        <f>IF(AND($B1197, Calculations!$B$7), 'Final Building Profile'!N100-'Final Building Profile'!O100, "")</f>
        <v/>
      </c>
      <c r="S1197" t="str">
        <f>IF(AND($B1197, Calculations!$B$7),Calculations!AD805,"")</f>
        <v/>
      </c>
      <c r="T1197" t="str">
        <f>IF(AND($B1197, Calculations!$B$7),Calculations!AE805,"")</f>
        <v/>
      </c>
    </row>
    <row r="1198" spans="1:20">
      <c r="A1198" s="195" t="str">
        <f>IF(C1198="","",MAX(A$1099:A1197)+1)</f>
        <v/>
      </c>
      <c r="B1198" s="195" t="b">
        <f t="shared" si="19"/>
        <v>0</v>
      </c>
      <c r="C1198" t="str">
        <f>CONCATENATE('Final Building Profile'!B101)</f>
        <v/>
      </c>
      <c r="D1198" t="str">
        <f>CONCATENATE('Final Building Profile'!C101)</f>
        <v/>
      </c>
      <c r="E1198" t="str">
        <f>CONCATENATE('Final Building Profile'!F101)</f>
        <v/>
      </c>
      <c r="F1198" s="314" t="str">
        <f>IF(AND($B1198, Calculations!$B$9), 'Final Building Profile'!J101, "")</f>
        <v/>
      </c>
      <c r="G1198" s="250" t="str">
        <f>IF(AND($B1198, Calculations!$B$9), 'Final Building Profile'!K101, "")</f>
        <v/>
      </c>
      <c r="H1198" t="str">
        <f>IF(AND($B1198, Calculations!$B$9),'Final Building Profile'!M101,"")</f>
        <v/>
      </c>
      <c r="I1198" t="str">
        <f>IF(AND($B1198, Calculations!$B$9),Calculations!AB806,"")</f>
        <v/>
      </c>
      <c r="J1198" t="str">
        <f>IF(AND($B1198, Calculations!$B$9),Calculations!AC806,"")</f>
        <v/>
      </c>
      <c r="K1198" s="314" t="str">
        <f>IF(AND($B1198, Calculations!$B$8), 'Final Building Profile'!J101, "")</f>
        <v/>
      </c>
      <c r="L1198" s="250" t="str">
        <f>IF(AND($B1198, Calculations!$B$8), 'Final Building Profile'!K101, "")</f>
        <v/>
      </c>
      <c r="M1198" t="str">
        <f>IF(AND($B1198, Calculations!$B$8), 'Final Building Profile'!L101, "")</f>
        <v/>
      </c>
      <c r="N1198" t="str">
        <f>IF(AND($B1198, Calculations!$B$8),Calculations!AB806,"")</f>
        <v/>
      </c>
      <c r="O1198" t="str">
        <f>IF(AND($B1198, Calculations!$B$8),Calculations!AC806,"")</f>
        <v/>
      </c>
      <c r="P1198" s="314" t="str">
        <f>IF(AND($B1198, Calculations!$B$7), 'Final Building Profile'!P101, "")</f>
        <v/>
      </c>
      <c r="Q1198" s="204" t="str">
        <f>IF(AND($B1198, Calculations!$B$7), 'Final Building Profile'!Q101, "")</f>
        <v/>
      </c>
      <c r="R1198" t="str">
        <f>IF(AND($B1198, Calculations!$B$7), 'Final Building Profile'!N101-'Final Building Profile'!O101, "")</f>
        <v/>
      </c>
      <c r="S1198" t="str">
        <f>IF(AND($B1198, Calculations!$B$7),Calculations!AD806,"")</f>
        <v/>
      </c>
      <c r="T1198" t="str">
        <f>IF(AND($B1198, Calculations!$B$7),Calculations!AE806,"")</f>
        <v/>
      </c>
    </row>
    <row r="1199" spans="1:20">
      <c r="A1199" s="195" t="str">
        <f>IF(C1199="","",MAX(A$1099:A1198)+1)</f>
        <v/>
      </c>
      <c r="B1199" s="195" t="b">
        <f t="shared" si="19"/>
        <v>0</v>
      </c>
      <c r="C1199" t="str">
        <f>CONCATENATE('Final Building Profile'!B102)</f>
        <v/>
      </c>
      <c r="D1199" t="str">
        <f>CONCATENATE('Final Building Profile'!C102)</f>
        <v/>
      </c>
      <c r="E1199" t="str">
        <f>CONCATENATE('Final Building Profile'!F102)</f>
        <v/>
      </c>
      <c r="F1199" s="314" t="str">
        <f>IF(AND($B1199, Calculations!$B$9), 'Final Building Profile'!J102, "")</f>
        <v/>
      </c>
      <c r="G1199" s="250" t="str">
        <f>IF(AND($B1199, Calculations!$B$9), 'Final Building Profile'!K102, "")</f>
        <v/>
      </c>
      <c r="H1199" t="str">
        <f>IF(AND($B1199, Calculations!$B$9),'Final Building Profile'!M102,"")</f>
        <v/>
      </c>
      <c r="I1199" t="str">
        <f>IF(AND($B1199, Calculations!$B$9),Calculations!AB807,"")</f>
        <v/>
      </c>
      <c r="J1199" t="str">
        <f>IF(AND($B1199, Calculations!$B$9),Calculations!AC807,"")</f>
        <v/>
      </c>
      <c r="K1199" s="314" t="str">
        <f>IF(AND($B1199, Calculations!$B$8), 'Final Building Profile'!J102, "")</f>
        <v/>
      </c>
      <c r="L1199" s="250" t="str">
        <f>IF(AND($B1199, Calculations!$B$8), 'Final Building Profile'!K102, "")</f>
        <v/>
      </c>
      <c r="M1199" t="str">
        <f>IF(AND($B1199, Calculations!$B$8), 'Final Building Profile'!L102, "")</f>
        <v/>
      </c>
      <c r="N1199" t="str">
        <f>IF(AND($B1199, Calculations!$B$8),Calculations!AB807,"")</f>
        <v/>
      </c>
      <c r="O1199" t="str">
        <f>IF(AND($B1199, Calculations!$B$8),Calculations!AC807,"")</f>
        <v/>
      </c>
      <c r="P1199" s="314" t="str">
        <f>IF(AND($B1199, Calculations!$B$7), 'Final Building Profile'!P102, "")</f>
        <v/>
      </c>
      <c r="Q1199" s="204" t="str">
        <f>IF(AND($B1199, Calculations!$B$7), 'Final Building Profile'!Q102, "")</f>
        <v/>
      </c>
      <c r="R1199" t="str">
        <f>IF(AND($B1199, Calculations!$B$7), 'Final Building Profile'!N102-'Final Building Profile'!O102, "")</f>
        <v/>
      </c>
      <c r="S1199" t="str">
        <f>IF(AND($B1199, Calculations!$B$7),Calculations!AD807,"")</f>
        <v/>
      </c>
      <c r="T1199" t="str">
        <f>IF(AND($B1199, Calculations!$B$7),Calculations!AE807,"")</f>
        <v/>
      </c>
    </row>
    <row r="1202" spans="1:20">
      <c r="A1202" t="s">
        <v>2433</v>
      </c>
      <c r="C1202" t="s">
        <v>2417</v>
      </c>
      <c r="D1202" t="s">
        <v>1513</v>
      </c>
      <c r="E1202" t="s">
        <v>2358</v>
      </c>
      <c r="F1202" t="s">
        <v>2418</v>
      </c>
      <c r="G1202" t="s">
        <v>2419</v>
      </c>
      <c r="H1202" t="s">
        <v>2420</v>
      </c>
      <c r="I1202" t="s">
        <v>2421</v>
      </c>
      <c r="J1202" t="s">
        <v>2422</v>
      </c>
      <c r="K1202" t="s">
        <v>2423</v>
      </c>
      <c r="L1202" t="s">
        <v>2424</v>
      </c>
      <c r="M1202" t="s">
        <v>2425</v>
      </c>
      <c r="N1202" t="s">
        <v>2426</v>
      </c>
      <c r="O1202" t="s">
        <v>2427</v>
      </c>
      <c r="P1202" t="s">
        <v>2428</v>
      </c>
      <c r="Q1202" t="s">
        <v>2429</v>
      </c>
      <c r="R1202" t="s">
        <v>2430</v>
      </c>
      <c r="S1202" t="s">
        <v>2431</v>
      </c>
      <c r="T1202" t="s">
        <v>2432</v>
      </c>
    </row>
    <row r="1203" spans="1:20">
      <c r="A1203" t="s">
        <v>2108</v>
      </c>
      <c r="B1203" t="s">
        <v>2109</v>
      </c>
      <c r="C1203">
        <v>2</v>
      </c>
      <c r="D1203">
        <v>3</v>
      </c>
      <c r="E1203">
        <v>4</v>
      </c>
      <c r="F1203">
        <v>5</v>
      </c>
      <c r="G1203">
        <v>6</v>
      </c>
      <c r="H1203">
        <v>7</v>
      </c>
      <c r="I1203">
        <v>8</v>
      </c>
      <c r="J1203">
        <v>9</v>
      </c>
      <c r="K1203">
        <v>10</v>
      </c>
      <c r="L1203">
        <v>11</v>
      </c>
      <c r="M1203">
        <v>12</v>
      </c>
      <c r="N1203">
        <v>13</v>
      </c>
      <c r="O1203">
        <v>14</v>
      </c>
      <c r="P1203">
        <v>15</v>
      </c>
      <c r="Q1203">
        <v>16</v>
      </c>
      <c r="R1203">
        <v>17</v>
      </c>
      <c r="S1203">
        <v>18</v>
      </c>
      <c r="T1203">
        <v>19</v>
      </c>
    </row>
    <row r="1204" spans="1:20">
      <c r="A1204" s="195">
        <f t="shared" ref="A1204:A1267" si="20">IF(ISNA(MATCH(B1204, $A$1100:$A$1199, 0)), 1, MATCH(B1204, $A$1100:$A$1199, 0))</f>
        <v>1</v>
      </c>
      <c r="B1204">
        <v>1</v>
      </c>
      <c r="C1204" s="8" t="str">
        <f t="shared" ref="C1204:C1235" si="21">IF(INDEX($B$1100:$T$1199, $A1204, C$1203) = "", "", INDEX($B$1100:$T$1199, $A1204, C$1203))</f>
        <v/>
      </c>
      <c r="D1204" t="str">
        <f t="shared" ref="D1204:E1223" si="22">CONCATENATE(INDEX($B$1100:$T$1199, $A1204, D$1203))</f>
        <v/>
      </c>
      <c r="E1204" t="str">
        <f t="shared" si="22"/>
        <v/>
      </c>
      <c r="F1204" s="314" t="str">
        <f t="shared" ref="F1204:F1235" si="23">IF(ISBLANK(INDEX($B$1100:$T$1199, $A1204, F$1203)), "", INDEX($B$1100:$T$1199, $A1204, F$1203))</f>
        <v/>
      </c>
      <c r="G1204" t="str">
        <f t="shared" ref="G1204:J1223" si="24">CONCATENATE(INDEX($B$1100:$T$1199, $A1204, G$1203))</f>
        <v/>
      </c>
      <c r="H1204" t="str">
        <f t="shared" si="24"/>
        <v/>
      </c>
      <c r="I1204" t="str">
        <f t="shared" si="24"/>
        <v/>
      </c>
      <c r="J1204" t="str">
        <f t="shared" si="24"/>
        <v/>
      </c>
      <c r="K1204" s="314" t="str">
        <f t="shared" ref="K1204:K1235" si="25">IF(ISBLANK(INDEX($B$1100:$T$1199, $A1204, K$1203)), "", INDEX($B$1100:$T$1199, $A1204, K$1203))</f>
        <v/>
      </c>
      <c r="L1204" t="str">
        <f t="shared" ref="L1204:O1223" si="26">CONCATENATE(INDEX($B$1100:$T$1199, $A1204, L$1203))</f>
        <v/>
      </c>
      <c r="M1204" t="str">
        <f t="shared" si="26"/>
        <v/>
      </c>
      <c r="N1204" t="str">
        <f t="shared" si="26"/>
        <v/>
      </c>
      <c r="O1204" t="str">
        <f t="shared" si="26"/>
        <v/>
      </c>
      <c r="P1204" s="314" t="str">
        <f t="shared" ref="P1204:P1235" si="27">IF(ISBLANK(INDEX($B$1100:$T$1199, $A1204, P$1203)), "", INDEX($B$1100:$T$1199, $A1204, P$1203))</f>
        <v/>
      </c>
      <c r="Q1204" t="str">
        <f t="shared" ref="Q1204:T1223" si="28">CONCATENATE(INDEX($B$1100:$T$1199, $A1204, Q$1203))</f>
        <v/>
      </c>
      <c r="R1204" t="str">
        <f t="shared" si="28"/>
        <v/>
      </c>
      <c r="S1204" t="str">
        <f t="shared" si="28"/>
        <v/>
      </c>
      <c r="T1204" t="str">
        <f t="shared" si="28"/>
        <v/>
      </c>
    </row>
    <row r="1205" spans="1:20">
      <c r="A1205" s="195">
        <f t="shared" si="20"/>
        <v>1</v>
      </c>
      <c r="B1205">
        <f>B1204+1</f>
        <v>2</v>
      </c>
      <c r="C1205" s="8" t="str">
        <f t="shared" si="21"/>
        <v/>
      </c>
      <c r="D1205" t="str">
        <f t="shared" si="22"/>
        <v/>
      </c>
      <c r="E1205" t="str">
        <f t="shared" si="22"/>
        <v/>
      </c>
      <c r="F1205" s="314" t="str">
        <f t="shared" si="23"/>
        <v/>
      </c>
      <c r="G1205" t="str">
        <f t="shared" si="24"/>
        <v/>
      </c>
      <c r="H1205" t="str">
        <f t="shared" si="24"/>
        <v/>
      </c>
      <c r="I1205" t="str">
        <f t="shared" si="24"/>
        <v/>
      </c>
      <c r="J1205" t="str">
        <f t="shared" si="24"/>
        <v/>
      </c>
      <c r="K1205" s="314" t="str">
        <f t="shared" si="25"/>
        <v/>
      </c>
      <c r="L1205" t="str">
        <f t="shared" si="26"/>
        <v/>
      </c>
      <c r="M1205" t="str">
        <f t="shared" si="26"/>
        <v/>
      </c>
      <c r="N1205" t="str">
        <f t="shared" si="26"/>
        <v/>
      </c>
      <c r="O1205" t="str">
        <f t="shared" si="26"/>
        <v/>
      </c>
      <c r="P1205" s="314" t="str">
        <f t="shared" si="27"/>
        <v/>
      </c>
      <c r="Q1205" t="str">
        <f t="shared" si="28"/>
        <v/>
      </c>
      <c r="R1205" t="str">
        <f t="shared" si="28"/>
        <v/>
      </c>
      <c r="S1205" t="str">
        <f t="shared" si="28"/>
        <v/>
      </c>
      <c r="T1205" t="str">
        <f t="shared" si="28"/>
        <v/>
      </c>
    </row>
    <row r="1206" spans="1:20">
      <c r="A1206" s="195">
        <f t="shared" si="20"/>
        <v>1</v>
      </c>
      <c r="B1206">
        <f t="shared" ref="B1206:B1269" si="29">B1205+1</f>
        <v>3</v>
      </c>
      <c r="C1206" s="8" t="str">
        <f t="shared" si="21"/>
        <v/>
      </c>
      <c r="D1206" t="str">
        <f t="shared" si="22"/>
        <v/>
      </c>
      <c r="E1206" t="str">
        <f t="shared" si="22"/>
        <v/>
      </c>
      <c r="F1206" s="314" t="str">
        <f t="shared" si="23"/>
        <v/>
      </c>
      <c r="G1206" t="str">
        <f t="shared" si="24"/>
        <v/>
      </c>
      <c r="H1206" t="str">
        <f t="shared" si="24"/>
        <v/>
      </c>
      <c r="I1206" t="str">
        <f t="shared" si="24"/>
        <v/>
      </c>
      <c r="J1206" t="str">
        <f t="shared" si="24"/>
        <v/>
      </c>
      <c r="K1206" s="314" t="str">
        <f t="shared" si="25"/>
        <v/>
      </c>
      <c r="L1206" t="str">
        <f t="shared" si="26"/>
        <v/>
      </c>
      <c r="M1206" t="str">
        <f t="shared" si="26"/>
        <v/>
      </c>
      <c r="N1206" t="str">
        <f t="shared" si="26"/>
        <v/>
      </c>
      <c r="O1206" t="str">
        <f t="shared" si="26"/>
        <v/>
      </c>
      <c r="P1206" s="314" t="str">
        <f t="shared" si="27"/>
        <v/>
      </c>
      <c r="Q1206" t="str">
        <f t="shared" si="28"/>
        <v/>
      </c>
      <c r="R1206" t="str">
        <f t="shared" si="28"/>
        <v/>
      </c>
      <c r="S1206" t="str">
        <f t="shared" si="28"/>
        <v/>
      </c>
      <c r="T1206" t="str">
        <f t="shared" si="28"/>
        <v/>
      </c>
    </row>
    <row r="1207" spans="1:20">
      <c r="A1207" s="195">
        <f t="shared" si="20"/>
        <v>1</v>
      </c>
      <c r="B1207">
        <f t="shared" si="29"/>
        <v>4</v>
      </c>
      <c r="C1207" s="8" t="str">
        <f t="shared" si="21"/>
        <v/>
      </c>
      <c r="D1207" t="str">
        <f t="shared" si="22"/>
        <v/>
      </c>
      <c r="E1207" t="str">
        <f t="shared" si="22"/>
        <v/>
      </c>
      <c r="F1207" s="314" t="str">
        <f t="shared" si="23"/>
        <v/>
      </c>
      <c r="G1207" t="str">
        <f t="shared" si="24"/>
        <v/>
      </c>
      <c r="H1207" t="str">
        <f t="shared" si="24"/>
        <v/>
      </c>
      <c r="I1207" t="str">
        <f t="shared" si="24"/>
        <v/>
      </c>
      <c r="J1207" t="str">
        <f t="shared" si="24"/>
        <v/>
      </c>
      <c r="K1207" s="314" t="str">
        <f t="shared" si="25"/>
        <v/>
      </c>
      <c r="L1207" t="str">
        <f t="shared" si="26"/>
        <v/>
      </c>
      <c r="M1207" t="str">
        <f t="shared" si="26"/>
        <v/>
      </c>
      <c r="N1207" t="str">
        <f t="shared" si="26"/>
        <v/>
      </c>
      <c r="O1207" t="str">
        <f t="shared" si="26"/>
        <v/>
      </c>
      <c r="P1207" s="314" t="str">
        <f t="shared" si="27"/>
        <v/>
      </c>
      <c r="Q1207" t="str">
        <f t="shared" si="28"/>
        <v/>
      </c>
      <c r="R1207" t="str">
        <f t="shared" si="28"/>
        <v/>
      </c>
      <c r="S1207" t="str">
        <f t="shared" si="28"/>
        <v/>
      </c>
      <c r="T1207" t="str">
        <f t="shared" si="28"/>
        <v/>
      </c>
    </row>
    <row r="1208" spans="1:20">
      <c r="A1208" s="195">
        <f t="shared" si="20"/>
        <v>1</v>
      </c>
      <c r="B1208">
        <f t="shared" si="29"/>
        <v>5</v>
      </c>
      <c r="C1208" s="8" t="str">
        <f t="shared" si="21"/>
        <v/>
      </c>
      <c r="D1208" t="str">
        <f t="shared" si="22"/>
        <v/>
      </c>
      <c r="E1208" t="str">
        <f t="shared" si="22"/>
        <v/>
      </c>
      <c r="F1208" s="314" t="str">
        <f t="shared" si="23"/>
        <v/>
      </c>
      <c r="G1208" t="str">
        <f t="shared" si="24"/>
        <v/>
      </c>
      <c r="H1208" t="str">
        <f t="shared" si="24"/>
        <v/>
      </c>
      <c r="I1208" t="str">
        <f t="shared" si="24"/>
        <v/>
      </c>
      <c r="J1208" t="str">
        <f t="shared" si="24"/>
        <v/>
      </c>
      <c r="K1208" s="314" t="str">
        <f t="shared" si="25"/>
        <v/>
      </c>
      <c r="L1208" t="str">
        <f t="shared" si="26"/>
        <v/>
      </c>
      <c r="M1208" t="str">
        <f t="shared" si="26"/>
        <v/>
      </c>
      <c r="N1208" t="str">
        <f t="shared" si="26"/>
        <v/>
      </c>
      <c r="O1208" t="str">
        <f t="shared" si="26"/>
        <v/>
      </c>
      <c r="P1208" s="314" t="str">
        <f t="shared" si="27"/>
        <v/>
      </c>
      <c r="Q1208" t="str">
        <f t="shared" si="28"/>
        <v/>
      </c>
      <c r="R1208" t="str">
        <f t="shared" si="28"/>
        <v/>
      </c>
      <c r="S1208" t="str">
        <f t="shared" si="28"/>
        <v/>
      </c>
      <c r="T1208" t="str">
        <f t="shared" si="28"/>
        <v/>
      </c>
    </row>
    <row r="1209" spans="1:20">
      <c r="A1209" s="195">
        <f t="shared" si="20"/>
        <v>1</v>
      </c>
      <c r="B1209">
        <f t="shared" si="29"/>
        <v>6</v>
      </c>
      <c r="C1209" s="8" t="str">
        <f t="shared" si="21"/>
        <v/>
      </c>
      <c r="D1209" t="str">
        <f t="shared" si="22"/>
        <v/>
      </c>
      <c r="E1209" t="str">
        <f t="shared" si="22"/>
        <v/>
      </c>
      <c r="F1209" s="314" t="str">
        <f t="shared" si="23"/>
        <v/>
      </c>
      <c r="G1209" t="str">
        <f t="shared" si="24"/>
        <v/>
      </c>
      <c r="H1209" t="str">
        <f t="shared" si="24"/>
        <v/>
      </c>
      <c r="I1209" t="str">
        <f t="shared" si="24"/>
        <v/>
      </c>
      <c r="J1209" t="str">
        <f t="shared" si="24"/>
        <v/>
      </c>
      <c r="K1209" s="314" t="str">
        <f t="shared" si="25"/>
        <v/>
      </c>
      <c r="L1209" t="str">
        <f t="shared" si="26"/>
        <v/>
      </c>
      <c r="M1209" t="str">
        <f t="shared" si="26"/>
        <v/>
      </c>
      <c r="N1209" t="str">
        <f t="shared" si="26"/>
        <v/>
      </c>
      <c r="O1209" t="str">
        <f t="shared" si="26"/>
        <v/>
      </c>
      <c r="P1209" s="314" t="str">
        <f t="shared" si="27"/>
        <v/>
      </c>
      <c r="Q1209" t="str">
        <f t="shared" si="28"/>
        <v/>
      </c>
      <c r="R1209" t="str">
        <f t="shared" si="28"/>
        <v/>
      </c>
      <c r="S1209" t="str">
        <f t="shared" si="28"/>
        <v/>
      </c>
      <c r="T1209" t="str">
        <f t="shared" si="28"/>
        <v/>
      </c>
    </row>
    <row r="1210" spans="1:20">
      <c r="A1210" s="195">
        <f t="shared" si="20"/>
        <v>1</v>
      </c>
      <c r="B1210">
        <f t="shared" si="29"/>
        <v>7</v>
      </c>
      <c r="C1210" s="8" t="str">
        <f t="shared" si="21"/>
        <v/>
      </c>
      <c r="D1210" t="str">
        <f t="shared" si="22"/>
        <v/>
      </c>
      <c r="E1210" t="str">
        <f t="shared" si="22"/>
        <v/>
      </c>
      <c r="F1210" s="314" t="str">
        <f t="shared" si="23"/>
        <v/>
      </c>
      <c r="G1210" t="str">
        <f t="shared" si="24"/>
        <v/>
      </c>
      <c r="H1210" t="str">
        <f t="shared" si="24"/>
        <v/>
      </c>
      <c r="I1210" t="str">
        <f t="shared" si="24"/>
        <v/>
      </c>
      <c r="J1210" t="str">
        <f t="shared" si="24"/>
        <v/>
      </c>
      <c r="K1210" s="314" t="str">
        <f t="shared" si="25"/>
        <v/>
      </c>
      <c r="L1210" t="str">
        <f t="shared" si="26"/>
        <v/>
      </c>
      <c r="M1210" t="str">
        <f t="shared" si="26"/>
        <v/>
      </c>
      <c r="N1210" t="str">
        <f t="shared" si="26"/>
        <v/>
      </c>
      <c r="O1210" t="str">
        <f t="shared" si="26"/>
        <v/>
      </c>
      <c r="P1210" s="314" t="str">
        <f t="shared" si="27"/>
        <v/>
      </c>
      <c r="Q1210" t="str">
        <f t="shared" si="28"/>
        <v/>
      </c>
      <c r="R1210" t="str">
        <f t="shared" si="28"/>
        <v/>
      </c>
      <c r="S1210" t="str">
        <f t="shared" si="28"/>
        <v/>
      </c>
      <c r="T1210" t="str">
        <f t="shared" si="28"/>
        <v/>
      </c>
    </row>
    <row r="1211" spans="1:20">
      <c r="A1211" s="195">
        <f t="shared" si="20"/>
        <v>1</v>
      </c>
      <c r="B1211">
        <f t="shared" si="29"/>
        <v>8</v>
      </c>
      <c r="C1211" s="8" t="str">
        <f t="shared" si="21"/>
        <v/>
      </c>
      <c r="D1211" t="str">
        <f t="shared" si="22"/>
        <v/>
      </c>
      <c r="E1211" t="str">
        <f t="shared" si="22"/>
        <v/>
      </c>
      <c r="F1211" s="314" t="str">
        <f t="shared" si="23"/>
        <v/>
      </c>
      <c r="G1211" t="str">
        <f t="shared" si="24"/>
        <v/>
      </c>
      <c r="H1211" t="str">
        <f t="shared" si="24"/>
        <v/>
      </c>
      <c r="I1211" t="str">
        <f t="shared" si="24"/>
        <v/>
      </c>
      <c r="J1211" t="str">
        <f t="shared" si="24"/>
        <v/>
      </c>
      <c r="K1211" s="314" t="str">
        <f t="shared" si="25"/>
        <v/>
      </c>
      <c r="L1211" t="str">
        <f t="shared" si="26"/>
        <v/>
      </c>
      <c r="M1211" t="str">
        <f t="shared" si="26"/>
        <v/>
      </c>
      <c r="N1211" t="str">
        <f t="shared" si="26"/>
        <v/>
      </c>
      <c r="O1211" t="str">
        <f t="shared" si="26"/>
        <v/>
      </c>
      <c r="P1211" s="314" t="str">
        <f t="shared" si="27"/>
        <v/>
      </c>
      <c r="Q1211" t="str">
        <f t="shared" si="28"/>
        <v/>
      </c>
      <c r="R1211" t="str">
        <f t="shared" si="28"/>
        <v/>
      </c>
      <c r="S1211" t="str">
        <f t="shared" si="28"/>
        <v/>
      </c>
      <c r="T1211" t="str">
        <f t="shared" si="28"/>
        <v/>
      </c>
    </row>
    <row r="1212" spans="1:20">
      <c r="A1212" s="195">
        <f t="shared" si="20"/>
        <v>1</v>
      </c>
      <c r="B1212">
        <f t="shared" si="29"/>
        <v>9</v>
      </c>
      <c r="C1212" s="8" t="str">
        <f t="shared" si="21"/>
        <v/>
      </c>
      <c r="D1212" t="str">
        <f t="shared" si="22"/>
        <v/>
      </c>
      <c r="E1212" t="str">
        <f t="shared" si="22"/>
        <v/>
      </c>
      <c r="F1212" s="314" t="str">
        <f t="shared" si="23"/>
        <v/>
      </c>
      <c r="G1212" t="str">
        <f t="shared" si="24"/>
        <v/>
      </c>
      <c r="H1212" t="str">
        <f t="shared" si="24"/>
        <v/>
      </c>
      <c r="I1212" t="str">
        <f t="shared" si="24"/>
        <v/>
      </c>
      <c r="J1212" t="str">
        <f t="shared" si="24"/>
        <v/>
      </c>
      <c r="K1212" s="314" t="str">
        <f t="shared" si="25"/>
        <v/>
      </c>
      <c r="L1212" t="str">
        <f t="shared" si="26"/>
        <v/>
      </c>
      <c r="M1212" t="str">
        <f t="shared" si="26"/>
        <v/>
      </c>
      <c r="N1212" t="str">
        <f t="shared" si="26"/>
        <v/>
      </c>
      <c r="O1212" t="str">
        <f t="shared" si="26"/>
        <v/>
      </c>
      <c r="P1212" s="314" t="str">
        <f t="shared" si="27"/>
        <v/>
      </c>
      <c r="Q1212" t="str">
        <f t="shared" si="28"/>
        <v/>
      </c>
      <c r="R1212" t="str">
        <f t="shared" si="28"/>
        <v/>
      </c>
      <c r="S1212" t="str">
        <f t="shared" si="28"/>
        <v/>
      </c>
      <c r="T1212" t="str">
        <f t="shared" si="28"/>
        <v/>
      </c>
    </row>
    <row r="1213" spans="1:20">
      <c r="A1213" s="195">
        <f t="shared" si="20"/>
        <v>1</v>
      </c>
      <c r="B1213">
        <f t="shared" si="29"/>
        <v>10</v>
      </c>
      <c r="C1213" s="8" t="str">
        <f t="shared" si="21"/>
        <v/>
      </c>
      <c r="D1213" t="str">
        <f t="shared" si="22"/>
        <v/>
      </c>
      <c r="E1213" t="str">
        <f t="shared" si="22"/>
        <v/>
      </c>
      <c r="F1213" s="314" t="str">
        <f t="shared" si="23"/>
        <v/>
      </c>
      <c r="G1213" t="str">
        <f t="shared" si="24"/>
        <v/>
      </c>
      <c r="H1213" t="str">
        <f t="shared" si="24"/>
        <v/>
      </c>
      <c r="I1213" t="str">
        <f t="shared" si="24"/>
        <v/>
      </c>
      <c r="J1213" t="str">
        <f t="shared" si="24"/>
        <v/>
      </c>
      <c r="K1213" s="314" t="str">
        <f t="shared" si="25"/>
        <v/>
      </c>
      <c r="L1213" t="str">
        <f t="shared" si="26"/>
        <v/>
      </c>
      <c r="M1213" t="str">
        <f t="shared" si="26"/>
        <v/>
      </c>
      <c r="N1213" t="str">
        <f t="shared" si="26"/>
        <v/>
      </c>
      <c r="O1213" t="str">
        <f t="shared" si="26"/>
        <v/>
      </c>
      <c r="P1213" s="314" t="str">
        <f t="shared" si="27"/>
        <v/>
      </c>
      <c r="Q1213" t="str">
        <f t="shared" si="28"/>
        <v/>
      </c>
      <c r="R1213" t="str">
        <f t="shared" si="28"/>
        <v/>
      </c>
      <c r="S1213" t="str">
        <f t="shared" si="28"/>
        <v/>
      </c>
      <c r="T1213" t="str">
        <f t="shared" si="28"/>
        <v/>
      </c>
    </row>
    <row r="1214" spans="1:20">
      <c r="A1214" s="195">
        <f t="shared" si="20"/>
        <v>1</v>
      </c>
      <c r="B1214">
        <f t="shared" si="29"/>
        <v>11</v>
      </c>
      <c r="C1214" s="8" t="str">
        <f t="shared" si="21"/>
        <v/>
      </c>
      <c r="D1214" t="str">
        <f t="shared" si="22"/>
        <v/>
      </c>
      <c r="E1214" t="str">
        <f t="shared" si="22"/>
        <v/>
      </c>
      <c r="F1214" s="314" t="str">
        <f t="shared" si="23"/>
        <v/>
      </c>
      <c r="G1214" t="str">
        <f t="shared" si="24"/>
        <v/>
      </c>
      <c r="H1214" t="str">
        <f t="shared" si="24"/>
        <v/>
      </c>
      <c r="I1214" t="str">
        <f t="shared" si="24"/>
        <v/>
      </c>
      <c r="J1214" t="str">
        <f t="shared" si="24"/>
        <v/>
      </c>
      <c r="K1214" s="314" t="str">
        <f t="shared" si="25"/>
        <v/>
      </c>
      <c r="L1214" t="str">
        <f t="shared" si="26"/>
        <v/>
      </c>
      <c r="M1214" t="str">
        <f t="shared" si="26"/>
        <v/>
      </c>
      <c r="N1214" t="str">
        <f t="shared" si="26"/>
        <v/>
      </c>
      <c r="O1214" t="str">
        <f t="shared" si="26"/>
        <v/>
      </c>
      <c r="P1214" s="314" t="str">
        <f t="shared" si="27"/>
        <v/>
      </c>
      <c r="Q1214" t="str">
        <f t="shared" si="28"/>
        <v/>
      </c>
      <c r="R1214" t="str">
        <f t="shared" si="28"/>
        <v/>
      </c>
      <c r="S1214" t="str">
        <f t="shared" si="28"/>
        <v/>
      </c>
      <c r="T1214" t="str">
        <f t="shared" si="28"/>
        <v/>
      </c>
    </row>
    <row r="1215" spans="1:20">
      <c r="A1215" s="195">
        <f t="shared" si="20"/>
        <v>1</v>
      </c>
      <c r="B1215">
        <f t="shared" si="29"/>
        <v>12</v>
      </c>
      <c r="C1215" s="8" t="str">
        <f t="shared" si="21"/>
        <v/>
      </c>
      <c r="D1215" t="str">
        <f t="shared" si="22"/>
        <v/>
      </c>
      <c r="E1215" t="str">
        <f t="shared" si="22"/>
        <v/>
      </c>
      <c r="F1215" s="314" t="str">
        <f t="shared" si="23"/>
        <v/>
      </c>
      <c r="G1215" t="str">
        <f t="shared" si="24"/>
        <v/>
      </c>
      <c r="H1215" t="str">
        <f t="shared" si="24"/>
        <v/>
      </c>
      <c r="I1215" t="str">
        <f t="shared" si="24"/>
        <v/>
      </c>
      <c r="J1215" t="str">
        <f t="shared" si="24"/>
        <v/>
      </c>
      <c r="K1215" s="314" t="str">
        <f t="shared" si="25"/>
        <v/>
      </c>
      <c r="L1215" t="str">
        <f t="shared" si="26"/>
        <v/>
      </c>
      <c r="M1215" t="str">
        <f t="shared" si="26"/>
        <v/>
      </c>
      <c r="N1215" t="str">
        <f t="shared" si="26"/>
        <v/>
      </c>
      <c r="O1215" t="str">
        <f t="shared" si="26"/>
        <v/>
      </c>
      <c r="P1215" s="314" t="str">
        <f t="shared" si="27"/>
        <v/>
      </c>
      <c r="Q1215" t="str">
        <f t="shared" si="28"/>
        <v/>
      </c>
      <c r="R1215" t="str">
        <f t="shared" si="28"/>
        <v/>
      </c>
      <c r="S1215" t="str">
        <f t="shared" si="28"/>
        <v/>
      </c>
      <c r="T1215" t="str">
        <f t="shared" si="28"/>
        <v/>
      </c>
    </row>
    <row r="1216" spans="1:20">
      <c r="A1216" s="195">
        <f t="shared" si="20"/>
        <v>1</v>
      </c>
      <c r="B1216">
        <f t="shared" si="29"/>
        <v>13</v>
      </c>
      <c r="C1216" s="8" t="str">
        <f t="shared" si="21"/>
        <v/>
      </c>
      <c r="D1216" t="str">
        <f t="shared" si="22"/>
        <v/>
      </c>
      <c r="E1216" t="str">
        <f t="shared" si="22"/>
        <v/>
      </c>
      <c r="F1216" s="314" t="str">
        <f t="shared" si="23"/>
        <v/>
      </c>
      <c r="G1216" t="str">
        <f t="shared" si="24"/>
        <v/>
      </c>
      <c r="H1216" t="str">
        <f t="shared" si="24"/>
        <v/>
      </c>
      <c r="I1216" t="str">
        <f t="shared" si="24"/>
        <v/>
      </c>
      <c r="J1216" t="str">
        <f t="shared" si="24"/>
        <v/>
      </c>
      <c r="K1216" s="314" t="str">
        <f t="shared" si="25"/>
        <v/>
      </c>
      <c r="L1216" t="str">
        <f t="shared" si="26"/>
        <v/>
      </c>
      <c r="M1216" t="str">
        <f t="shared" si="26"/>
        <v/>
      </c>
      <c r="N1216" t="str">
        <f t="shared" si="26"/>
        <v/>
      </c>
      <c r="O1216" t="str">
        <f t="shared" si="26"/>
        <v/>
      </c>
      <c r="P1216" s="314" t="str">
        <f t="shared" si="27"/>
        <v/>
      </c>
      <c r="Q1216" t="str">
        <f t="shared" si="28"/>
        <v/>
      </c>
      <c r="R1216" t="str">
        <f t="shared" si="28"/>
        <v/>
      </c>
      <c r="S1216" t="str">
        <f t="shared" si="28"/>
        <v/>
      </c>
      <c r="T1216" t="str">
        <f t="shared" si="28"/>
        <v/>
      </c>
    </row>
    <row r="1217" spans="1:20">
      <c r="A1217" s="195">
        <f t="shared" si="20"/>
        <v>1</v>
      </c>
      <c r="B1217">
        <f t="shared" si="29"/>
        <v>14</v>
      </c>
      <c r="C1217" s="8" t="str">
        <f t="shared" si="21"/>
        <v/>
      </c>
      <c r="D1217" t="str">
        <f t="shared" si="22"/>
        <v/>
      </c>
      <c r="E1217" t="str">
        <f t="shared" si="22"/>
        <v/>
      </c>
      <c r="F1217" s="314" t="str">
        <f t="shared" si="23"/>
        <v/>
      </c>
      <c r="G1217" t="str">
        <f t="shared" si="24"/>
        <v/>
      </c>
      <c r="H1217" t="str">
        <f t="shared" si="24"/>
        <v/>
      </c>
      <c r="I1217" t="str">
        <f t="shared" si="24"/>
        <v/>
      </c>
      <c r="J1217" t="str">
        <f t="shared" si="24"/>
        <v/>
      </c>
      <c r="K1217" s="314" t="str">
        <f t="shared" si="25"/>
        <v/>
      </c>
      <c r="L1217" t="str">
        <f t="shared" si="26"/>
        <v/>
      </c>
      <c r="M1217" t="str">
        <f t="shared" si="26"/>
        <v/>
      </c>
      <c r="N1217" t="str">
        <f t="shared" si="26"/>
        <v/>
      </c>
      <c r="O1217" t="str">
        <f t="shared" si="26"/>
        <v/>
      </c>
      <c r="P1217" s="314" t="str">
        <f t="shared" si="27"/>
        <v/>
      </c>
      <c r="Q1217" t="str">
        <f t="shared" si="28"/>
        <v/>
      </c>
      <c r="R1217" t="str">
        <f t="shared" si="28"/>
        <v/>
      </c>
      <c r="S1217" t="str">
        <f t="shared" si="28"/>
        <v/>
      </c>
      <c r="T1217" t="str">
        <f t="shared" si="28"/>
        <v/>
      </c>
    </row>
    <row r="1218" spans="1:20">
      <c r="A1218" s="195">
        <f t="shared" si="20"/>
        <v>1</v>
      </c>
      <c r="B1218">
        <f t="shared" si="29"/>
        <v>15</v>
      </c>
      <c r="C1218" s="8" t="str">
        <f t="shared" si="21"/>
        <v/>
      </c>
      <c r="D1218" t="str">
        <f t="shared" si="22"/>
        <v/>
      </c>
      <c r="E1218" t="str">
        <f t="shared" si="22"/>
        <v/>
      </c>
      <c r="F1218" s="314" t="str">
        <f t="shared" si="23"/>
        <v/>
      </c>
      <c r="G1218" t="str">
        <f t="shared" si="24"/>
        <v/>
      </c>
      <c r="H1218" t="str">
        <f t="shared" si="24"/>
        <v/>
      </c>
      <c r="I1218" t="str">
        <f t="shared" si="24"/>
        <v/>
      </c>
      <c r="J1218" t="str">
        <f t="shared" si="24"/>
        <v/>
      </c>
      <c r="K1218" s="314" t="str">
        <f t="shared" si="25"/>
        <v/>
      </c>
      <c r="L1218" t="str">
        <f t="shared" si="26"/>
        <v/>
      </c>
      <c r="M1218" t="str">
        <f t="shared" si="26"/>
        <v/>
      </c>
      <c r="N1218" t="str">
        <f t="shared" si="26"/>
        <v/>
      </c>
      <c r="O1218" t="str">
        <f t="shared" si="26"/>
        <v/>
      </c>
      <c r="P1218" s="314" t="str">
        <f t="shared" si="27"/>
        <v/>
      </c>
      <c r="Q1218" t="str">
        <f t="shared" si="28"/>
        <v/>
      </c>
      <c r="R1218" t="str">
        <f t="shared" si="28"/>
        <v/>
      </c>
      <c r="S1218" t="str">
        <f t="shared" si="28"/>
        <v/>
      </c>
      <c r="T1218" t="str">
        <f t="shared" si="28"/>
        <v/>
      </c>
    </row>
    <row r="1219" spans="1:20">
      <c r="A1219" s="195">
        <f t="shared" si="20"/>
        <v>1</v>
      </c>
      <c r="B1219">
        <f t="shared" si="29"/>
        <v>16</v>
      </c>
      <c r="C1219" s="8" t="str">
        <f t="shared" si="21"/>
        <v/>
      </c>
      <c r="D1219" t="str">
        <f t="shared" si="22"/>
        <v/>
      </c>
      <c r="E1219" t="str">
        <f t="shared" si="22"/>
        <v/>
      </c>
      <c r="F1219" s="314" t="str">
        <f t="shared" si="23"/>
        <v/>
      </c>
      <c r="G1219" t="str">
        <f t="shared" si="24"/>
        <v/>
      </c>
      <c r="H1219" t="str">
        <f t="shared" si="24"/>
        <v/>
      </c>
      <c r="I1219" t="str">
        <f t="shared" si="24"/>
        <v/>
      </c>
      <c r="J1219" t="str">
        <f t="shared" si="24"/>
        <v/>
      </c>
      <c r="K1219" s="314" t="str">
        <f t="shared" si="25"/>
        <v/>
      </c>
      <c r="L1219" t="str">
        <f t="shared" si="26"/>
        <v/>
      </c>
      <c r="M1219" t="str">
        <f t="shared" si="26"/>
        <v/>
      </c>
      <c r="N1219" t="str">
        <f t="shared" si="26"/>
        <v/>
      </c>
      <c r="O1219" t="str">
        <f t="shared" si="26"/>
        <v/>
      </c>
      <c r="P1219" s="314" t="str">
        <f t="shared" si="27"/>
        <v/>
      </c>
      <c r="Q1219" t="str">
        <f t="shared" si="28"/>
        <v/>
      </c>
      <c r="R1219" t="str">
        <f t="shared" si="28"/>
        <v/>
      </c>
      <c r="S1219" t="str">
        <f t="shared" si="28"/>
        <v/>
      </c>
      <c r="T1219" t="str">
        <f t="shared" si="28"/>
        <v/>
      </c>
    </row>
    <row r="1220" spans="1:20">
      <c r="A1220" s="195">
        <f t="shared" si="20"/>
        <v>1</v>
      </c>
      <c r="B1220">
        <f t="shared" si="29"/>
        <v>17</v>
      </c>
      <c r="C1220" s="8" t="str">
        <f t="shared" si="21"/>
        <v/>
      </c>
      <c r="D1220" t="str">
        <f t="shared" si="22"/>
        <v/>
      </c>
      <c r="E1220" t="str">
        <f t="shared" si="22"/>
        <v/>
      </c>
      <c r="F1220" s="314" t="str">
        <f t="shared" si="23"/>
        <v/>
      </c>
      <c r="G1220" t="str">
        <f t="shared" si="24"/>
        <v/>
      </c>
      <c r="H1220" t="str">
        <f t="shared" si="24"/>
        <v/>
      </c>
      <c r="I1220" t="str">
        <f t="shared" si="24"/>
        <v/>
      </c>
      <c r="J1220" t="str">
        <f t="shared" si="24"/>
        <v/>
      </c>
      <c r="K1220" s="314" t="str">
        <f t="shared" si="25"/>
        <v/>
      </c>
      <c r="L1220" t="str">
        <f t="shared" si="26"/>
        <v/>
      </c>
      <c r="M1220" t="str">
        <f t="shared" si="26"/>
        <v/>
      </c>
      <c r="N1220" t="str">
        <f t="shared" si="26"/>
        <v/>
      </c>
      <c r="O1220" t="str">
        <f t="shared" si="26"/>
        <v/>
      </c>
      <c r="P1220" s="314" t="str">
        <f t="shared" si="27"/>
        <v/>
      </c>
      <c r="Q1220" t="str">
        <f t="shared" si="28"/>
        <v/>
      </c>
      <c r="R1220" t="str">
        <f t="shared" si="28"/>
        <v/>
      </c>
      <c r="S1220" t="str">
        <f t="shared" si="28"/>
        <v/>
      </c>
      <c r="T1220" t="str">
        <f t="shared" si="28"/>
        <v/>
      </c>
    </row>
    <row r="1221" spans="1:20">
      <c r="A1221" s="195">
        <f t="shared" si="20"/>
        <v>1</v>
      </c>
      <c r="B1221">
        <f t="shared" si="29"/>
        <v>18</v>
      </c>
      <c r="C1221" s="8" t="str">
        <f t="shared" si="21"/>
        <v/>
      </c>
      <c r="D1221" t="str">
        <f t="shared" si="22"/>
        <v/>
      </c>
      <c r="E1221" t="str">
        <f t="shared" si="22"/>
        <v/>
      </c>
      <c r="F1221" s="314" t="str">
        <f t="shared" si="23"/>
        <v/>
      </c>
      <c r="G1221" t="str">
        <f t="shared" si="24"/>
        <v/>
      </c>
      <c r="H1221" t="str">
        <f t="shared" si="24"/>
        <v/>
      </c>
      <c r="I1221" t="str">
        <f t="shared" si="24"/>
        <v/>
      </c>
      <c r="J1221" t="str">
        <f t="shared" si="24"/>
        <v/>
      </c>
      <c r="K1221" s="314" t="str">
        <f t="shared" si="25"/>
        <v/>
      </c>
      <c r="L1221" t="str">
        <f t="shared" si="26"/>
        <v/>
      </c>
      <c r="M1221" t="str">
        <f t="shared" si="26"/>
        <v/>
      </c>
      <c r="N1221" t="str">
        <f t="shared" si="26"/>
        <v/>
      </c>
      <c r="O1221" t="str">
        <f t="shared" si="26"/>
        <v/>
      </c>
      <c r="P1221" s="314" t="str">
        <f t="shared" si="27"/>
        <v/>
      </c>
      <c r="Q1221" t="str">
        <f t="shared" si="28"/>
        <v/>
      </c>
      <c r="R1221" t="str">
        <f t="shared" si="28"/>
        <v/>
      </c>
      <c r="S1221" t="str">
        <f t="shared" si="28"/>
        <v/>
      </c>
      <c r="T1221" t="str">
        <f t="shared" si="28"/>
        <v/>
      </c>
    </row>
    <row r="1222" spans="1:20">
      <c r="A1222" s="195">
        <f t="shared" si="20"/>
        <v>1</v>
      </c>
      <c r="B1222">
        <f t="shared" si="29"/>
        <v>19</v>
      </c>
      <c r="C1222" s="8" t="str">
        <f t="shared" si="21"/>
        <v/>
      </c>
      <c r="D1222" t="str">
        <f t="shared" si="22"/>
        <v/>
      </c>
      <c r="E1222" t="str">
        <f t="shared" si="22"/>
        <v/>
      </c>
      <c r="F1222" s="314" t="str">
        <f t="shared" si="23"/>
        <v/>
      </c>
      <c r="G1222" t="str">
        <f t="shared" si="24"/>
        <v/>
      </c>
      <c r="H1222" t="str">
        <f t="shared" si="24"/>
        <v/>
      </c>
      <c r="I1222" t="str">
        <f t="shared" si="24"/>
        <v/>
      </c>
      <c r="J1222" t="str">
        <f t="shared" si="24"/>
        <v/>
      </c>
      <c r="K1222" s="314" t="str">
        <f t="shared" si="25"/>
        <v/>
      </c>
      <c r="L1222" t="str">
        <f t="shared" si="26"/>
        <v/>
      </c>
      <c r="M1222" t="str">
        <f t="shared" si="26"/>
        <v/>
      </c>
      <c r="N1222" t="str">
        <f t="shared" si="26"/>
        <v/>
      </c>
      <c r="O1222" t="str">
        <f t="shared" si="26"/>
        <v/>
      </c>
      <c r="P1222" s="314" t="str">
        <f t="shared" si="27"/>
        <v/>
      </c>
      <c r="Q1222" t="str">
        <f t="shared" si="28"/>
        <v/>
      </c>
      <c r="R1222" t="str">
        <f t="shared" si="28"/>
        <v/>
      </c>
      <c r="S1222" t="str">
        <f t="shared" si="28"/>
        <v/>
      </c>
      <c r="T1222" t="str">
        <f t="shared" si="28"/>
        <v/>
      </c>
    </row>
    <row r="1223" spans="1:20">
      <c r="A1223" s="195">
        <f t="shared" si="20"/>
        <v>1</v>
      </c>
      <c r="B1223">
        <f t="shared" si="29"/>
        <v>20</v>
      </c>
      <c r="C1223" s="8" t="str">
        <f t="shared" si="21"/>
        <v/>
      </c>
      <c r="D1223" t="str">
        <f t="shared" si="22"/>
        <v/>
      </c>
      <c r="E1223" t="str">
        <f t="shared" si="22"/>
        <v/>
      </c>
      <c r="F1223" s="314" t="str">
        <f t="shared" si="23"/>
        <v/>
      </c>
      <c r="G1223" t="str">
        <f t="shared" si="24"/>
        <v/>
      </c>
      <c r="H1223" t="str">
        <f t="shared" si="24"/>
        <v/>
      </c>
      <c r="I1223" t="str">
        <f t="shared" si="24"/>
        <v/>
      </c>
      <c r="J1223" t="str">
        <f t="shared" si="24"/>
        <v/>
      </c>
      <c r="K1223" s="314" t="str">
        <f t="shared" si="25"/>
        <v/>
      </c>
      <c r="L1223" t="str">
        <f t="shared" si="26"/>
        <v/>
      </c>
      <c r="M1223" t="str">
        <f t="shared" si="26"/>
        <v/>
      </c>
      <c r="N1223" t="str">
        <f t="shared" si="26"/>
        <v/>
      </c>
      <c r="O1223" t="str">
        <f t="shared" si="26"/>
        <v/>
      </c>
      <c r="P1223" s="314" t="str">
        <f t="shared" si="27"/>
        <v/>
      </c>
      <c r="Q1223" t="str">
        <f t="shared" si="28"/>
        <v/>
      </c>
      <c r="R1223" t="str">
        <f t="shared" si="28"/>
        <v/>
      </c>
      <c r="S1223" t="str">
        <f t="shared" si="28"/>
        <v/>
      </c>
      <c r="T1223" t="str">
        <f t="shared" si="28"/>
        <v/>
      </c>
    </row>
    <row r="1224" spans="1:20">
      <c r="A1224" s="195">
        <f t="shared" si="20"/>
        <v>1</v>
      </c>
      <c r="B1224">
        <f t="shared" si="29"/>
        <v>21</v>
      </c>
      <c r="C1224" s="8" t="str">
        <f t="shared" si="21"/>
        <v/>
      </c>
      <c r="D1224" t="str">
        <f t="shared" ref="D1224:E1243" si="30">CONCATENATE(INDEX($B$1100:$T$1199, $A1224, D$1203))</f>
        <v/>
      </c>
      <c r="E1224" t="str">
        <f t="shared" si="30"/>
        <v/>
      </c>
      <c r="F1224" s="314" t="str">
        <f t="shared" si="23"/>
        <v/>
      </c>
      <c r="G1224" t="str">
        <f t="shared" ref="G1224:J1243" si="31">CONCATENATE(INDEX($B$1100:$T$1199, $A1224, G$1203))</f>
        <v/>
      </c>
      <c r="H1224" t="str">
        <f t="shared" si="31"/>
        <v/>
      </c>
      <c r="I1224" t="str">
        <f t="shared" si="31"/>
        <v/>
      </c>
      <c r="J1224" t="str">
        <f t="shared" si="31"/>
        <v/>
      </c>
      <c r="K1224" s="314" t="str">
        <f t="shared" si="25"/>
        <v/>
      </c>
      <c r="L1224" t="str">
        <f t="shared" ref="L1224:O1243" si="32">CONCATENATE(INDEX($B$1100:$T$1199, $A1224, L$1203))</f>
        <v/>
      </c>
      <c r="M1224" t="str">
        <f t="shared" si="32"/>
        <v/>
      </c>
      <c r="N1224" t="str">
        <f t="shared" si="32"/>
        <v/>
      </c>
      <c r="O1224" t="str">
        <f t="shared" si="32"/>
        <v/>
      </c>
      <c r="P1224" s="314" t="str">
        <f t="shared" si="27"/>
        <v/>
      </c>
      <c r="Q1224" t="str">
        <f t="shared" ref="Q1224:T1243" si="33">CONCATENATE(INDEX($B$1100:$T$1199, $A1224, Q$1203))</f>
        <v/>
      </c>
      <c r="R1224" t="str">
        <f t="shared" si="33"/>
        <v/>
      </c>
      <c r="S1224" t="str">
        <f t="shared" si="33"/>
        <v/>
      </c>
      <c r="T1224" t="str">
        <f t="shared" si="33"/>
        <v/>
      </c>
    </row>
    <row r="1225" spans="1:20">
      <c r="A1225" s="195">
        <f t="shared" si="20"/>
        <v>1</v>
      </c>
      <c r="B1225">
        <f t="shared" si="29"/>
        <v>22</v>
      </c>
      <c r="C1225" s="8" t="str">
        <f t="shared" si="21"/>
        <v/>
      </c>
      <c r="D1225" t="str">
        <f t="shared" si="30"/>
        <v/>
      </c>
      <c r="E1225" t="str">
        <f t="shared" si="30"/>
        <v/>
      </c>
      <c r="F1225" s="314" t="str">
        <f t="shared" si="23"/>
        <v/>
      </c>
      <c r="G1225" t="str">
        <f t="shared" si="31"/>
        <v/>
      </c>
      <c r="H1225" t="str">
        <f t="shared" si="31"/>
        <v/>
      </c>
      <c r="I1225" t="str">
        <f t="shared" si="31"/>
        <v/>
      </c>
      <c r="J1225" t="str">
        <f t="shared" si="31"/>
        <v/>
      </c>
      <c r="K1225" s="314" t="str">
        <f t="shared" si="25"/>
        <v/>
      </c>
      <c r="L1225" t="str">
        <f t="shared" si="32"/>
        <v/>
      </c>
      <c r="M1225" t="str">
        <f t="shared" si="32"/>
        <v/>
      </c>
      <c r="N1225" t="str">
        <f t="shared" si="32"/>
        <v/>
      </c>
      <c r="O1225" t="str">
        <f t="shared" si="32"/>
        <v/>
      </c>
      <c r="P1225" s="314" t="str">
        <f t="shared" si="27"/>
        <v/>
      </c>
      <c r="Q1225" t="str">
        <f t="shared" si="33"/>
        <v/>
      </c>
      <c r="R1225" t="str">
        <f t="shared" si="33"/>
        <v/>
      </c>
      <c r="S1225" t="str">
        <f t="shared" si="33"/>
        <v/>
      </c>
      <c r="T1225" t="str">
        <f t="shared" si="33"/>
        <v/>
      </c>
    </row>
    <row r="1226" spans="1:20">
      <c r="A1226" s="195">
        <f t="shared" si="20"/>
        <v>1</v>
      </c>
      <c r="B1226">
        <f t="shared" si="29"/>
        <v>23</v>
      </c>
      <c r="C1226" s="8" t="str">
        <f t="shared" si="21"/>
        <v/>
      </c>
      <c r="D1226" t="str">
        <f t="shared" si="30"/>
        <v/>
      </c>
      <c r="E1226" t="str">
        <f t="shared" si="30"/>
        <v/>
      </c>
      <c r="F1226" s="314" t="str">
        <f t="shared" si="23"/>
        <v/>
      </c>
      <c r="G1226" t="str">
        <f t="shared" si="31"/>
        <v/>
      </c>
      <c r="H1226" t="str">
        <f t="shared" si="31"/>
        <v/>
      </c>
      <c r="I1226" t="str">
        <f t="shared" si="31"/>
        <v/>
      </c>
      <c r="J1226" t="str">
        <f t="shared" si="31"/>
        <v/>
      </c>
      <c r="K1226" s="314" t="str">
        <f t="shared" si="25"/>
        <v/>
      </c>
      <c r="L1226" t="str">
        <f t="shared" si="32"/>
        <v/>
      </c>
      <c r="M1226" t="str">
        <f t="shared" si="32"/>
        <v/>
      </c>
      <c r="N1226" t="str">
        <f t="shared" si="32"/>
        <v/>
      </c>
      <c r="O1226" t="str">
        <f t="shared" si="32"/>
        <v/>
      </c>
      <c r="P1226" s="314" t="str">
        <f t="shared" si="27"/>
        <v/>
      </c>
      <c r="Q1226" t="str">
        <f t="shared" si="33"/>
        <v/>
      </c>
      <c r="R1226" t="str">
        <f t="shared" si="33"/>
        <v/>
      </c>
      <c r="S1226" t="str">
        <f t="shared" si="33"/>
        <v/>
      </c>
      <c r="T1226" t="str">
        <f t="shared" si="33"/>
        <v/>
      </c>
    </row>
    <row r="1227" spans="1:20">
      <c r="A1227" s="195">
        <f t="shared" si="20"/>
        <v>1</v>
      </c>
      <c r="B1227">
        <f t="shared" si="29"/>
        <v>24</v>
      </c>
      <c r="C1227" s="8" t="str">
        <f t="shared" si="21"/>
        <v/>
      </c>
      <c r="D1227" t="str">
        <f t="shared" si="30"/>
        <v/>
      </c>
      <c r="E1227" t="str">
        <f t="shared" si="30"/>
        <v/>
      </c>
      <c r="F1227" s="314" t="str">
        <f t="shared" si="23"/>
        <v/>
      </c>
      <c r="G1227" t="str">
        <f t="shared" si="31"/>
        <v/>
      </c>
      <c r="H1227" t="str">
        <f t="shared" si="31"/>
        <v/>
      </c>
      <c r="I1227" t="str">
        <f t="shared" si="31"/>
        <v/>
      </c>
      <c r="J1227" t="str">
        <f t="shared" si="31"/>
        <v/>
      </c>
      <c r="K1227" s="314" t="str">
        <f t="shared" si="25"/>
        <v/>
      </c>
      <c r="L1227" t="str">
        <f t="shared" si="32"/>
        <v/>
      </c>
      <c r="M1227" t="str">
        <f t="shared" si="32"/>
        <v/>
      </c>
      <c r="N1227" t="str">
        <f t="shared" si="32"/>
        <v/>
      </c>
      <c r="O1227" t="str">
        <f t="shared" si="32"/>
        <v/>
      </c>
      <c r="P1227" s="314" t="str">
        <f t="shared" si="27"/>
        <v/>
      </c>
      <c r="Q1227" t="str">
        <f t="shared" si="33"/>
        <v/>
      </c>
      <c r="R1227" t="str">
        <f t="shared" si="33"/>
        <v/>
      </c>
      <c r="S1227" t="str">
        <f t="shared" si="33"/>
        <v/>
      </c>
      <c r="T1227" t="str">
        <f t="shared" si="33"/>
        <v/>
      </c>
    </row>
    <row r="1228" spans="1:20">
      <c r="A1228" s="195">
        <f t="shared" si="20"/>
        <v>1</v>
      </c>
      <c r="B1228">
        <f t="shared" si="29"/>
        <v>25</v>
      </c>
      <c r="C1228" s="8" t="str">
        <f t="shared" si="21"/>
        <v/>
      </c>
      <c r="D1228" t="str">
        <f t="shared" si="30"/>
        <v/>
      </c>
      <c r="E1228" t="str">
        <f t="shared" si="30"/>
        <v/>
      </c>
      <c r="F1228" s="314" t="str">
        <f t="shared" si="23"/>
        <v/>
      </c>
      <c r="G1228" t="str">
        <f t="shared" si="31"/>
        <v/>
      </c>
      <c r="H1228" t="str">
        <f t="shared" si="31"/>
        <v/>
      </c>
      <c r="I1228" t="str">
        <f t="shared" si="31"/>
        <v/>
      </c>
      <c r="J1228" t="str">
        <f t="shared" si="31"/>
        <v/>
      </c>
      <c r="K1228" s="314" t="str">
        <f t="shared" si="25"/>
        <v/>
      </c>
      <c r="L1228" t="str">
        <f t="shared" si="32"/>
        <v/>
      </c>
      <c r="M1228" t="str">
        <f t="shared" si="32"/>
        <v/>
      </c>
      <c r="N1228" t="str">
        <f t="shared" si="32"/>
        <v/>
      </c>
      <c r="O1228" t="str">
        <f t="shared" si="32"/>
        <v/>
      </c>
      <c r="P1228" s="314" t="str">
        <f t="shared" si="27"/>
        <v/>
      </c>
      <c r="Q1228" t="str">
        <f t="shared" si="33"/>
        <v/>
      </c>
      <c r="R1228" t="str">
        <f t="shared" si="33"/>
        <v/>
      </c>
      <c r="S1228" t="str">
        <f t="shared" si="33"/>
        <v/>
      </c>
      <c r="T1228" t="str">
        <f t="shared" si="33"/>
        <v/>
      </c>
    </row>
    <row r="1229" spans="1:20">
      <c r="A1229" s="195">
        <f t="shared" si="20"/>
        <v>1</v>
      </c>
      <c r="B1229">
        <f t="shared" si="29"/>
        <v>26</v>
      </c>
      <c r="C1229" s="8" t="str">
        <f t="shared" si="21"/>
        <v/>
      </c>
      <c r="D1229" t="str">
        <f t="shared" si="30"/>
        <v/>
      </c>
      <c r="E1229" t="str">
        <f t="shared" si="30"/>
        <v/>
      </c>
      <c r="F1229" s="314" t="str">
        <f t="shared" si="23"/>
        <v/>
      </c>
      <c r="G1229" t="str">
        <f t="shared" si="31"/>
        <v/>
      </c>
      <c r="H1229" t="str">
        <f t="shared" si="31"/>
        <v/>
      </c>
      <c r="I1229" t="str">
        <f t="shared" si="31"/>
        <v/>
      </c>
      <c r="J1229" t="str">
        <f t="shared" si="31"/>
        <v/>
      </c>
      <c r="K1229" s="314" t="str">
        <f t="shared" si="25"/>
        <v/>
      </c>
      <c r="L1229" t="str">
        <f t="shared" si="32"/>
        <v/>
      </c>
      <c r="M1229" t="str">
        <f t="shared" si="32"/>
        <v/>
      </c>
      <c r="N1229" t="str">
        <f t="shared" si="32"/>
        <v/>
      </c>
      <c r="O1229" t="str">
        <f t="shared" si="32"/>
        <v/>
      </c>
      <c r="P1229" s="314" t="str">
        <f t="shared" si="27"/>
        <v/>
      </c>
      <c r="Q1229" t="str">
        <f t="shared" si="33"/>
        <v/>
      </c>
      <c r="R1229" t="str">
        <f t="shared" si="33"/>
        <v/>
      </c>
      <c r="S1229" t="str">
        <f t="shared" si="33"/>
        <v/>
      </c>
      <c r="T1229" t="str">
        <f t="shared" si="33"/>
        <v/>
      </c>
    </row>
    <row r="1230" spans="1:20">
      <c r="A1230" s="195">
        <f t="shared" si="20"/>
        <v>1</v>
      </c>
      <c r="B1230">
        <f t="shared" si="29"/>
        <v>27</v>
      </c>
      <c r="C1230" s="8" t="str">
        <f t="shared" si="21"/>
        <v/>
      </c>
      <c r="D1230" t="str">
        <f t="shared" si="30"/>
        <v/>
      </c>
      <c r="E1230" t="str">
        <f t="shared" si="30"/>
        <v/>
      </c>
      <c r="F1230" s="314" t="str">
        <f t="shared" si="23"/>
        <v/>
      </c>
      <c r="G1230" t="str">
        <f t="shared" si="31"/>
        <v/>
      </c>
      <c r="H1230" t="str">
        <f t="shared" si="31"/>
        <v/>
      </c>
      <c r="I1230" t="str">
        <f t="shared" si="31"/>
        <v/>
      </c>
      <c r="J1230" t="str">
        <f t="shared" si="31"/>
        <v/>
      </c>
      <c r="K1230" s="314" t="str">
        <f t="shared" si="25"/>
        <v/>
      </c>
      <c r="L1230" t="str">
        <f t="shared" si="32"/>
        <v/>
      </c>
      <c r="M1230" t="str">
        <f t="shared" si="32"/>
        <v/>
      </c>
      <c r="N1230" t="str">
        <f t="shared" si="32"/>
        <v/>
      </c>
      <c r="O1230" t="str">
        <f t="shared" si="32"/>
        <v/>
      </c>
      <c r="P1230" s="314" t="str">
        <f t="shared" si="27"/>
        <v/>
      </c>
      <c r="Q1230" t="str">
        <f t="shared" si="33"/>
        <v/>
      </c>
      <c r="R1230" t="str">
        <f t="shared" si="33"/>
        <v/>
      </c>
      <c r="S1230" t="str">
        <f t="shared" si="33"/>
        <v/>
      </c>
      <c r="T1230" t="str">
        <f t="shared" si="33"/>
        <v/>
      </c>
    </row>
    <row r="1231" spans="1:20">
      <c r="A1231" s="195">
        <f t="shared" si="20"/>
        <v>1</v>
      </c>
      <c r="B1231">
        <f t="shared" si="29"/>
        <v>28</v>
      </c>
      <c r="C1231" s="8" t="str">
        <f t="shared" si="21"/>
        <v/>
      </c>
      <c r="D1231" t="str">
        <f t="shared" si="30"/>
        <v/>
      </c>
      <c r="E1231" t="str">
        <f t="shared" si="30"/>
        <v/>
      </c>
      <c r="F1231" s="314" t="str">
        <f t="shared" si="23"/>
        <v/>
      </c>
      <c r="G1231" t="str">
        <f t="shared" si="31"/>
        <v/>
      </c>
      <c r="H1231" t="str">
        <f t="shared" si="31"/>
        <v/>
      </c>
      <c r="I1231" t="str">
        <f t="shared" si="31"/>
        <v/>
      </c>
      <c r="J1231" t="str">
        <f t="shared" si="31"/>
        <v/>
      </c>
      <c r="K1231" s="314" t="str">
        <f t="shared" si="25"/>
        <v/>
      </c>
      <c r="L1231" t="str">
        <f t="shared" si="32"/>
        <v/>
      </c>
      <c r="M1231" t="str">
        <f t="shared" si="32"/>
        <v/>
      </c>
      <c r="N1231" t="str">
        <f t="shared" si="32"/>
        <v/>
      </c>
      <c r="O1231" t="str">
        <f t="shared" si="32"/>
        <v/>
      </c>
      <c r="P1231" s="314" t="str">
        <f t="shared" si="27"/>
        <v/>
      </c>
      <c r="Q1231" t="str">
        <f t="shared" si="33"/>
        <v/>
      </c>
      <c r="R1231" t="str">
        <f t="shared" si="33"/>
        <v/>
      </c>
      <c r="S1231" t="str">
        <f t="shared" si="33"/>
        <v/>
      </c>
      <c r="T1231" t="str">
        <f t="shared" si="33"/>
        <v/>
      </c>
    </row>
    <row r="1232" spans="1:20">
      <c r="A1232" s="195">
        <f t="shared" si="20"/>
        <v>1</v>
      </c>
      <c r="B1232">
        <f t="shared" si="29"/>
        <v>29</v>
      </c>
      <c r="C1232" s="8" t="str">
        <f t="shared" si="21"/>
        <v/>
      </c>
      <c r="D1232" t="str">
        <f t="shared" si="30"/>
        <v/>
      </c>
      <c r="E1232" t="str">
        <f t="shared" si="30"/>
        <v/>
      </c>
      <c r="F1232" s="314" t="str">
        <f t="shared" si="23"/>
        <v/>
      </c>
      <c r="G1232" t="str">
        <f t="shared" si="31"/>
        <v/>
      </c>
      <c r="H1232" t="str">
        <f t="shared" si="31"/>
        <v/>
      </c>
      <c r="I1232" t="str">
        <f t="shared" si="31"/>
        <v/>
      </c>
      <c r="J1232" t="str">
        <f t="shared" si="31"/>
        <v/>
      </c>
      <c r="K1232" s="314" t="str">
        <f t="shared" si="25"/>
        <v/>
      </c>
      <c r="L1232" t="str">
        <f t="shared" si="32"/>
        <v/>
      </c>
      <c r="M1232" t="str">
        <f t="shared" si="32"/>
        <v/>
      </c>
      <c r="N1232" t="str">
        <f t="shared" si="32"/>
        <v/>
      </c>
      <c r="O1232" t="str">
        <f t="shared" si="32"/>
        <v/>
      </c>
      <c r="P1232" s="314" t="str">
        <f t="shared" si="27"/>
        <v/>
      </c>
      <c r="Q1232" t="str">
        <f t="shared" si="33"/>
        <v/>
      </c>
      <c r="R1232" t="str">
        <f t="shared" si="33"/>
        <v/>
      </c>
      <c r="S1232" t="str">
        <f t="shared" si="33"/>
        <v/>
      </c>
      <c r="T1232" t="str">
        <f t="shared" si="33"/>
        <v/>
      </c>
    </row>
    <row r="1233" spans="1:20">
      <c r="A1233" s="195">
        <f t="shared" si="20"/>
        <v>1</v>
      </c>
      <c r="B1233">
        <f t="shared" si="29"/>
        <v>30</v>
      </c>
      <c r="C1233" s="8" t="str">
        <f t="shared" si="21"/>
        <v/>
      </c>
      <c r="D1233" t="str">
        <f t="shared" si="30"/>
        <v/>
      </c>
      <c r="E1233" t="str">
        <f t="shared" si="30"/>
        <v/>
      </c>
      <c r="F1233" s="314" t="str">
        <f t="shared" si="23"/>
        <v/>
      </c>
      <c r="G1233" t="str">
        <f t="shared" si="31"/>
        <v/>
      </c>
      <c r="H1233" t="str">
        <f t="shared" si="31"/>
        <v/>
      </c>
      <c r="I1233" t="str">
        <f t="shared" si="31"/>
        <v/>
      </c>
      <c r="J1233" t="str">
        <f t="shared" si="31"/>
        <v/>
      </c>
      <c r="K1233" s="314" t="str">
        <f t="shared" si="25"/>
        <v/>
      </c>
      <c r="L1233" t="str">
        <f t="shared" si="32"/>
        <v/>
      </c>
      <c r="M1233" t="str">
        <f t="shared" si="32"/>
        <v/>
      </c>
      <c r="N1233" t="str">
        <f t="shared" si="32"/>
        <v/>
      </c>
      <c r="O1233" t="str">
        <f t="shared" si="32"/>
        <v/>
      </c>
      <c r="P1233" s="314" t="str">
        <f t="shared" si="27"/>
        <v/>
      </c>
      <c r="Q1233" t="str">
        <f t="shared" si="33"/>
        <v/>
      </c>
      <c r="R1233" t="str">
        <f t="shared" si="33"/>
        <v/>
      </c>
      <c r="S1233" t="str">
        <f t="shared" si="33"/>
        <v/>
      </c>
      <c r="T1233" t="str">
        <f t="shared" si="33"/>
        <v/>
      </c>
    </row>
    <row r="1234" spans="1:20">
      <c r="A1234" s="195">
        <f t="shared" si="20"/>
        <v>1</v>
      </c>
      <c r="B1234">
        <f t="shared" si="29"/>
        <v>31</v>
      </c>
      <c r="C1234" s="8" t="str">
        <f t="shared" si="21"/>
        <v/>
      </c>
      <c r="D1234" t="str">
        <f t="shared" si="30"/>
        <v/>
      </c>
      <c r="E1234" t="str">
        <f t="shared" si="30"/>
        <v/>
      </c>
      <c r="F1234" s="314" t="str">
        <f t="shared" si="23"/>
        <v/>
      </c>
      <c r="G1234" t="str">
        <f t="shared" si="31"/>
        <v/>
      </c>
      <c r="H1234" t="str">
        <f t="shared" si="31"/>
        <v/>
      </c>
      <c r="I1234" t="str">
        <f t="shared" si="31"/>
        <v/>
      </c>
      <c r="J1234" t="str">
        <f t="shared" si="31"/>
        <v/>
      </c>
      <c r="K1234" s="314" t="str">
        <f t="shared" si="25"/>
        <v/>
      </c>
      <c r="L1234" t="str">
        <f t="shared" si="32"/>
        <v/>
      </c>
      <c r="M1234" t="str">
        <f t="shared" si="32"/>
        <v/>
      </c>
      <c r="N1234" t="str">
        <f t="shared" si="32"/>
        <v/>
      </c>
      <c r="O1234" t="str">
        <f t="shared" si="32"/>
        <v/>
      </c>
      <c r="P1234" s="314" t="str">
        <f t="shared" si="27"/>
        <v/>
      </c>
      <c r="Q1234" t="str">
        <f t="shared" si="33"/>
        <v/>
      </c>
      <c r="R1234" t="str">
        <f t="shared" si="33"/>
        <v/>
      </c>
      <c r="S1234" t="str">
        <f t="shared" si="33"/>
        <v/>
      </c>
      <c r="T1234" t="str">
        <f t="shared" si="33"/>
        <v/>
      </c>
    </row>
    <row r="1235" spans="1:20">
      <c r="A1235" s="195">
        <f t="shared" si="20"/>
        <v>1</v>
      </c>
      <c r="B1235">
        <f t="shared" si="29"/>
        <v>32</v>
      </c>
      <c r="C1235" s="8" t="str">
        <f t="shared" si="21"/>
        <v/>
      </c>
      <c r="D1235" t="str">
        <f t="shared" si="30"/>
        <v/>
      </c>
      <c r="E1235" t="str">
        <f t="shared" si="30"/>
        <v/>
      </c>
      <c r="F1235" s="314" t="str">
        <f t="shared" si="23"/>
        <v/>
      </c>
      <c r="G1235" t="str">
        <f t="shared" si="31"/>
        <v/>
      </c>
      <c r="H1235" t="str">
        <f t="shared" si="31"/>
        <v/>
      </c>
      <c r="I1235" t="str">
        <f t="shared" si="31"/>
        <v/>
      </c>
      <c r="J1235" t="str">
        <f t="shared" si="31"/>
        <v/>
      </c>
      <c r="K1235" s="314" t="str">
        <f t="shared" si="25"/>
        <v/>
      </c>
      <c r="L1235" t="str">
        <f t="shared" si="32"/>
        <v/>
      </c>
      <c r="M1235" t="str">
        <f t="shared" si="32"/>
        <v/>
      </c>
      <c r="N1235" t="str">
        <f t="shared" si="32"/>
        <v/>
      </c>
      <c r="O1235" t="str">
        <f t="shared" si="32"/>
        <v/>
      </c>
      <c r="P1235" s="314" t="str">
        <f t="shared" si="27"/>
        <v/>
      </c>
      <c r="Q1235" t="str">
        <f t="shared" si="33"/>
        <v/>
      </c>
      <c r="R1235" t="str">
        <f t="shared" si="33"/>
        <v/>
      </c>
      <c r="S1235" t="str">
        <f t="shared" si="33"/>
        <v/>
      </c>
      <c r="T1235" t="str">
        <f t="shared" si="33"/>
        <v/>
      </c>
    </row>
    <row r="1236" spans="1:20">
      <c r="A1236" s="195">
        <f t="shared" si="20"/>
        <v>1</v>
      </c>
      <c r="B1236">
        <f t="shared" si="29"/>
        <v>33</v>
      </c>
      <c r="C1236" s="8" t="str">
        <f t="shared" ref="C1236:C1267" si="34">IF(INDEX($B$1100:$T$1199, $A1236, C$1203) = "", "", INDEX($B$1100:$T$1199, $A1236, C$1203))</f>
        <v/>
      </c>
      <c r="D1236" t="str">
        <f t="shared" si="30"/>
        <v/>
      </c>
      <c r="E1236" t="str">
        <f t="shared" si="30"/>
        <v/>
      </c>
      <c r="F1236" s="314" t="str">
        <f t="shared" ref="F1236:F1267" si="35">IF(ISBLANK(INDEX($B$1100:$T$1199, $A1236, F$1203)), "", INDEX($B$1100:$T$1199, $A1236, F$1203))</f>
        <v/>
      </c>
      <c r="G1236" t="str">
        <f t="shared" si="31"/>
        <v/>
      </c>
      <c r="H1236" t="str">
        <f t="shared" si="31"/>
        <v/>
      </c>
      <c r="I1236" t="str">
        <f t="shared" si="31"/>
        <v/>
      </c>
      <c r="J1236" t="str">
        <f t="shared" si="31"/>
        <v/>
      </c>
      <c r="K1236" s="314" t="str">
        <f t="shared" ref="K1236:K1267" si="36">IF(ISBLANK(INDEX($B$1100:$T$1199, $A1236, K$1203)), "", INDEX($B$1100:$T$1199, $A1236, K$1203))</f>
        <v/>
      </c>
      <c r="L1236" t="str">
        <f t="shared" si="32"/>
        <v/>
      </c>
      <c r="M1236" t="str">
        <f t="shared" si="32"/>
        <v/>
      </c>
      <c r="N1236" t="str">
        <f t="shared" si="32"/>
        <v/>
      </c>
      <c r="O1236" t="str">
        <f t="shared" si="32"/>
        <v/>
      </c>
      <c r="P1236" s="314" t="str">
        <f t="shared" ref="P1236:P1267" si="37">IF(ISBLANK(INDEX($B$1100:$T$1199, $A1236, P$1203)), "", INDEX($B$1100:$T$1199, $A1236, P$1203))</f>
        <v/>
      </c>
      <c r="Q1236" t="str">
        <f t="shared" si="33"/>
        <v/>
      </c>
      <c r="R1236" t="str">
        <f t="shared" si="33"/>
        <v/>
      </c>
      <c r="S1236" t="str">
        <f t="shared" si="33"/>
        <v/>
      </c>
      <c r="T1236" t="str">
        <f t="shared" si="33"/>
        <v/>
      </c>
    </row>
    <row r="1237" spans="1:20">
      <c r="A1237" s="195">
        <f t="shared" si="20"/>
        <v>1</v>
      </c>
      <c r="B1237">
        <f t="shared" si="29"/>
        <v>34</v>
      </c>
      <c r="C1237" s="8" t="str">
        <f t="shared" si="34"/>
        <v/>
      </c>
      <c r="D1237" t="str">
        <f t="shared" si="30"/>
        <v/>
      </c>
      <c r="E1237" t="str">
        <f t="shared" si="30"/>
        <v/>
      </c>
      <c r="F1237" s="314" t="str">
        <f t="shared" si="35"/>
        <v/>
      </c>
      <c r="G1237" t="str">
        <f t="shared" si="31"/>
        <v/>
      </c>
      <c r="H1237" t="str">
        <f t="shared" si="31"/>
        <v/>
      </c>
      <c r="I1237" t="str">
        <f t="shared" si="31"/>
        <v/>
      </c>
      <c r="J1237" t="str">
        <f t="shared" si="31"/>
        <v/>
      </c>
      <c r="K1237" s="314" t="str">
        <f t="shared" si="36"/>
        <v/>
      </c>
      <c r="L1237" t="str">
        <f t="shared" si="32"/>
        <v/>
      </c>
      <c r="M1237" t="str">
        <f t="shared" si="32"/>
        <v/>
      </c>
      <c r="N1237" t="str">
        <f t="shared" si="32"/>
        <v/>
      </c>
      <c r="O1237" t="str">
        <f t="shared" si="32"/>
        <v/>
      </c>
      <c r="P1237" s="314" t="str">
        <f t="shared" si="37"/>
        <v/>
      </c>
      <c r="Q1237" t="str">
        <f t="shared" si="33"/>
        <v/>
      </c>
      <c r="R1237" t="str">
        <f t="shared" si="33"/>
        <v/>
      </c>
      <c r="S1237" t="str">
        <f t="shared" si="33"/>
        <v/>
      </c>
      <c r="T1237" t="str">
        <f t="shared" si="33"/>
        <v/>
      </c>
    </row>
    <row r="1238" spans="1:20">
      <c r="A1238" s="195">
        <f t="shared" si="20"/>
        <v>1</v>
      </c>
      <c r="B1238">
        <f t="shared" si="29"/>
        <v>35</v>
      </c>
      <c r="C1238" s="8" t="str">
        <f t="shared" si="34"/>
        <v/>
      </c>
      <c r="D1238" t="str">
        <f t="shared" si="30"/>
        <v/>
      </c>
      <c r="E1238" t="str">
        <f t="shared" si="30"/>
        <v/>
      </c>
      <c r="F1238" s="314" t="str">
        <f t="shared" si="35"/>
        <v/>
      </c>
      <c r="G1238" t="str">
        <f t="shared" si="31"/>
        <v/>
      </c>
      <c r="H1238" t="str">
        <f t="shared" si="31"/>
        <v/>
      </c>
      <c r="I1238" t="str">
        <f t="shared" si="31"/>
        <v/>
      </c>
      <c r="J1238" t="str">
        <f t="shared" si="31"/>
        <v/>
      </c>
      <c r="K1238" s="314" t="str">
        <f t="shared" si="36"/>
        <v/>
      </c>
      <c r="L1238" t="str">
        <f t="shared" si="32"/>
        <v/>
      </c>
      <c r="M1238" t="str">
        <f t="shared" si="32"/>
        <v/>
      </c>
      <c r="N1238" t="str">
        <f t="shared" si="32"/>
        <v/>
      </c>
      <c r="O1238" t="str">
        <f t="shared" si="32"/>
        <v/>
      </c>
      <c r="P1238" s="314" t="str">
        <f t="shared" si="37"/>
        <v/>
      </c>
      <c r="Q1238" t="str">
        <f t="shared" si="33"/>
        <v/>
      </c>
      <c r="R1238" t="str">
        <f t="shared" si="33"/>
        <v/>
      </c>
      <c r="S1238" t="str">
        <f t="shared" si="33"/>
        <v/>
      </c>
      <c r="T1238" t="str">
        <f t="shared" si="33"/>
        <v/>
      </c>
    </row>
    <row r="1239" spans="1:20">
      <c r="A1239" s="195">
        <f t="shared" si="20"/>
        <v>1</v>
      </c>
      <c r="B1239">
        <f t="shared" si="29"/>
        <v>36</v>
      </c>
      <c r="C1239" s="8" t="str">
        <f t="shared" si="34"/>
        <v/>
      </c>
      <c r="D1239" t="str">
        <f t="shared" si="30"/>
        <v/>
      </c>
      <c r="E1239" t="str">
        <f t="shared" si="30"/>
        <v/>
      </c>
      <c r="F1239" s="314" t="str">
        <f t="shared" si="35"/>
        <v/>
      </c>
      <c r="G1239" t="str">
        <f t="shared" si="31"/>
        <v/>
      </c>
      <c r="H1239" t="str">
        <f t="shared" si="31"/>
        <v/>
      </c>
      <c r="I1239" t="str">
        <f t="shared" si="31"/>
        <v/>
      </c>
      <c r="J1239" t="str">
        <f t="shared" si="31"/>
        <v/>
      </c>
      <c r="K1239" s="314" t="str">
        <f t="shared" si="36"/>
        <v/>
      </c>
      <c r="L1239" t="str">
        <f t="shared" si="32"/>
        <v/>
      </c>
      <c r="M1239" t="str">
        <f t="shared" si="32"/>
        <v/>
      </c>
      <c r="N1239" t="str">
        <f t="shared" si="32"/>
        <v/>
      </c>
      <c r="O1239" t="str">
        <f t="shared" si="32"/>
        <v/>
      </c>
      <c r="P1239" s="314" t="str">
        <f t="shared" si="37"/>
        <v/>
      </c>
      <c r="Q1239" t="str">
        <f t="shared" si="33"/>
        <v/>
      </c>
      <c r="R1239" t="str">
        <f t="shared" si="33"/>
        <v/>
      </c>
      <c r="S1239" t="str">
        <f t="shared" si="33"/>
        <v/>
      </c>
      <c r="T1239" t="str">
        <f t="shared" si="33"/>
        <v/>
      </c>
    </row>
    <row r="1240" spans="1:20">
      <c r="A1240" s="195">
        <f t="shared" si="20"/>
        <v>1</v>
      </c>
      <c r="B1240">
        <f t="shared" si="29"/>
        <v>37</v>
      </c>
      <c r="C1240" s="8" t="str">
        <f t="shared" si="34"/>
        <v/>
      </c>
      <c r="D1240" t="str">
        <f t="shared" si="30"/>
        <v/>
      </c>
      <c r="E1240" t="str">
        <f t="shared" si="30"/>
        <v/>
      </c>
      <c r="F1240" s="314" t="str">
        <f t="shared" si="35"/>
        <v/>
      </c>
      <c r="G1240" t="str">
        <f t="shared" si="31"/>
        <v/>
      </c>
      <c r="H1240" t="str">
        <f t="shared" si="31"/>
        <v/>
      </c>
      <c r="I1240" t="str">
        <f t="shared" si="31"/>
        <v/>
      </c>
      <c r="J1240" t="str">
        <f t="shared" si="31"/>
        <v/>
      </c>
      <c r="K1240" s="314" t="str">
        <f t="shared" si="36"/>
        <v/>
      </c>
      <c r="L1240" t="str">
        <f t="shared" si="32"/>
        <v/>
      </c>
      <c r="M1240" t="str">
        <f t="shared" si="32"/>
        <v/>
      </c>
      <c r="N1240" t="str">
        <f t="shared" si="32"/>
        <v/>
      </c>
      <c r="O1240" t="str">
        <f t="shared" si="32"/>
        <v/>
      </c>
      <c r="P1240" s="314" t="str">
        <f t="shared" si="37"/>
        <v/>
      </c>
      <c r="Q1240" t="str">
        <f t="shared" si="33"/>
        <v/>
      </c>
      <c r="R1240" t="str">
        <f t="shared" si="33"/>
        <v/>
      </c>
      <c r="S1240" t="str">
        <f t="shared" si="33"/>
        <v/>
      </c>
      <c r="T1240" t="str">
        <f t="shared" si="33"/>
        <v/>
      </c>
    </row>
    <row r="1241" spans="1:20">
      <c r="A1241" s="195">
        <f t="shared" si="20"/>
        <v>1</v>
      </c>
      <c r="B1241">
        <f t="shared" si="29"/>
        <v>38</v>
      </c>
      <c r="C1241" s="8" t="str">
        <f t="shared" si="34"/>
        <v/>
      </c>
      <c r="D1241" t="str">
        <f t="shared" si="30"/>
        <v/>
      </c>
      <c r="E1241" t="str">
        <f t="shared" si="30"/>
        <v/>
      </c>
      <c r="F1241" s="314" t="str">
        <f t="shared" si="35"/>
        <v/>
      </c>
      <c r="G1241" t="str">
        <f t="shared" si="31"/>
        <v/>
      </c>
      <c r="H1241" t="str">
        <f t="shared" si="31"/>
        <v/>
      </c>
      <c r="I1241" t="str">
        <f t="shared" si="31"/>
        <v/>
      </c>
      <c r="J1241" t="str">
        <f t="shared" si="31"/>
        <v/>
      </c>
      <c r="K1241" s="314" t="str">
        <f t="shared" si="36"/>
        <v/>
      </c>
      <c r="L1241" t="str">
        <f t="shared" si="32"/>
        <v/>
      </c>
      <c r="M1241" t="str">
        <f t="shared" si="32"/>
        <v/>
      </c>
      <c r="N1241" t="str">
        <f t="shared" si="32"/>
        <v/>
      </c>
      <c r="O1241" t="str">
        <f t="shared" si="32"/>
        <v/>
      </c>
      <c r="P1241" s="314" t="str">
        <f t="shared" si="37"/>
        <v/>
      </c>
      <c r="Q1241" t="str">
        <f t="shared" si="33"/>
        <v/>
      </c>
      <c r="R1241" t="str">
        <f t="shared" si="33"/>
        <v/>
      </c>
      <c r="S1241" t="str">
        <f t="shared" si="33"/>
        <v/>
      </c>
      <c r="T1241" t="str">
        <f t="shared" si="33"/>
        <v/>
      </c>
    </row>
    <row r="1242" spans="1:20">
      <c r="A1242" s="195">
        <f t="shared" si="20"/>
        <v>1</v>
      </c>
      <c r="B1242">
        <f t="shared" si="29"/>
        <v>39</v>
      </c>
      <c r="C1242" s="8" t="str">
        <f t="shared" si="34"/>
        <v/>
      </c>
      <c r="D1242" t="str">
        <f t="shared" si="30"/>
        <v/>
      </c>
      <c r="E1242" t="str">
        <f t="shared" si="30"/>
        <v/>
      </c>
      <c r="F1242" s="314" t="str">
        <f t="shared" si="35"/>
        <v/>
      </c>
      <c r="G1242" t="str">
        <f t="shared" si="31"/>
        <v/>
      </c>
      <c r="H1242" t="str">
        <f t="shared" si="31"/>
        <v/>
      </c>
      <c r="I1242" t="str">
        <f t="shared" si="31"/>
        <v/>
      </c>
      <c r="J1242" t="str">
        <f t="shared" si="31"/>
        <v/>
      </c>
      <c r="K1242" s="314" t="str">
        <f t="shared" si="36"/>
        <v/>
      </c>
      <c r="L1242" t="str">
        <f t="shared" si="32"/>
        <v/>
      </c>
      <c r="M1242" t="str">
        <f t="shared" si="32"/>
        <v/>
      </c>
      <c r="N1242" t="str">
        <f t="shared" si="32"/>
        <v/>
      </c>
      <c r="O1242" t="str">
        <f t="shared" si="32"/>
        <v/>
      </c>
      <c r="P1242" s="314" t="str">
        <f t="shared" si="37"/>
        <v/>
      </c>
      <c r="Q1242" t="str">
        <f t="shared" si="33"/>
        <v/>
      </c>
      <c r="R1242" t="str">
        <f t="shared" si="33"/>
        <v/>
      </c>
      <c r="S1242" t="str">
        <f t="shared" si="33"/>
        <v/>
      </c>
      <c r="T1242" t="str">
        <f t="shared" si="33"/>
        <v/>
      </c>
    </row>
    <row r="1243" spans="1:20">
      <c r="A1243" s="195">
        <f t="shared" si="20"/>
        <v>1</v>
      </c>
      <c r="B1243">
        <f t="shared" si="29"/>
        <v>40</v>
      </c>
      <c r="C1243" s="8" t="str">
        <f t="shared" si="34"/>
        <v/>
      </c>
      <c r="D1243" t="str">
        <f t="shared" si="30"/>
        <v/>
      </c>
      <c r="E1243" t="str">
        <f t="shared" si="30"/>
        <v/>
      </c>
      <c r="F1243" s="314" t="str">
        <f t="shared" si="35"/>
        <v/>
      </c>
      <c r="G1243" t="str">
        <f t="shared" si="31"/>
        <v/>
      </c>
      <c r="H1243" t="str">
        <f t="shared" si="31"/>
        <v/>
      </c>
      <c r="I1243" t="str">
        <f t="shared" si="31"/>
        <v/>
      </c>
      <c r="J1243" t="str">
        <f t="shared" si="31"/>
        <v/>
      </c>
      <c r="K1243" s="314" t="str">
        <f t="shared" si="36"/>
        <v/>
      </c>
      <c r="L1243" t="str">
        <f t="shared" si="32"/>
        <v/>
      </c>
      <c r="M1243" t="str">
        <f t="shared" si="32"/>
        <v/>
      </c>
      <c r="N1243" t="str">
        <f t="shared" si="32"/>
        <v/>
      </c>
      <c r="O1243" t="str">
        <f t="shared" si="32"/>
        <v/>
      </c>
      <c r="P1243" s="314" t="str">
        <f t="shared" si="37"/>
        <v/>
      </c>
      <c r="Q1243" t="str">
        <f t="shared" si="33"/>
        <v/>
      </c>
      <c r="R1243" t="str">
        <f t="shared" si="33"/>
        <v/>
      </c>
      <c r="S1243" t="str">
        <f t="shared" si="33"/>
        <v/>
      </c>
      <c r="T1243" t="str">
        <f t="shared" si="33"/>
        <v/>
      </c>
    </row>
    <row r="1244" spans="1:20">
      <c r="A1244" s="195">
        <f t="shared" si="20"/>
        <v>1</v>
      </c>
      <c r="B1244">
        <f t="shared" si="29"/>
        <v>41</v>
      </c>
      <c r="C1244" s="8" t="str">
        <f t="shared" si="34"/>
        <v/>
      </c>
      <c r="D1244" t="str">
        <f t="shared" ref="D1244:E1263" si="38">CONCATENATE(INDEX($B$1100:$T$1199, $A1244, D$1203))</f>
        <v/>
      </c>
      <c r="E1244" t="str">
        <f t="shared" si="38"/>
        <v/>
      </c>
      <c r="F1244" s="314" t="str">
        <f t="shared" si="35"/>
        <v/>
      </c>
      <c r="G1244" t="str">
        <f t="shared" ref="G1244:J1263" si="39">CONCATENATE(INDEX($B$1100:$T$1199, $A1244, G$1203))</f>
        <v/>
      </c>
      <c r="H1244" t="str">
        <f t="shared" si="39"/>
        <v/>
      </c>
      <c r="I1244" t="str">
        <f t="shared" si="39"/>
        <v/>
      </c>
      <c r="J1244" t="str">
        <f t="shared" si="39"/>
        <v/>
      </c>
      <c r="K1244" s="314" t="str">
        <f t="shared" si="36"/>
        <v/>
      </c>
      <c r="L1244" t="str">
        <f t="shared" ref="L1244:O1263" si="40">CONCATENATE(INDEX($B$1100:$T$1199, $A1244, L$1203))</f>
        <v/>
      </c>
      <c r="M1244" t="str">
        <f t="shared" si="40"/>
        <v/>
      </c>
      <c r="N1244" t="str">
        <f t="shared" si="40"/>
        <v/>
      </c>
      <c r="O1244" t="str">
        <f t="shared" si="40"/>
        <v/>
      </c>
      <c r="P1244" s="314" t="str">
        <f t="shared" si="37"/>
        <v/>
      </c>
      <c r="Q1244" t="str">
        <f t="shared" ref="Q1244:T1263" si="41">CONCATENATE(INDEX($B$1100:$T$1199, $A1244, Q$1203))</f>
        <v/>
      </c>
      <c r="R1244" t="str">
        <f t="shared" si="41"/>
        <v/>
      </c>
      <c r="S1244" t="str">
        <f t="shared" si="41"/>
        <v/>
      </c>
      <c r="T1244" t="str">
        <f t="shared" si="41"/>
        <v/>
      </c>
    </row>
    <row r="1245" spans="1:20">
      <c r="A1245" s="195">
        <f t="shared" si="20"/>
        <v>1</v>
      </c>
      <c r="B1245">
        <f t="shared" si="29"/>
        <v>42</v>
      </c>
      <c r="C1245" s="8" t="str">
        <f t="shared" si="34"/>
        <v/>
      </c>
      <c r="D1245" t="str">
        <f t="shared" si="38"/>
        <v/>
      </c>
      <c r="E1245" t="str">
        <f t="shared" si="38"/>
        <v/>
      </c>
      <c r="F1245" s="314" t="str">
        <f t="shared" si="35"/>
        <v/>
      </c>
      <c r="G1245" t="str">
        <f t="shared" si="39"/>
        <v/>
      </c>
      <c r="H1245" t="str">
        <f t="shared" si="39"/>
        <v/>
      </c>
      <c r="I1245" t="str">
        <f t="shared" si="39"/>
        <v/>
      </c>
      <c r="J1245" t="str">
        <f t="shared" si="39"/>
        <v/>
      </c>
      <c r="K1245" s="314" t="str">
        <f t="shared" si="36"/>
        <v/>
      </c>
      <c r="L1245" t="str">
        <f t="shared" si="40"/>
        <v/>
      </c>
      <c r="M1245" t="str">
        <f t="shared" si="40"/>
        <v/>
      </c>
      <c r="N1245" t="str">
        <f t="shared" si="40"/>
        <v/>
      </c>
      <c r="O1245" t="str">
        <f t="shared" si="40"/>
        <v/>
      </c>
      <c r="P1245" s="314" t="str">
        <f t="shared" si="37"/>
        <v/>
      </c>
      <c r="Q1245" t="str">
        <f t="shared" si="41"/>
        <v/>
      </c>
      <c r="R1245" t="str">
        <f t="shared" si="41"/>
        <v/>
      </c>
      <c r="S1245" t="str">
        <f t="shared" si="41"/>
        <v/>
      </c>
      <c r="T1245" t="str">
        <f t="shared" si="41"/>
        <v/>
      </c>
    </row>
    <row r="1246" spans="1:20">
      <c r="A1246" s="195">
        <f t="shared" si="20"/>
        <v>1</v>
      </c>
      <c r="B1246">
        <f t="shared" si="29"/>
        <v>43</v>
      </c>
      <c r="C1246" s="8" t="str">
        <f t="shared" si="34"/>
        <v/>
      </c>
      <c r="D1246" t="str">
        <f t="shared" si="38"/>
        <v/>
      </c>
      <c r="E1246" t="str">
        <f t="shared" si="38"/>
        <v/>
      </c>
      <c r="F1246" s="314" t="str">
        <f t="shared" si="35"/>
        <v/>
      </c>
      <c r="G1246" t="str">
        <f t="shared" si="39"/>
        <v/>
      </c>
      <c r="H1246" t="str">
        <f t="shared" si="39"/>
        <v/>
      </c>
      <c r="I1246" t="str">
        <f t="shared" si="39"/>
        <v/>
      </c>
      <c r="J1246" t="str">
        <f t="shared" si="39"/>
        <v/>
      </c>
      <c r="K1246" s="314" t="str">
        <f t="shared" si="36"/>
        <v/>
      </c>
      <c r="L1246" t="str">
        <f t="shared" si="40"/>
        <v/>
      </c>
      <c r="M1246" t="str">
        <f t="shared" si="40"/>
        <v/>
      </c>
      <c r="N1246" t="str">
        <f t="shared" si="40"/>
        <v/>
      </c>
      <c r="O1246" t="str">
        <f t="shared" si="40"/>
        <v/>
      </c>
      <c r="P1246" s="314" t="str">
        <f t="shared" si="37"/>
        <v/>
      </c>
      <c r="Q1246" t="str">
        <f t="shared" si="41"/>
        <v/>
      </c>
      <c r="R1246" t="str">
        <f t="shared" si="41"/>
        <v/>
      </c>
      <c r="S1246" t="str">
        <f t="shared" si="41"/>
        <v/>
      </c>
      <c r="T1246" t="str">
        <f t="shared" si="41"/>
        <v/>
      </c>
    </row>
    <row r="1247" spans="1:20">
      <c r="A1247" s="195">
        <f t="shared" si="20"/>
        <v>1</v>
      </c>
      <c r="B1247">
        <f t="shared" si="29"/>
        <v>44</v>
      </c>
      <c r="C1247" s="8" t="str">
        <f t="shared" si="34"/>
        <v/>
      </c>
      <c r="D1247" t="str">
        <f t="shared" si="38"/>
        <v/>
      </c>
      <c r="E1247" t="str">
        <f t="shared" si="38"/>
        <v/>
      </c>
      <c r="F1247" s="314" t="str">
        <f t="shared" si="35"/>
        <v/>
      </c>
      <c r="G1247" t="str">
        <f t="shared" si="39"/>
        <v/>
      </c>
      <c r="H1247" t="str">
        <f t="shared" si="39"/>
        <v/>
      </c>
      <c r="I1247" t="str">
        <f t="shared" si="39"/>
        <v/>
      </c>
      <c r="J1247" t="str">
        <f t="shared" si="39"/>
        <v/>
      </c>
      <c r="K1247" s="314" t="str">
        <f t="shared" si="36"/>
        <v/>
      </c>
      <c r="L1247" t="str">
        <f t="shared" si="40"/>
        <v/>
      </c>
      <c r="M1247" t="str">
        <f t="shared" si="40"/>
        <v/>
      </c>
      <c r="N1247" t="str">
        <f t="shared" si="40"/>
        <v/>
      </c>
      <c r="O1247" t="str">
        <f t="shared" si="40"/>
        <v/>
      </c>
      <c r="P1247" s="314" t="str">
        <f t="shared" si="37"/>
        <v/>
      </c>
      <c r="Q1247" t="str">
        <f t="shared" si="41"/>
        <v/>
      </c>
      <c r="R1247" t="str">
        <f t="shared" si="41"/>
        <v/>
      </c>
      <c r="S1247" t="str">
        <f t="shared" si="41"/>
        <v/>
      </c>
      <c r="T1247" t="str">
        <f t="shared" si="41"/>
        <v/>
      </c>
    </row>
    <row r="1248" spans="1:20">
      <c r="A1248" s="195">
        <f t="shared" si="20"/>
        <v>1</v>
      </c>
      <c r="B1248">
        <f t="shared" si="29"/>
        <v>45</v>
      </c>
      <c r="C1248" s="8" t="str">
        <f t="shared" si="34"/>
        <v/>
      </c>
      <c r="D1248" t="str">
        <f t="shared" si="38"/>
        <v/>
      </c>
      <c r="E1248" t="str">
        <f t="shared" si="38"/>
        <v/>
      </c>
      <c r="F1248" s="314" t="str">
        <f t="shared" si="35"/>
        <v/>
      </c>
      <c r="G1248" t="str">
        <f t="shared" si="39"/>
        <v/>
      </c>
      <c r="H1248" t="str">
        <f t="shared" si="39"/>
        <v/>
      </c>
      <c r="I1248" t="str">
        <f t="shared" si="39"/>
        <v/>
      </c>
      <c r="J1248" t="str">
        <f t="shared" si="39"/>
        <v/>
      </c>
      <c r="K1248" s="314" t="str">
        <f t="shared" si="36"/>
        <v/>
      </c>
      <c r="L1248" t="str">
        <f t="shared" si="40"/>
        <v/>
      </c>
      <c r="M1248" t="str">
        <f t="shared" si="40"/>
        <v/>
      </c>
      <c r="N1248" t="str">
        <f t="shared" si="40"/>
        <v/>
      </c>
      <c r="O1248" t="str">
        <f t="shared" si="40"/>
        <v/>
      </c>
      <c r="P1248" s="314" t="str">
        <f t="shared" si="37"/>
        <v/>
      </c>
      <c r="Q1248" t="str">
        <f t="shared" si="41"/>
        <v/>
      </c>
      <c r="R1248" t="str">
        <f t="shared" si="41"/>
        <v/>
      </c>
      <c r="S1248" t="str">
        <f t="shared" si="41"/>
        <v/>
      </c>
      <c r="T1248" t="str">
        <f t="shared" si="41"/>
        <v/>
      </c>
    </row>
    <row r="1249" spans="1:20">
      <c r="A1249" s="195">
        <f t="shared" si="20"/>
        <v>1</v>
      </c>
      <c r="B1249">
        <f t="shared" si="29"/>
        <v>46</v>
      </c>
      <c r="C1249" s="8" t="str">
        <f t="shared" si="34"/>
        <v/>
      </c>
      <c r="D1249" t="str">
        <f t="shared" si="38"/>
        <v/>
      </c>
      <c r="E1249" t="str">
        <f t="shared" si="38"/>
        <v/>
      </c>
      <c r="F1249" s="314" t="str">
        <f t="shared" si="35"/>
        <v/>
      </c>
      <c r="G1249" t="str">
        <f t="shared" si="39"/>
        <v/>
      </c>
      <c r="H1249" t="str">
        <f t="shared" si="39"/>
        <v/>
      </c>
      <c r="I1249" t="str">
        <f t="shared" si="39"/>
        <v/>
      </c>
      <c r="J1249" t="str">
        <f t="shared" si="39"/>
        <v/>
      </c>
      <c r="K1249" s="314" t="str">
        <f t="shared" si="36"/>
        <v/>
      </c>
      <c r="L1249" t="str">
        <f t="shared" si="40"/>
        <v/>
      </c>
      <c r="M1249" t="str">
        <f t="shared" si="40"/>
        <v/>
      </c>
      <c r="N1249" t="str">
        <f t="shared" si="40"/>
        <v/>
      </c>
      <c r="O1249" t="str">
        <f t="shared" si="40"/>
        <v/>
      </c>
      <c r="P1249" s="314" t="str">
        <f t="shared" si="37"/>
        <v/>
      </c>
      <c r="Q1249" t="str">
        <f t="shared" si="41"/>
        <v/>
      </c>
      <c r="R1249" t="str">
        <f t="shared" si="41"/>
        <v/>
      </c>
      <c r="S1249" t="str">
        <f t="shared" si="41"/>
        <v/>
      </c>
      <c r="T1249" t="str">
        <f t="shared" si="41"/>
        <v/>
      </c>
    </row>
    <row r="1250" spans="1:20">
      <c r="A1250" s="195">
        <f t="shared" si="20"/>
        <v>1</v>
      </c>
      <c r="B1250">
        <f t="shared" si="29"/>
        <v>47</v>
      </c>
      <c r="C1250" s="8" t="str">
        <f t="shared" si="34"/>
        <v/>
      </c>
      <c r="D1250" t="str">
        <f t="shared" si="38"/>
        <v/>
      </c>
      <c r="E1250" t="str">
        <f t="shared" si="38"/>
        <v/>
      </c>
      <c r="F1250" s="314" t="str">
        <f t="shared" si="35"/>
        <v/>
      </c>
      <c r="G1250" t="str">
        <f t="shared" si="39"/>
        <v/>
      </c>
      <c r="H1250" t="str">
        <f t="shared" si="39"/>
        <v/>
      </c>
      <c r="I1250" t="str">
        <f t="shared" si="39"/>
        <v/>
      </c>
      <c r="J1250" t="str">
        <f t="shared" si="39"/>
        <v/>
      </c>
      <c r="K1250" s="314" t="str">
        <f t="shared" si="36"/>
        <v/>
      </c>
      <c r="L1250" t="str">
        <f t="shared" si="40"/>
        <v/>
      </c>
      <c r="M1250" t="str">
        <f t="shared" si="40"/>
        <v/>
      </c>
      <c r="N1250" t="str">
        <f t="shared" si="40"/>
        <v/>
      </c>
      <c r="O1250" t="str">
        <f t="shared" si="40"/>
        <v/>
      </c>
      <c r="P1250" s="314" t="str">
        <f t="shared" si="37"/>
        <v/>
      </c>
      <c r="Q1250" t="str">
        <f t="shared" si="41"/>
        <v/>
      </c>
      <c r="R1250" t="str">
        <f t="shared" si="41"/>
        <v/>
      </c>
      <c r="S1250" t="str">
        <f t="shared" si="41"/>
        <v/>
      </c>
      <c r="T1250" t="str">
        <f t="shared" si="41"/>
        <v/>
      </c>
    </row>
    <row r="1251" spans="1:20">
      <c r="A1251" s="195">
        <f t="shared" si="20"/>
        <v>1</v>
      </c>
      <c r="B1251">
        <f t="shared" si="29"/>
        <v>48</v>
      </c>
      <c r="C1251" s="8" t="str">
        <f t="shared" si="34"/>
        <v/>
      </c>
      <c r="D1251" t="str">
        <f t="shared" si="38"/>
        <v/>
      </c>
      <c r="E1251" t="str">
        <f t="shared" si="38"/>
        <v/>
      </c>
      <c r="F1251" s="314" t="str">
        <f t="shared" si="35"/>
        <v/>
      </c>
      <c r="G1251" t="str">
        <f t="shared" si="39"/>
        <v/>
      </c>
      <c r="H1251" t="str">
        <f t="shared" si="39"/>
        <v/>
      </c>
      <c r="I1251" t="str">
        <f t="shared" si="39"/>
        <v/>
      </c>
      <c r="J1251" t="str">
        <f t="shared" si="39"/>
        <v/>
      </c>
      <c r="K1251" s="314" t="str">
        <f t="shared" si="36"/>
        <v/>
      </c>
      <c r="L1251" t="str">
        <f t="shared" si="40"/>
        <v/>
      </c>
      <c r="M1251" t="str">
        <f t="shared" si="40"/>
        <v/>
      </c>
      <c r="N1251" t="str">
        <f t="shared" si="40"/>
        <v/>
      </c>
      <c r="O1251" t="str">
        <f t="shared" si="40"/>
        <v/>
      </c>
      <c r="P1251" s="314" t="str">
        <f t="shared" si="37"/>
        <v/>
      </c>
      <c r="Q1251" t="str">
        <f t="shared" si="41"/>
        <v/>
      </c>
      <c r="R1251" t="str">
        <f t="shared" si="41"/>
        <v/>
      </c>
      <c r="S1251" t="str">
        <f t="shared" si="41"/>
        <v/>
      </c>
      <c r="T1251" t="str">
        <f t="shared" si="41"/>
        <v/>
      </c>
    </row>
    <row r="1252" spans="1:20">
      <c r="A1252" s="195">
        <f t="shared" si="20"/>
        <v>1</v>
      </c>
      <c r="B1252">
        <f t="shared" si="29"/>
        <v>49</v>
      </c>
      <c r="C1252" s="8" t="str">
        <f t="shared" si="34"/>
        <v/>
      </c>
      <c r="D1252" t="str">
        <f t="shared" si="38"/>
        <v/>
      </c>
      <c r="E1252" t="str">
        <f t="shared" si="38"/>
        <v/>
      </c>
      <c r="F1252" s="314" t="str">
        <f t="shared" si="35"/>
        <v/>
      </c>
      <c r="G1252" t="str">
        <f t="shared" si="39"/>
        <v/>
      </c>
      <c r="H1252" t="str">
        <f t="shared" si="39"/>
        <v/>
      </c>
      <c r="I1252" t="str">
        <f t="shared" si="39"/>
        <v/>
      </c>
      <c r="J1252" t="str">
        <f t="shared" si="39"/>
        <v/>
      </c>
      <c r="K1252" s="314" t="str">
        <f t="shared" si="36"/>
        <v/>
      </c>
      <c r="L1252" t="str">
        <f t="shared" si="40"/>
        <v/>
      </c>
      <c r="M1252" t="str">
        <f t="shared" si="40"/>
        <v/>
      </c>
      <c r="N1252" t="str">
        <f t="shared" si="40"/>
        <v/>
      </c>
      <c r="O1252" t="str">
        <f t="shared" si="40"/>
        <v/>
      </c>
      <c r="P1252" s="314" t="str">
        <f t="shared" si="37"/>
        <v/>
      </c>
      <c r="Q1252" t="str">
        <f t="shared" si="41"/>
        <v/>
      </c>
      <c r="R1252" t="str">
        <f t="shared" si="41"/>
        <v/>
      </c>
      <c r="S1252" t="str">
        <f t="shared" si="41"/>
        <v/>
      </c>
      <c r="T1252" t="str">
        <f t="shared" si="41"/>
        <v/>
      </c>
    </row>
    <row r="1253" spans="1:20">
      <c r="A1253" s="195">
        <f t="shared" si="20"/>
        <v>1</v>
      </c>
      <c r="B1253">
        <f t="shared" si="29"/>
        <v>50</v>
      </c>
      <c r="C1253" s="8" t="str">
        <f t="shared" si="34"/>
        <v/>
      </c>
      <c r="D1253" t="str">
        <f t="shared" si="38"/>
        <v/>
      </c>
      <c r="E1253" t="str">
        <f t="shared" si="38"/>
        <v/>
      </c>
      <c r="F1253" s="314" t="str">
        <f t="shared" si="35"/>
        <v/>
      </c>
      <c r="G1253" t="str">
        <f t="shared" si="39"/>
        <v/>
      </c>
      <c r="H1253" t="str">
        <f t="shared" si="39"/>
        <v/>
      </c>
      <c r="I1253" t="str">
        <f t="shared" si="39"/>
        <v/>
      </c>
      <c r="J1253" t="str">
        <f t="shared" si="39"/>
        <v/>
      </c>
      <c r="K1253" s="314" t="str">
        <f t="shared" si="36"/>
        <v/>
      </c>
      <c r="L1253" t="str">
        <f t="shared" si="40"/>
        <v/>
      </c>
      <c r="M1253" t="str">
        <f t="shared" si="40"/>
        <v/>
      </c>
      <c r="N1253" t="str">
        <f t="shared" si="40"/>
        <v/>
      </c>
      <c r="O1253" t="str">
        <f t="shared" si="40"/>
        <v/>
      </c>
      <c r="P1253" s="314" t="str">
        <f t="shared" si="37"/>
        <v/>
      </c>
      <c r="Q1253" t="str">
        <f t="shared" si="41"/>
        <v/>
      </c>
      <c r="R1253" t="str">
        <f t="shared" si="41"/>
        <v/>
      </c>
      <c r="S1253" t="str">
        <f t="shared" si="41"/>
        <v/>
      </c>
      <c r="T1253" t="str">
        <f t="shared" si="41"/>
        <v/>
      </c>
    </row>
    <row r="1254" spans="1:20">
      <c r="A1254" s="195">
        <f t="shared" si="20"/>
        <v>1</v>
      </c>
      <c r="B1254">
        <f t="shared" si="29"/>
        <v>51</v>
      </c>
      <c r="C1254" s="8" t="str">
        <f t="shared" si="34"/>
        <v/>
      </c>
      <c r="D1254" t="str">
        <f t="shared" si="38"/>
        <v/>
      </c>
      <c r="E1254" t="str">
        <f t="shared" si="38"/>
        <v/>
      </c>
      <c r="F1254" s="314" t="str">
        <f t="shared" si="35"/>
        <v/>
      </c>
      <c r="G1254" t="str">
        <f t="shared" si="39"/>
        <v/>
      </c>
      <c r="H1254" t="str">
        <f t="shared" si="39"/>
        <v/>
      </c>
      <c r="I1254" t="str">
        <f t="shared" si="39"/>
        <v/>
      </c>
      <c r="J1254" t="str">
        <f t="shared" si="39"/>
        <v/>
      </c>
      <c r="K1254" s="314" t="str">
        <f t="shared" si="36"/>
        <v/>
      </c>
      <c r="L1254" t="str">
        <f t="shared" si="40"/>
        <v/>
      </c>
      <c r="M1254" t="str">
        <f t="shared" si="40"/>
        <v/>
      </c>
      <c r="N1254" t="str">
        <f t="shared" si="40"/>
        <v/>
      </c>
      <c r="O1254" t="str">
        <f t="shared" si="40"/>
        <v/>
      </c>
      <c r="P1254" s="314" t="str">
        <f t="shared" si="37"/>
        <v/>
      </c>
      <c r="Q1254" t="str">
        <f t="shared" si="41"/>
        <v/>
      </c>
      <c r="R1254" t="str">
        <f t="shared" si="41"/>
        <v/>
      </c>
      <c r="S1254" t="str">
        <f t="shared" si="41"/>
        <v/>
      </c>
      <c r="T1254" t="str">
        <f t="shared" si="41"/>
        <v/>
      </c>
    </row>
    <row r="1255" spans="1:20">
      <c r="A1255" s="195">
        <f t="shared" si="20"/>
        <v>1</v>
      </c>
      <c r="B1255">
        <f t="shared" si="29"/>
        <v>52</v>
      </c>
      <c r="C1255" s="8" t="str">
        <f t="shared" si="34"/>
        <v/>
      </c>
      <c r="D1255" t="str">
        <f t="shared" si="38"/>
        <v/>
      </c>
      <c r="E1255" t="str">
        <f t="shared" si="38"/>
        <v/>
      </c>
      <c r="F1255" s="314" t="str">
        <f t="shared" si="35"/>
        <v/>
      </c>
      <c r="G1255" t="str">
        <f t="shared" si="39"/>
        <v/>
      </c>
      <c r="H1255" t="str">
        <f t="shared" si="39"/>
        <v/>
      </c>
      <c r="I1255" t="str">
        <f t="shared" si="39"/>
        <v/>
      </c>
      <c r="J1255" t="str">
        <f t="shared" si="39"/>
        <v/>
      </c>
      <c r="K1255" s="314" t="str">
        <f t="shared" si="36"/>
        <v/>
      </c>
      <c r="L1255" t="str">
        <f t="shared" si="40"/>
        <v/>
      </c>
      <c r="M1255" t="str">
        <f t="shared" si="40"/>
        <v/>
      </c>
      <c r="N1255" t="str">
        <f t="shared" si="40"/>
        <v/>
      </c>
      <c r="O1255" t="str">
        <f t="shared" si="40"/>
        <v/>
      </c>
      <c r="P1255" s="314" t="str">
        <f t="shared" si="37"/>
        <v/>
      </c>
      <c r="Q1255" t="str">
        <f t="shared" si="41"/>
        <v/>
      </c>
      <c r="R1255" t="str">
        <f t="shared" si="41"/>
        <v/>
      </c>
      <c r="S1255" t="str">
        <f t="shared" si="41"/>
        <v/>
      </c>
      <c r="T1255" t="str">
        <f t="shared" si="41"/>
        <v/>
      </c>
    </row>
    <row r="1256" spans="1:20">
      <c r="A1256" s="195">
        <f t="shared" si="20"/>
        <v>1</v>
      </c>
      <c r="B1256">
        <f t="shared" si="29"/>
        <v>53</v>
      </c>
      <c r="C1256" s="8" t="str">
        <f t="shared" si="34"/>
        <v/>
      </c>
      <c r="D1256" t="str">
        <f t="shared" si="38"/>
        <v/>
      </c>
      <c r="E1256" t="str">
        <f t="shared" si="38"/>
        <v/>
      </c>
      <c r="F1256" s="314" t="str">
        <f t="shared" si="35"/>
        <v/>
      </c>
      <c r="G1256" t="str">
        <f t="shared" si="39"/>
        <v/>
      </c>
      <c r="H1256" t="str">
        <f t="shared" si="39"/>
        <v/>
      </c>
      <c r="I1256" t="str">
        <f t="shared" si="39"/>
        <v/>
      </c>
      <c r="J1256" t="str">
        <f t="shared" si="39"/>
        <v/>
      </c>
      <c r="K1256" s="314" t="str">
        <f t="shared" si="36"/>
        <v/>
      </c>
      <c r="L1256" t="str">
        <f t="shared" si="40"/>
        <v/>
      </c>
      <c r="M1256" t="str">
        <f t="shared" si="40"/>
        <v/>
      </c>
      <c r="N1256" t="str">
        <f t="shared" si="40"/>
        <v/>
      </c>
      <c r="O1256" t="str">
        <f t="shared" si="40"/>
        <v/>
      </c>
      <c r="P1256" s="314" t="str">
        <f t="shared" si="37"/>
        <v/>
      </c>
      <c r="Q1256" t="str">
        <f t="shared" si="41"/>
        <v/>
      </c>
      <c r="R1256" t="str">
        <f t="shared" si="41"/>
        <v/>
      </c>
      <c r="S1256" t="str">
        <f t="shared" si="41"/>
        <v/>
      </c>
      <c r="T1256" t="str">
        <f t="shared" si="41"/>
        <v/>
      </c>
    </row>
    <row r="1257" spans="1:20">
      <c r="A1257" s="195">
        <f t="shared" si="20"/>
        <v>1</v>
      </c>
      <c r="B1257">
        <f t="shared" si="29"/>
        <v>54</v>
      </c>
      <c r="C1257" s="8" t="str">
        <f t="shared" si="34"/>
        <v/>
      </c>
      <c r="D1257" t="str">
        <f t="shared" si="38"/>
        <v/>
      </c>
      <c r="E1257" t="str">
        <f t="shared" si="38"/>
        <v/>
      </c>
      <c r="F1257" s="314" t="str">
        <f t="shared" si="35"/>
        <v/>
      </c>
      <c r="G1257" t="str">
        <f t="shared" si="39"/>
        <v/>
      </c>
      <c r="H1257" t="str">
        <f t="shared" si="39"/>
        <v/>
      </c>
      <c r="I1257" t="str">
        <f t="shared" si="39"/>
        <v/>
      </c>
      <c r="J1257" t="str">
        <f t="shared" si="39"/>
        <v/>
      </c>
      <c r="K1257" s="314" t="str">
        <f t="shared" si="36"/>
        <v/>
      </c>
      <c r="L1257" t="str">
        <f t="shared" si="40"/>
        <v/>
      </c>
      <c r="M1257" t="str">
        <f t="shared" si="40"/>
        <v/>
      </c>
      <c r="N1257" t="str">
        <f t="shared" si="40"/>
        <v/>
      </c>
      <c r="O1257" t="str">
        <f t="shared" si="40"/>
        <v/>
      </c>
      <c r="P1257" s="314" t="str">
        <f t="shared" si="37"/>
        <v/>
      </c>
      <c r="Q1257" t="str">
        <f t="shared" si="41"/>
        <v/>
      </c>
      <c r="R1257" t="str">
        <f t="shared" si="41"/>
        <v/>
      </c>
      <c r="S1257" t="str">
        <f t="shared" si="41"/>
        <v/>
      </c>
      <c r="T1257" t="str">
        <f t="shared" si="41"/>
        <v/>
      </c>
    </row>
    <row r="1258" spans="1:20">
      <c r="A1258" s="195">
        <f t="shared" si="20"/>
        <v>1</v>
      </c>
      <c r="B1258">
        <f t="shared" si="29"/>
        <v>55</v>
      </c>
      <c r="C1258" s="8" t="str">
        <f t="shared" si="34"/>
        <v/>
      </c>
      <c r="D1258" t="str">
        <f t="shared" si="38"/>
        <v/>
      </c>
      <c r="E1258" t="str">
        <f t="shared" si="38"/>
        <v/>
      </c>
      <c r="F1258" s="314" t="str">
        <f t="shared" si="35"/>
        <v/>
      </c>
      <c r="G1258" t="str">
        <f t="shared" si="39"/>
        <v/>
      </c>
      <c r="H1258" t="str">
        <f t="shared" si="39"/>
        <v/>
      </c>
      <c r="I1258" t="str">
        <f t="shared" si="39"/>
        <v/>
      </c>
      <c r="J1258" t="str">
        <f t="shared" si="39"/>
        <v/>
      </c>
      <c r="K1258" s="314" t="str">
        <f t="shared" si="36"/>
        <v/>
      </c>
      <c r="L1258" t="str">
        <f t="shared" si="40"/>
        <v/>
      </c>
      <c r="M1258" t="str">
        <f t="shared" si="40"/>
        <v/>
      </c>
      <c r="N1258" t="str">
        <f t="shared" si="40"/>
        <v/>
      </c>
      <c r="O1258" t="str">
        <f t="shared" si="40"/>
        <v/>
      </c>
      <c r="P1258" s="314" t="str">
        <f t="shared" si="37"/>
        <v/>
      </c>
      <c r="Q1258" t="str">
        <f t="shared" si="41"/>
        <v/>
      </c>
      <c r="R1258" t="str">
        <f t="shared" si="41"/>
        <v/>
      </c>
      <c r="S1258" t="str">
        <f t="shared" si="41"/>
        <v/>
      </c>
      <c r="T1258" t="str">
        <f t="shared" si="41"/>
        <v/>
      </c>
    </row>
    <row r="1259" spans="1:20">
      <c r="A1259" s="195">
        <f t="shared" si="20"/>
        <v>1</v>
      </c>
      <c r="B1259">
        <f t="shared" si="29"/>
        <v>56</v>
      </c>
      <c r="C1259" s="8" t="str">
        <f t="shared" si="34"/>
        <v/>
      </c>
      <c r="D1259" t="str">
        <f t="shared" si="38"/>
        <v/>
      </c>
      <c r="E1259" t="str">
        <f t="shared" si="38"/>
        <v/>
      </c>
      <c r="F1259" s="314" t="str">
        <f t="shared" si="35"/>
        <v/>
      </c>
      <c r="G1259" t="str">
        <f t="shared" si="39"/>
        <v/>
      </c>
      <c r="H1259" t="str">
        <f t="shared" si="39"/>
        <v/>
      </c>
      <c r="I1259" t="str">
        <f t="shared" si="39"/>
        <v/>
      </c>
      <c r="J1259" t="str">
        <f t="shared" si="39"/>
        <v/>
      </c>
      <c r="K1259" s="314" t="str">
        <f t="shared" si="36"/>
        <v/>
      </c>
      <c r="L1259" t="str">
        <f t="shared" si="40"/>
        <v/>
      </c>
      <c r="M1259" t="str">
        <f t="shared" si="40"/>
        <v/>
      </c>
      <c r="N1259" t="str">
        <f t="shared" si="40"/>
        <v/>
      </c>
      <c r="O1259" t="str">
        <f t="shared" si="40"/>
        <v/>
      </c>
      <c r="P1259" s="314" t="str">
        <f t="shared" si="37"/>
        <v/>
      </c>
      <c r="Q1259" t="str">
        <f t="shared" si="41"/>
        <v/>
      </c>
      <c r="R1259" t="str">
        <f t="shared" si="41"/>
        <v/>
      </c>
      <c r="S1259" t="str">
        <f t="shared" si="41"/>
        <v/>
      </c>
      <c r="T1259" t="str">
        <f t="shared" si="41"/>
        <v/>
      </c>
    </row>
    <row r="1260" spans="1:20">
      <c r="A1260" s="195">
        <f t="shared" si="20"/>
        <v>1</v>
      </c>
      <c r="B1260">
        <f t="shared" si="29"/>
        <v>57</v>
      </c>
      <c r="C1260" s="8" t="str">
        <f t="shared" si="34"/>
        <v/>
      </c>
      <c r="D1260" t="str">
        <f t="shared" si="38"/>
        <v/>
      </c>
      <c r="E1260" t="str">
        <f t="shared" si="38"/>
        <v/>
      </c>
      <c r="F1260" s="314" t="str">
        <f t="shared" si="35"/>
        <v/>
      </c>
      <c r="G1260" t="str">
        <f t="shared" si="39"/>
        <v/>
      </c>
      <c r="H1260" t="str">
        <f t="shared" si="39"/>
        <v/>
      </c>
      <c r="I1260" t="str">
        <f t="shared" si="39"/>
        <v/>
      </c>
      <c r="J1260" t="str">
        <f t="shared" si="39"/>
        <v/>
      </c>
      <c r="K1260" s="314" t="str">
        <f t="shared" si="36"/>
        <v/>
      </c>
      <c r="L1260" t="str">
        <f t="shared" si="40"/>
        <v/>
      </c>
      <c r="M1260" t="str">
        <f t="shared" si="40"/>
        <v/>
      </c>
      <c r="N1260" t="str">
        <f t="shared" si="40"/>
        <v/>
      </c>
      <c r="O1260" t="str">
        <f t="shared" si="40"/>
        <v/>
      </c>
      <c r="P1260" s="314" t="str">
        <f t="shared" si="37"/>
        <v/>
      </c>
      <c r="Q1260" t="str">
        <f t="shared" si="41"/>
        <v/>
      </c>
      <c r="R1260" t="str">
        <f t="shared" si="41"/>
        <v/>
      </c>
      <c r="S1260" t="str">
        <f t="shared" si="41"/>
        <v/>
      </c>
      <c r="T1260" t="str">
        <f t="shared" si="41"/>
        <v/>
      </c>
    </row>
    <row r="1261" spans="1:20">
      <c r="A1261" s="195">
        <f t="shared" si="20"/>
        <v>1</v>
      </c>
      <c r="B1261">
        <f t="shared" si="29"/>
        <v>58</v>
      </c>
      <c r="C1261" s="8" t="str">
        <f t="shared" si="34"/>
        <v/>
      </c>
      <c r="D1261" t="str">
        <f t="shared" si="38"/>
        <v/>
      </c>
      <c r="E1261" t="str">
        <f t="shared" si="38"/>
        <v/>
      </c>
      <c r="F1261" s="314" t="str">
        <f t="shared" si="35"/>
        <v/>
      </c>
      <c r="G1261" t="str">
        <f t="shared" si="39"/>
        <v/>
      </c>
      <c r="H1261" t="str">
        <f t="shared" si="39"/>
        <v/>
      </c>
      <c r="I1261" t="str">
        <f t="shared" si="39"/>
        <v/>
      </c>
      <c r="J1261" t="str">
        <f t="shared" si="39"/>
        <v/>
      </c>
      <c r="K1261" s="314" t="str">
        <f t="shared" si="36"/>
        <v/>
      </c>
      <c r="L1261" t="str">
        <f t="shared" si="40"/>
        <v/>
      </c>
      <c r="M1261" t="str">
        <f t="shared" si="40"/>
        <v/>
      </c>
      <c r="N1261" t="str">
        <f t="shared" si="40"/>
        <v/>
      </c>
      <c r="O1261" t="str">
        <f t="shared" si="40"/>
        <v/>
      </c>
      <c r="P1261" s="314" t="str">
        <f t="shared" si="37"/>
        <v/>
      </c>
      <c r="Q1261" t="str">
        <f t="shared" si="41"/>
        <v/>
      </c>
      <c r="R1261" t="str">
        <f t="shared" si="41"/>
        <v/>
      </c>
      <c r="S1261" t="str">
        <f t="shared" si="41"/>
        <v/>
      </c>
      <c r="T1261" t="str">
        <f t="shared" si="41"/>
        <v/>
      </c>
    </row>
    <row r="1262" spans="1:20">
      <c r="A1262" s="195">
        <f t="shared" si="20"/>
        <v>1</v>
      </c>
      <c r="B1262">
        <f t="shared" si="29"/>
        <v>59</v>
      </c>
      <c r="C1262" s="8" t="str">
        <f t="shared" si="34"/>
        <v/>
      </c>
      <c r="D1262" t="str">
        <f t="shared" si="38"/>
        <v/>
      </c>
      <c r="E1262" t="str">
        <f t="shared" si="38"/>
        <v/>
      </c>
      <c r="F1262" s="314" t="str">
        <f t="shared" si="35"/>
        <v/>
      </c>
      <c r="G1262" t="str">
        <f t="shared" si="39"/>
        <v/>
      </c>
      <c r="H1262" t="str">
        <f t="shared" si="39"/>
        <v/>
      </c>
      <c r="I1262" t="str">
        <f t="shared" si="39"/>
        <v/>
      </c>
      <c r="J1262" t="str">
        <f t="shared" si="39"/>
        <v/>
      </c>
      <c r="K1262" s="314" t="str">
        <f t="shared" si="36"/>
        <v/>
      </c>
      <c r="L1262" t="str">
        <f t="shared" si="40"/>
        <v/>
      </c>
      <c r="M1262" t="str">
        <f t="shared" si="40"/>
        <v/>
      </c>
      <c r="N1262" t="str">
        <f t="shared" si="40"/>
        <v/>
      </c>
      <c r="O1262" t="str">
        <f t="shared" si="40"/>
        <v/>
      </c>
      <c r="P1262" s="314" t="str">
        <f t="shared" si="37"/>
        <v/>
      </c>
      <c r="Q1262" t="str">
        <f t="shared" si="41"/>
        <v/>
      </c>
      <c r="R1262" t="str">
        <f t="shared" si="41"/>
        <v/>
      </c>
      <c r="S1262" t="str">
        <f t="shared" si="41"/>
        <v/>
      </c>
      <c r="T1262" t="str">
        <f t="shared" si="41"/>
        <v/>
      </c>
    </row>
    <row r="1263" spans="1:20">
      <c r="A1263" s="195">
        <f t="shared" si="20"/>
        <v>1</v>
      </c>
      <c r="B1263">
        <f t="shared" si="29"/>
        <v>60</v>
      </c>
      <c r="C1263" s="8" t="str">
        <f t="shared" si="34"/>
        <v/>
      </c>
      <c r="D1263" t="str">
        <f t="shared" si="38"/>
        <v/>
      </c>
      <c r="E1263" t="str">
        <f t="shared" si="38"/>
        <v/>
      </c>
      <c r="F1263" s="314" t="str">
        <f t="shared" si="35"/>
        <v/>
      </c>
      <c r="G1263" t="str">
        <f t="shared" si="39"/>
        <v/>
      </c>
      <c r="H1263" t="str">
        <f t="shared" si="39"/>
        <v/>
      </c>
      <c r="I1263" t="str">
        <f t="shared" si="39"/>
        <v/>
      </c>
      <c r="J1263" t="str">
        <f t="shared" si="39"/>
        <v/>
      </c>
      <c r="K1263" s="314" t="str">
        <f t="shared" si="36"/>
        <v/>
      </c>
      <c r="L1263" t="str">
        <f t="shared" si="40"/>
        <v/>
      </c>
      <c r="M1263" t="str">
        <f t="shared" si="40"/>
        <v/>
      </c>
      <c r="N1263" t="str">
        <f t="shared" si="40"/>
        <v/>
      </c>
      <c r="O1263" t="str">
        <f t="shared" si="40"/>
        <v/>
      </c>
      <c r="P1263" s="314" t="str">
        <f t="shared" si="37"/>
        <v/>
      </c>
      <c r="Q1263" t="str">
        <f t="shared" si="41"/>
        <v/>
      </c>
      <c r="R1263" t="str">
        <f t="shared" si="41"/>
        <v/>
      </c>
      <c r="S1263" t="str">
        <f t="shared" si="41"/>
        <v/>
      </c>
      <c r="T1263" t="str">
        <f t="shared" si="41"/>
        <v/>
      </c>
    </row>
    <row r="1264" spans="1:20">
      <c r="A1264" s="195">
        <f t="shared" si="20"/>
        <v>1</v>
      </c>
      <c r="B1264">
        <f t="shared" si="29"/>
        <v>61</v>
      </c>
      <c r="C1264" s="8" t="str">
        <f t="shared" si="34"/>
        <v/>
      </c>
      <c r="D1264" t="str">
        <f t="shared" ref="D1264:E1283" si="42">CONCATENATE(INDEX($B$1100:$T$1199, $A1264, D$1203))</f>
        <v/>
      </c>
      <c r="E1264" t="str">
        <f t="shared" si="42"/>
        <v/>
      </c>
      <c r="F1264" s="314" t="str">
        <f t="shared" si="35"/>
        <v/>
      </c>
      <c r="G1264" t="str">
        <f t="shared" ref="G1264:J1283" si="43">CONCATENATE(INDEX($B$1100:$T$1199, $A1264, G$1203))</f>
        <v/>
      </c>
      <c r="H1264" t="str">
        <f t="shared" si="43"/>
        <v/>
      </c>
      <c r="I1264" t="str">
        <f t="shared" si="43"/>
        <v/>
      </c>
      <c r="J1264" t="str">
        <f t="shared" si="43"/>
        <v/>
      </c>
      <c r="K1264" s="314" t="str">
        <f t="shared" si="36"/>
        <v/>
      </c>
      <c r="L1264" t="str">
        <f t="shared" ref="L1264:O1283" si="44">CONCATENATE(INDEX($B$1100:$T$1199, $A1264, L$1203))</f>
        <v/>
      </c>
      <c r="M1264" t="str">
        <f t="shared" si="44"/>
        <v/>
      </c>
      <c r="N1264" t="str">
        <f t="shared" si="44"/>
        <v/>
      </c>
      <c r="O1264" t="str">
        <f t="shared" si="44"/>
        <v/>
      </c>
      <c r="P1264" s="314" t="str">
        <f t="shared" si="37"/>
        <v/>
      </c>
      <c r="Q1264" t="str">
        <f t="shared" ref="Q1264:T1283" si="45">CONCATENATE(INDEX($B$1100:$T$1199, $A1264, Q$1203))</f>
        <v/>
      </c>
      <c r="R1264" t="str">
        <f t="shared" si="45"/>
        <v/>
      </c>
      <c r="S1264" t="str">
        <f t="shared" si="45"/>
        <v/>
      </c>
      <c r="T1264" t="str">
        <f t="shared" si="45"/>
        <v/>
      </c>
    </row>
    <row r="1265" spans="1:20">
      <c r="A1265" s="195">
        <f t="shared" si="20"/>
        <v>1</v>
      </c>
      <c r="B1265">
        <f t="shared" si="29"/>
        <v>62</v>
      </c>
      <c r="C1265" s="8" t="str">
        <f t="shared" si="34"/>
        <v/>
      </c>
      <c r="D1265" t="str">
        <f t="shared" si="42"/>
        <v/>
      </c>
      <c r="E1265" t="str">
        <f t="shared" si="42"/>
        <v/>
      </c>
      <c r="F1265" s="314" t="str">
        <f t="shared" si="35"/>
        <v/>
      </c>
      <c r="G1265" t="str">
        <f t="shared" si="43"/>
        <v/>
      </c>
      <c r="H1265" t="str">
        <f t="shared" si="43"/>
        <v/>
      </c>
      <c r="I1265" t="str">
        <f t="shared" si="43"/>
        <v/>
      </c>
      <c r="J1265" t="str">
        <f t="shared" si="43"/>
        <v/>
      </c>
      <c r="K1265" s="314" t="str">
        <f t="shared" si="36"/>
        <v/>
      </c>
      <c r="L1265" t="str">
        <f t="shared" si="44"/>
        <v/>
      </c>
      <c r="M1265" t="str">
        <f t="shared" si="44"/>
        <v/>
      </c>
      <c r="N1265" t="str">
        <f t="shared" si="44"/>
        <v/>
      </c>
      <c r="O1265" t="str">
        <f t="shared" si="44"/>
        <v/>
      </c>
      <c r="P1265" s="314" t="str">
        <f t="shared" si="37"/>
        <v/>
      </c>
      <c r="Q1265" t="str">
        <f t="shared" si="45"/>
        <v/>
      </c>
      <c r="R1265" t="str">
        <f t="shared" si="45"/>
        <v/>
      </c>
      <c r="S1265" t="str">
        <f t="shared" si="45"/>
        <v/>
      </c>
      <c r="T1265" t="str">
        <f t="shared" si="45"/>
        <v/>
      </c>
    </row>
    <row r="1266" spans="1:20">
      <c r="A1266" s="195">
        <f t="shared" si="20"/>
        <v>1</v>
      </c>
      <c r="B1266">
        <f t="shared" si="29"/>
        <v>63</v>
      </c>
      <c r="C1266" s="8" t="str">
        <f t="shared" si="34"/>
        <v/>
      </c>
      <c r="D1266" t="str">
        <f t="shared" si="42"/>
        <v/>
      </c>
      <c r="E1266" t="str">
        <f t="shared" si="42"/>
        <v/>
      </c>
      <c r="F1266" s="314" t="str">
        <f t="shared" si="35"/>
        <v/>
      </c>
      <c r="G1266" t="str">
        <f t="shared" si="43"/>
        <v/>
      </c>
      <c r="H1266" t="str">
        <f t="shared" si="43"/>
        <v/>
      </c>
      <c r="I1266" t="str">
        <f t="shared" si="43"/>
        <v/>
      </c>
      <c r="J1266" t="str">
        <f t="shared" si="43"/>
        <v/>
      </c>
      <c r="K1266" s="314" t="str">
        <f t="shared" si="36"/>
        <v/>
      </c>
      <c r="L1266" t="str">
        <f t="shared" si="44"/>
        <v/>
      </c>
      <c r="M1266" t="str">
        <f t="shared" si="44"/>
        <v/>
      </c>
      <c r="N1266" t="str">
        <f t="shared" si="44"/>
        <v/>
      </c>
      <c r="O1266" t="str">
        <f t="shared" si="44"/>
        <v/>
      </c>
      <c r="P1266" s="314" t="str">
        <f t="shared" si="37"/>
        <v/>
      </c>
      <c r="Q1266" t="str">
        <f t="shared" si="45"/>
        <v/>
      </c>
      <c r="R1266" t="str">
        <f t="shared" si="45"/>
        <v/>
      </c>
      <c r="S1266" t="str">
        <f t="shared" si="45"/>
        <v/>
      </c>
      <c r="T1266" t="str">
        <f t="shared" si="45"/>
        <v/>
      </c>
    </row>
    <row r="1267" spans="1:20">
      <c r="A1267" s="195">
        <f t="shared" si="20"/>
        <v>1</v>
      </c>
      <c r="B1267">
        <f t="shared" si="29"/>
        <v>64</v>
      </c>
      <c r="C1267" s="8" t="str">
        <f t="shared" si="34"/>
        <v/>
      </c>
      <c r="D1267" t="str">
        <f t="shared" si="42"/>
        <v/>
      </c>
      <c r="E1267" t="str">
        <f t="shared" si="42"/>
        <v/>
      </c>
      <c r="F1267" s="314" t="str">
        <f t="shared" si="35"/>
        <v/>
      </c>
      <c r="G1267" t="str">
        <f t="shared" si="43"/>
        <v/>
      </c>
      <c r="H1267" t="str">
        <f t="shared" si="43"/>
        <v/>
      </c>
      <c r="I1267" t="str">
        <f t="shared" si="43"/>
        <v/>
      </c>
      <c r="J1267" t="str">
        <f t="shared" si="43"/>
        <v/>
      </c>
      <c r="K1267" s="314" t="str">
        <f t="shared" si="36"/>
        <v/>
      </c>
      <c r="L1267" t="str">
        <f t="shared" si="44"/>
        <v/>
      </c>
      <c r="M1267" t="str">
        <f t="shared" si="44"/>
        <v/>
      </c>
      <c r="N1267" t="str">
        <f t="shared" si="44"/>
        <v/>
      </c>
      <c r="O1267" t="str">
        <f t="shared" si="44"/>
        <v/>
      </c>
      <c r="P1267" s="314" t="str">
        <f t="shared" si="37"/>
        <v/>
      </c>
      <c r="Q1267" t="str">
        <f t="shared" si="45"/>
        <v/>
      </c>
      <c r="R1267" t="str">
        <f t="shared" si="45"/>
        <v/>
      </c>
      <c r="S1267" t="str">
        <f t="shared" si="45"/>
        <v/>
      </c>
      <c r="T1267" t="str">
        <f t="shared" si="45"/>
        <v/>
      </c>
    </row>
    <row r="1268" spans="1:20">
      <c r="A1268" s="195">
        <f t="shared" ref="A1268:A1302" si="46">IF(ISNA(MATCH(B1268, $A$1100:$A$1199, 0)), 1, MATCH(B1268, $A$1100:$A$1199, 0))</f>
        <v>1</v>
      </c>
      <c r="B1268">
        <f t="shared" si="29"/>
        <v>65</v>
      </c>
      <c r="C1268" s="8" t="str">
        <f t="shared" ref="C1268:C1302" si="47">IF(INDEX($B$1100:$T$1199, $A1268, C$1203) = "", "", INDEX($B$1100:$T$1199, $A1268, C$1203))</f>
        <v/>
      </c>
      <c r="D1268" t="str">
        <f t="shared" si="42"/>
        <v/>
      </c>
      <c r="E1268" t="str">
        <f t="shared" si="42"/>
        <v/>
      </c>
      <c r="F1268" s="314" t="str">
        <f t="shared" ref="F1268:F1302" si="48">IF(ISBLANK(INDEX($B$1100:$T$1199, $A1268, F$1203)), "", INDEX($B$1100:$T$1199, $A1268, F$1203))</f>
        <v/>
      </c>
      <c r="G1268" t="str">
        <f t="shared" si="43"/>
        <v/>
      </c>
      <c r="H1268" t="str">
        <f t="shared" si="43"/>
        <v/>
      </c>
      <c r="I1268" t="str">
        <f t="shared" si="43"/>
        <v/>
      </c>
      <c r="J1268" t="str">
        <f t="shared" si="43"/>
        <v/>
      </c>
      <c r="K1268" s="314" t="str">
        <f t="shared" ref="K1268:K1302" si="49">IF(ISBLANK(INDEX($B$1100:$T$1199, $A1268, K$1203)), "", INDEX($B$1100:$T$1199, $A1268, K$1203))</f>
        <v/>
      </c>
      <c r="L1268" t="str">
        <f t="shared" si="44"/>
        <v/>
      </c>
      <c r="M1268" t="str">
        <f t="shared" si="44"/>
        <v/>
      </c>
      <c r="N1268" t="str">
        <f t="shared" si="44"/>
        <v/>
      </c>
      <c r="O1268" t="str">
        <f t="shared" si="44"/>
        <v/>
      </c>
      <c r="P1268" s="314" t="str">
        <f t="shared" ref="P1268:P1302" si="50">IF(ISBLANK(INDEX($B$1100:$T$1199, $A1268, P$1203)), "", INDEX($B$1100:$T$1199, $A1268, P$1203))</f>
        <v/>
      </c>
      <c r="Q1268" t="str">
        <f t="shared" si="45"/>
        <v/>
      </c>
      <c r="R1268" t="str">
        <f t="shared" si="45"/>
        <v/>
      </c>
      <c r="S1268" t="str">
        <f t="shared" si="45"/>
        <v/>
      </c>
      <c r="T1268" t="str">
        <f t="shared" si="45"/>
        <v/>
      </c>
    </row>
    <row r="1269" spans="1:20">
      <c r="A1269" s="195">
        <f t="shared" si="46"/>
        <v>1</v>
      </c>
      <c r="B1269">
        <f t="shared" si="29"/>
        <v>66</v>
      </c>
      <c r="C1269" s="8" t="str">
        <f t="shared" si="47"/>
        <v/>
      </c>
      <c r="D1269" t="str">
        <f t="shared" si="42"/>
        <v/>
      </c>
      <c r="E1269" t="str">
        <f t="shared" si="42"/>
        <v/>
      </c>
      <c r="F1269" s="314" t="str">
        <f t="shared" si="48"/>
        <v/>
      </c>
      <c r="G1269" t="str">
        <f t="shared" si="43"/>
        <v/>
      </c>
      <c r="H1269" t="str">
        <f t="shared" si="43"/>
        <v/>
      </c>
      <c r="I1269" t="str">
        <f t="shared" si="43"/>
        <v/>
      </c>
      <c r="J1269" t="str">
        <f t="shared" si="43"/>
        <v/>
      </c>
      <c r="K1269" s="314" t="str">
        <f t="shared" si="49"/>
        <v/>
      </c>
      <c r="L1269" t="str">
        <f t="shared" si="44"/>
        <v/>
      </c>
      <c r="M1269" t="str">
        <f t="shared" si="44"/>
        <v/>
      </c>
      <c r="N1269" t="str">
        <f t="shared" si="44"/>
        <v/>
      </c>
      <c r="O1269" t="str">
        <f t="shared" si="44"/>
        <v/>
      </c>
      <c r="P1269" s="314" t="str">
        <f t="shared" si="50"/>
        <v/>
      </c>
      <c r="Q1269" t="str">
        <f t="shared" si="45"/>
        <v/>
      </c>
      <c r="R1269" t="str">
        <f t="shared" si="45"/>
        <v/>
      </c>
      <c r="S1269" t="str">
        <f t="shared" si="45"/>
        <v/>
      </c>
      <c r="T1269" t="str">
        <f t="shared" si="45"/>
        <v/>
      </c>
    </row>
    <row r="1270" spans="1:20">
      <c r="A1270" s="195">
        <f t="shared" si="46"/>
        <v>1</v>
      </c>
      <c r="B1270">
        <f t="shared" ref="B1270:B1302" si="51">B1269+1</f>
        <v>67</v>
      </c>
      <c r="C1270" s="8" t="str">
        <f t="shared" si="47"/>
        <v/>
      </c>
      <c r="D1270" t="str">
        <f t="shared" si="42"/>
        <v/>
      </c>
      <c r="E1270" t="str">
        <f t="shared" si="42"/>
        <v/>
      </c>
      <c r="F1270" s="314" t="str">
        <f t="shared" si="48"/>
        <v/>
      </c>
      <c r="G1270" t="str">
        <f t="shared" si="43"/>
        <v/>
      </c>
      <c r="H1270" t="str">
        <f t="shared" si="43"/>
        <v/>
      </c>
      <c r="I1270" t="str">
        <f t="shared" si="43"/>
        <v/>
      </c>
      <c r="J1270" t="str">
        <f t="shared" si="43"/>
        <v/>
      </c>
      <c r="K1270" s="314" t="str">
        <f t="shared" si="49"/>
        <v/>
      </c>
      <c r="L1270" t="str">
        <f t="shared" si="44"/>
        <v/>
      </c>
      <c r="M1270" t="str">
        <f t="shared" si="44"/>
        <v/>
      </c>
      <c r="N1270" t="str">
        <f t="shared" si="44"/>
        <v/>
      </c>
      <c r="O1270" t="str">
        <f t="shared" si="44"/>
        <v/>
      </c>
      <c r="P1270" s="314" t="str">
        <f t="shared" si="50"/>
        <v/>
      </c>
      <c r="Q1270" t="str">
        <f t="shared" si="45"/>
        <v/>
      </c>
      <c r="R1270" t="str">
        <f t="shared" si="45"/>
        <v/>
      </c>
      <c r="S1270" t="str">
        <f t="shared" si="45"/>
        <v/>
      </c>
      <c r="T1270" t="str">
        <f t="shared" si="45"/>
        <v/>
      </c>
    </row>
    <row r="1271" spans="1:20">
      <c r="A1271" s="195">
        <f t="shared" si="46"/>
        <v>1</v>
      </c>
      <c r="B1271">
        <f t="shared" si="51"/>
        <v>68</v>
      </c>
      <c r="C1271" s="8" t="str">
        <f t="shared" si="47"/>
        <v/>
      </c>
      <c r="D1271" t="str">
        <f t="shared" si="42"/>
        <v/>
      </c>
      <c r="E1271" t="str">
        <f t="shared" si="42"/>
        <v/>
      </c>
      <c r="F1271" s="314" t="str">
        <f t="shared" si="48"/>
        <v/>
      </c>
      <c r="G1271" t="str">
        <f t="shared" si="43"/>
        <v/>
      </c>
      <c r="H1271" t="str">
        <f t="shared" si="43"/>
        <v/>
      </c>
      <c r="I1271" t="str">
        <f t="shared" si="43"/>
        <v/>
      </c>
      <c r="J1271" t="str">
        <f t="shared" si="43"/>
        <v/>
      </c>
      <c r="K1271" s="314" t="str">
        <f t="shared" si="49"/>
        <v/>
      </c>
      <c r="L1271" t="str">
        <f t="shared" si="44"/>
        <v/>
      </c>
      <c r="M1271" t="str">
        <f t="shared" si="44"/>
        <v/>
      </c>
      <c r="N1271" t="str">
        <f t="shared" si="44"/>
        <v/>
      </c>
      <c r="O1271" t="str">
        <f t="shared" si="44"/>
        <v/>
      </c>
      <c r="P1271" s="314" t="str">
        <f t="shared" si="50"/>
        <v/>
      </c>
      <c r="Q1271" t="str">
        <f t="shared" si="45"/>
        <v/>
      </c>
      <c r="R1271" t="str">
        <f t="shared" si="45"/>
        <v/>
      </c>
      <c r="S1271" t="str">
        <f t="shared" si="45"/>
        <v/>
      </c>
      <c r="T1271" t="str">
        <f t="shared" si="45"/>
        <v/>
      </c>
    </row>
    <row r="1272" spans="1:20">
      <c r="A1272" s="195">
        <f t="shared" si="46"/>
        <v>1</v>
      </c>
      <c r="B1272">
        <f t="shared" si="51"/>
        <v>69</v>
      </c>
      <c r="C1272" s="8" t="str">
        <f t="shared" si="47"/>
        <v/>
      </c>
      <c r="D1272" t="str">
        <f t="shared" si="42"/>
        <v/>
      </c>
      <c r="E1272" t="str">
        <f t="shared" si="42"/>
        <v/>
      </c>
      <c r="F1272" s="314" t="str">
        <f t="shared" si="48"/>
        <v/>
      </c>
      <c r="G1272" t="str">
        <f t="shared" si="43"/>
        <v/>
      </c>
      <c r="H1272" t="str">
        <f t="shared" si="43"/>
        <v/>
      </c>
      <c r="I1272" t="str">
        <f t="shared" si="43"/>
        <v/>
      </c>
      <c r="J1272" t="str">
        <f t="shared" si="43"/>
        <v/>
      </c>
      <c r="K1272" s="314" t="str">
        <f t="shared" si="49"/>
        <v/>
      </c>
      <c r="L1272" t="str">
        <f t="shared" si="44"/>
        <v/>
      </c>
      <c r="M1272" t="str">
        <f t="shared" si="44"/>
        <v/>
      </c>
      <c r="N1272" t="str">
        <f t="shared" si="44"/>
        <v/>
      </c>
      <c r="O1272" t="str">
        <f t="shared" si="44"/>
        <v/>
      </c>
      <c r="P1272" s="314" t="str">
        <f t="shared" si="50"/>
        <v/>
      </c>
      <c r="Q1272" t="str">
        <f t="shared" si="45"/>
        <v/>
      </c>
      <c r="R1272" t="str">
        <f t="shared" si="45"/>
        <v/>
      </c>
      <c r="S1272" t="str">
        <f t="shared" si="45"/>
        <v/>
      </c>
      <c r="T1272" t="str">
        <f t="shared" si="45"/>
        <v/>
      </c>
    </row>
    <row r="1273" spans="1:20">
      <c r="A1273" s="195">
        <f t="shared" si="46"/>
        <v>1</v>
      </c>
      <c r="B1273">
        <f t="shared" si="51"/>
        <v>70</v>
      </c>
      <c r="C1273" s="8" t="str">
        <f t="shared" si="47"/>
        <v/>
      </c>
      <c r="D1273" t="str">
        <f t="shared" si="42"/>
        <v/>
      </c>
      <c r="E1273" t="str">
        <f t="shared" si="42"/>
        <v/>
      </c>
      <c r="F1273" s="314" t="str">
        <f t="shared" si="48"/>
        <v/>
      </c>
      <c r="G1273" t="str">
        <f t="shared" si="43"/>
        <v/>
      </c>
      <c r="H1273" t="str">
        <f t="shared" si="43"/>
        <v/>
      </c>
      <c r="I1273" t="str">
        <f t="shared" si="43"/>
        <v/>
      </c>
      <c r="J1273" t="str">
        <f t="shared" si="43"/>
        <v/>
      </c>
      <c r="K1273" s="314" t="str">
        <f t="shared" si="49"/>
        <v/>
      </c>
      <c r="L1273" t="str">
        <f t="shared" si="44"/>
        <v/>
      </c>
      <c r="M1273" t="str">
        <f t="shared" si="44"/>
        <v/>
      </c>
      <c r="N1273" t="str">
        <f t="shared" si="44"/>
        <v/>
      </c>
      <c r="O1273" t="str">
        <f t="shared" si="44"/>
        <v/>
      </c>
      <c r="P1273" s="314" t="str">
        <f t="shared" si="50"/>
        <v/>
      </c>
      <c r="Q1273" t="str">
        <f t="shared" si="45"/>
        <v/>
      </c>
      <c r="R1273" t="str">
        <f t="shared" si="45"/>
        <v/>
      </c>
      <c r="S1273" t="str">
        <f t="shared" si="45"/>
        <v/>
      </c>
      <c r="T1273" t="str">
        <f t="shared" si="45"/>
        <v/>
      </c>
    </row>
    <row r="1274" spans="1:20">
      <c r="A1274" s="195">
        <f t="shared" si="46"/>
        <v>1</v>
      </c>
      <c r="B1274">
        <f t="shared" si="51"/>
        <v>71</v>
      </c>
      <c r="C1274" s="8" t="str">
        <f t="shared" si="47"/>
        <v/>
      </c>
      <c r="D1274" t="str">
        <f t="shared" si="42"/>
        <v/>
      </c>
      <c r="E1274" t="str">
        <f t="shared" si="42"/>
        <v/>
      </c>
      <c r="F1274" s="314" t="str">
        <f t="shared" si="48"/>
        <v/>
      </c>
      <c r="G1274" t="str">
        <f t="shared" si="43"/>
        <v/>
      </c>
      <c r="H1274" t="str">
        <f t="shared" si="43"/>
        <v/>
      </c>
      <c r="I1274" t="str">
        <f t="shared" si="43"/>
        <v/>
      </c>
      <c r="J1274" t="str">
        <f t="shared" si="43"/>
        <v/>
      </c>
      <c r="K1274" s="314" t="str">
        <f t="shared" si="49"/>
        <v/>
      </c>
      <c r="L1274" t="str">
        <f t="shared" si="44"/>
        <v/>
      </c>
      <c r="M1274" t="str">
        <f t="shared" si="44"/>
        <v/>
      </c>
      <c r="N1274" t="str">
        <f t="shared" si="44"/>
        <v/>
      </c>
      <c r="O1274" t="str">
        <f t="shared" si="44"/>
        <v/>
      </c>
      <c r="P1274" s="314" t="str">
        <f t="shared" si="50"/>
        <v/>
      </c>
      <c r="Q1274" t="str">
        <f t="shared" si="45"/>
        <v/>
      </c>
      <c r="R1274" t="str">
        <f t="shared" si="45"/>
        <v/>
      </c>
      <c r="S1274" t="str">
        <f t="shared" si="45"/>
        <v/>
      </c>
      <c r="T1274" t="str">
        <f t="shared" si="45"/>
        <v/>
      </c>
    </row>
    <row r="1275" spans="1:20">
      <c r="A1275" s="195">
        <f t="shared" si="46"/>
        <v>1</v>
      </c>
      <c r="B1275">
        <f t="shared" si="51"/>
        <v>72</v>
      </c>
      <c r="C1275" s="8" t="str">
        <f t="shared" si="47"/>
        <v/>
      </c>
      <c r="D1275" t="str">
        <f t="shared" si="42"/>
        <v/>
      </c>
      <c r="E1275" t="str">
        <f t="shared" si="42"/>
        <v/>
      </c>
      <c r="F1275" s="314" t="str">
        <f t="shared" si="48"/>
        <v/>
      </c>
      <c r="G1275" t="str">
        <f t="shared" si="43"/>
        <v/>
      </c>
      <c r="H1275" t="str">
        <f t="shared" si="43"/>
        <v/>
      </c>
      <c r="I1275" t="str">
        <f t="shared" si="43"/>
        <v/>
      </c>
      <c r="J1275" t="str">
        <f t="shared" si="43"/>
        <v/>
      </c>
      <c r="K1275" s="314" t="str">
        <f t="shared" si="49"/>
        <v/>
      </c>
      <c r="L1275" t="str">
        <f t="shared" si="44"/>
        <v/>
      </c>
      <c r="M1275" t="str">
        <f t="shared" si="44"/>
        <v/>
      </c>
      <c r="N1275" t="str">
        <f t="shared" si="44"/>
        <v/>
      </c>
      <c r="O1275" t="str">
        <f t="shared" si="44"/>
        <v/>
      </c>
      <c r="P1275" s="314" t="str">
        <f t="shared" si="50"/>
        <v/>
      </c>
      <c r="Q1275" t="str">
        <f t="shared" si="45"/>
        <v/>
      </c>
      <c r="R1275" t="str">
        <f t="shared" si="45"/>
        <v/>
      </c>
      <c r="S1275" t="str">
        <f t="shared" si="45"/>
        <v/>
      </c>
      <c r="T1275" t="str">
        <f t="shared" si="45"/>
        <v/>
      </c>
    </row>
    <row r="1276" spans="1:20">
      <c r="A1276" s="195">
        <f t="shared" si="46"/>
        <v>1</v>
      </c>
      <c r="B1276">
        <f t="shared" si="51"/>
        <v>73</v>
      </c>
      <c r="C1276" s="8" t="str">
        <f t="shared" si="47"/>
        <v/>
      </c>
      <c r="D1276" t="str">
        <f t="shared" si="42"/>
        <v/>
      </c>
      <c r="E1276" t="str">
        <f t="shared" si="42"/>
        <v/>
      </c>
      <c r="F1276" s="314" t="str">
        <f t="shared" si="48"/>
        <v/>
      </c>
      <c r="G1276" t="str">
        <f t="shared" si="43"/>
        <v/>
      </c>
      <c r="H1276" t="str">
        <f t="shared" si="43"/>
        <v/>
      </c>
      <c r="I1276" t="str">
        <f t="shared" si="43"/>
        <v/>
      </c>
      <c r="J1276" t="str">
        <f t="shared" si="43"/>
        <v/>
      </c>
      <c r="K1276" s="314" t="str">
        <f t="shared" si="49"/>
        <v/>
      </c>
      <c r="L1276" t="str">
        <f t="shared" si="44"/>
        <v/>
      </c>
      <c r="M1276" t="str">
        <f t="shared" si="44"/>
        <v/>
      </c>
      <c r="N1276" t="str">
        <f t="shared" si="44"/>
        <v/>
      </c>
      <c r="O1276" t="str">
        <f t="shared" si="44"/>
        <v/>
      </c>
      <c r="P1276" s="314" t="str">
        <f t="shared" si="50"/>
        <v/>
      </c>
      <c r="Q1276" t="str">
        <f t="shared" si="45"/>
        <v/>
      </c>
      <c r="R1276" t="str">
        <f t="shared" si="45"/>
        <v/>
      </c>
      <c r="S1276" t="str">
        <f t="shared" si="45"/>
        <v/>
      </c>
      <c r="T1276" t="str">
        <f t="shared" si="45"/>
        <v/>
      </c>
    </row>
    <row r="1277" spans="1:20">
      <c r="A1277" s="195">
        <f t="shared" si="46"/>
        <v>1</v>
      </c>
      <c r="B1277">
        <f t="shared" si="51"/>
        <v>74</v>
      </c>
      <c r="C1277" s="8" t="str">
        <f t="shared" si="47"/>
        <v/>
      </c>
      <c r="D1277" t="str">
        <f t="shared" si="42"/>
        <v/>
      </c>
      <c r="E1277" t="str">
        <f t="shared" si="42"/>
        <v/>
      </c>
      <c r="F1277" s="314" t="str">
        <f t="shared" si="48"/>
        <v/>
      </c>
      <c r="G1277" t="str">
        <f t="shared" si="43"/>
        <v/>
      </c>
      <c r="H1277" t="str">
        <f t="shared" si="43"/>
        <v/>
      </c>
      <c r="I1277" t="str">
        <f t="shared" si="43"/>
        <v/>
      </c>
      <c r="J1277" t="str">
        <f t="shared" si="43"/>
        <v/>
      </c>
      <c r="K1277" s="314" t="str">
        <f t="shared" si="49"/>
        <v/>
      </c>
      <c r="L1277" t="str">
        <f t="shared" si="44"/>
        <v/>
      </c>
      <c r="M1277" t="str">
        <f t="shared" si="44"/>
        <v/>
      </c>
      <c r="N1277" t="str">
        <f t="shared" si="44"/>
        <v/>
      </c>
      <c r="O1277" t="str">
        <f t="shared" si="44"/>
        <v/>
      </c>
      <c r="P1277" s="314" t="str">
        <f t="shared" si="50"/>
        <v/>
      </c>
      <c r="Q1277" t="str">
        <f t="shared" si="45"/>
        <v/>
      </c>
      <c r="R1277" t="str">
        <f t="shared" si="45"/>
        <v/>
      </c>
      <c r="S1277" t="str">
        <f t="shared" si="45"/>
        <v/>
      </c>
      <c r="T1277" t="str">
        <f t="shared" si="45"/>
        <v/>
      </c>
    </row>
    <row r="1278" spans="1:20">
      <c r="A1278" s="195">
        <f t="shared" si="46"/>
        <v>1</v>
      </c>
      <c r="B1278">
        <f t="shared" si="51"/>
        <v>75</v>
      </c>
      <c r="C1278" s="8" t="str">
        <f t="shared" si="47"/>
        <v/>
      </c>
      <c r="D1278" t="str">
        <f t="shared" si="42"/>
        <v/>
      </c>
      <c r="E1278" t="str">
        <f t="shared" si="42"/>
        <v/>
      </c>
      <c r="F1278" s="314" t="str">
        <f t="shared" si="48"/>
        <v/>
      </c>
      <c r="G1278" t="str">
        <f t="shared" si="43"/>
        <v/>
      </c>
      <c r="H1278" t="str">
        <f t="shared" si="43"/>
        <v/>
      </c>
      <c r="I1278" t="str">
        <f t="shared" si="43"/>
        <v/>
      </c>
      <c r="J1278" t="str">
        <f t="shared" si="43"/>
        <v/>
      </c>
      <c r="K1278" s="314" t="str">
        <f t="shared" si="49"/>
        <v/>
      </c>
      <c r="L1278" t="str">
        <f t="shared" si="44"/>
        <v/>
      </c>
      <c r="M1278" t="str">
        <f t="shared" si="44"/>
        <v/>
      </c>
      <c r="N1278" t="str">
        <f t="shared" si="44"/>
        <v/>
      </c>
      <c r="O1278" t="str">
        <f t="shared" si="44"/>
        <v/>
      </c>
      <c r="P1278" s="314" t="str">
        <f t="shared" si="50"/>
        <v/>
      </c>
      <c r="Q1278" t="str">
        <f t="shared" si="45"/>
        <v/>
      </c>
      <c r="R1278" t="str">
        <f t="shared" si="45"/>
        <v/>
      </c>
      <c r="S1278" t="str">
        <f t="shared" si="45"/>
        <v/>
      </c>
      <c r="T1278" t="str">
        <f t="shared" si="45"/>
        <v/>
      </c>
    </row>
    <row r="1279" spans="1:20">
      <c r="A1279" s="195">
        <f t="shared" si="46"/>
        <v>1</v>
      </c>
      <c r="B1279">
        <f t="shared" si="51"/>
        <v>76</v>
      </c>
      <c r="C1279" s="8" t="str">
        <f t="shared" si="47"/>
        <v/>
      </c>
      <c r="D1279" t="str">
        <f t="shared" si="42"/>
        <v/>
      </c>
      <c r="E1279" t="str">
        <f t="shared" si="42"/>
        <v/>
      </c>
      <c r="F1279" s="314" t="str">
        <f t="shared" si="48"/>
        <v/>
      </c>
      <c r="G1279" t="str">
        <f t="shared" si="43"/>
        <v/>
      </c>
      <c r="H1279" t="str">
        <f t="shared" si="43"/>
        <v/>
      </c>
      <c r="I1279" t="str">
        <f t="shared" si="43"/>
        <v/>
      </c>
      <c r="J1279" t="str">
        <f t="shared" si="43"/>
        <v/>
      </c>
      <c r="K1279" s="314" t="str">
        <f t="shared" si="49"/>
        <v/>
      </c>
      <c r="L1279" t="str">
        <f t="shared" si="44"/>
        <v/>
      </c>
      <c r="M1279" t="str">
        <f t="shared" si="44"/>
        <v/>
      </c>
      <c r="N1279" t="str">
        <f t="shared" si="44"/>
        <v/>
      </c>
      <c r="O1279" t="str">
        <f t="shared" si="44"/>
        <v/>
      </c>
      <c r="P1279" s="314" t="str">
        <f t="shared" si="50"/>
        <v/>
      </c>
      <c r="Q1279" t="str">
        <f t="shared" si="45"/>
        <v/>
      </c>
      <c r="R1279" t="str">
        <f t="shared" si="45"/>
        <v/>
      </c>
      <c r="S1279" t="str">
        <f t="shared" si="45"/>
        <v/>
      </c>
      <c r="T1279" t="str">
        <f t="shared" si="45"/>
        <v/>
      </c>
    </row>
    <row r="1280" spans="1:20">
      <c r="A1280" s="195">
        <f t="shared" si="46"/>
        <v>1</v>
      </c>
      <c r="B1280">
        <f t="shared" si="51"/>
        <v>77</v>
      </c>
      <c r="C1280" s="8" t="str">
        <f t="shared" si="47"/>
        <v/>
      </c>
      <c r="D1280" t="str">
        <f t="shared" si="42"/>
        <v/>
      </c>
      <c r="E1280" t="str">
        <f t="shared" si="42"/>
        <v/>
      </c>
      <c r="F1280" s="314" t="str">
        <f t="shared" si="48"/>
        <v/>
      </c>
      <c r="G1280" t="str">
        <f t="shared" si="43"/>
        <v/>
      </c>
      <c r="H1280" t="str">
        <f t="shared" si="43"/>
        <v/>
      </c>
      <c r="I1280" t="str">
        <f t="shared" si="43"/>
        <v/>
      </c>
      <c r="J1280" t="str">
        <f t="shared" si="43"/>
        <v/>
      </c>
      <c r="K1280" s="314" t="str">
        <f t="shared" si="49"/>
        <v/>
      </c>
      <c r="L1280" t="str">
        <f t="shared" si="44"/>
        <v/>
      </c>
      <c r="M1280" t="str">
        <f t="shared" si="44"/>
        <v/>
      </c>
      <c r="N1280" t="str">
        <f t="shared" si="44"/>
        <v/>
      </c>
      <c r="O1280" t="str">
        <f t="shared" si="44"/>
        <v/>
      </c>
      <c r="P1280" s="314" t="str">
        <f t="shared" si="50"/>
        <v/>
      </c>
      <c r="Q1280" t="str">
        <f t="shared" si="45"/>
        <v/>
      </c>
      <c r="R1280" t="str">
        <f t="shared" si="45"/>
        <v/>
      </c>
      <c r="S1280" t="str">
        <f t="shared" si="45"/>
        <v/>
      </c>
      <c r="T1280" t="str">
        <f t="shared" si="45"/>
        <v/>
      </c>
    </row>
    <row r="1281" spans="1:20">
      <c r="A1281" s="195">
        <f t="shared" si="46"/>
        <v>1</v>
      </c>
      <c r="B1281">
        <f t="shared" si="51"/>
        <v>78</v>
      </c>
      <c r="C1281" s="8" t="str">
        <f t="shared" si="47"/>
        <v/>
      </c>
      <c r="D1281" t="str">
        <f t="shared" si="42"/>
        <v/>
      </c>
      <c r="E1281" t="str">
        <f t="shared" si="42"/>
        <v/>
      </c>
      <c r="F1281" s="314" t="str">
        <f t="shared" si="48"/>
        <v/>
      </c>
      <c r="G1281" t="str">
        <f t="shared" si="43"/>
        <v/>
      </c>
      <c r="H1281" t="str">
        <f t="shared" si="43"/>
        <v/>
      </c>
      <c r="I1281" t="str">
        <f t="shared" si="43"/>
        <v/>
      </c>
      <c r="J1281" t="str">
        <f t="shared" si="43"/>
        <v/>
      </c>
      <c r="K1281" s="314" t="str">
        <f t="shared" si="49"/>
        <v/>
      </c>
      <c r="L1281" t="str">
        <f t="shared" si="44"/>
        <v/>
      </c>
      <c r="M1281" t="str">
        <f t="shared" si="44"/>
        <v/>
      </c>
      <c r="N1281" t="str">
        <f t="shared" si="44"/>
        <v/>
      </c>
      <c r="O1281" t="str">
        <f t="shared" si="44"/>
        <v/>
      </c>
      <c r="P1281" s="314" t="str">
        <f t="shared" si="50"/>
        <v/>
      </c>
      <c r="Q1281" t="str">
        <f t="shared" si="45"/>
        <v/>
      </c>
      <c r="R1281" t="str">
        <f t="shared" si="45"/>
        <v/>
      </c>
      <c r="S1281" t="str">
        <f t="shared" si="45"/>
        <v/>
      </c>
      <c r="T1281" t="str">
        <f t="shared" si="45"/>
        <v/>
      </c>
    </row>
    <row r="1282" spans="1:20">
      <c r="A1282" s="195">
        <f t="shared" si="46"/>
        <v>1</v>
      </c>
      <c r="B1282">
        <f t="shared" si="51"/>
        <v>79</v>
      </c>
      <c r="C1282" s="8" t="str">
        <f t="shared" si="47"/>
        <v/>
      </c>
      <c r="D1282" t="str">
        <f t="shared" si="42"/>
        <v/>
      </c>
      <c r="E1282" t="str">
        <f t="shared" si="42"/>
        <v/>
      </c>
      <c r="F1282" s="314" t="str">
        <f t="shared" si="48"/>
        <v/>
      </c>
      <c r="G1282" t="str">
        <f t="shared" si="43"/>
        <v/>
      </c>
      <c r="H1282" t="str">
        <f t="shared" si="43"/>
        <v/>
      </c>
      <c r="I1282" t="str">
        <f t="shared" si="43"/>
        <v/>
      </c>
      <c r="J1282" t="str">
        <f t="shared" si="43"/>
        <v/>
      </c>
      <c r="K1282" s="314" t="str">
        <f t="shared" si="49"/>
        <v/>
      </c>
      <c r="L1282" t="str">
        <f t="shared" si="44"/>
        <v/>
      </c>
      <c r="M1282" t="str">
        <f t="shared" si="44"/>
        <v/>
      </c>
      <c r="N1282" t="str">
        <f t="shared" si="44"/>
        <v/>
      </c>
      <c r="O1282" t="str">
        <f t="shared" si="44"/>
        <v/>
      </c>
      <c r="P1282" s="314" t="str">
        <f t="shared" si="50"/>
        <v/>
      </c>
      <c r="Q1282" t="str">
        <f t="shared" si="45"/>
        <v/>
      </c>
      <c r="R1282" t="str">
        <f t="shared" si="45"/>
        <v/>
      </c>
      <c r="S1282" t="str">
        <f t="shared" si="45"/>
        <v/>
      </c>
      <c r="T1282" t="str">
        <f t="shared" si="45"/>
        <v/>
      </c>
    </row>
    <row r="1283" spans="1:20">
      <c r="A1283" s="195">
        <f t="shared" si="46"/>
        <v>1</v>
      </c>
      <c r="B1283">
        <f t="shared" si="51"/>
        <v>80</v>
      </c>
      <c r="C1283" s="8" t="str">
        <f t="shared" si="47"/>
        <v/>
      </c>
      <c r="D1283" t="str">
        <f t="shared" si="42"/>
        <v/>
      </c>
      <c r="E1283" t="str">
        <f t="shared" si="42"/>
        <v/>
      </c>
      <c r="F1283" s="314" t="str">
        <f t="shared" si="48"/>
        <v/>
      </c>
      <c r="G1283" t="str">
        <f t="shared" si="43"/>
        <v/>
      </c>
      <c r="H1283" t="str">
        <f t="shared" si="43"/>
        <v/>
      </c>
      <c r="I1283" t="str">
        <f t="shared" si="43"/>
        <v/>
      </c>
      <c r="J1283" t="str">
        <f t="shared" si="43"/>
        <v/>
      </c>
      <c r="K1283" s="314" t="str">
        <f t="shared" si="49"/>
        <v/>
      </c>
      <c r="L1283" t="str">
        <f t="shared" si="44"/>
        <v/>
      </c>
      <c r="M1283" t="str">
        <f t="shared" si="44"/>
        <v/>
      </c>
      <c r="N1283" t="str">
        <f t="shared" si="44"/>
        <v/>
      </c>
      <c r="O1283" t="str">
        <f t="shared" si="44"/>
        <v/>
      </c>
      <c r="P1283" s="314" t="str">
        <f t="shared" si="50"/>
        <v/>
      </c>
      <c r="Q1283" t="str">
        <f t="shared" si="45"/>
        <v/>
      </c>
      <c r="R1283" t="str">
        <f t="shared" si="45"/>
        <v/>
      </c>
      <c r="S1283" t="str">
        <f t="shared" si="45"/>
        <v/>
      </c>
      <c r="T1283" t="str">
        <f t="shared" si="45"/>
        <v/>
      </c>
    </row>
    <row r="1284" spans="1:20">
      <c r="A1284" s="195">
        <f t="shared" si="46"/>
        <v>1</v>
      </c>
      <c r="B1284">
        <f t="shared" si="51"/>
        <v>81</v>
      </c>
      <c r="C1284" s="8" t="str">
        <f t="shared" si="47"/>
        <v/>
      </c>
      <c r="D1284" t="str">
        <f t="shared" ref="D1284:E1302" si="52">CONCATENATE(INDEX($B$1100:$T$1199, $A1284, D$1203))</f>
        <v/>
      </c>
      <c r="E1284" t="str">
        <f t="shared" si="52"/>
        <v/>
      </c>
      <c r="F1284" s="314" t="str">
        <f t="shared" si="48"/>
        <v/>
      </c>
      <c r="G1284" t="str">
        <f t="shared" ref="G1284:J1302" si="53">CONCATENATE(INDEX($B$1100:$T$1199, $A1284, G$1203))</f>
        <v/>
      </c>
      <c r="H1284" t="str">
        <f t="shared" si="53"/>
        <v/>
      </c>
      <c r="I1284" t="str">
        <f t="shared" si="53"/>
        <v/>
      </c>
      <c r="J1284" t="str">
        <f t="shared" si="53"/>
        <v/>
      </c>
      <c r="K1284" s="314" t="str">
        <f t="shared" si="49"/>
        <v/>
      </c>
      <c r="L1284" t="str">
        <f t="shared" ref="L1284:O1302" si="54">CONCATENATE(INDEX($B$1100:$T$1199, $A1284, L$1203))</f>
        <v/>
      </c>
      <c r="M1284" t="str">
        <f t="shared" si="54"/>
        <v/>
      </c>
      <c r="N1284" t="str">
        <f t="shared" si="54"/>
        <v/>
      </c>
      <c r="O1284" t="str">
        <f t="shared" si="54"/>
        <v/>
      </c>
      <c r="P1284" s="314" t="str">
        <f t="shared" si="50"/>
        <v/>
      </c>
      <c r="Q1284" t="str">
        <f t="shared" ref="Q1284:T1302" si="55">CONCATENATE(INDEX($B$1100:$T$1199, $A1284, Q$1203))</f>
        <v/>
      </c>
      <c r="R1284" t="str">
        <f t="shared" si="55"/>
        <v/>
      </c>
      <c r="S1284" t="str">
        <f t="shared" si="55"/>
        <v/>
      </c>
      <c r="T1284" t="str">
        <f t="shared" si="55"/>
        <v/>
      </c>
    </row>
    <row r="1285" spans="1:20">
      <c r="A1285" s="195">
        <f t="shared" si="46"/>
        <v>1</v>
      </c>
      <c r="B1285">
        <f t="shared" si="51"/>
        <v>82</v>
      </c>
      <c r="C1285" s="8" t="str">
        <f t="shared" si="47"/>
        <v/>
      </c>
      <c r="D1285" t="str">
        <f t="shared" si="52"/>
        <v/>
      </c>
      <c r="E1285" t="str">
        <f t="shared" si="52"/>
        <v/>
      </c>
      <c r="F1285" s="314" t="str">
        <f t="shared" si="48"/>
        <v/>
      </c>
      <c r="G1285" t="str">
        <f t="shared" si="53"/>
        <v/>
      </c>
      <c r="H1285" t="str">
        <f t="shared" si="53"/>
        <v/>
      </c>
      <c r="I1285" t="str">
        <f t="shared" si="53"/>
        <v/>
      </c>
      <c r="J1285" t="str">
        <f t="shared" si="53"/>
        <v/>
      </c>
      <c r="K1285" s="314" t="str">
        <f t="shared" si="49"/>
        <v/>
      </c>
      <c r="L1285" t="str">
        <f t="shared" si="54"/>
        <v/>
      </c>
      <c r="M1285" t="str">
        <f t="shared" si="54"/>
        <v/>
      </c>
      <c r="N1285" t="str">
        <f t="shared" si="54"/>
        <v/>
      </c>
      <c r="O1285" t="str">
        <f t="shared" si="54"/>
        <v/>
      </c>
      <c r="P1285" s="314" t="str">
        <f t="shared" si="50"/>
        <v/>
      </c>
      <c r="Q1285" t="str">
        <f t="shared" si="55"/>
        <v/>
      </c>
      <c r="R1285" t="str">
        <f t="shared" si="55"/>
        <v/>
      </c>
      <c r="S1285" t="str">
        <f t="shared" si="55"/>
        <v/>
      </c>
      <c r="T1285" t="str">
        <f t="shared" si="55"/>
        <v/>
      </c>
    </row>
    <row r="1286" spans="1:20">
      <c r="A1286" s="195">
        <f t="shared" si="46"/>
        <v>1</v>
      </c>
      <c r="B1286">
        <f t="shared" si="51"/>
        <v>83</v>
      </c>
      <c r="C1286" s="8" t="str">
        <f t="shared" si="47"/>
        <v/>
      </c>
      <c r="D1286" t="str">
        <f t="shared" si="52"/>
        <v/>
      </c>
      <c r="E1286" t="str">
        <f t="shared" si="52"/>
        <v/>
      </c>
      <c r="F1286" s="314" t="str">
        <f t="shared" si="48"/>
        <v/>
      </c>
      <c r="G1286" t="str">
        <f t="shared" si="53"/>
        <v/>
      </c>
      <c r="H1286" t="str">
        <f t="shared" si="53"/>
        <v/>
      </c>
      <c r="I1286" t="str">
        <f t="shared" si="53"/>
        <v/>
      </c>
      <c r="J1286" t="str">
        <f t="shared" si="53"/>
        <v/>
      </c>
      <c r="K1286" s="314" t="str">
        <f t="shared" si="49"/>
        <v/>
      </c>
      <c r="L1286" t="str">
        <f t="shared" si="54"/>
        <v/>
      </c>
      <c r="M1286" t="str">
        <f t="shared" si="54"/>
        <v/>
      </c>
      <c r="N1286" t="str">
        <f t="shared" si="54"/>
        <v/>
      </c>
      <c r="O1286" t="str">
        <f t="shared" si="54"/>
        <v/>
      </c>
      <c r="P1286" s="314" t="str">
        <f t="shared" si="50"/>
        <v/>
      </c>
      <c r="Q1286" t="str">
        <f t="shared" si="55"/>
        <v/>
      </c>
      <c r="R1286" t="str">
        <f t="shared" si="55"/>
        <v/>
      </c>
      <c r="S1286" t="str">
        <f t="shared" si="55"/>
        <v/>
      </c>
      <c r="T1286" t="str">
        <f t="shared" si="55"/>
        <v/>
      </c>
    </row>
    <row r="1287" spans="1:20">
      <c r="A1287" s="195">
        <f t="shared" si="46"/>
        <v>1</v>
      </c>
      <c r="B1287">
        <f t="shared" si="51"/>
        <v>84</v>
      </c>
      <c r="C1287" s="8" t="str">
        <f t="shared" si="47"/>
        <v/>
      </c>
      <c r="D1287" t="str">
        <f t="shared" si="52"/>
        <v/>
      </c>
      <c r="E1287" t="str">
        <f t="shared" si="52"/>
        <v/>
      </c>
      <c r="F1287" s="314" t="str">
        <f t="shared" si="48"/>
        <v/>
      </c>
      <c r="G1287" t="str">
        <f t="shared" si="53"/>
        <v/>
      </c>
      <c r="H1287" t="str">
        <f t="shared" si="53"/>
        <v/>
      </c>
      <c r="I1287" t="str">
        <f t="shared" si="53"/>
        <v/>
      </c>
      <c r="J1287" t="str">
        <f t="shared" si="53"/>
        <v/>
      </c>
      <c r="K1287" s="314" t="str">
        <f t="shared" si="49"/>
        <v/>
      </c>
      <c r="L1287" t="str">
        <f t="shared" si="54"/>
        <v/>
      </c>
      <c r="M1287" t="str">
        <f t="shared" si="54"/>
        <v/>
      </c>
      <c r="N1287" t="str">
        <f t="shared" si="54"/>
        <v/>
      </c>
      <c r="O1287" t="str">
        <f t="shared" si="54"/>
        <v/>
      </c>
      <c r="P1287" s="314" t="str">
        <f t="shared" si="50"/>
        <v/>
      </c>
      <c r="Q1287" t="str">
        <f t="shared" si="55"/>
        <v/>
      </c>
      <c r="R1287" t="str">
        <f t="shared" si="55"/>
        <v/>
      </c>
      <c r="S1287" t="str">
        <f t="shared" si="55"/>
        <v/>
      </c>
      <c r="T1287" t="str">
        <f t="shared" si="55"/>
        <v/>
      </c>
    </row>
    <row r="1288" spans="1:20">
      <c r="A1288" s="195">
        <f t="shared" si="46"/>
        <v>1</v>
      </c>
      <c r="B1288">
        <f t="shared" si="51"/>
        <v>85</v>
      </c>
      <c r="C1288" s="8" t="str">
        <f t="shared" si="47"/>
        <v/>
      </c>
      <c r="D1288" t="str">
        <f t="shared" si="52"/>
        <v/>
      </c>
      <c r="E1288" t="str">
        <f t="shared" si="52"/>
        <v/>
      </c>
      <c r="F1288" s="314" t="str">
        <f t="shared" si="48"/>
        <v/>
      </c>
      <c r="G1288" t="str">
        <f t="shared" si="53"/>
        <v/>
      </c>
      <c r="H1288" t="str">
        <f t="shared" si="53"/>
        <v/>
      </c>
      <c r="I1288" t="str">
        <f t="shared" si="53"/>
        <v/>
      </c>
      <c r="J1288" t="str">
        <f t="shared" si="53"/>
        <v/>
      </c>
      <c r="K1288" s="314" t="str">
        <f t="shared" si="49"/>
        <v/>
      </c>
      <c r="L1288" t="str">
        <f t="shared" si="54"/>
        <v/>
      </c>
      <c r="M1288" t="str">
        <f t="shared" si="54"/>
        <v/>
      </c>
      <c r="N1288" t="str">
        <f t="shared" si="54"/>
        <v/>
      </c>
      <c r="O1288" t="str">
        <f t="shared" si="54"/>
        <v/>
      </c>
      <c r="P1288" s="314" t="str">
        <f t="shared" si="50"/>
        <v/>
      </c>
      <c r="Q1288" t="str">
        <f t="shared" si="55"/>
        <v/>
      </c>
      <c r="R1288" t="str">
        <f t="shared" si="55"/>
        <v/>
      </c>
      <c r="S1288" t="str">
        <f t="shared" si="55"/>
        <v/>
      </c>
      <c r="T1288" t="str">
        <f t="shared" si="55"/>
        <v/>
      </c>
    </row>
    <row r="1289" spans="1:20">
      <c r="A1289" s="195">
        <f t="shared" si="46"/>
        <v>1</v>
      </c>
      <c r="B1289">
        <f t="shared" si="51"/>
        <v>86</v>
      </c>
      <c r="C1289" s="8" t="str">
        <f t="shared" si="47"/>
        <v/>
      </c>
      <c r="D1289" t="str">
        <f t="shared" si="52"/>
        <v/>
      </c>
      <c r="E1289" t="str">
        <f t="shared" si="52"/>
        <v/>
      </c>
      <c r="F1289" s="314" t="str">
        <f t="shared" si="48"/>
        <v/>
      </c>
      <c r="G1289" t="str">
        <f t="shared" si="53"/>
        <v/>
      </c>
      <c r="H1289" t="str">
        <f t="shared" si="53"/>
        <v/>
      </c>
      <c r="I1289" t="str">
        <f t="shared" si="53"/>
        <v/>
      </c>
      <c r="J1289" t="str">
        <f t="shared" si="53"/>
        <v/>
      </c>
      <c r="K1289" s="314" t="str">
        <f t="shared" si="49"/>
        <v/>
      </c>
      <c r="L1289" t="str">
        <f t="shared" si="54"/>
        <v/>
      </c>
      <c r="M1289" t="str">
        <f t="shared" si="54"/>
        <v/>
      </c>
      <c r="N1289" t="str">
        <f t="shared" si="54"/>
        <v/>
      </c>
      <c r="O1289" t="str">
        <f t="shared" si="54"/>
        <v/>
      </c>
      <c r="P1289" s="314" t="str">
        <f t="shared" si="50"/>
        <v/>
      </c>
      <c r="Q1289" t="str">
        <f t="shared" si="55"/>
        <v/>
      </c>
      <c r="R1289" t="str">
        <f t="shared" si="55"/>
        <v/>
      </c>
      <c r="S1289" t="str">
        <f t="shared" si="55"/>
        <v/>
      </c>
      <c r="T1289" t="str">
        <f t="shared" si="55"/>
        <v/>
      </c>
    </row>
    <row r="1290" spans="1:20">
      <c r="A1290" s="195">
        <f t="shared" si="46"/>
        <v>1</v>
      </c>
      <c r="B1290">
        <f t="shared" si="51"/>
        <v>87</v>
      </c>
      <c r="C1290" s="8" t="str">
        <f t="shared" si="47"/>
        <v/>
      </c>
      <c r="D1290" t="str">
        <f t="shared" si="52"/>
        <v/>
      </c>
      <c r="E1290" t="str">
        <f t="shared" si="52"/>
        <v/>
      </c>
      <c r="F1290" s="314" t="str">
        <f t="shared" si="48"/>
        <v/>
      </c>
      <c r="G1290" t="str">
        <f t="shared" si="53"/>
        <v/>
      </c>
      <c r="H1290" t="str">
        <f t="shared" si="53"/>
        <v/>
      </c>
      <c r="I1290" t="str">
        <f t="shared" si="53"/>
        <v/>
      </c>
      <c r="J1290" t="str">
        <f t="shared" si="53"/>
        <v/>
      </c>
      <c r="K1290" s="314" t="str">
        <f t="shared" si="49"/>
        <v/>
      </c>
      <c r="L1290" t="str">
        <f t="shared" si="54"/>
        <v/>
      </c>
      <c r="M1290" t="str">
        <f t="shared" si="54"/>
        <v/>
      </c>
      <c r="N1290" t="str">
        <f t="shared" si="54"/>
        <v/>
      </c>
      <c r="O1290" t="str">
        <f t="shared" si="54"/>
        <v/>
      </c>
      <c r="P1290" s="314" t="str">
        <f t="shared" si="50"/>
        <v/>
      </c>
      <c r="Q1290" t="str">
        <f t="shared" si="55"/>
        <v/>
      </c>
      <c r="R1290" t="str">
        <f t="shared" si="55"/>
        <v/>
      </c>
      <c r="S1290" t="str">
        <f t="shared" si="55"/>
        <v/>
      </c>
      <c r="T1290" t="str">
        <f t="shared" si="55"/>
        <v/>
      </c>
    </row>
    <row r="1291" spans="1:20">
      <c r="A1291" s="195">
        <f t="shared" si="46"/>
        <v>1</v>
      </c>
      <c r="B1291">
        <f t="shared" si="51"/>
        <v>88</v>
      </c>
      <c r="C1291" s="8" t="str">
        <f t="shared" si="47"/>
        <v/>
      </c>
      <c r="D1291" t="str">
        <f t="shared" si="52"/>
        <v/>
      </c>
      <c r="E1291" t="str">
        <f t="shared" si="52"/>
        <v/>
      </c>
      <c r="F1291" s="314" t="str">
        <f t="shared" si="48"/>
        <v/>
      </c>
      <c r="G1291" t="str">
        <f t="shared" si="53"/>
        <v/>
      </c>
      <c r="H1291" t="str">
        <f t="shared" si="53"/>
        <v/>
      </c>
      <c r="I1291" t="str">
        <f t="shared" si="53"/>
        <v/>
      </c>
      <c r="J1291" t="str">
        <f t="shared" si="53"/>
        <v/>
      </c>
      <c r="K1291" s="314" t="str">
        <f t="shared" si="49"/>
        <v/>
      </c>
      <c r="L1291" t="str">
        <f t="shared" si="54"/>
        <v/>
      </c>
      <c r="M1291" t="str">
        <f t="shared" si="54"/>
        <v/>
      </c>
      <c r="N1291" t="str">
        <f t="shared" si="54"/>
        <v/>
      </c>
      <c r="O1291" t="str">
        <f t="shared" si="54"/>
        <v/>
      </c>
      <c r="P1291" s="314" t="str">
        <f t="shared" si="50"/>
        <v/>
      </c>
      <c r="Q1291" t="str">
        <f t="shared" si="55"/>
        <v/>
      </c>
      <c r="R1291" t="str">
        <f t="shared" si="55"/>
        <v/>
      </c>
      <c r="S1291" t="str">
        <f t="shared" si="55"/>
        <v/>
      </c>
      <c r="T1291" t="str">
        <f t="shared" si="55"/>
        <v/>
      </c>
    </row>
    <row r="1292" spans="1:20">
      <c r="A1292" s="195">
        <f t="shared" si="46"/>
        <v>1</v>
      </c>
      <c r="B1292">
        <f t="shared" si="51"/>
        <v>89</v>
      </c>
      <c r="C1292" s="8" t="str">
        <f t="shared" si="47"/>
        <v/>
      </c>
      <c r="D1292" t="str">
        <f t="shared" si="52"/>
        <v/>
      </c>
      <c r="E1292" t="str">
        <f t="shared" si="52"/>
        <v/>
      </c>
      <c r="F1292" s="314" t="str">
        <f t="shared" si="48"/>
        <v/>
      </c>
      <c r="G1292" t="str">
        <f t="shared" si="53"/>
        <v/>
      </c>
      <c r="H1292" t="str">
        <f t="shared" si="53"/>
        <v/>
      </c>
      <c r="I1292" t="str">
        <f t="shared" si="53"/>
        <v/>
      </c>
      <c r="J1292" t="str">
        <f t="shared" si="53"/>
        <v/>
      </c>
      <c r="K1292" s="314" t="str">
        <f t="shared" si="49"/>
        <v/>
      </c>
      <c r="L1292" t="str">
        <f t="shared" si="54"/>
        <v/>
      </c>
      <c r="M1292" t="str">
        <f t="shared" si="54"/>
        <v/>
      </c>
      <c r="N1292" t="str">
        <f t="shared" si="54"/>
        <v/>
      </c>
      <c r="O1292" t="str">
        <f t="shared" si="54"/>
        <v/>
      </c>
      <c r="P1292" s="314" t="str">
        <f t="shared" si="50"/>
        <v/>
      </c>
      <c r="Q1292" t="str">
        <f t="shared" si="55"/>
        <v/>
      </c>
      <c r="R1292" t="str">
        <f t="shared" si="55"/>
        <v/>
      </c>
      <c r="S1292" t="str">
        <f t="shared" si="55"/>
        <v/>
      </c>
      <c r="T1292" t="str">
        <f t="shared" si="55"/>
        <v/>
      </c>
    </row>
    <row r="1293" spans="1:20">
      <c r="A1293" s="195">
        <f t="shared" si="46"/>
        <v>1</v>
      </c>
      <c r="B1293">
        <f t="shared" si="51"/>
        <v>90</v>
      </c>
      <c r="C1293" s="8" t="str">
        <f t="shared" si="47"/>
        <v/>
      </c>
      <c r="D1293" t="str">
        <f t="shared" si="52"/>
        <v/>
      </c>
      <c r="E1293" t="str">
        <f t="shared" si="52"/>
        <v/>
      </c>
      <c r="F1293" s="314" t="str">
        <f t="shared" si="48"/>
        <v/>
      </c>
      <c r="G1293" t="str">
        <f t="shared" si="53"/>
        <v/>
      </c>
      <c r="H1293" t="str">
        <f t="shared" si="53"/>
        <v/>
      </c>
      <c r="I1293" t="str">
        <f t="shared" si="53"/>
        <v/>
      </c>
      <c r="J1293" t="str">
        <f t="shared" si="53"/>
        <v/>
      </c>
      <c r="K1293" s="314" t="str">
        <f t="shared" si="49"/>
        <v/>
      </c>
      <c r="L1293" t="str">
        <f t="shared" si="54"/>
        <v/>
      </c>
      <c r="M1293" t="str">
        <f t="shared" si="54"/>
        <v/>
      </c>
      <c r="N1293" t="str">
        <f t="shared" si="54"/>
        <v/>
      </c>
      <c r="O1293" t="str">
        <f t="shared" si="54"/>
        <v/>
      </c>
      <c r="P1293" s="314" t="str">
        <f t="shared" si="50"/>
        <v/>
      </c>
      <c r="Q1293" t="str">
        <f t="shared" si="55"/>
        <v/>
      </c>
      <c r="R1293" t="str">
        <f t="shared" si="55"/>
        <v/>
      </c>
      <c r="S1293" t="str">
        <f t="shared" si="55"/>
        <v/>
      </c>
      <c r="T1293" t="str">
        <f t="shared" si="55"/>
        <v/>
      </c>
    </row>
    <row r="1294" spans="1:20">
      <c r="A1294" s="195">
        <f t="shared" si="46"/>
        <v>1</v>
      </c>
      <c r="B1294">
        <f t="shared" si="51"/>
        <v>91</v>
      </c>
      <c r="C1294" s="8" t="str">
        <f t="shared" si="47"/>
        <v/>
      </c>
      <c r="D1294" t="str">
        <f t="shared" si="52"/>
        <v/>
      </c>
      <c r="E1294" t="str">
        <f t="shared" si="52"/>
        <v/>
      </c>
      <c r="F1294" s="314" t="str">
        <f t="shared" si="48"/>
        <v/>
      </c>
      <c r="G1294" t="str">
        <f t="shared" si="53"/>
        <v/>
      </c>
      <c r="H1294" t="str">
        <f t="shared" si="53"/>
        <v/>
      </c>
      <c r="I1294" t="str">
        <f t="shared" si="53"/>
        <v/>
      </c>
      <c r="J1294" t="str">
        <f t="shared" si="53"/>
        <v/>
      </c>
      <c r="K1294" s="314" t="str">
        <f t="shared" si="49"/>
        <v/>
      </c>
      <c r="L1294" t="str">
        <f t="shared" si="54"/>
        <v/>
      </c>
      <c r="M1294" t="str">
        <f t="shared" si="54"/>
        <v/>
      </c>
      <c r="N1294" t="str">
        <f t="shared" si="54"/>
        <v/>
      </c>
      <c r="O1294" t="str">
        <f t="shared" si="54"/>
        <v/>
      </c>
      <c r="P1294" s="314" t="str">
        <f t="shared" si="50"/>
        <v/>
      </c>
      <c r="Q1294" t="str">
        <f t="shared" si="55"/>
        <v/>
      </c>
      <c r="R1294" t="str">
        <f t="shared" si="55"/>
        <v/>
      </c>
      <c r="S1294" t="str">
        <f t="shared" si="55"/>
        <v/>
      </c>
      <c r="T1294" t="str">
        <f t="shared" si="55"/>
        <v/>
      </c>
    </row>
    <row r="1295" spans="1:20">
      <c r="A1295" s="195">
        <f t="shared" si="46"/>
        <v>1</v>
      </c>
      <c r="B1295">
        <f t="shared" si="51"/>
        <v>92</v>
      </c>
      <c r="C1295" s="8" t="str">
        <f t="shared" si="47"/>
        <v/>
      </c>
      <c r="D1295" t="str">
        <f t="shared" si="52"/>
        <v/>
      </c>
      <c r="E1295" t="str">
        <f t="shared" si="52"/>
        <v/>
      </c>
      <c r="F1295" s="314" t="str">
        <f t="shared" si="48"/>
        <v/>
      </c>
      <c r="G1295" t="str">
        <f t="shared" si="53"/>
        <v/>
      </c>
      <c r="H1295" t="str">
        <f t="shared" si="53"/>
        <v/>
      </c>
      <c r="I1295" t="str">
        <f t="shared" si="53"/>
        <v/>
      </c>
      <c r="J1295" t="str">
        <f t="shared" si="53"/>
        <v/>
      </c>
      <c r="K1295" s="314" t="str">
        <f t="shared" si="49"/>
        <v/>
      </c>
      <c r="L1295" t="str">
        <f t="shared" si="54"/>
        <v/>
      </c>
      <c r="M1295" t="str">
        <f t="shared" si="54"/>
        <v/>
      </c>
      <c r="N1295" t="str">
        <f t="shared" si="54"/>
        <v/>
      </c>
      <c r="O1295" t="str">
        <f t="shared" si="54"/>
        <v/>
      </c>
      <c r="P1295" s="314" t="str">
        <f t="shared" si="50"/>
        <v/>
      </c>
      <c r="Q1295" t="str">
        <f t="shared" si="55"/>
        <v/>
      </c>
      <c r="R1295" t="str">
        <f t="shared" si="55"/>
        <v/>
      </c>
      <c r="S1295" t="str">
        <f t="shared" si="55"/>
        <v/>
      </c>
      <c r="T1295" t="str">
        <f t="shared" si="55"/>
        <v/>
      </c>
    </row>
    <row r="1296" spans="1:20">
      <c r="A1296" s="195">
        <f t="shared" si="46"/>
        <v>1</v>
      </c>
      <c r="B1296">
        <f t="shared" si="51"/>
        <v>93</v>
      </c>
      <c r="C1296" s="8" t="str">
        <f t="shared" si="47"/>
        <v/>
      </c>
      <c r="D1296" t="str">
        <f t="shared" si="52"/>
        <v/>
      </c>
      <c r="E1296" t="str">
        <f t="shared" si="52"/>
        <v/>
      </c>
      <c r="F1296" s="314" t="str">
        <f t="shared" si="48"/>
        <v/>
      </c>
      <c r="G1296" t="str">
        <f t="shared" si="53"/>
        <v/>
      </c>
      <c r="H1296" t="str">
        <f t="shared" si="53"/>
        <v/>
      </c>
      <c r="I1296" t="str">
        <f t="shared" si="53"/>
        <v/>
      </c>
      <c r="J1296" t="str">
        <f t="shared" si="53"/>
        <v/>
      </c>
      <c r="K1296" s="314" t="str">
        <f t="shared" si="49"/>
        <v/>
      </c>
      <c r="L1296" t="str">
        <f t="shared" si="54"/>
        <v/>
      </c>
      <c r="M1296" t="str">
        <f t="shared" si="54"/>
        <v/>
      </c>
      <c r="N1296" t="str">
        <f t="shared" si="54"/>
        <v/>
      </c>
      <c r="O1296" t="str">
        <f t="shared" si="54"/>
        <v/>
      </c>
      <c r="P1296" s="314" t="str">
        <f t="shared" si="50"/>
        <v/>
      </c>
      <c r="Q1296" t="str">
        <f t="shared" si="55"/>
        <v/>
      </c>
      <c r="R1296" t="str">
        <f t="shared" si="55"/>
        <v/>
      </c>
      <c r="S1296" t="str">
        <f t="shared" si="55"/>
        <v/>
      </c>
      <c r="T1296" t="str">
        <f t="shared" si="55"/>
        <v/>
      </c>
    </row>
    <row r="1297" spans="1:20">
      <c r="A1297" s="195">
        <f t="shared" si="46"/>
        <v>1</v>
      </c>
      <c r="B1297">
        <f t="shared" si="51"/>
        <v>94</v>
      </c>
      <c r="C1297" s="8" t="str">
        <f t="shared" si="47"/>
        <v/>
      </c>
      <c r="D1297" t="str">
        <f t="shared" si="52"/>
        <v/>
      </c>
      <c r="E1297" t="str">
        <f t="shared" si="52"/>
        <v/>
      </c>
      <c r="F1297" s="314" t="str">
        <f t="shared" si="48"/>
        <v/>
      </c>
      <c r="G1297" t="str">
        <f t="shared" si="53"/>
        <v/>
      </c>
      <c r="H1297" t="str">
        <f t="shared" si="53"/>
        <v/>
      </c>
      <c r="I1297" t="str">
        <f t="shared" si="53"/>
        <v/>
      </c>
      <c r="J1297" t="str">
        <f t="shared" si="53"/>
        <v/>
      </c>
      <c r="K1297" s="314" t="str">
        <f t="shared" si="49"/>
        <v/>
      </c>
      <c r="L1297" t="str">
        <f t="shared" si="54"/>
        <v/>
      </c>
      <c r="M1297" t="str">
        <f t="shared" si="54"/>
        <v/>
      </c>
      <c r="N1297" t="str">
        <f t="shared" si="54"/>
        <v/>
      </c>
      <c r="O1297" t="str">
        <f t="shared" si="54"/>
        <v/>
      </c>
      <c r="P1297" s="314" t="str">
        <f t="shared" si="50"/>
        <v/>
      </c>
      <c r="Q1297" t="str">
        <f t="shared" si="55"/>
        <v/>
      </c>
      <c r="R1297" t="str">
        <f t="shared" si="55"/>
        <v/>
      </c>
      <c r="S1297" t="str">
        <f t="shared" si="55"/>
        <v/>
      </c>
      <c r="T1297" t="str">
        <f t="shared" si="55"/>
        <v/>
      </c>
    </row>
    <row r="1298" spans="1:20">
      <c r="A1298" s="195">
        <f t="shared" si="46"/>
        <v>1</v>
      </c>
      <c r="B1298">
        <f t="shared" si="51"/>
        <v>95</v>
      </c>
      <c r="C1298" s="8" t="str">
        <f t="shared" si="47"/>
        <v/>
      </c>
      <c r="D1298" t="str">
        <f t="shared" si="52"/>
        <v/>
      </c>
      <c r="E1298" t="str">
        <f t="shared" si="52"/>
        <v/>
      </c>
      <c r="F1298" s="314" t="str">
        <f t="shared" si="48"/>
        <v/>
      </c>
      <c r="G1298" t="str">
        <f t="shared" si="53"/>
        <v/>
      </c>
      <c r="H1298" t="str">
        <f t="shared" si="53"/>
        <v/>
      </c>
      <c r="I1298" t="str">
        <f t="shared" si="53"/>
        <v/>
      </c>
      <c r="J1298" t="str">
        <f t="shared" si="53"/>
        <v/>
      </c>
      <c r="K1298" s="314" t="str">
        <f t="shared" si="49"/>
        <v/>
      </c>
      <c r="L1298" t="str">
        <f t="shared" si="54"/>
        <v/>
      </c>
      <c r="M1298" t="str">
        <f t="shared" si="54"/>
        <v/>
      </c>
      <c r="N1298" t="str">
        <f t="shared" si="54"/>
        <v/>
      </c>
      <c r="O1298" t="str">
        <f t="shared" si="54"/>
        <v/>
      </c>
      <c r="P1298" s="314" t="str">
        <f t="shared" si="50"/>
        <v/>
      </c>
      <c r="Q1298" t="str">
        <f t="shared" si="55"/>
        <v/>
      </c>
      <c r="R1298" t="str">
        <f t="shared" si="55"/>
        <v/>
      </c>
      <c r="S1298" t="str">
        <f t="shared" si="55"/>
        <v/>
      </c>
      <c r="T1298" t="str">
        <f t="shared" si="55"/>
        <v/>
      </c>
    </row>
    <row r="1299" spans="1:20">
      <c r="A1299" s="195">
        <f t="shared" si="46"/>
        <v>1</v>
      </c>
      <c r="B1299">
        <f t="shared" si="51"/>
        <v>96</v>
      </c>
      <c r="C1299" s="8" t="str">
        <f t="shared" si="47"/>
        <v/>
      </c>
      <c r="D1299" t="str">
        <f t="shared" si="52"/>
        <v/>
      </c>
      <c r="E1299" t="str">
        <f t="shared" si="52"/>
        <v/>
      </c>
      <c r="F1299" s="314" t="str">
        <f t="shared" si="48"/>
        <v/>
      </c>
      <c r="G1299" t="str">
        <f t="shared" si="53"/>
        <v/>
      </c>
      <c r="H1299" t="str">
        <f t="shared" si="53"/>
        <v/>
      </c>
      <c r="I1299" t="str">
        <f t="shared" si="53"/>
        <v/>
      </c>
      <c r="J1299" t="str">
        <f t="shared" si="53"/>
        <v/>
      </c>
      <c r="K1299" s="314" t="str">
        <f t="shared" si="49"/>
        <v/>
      </c>
      <c r="L1299" t="str">
        <f t="shared" si="54"/>
        <v/>
      </c>
      <c r="M1299" t="str">
        <f t="shared" si="54"/>
        <v/>
      </c>
      <c r="N1299" t="str">
        <f t="shared" si="54"/>
        <v/>
      </c>
      <c r="O1299" t="str">
        <f t="shared" si="54"/>
        <v/>
      </c>
      <c r="P1299" s="314" t="str">
        <f t="shared" si="50"/>
        <v/>
      </c>
      <c r="Q1299" t="str">
        <f t="shared" si="55"/>
        <v/>
      </c>
      <c r="R1299" t="str">
        <f t="shared" si="55"/>
        <v/>
      </c>
      <c r="S1299" t="str">
        <f t="shared" si="55"/>
        <v/>
      </c>
      <c r="T1299" t="str">
        <f t="shared" si="55"/>
        <v/>
      </c>
    </row>
    <row r="1300" spans="1:20">
      <c r="A1300" s="195">
        <f t="shared" si="46"/>
        <v>1</v>
      </c>
      <c r="B1300">
        <f t="shared" si="51"/>
        <v>97</v>
      </c>
      <c r="C1300" s="8" t="str">
        <f t="shared" si="47"/>
        <v/>
      </c>
      <c r="D1300" t="str">
        <f t="shared" si="52"/>
        <v/>
      </c>
      <c r="E1300" t="str">
        <f t="shared" si="52"/>
        <v/>
      </c>
      <c r="F1300" s="314" t="str">
        <f t="shared" si="48"/>
        <v/>
      </c>
      <c r="G1300" t="str">
        <f t="shared" si="53"/>
        <v/>
      </c>
      <c r="H1300" t="str">
        <f t="shared" si="53"/>
        <v/>
      </c>
      <c r="I1300" t="str">
        <f t="shared" si="53"/>
        <v/>
      </c>
      <c r="J1300" t="str">
        <f t="shared" si="53"/>
        <v/>
      </c>
      <c r="K1300" s="314" t="str">
        <f t="shared" si="49"/>
        <v/>
      </c>
      <c r="L1300" t="str">
        <f t="shared" si="54"/>
        <v/>
      </c>
      <c r="M1300" t="str">
        <f t="shared" si="54"/>
        <v/>
      </c>
      <c r="N1300" t="str">
        <f t="shared" si="54"/>
        <v/>
      </c>
      <c r="O1300" t="str">
        <f t="shared" si="54"/>
        <v/>
      </c>
      <c r="P1300" s="314" t="str">
        <f t="shared" si="50"/>
        <v/>
      </c>
      <c r="Q1300" t="str">
        <f t="shared" si="55"/>
        <v/>
      </c>
      <c r="R1300" t="str">
        <f t="shared" si="55"/>
        <v/>
      </c>
      <c r="S1300" t="str">
        <f t="shared" si="55"/>
        <v/>
      </c>
      <c r="T1300" t="str">
        <f t="shared" si="55"/>
        <v/>
      </c>
    </row>
    <row r="1301" spans="1:20">
      <c r="A1301" s="195">
        <f t="shared" si="46"/>
        <v>1</v>
      </c>
      <c r="B1301">
        <f t="shared" si="51"/>
        <v>98</v>
      </c>
      <c r="C1301" s="8" t="str">
        <f t="shared" si="47"/>
        <v/>
      </c>
      <c r="D1301" t="str">
        <f t="shared" si="52"/>
        <v/>
      </c>
      <c r="E1301" t="str">
        <f t="shared" si="52"/>
        <v/>
      </c>
      <c r="F1301" s="314" t="str">
        <f t="shared" si="48"/>
        <v/>
      </c>
      <c r="G1301" t="str">
        <f t="shared" si="53"/>
        <v/>
      </c>
      <c r="H1301" t="str">
        <f t="shared" si="53"/>
        <v/>
      </c>
      <c r="I1301" t="str">
        <f t="shared" si="53"/>
        <v/>
      </c>
      <c r="J1301" t="str">
        <f t="shared" si="53"/>
        <v/>
      </c>
      <c r="K1301" s="314" t="str">
        <f t="shared" si="49"/>
        <v/>
      </c>
      <c r="L1301" t="str">
        <f t="shared" si="54"/>
        <v/>
      </c>
      <c r="M1301" t="str">
        <f t="shared" si="54"/>
        <v/>
      </c>
      <c r="N1301" t="str">
        <f t="shared" si="54"/>
        <v/>
      </c>
      <c r="O1301" t="str">
        <f t="shared" si="54"/>
        <v/>
      </c>
      <c r="P1301" s="314" t="str">
        <f t="shared" si="50"/>
        <v/>
      </c>
      <c r="Q1301" t="str">
        <f t="shared" si="55"/>
        <v/>
      </c>
      <c r="R1301" t="str">
        <f t="shared" si="55"/>
        <v/>
      </c>
      <c r="S1301" t="str">
        <f t="shared" si="55"/>
        <v/>
      </c>
      <c r="T1301" t="str">
        <f t="shared" si="55"/>
        <v/>
      </c>
    </row>
    <row r="1302" spans="1:20">
      <c r="A1302" s="195">
        <f t="shared" si="46"/>
        <v>1</v>
      </c>
      <c r="B1302">
        <f t="shared" si="51"/>
        <v>99</v>
      </c>
      <c r="C1302" s="8" t="str">
        <f t="shared" si="47"/>
        <v/>
      </c>
      <c r="D1302" t="str">
        <f t="shared" si="52"/>
        <v/>
      </c>
      <c r="E1302" t="str">
        <f t="shared" si="52"/>
        <v/>
      </c>
      <c r="F1302" s="314" t="str">
        <f t="shared" si="48"/>
        <v/>
      </c>
      <c r="G1302" t="str">
        <f t="shared" si="53"/>
        <v/>
      </c>
      <c r="H1302" t="str">
        <f t="shared" si="53"/>
        <v/>
      </c>
      <c r="I1302" t="str">
        <f t="shared" si="53"/>
        <v/>
      </c>
      <c r="J1302" t="str">
        <f t="shared" si="53"/>
        <v/>
      </c>
      <c r="K1302" s="314" t="str">
        <f t="shared" si="49"/>
        <v/>
      </c>
      <c r="L1302" t="str">
        <f t="shared" si="54"/>
        <v/>
      </c>
      <c r="M1302" t="str">
        <f t="shared" si="54"/>
        <v/>
      </c>
      <c r="N1302" t="str">
        <f t="shared" si="54"/>
        <v/>
      </c>
      <c r="O1302" t="str">
        <f t="shared" si="54"/>
        <v/>
      </c>
      <c r="P1302" s="314" t="str">
        <f t="shared" si="50"/>
        <v/>
      </c>
      <c r="Q1302" t="str">
        <f t="shared" si="55"/>
        <v/>
      </c>
      <c r="R1302" t="str">
        <f t="shared" si="55"/>
        <v/>
      </c>
      <c r="S1302" t="str">
        <f t="shared" si="55"/>
        <v/>
      </c>
      <c r="T1302" t="str">
        <f t="shared" si="55"/>
        <v/>
      </c>
    </row>
    <row r="1356" spans="2:4">
      <c r="B1356" t="s">
        <v>2417</v>
      </c>
      <c r="D1356" t="s">
        <v>2434</v>
      </c>
    </row>
    <row r="1357" spans="2:4">
      <c r="B1357" t="s">
        <v>1513</v>
      </c>
      <c r="D1357" t="s">
        <v>2435</v>
      </c>
    </row>
    <row r="1358" spans="2:4">
      <c r="B1358" t="s">
        <v>2358</v>
      </c>
      <c r="D1358" t="s">
        <v>2436</v>
      </c>
    </row>
    <row r="1359" spans="2:4">
      <c r="B1359" t="s">
        <v>2418</v>
      </c>
      <c r="D1359" t="s">
        <v>2437</v>
      </c>
    </row>
    <row r="1360" spans="2:4">
      <c r="B1360" t="s">
        <v>2419</v>
      </c>
      <c r="D1360" t="s">
        <v>2438</v>
      </c>
    </row>
    <row r="1361" spans="1:4">
      <c r="B1361" t="s">
        <v>2420</v>
      </c>
      <c r="D1361" t="s">
        <v>2439</v>
      </c>
    </row>
    <row r="1362" spans="1:4">
      <c r="B1362" t="s">
        <v>2421</v>
      </c>
      <c r="D1362" t="s">
        <v>2440</v>
      </c>
    </row>
    <row r="1363" spans="1:4">
      <c r="B1363" t="s">
        <v>2422</v>
      </c>
      <c r="D1363" t="s">
        <v>2441</v>
      </c>
    </row>
    <row r="1364" spans="1:4">
      <c r="B1364" t="s">
        <v>2423</v>
      </c>
      <c r="D1364" t="s">
        <v>2442</v>
      </c>
    </row>
    <row r="1365" spans="1:4">
      <c r="B1365" t="s">
        <v>2424</v>
      </c>
      <c r="D1365" t="s">
        <v>2443</v>
      </c>
    </row>
    <row r="1366" spans="1:4">
      <c r="B1366" t="s">
        <v>2425</v>
      </c>
      <c r="D1366" t="s">
        <v>2444</v>
      </c>
    </row>
    <row r="1367" spans="1:4">
      <c r="B1367" t="s">
        <v>2426</v>
      </c>
      <c r="D1367" t="s">
        <v>2445</v>
      </c>
    </row>
    <row r="1368" spans="1:4">
      <c r="B1368" t="s">
        <v>2427</v>
      </c>
      <c r="D1368" t="s">
        <v>2446</v>
      </c>
    </row>
    <row r="1369" spans="1:4">
      <c r="B1369" t="s">
        <v>2428</v>
      </c>
      <c r="D1369" t="s">
        <v>2447</v>
      </c>
    </row>
    <row r="1370" spans="1:4">
      <c r="B1370" s="123" t="s">
        <v>2429</v>
      </c>
      <c r="D1370" t="s">
        <v>2448</v>
      </c>
    </row>
    <row r="1371" spans="1:4">
      <c r="B1371" s="123" t="s">
        <v>2430</v>
      </c>
      <c r="D1371" t="s">
        <v>2449</v>
      </c>
    </row>
    <row r="1372" spans="1:4">
      <c r="B1372" s="123" t="s">
        <v>2431</v>
      </c>
      <c r="D1372" t="s">
        <v>2450</v>
      </c>
    </row>
    <row r="1373" spans="1:4">
      <c r="B1373" s="123" t="s">
        <v>2432</v>
      </c>
      <c r="D1373" t="s">
        <v>2451</v>
      </c>
    </row>
    <row r="1374" spans="1:4">
      <c r="B1374" s="123"/>
    </row>
    <row r="1375" spans="1:4">
      <c r="A1375" t="s">
        <v>2452</v>
      </c>
      <c r="B1375" s="123" t="s">
        <v>601</v>
      </c>
    </row>
    <row r="1376" spans="1:4">
      <c r="A1376" t="s">
        <v>2453</v>
      </c>
      <c r="B1376" s="344" t="s">
        <v>602</v>
      </c>
      <c r="C1376">
        <f>Amenities!B4</f>
        <v>0</v>
      </c>
      <c r="D1376" s="436" t="b">
        <f>IF(C1376="YES",TRUE, IF(C1376="No",FALSE))</f>
        <v>0</v>
      </c>
    </row>
    <row r="1377" spans="1:4">
      <c r="A1377" t="s">
        <v>2454</v>
      </c>
      <c r="B1377" s="344" t="s">
        <v>603</v>
      </c>
      <c r="C1377">
        <f>Amenities!B5</f>
        <v>0</v>
      </c>
      <c r="D1377" s="436" t="b">
        <f>IF(C1377="YES",TRUE, IF(C1377="No",FALSE))</f>
        <v>0</v>
      </c>
    </row>
    <row r="1378" spans="1:4">
      <c r="A1378" t="s">
        <v>2455</v>
      </c>
      <c r="B1378" s="344" t="s">
        <v>604</v>
      </c>
      <c r="C1378">
        <f>Amenities!B6</f>
        <v>0</v>
      </c>
      <c r="D1378" s="436" t="b">
        <f>IF(C1378="YES",TRUE, IF(C1378="No",FALSE))</f>
        <v>0</v>
      </c>
    </row>
    <row r="1379" spans="1:4">
      <c r="A1379" t="s">
        <v>2456</v>
      </c>
      <c r="B1379" s="344" t="s">
        <v>605</v>
      </c>
      <c r="C1379">
        <f>Amenities!B7</f>
        <v>0</v>
      </c>
      <c r="D1379" s="436" t="b">
        <f>IF(C1379="YES",TRUE, IF(C1379="No",FALSE))</f>
        <v>0</v>
      </c>
    </row>
    <row r="1380" spans="1:4">
      <c r="A1380" t="s">
        <v>2457</v>
      </c>
      <c r="B1380" s="344" t="s">
        <v>606</v>
      </c>
      <c r="C1380">
        <f>Amenities!B8</f>
        <v>0</v>
      </c>
      <c r="D1380" s="436" t="b">
        <f t="shared" ref="D1380:D1452" si="56">IF(C1380="YES",TRUE, IF(C1380="No",FALSE))</f>
        <v>0</v>
      </c>
    </row>
    <row r="1381" spans="1:4">
      <c r="A1381" t="s">
        <v>2458</v>
      </c>
      <c r="B1381" s="344" t="s">
        <v>607</v>
      </c>
      <c r="C1381">
        <f>Amenities!B9</f>
        <v>0</v>
      </c>
      <c r="D1381" s="436" t="b">
        <f t="shared" si="56"/>
        <v>0</v>
      </c>
    </row>
    <row r="1382" spans="1:4">
      <c r="A1382" t="s">
        <v>2459</v>
      </c>
      <c r="B1382" s="1" t="s">
        <v>608</v>
      </c>
      <c r="C1382">
        <f>Amenities!B10</f>
        <v>0</v>
      </c>
      <c r="D1382" s="436" t="b">
        <f>IF(C1382="YES",TRUE, IF(C1382="No",FALSE))</f>
        <v>0</v>
      </c>
    </row>
    <row r="1383" spans="1:4">
      <c r="A1383" t="s">
        <v>2460</v>
      </c>
      <c r="B1383" s="344" t="s">
        <v>609</v>
      </c>
      <c r="C1383">
        <f>Amenities!B11</f>
        <v>0</v>
      </c>
      <c r="D1383" s="436" t="b">
        <f t="shared" si="56"/>
        <v>0</v>
      </c>
    </row>
    <row r="1384" spans="1:4">
      <c r="A1384" t="s">
        <v>2461</v>
      </c>
      <c r="B1384" s="344" t="s">
        <v>610</v>
      </c>
      <c r="C1384" s="18">
        <f>Amenities!B12</f>
        <v>0</v>
      </c>
      <c r="D1384" s="436" t="b">
        <f t="shared" si="56"/>
        <v>0</v>
      </c>
    </row>
    <row r="1385" spans="1:4">
      <c r="A1385" t="s">
        <v>2462</v>
      </c>
      <c r="B1385" s="344" t="s">
        <v>611</v>
      </c>
      <c r="C1385" s="18">
        <f>Amenities!B13</f>
        <v>0</v>
      </c>
      <c r="D1385" s="436" t="b">
        <f t="shared" si="56"/>
        <v>0</v>
      </c>
    </row>
    <row r="1386" spans="1:4" ht="15">
      <c r="A1386" t="s">
        <v>2463</v>
      </c>
      <c r="B1386" s="344" t="s">
        <v>612</v>
      </c>
      <c r="C1386">
        <f>Amenities!B14</f>
        <v>0</v>
      </c>
      <c r="D1386" s="341" t="b">
        <f t="shared" si="56"/>
        <v>0</v>
      </c>
    </row>
    <row r="1387" spans="1:4" ht="15">
      <c r="A1387" t="s">
        <v>2464</v>
      </c>
      <c r="B1387" s="344" t="s">
        <v>2465</v>
      </c>
      <c r="D1387" s="341" t="b">
        <f t="shared" si="56"/>
        <v>0</v>
      </c>
    </row>
    <row r="1388" spans="1:4" ht="15">
      <c r="A1388" t="s">
        <v>2466</v>
      </c>
      <c r="B1388" s="344" t="s">
        <v>2467</v>
      </c>
      <c r="C1388">
        <f>Amenities!B17</f>
        <v>0</v>
      </c>
      <c r="D1388" s="341" t="b">
        <f t="shared" si="56"/>
        <v>0</v>
      </c>
    </row>
    <row r="1389" spans="1:4" ht="15">
      <c r="A1389" t="s">
        <v>2468</v>
      </c>
      <c r="B1389" s="344" t="s">
        <v>2469</v>
      </c>
      <c r="C1389">
        <f>Amenities!B18</f>
        <v>0</v>
      </c>
      <c r="D1389" s="341" t="b">
        <f t="shared" si="56"/>
        <v>0</v>
      </c>
    </row>
    <row r="1390" spans="1:4" ht="15">
      <c r="A1390" t="s">
        <v>2470</v>
      </c>
      <c r="B1390" s="344" t="s">
        <v>2471</v>
      </c>
      <c r="C1390">
        <f>Amenities!B19</f>
        <v>0</v>
      </c>
      <c r="D1390" s="341" t="b">
        <f t="shared" si="56"/>
        <v>0</v>
      </c>
    </row>
    <row r="1391" spans="1:4" ht="15">
      <c r="A1391" t="s">
        <v>2472</v>
      </c>
      <c r="B1391" s="344" t="s">
        <v>2473</v>
      </c>
      <c r="C1391">
        <f>Amenities!B20</f>
        <v>0</v>
      </c>
      <c r="D1391" s="341" t="b">
        <f t="shared" si="56"/>
        <v>0</v>
      </c>
    </row>
    <row r="1392" spans="1:4" ht="15">
      <c r="A1392" t="s">
        <v>2474</v>
      </c>
      <c r="B1392" s="344" t="s">
        <v>619</v>
      </c>
      <c r="C1392">
        <f>Amenities!B21</f>
        <v>0</v>
      </c>
      <c r="D1392" s="341" t="b">
        <f t="shared" si="56"/>
        <v>0</v>
      </c>
    </row>
    <row r="1393" spans="1:4" s="319" customFormat="1" ht="15">
      <c r="A1393" s="319" t="s">
        <v>2475</v>
      </c>
      <c r="B1393" s="642" t="s">
        <v>620</v>
      </c>
      <c r="C1393" s="581">
        <f>Amenities!B22</f>
        <v>0</v>
      </c>
      <c r="D1393" s="582" t="b">
        <f t="shared" si="56"/>
        <v>0</v>
      </c>
    </row>
    <row r="1394" spans="1:4" s="319" customFormat="1" ht="15">
      <c r="A1394" s="319" t="s">
        <v>2476</v>
      </c>
      <c r="B1394" s="642" t="s">
        <v>621</v>
      </c>
      <c r="C1394" s="581">
        <f>Amenities!B23</f>
        <v>0</v>
      </c>
      <c r="D1394" s="582" t="b">
        <f t="shared" si="56"/>
        <v>0</v>
      </c>
    </row>
    <row r="1395" spans="1:4" s="319" customFormat="1" ht="15">
      <c r="A1395" s="319" t="s">
        <v>2477</v>
      </c>
      <c r="B1395" s="642" t="s">
        <v>622</v>
      </c>
      <c r="C1395" s="319">
        <f>Amenities!B24</f>
        <v>0</v>
      </c>
      <c r="D1395" s="643" t="b">
        <f t="shared" si="56"/>
        <v>0</v>
      </c>
    </row>
    <row r="1396" spans="1:4" s="319" customFormat="1" ht="15">
      <c r="B1396" s="642" t="s">
        <v>2478</v>
      </c>
      <c r="D1396" s="643"/>
    </row>
    <row r="1397" spans="1:4" s="319" customFormat="1" ht="15">
      <c r="A1397" s="319" t="s">
        <v>2479</v>
      </c>
      <c r="B1397" s="642" t="s">
        <v>624</v>
      </c>
      <c r="C1397" s="319">
        <f>Amenities!B27</f>
        <v>0</v>
      </c>
      <c r="D1397" s="643" t="b">
        <f t="shared" si="56"/>
        <v>0</v>
      </c>
    </row>
    <row r="1398" spans="1:4" s="319" customFormat="1" ht="15">
      <c r="A1398" s="319" t="s">
        <v>2480</v>
      </c>
      <c r="B1398" s="644" t="s">
        <v>625</v>
      </c>
      <c r="C1398" s="319">
        <f>Amenities!B28</f>
        <v>0</v>
      </c>
      <c r="D1398" s="643" t="b">
        <f t="shared" si="56"/>
        <v>0</v>
      </c>
    </row>
    <row r="1399" spans="1:4" s="319" customFormat="1" ht="15">
      <c r="A1399" s="319" t="s">
        <v>2481</v>
      </c>
      <c r="B1399" s="644" t="s">
        <v>626</v>
      </c>
      <c r="C1399" s="319">
        <f>Amenities!B29</f>
        <v>0</v>
      </c>
      <c r="D1399" s="643" t="b">
        <f t="shared" si="56"/>
        <v>0</v>
      </c>
    </row>
    <row r="1400" spans="1:4" s="319" customFormat="1" ht="15">
      <c r="A1400" s="319" t="s">
        <v>2482</v>
      </c>
      <c r="B1400" s="644" t="s">
        <v>627</v>
      </c>
      <c r="C1400" s="319">
        <f>Amenities!B30</f>
        <v>0</v>
      </c>
      <c r="D1400" s="643" t="b">
        <f t="shared" si="56"/>
        <v>0</v>
      </c>
    </row>
    <row r="1401" spans="1:4" s="319" customFormat="1" ht="15">
      <c r="A1401" s="319" t="s">
        <v>2483</v>
      </c>
      <c r="B1401" s="415" t="s">
        <v>628</v>
      </c>
      <c r="C1401" s="319">
        <f>Amenities!B31</f>
        <v>0</v>
      </c>
      <c r="D1401" s="643" t="b">
        <f t="shared" si="56"/>
        <v>0</v>
      </c>
    </row>
    <row r="1402" spans="1:4" s="319" customFormat="1" ht="15">
      <c r="A1402" s="319" t="s">
        <v>2484</v>
      </c>
      <c r="B1402" s="644" t="s">
        <v>629</v>
      </c>
      <c r="C1402" s="319">
        <f>Amenities!B32</f>
        <v>0</v>
      </c>
      <c r="D1402" s="643" t="b">
        <f t="shared" si="56"/>
        <v>0</v>
      </c>
    </row>
    <row r="1403" spans="1:4" s="319" customFormat="1" ht="15">
      <c r="B1403" s="644" t="str">
        <f>Amenities!A33</f>
        <v>Number of Laundry Rooms</v>
      </c>
      <c r="C1403" s="319">
        <f>Amenities!B33</f>
        <v>0</v>
      </c>
      <c r="D1403" s="643">
        <f>C1403</f>
        <v>0</v>
      </c>
    </row>
    <row r="1404" spans="1:4" s="319" customFormat="1" ht="15">
      <c r="B1404" s="644" t="str">
        <f>Amenities!A34</f>
        <v>Laundry Room in each building (if more than one bldg)</v>
      </c>
      <c r="C1404" s="319">
        <f>Amenities!B34</f>
        <v>0</v>
      </c>
      <c r="D1404" s="643">
        <f>C1404</f>
        <v>0</v>
      </c>
    </row>
    <row r="1405" spans="1:4" s="319" customFormat="1" ht="15">
      <c r="B1405" s="644" t="str">
        <f>Amenities!A35</f>
        <v>Laundry Room on each floor</v>
      </c>
      <c r="C1405" s="319">
        <f>Amenities!B35</f>
        <v>0</v>
      </c>
      <c r="D1405" s="643">
        <f>C1405</f>
        <v>0</v>
      </c>
    </row>
    <row r="1406" spans="1:4" s="319" customFormat="1" ht="15">
      <c r="A1406" s="319" t="s">
        <v>2485</v>
      </c>
      <c r="B1406" s="644" t="s">
        <v>633</v>
      </c>
      <c r="C1406" s="319">
        <f>Amenities!B36</f>
        <v>0</v>
      </c>
      <c r="D1406" s="643" t="b">
        <f t="shared" si="56"/>
        <v>0</v>
      </c>
    </row>
    <row r="1407" spans="1:4" s="319" customFormat="1" ht="15">
      <c r="A1407" s="319" t="s">
        <v>2486</v>
      </c>
      <c r="B1407" s="644" t="s">
        <v>634</v>
      </c>
      <c r="C1407" s="319">
        <f>Amenities!B37</f>
        <v>0</v>
      </c>
      <c r="D1407" s="643" t="b">
        <f t="shared" si="56"/>
        <v>0</v>
      </c>
    </row>
    <row r="1408" spans="1:4" s="319" customFormat="1" ht="15">
      <c r="A1408" s="319" t="s">
        <v>2487</v>
      </c>
      <c r="B1408" s="644" t="s">
        <v>635</v>
      </c>
      <c r="C1408" s="319">
        <f>Amenities!B38</f>
        <v>0</v>
      </c>
      <c r="D1408" s="643" t="b">
        <f t="shared" si="56"/>
        <v>0</v>
      </c>
    </row>
    <row r="1409" spans="1:4" s="319" customFormat="1" ht="15">
      <c r="A1409" s="319" t="s">
        <v>2488</v>
      </c>
      <c r="B1409" s="644" t="s">
        <v>636</v>
      </c>
      <c r="C1409" s="581">
        <f>Amenities!B39</f>
        <v>0</v>
      </c>
      <c r="D1409" s="582" t="b">
        <f t="shared" si="56"/>
        <v>0</v>
      </c>
    </row>
    <row r="1410" spans="1:4" s="319" customFormat="1" ht="15">
      <c r="A1410" s="319" t="s">
        <v>2489</v>
      </c>
      <c r="B1410" s="642" t="s">
        <v>637</v>
      </c>
      <c r="C1410" s="319">
        <f>Amenities!B40</f>
        <v>0</v>
      </c>
      <c r="D1410" s="643">
        <f>C1410</f>
        <v>0</v>
      </c>
    </row>
    <row r="1411" spans="1:4" s="319" customFormat="1" ht="15">
      <c r="A1411" s="319" t="s">
        <v>2490</v>
      </c>
      <c r="B1411" s="642" t="s">
        <v>638</v>
      </c>
      <c r="C1411" s="319">
        <f>Amenities!B41</f>
        <v>0</v>
      </c>
      <c r="D1411" s="643" t="b">
        <f t="shared" si="56"/>
        <v>0</v>
      </c>
    </row>
    <row r="1412" spans="1:4" s="319" customFormat="1" ht="15">
      <c r="A1412" s="319" t="s">
        <v>2491</v>
      </c>
      <c r="B1412" s="642" t="s">
        <v>639</v>
      </c>
      <c r="C1412" s="319">
        <f>Amenities!B42</f>
        <v>0</v>
      </c>
      <c r="D1412" s="643" t="b">
        <f t="shared" si="56"/>
        <v>0</v>
      </c>
    </row>
    <row r="1413" spans="1:4" s="319" customFormat="1" ht="15">
      <c r="A1413" s="319" t="s">
        <v>2492</v>
      </c>
      <c r="B1413" s="642" t="s">
        <v>640</v>
      </c>
      <c r="C1413" s="319">
        <f>Amenities!B43</f>
        <v>0</v>
      </c>
      <c r="D1413" s="643" t="b">
        <f t="shared" si="56"/>
        <v>0</v>
      </c>
    </row>
    <row r="1414" spans="1:4" s="319" customFormat="1" ht="15">
      <c r="A1414" s="319" t="s">
        <v>2493</v>
      </c>
      <c r="B1414" s="642" t="s">
        <v>641</v>
      </c>
      <c r="C1414" s="581">
        <f>Amenities!B44</f>
        <v>0</v>
      </c>
      <c r="D1414" s="582" t="b">
        <f t="shared" si="56"/>
        <v>0</v>
      </c>
    </row>
    <row r="1415" spans="1:4" s="319" customFormat="1" ht="15">
      <c r="A1415" s="319" t="s">
        <v>2494</v>
      </c>
      <c r="B1415" s="642" t="s">
        <v>642</v>
      </c>
      <c r="C1415" s="319">
        <f>Amenities!B45</f>
        <v>0</v>
      </c>
      <c r="D1415" s="643" t="b">
        <f t="shared" si="56"/>
        <v>0</v>
      </c>
    </row>
    <row r="1416" spans="1:4" s="319" customFormat="1" ht="15">
      <c r="A1416" s="319" t="s">
        <v>2495</v>
      </c>
      <c r="B1416" s="642" t="s">
        <v>643</v>
      </c>
      <c r="C1416" s="319">
        <f>Amenities!B46</f>
        <v>0</v>
      </c>
      <c r="D1416" s="643" t="b">
        <f t="shared" si="56"/>
        <v>0</v>
      </c>
    </row>
    <row r="1417" spans="1:4" s="319" customFormat="1" ht="15">
      <c r="B1417" s="642" t="str">
        <f>Amenities!A47</f>
        <v>Bike Storage</v>
      </c>
      <c r="C1417" s="319">
        <f>Amenities!B47</f>
        <v>0</v>
      </c>
      <c r="D1417" s="643" t="b">
        <f t="shared" si="56"/>
        <v>0</v>
      </c>
    </row>
    <row r="1418" spans="1:4" s="319" customFormat="1" ht="15">
      <c r="B1418" s="642" t="str">
        <f>Amenities!A48</f>
        <v>Bike Maintenance</v>
      </c>
      <c r="C1418" s="319">
        <f>Amenities!B48</f>
        <v>0</v>
      </c>
      <c r="D1418" s="643" t="b">
        <f t="shared" si="56"/>
        <v>0</v>
      </c>
    </row>
    <row r="1419" spans="1:4" s="319" customFormat="1" ht="15">
      <c r="B1419" s="642" t="str">
        <f>Amenities!A49</f>
        <v>Pet Wash Area</v>
      </c>
      <c r="C1419" s="319">
        <f>Amenities!B49</f>
        <v>0</v>
      </c>
      <c r="D1419" s="643" t="b">
        <f t="shared" si="56"/>
        <v>0</v>
      </c>
    </row>
    <row r="1420" spans="1:4" s="319" customFormat="1" ht="15">
      <c r="B1420" s="642" t="str">
        <f>Amenities!A50</f>
        <v>Pet Relief Area</v>
      </c>
      <c r="C1420" s="319">
        <f>Amenities!B50</f>
        <v>0</v>
      </c>
      <c r="D1420" s="643" t="b">
        <f t="shared" si="56"/>
        <v>0</v>
      </c>
    </row>
    <row r="1421" spans="1:4" s="319" customFormat="1" ht="15">
      <c r="B1421" s="642" t="str">
        <f>Amenities!A51</f>
        <v>Dog Run</v>
      </c>
      <c r="C1421" s="319">
        <f>Amenities!B51</f>
        <v>0</v>
      </c>
      <c r="D1421" s="643" t="b">
        <f t="shared" si="56"/>
        <v>0</v>
      </c>
    </row>
    <row r="1422" spans="1:4" ht="15">
      <c r="A1422" t="s">
        <v>2496</v>
      </c>
      <c r="B1422" s="344" t="s">
        <v>2497</v>
      </c>
      <c r="C1422">
        <f>Amenities!B52</f>
        <v>0</v>
      </c>
      <c r="D1422" s="341" t="b">
        <f t="shared" si="56"/>
        <v>0</v>
      </c>
    </row>
    <row r="1423" spans="1:4" ht="15">
      <c r="B1423" s="344" t="s">
        <v>2498</v>
      </c>
      <c r="D1423" s="341"/>
    </row>
    <row r="1424" spans="1:4" ht="15">
      <c r="A1424" t="s">
        <v>2499</v>
      </c>
      <c r="B1424" s="344" t="s">
        <v>650</v>
      </c>
      <c r="C1424">
        <f>Amenities!B56</f>
        <v>0</v>
      </c>
      <c r="D1424" s="341" t="b">
        <f t="shared" si="56"/>
        <v>0</v>
      </c>
    </row>
    <row r="1425" spans="1:4" ht="15">
      <c r="A1425" t="s">
        <v>2500</v>
      </c>
      <c r="B1425" s="344" t="s">
        <v>651</v>
      </c>
      <c r="C1425">
        <f>Amenities!B57</f>
        <v>0</v>
      </c>
      <c r="D1425" s="341" t="b">
        <f t="shared" si="56"/>
        <v>0</v>
      </c>
    </row>
    <row r="1426" spans="1:4" ht="15">
      <c r="A1426" t="s">
        <v>2501</v>
      </c>
      <c r="B1426" s="344" t="s">
        <v>652</v>
      </c>
      <c r="C1426">
        <f>Amenities!B58</f>
        <v>0</v>
      </c>
      <c r="D1426" s="341" t="b">
        <f t="shared" si="56"/>
        <v>0</v>
      </c>
    </row>
    <row r="1427" spans="1:4" ht="15">
      <c r="A1427" t="s">
        <v>2502</v>
      </c>
      <c r="B1427" s="344" t="s">
        <v>653</v>
      </c>
      <c r="C1427">
        <f>Amenities!B59</f>
        <v>0</v>
      </c>
      <c r="D1427" s="341" t="b">
        <f t="shared" si="56"/>
        <v>0</v>
      </c>
    </row>
    <row r="1428" spans="1:4" ht="15">
      <c r="A1428" t="s">
        <v>2503</v>
      </c>
      <c r="B1428" s="344" t="s">
        <v>654</v>
      </c>
      <c r="C1428">
        <f>Amenities!B60</f>
        <v>0</v>
      </c>
      <c r="D1428" s="341" t="b">
        <f t="shared" si="56"/>
        <v>0</v>
      </c>
    </row>
    <row r="1429" spans="1:4" ht="15">
      <c r="B1429" s="344" t="s">
        <v>2504</v>
      </c>
      <c r="D1429" s="341"/>
    </row>
    <row r="1430" spans="1:4" s="300" customFormat="1" ht="15">
      <c r="A1430" s="300" t="s">
        <v>2505</v>
      </c>
      <c r="B1430" s="645" t="s">
        <v>2506</v>
      </c>
      <c r="D1430" s="646">
        <f>C1430</f>
        <v>0</v>
      </c>
    </row>
    <row r="1431" spans="1:4" ht="15">
      <c r="B1431" s="344" t="s">
        <v>2506</v>
      </c>
      <c r="C1431">
        <f>Amenities!B62</f>
        <v>0</v>
      </c>
      <c r="D1431" s="341">
        <f>C1431</f>
        <v>0</v>
      </c>
    </row>
    <row r="1432" spans="1:4" ht="15">
      <c r="A1432" t="s">
        <v>2507</v>
      </c>
      <c r="B1432" s="344" t="s">
        <v>2508</v>
      </c>
      <c r="C1432">
        <f>Amenities!B63</f>
        <v>0</v>
      </c>
      <c r="D1432" s="341">
        <f>C1432</f>
        <v>0</v>
      </c>
    </row>
    <row r="1433" spans="1:4" ht="15">
      <c r="A1433" t="s">
        <v>2509</v>
      </c>
      <c r="B1433" s="344" t="s">
        <v>2510</v>
      </c>
      <c r="C1433">
        <f>Amenities!B64</f>
        <v>0</v>
      </c>
      <c r="D1433" s="341">
        <f t="shared" ref="D1433:D1436" si="57">C1433</f>
        <v>0</v>
      </c>
    </row>
    <row r="1434" spans="1:4" ht="15">
      <c r="A1434" t="s">
        <v>2511</v>
      </c>
      <c r="B1434" s="344" t="s">
        <v>2512</v>
      </c>
      <c r="C1434">
        <f>Amenities!B65</f>
        <v>0</v>
      </c>
      <c r="D1434" s="341">
        <f t="shared" si="57"/>
        <v>0</v>
      </c>
    </row>
    <row r="1435" spans="1:4" ht="15">
      <c r="A1435" t="s">
        <v>2513</v>
      </c>
      <c r="B1435" s="344" t="s">
        <v>2514</v>
      </c>
      <c r="C1435">
        <f>Amenities!B66</f>
        <v>0</v>
      </c>
      <c r="D1435" s="341">
        <f t="shared" si="57"/>
        <v>0</v>
      </c>
    </row>
    <row r="1436" spans="1:4" ht="15">
      <c r="A1436" t="s">
        <v>2515</v>
      </c>
      <c r="B1436" s="344" t="s">
        <v>2516</v>
      </c>
      <c r="C1436" s="123">
        <f>Amenities!B67</f>
        <v>0</v>
      </c>
      <c r="D1436" s="345">
        <f t="shared" si="57"/>
        <v>0</v>
      </c>
    </row>
    <row r="1437" spans="1:4" ht="15">
      <c r="A1437" t="s">
        <v>2517</v>
      </c>
      <c r="B1437" s="344" t="s">
        <v>663</v>
      </c>
      <c r="C1437" s="342">
        <f>Amenities!B69</f>
        <v>0</v>
      </c>
      <c r="D1437" s="343" t="b">
        <f t="shared" si="56"/>
        <v>0</v>
      </c>
    </row>
    <row r="1438" spans="1:4" ht="15">
      <c r="A1438" t="s">
        <v>2518</v>
      </c>
      <c r="B1438" s="344" t="s">
        <v>664</v>
      </c>
      <c r="C1438" s="342">
        <f>Amenities!B70</f>
        <v>0</v>
      </c>
      <c r="D1438" s="343" t="b">
        <f t="shared" si="56"/>
        <v>0</v>
      </c>
    </row>
    <row r="1439" spans="1:4" ht="15">
      <c r="A1439" t="s">
        <v>2519</v>
      </c>
      <c r="B1439" s="438" t="s">
        <v>665</v>
      </c>
      <c r="C1439" s="346">
        <f>Amenities!B71</f>
        <v>0</v>
      </c>
      <c r="D1439" s="347">
        <f>C1439</f>
        <v>0</v>
      </c>
    </row>
    <row r="1440" spans="1:4" ht="15">
      <c r="A1440" t="s">
        <v>2520</v>
      </c>
      <c r="B1440" s="344" t="s">
        <v>667</v>
      </c>
      <c r="C1440">
        <f>Amenities!B73</f>
        <v>0</v>
      </c>
      <c r="D1440" s="341" t="b">
        <f t="shared" si="56"/>
        <v>0</v>
      </c>
    </row>
    <row r="1441" spans="1:5" ht="15">
      <c r="A1441" t="s">
        <v>2521</v>
      </c>
      <c r="B1441" s="344" t="s">
        <v>668</v>
      </c>
      <c r="C1441">
        <f>Amenities!B74</f>
        <v>0</v>
      </c>
      <c r="D1441" s="341" t="b">
        <f t="shared" si="56"/>
        <v>0</v>
      </c>
    </row>
    <row r="1442" spans="1:5" ht="21" customHeight="1">
      <c r="A1442" t="s">
        <v>2522</v>
      </c>
      <c r="B1442" s="437" t="s">
        <v>665</v>
      </c>
      <c r="C1442" s="342">
        <f>Amenities!B75</f>
        <v>0</v>
      </c>
      <c r="D1442" s="343">
        <f>C1442</f>
        <v>0</v>
      </c>
    </row>
    <row r="1443" spans="1:5" ht="21" customHeight="1">
      <c r="A1443" s="319"/>
      <c r="B1443" s="481" t="s">
        <v>669</v>
      </c>
      <c r="C1443" s="581">
        <f>Amenities!B76</f>
        <v>0</v>
      </c>
      <c r="D1443" s="582" t="b">
        <f>IF(C1443="YES",TRUE, IF(C1443="No",FALSE))</f>
        <v>0</v>
      </c>
      <c r="E1443" s="319"/>
    </row>
    <row r="1444" spans="1:5" ht="16.5" customHeight="1">
      <c r="A1444" s="319"/>
      <c r="B1444" s="415" t="s">
        <v>670</v>
      </c>
      <c r="C1444" s="581">
        <f>Amenities!B77</f>
        <v>0</v>
      </c>
      <c r="D1444" s="582">
        <f>Amenities!B77</f>
        <v>0</v>
      </c>
      <c r="E1444" s="319"/>
    </row>
    <row r="1445" spans="1:5" ht="30.75" customHeight="1">
      <c r="B1445" s="501" t="str">
        <f>Amenities!A78</f>
        <v>Number of spaces for commerical or nonresidential</v>
      </c>
      <c r="C1445" s="342">
        <f>Amenities!B78</f>
        <v>0</v>
      </c>
      <c r="D1445" s="343">
        <f>Amenities!B78</f>
        <v>0</v>
      </c>
      <c r="E1445" s="319"/>
    </row>
    <row r="1446" spans="1:5" ht="21" customHeight="1">
      <c r="B1446" s="17" t="str">
        <f>Amenities!A79</f>
        <v>Transit Passes</v>
      </c>
      <c r="C1446" s="342">
        <f>Amenities!B79</f>
        <v>0</v>
      </c>
      <c r="D1446" s="343" t="b">
        <f>IF(C1446="YES",TRUE, IF(C1446="No",FALSE))</f>
        <v>0</v>
      </c>
      <c r="E1446" s="319"/>
    </row>
    <row r="1447" spans="1:5" ht="21" customHeight="1">
      <c r="B1447" s="17" t="str">
        <f>Amenities!A80</f>
        <v>Number of Transit Passes</v>
      </c>
      <c r="C1447" s="342">
        <f>Amenities!B79</f>
        <v>0</v>
      </c>
      <c r="D1447" s="343">
        <f>Amenities!B79</f>
        <v>0</v>
      </c>
      <c r="E1447" s="319"/>
    </row>
    <row r="1448" spans="1:5" ht="21" customHeight="1">
      <c r="A1448" s="319"/>
      <c r="B1448" s="415" t="str">
        <f>Amenities!A81</f>
        <v>Number of Transit Passes Budgeted for number of years</v>
      </c>
      <c r="C1448" s="581">
        <f>Amenities!B80</f>
        <v>0</v>
      </c>
      <c r="D1448" s="343">
        <f>Amenities!B80</f>
        <v>0</v>
      </c>
      <c r="E1448" s="319"/>
    </row>
    <row r="1449" spans="1:5" ht="15">
      <c r="A1449" t="s">
        <v>2523</v>
      </c>
      <c r="B1449" s="344" t="s">
        <v>676</v>
      </c>
      <c r="C1449" s="342">
        <f>Amenities!B86</f>
        <v>0</v>
      </c>
      <c r="D1449" s="343" t="b">
        <f t="shared" si="56"/>
        <v>0</v>
      </c>
      <c r="E1449" s="319"/>
    </row>
    <row r="1450" spans="1:5" ht="15">
      <c r="A1450" t="s">
        <v>2524</v>
      </c>
      <c r="B1450" s="344" t="s">
        <v>677</v>
      </c>
      <c r="C1450" s="342">
        <f>Amenities!B87</f>
        <v>0</v>
      </c>
      <c r="D1450" s="343" t="b">
        <f t="shared" si="56"/>
        <v>0</v>
      </c>
    </row>
    <row r="1451" spans="1:5" ht="15">
      <c r="A1451" t="s">
        <v>2525</v>
      </c>
      <c r="B1451" s="344" t="s">
        <v>678</v>
      </c>
      <c r="C1451" s="342">
        <f>Amenities!B88</f>
        <v>0</v>
      </c>
      <c r="D1451" s="343" t="b">
        <f t="shared" si="56"/>
        <v>0</v>
      </c>
    </row>
    <row r="1452" spans="1:5" ht="15">
      <c r="A1452" t="s">
        <v>2526</v>
      </c>
      <c r="B1452" s="344" t="s">
        <v>679</v>
      </c>
      <c r="C1452" s="342">
        <f>Amenities!B89</f>
        <v>0</v>
      </c>
      <c r="D1452" s="343" t="b">
        <f t="shared" si="56"/>
        <v>0</v>
      </c>
    </row>
    <row r="1453" spans="1:5" ht="15">
      <c r="B1453" s="344" t="s">
        <v>680</v>
      </c>
      <c r="C1453" s="342"/>
      <c r="D1453" s="343"/>
    </row>
    <row r="1454" spans="1:5" ht="15">
      <c r="B1454" s="344" t="s">
        <v>2527</v>
      </c>
      <c r="C1454" s="342">
        <f>Amenities!B91</f>
        <v>0</v>
      </c>
      <c r="D1454" s="343"/>
    </row>
    <row r="1455" spans="1:5" ht="15">
      <c r="B1455" s="344" t="s">
        <v>2528</v>
      </c>
      <c r="C1455" s="342">
        <f>Amenities!B92</f>
        <v>0</v>
      </c>
      <c r="D1455" s="343"/>
    </row>
    <row r="1456" spans="1:5" ht="15">
      <c r="B1456" s="344" t="s">
        <v>2529</v>
      </c>
      <c r="D1456" s="341"/>
    </row>
    <row r="1457" spans="1:4" ht="15">
      <c r="A1457" t="s">
        <v>2530</v>
      </c>
      <c r="B1457" s="344" t="s">
        <v>683</v>
      </c>
      <c r="C1457" s="342" t="e">
        <f>Amenities!#REF!</f>
        <v>#REF!</v>
      </c>
      <c r="D1457" s="343" t="e">
        <f>C1457</f>
        <v>#REF!</v>
      </c>
    </row>
    <row r="1458" spans="1:4" ht="15">
      <c r="A1458" t="s">
        <v>2531</v>
      </c>
      <c r="B1458" s="344" t="s">
        <v>684</v>
      </c>
      <c r="C1458" s="342" t="e">
        <f>Amenities!#REF!</f>
        <v>#REF!</v>
      </c>
      <c r="D1458" s="343" t="e">
        <f>C1458</f>
        <v>#REF!</v>
      </c>
    </row>
    <row r="1459" spans="1:4" ht="15">
      <c r="B1459" s="344" t="s">
        <v>2532</v>
      </c>
      <c r="D1459" s="341"/>
    </row>
    <row r="1460" spans="1:4" ht="15">
      <c r="A1460" t="s">
        <v>2533</v>
      </c>
      <c r="B1460" s="344" t="s">
        <v>577</v>
      </c>
      <c r="C1460" s="342">
        <f>Amenities!B96</f>
        <v>0</v>
      </c>
      <c r="D1460" s="343" t="b">
        <f t="shared" ref="D1460:D1474" si="58">IF(C1460="YES",TRUE, IF(C1460="No",FALSE))</f>
        <v>0</v>
      </c>
    </row>
    <row r="1461" spans="1:4" ht="15">
      <c r="A1461" t="s">
        <v>2534</v>
      </c>
      <c r="B1461" s="344" t="s">
        <v>574</v>
      </c>
      <c r="C1461" s="342">
        <f>Amenities!B97</f>
        <v>0</v>
      </c>
      <c r="D1461" s="343" t="b">
        <f t="shared" si="58"/>
        <v>0</v>
      </c>
    </row>
    <row r="1462" spans="1:4" ht="15">
      <c r="A1462" t="s">
        <v>2535</v>
      </c>
      <c r="B1462" s="344" t="s">
        <v>575</v>
      </c>
      <c r="C1462" s="342">
        <f>Amenities!B98</f>
        <v>0</v>
      </c>
      <c r="D1462" s="343" t="b">
        <f t="shared" si="58"/>
        <v>0</v>
      </c>
    </row>
    <row r="1463" spans="1:4" ht="15">
      <c r="A1463" t="s">
        <v>2536</v>
      </c>
      <c r="B1463" s="344" t="s">
        <v>576</v>
      </c>
      <c r="C1463" s="342">
        <f>Amenities!B99</f>
        <v>0</v>
      </c>
      <c r="D1463" s="343" t="b">
        <f t="shared" si="58"/>
        <v>0</v>
      </c>
    </row>
    <row r="1464" spans="1:4" ht="15">
      <c r="A1464" t="s">
        <v>2537</v>
      </c>
      <c r="B1464" s="344" t="s">
        <v>578</v>
      </c>
      <c r="C1464" s="342">
        <f>Amenities!B100</f>
        <v>0</v>
      </c>
      <c r="D1464" s="343" t="b">
        <f t="shared" si="58"/>
        <v>0</v>
      </c>
    </row>
    <row r="1465" spans="1:4" ht="15">
      <c r="A1465" t="s">
        <v>2538</v>
      </c>
      <c r="B1465" s="344" t="s">
        <v>688</v>
      </c>
      <c r="C1465" s="342">
        <f>Amenities!B101</f>
        <v>0</v>
      </c>
      <c r="D1465" s="343" t="b">
        <f t="shared" si="58"/>
        <v>0</v>
      </c>
    </row>
    <row r="1466" spans="1:4" s="319" customFormat="1" ht="15">
      <c r="B1466" s="642" t="str">
        <f>Amenities!A102</f>
        <v>WiFi in Unit</v>
      </c>
      <c r="C1466" s="581">
        <f>Amenities!B102</f>
        <v>0</v>
      </c>
      <c r="D1466" s="582" t="b">
        <f t="shared" si="58"/>
        <v>0</v>
      </c>
    </row>
    <row r="1467" spans="1:4" ht="15">
      <c r="B1467" s="344" t="s">
        <v>2539</v>
      </c>
      <c r="D1467" s="341"/>
    </row>
    <row r="1468" spans="1:4" ht="15">
      <c r="A1468" t="s">
        <v>2540</v>
      </c>
      <c r="B1468" s="344" t="s">
        <v>577</v>
      </c>
      <c r="C1468" s="342">
        <f>Amenities!B104</f>
        <v>0</v>
      </c>
      <c r="D1468" s="343" t="b">
        <f t="shared" si="58"/>
        <v>0</v>
      </c>
    </row>
    <row r="1469" spans="1:4" ht="15">
      <c r="A1469" t="s">
        <v>2541</v>
      </c>
      <c r="B1469" s="344" t="s">
        <v>574</v>
      </c>
      <c r="C1469" s="342">
        <f>Amenities!B105</f>
        <v>0</v>
      </c>
      <c r="D1469" s="343" t="b">
        <f t="shared" si="58"/>
        <v>0</v>
      </c>
    </row>
    <row r="1470" spans="1:4" ht="15">
      <c r="A1470" t="s">
        <v>2542</v>
      </c>
      <c r="B1470" s="344" t="s">
        <v>575</v>
      </c>
      <c r="C1470" s="342">
        <f>Amenities!B106</f>
        <v>0</v>
      </c>
      <c r="D1470" s="343" t="b">
        <f t="shared" si="58"/>
        <v>0</v>
      </c>
    </row>
    <row r="1471" spans="1:4" ht="15">
      <c r="A1471" t="s">
        <v>2543</v>
      </c>
      <c r="B1471" s="344" t="s">
        <v>576</v>
      </c>
      <c r="C1471" s="342">
        <f>Amenities!B107</f>
        <v>0</v>
      </c>
      <c r="D1471" s="343" t="b">
        <f t="shared" si="58"/>
        <v>0</v>
      </c>
    </row>
    <row r="1472" spans="1:4" ht="15">
      <c r="A1472" t="s">
        <v>2544</v>
      </c>
      <c r="B1472" s="344" t="s">
        <v>578</v>
      </c>
      <c r="C1472" s="342">
        <f>Amenities!B108</f>
        <v>0</v>
      </c>
      <c r="D1472" s="343" t="b">
        <f t="shared" si="58"/>
        <v>0</v>
      </c>
    </row>
    <row r="1473" spans="1:5" ht="15">
      <c r="A1473" t="s">
        <v>2545</v>
      </c>
      <c r="B1473" s="344" t="s">
        <v>580</v>
      </c>
      <c r="C1473" s="342">
        <f>Amenities!B109</f>
        <v>0</v>
      </c>
      <c r="D1473" s="343" t="b">
        <f t="shared" si="58"/>
        <v>0</v>
      </c>
    </row>
    <row r="1474" spans="1:5" s="319" customFormat="1" ht="15">
      <c r="B1474" s="642" t="str">
        <f>Amenities!A110</f>
        <v>WiFi in Unit</v>
      </c>
      <c r="C1474" s="581">
        <f>Amenities!B110</f>
        <v>0</v>
      </c>
      <c r="D1474" s="582" t="b">
        <f t="shared" si="58"/>
        <v>0</v>
      </c>
      <c r="E1474" s="319" t="s">
        <v>2546</v>
      </c>
    </row>
  </sheetData>
  <sheetProtection algorithmName="SHA-512" hashValue="6AqkC2hgZjB//6soAU/1vnKEh27lvOXYAala3EXtqVIJta12tPmRbSIZqBjr6Fd7drOHlqmF6tJp3D/nL/+/NQ==" saltValue="7bxjJ2ezXEyG2mntO5KE3w==" spinCount="100000" sheet="1" objects="1" scenarios="1"/>
  <mergeCells count="1">
    <mergeCell ref="F302:H302"/>
  </mergeCells>
  <phoneticPr fontId="89" type="noConversion"/>
  <dataValidations count="27">
    <dataValidation type="list" showInputMessage="1" showErrorMessage="1" sqref="K729:K742" xr:uid="{2094F591-A022-4C24-9FEA-0EFE84AD054C}">
      <formula1>SD_D_PL_DealEntityRole_Name</formula1>
    </dataValidation>
    <dataValidation type="list" errorStyle="warning" showInputMessage="1" showErrorMessage="1" errorTitle="SmartDox" error="The value you entered for the dropdown is not valid." sqref="C920:C929" xr:uid="{72048DC3-F595-47A4-8D5C-AEF10CBD0114}">
      <formula1>SD_D_PL_TCDealFeeType_Name</formula1>
    </dataValidation>
    <dataValidation type="list" errorStyle="warning" showInputMessage="1" showErrorMessage="1" errorTitle="SmartDox" error="The value you entered for the dropdown is not valid." sqref="C236 F708:F723 C570" xr:uid="{675824FA-07F6-4967-A0AE-2BC99803A5E4}">
      <formula1>SD_D_PL_State_Name</formula1>
    </dataValidation>
    <dataValidation type="list" errorStyle="warning" showInputMessage="1" showErrorMessage="1" errorTitle="SmartDox" error="The value you entered for the dropdown is not valid." sqref="C242" xr:uid="{782E2C79-4C0C-497A-86A4-BA1F244F6D3C}">
      <formula1>SD_D_PL_Jurisdiction_Name</formula1>
    </dataValidation>
    <dataValidation type="list" errorStyle="warning" showInputMessage="1" showErrorMessage="1" errorTitle="SmartDox" error="The value you entered for the dropdown is not valid." sqref="C298" xr:uid="{17A98B17-408B-4D43-84E9-D12D9FAE2241}">
      <formula1>SD_D_PL_TypeofAllocationRequested_Name</formula1>
    </dataValidation>
    <dataValidation type="list" errorStyle="warning" showInputMessage="1" showErrorMessage="1" errorTitle="SmartDox" error="The value you entered for the dropdown is not valid." sqref="C304" xr:uid="{3555CFAD-52C9-4A7A-A9AB-8E8FC0212CB1}">
      <formula1>SD_D_PL_TargetType_Name</formula1>
    </dataValidation>
    <dataValidation type="list" errorStyle="warning" showInputMessage="1" showErrorMessage="1" errorTitle="SmartDox" error="The value you entered for the dropdown is not valid." sqref="C510" xr:uid="{59FF993B-5971-4194-BC75-C083702BE6AF}">
      <formula1>SD_D_PL_ExtendedUseAgreement_Name</formula1>
    </dataValidation>
    <dataValidation type="list" errorStyle="warning" showInputMessage="1" showErrorMessage="1" errorTitle="SmartDox" error="The value you entered for the dropdown is not valid." sqref="C300" xr:uid="{3F581655-B10B-44FC-A52F-91BA057C97AF}">
      <formula1>SD_D_PL_SiteControlType_Name</formula1>
    </dataValidation>
    <dataValidation type="list" errorStyle="warning" showInputMessage="1" showErrorMessage="1" errorTitle="SmartDox" error="The value you entered for the dropdown is not valid." sqref="C301" xr:uid="{B02992D5-A51A-4C07-925C-05382C44B83E}">
      <formula1>SD_D_PL_BldgAllocType_Name</formula1>
    </dataValidation>
    <dataValidation type="list" errorStyle="warning" showInputMessage="1" showErrorMessage="1" errorTitle="SmartDox" error="The value you entered for the dropdown is not valid." sqref="D939:D944" xr:uid="{1C70F994-FF07-447D-9F92-E6F23E077EF1}">
      <formula1>SD_D_PL_TCUnitType_Name</formula1>
    </dataValidation>
    <dataValidation type="list" errorStyle="warning" showInputMessage="1" showErrorMessage="1" errorTitle="SmartDox" error="The value you entered for the dropdown is not valid." sqref="C772" xr:uid="{BE6126AC-580B-4E81-B200-1AA983047494}">
      <formula1>SD_D_PL_UDF_1161_Name</formula1>
    </dataValidation>
    <dataValidation type="list" errorStyle="warning" showInputMessage="1" showErrorMessage="1" errorTitle="SmartDox" error="The value you entered for the dropdown is not valid." sqref="C292" xr:uid="{F4E53296-A9BC-4912-BBD7-41200C9FE194}">
      <formula1>SD_D_PL_UDF_651_Name</formula1>
    </dataValidation>
    <dataValidation type="list" errorStyle="warning" showInputMessage="1" showErrorMessage="1" errorTitle="SmartDox" error="The value you entered for the dropdown is not valid." sqref="C254" xr:uid="{3DF4029F-75B3-4EFE-ABC8-823211B0C1B6}">
      <formula1>SD_D_PL_UDF_699_Name</formula1>
    </dataValidation>
    <dataValidation type="list" errorStyle="warning" showInputMessage="1" showErrorMessage="1" errorTitle="SmartDox" error="The value you entered for the dropdown is not valid." sqref="C256" xr:uid="{37DC54AC-C39D-4734-94B4-F62B5F65CA64}">
      <formula1>SD_D_PL_UDF_700_Name</formula1>
    </dataValidation>
    <dataValidation type="list" errorStyle="warning" showInputMessage="1" showErrorMessage="1" errorTitle="SmartDox" error="The value you entered for the dropdown is not valid." sqref="C263" xr:uid="{54DA54F1-3E7D-4DD1-BFA2-6486B8077506}">
      <formula1>SD_D_PL_UDF_701_Name</formula1>
    </dataValidation>
    <dataValidation type="list" errorStyle="warning" showInputMessage="1" showErrorMessage="1" errorTitle="SmartDox" error="The value you entered for the dropdown is not valid." sqref="C264" xr:uid="{B8728517-692D-4C77-B007-76BED87F2872}">
      <formula1>SD_D_PL_UDF_703_Name</formula1>
    </dataValidation>
    <dataValidation type="list" errorStyle="warning" showInputMessage="1" showErrorMessage="1" errorTitle="SmartDox" error="The value you entered for the dropdown is not valid." sqref="C255" xr:uid="{D323B261-DB38-49CB-ACB3-80B707F0E7B8}">
      <formula1>SD_D_PL_UDF_880_Name</formula1>
    </dataValidation>
    <dataValidation type="list" errorStyle="warning" showInputMessage="1" showErrorMessage="1" errorTitle="SmartDox" error="The value you entered for the dropdown is not valid." sqref="C257" xr:uid="{790A5C09-81A4-4250-82BA-B47D76EFB285}">
      <formula1>SD_D_PL_UDF_882_Name</formula1>
    </dataValidation>
    <dataValidation type="list" errorStyle="warning" showInputMessage="1" showErrorMessage="1" errorTitle="SmartDox" error="The value you entered for the dropdown is not valid." sqref="C259" xr:uid="{A9931DDC-A7ED-4B60-9CC7-4E7E3FCE553C}">
      <formula1>SD_D_PL_UDF_883_Name</formula1>
    </dataValidation>
    <dataValidation type="list" errorStyle="warning" showInputMessage="1" showErrorMessage="1" errorTitle="SmartDox" error="The value you entered for the dropdown is not valid." sqref="C260" xr:uid="{C75521F2-3E6B-407D-917D-6CD1BB77CBA1}">
      <formula1>SD_D_PL_UDF_884_Name</formula1>
    </dataValidation>
    <dataValidation type="list" errorStyle="warning" showInputMessage="1" showErrorMessage="1" errorTitle="SmartDox" error="The value you entered for the dropdown is not valid." sqref="C258" xr:uid="{7FE49DAD-9720-47FF-AFC0-C5A82FC710C4}">
      <formula1>SD_D_PL_UDF_910_Name</formula1>
    </dataValidation>
    <dataValidation type="list" errorStyle="warning" showInputMessage="1" showErrorMessage="1" errorTitle="SmartDox" error="The value you entered for the dropdown is not valid." sqref="I866:I874 E890:E897" xr:uid="{F83B9522-916F-4F82-9188-122BCA298CCE}">
      <formula1>SD_D_PL_FinancingType_Name</formula1>
    </dataValidation>
    <dataValidation type="list" errorStyle="warning" showInputMessage="1" showErrorMessage="1" errorTitle="SmartDox" error="The value you entered for the dropdown is not valid." sqref="C465 C486 C483 C480 C477 C474 C471 C468" xr:uid="{A97C612E-233A-4418-B929-3E511A1EA196}">
      <formula1>SD_D_PL_IssuingAuthority_Name</formula1>
    </dataValidation>
    <dataValidation type="list" errorStyle="warning" showInputMessage="1" showErrorMessage="1" errorTitle="SmartDox" error="The value you entered for the dropdown is not valid." sqref="C1016:C1075" xr:uid="{9086392F-7A7C-4497-B7F3-E5CC397DF90B}">
      <formula1>SD_D_PL_IncomeTarget_Name</formula1>
    </dataValidation>
    <dataValidation type="list" errorStyle="warning" showInputMessage="1" showErrorMessage="1" errorTitle="SmartDox" error="The value you entered for the dropdown is not valid." sqref="D1016:D1075" xr:uid="{F8A42C95-D72F-4988-85C8-E757F23F295D}">
      <formula1>SD_D_PL_TCUnitMixType_Name</formula1>
    </dataValidation>
    <dataValidation type="list" errorStyle="warning" showInputMessage="1" showErrorMessage="1" errorTitle="SmartDox" error="The value you entered for the dropdown is not valid." sqref="K708:K723" xr:uid="{C6321479-74EE-4F20-9878-20F66984FBC8}">
      <formula1>SD_D_PL_EntityCompanyOrIndividual_Name</formula1>
    </dataValidation>
    <dataValidation type="list" errorStyle="warning" showInputMessage="1" showErrorMessage="1" errorTitle="SmartDox" error="The value you entered for the dropdown is not valid." sqref="J708:J723" xr:uid="{5AD8C1CB-3192-487C-A79D-13C1ADFA5710}">
      <formula1>SD_D_PL_DealEntityRole_Name</formula1>
    </dataValidation>
  </dataValidations>
  <pageMargins left="0.7" right="0.7" top="0.75" bottom="0.75" header="0.3" footer="0.3"/>
  <pageSetup orientation="portrait" r:id="rId1"/>
  <legacyDrawing r:id="rId2"/>
  <tableParts count="1">
    <tablePart r:id="rId3"/>
  </tablePar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theme="1"/>
  </sheetPr>
  <dimension ref="A1:AT999"/>
  <sheetViews>
    <sheetView zoomScale="130" zoomScaleNormal="130" workbookViewId="0"/>
  </sheetViews>
  <sheetFormatPr defaultRowHeight="14.4"/>
  <cols>
    <col min="1" max="1" width="35.109375" customWidth="1"/>
    <col min="2" max="2" width="22.5546875" customWidth="1"/>
    <col min="3" max="3" width="19.109375" customWidth="1"/>
    <col min="4" max="4" width="15" customWidth="1"/>
    <col min="5" max="5" width="14.44140625" customWidth="1"/>
    <col min="6" max="6" width="11.6640625" customWidth="1"/>
    <col min="9" max="9" width="11" customWidth="1"/>
  </cols>
  <sheetData>
    <row r="1" spans="1:3" ht="15" thickBot="1">
      <c r="A1" s="13"/>
      <c r="C1" s="1"/>
    </row>
    <row r="2" spans="1:3" ht="15" thickBot="1">
      <c r="A2" t="s">
        <v>2867</v>
      </c>
      <c r="B2" s="50">
        <v>45658</v>
      </c>
      <c r="C2" s="1"/>
    </row>
    <row r="3" spans="1:3" ht="15" thickBot="1">
      <c r="A3" t="s">
        <v>2868</v>
      </c>
      <c r="B3" s="50">
        <v>46356</v>
      </c>
      <c r="C3" s="1"/>
    </row>
    <row r="4" spans="1:3">
      <c r="A4" s="13"/>
      <c r="C4" s="1"/>
    </row>
    <row r="5" spans="1:3" ht="15" thickBot="1">
      <c r="A5" s="13"/>
      <c r="C5" s="1"/>
    </row>
    <row r="6" spans="1:3" ht="15" thickBot="1">
      <c r="A6" s="9" t="s">
        <v>2869</v>
      </c>
      <c r="B6" s="51">
        <v>0</v>
      </c>
    </row>
    <row r="7" spans="1:3" ht="29.4" thickBot="1">
      <c r="A7" s="9" t="s">
        <v>2870</v>
      </c>
      <c r="B7" s="51">
        <v>300</v>
      </c>
    </row>
    <row r="8" spans="1:3" ht="15" thickBot="1">
      <c r="A8" t="s">
        <v>2871</v>
      </c>
      <c r="B8" s="51">
        <v>4500</v>
      </c>
    </row>
    <row r="9" spans="1:3" ht="15" thickBot="1">
      <c r="A9" t="s">
        <v>2872</v>
      </c>
      <c r="B9" s="51">
        <v>1.1499999999999999</v>
      </c>
    </row>
    <row r="10" spans="1:3" ht="15" thickBot="1">
      <c r="A10" t="s">
        <v>2873</v>
      </c>
      <c r="B10" s="51">
        <v>130</v>
      </c>
    </row>
    <row r="11" spans="1:3" ht="15" thickBot="1">
      <c r="A11" s="9" t="s">
        <v>4081</v>
      </c>
      <c r="B11" s="51">
        <v>95</v>
      </c>
    </row>
    <row r="12" spans="1:3" ht="15" thickBot="1">
      <c r="A12" s="9" t="s">
        <v>4053</v>
      </c>
      <c r="B12" s="51">
        <v>115</v>
      </c>
    </row>
    <row r="13" spans="1:3" ht="15" thickBot="1">
      <c r="A13" s="14"/>
    </row>
    <row r="14" spans="1:3" ht="15" thickBot="1">
      <c r="A14" s="14" t="s">
        <v>2874</v>
      </c>
      <c r="B14" s="57">
        <f>C14</f>
        <v>0</v>
      </c>
      <c r="C14">
        <f>IF(ISNA(MATCH(Application!$B$10,Tax_Credit_Type_Table[Type Of Tax Credit],0)), 0,INDEX(Tax_Credit_Type_Table[9% Max], MATCH(Application!$B$10,Tax_Credit_Type_Table[Type Of Tax Credit],0), 1))</f>
        <v>0</v>
      </c>
    </row>
    <row r="15" spans="1:3" ht="15" thickBot="1">
      <c r="A15" s="14" t="s">
        <v>2875</v>
      </c>
      <c r="B15" s="57">
        <f>C15</f>
        <v>0</v>
      </c>
      <c r="C15">
        <f>IF(ISNA(MATCH(Application!$B$10,Tax_Credit_Type_Table[Type Of Tax Credit],0)), 0,INDEX(Tax_Credit_Type_Table[State Max], MATCH(Application!$B$10,Tax_Credit_Type_Table[Type Of Tax Credit],0), 1))</f>
        <v>0</v>
      </c>
    </row>
    <row r="16" spans="1:3" ht="15" thickBot="1">
      <c r="A16" s="14" t="s">
        <v>4083</v>
      </c>
      <c r="B16" s="57">
        <v>300000</v>
      </c>
    </row>
    <row r="17" spans="1:4" ht="15" thickBot="1">
      <c r="A17" s="14"/>
      <c r="B17" s="257"/>
    </row>
    <row r="18" spans="1:4" ht="15" thickBot="1">
      <c r="A18" s="14" t="s">
        <v>2876</v>
      </c>
      <c r="B18" s="57" t="b">
        <v>1</v>
      </c>
    </row>
    <row r="19" spans="1:4" ht="15" thickBot="1">
      <c r="A19" s="14" t="s">
        <v>2877</v>
      </c>
      <c r="B19" s="57" t="b">
        <v>1</v>
      </c>
    </row>
    <row r="20" spans="1:4" ht="15" thickBot="1">
      <c r="A20" s="14" t="s">
        <v>2878</v>
      </c>
      <c r="B20" s="57" t="b">
        <v>1</v>
      </c>
    </row>
    <row r="21" spans="1:4" ht="15" thickBot="1">
      <c r="A21" s="14" t="s">
        <v>4091</v>
      </c>
      <c r="B21" s="57"/>
      <c r="C21" t="s">
        <v>2879</v>
      </c>
    </row>
    <row r="22" spans="1:4" ht="15" thickBot="1">
      <c r="A22" s="608" t="s">
        <v>4092</v>
      </c>
      <c r="B22" s="57" t="str">
        <f>IF(AND(Calculations!$B$6, Calculations!$B$10), Admin!C22, "")</f>
        <v/>
      </c>
      <c r="C22">
        <v>500000</v>
      </c>
      <c r="D22" s="608"/>
    </row>
    <row r="23" spans="1:4" ht="15" thickBot="1">
      <c r="A23" s="608" t="s">
        <v>4088</v>
      </c>
      <c r="B23" s="57">
        <f>Calculations!H523</f>
        <v>0</v>
      </c>
      <c r="C23">
        <f>Calculations!H523</f>
        <v>0</v>
      </c>
      <c r="D23" s="608"/>
    </row>
    <row r="24" spans="1:4" ht="15" thickBot="1">
      <c r="A24" s="608" t="s">
        <v>4097</v>
      </c>
      <c r="B24" s="57" t="str">
        <f>IF(AND(Calculations!$B$6, Calculations!$B$10), Calculations!B631, "")</f>
        <v/>
      </c>
      <c r="D24" s="608"/>
    </row>
    <row r="25" spans="1:4" ht="15" thickBot="1">
      <c r="A25" s="608" t="s">
        <v>4098</v>
      </c>
      <c r="B25" s="57" t="str">
        <f>IF(AND(Calculations!$B$6, Calculations!$B$10), Calculations!C631, "")</f>
        <v/>
      </c>
      <c r="D25" s="608"/>
    </row>
    <row r="26" spans="1:4" ht="15" thickBot="1">
      <c r="A26" s="14" t="s">
        <v>2741</v>
      </c>
      <c r="B26" s="57">
        <v>10000</v>
      </c>
    </row>
    <row r="27" spans="1:4" ht="29.4" thickBot="1">
      <c r="A27" s="617" t="s">
        <v>4059</v>
      </c>
      <c r="B27" s="57">
        <v>700000</v>
      </c>
    </row>
    <row r="28" spans="1:4" ht="15" thickBot="1">
      <c r="A28" s="14" t="s">
        <v>2880</v>
      </c>
      <c r="B28" s="57"/>
    </row>
    <row r="29" spans="1:4" ht="15" thickBot="1">
      <c r="A29" s="14" t="s">
        <v>2881</v>
      </c>
      <c r="B29" s="57"/>
    </row>
    <row r="30" spans="1:4" ht="28.2" thickBot="1">
      <c r="A30" s="616" t="s">
        <v>2882</v>
      </c>
      <c r="B30" s="57"/>
    </row>
    <row r="31" spans="1:4" ht="28.2" thickBot="1">
      <c r="A31" s="616" t="s">
        <v>2883</v>
      </c>
      <c r="B31" s="57"/>
    </row>
    <row r="32" spans="1:4" ht="15" thickBot="1">
      <c r="A32" s="617" t="s">
        <v>2779</v>
      </c>
      <c r="B32" s="57"/>
    </row>
    <row r="33" spans="1:3" ht="15" thickBot="1">
      <c r="A33" s="617" t="s">
        <v>2884</v>
      </c>
      <c r="B33" s="493"/>
      <c r="C33" t="s">
        <v>2885</v>
      </c>
    </row>
    <row r="34" spans="1:3" ht="15" thickBot="1">
      <c r="A34" s="617" t="s">
        <v>2886</v>
      </c>
      <c r="B34" s="493">
        <v>2000</v>
      </c>
    </row>
    <row r="35" spans="1:3" ht="29.4" thickBot="1">
      <c r="A35" s="617" t="s">
        <v>4060</v>
      </c>
      <c r="B35" s="493">
        <v>300000</v>
      </c>
    </row>
    <row r="36" spans="1:3">
      <c r="A36" s="617"/>
      <c r="B36" s="647"/>
    </row>
    <row r="37" spans="1:3" ht="15" thickBot="1">
      <c r="A37" s="96" t="s">
        <v>2887</v>
      </c>
    </row>
    <row r="38" spans="1:3" ht="15" thickBot="1">
      <c r="A38" t="s">
        <v>2011</v>
      </c>
      <c r="B38" s="97">
        <v>1</v>
      </c>
    </row>
    <row r="39" spans="1:3" ht="15" thickBot="1">
      <c r="A39" s="617" t="s">
        <v>4070</v>
      </c>
      <c r="B39" s="97">
        <v>3</v>
      </c>
    </row>
    <row r="40" spans="1:3" ht="15" thickBot="1">
      <c r="A40" s="617" t="s">
        <v>4071</v>
      </c>
      <c r="B40" s="97">
        <v>3</v>
      </c>
    </row>
    <row r="41" spans="1:3" ht="15" thickBot="1">
      <c r="A41" t="s">
        <v>2017</v>
      </c>
      <c r="B41" s="97">
        <v>5</v>
      </c>
    </row>
    <row r="42" spans="1:3" ht="15" thickBot="1">
      <c r="A42" t="s">
        <v>2019</v>
      </c>
      <c r="B42" s="97">
        <v>5</v>
      </c>
    </row>
    <row r="43" spans="1:3" ht="15" thickBot="1">
      <c r="A43" t="s">
        <v>2021</v>
      </c>
      <c r="B43" s="97">
        <v>5</v>
      </c>
    </row>
    <row r="44" spans="1:3" ht="15" thickBot="1">
      <c r="A44" t="s">
        <v>2023</v>
      </c>
      <c r="B44" s="97">
        <v>15</v>
      </c>
    </row>
    <row r="45" spans="1:3" ht="15" thickBot="1">
      <c r="A45" t="s">
        <v>2025</v>
      </c>
      <c r="B45" s="97">
        <v>1</v>
      </c>
    </row>
    <row r="46" spans="1:3" ht="15" thickBot="1">
      <c r="A46" t="s">
        <v>2638</v>
      </c>
      <c r="B46" s="494">
        <v>5</v>
      </c>
    </row>
    <row r="47" spans="1:3" ht="15" thickBot="1">
      <c r="A47" t="s">
        <v>4058</v>
      </c>
      <c r="B47" s="494">
        <v>2</v>
      </c>
    </row>
    <row r="48" spans="1:3" ht="15" thickBot="1">
      <c r="A48" t="s">
        <v>4112</v>
      </c>
      <c r="B48" s="494">
        <v>1</v>
      </c>
    </row>
    <row r="49" spans="1:10" ht="15" thickBot="1">
      <c r="A49" t="s">
        <v>522</v>
      </c>
      <c r="B49" s="97">
        <v>5</v>
      </c>
    </row>
    <row r="50" spans="1:10" ht="15" thickBot="1">
      <c r="A50" t="s">
        <v>2888</v>
      </c>
      <c r="B50" s="494">
        <v>15</v>
      </c>
    </row>
    <row r="51" spans="1:10" ht="15" thickBot="1">
      <c r="A51" t="s">
        <v>526</v>
      </c>
      <c r="B51" s="97">
        <v>2</v>
      </c>
    </row>
    <row r="52" spans="1:10">
      <c r="A52" s="14"/>
    </row>
    <row r="53" spans="1:10">
      <c r="A53" s="14"/>
    </row>
    <row r="54" spans="1:10" ht="15" thickBot="1">
      <c r="A54" s="96" t="s">
        <v>530</v>
      </c>
    </row>
    <row r="55" spans="1:10" ht="15" thickBot="1">
      <c r="A55" s="14" t="s">
        <v>2889</v>
      </c>
      <c r="B55" s="196">
        <v>7.0000000000000007E-2</v>
      </c>
    </row>
    <row r="56" spans="1:10" ht="29.4" thickBot="1">
      <c r="A56" s="617" t="s">
        <v>2890</v>
      </c>
      <c r="B56" s="196">
        <v>0.05</v>
      </c>
    </row>
    <row r="57" spans="1:10" ht="15" thickBot="1">
      <c r="A57" s="9" t="s">
        <v>2660</v>
      </c>
      <c r="B57" s="206">
        <v>1.02</v>
      </c>
    </row>
    <row r="58" spans="1:10" ht="15" thickBot="1">
      <c r="A58" s="9" t="s">
        <v>2661</v>
      </c>
      <c r="B58" s="206">
        <v>1.03</v>
      </c>
    </row>
    <row r="59" spans="1:10" s="319" customFormat="1" ht="15" thickBot="1">
      <c r="A59" s="9" t="s">
        <v>2891</v>
      </c>
      <c r="B59" s="196">
        <v>0.08</v>
      </c>
      <c r="C59"/>
      <c r="D59"/>
      <c r="E59"/>
      <c r="F59"/>
      <c r="G59"/>
      <c r="H59"/>
      <c r="I59"/>
      <c r="J59"/>
    </row>
    <row r="61" spans="1:10" ht="15" thickBot="1">
      <c r="A61" s="96" t="s">
        <v>1183</v>
      </c>
    </row>
    <row r="62" spans="1:10" ht="29.4" thickBot="1">
      <c r="A62" s="9" t="s">
        <v>2892</v>
      </c>
      <c r="B62" s="57">
        <v>20000</v>
      </c>
    </row>
    <row r="63" spans="1:10" ht="29.4" thickBot="1">
      <c r="A63" s="9" t="s">
        <v>2893</v>
      </c>
      <c r="B63" s="57">
        <v>5000</v>
      </c>
    </row>
    <row r="64" spans="1:10" ht="29.4" thickBot="1">
      <c r="A64" s="9" t="s">
        <v>2894</v>
      </c>
      <c r="B64" s="57">
        <v>4500</v>
      </c>
    </row>
    <row r="65" spans="1:4" ht="29.4" thickBot="1">
      <c r="A65" s="9" t="s">
        <v>4061</v>
      </c>
      <c r="B65" s="57">
        <v>300</v>
      </c>
    </row>
    <row r="66" spans="1:4" ht="15" thickBot="1">
      <c r="A66" s="9" t="s">
        <v>2895</v>
      </c>
      <c r="B66" s="57">
        <v>350</v>
      </c>
    </row>
    <row r="67" spans="1:4" ht="29.4" thickBot="1">
      <c r="A67" s="9" t="s">
        <v>2896</v>
      </c>
      <c r="B67" s="206">
        <v>0.33329999999999999</v>
      </c>
    </row>
    <row r="68" spans="1:4" ht="15" thickBot="1">
      <c r="A68" s="9"/>
    </row>
    <row r="69" spans="1:4" ht="15" thickBot="1">
      <c r="A69" s="9" t="s">
        <v>2897</v>
      </c>
      <c r="B69" s="196">
        <v>0.05</v>
      </c>
    </row>
    <row r="70" spans="1:4">
      <c r="A70" s="618"/>
    </row>
    <row r="71" spans="1:4" ht="15" thickBot="1">
      <c r="A71" s="9" t="s">
        <v>2898</v>
      </c>
      <c r="B71" t="s">
        <v>2899</v>
      </c>
      <c r="C71" t="s">
        <v>2900</v>
      </c>
    </row>
    <row r="72" spans="1:4" ht="15" thickBot="1">
      <c r="A72" t="s">
        <v>2901</v>
      </c>
      <c r="B72" s="97">
        <v>0</v>
      </c>
      <c r="C72" s="97">
        <v>30</v>
      </c>
    </row>
    <row r="73" spans="1:4" ht="15" thickBot="1">
      <c r="A73" t="s">
        <v>2902</v>
      </c>
      <c r="B73" s="97">
        <v>31</v>
      </c>
      <c r="C73" s="97">
        <v>73</v>
      </c>
    </row>
    <row r="74" spans="1:4" ht="15" thickBot="1">
      <c r="A74" t="s">
        <v>2903</v>
      </c>
      <c r="B74" s="97">
        <v>74</v>
      </c>
      <c r="C74" s="97">
        <v>9999</v>
      </c>
    </row>
    <row r="76" spans="1:4" ht="15" thickBot="1">
      <c r="A76" t="s">
        <v>2904</v>
      </c>
      <c r="B76" t="s">
        <v>2899</v>
      </c>
      <c r="C76" t="s">
        <v>2900</v>
      </c>
      <c r="D76" s="67" t="s">
        <v>2905</v>
      </c>
    </row>
    <row r="77" spans="1:4" ht="15" thickBot="1">
      <c r="A77" t="s">
        <v>2906</v>
      </c>
      <c r="B77" s="97">
        <v>0</v>
      </c>
      <c r="C77" s="97">
        <v>50</v>
      </c>
      <c r="D77" s="210">
        <v>0.15</v>
      </c>
    </row>
    <row r="78" spans="1:4" ht="15" thickBot="1">
      <c r="A78" t="s">
        <v>2907</v>
      </c>
      <c r="B78" s="97">
        <v>51</v>
      </c>
      <c r="C78" s="97">
        <v>9999</v>
      </c>
      <c r="D78" s="210">
        <v>0.12</v>
      </c>
    </row>
    <row r="79" spans="1:4" ht="15" thickBot="1"/>
    <row r="80" spans="1:4" ht="15" thickBot="1">
      <c r="A80" s="9" t="s">
        <v>2908</v>
      </c>
      <c r="B80" s="493">
        <f>Application!B85</f>
        <v>0</v>
      </c>
      <c r="C80" t="s">
        <v>2909</v>
      </c>
    </row>
    <row r="81" spans="1:9" ht="15" thickBot="1">
      <c r="A81" s="9" t="s">
        <v>2910</v>
      </c>
      <c r="B81" s="493">
        <f>Application!B87</f>
        <v>0</v>
      </c>
      <c r="C81" t="s">
        <v>2911</v>
      </c>
    </row>
    <row r="82" spans="1:9" ht="15" thickBot="1">
      <c r="A82" t="s">
        <v>2912</v>
      </c>
      <c r="B82" s="206">
        <v>1.3</v>
      </c>
    </row>
    <row r="83" spans="1:9" ht="15" thickBot="1">
      <c r="A83" t="s">
        <v>2913</v>
      </c>
      <c r="B83" s="206">
        <v>1.3</v>
      </c>
    </row>
    <row r="85" spans="1:9">
      <c r="A85" t="s">
        <v>4107</v>
      </c>
      <c r="B85" t="s">
        <v>4108</v>
      </c>
      <c r="C85" t="s">
        <v>4423</v>
      </c>
    </row>
    <row r="86" spans="1:9">
      <c r="A86" t="s">
        <v>2914</v>
      </c>
      <c r="B86" t="s">
        <v>2915</v>
      </c>
      <c r="C86" t="s">
        <v>2916</v>
      </c>
    </row>
    <row r="87" spans="1:9">
      <c r="A87" t="s">
        <v>101</v>
      </c>
      <c r="B87" s="92">
        <v>92451</v>
      </c>
      <c r="C87" s="92">
        <v>85916</v>
      </c>
      <c r="E87" s="94"/>
      <c r="F87" s="92"/>
      <c r="I87" s="92"/>
    </row>
    <row r="88" spans="1:9">
      <c r="A88" t="s">
        <v>102</v>
      </c>
      <c r="B88" s="92">
        <v>105988</v>
      </c>
      <c r="C88" s="92">
        <v>97552</v>
      </c>
      <c r="F88" s="92"/>
      <c r="I88" s="92"/>
    </row>
    <row r="89" spans="1:9">
      <c r="A89" t="s">
        <v>103</v>
      </c>
      <c r="B89" s="92">
        <v>128872</v>
      </c>
      <c r="C89" s="92">
        <v>117878</v>
      </c>
      <c r="F89" s="92"/>
      <c r="I89" s="92"/>
    </row>
    <row r="90" spans="1:9">
      <c r="A90" t="s">
        <v>104</v>
      </c>
      <c r="B90" s="92">
        <v>166717</v>
      </c>
      <c r="C90" s="92">
        <v>147960</v>
      </c>
      <c r="F90" s="92"/>
      <c r="I90" s="92"/>
    </row>
    <row r="91" spans="1:9">
      <c r="A91" t="s">
        <v>105</v>
      </c>
      <c r="B91" s="92">
        <v>183008</v>
      </c>
      <c r="C91" s="92">
        <v>167659</v>
      </c>
      <c r="F91" s="92"/>
      <c r="I91" s="92"/>
    </row>
    <row r="92" spans="1:9">
      <c r="A92" t="s">
        <v>106</v>
      </c>
      <c r="B92" s="92">
        <v>199354</v>
      </c>
      <c r="C92" s="92">
        <v>184066</v>
      </c>
      <c r="F92" s="92"/>
      <c r="I92" s="92"/>
    </row>
    <row r="94" spans="1:9">
      <c r="A94" t="s">
        <v>2917</v>
      </c>
    </row>
    <row r="95" spans="1:9">
      <c r="A95" t="s">
        <v>2728</v>
      </c>
      <c r="B95" t="s">
        <v>2647</v>
      </c>
    </row>
    <row r="96" spans="1:9">
      <c r="A96" s="73">
        <v>1</v>
      </c>
      <c r="B96">
        <v>3.6</v>
      </c>
      <c r="C96" t="s">
        <v>4105</v>
      </c>
    </row>
    <row r="97" spans="1:3">
      <c r="A97" s="73">
        <v>2</v>
      </c>
      <c r="B97">
        <v>4</v>
      </c>
      <c r="C97" t="s">
        <v>4106</v>
      </c>
    </row>
    <row r="98" spans="1:3">
      <c r="A98" s="73">
        <v>3</v>
      </c>
      <c r="B98">
        <v>3.6</v>
      </c>
      <c r="C98" t="s">
        <v>4105</v>
      </c>
    </row>
    <row r="100" spans="1:3" ht="15" thickBot="1">
      <c r="A100" s="96" t="s">
        <v>2343</v>
      </c>
    </row>
    <row r="101" spans="1:3" ht="15" thickBot="1">
      <c r="A101" t="s">
        <v>2918</v>
      </c>
      <c r="B101" s="57">
        <v>15000</v>
      </c>
    </row>
    <row r="102" spans="1:3" ht="15" thickBot="1">
      <c r="A102" s="14" t="s">
        <v>2919</v>
      </c>
      <c r="B102" s="196">
        <v>0.04</v>
      </c>
    </row>
    <row r="103" spans="1:3" ht="15" thickBot="1">
      <c r="A103" s="14" t="s">
        <v>2920</v>
      </c>
      <c r="B103" s="196">
        <v>0.01</v>
      </c>
    </row>
    <row r="104" spans="1:3" ht="15" thickBot="1">
      <c r="A104" s="617" t="s">
        <v>2921</v>
      </c>
      <c r="B104" s="196">
        <v>0.03</v>
      </c>
    </row>
    <row r="105" spans="1:3" ht="15" thickBot="1">
      <c r="A105" s="14" t="s">
        <v>2922</v>
      </c>
      <c r="B105" s="196">
        <v>0.01</v>
      </c>
    </row>
    <row r="106" spans="1:3" ht="15" thickBot="1">
      <c r="A106" t="s">
        <v>2923</v>
      </c>
      <c r="B106" s="57">
        <v>15000</v>
      </c>
    </row>
    <row r="107" spans="1:3" ht="15" thickBot="1">
      <c r="A107" t="s">
        <v>2924</v>
      </c>
      <c r="B107" s="57">
        <v>1000</v>
      </c>
    </row>
    <row r="108" spans="1:3" ht="15" thickBot="1">
      <c r="A108" s="9" t="s">
        <v>2925</v>
      </c>
      <c r="B108" s="196">
        <v>3.5000000000000003E-2</v>
      </c>
    </row>
    <row r="109" spans="1:3" ht="15" thickBot="1">
      <c r="A109" t="s">
        <v>2926</v>
      </c>
      <c r="B109" s="196">
        <v>0.01</v>
      </c>
    </row>
    <row r="110" spans="1:3" ht="15" thickBot="1">
      <c r="A110" s="9" t="s">
        <v>2927</v>
      </c>
      <c r="B110" s="57">
        <v>5000</v>
      </c>
    </row>
    <row r="111" spans="1:3" ht="15" thickBot="1">
      <c r="A111" t="s">
        <v>2928</v>
      </c>
      <c r="B111" s="196">
        <v>0.03</v>
      </c>
    </row>
    <row r="112" spans="1:3" ht="15" thickBot="1">
      <c r="A112" t="s">
        <v>2929</v>
      </c>
      <c r="B112" s="196">
        <v>0.01</v>
      </c>
    </row>
    <row r="113" spans="1:39" ht="15" thickBot="1">
      <c r="A113" t="s">
        <v>2930</v>
      </c>
      <c r="B113" s="57">
        <v>5000</v>
      </c>
    </row>
    <row r="114" spans="1:39" ht="29.4" thickBot="1">
      <c r="A114" s="9" t="s">
        <v>2931</v>
      </c>
      <c r="B114" s="57">
        <v>300</v>
      </c>
    </row>
    <row r="115" spans="1:39" ht="29.4" thickBot="1">
      <c r="A115" s="9" t="s">
        <v>2932</v>
      </c>
      <c r="B115" s="57">
        <v>500</v>
      </c>
    </row>
    <row r="116" spans="1:39" ht="15" thickBot="1">
      <c r="A116" t="s">
        <v>2353</v>
      </c>
      <c r="B116" s="493">
        <v>3000</v>
      </c>
    </row>
    <row r="117" spans="1:39" ht="15" thickBot="1">
      <c r="A117" t="s">
        <v>4072</v>
      </c>
      <c r="B117" s="493">
        <v>1000</v>
      </c>
    </row>
    <row r="118" spans="1:39" ht="28.8">
      <c r="A118" s="622" t="s">
        <v>4419</v>
      </c>
      <c r="B118" s="52" t="s">
        <v>4418</v>
      </c>
      <c r="C118" s="52"/>
      <c r="F118" s="635" t="s">
        <v>4417</v>
      </c>
      <c r="G118" s="635"/>
      <c r="H118" s="635"/>
    </row>
    <row r="119" spans="1:39" ht="72">
      <c r="A119" t="s">
        <v>240</v>
      </c>
      <c r="B119" t="s">
        <v>2728</v>
      </c>
      <c r="C119" t="s">
        <v>2933</v>
      </c>
      <c r="D119" s="9" t="s">
        <v>2934</v>
      </c>
      <c r="E119" s="9" t="s">
        <v>846</v>
      </c>
      <c r="F119" t="s">
        <v>2935</v>
      </c>
      <c r="G119" t="s">
        <v>2936</v>
      </c>
    </row>
    <row r="120" spans="1:39">
      <c r="A120" s="52" t="s">
        <v>1116</v>
      </c>
      <c r="B120">
        <v>1</v>
      </c>
      <c r="C120">
        <v>0</v>
      </c>
      <c r="D120">
        <v>12</v>
      </c>
      <c r="E120">
        <v>4</v>
      </c>
      <c r="F120" t="b">
        <v>0</v>
      </c>
      <c r="G120">
        <v>78.010000000000005</v>
      </c>
      <c r="H120">
        <v>78.02</v>
      </c>
      <c r="I120">
        <v>79</v>
      </c>
      <c r="J120">
        <v>80</v>
      </c>
      <c r="K120">
        <v>81</v>
      </c>
      <c r="L120">
        <v>83.08</v>
      </c>
      <c r="M120">
        <v>83.09</v>
      </c>
      <c r="N120">
        <v>83.55</v>
      </c>
      <c r="O120">
        <v>85.06</v>
      </c>
      <c r="P120" s="522">
        <v>85.65</v>
      </c>
      <c r="Q120">
        <v>86.03</v>
      </c>
      <c r="R120">
        <v>86.06</v>
      </c>
      <c r="S120">
        <v>87.05</v>
      </c>
      <c r="T120">
        <v>87.06</v>
      </c>
      <c r="U120">
        <v>87.09</v>
      </c>
      <c r="V120">
        <v>88.01</v>
      </c>
      <c r="W120">
        <v>88.02</v>
      </c>
      <c r="X120">
        <v>91.03</v>
      </c>
      <c r="Y120">
        <v>92.03</v>
      </c>
      <c r="Z120">
        <v>93.04</v>
      </c>
      <c r="AA120">
        <v>93.08</v>
      </c>
      <c r="AB120" s="522">
        <v>93.1</v>
      </c>
      <c r="AC120">
        <v>93.16</v>
      </c>
      <c r="AD120">
        <v>93.18</v>
      </c>
      <c r="AE120">
        <v>93.19</v>
      </c>
      <c r="AF120">
        <v>93.2</v>
      </c>
      <c r="AG120">
        <v>93.21</v>
      </c>
      <c r="AH120">
        <v>93.23</v>
      </c>
      <c r="AI120">
        <v>96.03</v>
      </c>
      <c r="AJ120">
        <v>96.04</v>
      </c>
      <c r="AK120">
        <v>96.07</v>
      </c>
      <c r="AL120">
        <v>97.51</v>
      </c>
      <c r="AM120">
        <v>150</v>
      </c>
    </row>
    <row r="121" spans="1:39">
      <c r="A121" s="409" t="s">
        <v>1117</v>
      </c>
      <c r="B121">
        <v>2</v>
      </c>
      <c r="C121">
        <v>20</v>
      </c>
      <c r="D121">
        <v>13</v>
      </c>
      <c r="E121">
        <v>2</v>
      </c>
      <c r="F121" t="b">
        <v>0</v>
      </c>
      <c r="G121">
        <v>9602.01</v>
      </c>
      <c r="H121">
        <v>9603</v>
      </c>
    </row>
    <row r="122" spans="1:39">
      <c r="A122" s="52" t="s">
        <v>1118</v>
      </c>
      <c r="B122">
        <v>1</v>
      </c>
      <c r="C122">
        <v>0</v>
      </c>
      <c r="D122">
        <v>12</v>
      </c>
      <c r="E122">
        <v>5</v>
      </c>
      <c r="F122" t="b">
        <v>0</v>
      </c>
      <c r="G122">
        <v>49.51</v>
      </c>
      <c r="I122">
        <v>55.52</v>
      </c>
      <c r="J122">
        <v>59.51</v>
      </c>
      <c r="K122">
        <v>64</v>
      </c>
      <c r="L122">
        <v>66.010000000000005</v>
      </c>
      <c r="O122">
        <v>72.010000000000005</v>
      </c>
      <c r="P122">
        <v>72.02</v>
      </c>
      <c r="Q122">
        <v>73.010000000000005</v>
      </c>
      <c r="R122">
        <v>73.02</v>
      </c>
      <c r="S122">
        <v>74</v>
      </c>
      <c r="T122">
        <v>76</v>
      </c>
      <c r="U122" s="522">
        <v>77.02</v>
      </c>
      <c r="V122">
        <v>800</v>
      </c>
      <c r="W122">
        <v>801</v>
      </c>
      <c r="X122">
        <v>806</v>
      </c>
      <c r="Y122">
        <v>807</v>
      </c>
      <c r="Z122" s="522">
        <v>808</v>
      </c>
      <c r="AA122">
        <v>810.01</v>
      </c>
      <c r="AB122">
        <v>810.02</v>
      </c>
      <c r="AC122">
        <v>811.02</v>
      </c>
      <c r="AD122">
        <v>815</v>
      </c>
      <c r="AE122">
        <v>818</v>
      </c>
      <c r="AF122">
        <v>819</v>
      </c>
      <c r="AG122">
        <v>820</v>
      </c>
      <c r="AH122">
        <v>824</v>
      </c>
      <c r="AI122">
        <v>826</v>
      </c>
      <c r="AJ122">
        <v>869</v>
      </c>
    </row>
    <row r="123" spans="1:39">
      <c r="A123" t="s">
        <v>1119</v>
      </c>
      <c r="B123">
        <v>2</v>
      </c>
      <c r="C123">
        <v>20</v>
      </c>
      <c r="D123">
        <v>12</v>
      </c>
      <c r="E123">
        <v>2</v>
      </c>
      <c r="F123" s="522" t="b">
        <v>0</v>
      </c>
    </row>
    <row r="124" spans="1:39">
      <c r="A124" s="409" t="s">
        <v>1120</v>
      </c>
      <c r="B124">
        <v>1</v>
      </c>
      <c r="C124">
        <v>20</v>
      </c>
      <c r="D124">
        <v>6</v>
      </c>
      <c r="E124">
        <v>1</v>
      </c>
      <c r="F124" t="b">
        <v>0</v>
      </c>
      <c r="G124">
        <v>9646</v>
      </c>
      <c r="H124">
        <v>9647</v>
      </c>
    </row>
    <row r="125" spans="1:39">
      <c r="A125" s="409" t="s">
        <v>1121</v>
      </c>
      <c r="B125">
        <v>1</v>
      </c>
      <c r="C125">
        <v>20</v>
      </c>
      <c r="D125">
        <v>10</v>
      </c>
      <c r="E125">
        <v>2</v>
      </c>
      <c r="F125" t="b">
        <v>0</v>
      </c>
      <c r="G125">
        <v>9667.01</v>
      </c>
      <c r="H125">
        <v>9667.02</v>
      </c>
    </row>
    <row r="126" spans="1:39">
      <c r="A126" s="52" t="s">
        <v>1122</v>
      </c>
      <c r="B126">
        <v>1</v>
      </c>
      <c r="C126">
        <v>0</v>
      </c>
      <c r="D126">
        <v>13</v>
      </c>
      <c r="E126">
        <v>4</v>
      </c>
      <c r="F126" t="b">
        <v>0</v>
      </c>
      <c r="G126">
        <v>122.01</v>
      </c>
      <c r="H126">
        <v>122.04</v>
      </c>
      <c r="I126">
        <v>122.05</v>
      </c>
      <c r="J126">
        <v>122.06</v>
      </c>
      <c r="K126">
        <v>123</v>
      </c>
      <c r="L126">
        <v>124.01</v>
      </c>
      <c r="M126">
        <v>125.07</v>
      </c>
      <c r="N126">
        <v>126.05</v>
      </c>
      <c r="O126">
        <v>126.09</v>
      </c>
      <c r="P126">
        <v>126.1</v>
      </c>
      <c r="Q126" s="635">
        <v>133.02000000000001</v>
      </c>
      <c r="R126">
        <v>133.08000000000001</v>
      </c>
      <c r="S126">
        <v>134.01</v>
      </c>
      <c r="T126">
        <v>135.03</v>
      </c>
      <c r="U126" s="635">
        <v>135.05000000000001</v>
      </c>
      <c r="V126">
        <v>608.02</v>
      </c>
    </row>
    <row r="127" spans="1:39">
      <c r="A127" t="s">
        <v>1123</v>
      </c>
      <c r="B127">
        <v>1</v>
      </c>
      <c r="C127">
        <v>0</v>
      </c>
      <c r="D127">
        <v>13</v>
      </c>
      <c r="E127">
        <v>4</v>
      </c>
      <c r="F127" t="b">
        <v>0</v>
      </c>
    </row>
    <row r="128" spans="1:39">
      <c r="A128" t="s">
        <v>1124</v>
      </c>
      <c r="B128">
        <v>2</v>
      </c>
      <c r="C128">
        <v>20</v>
      </c>
      <c r="D128">
        <v>11</v>
      </c>
      <c r="E128">
        <v>2</v>
      </c>
      <c r="F128" s="522" t="b">
        <v>0</v>
      </c>
    </row>
    <row r="129" spans="1:46">
      <c r="A129" t="s">
        <v>1125</v>
      </c>
      <c r="B129">
        <v>1</v>
      </c>
      <c r="C129">
        <v>20</v>
      </c>
      <c r="D129">
        <v>9</v>
      </c>
      <c r="E129">
        <v>1</v>
      </c>
      <c r="F129" t="b">
        <v>0</v>
      </c>
    </row>
    <row r="130" spans="1:46">
      <c r="A130" s="52" t="s">
        <v>1126</v>
      </c>
      <c r="B130">
        <v>2</v>
      </c>
      <c r="C130">
        <v>0</v>
      </c>
      <c r="D130">
        <v>14</v>
      </c>
      <c r="E130">
        <v>2</v>
      </c>
      <c r="F130" t="b">
        <v>0</v>
      </c>
      <c r="G130">
        <v>149</v>
      </c>
    </row>
    <row r="131" spans="1:46">
      <c r="A131" s="409" t="s">
        <v>1127</v>
      </c>
      <c r="B131">
        <v>2</v>
      </c>
      <c r="C131">
        <v>20</v>
      </c>
      <c r="D131">
        <v>8</v>
      </c>
      <c r="E131">
        <v>2</v>
      </c>
      <c r="F131" t="b">
        <v>0</v>
      </c>
      <c r="G131">
        <v>9748</v>
      </c>
      <c r="H131">
        <v>9749</v>
      </c>
    </row>
    <row r="132" spans="1:46">
      <c r="A132" s="409" t="s">
        <v>1128</v>
      </c>
      <c r="B132">
        <v>2</v>
      </c>
      <c r="C132">
        <v>20</v>
      </c>
      <c r="D132">
        <v>6</v>
      </c>
      <c r="E132">
        <v>1</v>
      </c>
      <c r="F132" t="b">
        <v>0</v>
      </c>
      <c r="G132">
        <v>9726</v>
      </c>
      <c r="H132">
        <v>9727</v>
      </c>
    </row>
    <row r="133" spans="1:46">
      <c r="A133" s="409" t="s">
        <v>1129</v>
      </c>
      <c r="B133">
        <v>1</v>
      </c>
      <c r="C133">
        <v>20</v>
      </c>
      <c r="D133">
        <v>10</v>
      </c>
      <c r="E133">
        <v>2</v>
      </c>
      <c r="F133" t="b">
        <v>1</v>
      </c>
      <c r="G133">
        <v>9696.01</v>
      </c>
      <c r="H133">
        <v>9696.02</v>
      </c>
    </row>
    <row r="134" spans="1:46">
      <c r="A134" t="s">
        <v>1130</v>
      </c>
      <c r="B134">
        <v>1</v>
      </c>
      <c r="C134">
        <v>20</v>
      </c>
      <c r="D134">
        <v>8</v>
      </c>
      <c r="E134">
        <v>1</v>
      </c>
      <c r="F134" t="b">
        <v>0</v>
      </c>
    </row>
    <row r="135" spans="1:46">
      <c r="A135" s="409" t="s">
        <v>1131</v>
      </c>
      <c r="B135">
        <v>3</v>
      </c>
      <c r="C135">
        <v>20</v>
      </c>
      <c r="D135">
        <v>12</v>
      </c>
      <c r="E135">
        <v>2</v>
      </c>
      <c r="F135" t="b">
        <v>0</v>
      </c>
      <c r="G135">
        <v>9648</v>
      </c>
      <c r="H135">
        <v>9652.01</v>
      </c>
    </row>
    <row r="136" spans="1:46">
      <c r="A136" s="52" t="s">
        <v>2937</v>
      </c>
      <c r="B136">
        <v>1</v>
      </c>
      <c r="C136">
        <v>0</v>
      </c>
      <c r="D136">
        <v>11</v>
      </c>
      <c r="E136">
        <v>6</v>
      </c>
      <c r="F136" t="b">
        <v>0</v>
      </c>
      <c r="G136">
        <v>8</v>
      </c>
      <c r="H136">
        <v>9.02</v>
      </c>
      <c r="I136">
        <v>9.0299999999999994</v>
      </c>
      <c r="J136">
        <v>9.0399999999999991</v>
      </c>
      <c r="K136">
        <v>10</v>
      </c>
      <c r="L136">
        <v>13.02</v>
      </c>
      <c r="M136">
        <v>14.01</v>
      </c>
      <c r="N136">
        <v>14.02</v>
      </c>
      <c r="O136">
        <v>15</v>
      </c>
      <c r="P136">
        <v>18</v>
      </c>
      <c r="Q136">
        <v>19.010000000000002</v>
      </c>
      <c r="R136">
        <v>26.04</v>
      </c>
      <c r="S136">
        <v>27.04</v>
      </c>
      <c r="T136">
        <v>35.01</v>
      </c>
      <c r="U136">
        <v>35.020000000000003</v>
      </c>
      <c r="V136" s="522">
        <v>40.06</v>
      </c>
      <c r="W136">
        <v>41.01</v>
      </c>
      <c r="X136">
        <v>43.07</v>
      </c>
      <c r="Y136">
        <v>44.04</v>
      </c>
      <c r="Z136">
        <v>45.03</v>
      </c>
      <c r="AA136">
        <v>45.04</v>
      </c>
      <c r="AB136">
        <v>45.05</v>
      </c>
      <c r="AC136">
        <v>45.06</v>
      </c>
      <c r="AD136">
        <v>46.02</v>
      </c>
      <c r="AE136">
        <v>46.03</v>
      </c>
      <c r="AF136">
        <v>50.03</v>
      </c>
      <c r="AG136">
        <v>50.04</v>
      </c>
      <c r="AH136">
        <v>68.14</v>
      </c>
      <c r="AI136">
        <v>68.16</v>
      </c>
      <c r="AJ136">
        <v>69.02</v>
      </c>
      <c r="AK136">
        <v>70.06</v>
      </c>
      <c r="AL136">
        <v>70.37</v>
      </c>
      <c r="AM136">
        <v>70.900000000000006</v>
      </c>
      <c r="AN136">
        <v>70.91</v>
      </c>
      <c r="AO136">
        <v>83.04</v>
      </c>
      <c r="AP136">
        <v>83.05</v>
      </c>
      <c r="AQ136">
        <v>83.06</v>
      </c>
      <c r="AR136" s="522">
        <v>119.02</v>
      </c>
      <c r="AS136">
        <v>153</v>
      </c>
      <c r="AT136">
        <v>155</v>
      </c>
    </row>
    <row r="137" spans="1:46">
      <c r="A137" t="s">
        <v>1133</v>
      </c>
      <c r="B137">
        <v>3</v>
      </c>
      <c r="C137">
        <v>20</v>
      </c>
      <c r="D137">
        <v>11</v>
      </c>
      <c r="E137">
        <v>1</v>
      </c>
      <c r="F137" t="b">
        <v>0</v>
      </c>
    </row>
    <row r="138" spans="1:46">
      <c r="A138" t="s">
        <v>1134</v>
      </c>
      <c r="B138">
        <v>1</v>
      </c>
      <c r="C138">
        <v>0</v>
      </c>
      <c r="D138">
        <v>12</v>
      </c>
      <c r="E138">
        <v>2</v>
      </c>
      <c r="F138" t="b">
        <v>0</v>
      </c>
    </row>
    <row r="139" spans="1:46">
      <c r="A139" t="s">
        <v>1135</v>
      </c>
      <c r="B139">
        <v>2</v>
      </c>
      <c r="C139">
        <v>0</v>
      </c>
      <c r="D139">
        <v>12</v>
      </c>
      <c r="E139">
        <v>2</v>
      </c>
      <c r="F139" t="b">
        <v>1</v>
      </c>
    </row>
    <row r="140" spans="1:46">
      <c r="A140" s="52" t="s">
        <v>1136</v>
      </c>
      <c r="B140">
        <v>1</v>
      </c>
      <c r="C140">
        <v>0</v>
      </c>
      <c r="D140">
        <v>13</v>
      </c>
      <c r="E140">
        <v>6</v>
      </c>
      <c r="F140" t="b">
        <v>0</v>
      </c>
      <c r="G140">
        <v>3.02</v>
      </c>
      <c r="H140">
        <v>7</v>
      </c>
      <c r="I140">
        <v>11.01</v>
      </c>
      <c r="J140">
        <v>16</v>
      </c>
      <c r="K140">
        <v>19.010000000000002</v>
      </c>
      <c r="L140">
        <v>21.02</v>
      </c>
      <c r="M140">
        <v>23</v>
      </c>
      <c r="N140">
        <v>28.01</v>
      </c>
      <c r="O140">
        <v>29.02</v>
      </c>
      <c r="P140">
        <v>40.090000000000003</v>
      </c>
      <c r="Q140">
        <v>44.05</v>
      </c>
      <c r="R140">
        <v>44.06</v>
      </c>
      <c r="S140">
        <v>45.13</v>
      </c>
      <c r="T140">
        <v>52.01</v>
      </c>
      <c r="U140">
        <v>54</v>
      </c>
      <c r="V140">
        <v>55.02</v>
      </c>
      <c r="W140">
        <v>60</v>
      </c>
      <c r="X140">
        <v>61</v>
      </c>
      <c r="Y140">
        <v>62</v>
      </c>
      <c r="Z140">
        <v>63.02</v>
      </c>
    </row>
    <row r="141" spans="1:46">
      <c r="A141" t="s">
        <v>1137</v>
      </c>
      <c r="B141">
        <v>1</v>
      </c>
      <c r="C141">
        <v>0</v>
      </c>
      <c r="D141">
        <v>8</v>
      </c>
      <c r="E141">
        <v>2</v>
      </c>
      <c r="F141" t="b">
        <v>0</v>
      </c>
    </row>
    <row r="142" spans="1:46">
      <c r="A142" s="409" t="s">
        <v>1138</v>
      </c>
      <c r="B142">
        <v>1</v>
      </c>
      <c r="C142">
        <v>20</v>
      </c>
      <c r="D142">
        <v>11</v>
      </c>
      <c r="E142">
        <v>2</v>
      </c>
      <c r="F142" t="b">
        <v>0</v>
      </c>
      <c r="G142" s="522">
        <v>9784</v>
      </c>
      <c r="H142">
        <v>9786</v>
      </c>
      <c r="I142">
        <v>9790.02</v>
      </c>
    </row>
    <row r="143" spans="1:46">
      <c r="A143" t="s">
        <v>1139</v>
      </c>
      <c r="B143">
        <v>3</v>
      </c>
      <c r="C143">
        <v>0</v>
      </c>
      <c r="D143">
        <v>11</v>
      </c>
      <c r="E143">
        <v>3</v>
      </c>
      <c r="F143" t="b">
        <v>1</v>
      </c>
    </row>
    <row r="144" spans="1:46">
      <c r="A144" t="s">
        <v>1140</v>
      </c>
      <c r="B144">
        <v>2</v>
      </c>
      <c r="C144">
        <v>0</v>
      </c>
      <c r="D144">
        <v>13</v>
      </c>
      <c r="E144">
        <v>2</v>
      </c>
      <c r="F144" t="b">
        <v>0</v>
      </c>
    </row>
    <row r="145" spans="1:17">
      <c r="A145" t="s">
        <v>1141</v>
      </c>
      <c r="B145">
        <v>2</v>
      </c>
      <c r="C145">
        <v>0</v>
      </c>
      <c r="D145">
        <v>10</v>
      </c>
      <c r="E145">
        <v>2</v>
      </c>
      <c r="F145" t="b">
        <v>0</v>
      </c>
    </row>
    <row r="146" spans="1:17">
      <c r="A146" s="409" t="s">
        <v>1142</v>
      </c>
      <c r="B146">
        <v>2</v>
      </c>
      <c r="C146">
        <v>0</v>
      </c>
      <c r="D146">
        <v>13</v>
      </c>
      <c r="E146">
        <v>2</v>
      </c>
      <c r="F146" s="522" t="b">
        <v>0</v>
      </c>
      <c r="G146">
        <v>9637.02</v>
      </c>
    </row>
    <row r="147" spans="1:17">
      <c r="A147" t="s">
        <v>1143</v>
      </c>
      <c r="B147">
        <v>2</v>
      </c>
      <c r="C147">
        <v>0</v>
      </c>
      <c r="D147">
        <v>9</v>
      </c>
      <c r="E147">
        <v>1</v>
      </c>
      <c r="F147" t="b">
        <v>0</v>
      </c>
    </row>
    <row r="148" spans="1:17">
      <c r="A148" s="409" t="s">
        <v>1144</v>
      </c>
      <c r="B148">
        <v>1</v>
      </c>
      <c r="C148">
        <v>20</v>
      </c>
      <c r="D148">
        <v>9</v>
      </c>
      <c r="E148">
        <v>2</v>
      </c>
      <c r="F148" t="b">
        <v>0</v>
      </c>
      <c r="G148">
        <v>9606</v>
      </c>
    </row>
    <row r="149" spans="1:17">
      <c r="A149" s="409" t="s">
        <v>1145</v>
      </c>
      <c r="B149">
        <v>2</v>
      </c>
      <c r="C149">
        <v>20</v>
      </c>
      <c r="D149">
        <v>6</v>
      </c>
      <c r="E149">
        <v>1</v>
      </c>
      <c r="F149" s="319" t="b">
        <v>0</v>
      </c>
      <c r="G149" s="522">
        <v>9556</v>
      </c>
    </row>
    <row r="150" spans="1:17">
      <c r="A150" s="52" t="s">
        <v>1146</v>
      </c>
      <c r="B150">
        <v>1</v>
      </c>
      <c r="C150">
        <v>0</v>
      </c>
      <c r="D150">
        <v>13</v>
      </c>
      <c r="E150">
        <v>5</v>
      </c>
      <c r="F150" t="b">
        <v>0</v>
      </c>
      <c r="G150">
        <v>109.02</v>
      </c>
      <c r="H150">
        <v>111.02</v>
      </c>
      <c r="I150">
        <v>114.02</v>
      </c>
      <c r="J150">
        <v>115.52</v>
      </c>
      <c r="K150">
        <v>116.02</v>
      </c>
      <c r="L150">
        <v>118.06</v>
      </c>
      <c r="M150" s="522">
        <v>118.08</v>
      </c>
    </row>
    <row r="151" spans="1:17">
      <c r="A151" t="s">
        <v>1147</v>
      </c>
      <c r="B151">
        <v>1</v>
      </c>
      <c r="C151">
        <v>20</v>
      </c>
      <c r="D151">
        <v>7</v>
      </c>
      <c r="E151">
        <v>1</v>
      </c>
      <c r="F151" t="b">
        <v>0</v>
      </c>
    </row>
    <row r="152" spans="1:17">
      <c r="A152" t="s">
        <v>1148</v>
      </c>
      <c r="B152">
        <v>1</v>
      </c>
      <c r="C152">
        <v>20</v>
      </c>
      <c r="D152">
        <v>6</v>
      </c>
      <c r="E152">
        <v>2</v>
      </c>
      <c r="F152" t="b">
        <v>0</v>
      </c>
    </row>
    <row r="153" spans="1:17">
      <c r="A153" t="s">
        <v>1149</v>
      </c>
      <c r="B153">
        <v>3</v>
      </c>
      <c r="C153">
        <v>0</v>
      </c>
      <c r="D153">
        <v>11</v>
      </c>
      <c r="E153">
        <v>2</v>
      </c>
      <c r="F153" t="b">
        <v>1</v>
      </c>
    </row>
    <row r="154" spans="1:17">
      <c r="A154" t="s">
        <v>1150</v>
      </c>
      <c r="B154">
        <v>2</v>
      </c>
      <c r="C154">
        <v>0</v>
      </c>
      <c r="D154">
        <v>12</v>
      </c>
      <c r="E154">
        <v>2</v>
      </c>
      <c r="F154" t="b">
        <v>1</v>
      </c>
    </row>
    <row r="155" spans="1:17">
      <c r="A155" s="52" t="s">
        <v>1151</v>
      </c>
      <c r="B155">
        <v>1</v>
      </c>
      <c r="C155">
        <v>0</v>
      </c>
      <c r="D155">
        <v>13</v>
      </c>
      <c r="E155">
        <v>4</v>
      </c>
      <c r="F155" t="b">
        <v>0</v>
      </c>
      <c r="G155">
        <v>1</v>
      </c>
      <c r="H155">
        <v>2.0099999999999998</v>
      </c>
      <c r="I155">
        <v>5.03</v>
      </c>
      <c r="J155">
        <v>5.04</v>
      </c>
      <c r="K155">
        <v>5.05</v>
      </c>
      <c r="L155">
        <v>6</v>
      </c>
      <c r="M155">
        <v>8.02</v>
      </c>
      <c r="N155">
        <v>11.11</v>
      </c>
      <c r="O155">
        <v>13.04</v>
      </c>
      <c r="P155">
        <v>13.05</v>
      </c>
      <c r="Q155">
        <v>13.06</v>
      </c>
    </row>
    <row r="156" spans="1:17">
      <c r="A156" s="409" t="s">
        <v>1152</v>
      </c>
      <c r="B156">
        <v>1</v>
      </c>
      <c r="C156">
        <v>20</v>
      </c>
      <c r="D156">
        <v>10</v>
      </c>
      <c r="E156">
        <v>2</v>
      </c>
      <c r="F156" t="b">
        <v>0</v>
      </c>
      <c r="G156">
        <v>1</v>
      </c>
      <c r="H156">
        <v>3</v>
      </c>
    </row>
    <row r="157" spans="1:17">
      <c r="A157" t="s">
        <v>1153</v>
      </c>
      <c r="B157">
        <v>1</v>
      </c>
      <c r="C157">
        <v>20</v>
      </c>
      <c r="D157">
        <v>8</v>
      </c>
      <c r="E157">
        <v>2</v>
      </c>
      <c r="F157" t="b">
        <v>0</v>
      </c>
    </row>
    <row r="158" spans="1:17">
      <c r="A158" s="409" t="s">
        <v>1154</v>
      </c>
      <c r="B158">
        <v>1</v>
      </c>
      <c r="C158">
        <v>20</v>
      </c>
      <c r="D158">
        <v>9</v>
      </c>
      <c r="E158">
        <v>2</v>
      </c>
      <c r="F158" t="b">
        <v>0</v>
      </c>
      <c r="G158">
        <v>9661.02</v>
      </c>
      <c r="H158">
        <v>9662</v>
      </c>
    </row>
    <row r="159" spans="1:17">
      <c r="A159" s="52" t="s">
        <v>1155</v>
      </c>
      <c r="B159">
        <v>3</v>
      </c>
      <c r="C159">
        <v>0</v>
      </c>
      <c r="D159">
        <v>11</v>
      </c>
      <c r="E159">
        <v>3</v>
      </c>
      <c r="F159" t="b">
        <v>0</v>
      </c>
      <c r="G159">
        <v>5</v>
      </c>
      <c r="H159">
        <v>6.01</v>
      </c>
      <c r="I159">
        <v>6.02</v>
      </c>
      <c r="J159">
        <v>11.04</v>
      </c>
      <c r="K159">
        <v>17.059999999999999</v>
      </c>
    </row>
    <row r="160" spans="1:17">
      <c r="A160" t="s">
        <v>1156</v>
      </c>
      <c r="B160">
        <v>2</v>
      </c>
      <c r="C160">
        <v>0</v>
      </c>
      <c r="D160">
        <v>11</v>
      </c>
      <c r="E160">
        <v>1</v>
      </c>
      <c r="F160" t="b">
        <v>1</v>
      </c>
    </row>
    <row r="161" spans="1:20">
      <c r="A161" t="s">
        <v>1157</v>
      </c>
      <c r="B161">
        <v>3</v>
      </c>
      <c r="C161">
        <v>0</v>
      </c>
      <c r="D161">
        <v>8</v>
      </c>
      <c r="E161">
        <v>2</v>
      </c>
      <c r="F161" t="b">
        <v>0</v>
      </c>
    </row>
    <row r="162" spans="1:20">
      <c r="A162" s="409" t="s">
        <v>1158</v>
      </c>
      <c r="B162">
        <v>3</v>
      </c>
      <c r="C162">
        <v>20</v>
      </c>
      <c r="D162">
        <v>12</v>
      </c>
      <c r="E162">
        <v>2</v>
      </c>
      <c r="F162" s="522" t="b">
        <v>0</v>
      </c>
      <c r="G162">
        <v>9694</v>
      </c>
    </row>
    <row r="163" spans="1:20">
      <c r="A163" s="409" t="s">
        <v>1159</v>
      </c>
      <c r="B163">
        <v>3</v>
      </c>
      <c r="C163">
        <v>20</v>
      </c>
      <c r="D163">
        <v>11</v>
      </c>
      <c r="E163">
        <v>2</v>
      </c>
      <c r="F163" t="b">
        <v>0</v>
      </c>
      <c r="G163">
        <v>9661</v>
      </c>
      <c r="H163">
        <v>9663.01</v>
      </c>
      <c r="I163" s="522">
        <v>9664.01</v>
      </c>
    </row>
    <row r="164" spans="1:20">
      <c r="A164" t="s">
        <v>1160</v>
      </c>
      <c r="B164">
        <v>1</v>
      </c>
      <c r="C164">
        <v>20</v>
      </c>
      <c r="D164">
        <v>12</v>
      </c>
      <c r="E164">
        <v>2</v>
      </c>
      <c r="F164" s="522" t="b">
        <v>0</v>
      </c>
    </row>
    <row r="165" spans="1:20">
      <c r="A165" s="409" t="s">
        <v>1161</v>
      </c>
      <c r="B165">
        <v>1</v>
      </c>
      <c r="C165">
        <v>20</v>
      </c>
      <c r="D165">
        <v>10</v>
      </c>
      <c r="E165">
        <v>2</v>
      </c>
      <c r="F165" t="b">
        <v>0</v>
      </c>
      <c r="G165">
        <v>9680</v>
      </c>
      <c r="H165">
        <v>9681</v>
      </c>
      <c r="I165" s="522">
        <v>9686</v>
      </c>
    </row>
    <row r="166" spans="1:20">
      <c r="A166" t="s">
        <v>1162</v>
      </c>
      <c r="B166">
        <v>2</v>
      </c>
      <c r="C166">
        <v>0</v>
      </c>
      <c r="D166">
        <v>8</v>
      </c>
      <c r="E166">
        <v>1</v>
      </c>
      <c r="F166" t="b">
        <v>1</v>
      </c>
    </row>
    <row r="167" spans="1:20">
      <c r="A167" s="52" t="s">
        <v>1163</v>
      </c>
      <c r="B167">
        <v>2</v>
      </c>
      <c r="C167">
        <v>0</v>
      </c>
      <c r="D167">
        <v>12</v>
      </c>
      <c r="E167">
        <v>2</v>
      </c>
      <c r="F167" t="b">
        <v>0</v>
      </c>
      <c r="G167">
        <v>5</v>
      </c>
    </row>
    <row r="168" spans="1:20">
      <c r="A168" t="s">
        <v>1164</v>
      </c>
      <c r="B168">
        <v>1</v>
      </c>
      <c r="C168">
        <v>20</v>
      </c>
      <c r="D168">
        <v>7</v>
      </c>
      <c r="E168">
        <v>1</v>
      </c>
      <c r="F168" t="b">
        <v>0</v>
      </c>
    </row>
    <row r="169" spans="1:20">
      <c r="A169" t="s">
        <v>1165</v>
      </c>
      <c r="B169">
        <v>2</v>
      </c>
      <c r="C169">
        <v>0</v>
      </c>
      <c r="D169">
        <v>10</v>
      </c>
      <c r="E169">
        <v>2</v>
      </c>
      <c r="F169" t="b">
        <v>1</v>
      </c>
    </row>
    <row r="170" spans="1:20">
      <c r="A170" s="409" t="s">
        <v>1166</v>
      </c>
      <c r="B170">
        <v>1</v>
      </c>
      <c r="C170">
        <v>20</v>
      </c>
      <c r="D170">
        <v>8</v>
      </c>
      <c r="E170">
        <v>2</v>
      </c>
      <c r="F170" t="b">
        <v>0</v>
      </c>
      <c r="G170">
        <v>2</v>
      </c>
      <c r="H170">
        <v>6</v>
      </c>
      <c r="I170">
        <v>7</v>
      </c>
    </row>
    <row r="171" spans="1:20">
      <c r="A171" s="52" t="s">
        <v>2938</v>
      </c>
      <c r="B171">
        <v>1</v>
      </c>
      <c r="C171">
        <v>20</v>
      </c>
      <c r="D171">
        <v>11</v>
      </c>
      <c r="E171">
        <v>4</v>
      </c>
      <c r="F171" t="b">
        <v>0</v>
      </c>
      <c r="G171">
        <v>2</v>
      </c>
      <c r="H171">
        <v>6</v>
      </c>
      <c r="I171">
        <v>8</v>
      </c>
      <c r="J171" s="522">
        <v>9.0500000000000007</v>
      </c>
      <c r="K171">
        <v>11</v>
      </c>
      <c r="L171">
        <v>12</v>
      </c>
      <c r="M171">
        <v>14</v>
      </c>
      <c r="N171">
        <v>19</v>
      </c>
      <c r="O171">
        <v>20</v>
      </c>
      <c r="P171">
        <v>21</v>
      </c>
      <c r="Q171">
        <v>24</v>
      </c>
      <c r="R171">
        <v>26</v>
      </c>
      <c r="S171">
        <v>35</v>
      </c>
      <c r="T171">
        <v>36</v>
      </c>
    </row>
    <row r="172" spans="1:20">
      <c r="A172" t="s">
        <v>1168</v>
      </c>
      <c r="B172">
        <v>3</v>
      </c>
      <c r="C172">
        <v>0</v>
      </c>
      <c r="D172">
        <v>8</v>
      </c>
      <c r="E172">
        <v>2</v>
      </c>
      <c r="F172" t="b">
        <v>0</v>
      </c>
    </row>
    <row r="173" spans="1:20">
      <c r="A173" s="409" t="s">
        <v>1169</v>
      </c>
      <c r="B173">
        <v>2</v>
      </c>
      <c r="C173">
        <v>20</v>
      </c>
      <c r="D173">
        <v>9</v>
      </c>
      <c r="E173">
        <v>2</v>
      </c>
      <c r="F173" t="b">
        <v>0</v>
      </c>
      <c r="G173">
        <v>9768</v>
      </c>
    </row>
    <row r="174" spans="1:20">
      <c r="A174" t="s">
        <v>1170</v>
      </c>
      <c r="B174">
        <v>2</v>
      </c>
      <c r="C174">
        <v>0</v>
      </c>
      <c r="D174">
        <v>12</v>
      </c>
      <c r="E174">
        <v>2</v>
      </c>
      <c r="F174" t="b">
        <v>1</v>
      </c>
    </row>
    <row r="175" spans="1:20">
      <c r="A175" t="s">
        <v>1171</v>
      </c>
      <c r="B175">
        <v>2</v>
      </c>
      <c r="C175">
        <v>20</v>
      </c>
      <c r="D175">
        <v>8</v>
      </c>
      <c r="E175">
        <v>2</v>
      </c>
      <c r="F175" t="b">
        <v>0</v>
      </c>
    </row>
    <row r="176" spans="1:20">
      <c r="A176" t="s">
        <v>1172</v>
      </c>
      <c r="B176">
        <v>3</v>
      </c>
      <c r="C176">
        <v>20</v>
      </c>
      <c r="D176">
        <v>5</v>
      </c>
      <c r="E176">
        <v>1</v>
      </c>
      <c r="F176" s="522" t="b">
        <v>0</v>
      </c>
    </row>
    <row r="177" spans="1:19">
      <c r="A177" t="s">
        <v>1173</v>
      </c>
      <c r="B177">
        <v>3</v>
      </c>
      <c r="C177">
        <v>0</v>
      </c>
      <c r="D177">
        <v>14</v>
      </c>
      <c r="E177">
        <v>2</v>
      </c>
      <c r="F177" t="b">
        <v>1</v>
      </c>
    </row>
    <row r="178" spans="1:19">
      <c r="A178" t="s">
        <v>1174</v>
      </c>
      <c r="B178">
        <v>1</v>
      </c>
      <c r="C178">
        <v>20</v>
      </c>
      <c r="D178">
        <v>6</v>
      </c>
      <c r="E178">
        <v>1</v>
      </c>
      <c r="F178" t="b">
        <v>0</v>
      </c>
    </row>
    <row r="179" spans="1:19">
      <c r="A179" s="409" t="s">
        <v>1175</v>
      </c>
      <c r="B179">
        <v>2</v>
      </c>
      <c r="C179">
        <v>0</v>
      </c>
      <c r="D179">
        <v>12</v>
      </c>
      <c r="E179">
        <v>2</v>
      </c>
      <c r="F179" t="b">
        <v>1</v>
      </c>
      <c r="G179">
        <v>2.0099999999999998</v>
      </c>
    </row>
    <row r="180" spans="1:19">
      <c r="A180" t="s">
        <v>1176</v>
      </c>
      <c r="B180">
        <v>1</v>
      </c>
      <c r="C180">
        <v>0</v>
      </c>
      <c r="D180">
        <v>13</v>
      </c>
      <c r="E180">
        <v>2</v>
      </c>
      <c r="F180" t="b">
        <v>0</v>
      </c>
    </row>
    <row r="181" spans="1:19">
      <c r="A181" t="s">
        <v>1177</v>
      </c>
      <c r="B181">
        <v>1</v>
      </c>
      <c r="C181">
        <v>20</v>
      </c>
      <c r="D181">
        <v>6</v>
      </c>
      <c r="E181">
        <v>2</v>
      </c>
      <c r="F181" t="b">
        <v>0</v>
      </c>
    </row>
    <row r="182" spans="1:19">
      <c r="A182" s="52" t="s">
        <v>1178</v>
      </c>
      <c r="B182">
        <v>1</v>
      </c>
      <c r="C182">
        <v>0</v>
      </c>
      <c r="D182">
        <v>13</v>
      </c>
      <c r="E182">
        <v>3</v>
      </c>
      <c r="F182" t="b">
        <v>0</v>
      </c>
      <c r="G182">
        <v>1</v>
      </c>
      <c r="H182">
        <v>2</v>
      </c>
      <c r="I182" s="522">
        <v>4.0199999999999996</v>
      </c>
      <c r="J182">
        <v>5.01</v>
      </c>
      <c r="K182">
        <v>5.0199999999999996</v>
      </c>
      <c r="L182">
        <v>6</v>
      </c>
      <c r="M182">
        <v>7.01</v>
      </c>
      <c r="N182">
        <v>7.03</v>
      </c>
      <c r="O182">
        <v>8</v>
      </c>
      <c r="P182">
        <v>10.029999999999999</v>
      </c>
      <c r="Q182">
        <v>10.039999999999999</v>
      </c>
      <c r="R182">
        <v>10.06</v>
      </c>
      <c r="S182">
        <v>13</v>
      </c>
    </row>
    <row r="183" spans="1:19">
      <c r="A183" t="s">
        <v>1179</v>
      </c>
      <c r="B183">
        <v>1</v>
      </c>
      <c r="C183">
        <v>20</v>
      </c>
      <c r="D183">
        <v>7</v>
      </c>
      <c r="E183">
        <v>2</v>
      </c>
      <c r="F183" s="522" t="b">
        <v>0</v>
      </c>
    </row>
    <row r="184" spans="1:19" s="319" customFormat="1"/>
    <row r="186" spans="1:19">
      <c r="A186" s="92"/>
      <c r="B186" s="92"/>
      <c r="C186" s="92"/>
    </row>
    <row r="187" spans="1:19">
      <c r="A187" s="636" t="s">
        <v>4420</v>
      </c>
      <c r="B187" s="92"/>
      <c r="C187" s="92"/>
    </row>
    <row r="188" spans="1:19">
      <c r="A188" t="s">
        <v>2939</v>
      </c>
    </row>
    <row r="189" spans="1:19">
      <c r="A189" s="635">
        <v>80007</v>
      </c>
    </row>
    <row r="190" spans="1:19">
      <c r="A190" s="635">
        <v>80018</v>
      </c>
      <c r="B190" s="92"/>
    </row>
    <row r="191" spans="1:19">
      <c r="A191" s="635">
        <v>80125</v>
      </c>
      <c r="B191" s="92"/>
    </row>
    <row r="192" spans="1:19">
      <c r="A192" s="635">
        <v>80126</v>
      </c>
      <c r="B192" s="92"/>
    </row>
    <row r="193" spans="1:2">
      <c r="A193" s="635">
        <v>80129</v>
      </c>
      <c r="B193" s="92"/>
    </row>
    <row r="194" spans="1:2">
      <c r="A194" s="635">
        <v>80130</v>
      </c>
      <c r="B194" s="92"/>
    </row>
    <row r="195" spans="1:2">
      <c r="A195" s="636">
        <v>80132</v>
      </c>
      <c r="B195" s="92"/>
    </row>
    <row r="196" spans="1:2">
      <c r="A196" s="635">
        <v>80202</v>
      </c>
      <c r="B196" s="92"/>
    </row>
    <row r="197" spans="1:2">
      <c r="A197" s="635">
        <v>80249</v>
      </c>
      <c r="B197" s="92"/>
    </row>
    <row r="198" spans="1:2">
      <c r="A198" s="636">
        <v>80290</v>
      </c>
      <c r="B198" s="92"/>
    </row>
    <row r="199" spans="1:2">
      <c r="A199" s="636">
        <v>80465</v>
      </c>
      <c r="B199" s="92"/>
    </row>
    <row r="200" spans="1:2">
      <c r="A200" s="635">
        <v>80516</v>
      </c>
      <c r="B200" s="92"/>
    </row>
    <row r="201" spans="1:2">
      <c r="A201" s="1057">
        <v>80530</v>
      </c>
      <c r="B201" s="92"/>
    </row>
    <row r="202" spans="1:2">
      <c r="A202" s="636">
        <v>80549</v>
      </c>
      <c r="B202" s="92"/>
    </row>
    <row r="203" spans="1:2">
      <c r="A203" s="635">
        <v>80602</v>
      </c>
      <c r="B203" s="92"/>
    </row>
    <row r="204" spans="1:2">
      <c r="A204" s="636">
        <v>80817</v>
      </c>
      <c r="B204" s="92"/>
    </row>
    <row r="205" spans="1:2">
      <c r="A205" s="636">
        <v>80831</v>
      </c>
      <c r="B205" s="92"/>
    </row>
    <row r="206" spans="1:2">
      <c r="A206" s="635">
        <v>80840</v>
      </c>
      <c r="B206" s="92"/>
    </row>
    <row r="207" spans="1:2">
      <c r="A207" s="635">
        <v>80902</v>
      </c>
      <c r="B207" s="92"/>
    </row>
    <row r="208" spans="1:2">
      <c r="A208" s="635">
        <v>80913</v>
      </c>
      <c r="B208" s="92"/>
    </row>
    <row r="209" spans="1:2">
      <c r="A209" s="635">
        <v>80920</v>
      </c>
      <c r="B209" s="92"/>
    </row>
    <row r="210" spans="1:2">
      <c r="A210" s="635">
        <v>80921</v>
      </c>
      <c r="B210" s="92"/>
    </row>
    <row r="211" spans="1:2">
      <c r="A211" s="635">
        <v>80922</v>
      </c>
      <c r="B211" s="92"/>
    </row>
    <row r="212" spans="1:2">
      <c r="A212" s="635">
        <v>80923</v>
      </c>
      <c r="B212" s="92"/>
    </row>
    <row r="213" spans="1:2">
      <c r="A213" s="635">
        <v>80924</v>
      </c>
      <c r="B213" s="92"/>
    </row>
    <row r="214" spans="1:2">
      <c r="A214" s="635">
        <v>80925</v>
      </c>
      <c r="B214" s="92"/>
    </row>
    <row r="215" spans="1:2">
      <c r="A215" s="635">
        <v>80927</v>
      </c>
      <c r="B215" s="92"/>
    </row>
    <row r="216" spans="1:2">
      <c r="A216" s="635">
        <v>80929</v>
      </c>
    </row>
    <row r="217" spans="1:2">
      <c r="A217" s="635">
        <v>80930</v>
      </c>
    </row>
    <row r="218" spans="1:2">
      <c r="A218" s="636">
        <v>80938</v>
      </c>
    </row>
    <row r="219" spans="1:2">
      <c r="A219" s="635">
        <v>80951</v>
      </c>
    </row>
    <row r="220" spans="1:2">
      <c r="A220" s="92"/>
    </row>
    <row r="221" spans="1:2">
      <c r="A221" t="s">
        <v>239</v>
      </c>
      <c r="B221" t="s">
        <v>2940</v>
      </c>
    </row>
    <row r="222" spans="1:2">
      <c r="A222" t="s">
        <v>2941</v>
      </c>
      <c r="B222">
        <v>0</v>
      </c>
    </row>
    <row r="223" spans="1:2">
      <c r="A223" t="s">
        <v>2942</v>
      </c>
      <c r="B223">
        <v>0</v>
      </c>
    </row>
    <row r="224" spans="1:2">
      <c r="A224" t="s">
        <v>1117</v>
      </c>
      <c r="B224">
        <v>0</v>
      </c>
    </row>
    <row r="225" spans="1:2">
      <c r="A225" t="s">
        <v>2943</v>
      </c>
      <c r="B225">
        <v>0</v>
      </c>
    </row>
    <row r="226" spans="1:2">
      <c r="A226" t="s">
        <v>2944</v>
      </c>
      <c r="B226">
        <v>0</v>
      </c>
    </row>
    <row r="227" spans="1:2">
      <c r="A227" t="s">
        <v>2945</v>
      </c>
      <c r="B227">
        <v>0</v>
      </c>
    </row>
    <row r="228" spans="1:2">
      <c r="A228" t="s">
        <v>2946</v>
      </c>
      <c r="B228">
        <v>0</v>
      </c>
    </row>
    <row r="229" spans="1:2">
      <c r="A229" t="s">
        <v>2947</v>
      </c>
      <c r="B229">
        <v>0</v>
      </c>
    </row>
    <row r="230" spans="1:2">
      <c r="A230" t="s">
        <v>2948</v>
      </c>
      <c r="B230">
        <v>0</v>
      </c>
    </row>
    <row r="231" spans="1:2">
      <c r="A231" t="s">
        <v>2949</v>
      </c>
      <c r="B231">
        <v>3</v>
      </c>
    </row>
    <row r="232" spans="1:2">
      <c r="A232" t="s">
        <v>2950</v>
      </c>
      <c r="B232">
        <v>0</v>
      </c>
    </row>
    <row r="233" spans="1:2">
      <c r="A233" t="s">
        <v>2951</v>
      </c>
      <c r="B233">
        <v>0</v>
      </c>
    </row>
    <row r="234" spans="1:2">
      <c r="A234" t="s">
        <v>2952</v>
      </c>
      <c r="B234">
        <v>4</v>
      </c>
    </row>
    <row r="235" spans="1:2">
      <c r="A235" t="s">
        <v>2953</v>
      </c>
      <c r="B235">
        <v>0</v>
      </c>
    </row>
    <row r="236" spans="1:2">
      <c r="A236" t="s">
        <v>2954</v>
      </c>
      <c r="B236">
        <v>0</v>
      </c>
    </row>
    <row r="237" spans="1:2">
      <c r="A237" t="s">
        <v>2955</v>
      </c>
      <c r="B237">
        <v>0</v>
      </c>
    </row>
    <row r="238" spans="1:2">
      <c r="A238" t="s">
        <v>2956</v>
      </c>
      <c r="B238">
        <v>0</v>
      </c>
    </row>
    <row r="239" spans="1:2">
      <c r="A239" t="s">
        <v>2957</v>
      </c>
      <c r="B239">
        <v>0</v>
      </c>
    </row>
    <row r="240" spans="1:2">
      <c r="A240" t="s">
        <v>2958</v>
      </c>
      <c r="B240">
        <v>0</v>
      </c>
    </row>
    <row r="241" spans="1:2">
      <c r="A241" t="s">
        <v>2959</v>
      </c>
      <c r="B241">
        <v>0</v>
      </c>
    </row>
    <row r="242" spans="1:2">
      <c r="A242" t="s">
        <v>2960</v>
      </c>
      <c r="B242">
        <v>0</v>
      </c>
    </row>
    <row r="243" spans="1:2">
      <c r="A243" t="s">
        <v>2961</v>
      </c>
      <c r="B243">
        <v>0</v>
      </c>
    </row>
    <row r="244" spans="1:2">
      <c r="A244" t="s">
        <v>2962</v>
      </c>
      <c r="B244">
        <v>0</v>
      </c>
    </row>
    <row r="245" spans="1:2">
      <c r="A245" t="s">
        <v>2963</v>
      </c>
      <c r="B245">
        <v>0</v>
      </c>
    </row>
    <row r="246" spans="1:2">
      <c r="A246" t="s">
        <v>2964</v>
      </c>
      <c r="B246">
        <v>0</v>
      </c>
    </row>
    <row r="247" spans="1:2">
      <c r="A247" t="s">
        <v>2965</v>
      </c>
      <c r="B247">
        <v>0</v>
      </c>
    </row>
    <row r="248" spans="1:2">
      <c r="A248" t="s">
        <v>2966</v>
      </c>
      <c r="B248">
        <v>0</v>
      </c>
    </row>
    <row r="249" spans="1:2">
      <c r="A249" t="s">
        <v>1122</v>
      </c>
      <c r="B249">
        <v>3</v>
      </c>
    </row>
    <row r="250" spans="1:2">
      <c r="A250" t="s">
        <v>2967</v>
      </c>
      <c r="B250">
        <v>0</v>
      </c>
    </row>
    <row r="251" spans="1:2">
      <c r="A251" t="s">
        <v>2968</v>
      </c>
      <c r="B251">
        <v>0</v>
      </c>
    </row>
    <row r="252" spans="1:2">
      <c r="A252" t="s">
        <v>2969</v>
      </c>
      <c r="B252">
        <v>0</v>
      </c>
    </row>
    <row r="253" spans="1:2">
      <c r="A253" t="s">
        <v>2970</v>
      </c>
      <c r="B253">
        <v>0</v>
      </c>
    </row>
    <row r="254" spans="1:2">
      <c r="A254" t="s">
        <v>2971</v>
      </c>
      <c r="B254">
        <v>0</v>
      </c>
    </row>
    <row r="255" spans="1:2">
      <c r="A255" t="s">
        <v>1123</v>
      </c>
      <c r="B255">
        <v>0</v>
      </c>
    </row>
    <row r="256" spans="1:2">
      <c r="A256" t="s">
        <v>2972</v>
      </c>
      <c r="B256">
        <v>0</v>
      </c>
    </row>
    <row r="257" spans="1:2">
      <c r="A257" t="s">
        <v>2973</v>
      </c>
      <c r="B257">
        <v>0</v>
      </c>
    </row>
    <row r="258" spans="1:2">
      <c r="A258" t="s">
        <v>2974</v>
      </c>
      <c r="B258">
        <v>0</v>
      </c>
    </row>
    <row r="259" spans="1:2">
      <c r="A259" t="s">
        <v>2975</v>
      </c>
      <c r="B259">
        <v>0</v>
      </c>
    </row>
    <row r="260" spans="1:2">
      <c r="A260" t="s">
        <v>2976</v>
      </c>
      <c r="B260">
        <v>0</v>
      </c>
    </row>
    <row r="261" spans="1:2">
      <c r="A261" t="s">
        <v>2977</v>
      </c>
      <c r="B261">
        <v>0</v>
      </c>
    </row>
    <row r="262" spans="1:2">
      <c r="A262" t="s">
        <v>2978</v>
      </c>
      <c r="B262">
        <v>0</v>
      </c>
    </row>
    <row r="263" spans="1:2">
      <c r="A263" t="s">
        <v>2979</v>
      </c>
      <c r="B263">
        <v>0</v>
      </c>
    </row>
    <row r="264" spans="1:2">
      <c r="A264" t="s">
        <v>2980</v>
      </c>
      <c r="B264">
        <v>0</v>
      </c>
    </row>
    <row r="265" spans="1:2">
      <c r="A265" t="s">
        <v>2981</v>
      </c>
      <c r="B265">
        <v>0</v>
      </c>
    </row>
    <row r="266" spans="1:2">
      <c r="A266" t="s">
        <v>2982</v>
      </c>
      <c r="B266">
        <v>0</v>
      </c>
    </row>
    <row r="267" spans="1:2">
      <c r="A267" t="s">
        <v>2983</v>
      </c>
      <c r="B267">
        <v>0</v>
      </c>
    </row>
    <row r="268" spans="1:2">
      <c r="A268" t="s">
        <v>2984</v>
      </c>
      <c r="B268">
        <v>0</v>
      </c>
    </row>
    <row r="269" spans="1:2">
      <c r="A269" t="s">
        <v>2985</v>
      </c>
      <c r="B269">
        <v>0</v>
      </c>
    </row>
    <row r="270" spans="1:2">
      <c r="A270" t="s">
        <v>2986</v>
      </c>
      <c r="B270">
        <v>0</v>
      </c>
    </row>
    <row r="271" spans="1:2">
      <c r="A271" t="s">
        <v>2987</v>
      </c>
      <c r="B271">
        <v>0</v>
      </c>
    </row>
    <row r="272" spans="1:2">
      <c r="A272" t="s">
        <v>2988</v>
      </c>
      <c r="B272">
        <v>0</v>
      </c>
    </row>
    <row r="273" spans="1:2">
      <c r="A273" t="s">
        <v>2989</v>
      </c>
      <c r="B273">
        <v>0</v>
      </c>
    </row>
    <row r="274" spans="1:2">
      <c r="A274" t="s">
        <v>2990</v>
      </c>
      <c r="B274">
        <v>0</v>
      </c>
    </row>
    <row r="275" spans="1:2">
      <c r="A275" t="s">
        <v>2991</v>
      </c>
      <c r="B275">
        <v>0</v>
      </c>
    </row>
    <row r="276" spans="1:2">
      <c r="A276" t="s">
        <v>2992</v>
      </c>
      <c r="B276">
        <v>0</v>
      </c>
    </row>
    <row r="277" spans="1:2">
      <c r="A277" t="s">
        <v>2993</v>
      </c>
      <c r="B277">
        <v>0</v>
      </c>
    </row>
    <row r="278" spans="1:2">
      <c r="A278" t="s">
        <v>2994</v>
      </c>
      <c r="B278">
        <v>0</v>
      </c>
    </row>
    <row r="279" spans="1:2">
      <c r="A279" t="s">
        <v>2995</v>
      </c>
      <c r="B279">
        <v>0</v>
      </c>
    </row>
    <row r="280" spans="1:2">
      <c r="A280" t="s">
        <v>2996</v>
      </c>
      <c r="B280">
        <v>5</v>
      </c>
    </row>
    <row r="281" spans="1:2">
      <c r="A281" t="s">
        <v>2997</v>
      </c>
      <c r="B281">
        <v>0</v>
      </c>
    </row>
    <row r="282" spans="1:2">
      <c r="A282" t="s">
        <v>2998</v>
      </c>
      <c r="B282">
        <v>0</v>
      </c>
    </row>
    <row r="283" spans="1:2">
      <c r="A283" t="s">
        <v>2999</v>
      </c>
      <c r="B283">
        <v>0</v>
      </c>
    </row>
    <row r="284" spans="1:2">
      <c r="A284" t="s">
        <v>3000</v>
      </c>
      <c r="B284">
        <v>0</v>
      </c>
    </row>
    <row r="285" spans="1:2">
      <c r="A285" t="s">
        <v>3001</v>
      </c>
      <c r="B285">
        <v>0</v>
      </c>
    </row>
    <row r="286" spans="1:2">
      <c r="A286" t="s">
        <v>3002</v>
      </c>
      <c r="B286">
        <v>0</v>
      </c>
    </row>
    <row r="287" spans="1:2">
      <c r="A287" t="s">
        <v>3003</v>
      </c>
      <c r="B287">
        <v>0</v>
      </c>
    </row>
    <row r="288" spans="1:2">
      <c r="A288" t="s">
        <v>3004</v>
      </c>
      <c r="B288">
        <v>0</v>
      </c>
    </row>
    <row r="289" spans="1:2">
      <c r="A289" t="s">
        <v>3005</v>
      </c>
      <c r="B289">
        <v>0</v>
      </c>
    </row>
    <row r="290" spans="1:2">
      <c r="A290" t="s">
        <v>3006</v>
      </c>
      <c r="B290">
        <v>0</v>
      </c>
    </row>
    <row r="291" spans="1:2">
      <c r="A291" t="s">
        <v>3007</v>
      </c>
      <c r="B291">
        <v>0</v>
      </c>
    </row>
    <row r="292" spans="1:2">
      <c r="A292" t="s">
        <v>1129</v>
      </c>
      <c r="B292">
        <v>0</v>
      </c>
    </row>
    <row r="293" spans="1:2">
      <c r="A293" t="s">
        <v>3008</v>
      </c>
      <c r="B293">
        <v>0</v>
      </c>
    </row>
    <row r="294" spans="1:2">
      <c r="A294" t="s">
        <v>3009</v>
      </c>
      <c r="B294">
        <v>0</v>
      </c>
    </row>
    <row r="295" spans="1:2">
      <c r="A295" t="s">
        <v>3010</v>
      </c>
      <c r="B295">
        <v>0</v>
      </c>
    </row>
    <row r="296" spans="1:2">
      <c r="A296" t="s">
        <v>3011</v>
      </c>
      <c r="B296">
        <v>0</v>
      </c>
    </row>
    <row r="297" spans="1:2">
      <c r="A297" t="s">
        <v>3012</v>
      </c>
      <c r="B297">
        <v>0</v>
      </c>
    </row>
    <row r="298" spans="1:2">
      <c r="A298" t="s">
        <v>1131</v>
      </c>
      <c r="B298">
        <v>0</v>
      </c>
    </row>
    <row r="299" spans="1:2">
      <c r="A299" t="s">
        <v>2937</v>
      </c>
      <c r="B299">
        <v>6</v>
      </c>
    </row>
    <row r="300" spans="1:2">
      <c r="A300" t="s">
        <v>3013</v>
      </c>
      <c r="B300">
        <v>0</v>
      </c>
    </row>
    <row r="301" spans="1:2">
      <c r="A301" t="s">
        <v>3014</v>
      </c>
      <c r="B301">
        <v>0</v>
      </c>
    </row>
    <row r="302" spans="1:2">
      <c r="A302" t="s">
        <v>3015</v>
      </c>
      <c r="B302">
        <v>0</v>
      </c>
    </row>
    <row r="303" spans="1:2">
      <c r="A303" t="s">
        <v>1133</v>
      </c>
      <c r="B303">
        <v>0</v>
      </c>
    </row>
    <row r="304" spans="1:2">
      <c r="A304" t="s">
        <v>3016</v>
      </c>
      <c r="B304">
        <v>0</v>
      </c>
    </row>
    <row r="305" spans="1:2">
      <c r="A305" t="s">
        <v>3017</v>
      </c>
      <c r="B305">
        <v>0</v>
      </c>
    </row>
    <row r="306" spans="1:2">
      <c r="A306" t="s">
        <v>3018</v>
      </c>
      <c r="B306">
        <v>0</v>
      </c>
    </row>
    <row r="307" spans="1:2">
      <c r="A307" t="s">
        <v>3019</v>
      </c>
      <c r="B307">
        <v>0</v>
      </c>
    </row>
    <row r="308" spans="1:2">
      <c r="A308" t="s">
        <v>1135</v>
      </c>
      <c r="B308">
        <v>0</v>
      </c>
    </row>
    <row r="309" spans="1:2">
      <c r="A309" t="s">
        <v>3020</v>
      </c>
      <c r="B309">
        <v>0</v>
      </c>
    </row>
    <row r="310" spans="1:2">
      <c r="A310" t="s">
        <v>3021</v>
      </c>
      <c r="B310">
        <v>0</v>
      </c>
    </row>
    <row r="311" spans="1:2">
      <c r="A311" t="s">
        <v>3022</v>
      </c>
      <c r="B311">
        <v>0</v>
      </c>
    </row>
    <row r="312" spans="1:2">
      <c r="A312" t="s">
        <v>3023</v>
      </c>
      <c r="B312">
        <v>0</v>
      </c>
    </row>
    <row r="313" spans="1:2">
      <c r="A313" t="s">
        <v>3024</v>
      </c>
      <c r="B313">
        <v>0</v>
      </c>
    </row>
    <row r="314" spans="1:2">
      <c r="A314" t="s">
        <v>3025</v>
      </c>
      <c r="B314">
        <v>0</v>
      </c>
    </row>
    <row r="315" spans="1:2">
      <c r="A315" t="s">
        <v>3026</v>
      </c>
      <c r="B315">
        <v>0</v>
      </c>
    </row>
    <row r="316" spans="1:2">
      <c r="A316" t="s">
        <v>3027</v>
      </c>
      <c r="B316">
        <v>0</v>
      </c>
    </row>
    <row r="317" spans="1:2">
      <c r="A317" t="s">
        <v>3028</v>
      </c>
      <c r="B317">
        <v>0</v>
      </c>
    </row>
    <row r="318" spans="1:2">
      <c r="A318" t="s">
        <v>3029</v>
      </c>
      <c r="B318">
        <v>0</v>
      </c>
    </row>
    <row r="319" spans="1:2">
      <c r="A319" t="s">
        <v>3030</v>
      </c>
      <c r="B319">
        <v>0</v>
      </c>
    </row>
    <row r="320" spans="1:2">
      <c r="A320" t="s">
        <v>3031</v>
      </c>
      <c r="B320">
        <v>0</v>
      </c>
    </row>
    <row r="321" spans="1:2">
      <c r="A321" t="s">
        <v>3032</v>
      </c>
      <c r="B321">
        <v>0</v>
      </c>
    </row>
    <row r="322" spans="1:2">
      <c r="A322" t="s">
        <v>3033</v>
      </c>
      <c r="B322">
        <v>0</v>
      </c>
    </row>
    <row r="323" spans="1:2">
      <c r="A323" t="s">
        <v>3034</v>
      </c>
      <c r="B323">
        <v>0</v>
      </c>
    </row>
    <row r="324" spans="1:2">
      <c r="A324" t="s">
        <v>3035</v>
      </c>
      <c r="B324">
        <v>0</v>
      </c>
    </row>
    <row r="325" spans="1:2">
      <c r="A325" t="s">
        <v>3036</v>
      </c>
      <c r="B325">
        <v>0</v>
      </c>
    </row>
    <row r="326" spans="1:2">
      <c r="A326" t="s">
        <v>3037</v>
      </c>
      <c r="B326">
        <v>0</v>
      </c>
    </row>
    <row r="327" spans="1:2">
      <c r="A327" t="s">
        <v>3038</v>
      </c>
      <c r="B327">
        <v>0</v>
      </c>
    </row>
    <row r="328" spans="1:2">
      <c r="A328" t="s">
        <v>3039</v>
      </c>
      <c r="B328">
        <v>0</v>
      </c>
    </row>
    <row r="329" spans="1:2">
      <c r="A329" t="s">
        <v>3040</v>
      </c>
      <c r="B329">
        <v>0</v>
      </c>
    </row>
    <row r="330" spans="1:2">
      <c r="A330" t="s">
        <v>3041</v>
      </c>
      <c r="B330">
        <v>0</v>
      </c>
    </row>
    <row r="331" spans="1:2">
      <c r="A331" t="s">
        <v>3042</v>
      </c>
      <c r="B331">
        <v>3</v>
      </c>
    </row>
    <row r="332" spans="1:2">
      <c r="A332" t="s">
        <v>3043</v>
      </c>
      <c r="B332">
        <v>0</v>
      </c>
    </row>
    <row r="333" spans="1:2">
      <c r="A333" t="s">
        <v>3044</v>
      </c>
      <c r="B333">
        <v>0</v>
      </c>
    </row>
    <row r="334" spans="1:2">
      <c r="A334" t="s">
        <v>3045</v>
      </c>
      <c r="B334">
        <v>0</v>
      </c>
    </row>
    <row r="335" spans="1:2">
      <c r="A335" t="s">
        <v>3046</v>
      </c>
      <c r="B335">
        <v>0</v>
      </c>
    </row>
    <row r="336" spans="1:2">
      <c r="A336" t="s">
        <v>3047</v>
      </c>
      <c r="B336">
        <v>0</v>
      </c>
    </row>
    <row r="337" spans="1:2">
      <c r="A337" t="s">
        <v>3048</v>
      </c>
      <c r="B337">
        <v>0</v>
      </c>
    </row>
    <row r="338" spans="1:2">
      <c r="A338" t="s">
        <v>3049</v>
      </c>
      <c r="B338">
        <v>0</v>
      </c>
    </row>
    <row r="339" spans="1:2">
      <c r="A339" t="s">
        <v>3050</v>
      </c>
      <c r="B339">
        <v>0</v>
      </c>
    </row>
    <row r="340" spans="1:2">
      <c r="A340" t="s">
        <v>3051</v>
      </c>
      <c r="B340">
        <v>0</v>
      </c>
    </row>
    <row r="341" spans="1:2">
      <c r="A341" t="s">
        <v>3052</v>
      </c>
      <c r="B341">
        <v>0</v>
      </c>
    </row>
    <row r="342" spans="1:2">
      <c r="A342" t="s">
        <v>3053</v>
      </c>
      <c r="B342">
        <v>0</v>
      </c>
    </row>
    <row r="343" spans="1:2">
      <c r="A343" t="s">
        <v>3054</v>
      </c>
      <c r="B343">
        <v>0</v>
      </c>
    </row>
    <row r="344" spans="1:2">
      <c r="A344" t="s">
        <v>3055</v>
      </c>
      <c r="B344">
        <v>0</v>
      </c>
    </row>
    <row r="345" spans="1:2">
      <c r="A345" t="s">
        <v>3056</v>
      </c>
      <c r="B345">
        <v>0</v>
      </c>
    </row>
    <row r="346" spans="1:2">
      <c r="A346" t="s">
        <v>3057</v>
      </c>
      <c r="B346">
        <v>0</v>
      </c>
    </row>
    <row r="347" spans="1:2">
      <c r="A347" t="s">
        <v>3058</v>
      </c>
      <c r="B347">
        <v>0</v>
      </c>
    </row>
    <row r="348" spans="1:2">
      <c r="A348" t="s">
        <v>3059</v>
      </c>
      <c r="B348">
        <v>0</v>
      </c>
    </row>
    <row r="349" spans="1:2">
      <c r="A349" t="s">
        <v>3060</v>
      </c>
      <c r="B349">
        <v>0</v>
      </c>
    </row>
    <row r="350" spans="1:2">
      <c r="A350" t="s">
        <v>3061</v>
      </c>
      <c r="B350">
        <v>0</v>
      </c>
    </row>
    <row r="351" spans="1:2">
      <c r="A351" t="s">
        <v>3062</v>
      </c>
      <c r="B351">
        <v>0</v>
      </c>
    </row>
    <row r="352" spans="1:2">
      <c r="A352" t="s">
        <v>3063</v>
      </c>
      <c r="B352">
        <v>0</v>
      </c>
    </row>
    <row r="353" spans="1:2">
      <c r="A353" t="s">
        <v>3064</v>
      </c>
      <c r="B353">
        <v>0</v>
      </c>
    </row>
    <row r="354" spans="1:2">
      <c r="A354" t="s">
        <v>3065</v>
      </c>
      <c r="B354">
        <v>0</v>
      </c>
    </row>
    <row r="355" spans="1:2">
      <c r="A355" t="s">
        <v>1093</v>
      </c>
      <c r="B355">
        <v>0</v>
      </c>
    </row>
    <row r="356" spans="1:2">
      <c r="A356" t="s">
        <v>3066</v>
      </c>
      <c r="B356">
        <v>0</v>
      </c>
    </row>
    <row r="357" spans="1:2">
      <c r="A357" t="s">
        <v>3067</v>
      </c>
      <c r="B357">
        <v>0</v>
      </c>
    </row>
    <row r="358" spans="1:2">
      <c r="A358" t="s">
        <v>3068</v>
      </c>
      <c r="B358">
        <v>0</v>
      </c>
    </row>
    <row r="359" spans="1:2">
      <c r="A359" t="s">
        <v>1142</v>
      </c>
      <c r="B359">
        <v>0</v>
      </c>
    </row>
    <row r="360" spans="1:2">
      <c r="A360" t="s">
        <v>3069</v>
      </c>
      <c r="B360">
        <v>0</v>
      </c>
    </row>
    <row r="361" spans="1:2">
      <c r="A361" t="s">
        <v>3070</v>
      </c>
      <c r="B361">
        <v>0</v>
      </c>
    </row>
    <row r="362" spans="1:2">
      <c r="A362" t="s">
        <v>3071</v>
      </c>
      <c r="B362">
        <v>0</v>
      </c>
    </row>
    <row r="363" spans="1:2">
      <c r="A363" t="s">
        <v>3072</v>
      </c>
      <c r="B363">
        <v>0</v>
      </c>
    </row>
    <row r="364" spans="1:2">
      <c r="A364" t="s">
        <v>3073</v>
      </c>
      <c r="B364">
        <v>0</v>
      </c>
    </row>
    <row r="365" spans="1:2">
      <c r="A365" t="s">
        <v>3074</v>
      </c>
      <c r="B365">
        <v>0</v>
      </c>
    </row>
    <row r="366" spans="1:2">
      <c r="A366" t="s">
        <v>3075</v>
      </c>
      <c r="B366">
        <v>0</v>
      </c>
    </row>
    <row r="367" spans="1:2">
      <c r="A367" t="s">
        <v>3076</v>
      </c>
      <c r="B367">
        <v>0</v>
      </c>
    </row>
    <row r="368" spans="1:2">
      <c r="A368" t="s">
        <v>3077</v>
      </c>
      <c r="B368">
        <v>0</v>
      </c>
    </row>
    <row r="369" spans="1:2">
      <c r="A369" t="s">
        <v>3078</v>
      </c>
      <c r="B369">
        <v>0</v>
      </c>
    </row>
    <row r="370" spans="1:2">
      <c r="A370" t="s">
        <v>3079</v>
      </c>
      <c r="B370">
        <v>0</v>
      </c>
    </row>
    <row r="371" spans="1:2">
      <c r="A371" t="s">
        <v>3080</v>
      </c>
      <c r="B371">
        <v>0</v>
      </c>
    </row>
    <row r="372" spans="1:2">
      <c r="A372" t="s">
        <v>3081</v>
      </c>
      <c r="B372">
        <v>0</v>
      </c>
    </row>
    <row r="373" spans="1:2">
      <c r="A373" t="s">
        <v>3082</v>
      </c>
      <c r="B373">
        <v>0</v>
      </c>
    </row>
    <row r="374" spans="1:2">
      <c r="A374" t="s">
        <v>3083</v>
      </c>
      <c r="B374">
        <v>0</v>
      </c>
    </row>
    <row r="375" spans="1:2">
      <c r="A375" t="s">
        <v>3084</v>
      </c>
      <c r="B375">
        <v>0</v>
      </c>
    </row>
    <row r="376" spans="1:2">
      <c r="A376" t="s">
        <v>3085</v>
      </c>
      <c r="B376">
        <v>0</v>
      </c>
    </row>
    <row r="377" spans="1:2">
      <c r="A377" t="s">
        <v>3086</v>
      </c>
      <c r="B377">
        <v>0</v>
      </c>
    </row>
    <row r="378" spans="1:2">
      <c r="A378" t="s">
        <v>3087</v>
      </c>
      <c r="B378">
        <v>0</v>
      </c>
    </row>
    <row r="379" spans="1:2">
      <c r="A379" t="s">
        <v>3088</v>
      </c>
      <c r="B379">
        <v>0</v>
      </c>
    </row>
    <row r="380" spans="1:2">
      <c r="A380" t="s">
        <v>3089</v>
      </c>
      <c r="B380">
        <v>0</v>
      </c>
    </row>
    <row r="381" spans="1:2">
      <c r="A381" t="s">
        <v>3090</v>
      </c>
      <c r="B381">
        <v>0</v>
      </c>
    </row>
    <row r="382" spans="1:2">
      <c r="A382" t="s">
        <v>3091</v>
      </c>
      <c r="B382">
        <v>0</v>
      </c>
    </row>
    <row r="383" spans="1:2">
      <c r="A383" t="s">
        <v>3092</v>
      </c>
      <c r="B383">
        <v>0</v>
      </c>
    </row>
    <row r="384" spans="1:2">
      <c r="A384" t="s">
        <v>3093</v>
      </c>
      <c r="B384">
        <v>0</v>
      </c>
    </row>
    <row r="385" spans="1:2">
      <c r="A385" t="s">
        <v>3094</v>
      </c>
      <c r="B385">
        <v>0</v>
      </c>
    </row>
    <row r="386" spans="1:2">
      <c r="A386" t="s">
        <v>3095</v>
      </c>
      <c r="B386">
        <v>0</v>
      </c>
    </row>
    <row r="387" spans="1:2">
      <c r="A387" t="s">
        <v>3096</v>
      </c>
      <c r="B387">
        <v>0</v>
      </c>
    </row>
    <row r="388" spans="1:2">
      <c r="A388" t="s">
        <v>3097</v>
      </c>
      <c r="B388">
        <v>0</v>
      </c>
    </row>
    <row r="389" spans="1:2">
      <c r="A389" t="s">
        <v>1147</v>
      </c>
      <c r="B389">
        <v>0</v>
      </c>
    </row>
    <row r="390" spans="1:2">
      <c r="A390" t="s">
        <v>1148</v>
      </c>
      <c r="B390">
        <v>0</v>
      </c>
    </row>
    <row r="391" spans="1:2">
      <c r="A391" t="s">
        <v>3098</v>
      </c>
      <c r="B391">
        <v>0</v>
      </c>
    </row>
    <row r="392" spans="1:2">
      <c r="A392" t="s">
        <v>3099</v>
      </c>
      <c r="B392">
        <v>0</v>
      </c>
    </row>
    <row r="393" spans="1:2">
      <c r="A393" t="s">
        <v>3100</v>
      </c>
      <c r="B393">
        <v>0</v>
      </c>
    </row>
    <row r="394" spans="1:2">
      <c r="A394" t="s">
        <v>3101</v>
      </c>
      <c r="B394">
        <v>0</v>
      </c>
    </row>
    <row r="395" spans="1:2">
      <c r="A395" t="s">
        <v>3102</v>
      </c>
      <c r="B395">
        <v>0</v>
      </c>
    </row>
    <row r="396" spans="1:2">
      <c r="A396" t="s">
        <v>3103</v>
      </c>
      <c r="B396">
        <v>0</v>
      </c>
    </row>
    <row r="397" spans="1:2">
      <c r="A397" t="s">
        <v>3104</v>
      </c>
      <c r="B397">
        <v>0</v>
      </c>
    </row>
    <row r="398" spans="1:2">
      <c r="A398" t="s">
        <v>3105</v>
      </c>
      <c r="B398">
        <v>0</v>
      </c>
    </row>
    <row r="399" spans="1:2">
      <c r="A399" t="s">
        <v>3106</v>
      </c>
      <c r="B399">
        <v>3</v>
      </c>
    </row>
    <row r="400" spans="1:2">
      <c r="A400" t="s">
        <v>3107</v>
      </c>
      <c r="B400">
        <v>0</v>
      </c>
    </row>
    <row r="401" spans="1:2">
      <c r="A401" t="s">
        <v>3108</v>
      </c>
      <c r="B401">
        <v>0</v>
      </c>
    </row>
    <row r="402" spans="1:2">
      <c r="A402" t="s">
        <v>3109</v>
      </c>
      <c r="B402">
        <v>0</v>
      </c>
    </row>
    <row r="403" spans="1:2">
      <c r="A403" t="s">
        <v>1152</v>
      </c>
      <c r="B403">
        <v>0</v>
      </c>
    </row>
    <row r="404" spans="1:2">
      <c r="A404" t="s">
        <v>3110</v>
      </c>
      <c r="B404">
        <v>0</v>
      </c>
    </row>
    <row r="405" spans="1:2">
      <c r="A405" t="s">
        <v>3111</v>
      </c>
      <c r="B405">
        <v>0</v>
      </c>
    </row>
    <row r="406" spans="1:2">
      <c r="A406" t="s">
        <v>3112</v>
      </c>
      <c r="B406">
        <v>0</v>
      </c>
    </row>
    <row r="407" spans="1:2">
      <c r="A407" t="s">
        <v>3113</v>
      </c>
      <c r="B407">
        <v>0</v>
      </c>
    </row>
    <row r="408" spans="1:2">
      <c r="A408" t="s">
        <v>3114</v>
      </c>
      <c r="B408">
        <v>0</v>
      </c>
    </row>
    <row r="409" spans="1:2">
      <c r="A409" t="s">
        <v>3115</v>
      </c>
      <c r="B409">
        <v>3</v>
      </c>
    </row>
    <row r="410" spans="1:2">
      <c r="A410" t="s">
        <v>3116</v>
      </c>
      <c r="B410">
        <v>0</v>
      </c>
    </row>
    <row r="411" spans="1:2">
      <c r="A411" t="s">
        <v>3117</v>
      </c>
      <c r="B411">
        <v>0</v>
      </c>
    </row>
    <row r="412" spans="1:2">
      <c r="A412" t="s">
        <v>3118</v>
      </c>
      <c r="B412">
        <v>0</v>
      </c>
    </row>
    <row r="413" spans="1:2">
      <c r="A413" t="s">
        <v>3119</v>
      </c>
      <c r="B413">
        <v>0</v>
      </c>
    </row>
    <row r="414" spans="1:2">
      <c r="A414" t="s">
        <v>3120</v>
      </c>
      <c r="B414">
        <v>0</v>
      </c>
    </row>
    <row r="415" spans="1:2">
      <c r="A415" t="s">
        <v>3121</v>
      </c>
      <c r="B415">
        <v>0</v>
      </c>
    </row>
    <row r="416" spans="1:2">
      <c r="A416" t="s">
        <v>3122</v>
      </c>
      <c r="B416">
        <v>0</v>
      </c>
    </row>
    <row r="417" spans="1:2">
      <c r="A417" t="s">
        <v>3123</v>
      </c>
      <c r="B417">
        <v>3</v>
      </c>
    </row>
    <row r="418" spans="1:2">
      <c r="A418" t="s">
        <v>3124</v>
      </c>
      <c r="B418">
        <v>0</v>
      </c>
    </row>
    <row r="419" spans="1:2">
      <c r="A419" t="s">
        <v>3125</v>
      </c>
      <c r="B419">
        <v>0</v>
      </c>
    </row>
    <row r="420" spans="1:2">
      <c r="A420" t="s">
        <v>3126</v>
      </c>
      <c r="B420">
        <v>0</v>
      </c>
    </row>
    <row r="421" spans="1:2">
      <c r="A421" t="s">
        <v>3127</v>
      </c>
      <c r="B421">
        <v>0</v>
      </c>
    </row>
    <row r="422" spans="1:2">
      <c r="A422" t="s">
        <v>3128</v>
      </c>
      <c r="B422">
        <v>0</v>
      </c>
    </row>
    <row r="423" spans="1:2">
      <c r="A423" t="s">
        <v>3129</v>
      </c>
      <c r="B423">
        <v>0</v>
      </c>
    </row>
    <row r="424" spans="1:2">
      <c r="A424" t="s">
        <v>3130</v>
      </c>
      <c r="B424">
        <v>0</v>
      </c>
    </row>
    <row r="425" spans="1:2">
      <c r="A425" t="s">
        <v>3131</v>
      </c>
      <c r="B425">
        <v>0</v>
      </c>
    </row>
    <row r="426" spans="1:2">
      <c r="A426" t="s">
        <v>3132</v>
      </c>
      <c r="B426">
        <v>0</v>
      </c>
    </row>
    <row r="427" spans="1:2">
      <c r="A427" t="s">
        <v>3133</v>
      </c>
      <c r="B427">
        <v>0</v>
      </c>
    </row>
    <row r="428" spans="1:2">
      <c r="A428" t="s">
        <v>3134</v>
      </c>
      <c r="B428">
        <v>0</v>
      </c>
    </row>
    <row r="429" spans="1:2">
      <c r="A429" t="s">
        <v>3135</v>
      </c>
      <c r="B429">
        <v>0</v>
      </c>
    </row>
    <row r="430" spans="1:2">
      <c r="A430" t="s">
        <v>3136</v>
      </c>
      <c r="B430">
        <v>0</v>
      </c>
    </row>
    <row r="431" spans="1:2">
      <c r="A431" t="s">
        <v>3137</v>
      </c>
      <c r="B431">
        <v>0</v>
      </c>
    </row>
    <row r="432" spans="1:2">
      <c r="A432" t="s">
        <v>1155</v>
      </c>
      <c r="B432">
        <v>0</v>
      </c>
    </row>
    <row r="433" spans="1:2">
      <c r="A433" t="s">
        <v>3138</v>
      </c>
      <c r="B433">
        <v>0</v>
      </c>
    </row>
    <row r="434" spans="1:2">
      <c r="A434" t="s">
        <v>3139</v>
      </c>
      <c r="B434">
        <v>0</v>
      </c>
    </row>
    <row r="435" spans="1:2">
      <c r="A435" t="s">
        <v>3140</v>
      </c>
      <c r="B435">
        <v>0</v>
      </c>
    </row>
    <row r="436" spans="1:2">
      <c r="A436" t="s">
        <v>3141</v>
      </c>
      <c r="B436">
        <v>0</v>
      </c>
    </row>
    <row r="437" spans="1:2">
      <c r="A437" t="s">
        <v>1159</v>
      </c>
      <c r="B437">
        <v>0</v>
      </c>
    </row>
    <row r="438" spans="1:2">
      <c r="A438" t="s">
        <v>3142</v>
      </c>
      <c r="B438">
        <v>0</v>
      </c>
    </row>
    <row r="439" spans="1:2">
      <c r="A439" t="s">
        <v>3143</v>
      </c>
      <c r="B439">
        <v>0</v>
      </c>
    </row>
    <row r="440" spans="1:2">
      <c r="A440" t="s">
        <v>3144</v>
      </c>
      <c r="B440">
        <v>0</v>
      </c>
    </row>
    <row r="441" spans="1:2">
      <c r="A441" t="s">
        <v>3145</v>
      </c>
      <c r="B441">
        <v>0</v>
      </c>
    </row>
    <row r="442" spans="1:2">
      <c r="A442" t="s">
        <v>3146</v>
      </c>
      <c r="B442">
        <v>0</v>
      </c>
    </row>
    <row r="443" spans="1:2">
      <c r="A443" t="s">
        <v>3147</v>
      </c>
      <c r="B443">
        <v>0</v>
      </c>
    </row>
    <row r="444" spans="1:2">
      <c r="A444" t="s">
        <v>3148</v>
      </c>
      <c r="B444">
        <v>0</v>
      </c>
    </row>
    <row r="445" spans="1:2">
      <c r="A445" t="s">
        <v>3149</v>
      </c>
      <c r="B445">
        <v>0</v>
      </c>
    </row>
    <row r="446" spans="1:2">
      <c r="A446" t="s">
        <v>3150</v>
      </c>
      <c r="B446">
        <v>0</v>
      </c>
    </row>
    <row r="447" spans="1:2">
      <c r="A447" t="s">
        <v>3151</v>
      </c>
      <c r="B447">
        <v>2</v>
      </c>
    </row>
    <row r="448" spans="1:2">
      <c r="A448" t="s">
        <v>3152</v>
      </c>
      <c r="B448">
        <v>0</v>
      </c>
    </row>
    <row r="449" spans="1:2">
      <c r="A449" t="s">
        <v>3153</v>
      </c>
      <c r="B449">
        <v>0</v>
      </c>
    </row>
    <row r="450" spans="1:2">
      <c r="A450" t="s">
        <v>3154</v>
      </c>
      <c r="B450">
        <v>0</v>
      </c>
    </row>
    <row r="451" spans="1:2">
      <c r="A451" t="s">
        <v>3155</v>
      </c>
      <c r="B451">
        <v>0</v>
      </c>
    </row>
    <row r="452" spans="1:2">
      <c r="A452" t="s">
        <v>3156</v>
      </c>
      <c r="B452">
        <v>0</v>
      </c>
    </row>
    <row r="453" spans="1:2">
      <c r="A453" t="s">
        <v>3157</v>
      </c>
      <c r="B453">
        <v>0</v>
      </c>
    </row>
    <row r="454" spans="1:2">
      <c r="A454" t="s">
        <v>3158</v>
      </c>
      <c r="B454">
        <v>0</v>
      </c>
    </row>
    <row r="455" spans="1:2">
      <c r="A455" t="s">
        <v>3159</v>
      </c>
      <c r="B455">
        <v>0</v>
      </c>
    </row>
    <row r="456" spans="1:2">
      <c r="A456" t="s">
        <v>3160</v>
      </c>
      <c r="B456">
        <v>0</v>
      </c>
    </row>
    <row r="457" spans="1:2">
      <c r="A457" t="s">
        <v>3161</v>
      </c>
      <c r="B457">
        <v>0</v>
      </c>
    </row>
    <row r="458" spans="1:2">
      <c r="A458" t="s">
        <v>1162</v>
      </c>
      <c r="B458">
        <v>0</v>
      </c>
    </row>
    <row r="459" spans="1:2">
      <c r="A459" t="s">
        <v>3162</v>
      </c>
      <c r="B459">
        <v>0</v>
      </c>
    </row>
    <row r="460" spans="1:2">
      <c r="A460" t="s">
        <v>3163</v>
      </c>
      <c r="B460">
        <v>0</v>
      </c>
    </row>
    <row r="461" spans="1:2">
      <c r="A461" t="s">
        <v>3164</v>
      </c>
      <c r="B461">
        <v>0</v>
      </c>
    </row>
    <row r="462" spans="1:2">
      <c r="A462" t="s">
        <v>3165</v>
      </c>
      <c r="B462">
        <v>0</v>
      </c>
    </row>
    <row r="463" spans="1:2">
      <c r="A463" t="s">
        <v>3166</v>
      </c>
      <c r="B463">
        <v>0</v>
      </c>
    </row>
    <row r="464" spans="1:2">
      <c r="A464" t="s">
        <v>3167</v>
      </c>
      <c r="B464">
        <v>0</v>
      </c>
    </row>
    <row r="465" spans="1:2">
      <c r="A465" t="s">
        <v>3168</v>
      </c>
      <c r="B465">
        <v>0</v>
      </c>
    </row>
    <row r="466" spans="1:2">
      <c r="A466" t="s">
        <v>3169</v>
      </c>
      <c r="B466">
        <v>0</v>
      </c>
    </row>
    <row r="467" spans="1:2">
      <c r="A467" t="s">
        <v>3170</v>
      </c>
      <c r="B467">
        <v>0</v>
      </c>
    </row>
    <row r="468" spans="1:2">
      <c r="A468" t="s">
        <v>3171</v>
      </c>
      <c r="B468">
        <v>0</v>
      </c>
    </row>
    <row r="469" spans="1:2">
      <c r="A469" t="s">
        <v>3172</v>
      </c>
      <c r="B469">
        <v>0</v>
      </c>
    </row>
    <row r="470" spans="1:2">
      <c r="A470" t="s">
        <v>3173</v>
      </c>
      <c r="B470">
        <v>0</v>
      </c>
    </row>
    <row r="471" spans="1:2">
      <c r="A471" t="s">
        <v>1165</v>
      </c>
      <c r="B471">
        <v>0</v>
      </c>
    </row>
    <row r="472" spans="1:2">
      <c r="A472" t="s">
        <v>3174</v>
      </c>
      <c r="B472">
        <v>0</v>
      </c>
    </row>
    <row r="473" spans="1:2">
      <c r="A473" t="s">
        <v>3175</v>
      </c>
      <c r="B473">
        <v>0</v>
      </c>
    </row>
    <row r="474" spans="1:2">
      <c r="A474" t="s">
        <v>3176</v>
      </c>
      <c r="B474">
        <v>0</v>
      </c>
    </row>
    <row r="475" spans="1:2">
      <c r="A475" t="s">
        <v>3177</v>
      </c>
      <c r="B475">
        <v>0</v>
      </c>
    </row>
    <row r="476" spans="1:2">
      <c r="A476" t="s">
        <v>2938</v>
      </c>
      <c r="B476">
        <v>3</v>
      </c>
    </row>
    <row r="477" spans="1:2">
      <c r="A477" t="s">
        <v>3178</v>
      </c>
      <c r="B477">
        <v>0</v>
      </c>
    </row>
    <row r="478" spans="1:2">
      <c r="A478" t="s">
        <v>3179</v>
      </c>
      <c r="B478">
        <v>0</v>
      </c>
    </row>
    <row r="479" spans="1:2">
      <c r="A479" t="s">
        <v>3180</v>
      </c>
      <c r="B479">
        <v>0</v>
      </c>
    </row>
    <row r="480" spans="1:2">
      <c r="A480" t="s">
        <v>3181</v>
      </c>
      <c r="B480">
        <v>0</v>
      </c>
    </row>
    <row r="481" spans="1:2">
      <c r="A481" t="s">
        <v>3182</v>
      </c>
      <c r="B481">
        <v>0</v>
      </c>
    </row>
    <row r="482" spans="1:2">
      <c r="A482" t="s">
        <v>3183</v>
      </c>
      <c r="B482">
        <v>0</v>
      </c>
    </row>
    <row r="483" spans="1:2">
      <c r="A483" t="s">
        <v>3184</v>
      </c>
      <c r="B483">
        <v>0</v>
      </c>
    </row>
    <row r="484" spans="1:2">
      <c r="A484" t="s">
        <v>3185</v>
      </c>
      <c r="B484">
        <v>0</v>
      </c>
    </row>
    <row r="485" spans="1:2">
      <c r="A485" t="s">
        <v>3186</v>
      </c>
      <c r="B485">
        <v>0</v>
      </c>
    </row>
    <row r="486" spans="1:2">
      <c r="A486" t="s">
        <v>3187</v>
      </c>
      <c r="B486">
        <v>0</v>
      </c>
    </row>
    <row r="487" spans="1:2">
      <c r="A487" t="s">
        <v>3188</v>
      </c>
      <c r="B487">
        <v>0</v>
      </c>
    </row>
    <row r="488" spans="1:2">
      <c r="A488" t="s">
        <v>3189</v>
      </c>
      <c r="B488">
        <v>0</v>
      </c>
    </row>
    <row r="489" spans="1:2">
      <c r="A489" t="s">
        <v>3190</v>
      </c>
      <c r="B489">
        <v>0</v>
      </c>
    </row>
    <row r="490" spans="1:2">
      <c r="A490" t="s">
        <v>3191</v>
      </c>
      <c r="B490">
        <v>0</v>
      </c>
    </row>
    <row r="491" spans="1:2">
      <c r="A491" t="s">
        <v>3192</v>
      </c>
      <c r="B491">
        <v>0</v>
      </c>
    </row>
    <row r="492" spans="1:2">
      <c r="A492" t="s">
        <v>1171</v>
      </c>
      <c r="B492">
        <v>0</v>
      </c>
    </row>
    <row r="493" spans="1:2">
      <c r="A493" t="s">
        <v>3193</v>
      </c>
      <c r="B493">
        <v>0</v>
      </c>
    </row>
    <row r="494" spans="1:2">
      <c r="A494" t="s">
        <v>3194</v>
      </c>
      <c r="B494">
        <v>0</v>
      </c>
    </row>
    <row r="495" spans="1:2">
      <c r="A495" t="s">
        <v>3195</v>
      </c>
      <c r="B495">
        <v>0</v>
      </c>
    </row>
    <row r="496" spans="1:2">
      <c r="A496" t="s">
        <v>3196</v>
      </c>
      <c r="B496">
        <v>0</v>
      </c>
    </row>
    <row r="497" spans="1:2">
      <c r="A497" t="s">
        <v>579</v>
      </c>
      <c r="B497">
        <v>0</v>
      </c>
    </row>
    <row r="498" spans="1:2">
      <c r="A498" t="s">
        <v>3197</v>
      </c>
      <c r="B498">
        <v>0</v>
      </c>
    </row>
    <row r="499" spans="1:2">
      <c r="A499" t="s">
        <v>3198</v>
      </c>
      <c r="B499">
        <v>0</v>
      </c>
    </row>
    <row r="500" spans="1:2">
      <c r="A500" t="s">
        <v>3199</v>
      </c>
      <c r="B500">
        <v>0</v>
      </c>
    </row>
    <row r="501" spans="1:2">
      <c r="A501" t="s">
        <v>3200</v>
      </c>
      <c r="B501">
        <v>0</v>
      </c>
    </row>
    <row r="502" spans="1:2">
      <c r="A502" t="s">
        <v>3201</v>
      </c>
      <c r="B502">
        <v>0</v>
      </c>
    </row>
    <row r="503" spans="1:2">
      <c r="A503" t="s">
        <v>3202</v>
      </c>
      <c r="B503">
        <v>0</v>
      </c>
    </row>
    <row r="504" spans="1:2">
      <c r="A504" t="s">
        <v>3203</v>
      </c>
      <c r="B504">
        <v>0</v>
      </c>
    </row>
    <row r="505" spans="1:2">
      <c r="A505" t="s">
        <v>3204</v>
      </c>
      <c r="B505">
        <v>0</v>
      </c>
    </row>
    <row r="506" spans="1:2">
      <c r="A506" t="s">
        <v>3205</v>
      </c>
      <c r="B506">
        <v>0</v>
      </c>
    </row>
    <row r="507" spans="1:2">
      <c r="A507" t="s">
        <v>3206</v>
      </c>
      <c r="B507">
        <v>0</v>
      </c>
    </row>
    <row r="508" spans="1:2">
      <c r="A508" t="s">
        <v>3207</v>
      </c>
      <c r="B508">
        <v>0</v>
      </c>
    </row>
    <row r="509" spans="1:2">
      <c r="A509" t="s">
        <v>3208</v>
      </c>
      <c r="B509">
        <v>0</v>
      </c>
    </row>
    <row r="510" spans="1:2">
      <c r="A510" t="s">
        <v>3209</v>
      </c>
      <c r="B510">
        <v>0</v>
      </c>
    </row>
    <row r="511" spans="1:2">
      <c r="A511" t="s">
        <v>3210</v>
      </c>
      <c r="B511">
        <v>0</v>
      </c>
    </row>
    <row r="512" spans="1:2">
      <c r="A512" t="s">
        <v>3211</v>
      </c>
      <c r="B512">
        <v>0</v>
      </c>
    </row>
    <row r="513" spans="1:2">
      <c r="A513" t="s">
        <v>3212</v>
      </c>
      <c r="B513">
        <v>0</v>
      </c>
    </row>
    <row r="514" spans="1:2">
      <c r="A514" t="s">
        <v>3213</v>
      </c>
      <c r="B514">
        <v>0</v>
      </c>
    </row>
    <row r="515" spans="1:2">
      <c r="A515" t="s">
        <v>3214</v>
      </c>
      <c r="B515">
        <v>0</v>
      </c>
    </row>
    <row r="516" spans="1:2">
      <c r="A516" t="s">
        <v>3215</v>
      </c>
      <c r="B516">
        <v>0</v>
      </c>
    </row>
    <row r="517" spans="1:2">
      <c r="A517" t="s">
        <v>3216</v>
      </c>
      <c r="B517">
        <v>0</v>
      </c>
    </row>
    <row r="518" spans="1:2">
      <c r="A518" t="s">
        <v>3217</v>
      </c>
      <c r="B518">
        <v>3</v>
      </c>
    </row>
    <row r="519" spans="1:2">
      <c r="A519" t="s">
        <v>3218</v>
      </c>
      <c r="B519">
        <v>0</v>
      </c>
    </row>
    <row r="520" spans="1:2">
      <c r="A520" t="s">
        <v>3219</v>
      </c>
      <c r="B520">
        <v>0</v>
      </c>
    </row>
    <row r="521" spans="1:2">
      <c r="A521" t="s">
        <v>3220</v>
      </c>
      <c r="B521">
        <v>0</v>
      </c>
    </row>
    <row r="522" spans="1:2">
      <c r="A522" t="s">
        <v>3221</v>
      </c>
      <c r="B522">
        <v>0</v>
      </c>
    </row>
    <row r="523" spans="1:2">
      <c r="A523" t="s">
        <v>3222</v>
      </c>
      <c r="B523">
        <v>0</v>
      </c>
    </row>
    <row r="524" spans="1:2">
      <c r="A524" t="s">
        <v>3223</v>
      </c>
      <c r="B524">
        <v>0</v>
      </c>
    </row>
    <row r="525" spans="1:2">
      <c r="A525" t="s">
        <v>3224</v>
      </c>
      <c r="B525">
        <v>0</v>
      </c>
    </row>
    <row r="526" spans="1:2">
      <c r="A526" t="s">
        <v>3225</v>
      </c>
      <c r="B526">
        <v>0</v>
      </c>
    </row>
    <row r="527" spans="1:2">
      <c r="A527" t="s">
        <v>3226</v>
      </c>
      <c r="B527">
        <v>0</v>
      </c>
    </row>
    <row r="528" spans="1:2">
      <c r="A528" t="s">
        <v>3227</v>
      </c>
      <c r="B528">
        <v>0</v>
      </c>
    </row>
    <row r="529" spans="1:2">
      <c r="A529" t="s">
        <v>3228</v>
      </c>
      <c r="B529">
        <v>0</v>
      </c>
    </row>
    <row r="530" spans="1:2">
      <c r="A530" t="s">
        <v>3229</v>
      </c>
      <c r="B530">
        <v>0</v>
      </c>
    </row>
    <row r="531" spans="1:2">
      <c r="A531" t="s">
        <v>3230</v>
      </c>
      <c r="B531">
        <v>0</v>
      </c>
    </row>
    <row r="532" spans="1:2">
      <c r="A532" t="s">
        <v>3231</v>
      </c>
      <c r="B532">
        <v>0</v>
      </c>
    </row>
    <row r="533" spans="1:2">
      <c r="A533" t="s">
        <v>3232</v>
      </c>
      <c r="B533">
        <v>0</v>
      </c>
    </row>
    <row r="534" spans="1:2">
      <c r="A534" t="s">
        <v>3233</v>
      </c>
      <c r="B534">
        <v>0</v>
      </c>
    </row>
    <row r="535" spans="1:2">
      <c r="A535" t="s">
        <v>3234</v>
      </c>
      <c r="B535">
        <v>3</v>
      </c>
    </row>
    <row r="536" spans="1:2">
      <c r="A536" t="s">
        <v>3235</v>
      </c>
      <c r="B536">
        <v>0</v>
      </c>
    </row>
    <row r="537" spans="1:2">
      <c r="A537" t="s">
        <v>3236</v>
      </c>
      <c r="B537">
        <v>3</v>
      </c>
    </row>
    <row r="538" spans="1:2">
      <c r="A538" t="s">
        <v>3237</v>
      </c>
      <c r="B538">
        <v>0</v>
      </c>
    </row>
    <row r="539" spans="1:2">
      <c r="A539" t="s">
        <v>3238</v>
      </c>
      <c r="B539">
        <v>0</v>
      </c>
    </row>
    <row r="540" spans="1:2">
      <c r="A540" t="s">
        <v>3239</v>
      </c>
      <c r="B540">
        <v>0</v>
      </c>
    </row>
    <row r="541" spans="1:2">
      <c r="A541" t="s">
        <v>3240</v>
      </c>
      <c r="B541">
        <v>0</v>
      </c>
    </row>
    <row r="542" spans="1:2">
      <c r="A542" t="s">
        <v>3241</v>
      </c>
      <c r="B542">
        <v>0</v>
      </c>
    </row>
    <row r="543" spans="1:2">
      <c r="A543" t="s">
        <v>3242</v>
      </c>
      <c r="B543">
        <v>0</v>
      </c>
    </row>
    <row r="544" spans="1:2">
      <c r="A544" t="s">
        <v>3243</v>
      </c>
      <c r="B544">
        <v>0</v>
      </c>
    </row>
    <row r="545" spans="1:3">
      <c r="A545" t="s">
        <v>3244</v>
      </c>
      <c r="B545">
        <v>0</v>
      </c>
    </row>
    <row r="546" spans="1:3">
      <c r="A546" t="s">
        <v>3245</v>
      </c>
      <c r="B546">
        <v>0</v>
      </c>
    </row>
    <row r="547" spans="1:3">
      <c r="A547" t="s">
        <v>3246</v>
      </c>
      <c r="B547">
        <v>0</v>
      </c>
    </row>
    <row r="548" spans="1:3">
      <c r="A548" t="s">
        <v>3247</v>
      </c>
      <c r="B548">
        <v>0</v>
      </c>
    </row>
    <row r="549" spans="1:3">
      <c r="A549" t="s">
        <v>1179</v>
      </c>
      <c r="B549">
        <v>0</v>
      </c>
    </row>
    <row r="552" spans="1:3" ht="15" thickBot="1"/>
    <row r="553" spans="1:3" ht="15" thickBot="1">
      <c r="A553" s="258" t="s">
        <v>705</v>
      </c>
      <c r="B553" s="259" t="s">
        <v>410</v>
      </c>
      <c r="C553" s="260">
        <v>8.6817346484673763</v>
      </c>
    </row>
    <row r="554" spans="1:3" ht="15" thickBot="1">
      <c r="A554" s="258" t="s">
        <v>707</v>
      </c>
      <c r="B554" s="261" t="s">
        <v>708</v>
      </c>
      <c r="C554" s="260">
        <v>1.5896134694072646</v>
      </c>
    </row>
    <row r="555" spans="1:3" ht="15" thickBot="1">
      <c r="A555" s="258" t="s">
        <v>709</v>
      </c>
      <c r="B555" s="261" t="s">
        <v>710</v>
      </c>
      <c r="C555" s="260">
        <v>10.288703212226878</v>
      </c>
    </row>
    <row r="556" spans="1:3" ht="15" thickBot="1">
      <c r="A556" s="258" t="s">
        <v>711</v>
      </c>
      <c r="B556" s="261" t="s">
        <v>712</v>
      </c>
      <c r="C556" s="260">
        <v>4.2762293024083338</v>
      </c>
    </row>
    <row r="557" spans="1:3" ht="15" thickBot="1">
      <c r="A557" s="258" t="s">
        <v>713</v>
      </c>
      <c r="B557" s="261" t="s">
        <v>714</v>
      </c>
      <c r="C557" s="260">
        <v>3.1584752895401684</v>
      </c>
    </row>
    <row r="558" spans="1:3" ht="15" thickBot="1">
      <c r="A558" s="258" t="s">
        <v>715</v>
      </c>
      <c r="B558" s="261" t="s">
        <v>716</v>
      </c>
      <c r="C558" s="260">
        <v>25.393610171003605</v>
      </c>
    </row>
    <row r="559" spans="1:3" ht="15" thickBot="1">
      <c r="A559" s="258" t="s">
        <v>717</v>
      </c>
      <c r="B559" s="261" t="s">
        <v>718</v>
      </c>
      <c r="C559" s="260">
        <v>8.1222823300722506</v>
      </c>
    </row>
    <row r="560" spans="1:3" ht="15" thickBot="1">
      <c r="A560" s="258" t="s">
        <v>719</v>
      </c>
      <c r="B560" s="261" t="s">
        <v>720</v>
      </c>
      <c r="C560" s="260">
        <v>5.8683947335626732</v>
      </c>
    </row>
    <row r="561" spans="1:3" ht="15" thickBot="1">
      <c r="A561" s="258" t="s">
        <v>721</v>
      </c>
      <c r="B561" s="261" t="s">
        <v>722</v>
      </c>
      <c r="C561" s="260">
        <v>18.085170134420103</v>
      </c>
    </row>
    <row r="562" spans="1:3" ht="15" thickBot="1">
      <c r="A562" s="258" t="s">
        <v>723</v>
      </c>
      <c r="B562" s="259" t="s">
        <v>724</v>
      </c>
      <c r="C562" s="260">
        <v>1.0656362661067138</v>
      </c>
    </row>
    <row r="563" spans="1:3" ht="15" thickBot="1">
      <c r="A563" s="258" t="s">
        <v>725</v>
      </c>
      <c r="B563" s="261" t="s">
        <v>726</v>
      </c>
      <c r="C563" s="260">
        <v>2.8619081702102802</v>
      </c>
    </row>
    <row r="564" spans="1:3" ht="15" thickBot="1">
      <c r="A564" s="258" t="s">
        <v>727</v>
      </c>
      <c r="B564" s="261" t="s">
        <v>728</v>
      </c>
      <c r="C564" s="260">
        <v>2.4314722386620735</v>
      </c>
    </row>
    <row r="565" spans="1:3" ht="15" thickBot="1">
      <c r="A565" s="258" t="s">
        <v>729</v>
      </c>
      <c r="B565" s="262" t="s">
        <v>730</v>
      </c>
      <c r="C565" s="260">
        <v>0.53049941013446511</v>
      </c>
    </row>
    <row r="566" spans="1:3" ht="15" thickBot="1">
      <c r="A566" s="258" t="s">
        <v>731</v>
      </c>
      <c r="B566" s="261" t="s">
        <v>732</v>
      </c>
      <c r="C566" s="260">
        <v>1.4400365240210267</v>
      </c>
    </row>
    <row r="567" spans="1:3" ht="15" thickBot="1">
      <c r="A567" s="258" t="s">
        <v>733</v>
      </c>
      <c r="B567" s="261" t="s">
        <v>734</v>
      </c>
      <c r="C567" s="260">
        <v>3.0152444913917975</v>
      </c>
    </row>
    <row r="568" spans="1:3" ht="15" thickBot="1">
      <c r="A568" s="258" t="s">
        <v>735</v>
      </c>
      <c r="B568" s="261" t="s">
        <v>736</v>
      </c>
      <c r="C568" s="260">
        <v>13.63692754971138</v>
      </c>
    </row>
    <row r="569" spans="1:3" ht="15" thickBot="1">
      <c r="A569" s="258" t="s">
        <v>737</v>
      </c>
      <c r="B569" s="261" t="s">
        <v>738</v>
      </c>
      <c r="C569" s="260">
        <v>8.0824560481186474</v>
      </c>
    </row>
    <row r="570" spans="1:3" ht="15" thickBot="1">
      <c r="A570" s="258" t="s">
        <v>739</v>
      </c>
      <c r="B570" s="261" t="s">
        <v>740</v>
      </c>
      <c r="C570" s="260">
        <v>0</v>
      </c>
    </row>
    <row r="571" spans="1:3" ht="15" thickBot="1">
      <c r="A571" s="258" t="s">
        <v>741</v>
      </c>
      <c r="B571" s="261" t="s">
        <v>742</v>
      </c>
      <c r="C571" s="260">
        <v>13.702762949786916</v>
      </c>
    </row>
    <row r="572" spans="1:3" ht="15" thickBot="1">
      <c r="A572" s="258" t="s">
        <v>743</v>
      </c>
      <c r="B572" s="261" t="s">
        <v>744</v>
      </c>
      <c r="C572" s="260">
        <v>0.41048747799423546</v>
      </c>
    </row>
    <row r="573" spans="1:3" ht="15" thickBot="1">
      <c r="A573" s="258" t="s">
        <v>745</v>
      </c>
      <c r="B573" s="261" t="s">
        <v>746</v>
      </c>
      <c r="C573" s="260">
        <v>0.57497083664727655</v>
      </c>
    </row>
    <row r="574" spans="1:3" ht="15" thickBot="1">
      <c r="A574" s="258" t="s">
        <v>747</v>
      </c>
      <c r="B574" s="261" t="s">
        <v>748</v>
      </c>
      <c r="C574" s="260">
        <v>4.119343089928222</v>
      </c>
    </row>
    <row r="575" spans="1:3" ht="15" thickBot="1">
      <c r="A575" s="258" t="s">
        <v>749</v>
      </c>
      <c r="B575" s="261" t="s">
        <v>750</v>
      </c>
      <c r="C575" s="260">
        <v>5.8842184374227982</v>
      </c>
    </row>
    <row r="576" spans="1:3" ht="15" thickBot="1">
      <c r="A576" s="258" t="s">
        <v>751</v>
      </c>
      <c r="B576" s="261" t="s">
        <v>685</v>
      </c>
      <c r="C576" s="260">
        <v>3.5556462625714897</v>
      </c>
    </row>
    <row r="577" spans="1:3" ht="15" thickBot="1">
      <c r="A577" s="258" t="s">
        <v>752</v>
      </c>
      <c r="B577" s="261" t="s">
        <v>753</v>
      </c>
      <c r="C577" s="260">
        <v>1.7179652777777776E-2</v>
      </c>
    </row>
    <row r="578" spans="1:3" ht="15" thickBot="1">
      <c r="A578" s="258"/>
      <c r="B578" s="263" t="s">
        <v>3248</v>
      </c>
      <c r="C578" s="260">
        <v>0.16715204924239649</v>
      </c>
    </row>
    <row r="579" spans="1:3" ht="15" thickBot="1">
      <c r="A579" s="258"/>
      <c r="B579" s="263" t="s">
        <v>3248</v>
      </c>
      <c r="C579" s="260">
        <v>0.25056748601748252</v>
      </c>
    </row>
    <row r="580" spans="1:3" ht="15" thickBot="1"/>
    <row r="581" spans="1:3" ht="15" thickBot="1">
      <c r="A581" s="264" t="s">
        <v>3249</v>
      </c>
      <c r="B581" s="259" t="s">
        <v>757</v>
      </c>
      <c r="C581" s="260">
        <v>0.16972499543009054</v>
      </c>
    </row>
    <row r="582" spans="1:3" ht="15" thickBot="1">
      <c r="A582" s="261"/>
      <c r="B582" s="263" t="s">
        <v>3248</v>
      </c>
      <c r="C582" s="260">
        <v>0.31684716533865287</v>
      </c>
    </row>
    <row r="583" spans="1:3" ht="15" thickBot="1">
      <c r="A583" s="261"/>
      <c r="B583" s="263" t="s">
        <v>3248</v>
      </c>
      <c r="C583" s="260">
        <v>1.4351063417966796E-2</v>
      </c>
    </row>
    <row r="584" spans="1:3" ht="15" thickBot="1">
      <c r="A584" s="261"/>
      <c r="B584" s="263" t="s">
        <v>3248</v>
      </c>
      <c r="C584" s="260">
        <v>6.0695918278226221E-3</v>
      </c>
    </row>
    <row r="585" spans="1:3" ht="15" thickBot="1"/>
    <row r="586" spans="1:3" ht="15" thickBot="1">
      <c r="A586" s="259" t="s">
        <v>3250</v>
      </c>
      <c r="B586" s="261" t="s">
        <v>759</v>
      </c>
      <c r="C586" s="260">
        <v>1.0079990413720277</v>
      </c>
    </row>
    <row r="587" spans="1:3" ht="15" thickBot="1">
      <c r="B587" s="261" t="s">
        <v>760</v>
      </c>
      <c r="C587" s="260">
        <v>0.31351678021098778</v>
      </c>
    </row>
    <row r="588" spans="1:3" ht="15" thickBot="1">
      <c r="A588" s="261"/>
      <c r="B588" s="261" t="s">
        <v>761</v>
      </c>
      <c r="C588" s="260">
        <v>0.88405110122993147</v>
      </c>
    </row>
    <row r="589" spans="1:3" ht="15" thickBot="1">
      <c r="A589" s="261"/>
      <c r="B589" s="261" t="s">
        <v>762</v>
      </c>
      <c r="C589" s="260">
        <v>0.34380732718628254</v>
      </c>
    </row>
    <row r="590" spans="1:3" ht="15" thickBot="1">
      <c r="A590" s="261"/>
      <c r="B590" s="263" t="s">
        <v>3248</v>
      </c>
      <c r="C590" s="260">
        <v>8.3013245313021081E-2</v>
      </c>
    </row>
    <row r="591" spans="1:3" ht="15" thickBot="1"/>
    <row r="592" spans="1:3" ht="15" thickBot="1">
      <c r="A592" s="259" t="s">
        <v>3251</v>
      </c>
      <c r="B592" s="261" t="s">
        <v>764</v>
      </c>
      <c r="C592" s="260">
        <v>4.6964038659794438</v>
      </c>
    </row>
    <row r="593" spans="1:3" ht="15" thickBot="1">
      <c r="A593" s="261"/>
      <c r="B593" s="261" t="s">
        <v>411</v>
      </c>
      <c r="C593" s="260">
        <v>3.397816351302013</v>
      </c>
    </row>
    <row r="594" spans="1:3" ht="15" thickBot="1">
      <c r="A594" s="261"/>
      <c r="B594" s="261" t="s">
        <v>412</v>
      </c>
      <c r="C594" s="260">
        <v>3.9598180424375298</v>
      </c>
    </row>
    <row r="595" spans="1:3" ht="15" thickBot="1">
      <c r="A595" s="261"/>
      <c r="B595" s="261" t="s">
        <v>765</v>
      </c>
      <c r="C595" s="260">
        <v>0.57001251121509944</v>
      </c>
    </row>
    <row r="596" spans="1:3" ht="15" thickBot="1">
      <c r="A596" s="261"/>
      <c r="B596" s="261" t="s">
        <v>766</v>
      </c>
      <c r="C596" s="260">
        <v>0.33469803799683517</v>
      </c>
    </row>
    <row r="597" spans="1:3" ht="15" thickBot="1">
      <c r="A597" s="261"/>
      <c r="B597" s="259" t="s">
        <v>3252</v>
      </c>
      <c r="C597" s="260">
        <v>1.6987537078850419</v>
      </c>
    </row>
    <row r="602" spans="1:3">
      <c r="A602" s="309" t="s">
        <v>3253</v>
      </c>
    </row>
    <row r="603" spans="1:3">
      <c r="A603" t="s">
        <v>3254</v>
      </c>
    </row>
    <row r="604" spans="1:3">
      <c r="A604" t="s">
        <v>3255</v>
      </c>
    </row>
    <row r="605" spans="1:3">
      <c r="A605" t="s">
        <v>3256</v>
      </c>
    </row>
    <row r="606" spans="1:3">
      <c r="A606" t="s">
        <v>3257</v>
      </c>
    </row>
    <row r="607" spans="1:3">
      <c r="A607" t="s">
        <v>3258</v>
      </c>
    </row>
    <row r="608" spans="1:3">
      <c r="A608" t="s">
        <v>3259</v>
      </c>
    </row>
    <row r="609" spans="1:1">
      <c r="A609" t="s">
        <v>3260</v>
      </c>
    </row>
    <row r="610" spans="1:1">
      <c r="A610" t="s">
        <v>3261</v>
      </c>
    </row>
    <row r="611" spans="1:1">
      <c r="A611" t="s">
        <v>3262</v>
      </c>
    </row>
    <row r="612" spans="1:1">
      <c r="A612" t="s">
        <v>3263</v>
      </c>
    </row>
    <row r="613" spans="1:1">
      <c r="A613" t="s">
        <v>3264</v>
      </c>
    </row>
    <row r="614" spans="1:1">
      <c r="A614" t="s">
        <v>3265</v>
      </c>
    </row>
    <row r="615" spans="1:1">
      <c r="A615" t="s">
        <v>3266</v>
      </c>
    </row>
    <row r="616" spans="1:1">
      <c r="A616" t="s">
        <v>3267</v>
      </c>
    </row>
    <row r="617" spans="1:1">
      <c r="A617" t="s">
        <v>3268</v>
      </c>
    </row>
    <row r="618" spans="1:1">
      <c r="A618" t="s">
        <v>3269</v>
      </c>
    </row>
    <row r="619" spans="1:1">
      <c r="A619" t="s">
        <v>3270</v>
      </c>
    </row>
    <row r="620" spans="1:1">
      <c r="A620" t="s">
        <v>3271</v>
      </c>
    </row>
    <row r="621" spans="1:1">
      <c r="A621" t="s">
        <v>3272</v>
      </c>
    </row>
    <row r="622" spans="1:1">
      <c r="A622" t="s">
        <v>3273</v>
      </c>
    </row>
    <row r="623" spans="1:1">
      <c r="A623" t="s">
        <v>3274</v>
      </c>
    </row>
    <row r="624" spans="1:1">
      <c r="A624" t="s">
        <v>3275</v>
      </c>
    </row>
    <row r="625" spans="1:1">
      <c r="A625" t="s">
        <v>3276</v>
      </c>
    </row>
    <row r="626" spans="1:1">
      <c r="A626" t="s">
        <v>3277</v>
      </c>
    </row>
    <row r="627" spans="1:1">
      <c r="A627" t="s">
        <v>3278</v>
      </c>
    </row>
    <row r="628" spans="1:1">
      <c r="A628" t="s">
        <v>3279</v>
      </c>
    </row>
    <row r="629" spans="1:1">
      <c r="A629" t="s">
        <v>3280</v>
      </c>
    </row>
    <row r="630" spans="1:1">
      <c r="A630" t="s">
        <v>3281</v>
      </c>
    </row>
    <row r="631" spans="1:1">
      <c r="A631" t="s">
        <v>3282</v>
      </c>
    </row>
    <row r="632" spans="1:1">
      <c r="A632" t="s">
        <v>3283</v>
      </c>
    </row>
    <row r="633" spans="1:1">
      <c r="A633" t="s">
        <v>3284</v>
      </c>
    </row>
    <row r="634" spans="1:1">
      <c r="A634" s="314" t="s">
        <v>3285</v>
      </c>
    </row>
    <row r="635" spans="1:1">
      <c r="A635" s="314" t="s">
        <v>3286</v>
      </c>
    </row>
    <row r="636" spans="1:1">
      <c r="A636" s="314" t="s">
        <v>3287</v>
      </c>
    </row>
    <row r="637" spans="1:1">
      <c r="A637" s="314" t="s">
        <v>3288</v>
      </c>
    </row>
    <row r="638" spans="1:1">
      <c r="A638" s="314" t="s">
        <v>3289</v>
      </c>
    </row>
    <row r="639" spans="1:1">
      <c r="A639" s="314" t="s">
        <v>3290</v>
      </c>
    </row>
    <row r="640" spans="1:1">
      <c r="A640" s="314" t="s">
        <v>3291</v>
      </c>
    </row>
    <row r="641" spans="1:1">
      <c r="A641" s="314" t="s">
        <v>3292</v>
      </c>
    </row>
    <row r="642" spans="1:1">
      <c r="A642" s="314" t="s">
        <v>3293</v>
      </c>
    </row>
    <row r="643" spans="1:1">
      <c r="A643" s="314" t="s">
        <v>3294</v>
      </c>
    </row>
    <row r="644" spans="1:1" ht="17.25" customHeight="1">
      <c r="A644" s="314" t="s">
        <v>3295</v>
      </c>
    </row>
    <row r="645" spans="1:1">
      <c r="A645" s="314" t="s">
        <v>3296</v>
      </c>
    </row>
    <row r="646" spans="1:1">
      <c r="A646" s="314" t="s">
        <v>3297</v>
      </c>
    </row>
    <row r="647" spans="1:1">
      <c r="A647" s="314" t="s">
        <v>3298</v>
      </c>
    </row>
    <row r="648" spans="1:1">
      <c r="A648" s="314" t="s">
        <v>3299</v>
      </c>
    </row>
    <row r="649" spans="1:1">
      <c r="A649" s="314" t="s">
        <v>3300</v>
      </c>
    </row>
    <row r="650" spans="1:1">
      <c r="A650" s="314" t="s">
        <v>3301</v>
      </c>
    </row>
    <row r="651" spans="1:1">
      <c r="A651" s="314" t="s">
        <v>3302</v>
      </c>
    </row>
    <row r="652" spans="1:1">
      <c r="A652" s="314" t="s">
        <v>3303</v>
      </c>
    </row>
    <row r="653" spans="1:1">
      <c r="A653" s="314" t="s">
        <v>3304</v>
      </c>
    </row>
    <row r="654" spans="1:1">
      <c r="A654" s="314" t="s">
        <v>3305</v>
      </c>
    </row>
    <row r="655" spans="1:1">
      <c r="A655" s="314" t="s">
        <v>3306</v>
      </c>
    </row>
    <row r="656" spans="1:1">
      <c r="A656" s="314" t="s">
        <v>3307</v>
      </c>
    </row>
    <row r="657" spans="1:1">
      <c r="A657" s="314" t="s">
        <v>3308</v>
      </c>
    </row>
    <row r="658" spans="1:1">
      <c r="A658" s="314" t="s">
        <v>3309</v>
      </c>
    </row>
    <row r="659" spans="1:1">
      <c r="A659" s="314" t="s">
        <v>3310</v>
      </c>
    </row>
    <row r="660" spans="1:1">
      <c r="A660" s="314" t="s">
        <v>3311</v>
      </c>
    </row>
    <row r="661" spans="1:1">
      <c r="A661" s="314" t="s">
        <v>3312</v>
      </c>
    </row>
    <row r="662" spans="1:1">
      <c r="A662" s="314" t="s">
        <v>3313</v>
      </c>
    </row>
    <row r="663" spans="1:1">
      <c r="A663" s="314" t="s">
        <v>3314</v>
      </c>
    </row>
    <row r="664" spans="1:1">
      <c r="A664" s="314" t="s">
        <v>3315</v>
      </c>
    </row>
    <row r="665" spans="1:1">
      <c r="A665" s="314" t="s">
        <v>3316</v>
      </c>
    </row>
    <row r="666" spans="1:1">
      <c r="A666" s="314" t="s">
        <v>3317</v>
      </c>
    </row>
    <row r="667" spans="1:1">
      <c r="A667" s="314" t="s">
        <v>3318</v>
      </c>
    </row>
    <row r="668" spans="1:1">
      <c r="A668" s="314" t="s">
        <v>3319</v>
      </c>
    </row>
    <row r="669" spans="1:1">
      <c r="A669" s="314" t="s">
        <v>3320</v>
      </c>
    </row>
    <row r="670" spans="1:1">
      <c r="A670" s="314" t="s">
        <v>3321</v>
      </c>
    </row>
    <row r="671" spans="1:1">
      <c r="A671" s="314" t="s">
        <v>3322</v>
      </c>
    </row>
    <row r="672" spans="1:1">
      <c r="A672" s="314" t="s">
        <v>3323</v>
      </c>
    </row>
    <row r="673" spans="1:1">
      <c r="A673" s="314" t="s">
        <v>3324</v>
      </c>
    </row>
    <row r="674" spans="1:1">
      <c r="A674" s="314" t="s">
        <v>3325</v>
      </c>
    </row>
    <row r="675" spans="1:1">
      <c r="A675" s="314" t="s">
        <v>3326</v>
      </c>
    </row>
    <row r="676" spans="1:1">
      <c r="A676" s="314" t="s">
        <v>3327</v>
      </c>
    </row>
    <row r="677" spans="1:1">
      <c r="A677" s="314" t="s">
        <v>3328</v>
      </c>
    </row>
    <row r="678" spans="1:1">
      <c r="A678" s="314" t="s">
        <v>3329</v>
      </c>
    </row>
    <row r="679" spans="1:1">
      <c r="A679" s="314" t="s">
        <v>3330</v>
      </c>
    </row>
    <row r="680" spans="1:1">
      <c r="A680" s="314" t="s">
        <v>3331</v>
      </c>
    </row>
    <row r="681" spans="1:1">
      <c r="A681" s="314" t="s">
        <v>3332</v>
      </c>
    </row>
    <row r="682" spans="1:1">
      <c r="A682" s="314" t="s">
        <v>3333</v>
      </c>
    </row>
    <row r="683" spans="1:1">
      <c r="A683" s="314" t="s">
        <v>3334</v>
      </c>
    </row>
    <row r="684" spans="1:1">
      <c r="A684" s="314" t="s">
        <v>3335</v>
      </c>
    </row>
    <row r="685" spans="1:1">
      <c r="A685" s="314" t="s">
        <v>3336</v>
      </c>
    </row>
    <row r="686" spans="1:1">
      <c r="A686" s="314" t="s">
        <v>3337</v>
      </c>
    </row>
    <row r="687" spans="1:1">
      <c r="A687" s="314" t="s">
        <v>3338</v>
      </c>
    </row>
    <row r="688" spans="1:1">
      <c r="A688" s="314" t="s">
        <v>3339</v>
      </c>
    </row>
    <row r="689" spans="1:1">
      <c r="A689" s="314" t="s">
        <v>3340</v>
      </c>
    </row>
    <row r="690" spans="1:1">
      <c r="A690" s="314" t="s">
        <v>3341</v>
      </c>
    </row>
    <row r="691" spans="1:1">
      <c r="A691" s="314" t="s">
        <v>3342</v>
      </c>
    </row>
    <row r="692" spans="1:1">
      <c r="A692" s="314" t="s">
        <v>3343</v>
      </c>
    </row>
    <row r="693" spans="1:1">
      <c r="A693" s="314" t="s">
        <v>3344</v>
      </c>
    </row>
    <row r="694" spans="1:1">
      <c r="A694" s="314" t="s">
        <v>3345</v>
      </c>
    </row>
    <row r="695" spans="1:1">
      <c r="A695" s="314" t="s">
        <v>3346</v>
      </c>
    </row>
    <row r="696" spans="1:1">
      <c r="A696" s="314" t="s">
        <v>3347</v>
      </c>
    </row>
    <row r="697" spans="1:1">
      <c r="A697" s="314" t="s">
        <v>3348</v>
      </c>
    </row>
    <row r="698" spans="1:1">
      <c r="A698" s="314" t="s">
        <v>3349</v>
      </c>
    </row>
    <row r="699" spans="1:1">
      <c r="A699" s="314" t="s">
        <v>3350</v>
      </c>
    </row>
    <row r="700" spans="1:1">
      <c r="A700" s="314" t="s">
        <v>3351</v>
      </c>
    </row>
    <row r="701" spans="1:1">
      <c r="A701" s="314" t="s">
        <v>3352</v>
      </c>
    </row>
    <row r="702" spans="1:1">
      <c r="A702" s="314" t="s">
        <v>3353</v>
      </c>
    </row>
    <row r="703" spans="1:1">
      <c r="A703" s="314" t="s">
        <v>3354</v>
      </c>
    </row>
    <row r="704" spans="1:1">
      <c r="A704" s="314" t="s">
        <v>3355</v>
      </c>
    </row>
    <row r="705" spans="1:1">
      <c r="A705" s="314" t="s">
        <v>3356</v>
      </c>
    </row>
    <row r="706" spans="1:1">
      <c r="A706" s="314" t="s">
        <v>3357</v>
      </c>
    </row>
    <row r="707" spans="1:1">
      <c r="A707" s="314" t="s">
        <v>3358</v>
      </c>
    </row>
    <row r="708" spans="1:1">
      <c r="A708" s="314" t="s">
        <v>3359</v>
      </c>
    </row>
    <row r="709" spans="1:1">
      <c r="A709" s="314" t="s">
        <v>3360</v>
      </c>
    </row>
    <row r="710" spans="1:1">
      <c r="A710" s="314" t="s">
        <v>3361</v>
      </c>
    </row>
    <row r="711" spans="1:1">
      <c r="A711" s="314" t="s">
        <v>3362</v>
      </c>
    </row>
    <row r="712" spans="1:1">
      <c r="A712" s="314" t="s">
        <v>3363</v>
      </c>
    </row>
    <row r="713" spans="1:1">
      <c r="A713" s="314" t="s">
        <v>3364</v>
      </c>
    </row>
    <row r="714" spans="1:1">
      <c r="A714" s="314" t="s">
        <v>3365</v>
      </c>
    </row>
    <row r="715" spans="1:1">
      <c r="A715" s="314" t="s">
        <v>3366</v>
      </c>
    </row>
    <row r="716" spans="1:1">
      <c r="A716" s="314" t="s">
        <v>3367</v>
      </c>
    </row>
    <row r="717" spans="1:1">
      <c r="A717" s="314" t="s">
        <v>3368</v>
      </c>
    </row>
    <row r="718" spans="1:1">
      <c r="A718" s="314" t="s">
        <v>3369</v>
      </c>
    </row>
    <row r="719" spans="1:1">
      <c r="A719" s="314" t="s">
        <v>3370</v>
      </c>
    </row>
    <row r="720" spans="1:1">
      <c r="A720" s="314" t="s">
        <v>3371</v>
      </c>
    </row>
    <row r="721" spans="1:13">
      <c r="A721" s="314" t="s">
        <v>3372</v>
      </c>
    </row>
    <row r="722" spans="1:13">
      <c r="A722" s="314" t="s">
        <v>3373</v>
      </c>
    </row>
    <row r="723" spans="1:13">
      <c r="A723" s="314" t="s">
        <v>3374</v>
      </c>
    </row>
    <row r="724" spans="1:13">
      <c r="A724" s="314" t="s">
        <v>3375</v>
      </c>
    </row>
    <row r="725" spans="1:13">
      <c r="A725" s="314" t="s">
        <v>3376</v>
      </c>
    </row>
    <row r="726" spans="1:13">
      <c r="A726" s="314" t="s">
        <v>3377</v>
      </c>
    </row>
    <row r="727" spans="1:13">
      <c r="A727" s="314" t="s">
        <v>3378</v>
      </c>
    </row>
    <row r="728" spans="1:13">
      <c r="A728" s="314" t="s">
        <v>3379</v>
      </c>
    </row>
    <row r="729" spans="1:13">
      <c r="A729" s="314" t="s">
        <v>3380</v>
      </c>
    </row>
    <row r="730" spans="1:13">
      <c r="A730" s="314" t="s">
        <v>3381</v>
      </c>
    </row>
    <row r="731" spans="1:13">
      <c r="A731" s="314" t="s">
        <v>3382</v>
      </c>
    </row>
    <row r="732" spans="1:13" ht="27.75" customHeight="1">
      <c r="A732" s="1205" t="s">
        <v>3383</v>
      </c>
      <c r="B732" s="1205"/>
      <c r="C732" s="1205"/>
      <c r="D732" s="1205"/>
      <c r="E732" s="1205"/>
      <c r="F732" s="1205"/>
      <c r="G732" s="1205"/>
      <c r="H732" s="1205"/>
      <c r="I732" s="1205"/>
      <c r="J732" s="1205"/>
      <c r="K732" s="1205"/>
      <c r="L732" s="1205"/>
      <c r="M732" s="1205"/>
    </row>
    <row r="733" spans="1:13">
      <c r="A733" s="314" t="s">
        <v>3384</v>
      </c>
    </row>
    <row r="734" spans="1:13">
      <c r="A734" s="314" t="s">
        <v>3385</v>
      </c>
    </row>
    <row r="735" spans="1:13">
      <c r="A735" s="314" t="s">
        <v>3386</v>
      </c>
    </row>
    <row r="736" spans="1:13">
      <c r="A736" s="314" t="s">
        <v>3387</v>
      </c>
    </row>
    <row r="737" spans="1:1">
      <c r="A737" s="314" t="s">
        <v>3388</v>
      </c>
    </row>
    <row r="738" spans="1:1">
      <c r="A738" s="314" t="s">
        <v>3389</v>
      </c>
    </row>
    <row r="739" spans="1:1">
      <c r="A739" s="314" t="s">
        <v>3390</v>
      </c>
    </row>
    <row r="740" spans="1:1">
      <c r="A740" s="314" t="s">
        <v>3391</v>
      </c>
    </row>
    <row r="741" spans="1:1">
      <c r="A741" s="314" t="s">
        <v>3392</v>
      </c>
    </row>
    <row r="742" spans="1:1">
      <c r="A742" s="314" t="s">
        <v>3393</v>
      </c>
    </row>
    <row r="743" spans="1:1">
      <c r="A743" s="314" t="s">
        <v>3394</v>
      </c>
    </row>
    <row r="744" spans="1:1">
      <c r="A744" s="314" t="s">
        <v>3395</v>
      </c>
    </row>
    <row r="745" spans="1:1">
      <c r="A745" s="314" t="s">
        <v>3396</v>
      </c>
    </row>
    <row r="746" spans="1:1">
      <c r="A746" s="314" t="s">
        <v>3397</v>
      </c>
    </row>
    <row r="747" spans="1:1">
      <c r="A747" s="314" t="s">
        <v>3398</v>
      </c>
    </row>
    <row r="748" spans="1:1">
      <c r="A748" s="314" t="s">
        <v>3399</v>
      </c>
    </row>
    <row r="749" spans="1:1">
      <c r="A749" s="314" t="s">
        <v>3400</v>
      </c>
    </row>
    <row r="750" spans="1:1">
      <c r="A750" s="314" t="s">
        <v>3401</v>
      </c>
    </row>
    <row r="751" spans="1:1">
      <c r="A751" s="314" t="s">
        <v>3402</v>
      </c>
    </row>
    <row r="752" spans="1:1">
      <c r="A752" s="314" t="s">
        <v>3403</v>
      </c>
    </row>
    <row r="753" spans="1:39">
      <c r="A753" s="314" t="s">
        <v>3404</v>
      </c>
    </row>
    <row r="754" spans="1:39">
      <c r="A754" s="314" t="s">
        <v>3405</v>
      </c>
    </row>
    <row r="755" spans="1:39">
      <c r="A755" s="314" t="s">
        <v>3406</v>
      </c>
      <c r="AF755" s="319"/>
      <c r="AG755" s="319"/>
      <c r="AH755" s="319"/>
      <c r="AI755" s="319"/>
      <c r="AJ755" s="319"/>
      <c r="AK755" s="319"/>
      <c r="AL755" s="319"/>
      <c r="AM755" s="319"/>
    </row>
    <row r="756" spans="1:39">
      <c r="A756" s="314" t="s">
        <v>3407</v>
      </c>
      <c r="AF756" s="319"/>
      <c r="AG756" s="319"/>
      <c r="AH756" s="319"/>
      <c r="AI756" s="319"/>
      <c r="AJ756" s="319"/>
      <c r="AK756" s="319"/>
      <c r="AL756" s="319"/>
      <c r="AM756" s="319"/>
    </row>
    <row r="757" spans="1:39" s="16" customFormat="1">
      <c r="A757" t="s">
        <v>3408</v>
      </c>
      <c r="B757"/>
      <c r="C757"/>
      <c r="D757"/>
      <c r="E757"/>
      <c r="F757"/>
      <c r="G757"/>
      <c r="H757"/>
      <c r="I757"/>
      <c r="J757"/>
      <c r="K757"/>
      <c r="L757"/>
      <c r="M757"/>
      <c r="N757"/>
      <c r="O757"/>
      <c r="P757"/>
      <c r="Q757"/>
      <c r="R757"/>
      <c r="S757"/>
      <c r="T757"/>
      <c r="U757"/>
      <c r="V757"/>
      <c r="W757"/>
      <c r="X757"/>
      <c r="Y757"/>
      <c r="Z757"/>
      <c r="AA757"/>
      <c r="AB757"/>
      <c r="AC757"/>
      <c r="AD757"/>
      <c r="AE757"/>
      <c r="AF757" s="319"/>
      <c r="AG757" s="319"/>
      <c r="AH757" s="319"/>
      <c r="AI757" s="319"/>
      <c r="AJ757" s="319"/>
      <c r="AK757" s="319"/>
      <c r="AL757" s="319"/>
      <c r="AM757" s="319"/>
    </row>
    <row r="758" spans="1:39">
      <c r="A758" t="s">
        <v>3409</v>
      </c>
      <c r="AF758" s="319"/>
      <c r="AG758" s="319"/>
      <c r="AH758" s="319"/>
      <c r="AI758" s="319"/>
      <c r="AJ758" s="319"/>
      <c r="AK758" s="319"/>
      <c r="AL758" s="319"/>
      <c r="AM758" s="319"/>
    </row>
    <row r="759" spans="1:39">
      <c r="A759" t="s">
        <v>3410</v>
      </c>
      <c r="AF759" s="319"/>
      <c r="AG759" s="319"/>
      <c r="AH759" s="319"/>
      <c r="AI759" s="319"/>
      <c r="AJ759" s="319"/>
      <c r="AK759" s="319"/>
      <c r="AL759" s="319"/>
      <c r="AM759" s="319"/>
    </row>
    <row r="760" spans="1:39">
      <c r="A760" t="s">
        <v>3411</v>
      </c>
      <c r="AF760" s="319"/>
      <c r="AG760" s="319"/>
      <c r="AH760" s="319"/>
      <c r="AI760" s="319"/>
      <c r="AJ760" s="319"/>
      <c r="AK760" s="319"/>
      <c r="AL760" s="319"/>
      <c r="AM760" s="319"/>
    </row>
    <row r="761" spans="1:39" s="16" customFormat="1">
      <c r="A761" t="s">
        <v>3412</v>
      </c>
      <c r="B761"/>
      <c r="C761"/>
      <c r="D761"/>
      <c r="E761"/>
      <c r="F761"/>
      <c r="G761"/>
      <c r="H761"/>
      <c r="I761"/>
      <c r="J761"/>
      <c r="K761"/>
      <c r="L761"/>
      <c r="M761"/>
      <c r="N761"/>
      <c r="O761"/>
      <c r="P761"/>
      <c r="Q761"/>
      <c r="R761"/>
      <c r="S761"/>
      <c r="T761"/>
      <c r="U761"/>
      <c r="V761"/>
      <c r="W761"/>
      <c r="X761"/>
      <c r="Y761"/>
      <c r="Z761"/>
      <c r="AA761"/>
      <c r="AB761"/>
      <c r="AC761"/>
      <c r="AD761"/>
      <c r="AE761"/>
      <c r="AF761" s="319"/>
      <c r="AG761" s="319"/>
      <c r="AH761" s="319"/>
      <c r="AI761" s="319"/>
      <c r="AJ761" s="319"/>
      <c r="AK761" s="319"/>
      <c r="AL761" s="319"/>
      <c r="AM761" s="319"/>
    </row>
    <row r="762" spans="1:39">
      <c r="A762" t="s">
        <v>3413</v>
      </c>
      <c r="AF762" s="319"/>
      <c r="AG762" s="319"/>
      <c r="AH762" s="319"/>
      <c r="AI762" s="319"/>
      <c r="AJ762" s="319"/>
      <c r="AK762" s="319"/>
      <c r="AL762" s="319"/>
      <c r="AM762" s="319"/>
    </row>
    <row r="763" spans="1:39">
      <c r="A763" s="413" t="s">
        <v>3414</v>
      </c>
    </row>
    <row r="764" spans="1:39">
      <c r="A764" t="s">
        <v>3415</v>
      </c>
    </row>
    <row r="765" spans="1:39">
      <c r="A765" t="s">
        <v>3416</v>
      </c>
    </row>
    <row r="766" spans="1:39">
      <c r="A766" t="s">
        <v>3417</v>
      </c>
    </row>
    <row r="767" spans="1:39">
      <c r="A767" t="s">
        <v>3418</v>
      </c>
    </row>
    <row r="768" spans="1:39">
      <c r="A768" t="s">
        <v>3419</v>
      </c>
    </row>
    <row r="769" spans="1:1">
      <c r="A769" t="s">
        <v>3420</v>
      </c>
    </row>
    <row r="770" spans="1:1">
      <c r="A770" t="s">
        <v>3421</v>
      </c>
    </row>
    <row r="771" spans="1:1">
      <c r="A771" t="s">
        <v>3421</v>
      </c>
    </row>
    <row r="772" spans="1:1">
      <c r="A772" t="s">
        <v>3422</v>
      </c>
    </row>
    <row r="773" spans="1:1">
      <c r="A773" t="s">
        <v>3423</v>
      </c>
    </row>
    <row r="774" spans="1:1">
      <c r="A774" t="s">
        <v>3424</v>
      </c>
    </row>
    <row r="775" spans="1:1">
      <c r="A775" t="s">
        <v>3425</v>
      </c>
    </row>
    <row r="776" spans="1:1">
      <c r="A776" t="s">
        <v>3426</v>
      </c>
    </row>
    <row r="777" spans="1:1">
      <c r="A777" t="s">
        <v>3427</v>
      </c>
    </row>
    <row r="778" spans="1:1">
      <c r="A778" t="s">
        <v>3428</v>
      </c>
    </row>
    <row r="779" spans="1:1">
      <c r="A779" t="s">
        <v>3429</v>
      </c>
    </row>
    <row r="780" spans="1:1">
      <c r="A780" s="314" t="s">
        <v>3430</v>
      </c>
    </row>
    <row r="781" spans="1:1">
      <c r="A781" s="314" t="s">
        <v>3431</v>
      </c>
    </row>
    <row r="782" spans="1:1">
      <c r="A782" s="314" t="s">
        <v>3432</v>
      </c>
    </row>
    <row r="783" spans="1:1">
      <c r="A783" s="314" t="s">
        <v>3433</v>
      </c>
    </row>
    <row r="784" spans="1:1">
      <c r="A784" s="314" t="s">
        <v>3434</v>
      </c>
    </row>
    <row r="785" spans="1:1">
      <c r="A785" s="314" t="s">
        <v>3435</v>
      </c>
    </row>
    <row r="786" spans="1:1">
      <c r="A786" s="314" t="s">
        <v>3436</v>
      </c>
    </row>
    <row r="787" spans="1:1">
      <c r="A787" s="314" t="s">
        <v>3437</v>
      </c>
    </row>
    <row r="788" spans="1:1">
      <c r="A788" s="314" t="s">
        <v>3438</v>
      </c>
    </row>
    <row r="789" spans="1:1">
      <c r="A789" s="314" t="s">
        <v>3439</v>
      </c>
    </row>
    <row r="790" spans="1:1">
      <c r="A790" s="314" t="s">
        <v>3440</v>
      </c>
    </row>
    <row r="791" spans="1:1">
      <c r="A791" s="314" t="s">
        <v>3441</v>
      </c>
    </row>
    <row r="792" spans="1:1">
      <c r="A792" s="314" t="s">
        <v>3442</v>
      </c>
    </row>
    <row r="793" spans="1:1">
      <c r="A793" s="314" t="s">
        <v>3443</v>
      </c>
    </row>
    <row r="794" spans="1:1">
      <c r="A794" s="314" t="s">
        <v>3444</v>
      </c>
    </row>
    <row r="795" spans="1:1">
      <c r="A795" s="314" t="s">
        <v>3445</v>
      </c>
    </row>
    <row r="796" spans="1:1">
      <c r="A796" s="314" t="s">
        <v>3446</v>
      </c>
    </row>
    <row r="797" spans="1:1">
      <c r="A797" s="314" t="s">
        <v>3447</v>
      </c>
    </row>
    <row r="798" spans="1:1">
      <c r="A798" s="314" t="s">
        <v>3448</v>
      </c>
    </row>
    <row r="799" spans="1:1">
      <c r="A799" s="314" t="s">
        <v>3449</v>
      </c>
    </row>
    <row r="800" spans="1:1">
      <c r="A800" s="314" t="s">
        <v>3450</v>
      </c>
    </row>
    <row r="801" spans="1:1">
      <c r="A801" s="314" t="s">
        <v>3451</v>
      </c>
    </row>
    <row r="802" spans="1:1">
      <c r="A802" t="s">
        <v>3452</v>
      </c>
    </row>
    <row r="803" spans="1:1">
      <c r="A803" s="314" t="s">
        <v>3453</v>
      </c>
    </row>
    <row r="804" spans="1:1">
      <c r="A804" s="474" t="s">
        <v>3454</v>
      </c>
    </row>
    <row r="805" spans="1:1">
      <c r="A805" s="314" t="s">
        <v>3455</v>
      </c>
    </row>
    <row r="806" spans="1:1">
      <c r="A806" s="474" t="s">
        <v>3456</v>
      </c>
    </row>
    <row r="807" spans="1:1">
      <c r="A807" s="474" t="s">
        <v>3457</v>
      </c>
    </row>
    <row r="808" spans="1:1">
      <c r="A808" s="314" t="s">
        <v>3458</v>
      </c>
    </row>
    <row r="809" spans="1:1">
      <c r="A809" s="314" t="s">
        <v>3459</v>
      </c>
    </row>
    <row r="810" spans="1:1">
      <c r="A810" s="314" t="s">
        <v>3460</v>
      </c>
    </row>
    <row r="811" spans="1:1">
      <c r="A811" s="314" t="s">
        <v>3461</v>
      </c>
    </row>
    <row r="812" spans="1:1">
      <c r="A812" s="314" t="s">
        <v>3462</v>
      </c>
    </row>
    <row r="813" spans="1:1">
      <c r="A813" s="314" t="s">
        <v>3463</v>
      </c>
    </row>
    <row r="814" spans="1:1">
      <c r="A814" s="314" t="s">
        <v>3464</v>
      </c>
    </row>
    <row r="815" spans="1:1">
      <c r="A815" s="314" t="s">
        <v>3465</v>
      </c>
    </row>
    <row r="816" spans="1:1">
      <c r="A816" s="314" t="s">
        <v>3466</v>
      </c>
    </row>
    <row r="817" spans="1:1">
      <c r="A817" s="314" t="s">
        <v>3467</v>
      </c>
    </row>
    <row r="818" spans="1:1">
      <c r="A818" s="314" t="s">
        <v>3468</v>
      </c>
    </row>
    <row r="819" spans="1:1">
      <c r="A819" s="474" t="s">
        <v>3469</v>
      </c>
    </row>
    <row r="820" spans="1:1">
      <c r="A820" s="474" t="s">
        <v>3469</v>
      </c>
    </row>
    <row r="821" spans="1:1">
      <c r="A821" s="314" t="s">
        <v>3470</v>
      </c>
    </row>
    <row r="822" spans="1:1">
      <c r="A822" s="314" t="s">
        <v>3471</v>
      </c>
    </row>
    <row r="823" spans="1:1">
      <c r="A823" s="474" t="s">
        <v>3472</v>
      </c>
    </row>
    <row r="824" spans="1:1">
      <c r="A824" s="474" t="s">
        <v>3473</v>
      </c>
    </row>
    <row r="825" spans="1:1">
      <c r="A825" s="474" t="s">
        <v>3474</v>
      </c>
    </row>
    <row r="826" spans="1:1">
      <c r="A826" s="474" t="s">
        <v>3475</v>
      </c>
    </row>
    <row r="827" spans="1:1">
      <c r="A827" s="474" t="s">
        <v>3475</v>
      </c>
    </row>
    <row r="828" spans="1:1">
      <c r="A828" s="314" t="s">
        <v>3476</v>
      </c>
    </row>
    <row r="829" spans="1:1">
      <c r="A829" s="314" t="s">
        <v>3477</v>
      </c>
    </row>
    <row r="830" spans="1:1">
      <c r="A830" s="475" t="s">
        <v>3478</v>
      </c>
    </row>
    <row r="831" spans="1:1">
      <c r="A831" t="s">
        <v>3479</v>
      </c>
    </row>
    <row r="832" spans="1:1">
      <c r="A832" t="s">
        <v>3480</v>
      </c>
    </row>
    <row r="833" spans="1:11">
      <c r="A833" t="s">
        <v>3481</v>
      </c>
    </row>
    <row r="834" spans="1:11" s="319" customFormat="1">
      <c r="A834" s="319" t="s">
        <v>3482</v>
      </c>
      <c r="D834" s="319" t="s">
        <v>3483</v>
      </c>
    </row>
    <row r="835" spans="1:11">
      <c r="A835" s="475" t="s">
        <v>3484</v>
      </c>
    </row>
    <row r="836" spans="1:11">
      <c r="A836" t="s">
        <v>3485</v>
      </c>
    </row>
    <row r="837" spans="1:11">
      <c r="A837" t="s">
        <v>3486</v>
      </c>
    </row>
    <row r="838" spans="1:11">
      <c r="A838" t="s">
        <v>3487</v>
      </c>
    </row>
    <row r="839" spans="1:11">
      <c r="A839" t="s">
        <v>3488</v>
      </c>
    </row>
    <row r="840" spans="1:11">
      <c r="A840" t="s">
        <v>3489</v>
      </c>
    </row>
    <row r="841" spans="1:11">
      <c r="A841" t="s">
        <v>3490</v>
      </c>
    </row>
    <row r="842" spans="1:11">
      <c r="A842" t="s">
        <v>3491</v>
      </c>
    </row>
    <row r="843" spans="1:11">
      <c r="A843" t="s">
        <v>3492</v>
      </c>
    </row>
    <row r="844" spans="1:11">
      <c r="A844" t="s">
        <v>3493</v>
      </c>
    </row>
    <row r="845" spans="1:11">
      <c r="A845" t="s">
        <v>3494</v>
      </c>
    </row>
    <row r="846" spans="1:11">
      <c r="A846" t="s">
        <v>3495</v>
      </c>
    </row>
    <row r="847" spans="1:11">
      <c r="A847" t="s">
        <v>3496</v>
      </c>
      <c r="K847" t="s">
        <v>3497</v>
      </c>
    </row>
    <row r="848" spans="1:11">
      <c r="A848" t="s">
        <v>3498</v>
      </c>
    </row>
    <row r="849" spans="1:1">
      <c r="A849" t="s">
        <v>3499</v>
      </c>
    </row>
    <row r="850" spans="1:1">
      <c r="A850" t="s">
        <v>3500</v>
      </c>
    </row>
    <row r="851" spans="1:1">
      <c r="A851" t="s">
        <v>3501</v>
      </c>
    </row>
    <row r="852" spans="1:1">
      <c r="A852" t="s">
        <v>3502</v>
      </c>
    </row>
    <row r="853" spans="1:1">
      <c r="A853" t="s">
        <v>3503</v>
      </c>
    </row>
    <row r="854" spans="1:1">
      <c r="A854" t="s">
        <v>3504</v>
      </c>
    </row>
    <row r="855" spans="1:1">
      <c r="A855" t="s">
        <v>3505</v>
      </c>
    </row>
    <row r="856" spans="1:1">
      <c r="A856" t="s">
        <v>3506</v>
      </c>
    </row>
    <row r="857" spans="1:1">
      <c r="A857" t="s">
        <v>3507</v>
      </c>
    </row>
    <row r="858" spans="1:1">
      <c r="A858" t="s">
        <v>3508</v>
      </c>
    </row>
    <row r="859" spans="1:1">
      <c r="A859" t="s">
        <v>3509</v>
      </c>
    </row>
    <row r="860" spans="1:1">
      <c r="A860" t="s">
        <v>3510</v>
      </c>
    </row>
    <row r="861" spans="1:1">
      <c r="A861" t="s">
        <v>3511</v>
      </c>
    </row>
    <row r="862" spans="1:1">
      <c r="A862" t="s">
        <v>3512</v>
      </c>
    </row>
    <row r="863" spans="1:1">
      <c r="A863" t="s">
        <v>3513</v>
      </c>
    </row>
    <row r="864" spans="1:1">
      <c r="A864" t="s">
        <v>3514</v>
      </c>
    </row>
    <row r="865" spans="1:1">
      <c r="A865" t="s">
        <v>3515</v>
      </c>
    </row>
    <row r="866" spans="1:1">
      <c r="A866" t="s">
        <v>3516</v>
      </c>
    </row>
    <row r="867" spans="1:1">
      <c r="A867" t="s">
        <v>3517</v>
      </c>
    </row>
    <row r="868" spans="1:1">
      <c r="A868" t="s">
        <v>3518</v>
      </c>
    </row>
    <row r="869" spans="1:1">
      <c r="A869" t="s">
        <v>3519</v>
      </c>
    </row>
    <row r="870" spans="1:1">
      <c r="A870" t="s">
        <v>3520</v>
      </c>
    </row>
    <row r="871" spans="1:1">
      <c r="A871" t="s">
        <v>3521</v>
      </c>
    </row>
    <row r="872" spans="1:1">
      <c r="A872" t="s">
        <v>3522</v>
      </c>
    </row>
    <row r="873" spans="1:1">
      <c r="A873" t="s">
        <v>3523</v>
      </c>
    </row>
    <row r="874" spans="1:1">
      <c r="A874" t="s">
        <v>3524</v>
      </c>
    </row>
    <row r="875" spans="1:1">
      <c r="A875" t="s">
        <v>3525</v>
      </c>
    </row>
    <row r="876" spans="1:1">
      <c r="A876" t="s">
        <v>3526</v>
      </c>
    </row>
    <row r="877" spans="1:1">
      <c r="A877" t="s">
        <v>3527</v>
      </c>
    </row>
    <row r="878" spans="1:1">
      <c r="A878" t="s">
        <v>3528</v>
      </c>
    </row>
    <row r="879" spans="1:1">
      <c r="A879" t="s">
        <v>3529</v>
      </c>
    </row>
    <row r="880" spans="1:1">
      <c r="A880" t="s">
        <v>3530</v>
      </c>
    </row>
    <row r="881" spans="1:1">
      <c r="A881" t="s">
        <v>3531</v>
      </c>
    </row>
    <row r="882" spans="1:1">
      <c r="A882" t="s">
        <v>3532</v>
      </c>
    </row>
    <row r="883" spans="1:1">
      <c r="A883" t="s">
        <v>3533</v>
      </c>
    </row>
    <row r="884" spans="1:1">
      <c r="A884" t="s">
        <v>3534</v>
      </c>
    </row>
    <row r="885" spans="1:1">
      <c r="A885" t="s">
        <v>3535</v>
      </c>
    </row>
    <row r="886" spans="1:1">
      <c r="A886" t="s">
        <v>3536</v>
      </c>
    </row>
    <row r="887" spans="1:1">
      <c r="A887" t="s">
        <v>3537</v>
      </c>
    </row>
    <row r="888" spans="1:1">
      <c r="A888" t="s">
        <v>3538</v>
      </c>
    </row>
    <row r="889" spans="1:1">
      <c r="A889" s="314" t="s">
        <v>3539</v>
      </c>
    </row>
    <row r="890" spans="1:1">
      <c r="A890" t="s">
        <v>3540</v>
      </c>
    </row>
    <row r="891" spans="1:1">
      <c r="A891" t="s">
        <v>3541</v>
      </c>
    </row>
    <row r="892" spans="1:1">
      <c r="A892" t="s">
        <v>3542</v>
      </c>
    </row>
    <row r="893" spans="1:1">
      <c r="A893" t="s">
        <v>3543</v>
      </c>
    </row>
    <row r="894" spans="1:1">
      <c r="A894" t="s">
        <v>3544</v>
      </c>
    </row>
    <row r="895" spans="1:1">
      <c r="A895" t="s">
        <v>3545</v>
      </c>
    </row>
    <row r="896" spans="1:1">
      <c r="A896" t="s">
        <v>3546</v>
      </c>
    </row>
    <row r="897" spans="1:1">
      <c r="A897" t="s">
        <v>3547</v>
      </c>
    </row>
    <row r="898" spans="1:1">
      <c r="A898" t="s">
        <v>3548</v>
      </c>
    </row>
    <row r="899" spans="1:1">
      <c r="A899" t="s">
        <v>3549</v>
      </c>
    </row>
    <row r="900" spans="1:1">
      <c r="A900" t="s">
        <v>3550</v>
      </c>
    </row>
    <row r="901" spans="1:1">
      <c r="A901" t="s">
        <v>3551</v>
      </c>
    </row>
    <row r="902" spans="1:1">
      <c r="A902" t="s">
        <v>3552</v>
      </c>
    </row>
    <row r="903" spans="1:1">
      <c r="A903" t="s">
        <v>3553</v>
      </c>
    </row>
    <row r="904" spans="1:1">
      <c r="A904" t="s">
        <v>3554</v>
      </c>
    </row>
    <row r="905" spans="1:1">
      <c r="A905" t="s">
        <v>3555</v>
      </c>
    </row>
    <row r="906" spans="1:1">
      <c r="A906" t="s">
        <v>3556</v>
      </c>
    </row>
    <row r="907" spans="1:1">
      <c r="A907" t="s">
        <v>3557</v>
      </c>
    </row>
    <row r="908" spans="1:1">
      <c r="A908" t="s">
        <v>3558</v>
      </c>
    </row>
    <row r="909" spans="1:1">
      <c r="A909" t="s">
        <v>3559</v>
      </c>
    </row>
    <row r="910" spans="1:1">
      <c r="A910" t="s">
        <v>3560</v>
      </c>
    </row>
    <row r="911" spans="1:1">
      <c r="A911" t="s">
        <v>3561</v>
      </c>
    </row>
    <row r="912" spans="1:1">
      <c r="A912" t="s">
        <v>3562</v>
      </c>
    </row>
    <row r="913" spans="1:1">
      <c r="A913" t="s">
        <v>3563</v>
      </c>
    </row>
    <row r="914" spans="1:1">
      <c r="A914" t="s">
        <v>3564</v>
      </c>
    </row>
    <row r="915" spans="1:1">
      <c r="A915" t="s">
        <v>3565</v>
      </c>
    </row>
    <row r="916" spans="1:1">
      <c r="A916" t="s">
        <v>3566</v>
      </c>
    </row>
    <row r="917" spans="1:1">
      <c r="A917" t="s">
        <v>3567</v>
      </c>
    </row>
    <row r="918" spans="1:1">
      <c r="A918" t="s">
        <v>3568</v>
      </c>
    </row>
    <row r="919" spans="1:1">
      <c r="A919" t="s">
        <v>3569</v>
      </c>
    </row>
    <row r="920" spans="1:1">
      <c r="A920" t="s">
        <v>3570</v>
      </c>
    </row>
    <row r="921" spans="1:1">
      <c r="A921" t="s">
        <v>3571</v>
      </c>
    </row>
    <row r="922" spans="1:1">
      <c r="A922" t="s">
        <v>3572</v>
      </c>
    </row>
    <row r="923" spans="1:1">
      <c r="A923" t="s">
        <v>3573</v>
      </c>
    </row>
    <row r="924" spans="1:1">
      <c r="A924" t="s">
        <v>3574</v>
      </c>
    </row>
    <row r="925" spans="1:1">
      <c r="A925" t="s">
        <v>3575</v>
      </c>
    </row>
    <row r="926" spans="1:1">
      <c r="A926" t="s">
        <v>3576</v>
      </c>
    </row>
    <row r="927" spans="1:1">
      <c r="A927" t="s">
        <v>3577</v>
      </c>
    </row>
    <row r="928" spans="1:1">
      <c r="A928" t="s">
        <v>3578</v>
      </c>
    </row>
    <row r="929" spans="1:1">
      <c r="A929" t="s">
        <v>3579</v>
      </c>
    </row>
    <row r="930" spans="1:1">
      <c r="A930" t="s">
        <v>3580</v>
      </c>
    </row>
    <row r="931" spans="1:1">
      <c r="A931" t="s">
        <v>3581</v>
      </c>
    </row>
    <row r="932" spans="1:1">
      <c r="A932" t="s">
        <v>3582</v>
      </c>
    </row>
    <row r="933" spans="1:1">
      <c r="A933" t="s">
        <v>3583</v>
      </c>
    </row>
    <row r="934" spans="1:1">
      <c r="A934" t="s">
        <v>3584</v>
      </c>
    </row>
    <row r="935" spans="1:1">
      <c r="A935" t="s">
        <v>3585</v>
      </c>
    </row>
    <row r="936" spans="1:1">
      <c r="A936" t="s">
        <v>3586</v>
      </c>
    </row>
    <row r="937" spans="1:1">
      <c r="A937" t="s">
        <v>3587</v>
      </c>
    </row>
    <row r="938" spans="1:1">
      <c r="A938" t="s">
        <v>3588</v>
      </c>
    </row>
    <row r="939" spans="1:1">
      <c r="A939" t="s">
        <v>3589</v>
      </c>
    </row>
    <row r="940" spans="1:1">
      <c r="A940" t="s">
        <v>3590</v>
      </c>
    </row>
    <row r="941" spans="1:1">
      <c r="A941" t="s">
        <v>3591</v>
      </c>
    </row>
    <row r="942" spans="1:1">
      <c r="A942" t="s">
        <v>3592</v>
      </c>
    </row>
    <row r="943" spans="1:1">
      <c r="A943" t="s">
        <v>3593</v>
      </c>
    </row>
    <row r="944" spans="1:1">
      <c r="A944" t="s">
        <v>3594</v>
      </c>
    </row>
    <row r="945" spans="1:1">
      <c r="A945" t="s">
        <v>3595</v>
      </c>
    </row>
    <row r="946" spans="1:1">
      <c r="A946" s="314" t="s">
        <v>3596</v>
      </c>
    </row>
    <row r="947" spans="1:1">
      <c r="A947" s="314" t="s">
        <v>3597</v>
      </c>
    </row>
    <row r="948" spans="1:1">
      <c r="A948" t="s">
        <v>3598</v>
      </c>
    </row>
    <row r="949" spans="1:1">
      <c r="A949" t="s">
        <v>3599</v>
      </c>
    </row>
    <row r="950" spans="1:1">
      <c r="A950" t="s">
        <v>3600</v>
      </c>
    </row>
    <row r="951" spans="1:1">
      <c r="A951" t="s">
        <v>3601</v>
      </c>
    </row>
    <row r="952" spans="1:1">
      <c r="A952" t="s">
        <v>3602</v>
      </c>
    </row>
    <row r="953" spans="1:1">
      <c r="A953" t="s">
        <v>3603</v>
      </c>
    </row>
    <row r="954" spans="1:1">
      <c r="A954" t="s">
        <v>3604</v>
      </c>
    </row>
    <row r="955" spans="1:1">
      <c r="A955" t="s">
        <v>3605</v>
      </c>
    </row>
    <row r="956" spans="1:1">
      <c r="A956" t="s">
        <v>3606</v>
      </c>
    </row>
    <row r="957" spans="1:1">
      <c r="A957" t="s">
        <v>3607</v>
      </c>
    </row>
    <row r="958" spans="1:1">
      <c r="A958" t="s">
        <v>3608</v>
      </c>
    </row>
    <row r="959" spans="1:1">
      <c r="A959" t="s">
        <v>3609</v>
      </c>
    </row>
    <row r="960" spans="1:1">
      <c r="A960" t="s">
        <v>3610</v>
      </c>
    </row>
    <row r="961" spans="1:1">
      <c r="A961" t="s">
        <v>3611</v>
      </c>
    </row>
    <row r="962" spans="1:1">
      <c r="A962" t="s">
        <v>3612</v>
      </c>
    </row>
    <row r="963" spans="1:1">
      <c r="A963" t="s">
        <v>3613</v>
      </c>
    </row>
    <row r="964" spans="1:1">
      <c r="A964" t="s">
        <v>3614</v>
      </c>
    </row>
    <row r="965" spans="1:1">
      <c r="A965" t="s">
        <v>3615</v>
      </c>
    </row>
    <row r="966" spans="1:1">
      <c r="A966" t="s">
        <v>3616</v>
      </c>
    </row>
    <row r="967" spans="1:1">
      <c r="A967" t="s">
        <v>3617</v>
      </c>
    </row>
    <row r="968" spans="1:1">
      <c r="A968" t="s">
        <v>3618</v>
      </c>
    </row>
    <row r="969" spans="1:1">
      <c r="A969" t="s">
        <v>3619</v>
      </c>
    </row>
    <row r="970" spans="1:1">
      <c r="A970" t="s">
        <v>3620</v>
      </c>
    </row>
    <row r="971" spans="1:1">
      <c r="A971" t="s">
        <v>3621</v>
      </c>
    </row>
    <row r="972" spans="1:1">
      <c r="A972" t="s">
        <v>3622</v>
      </c>
    </row>
    <row r="973" spans="1:1">
      <c r="A973" t="s">
        <v>3623</v>
      </c>
    </row>
    <row r="974" spans="1:1">
      <c r="A974" t="s">
        <v>3624</v>
      </c>
    </row>
    <row r="975" spans="1:1">
      <c r="A975" t="s">
        <v>3625</v>
      </c>
    </row>
    <row r="976" spans="1:1">
      <c r="A976" t="s">
        <v>3626</v>
      </c>
    </row>
    <row r="977" spans="1:1" ht="16.5" customHeight="1">
      <c r="A977" s="316" t="s">
        <v>3627</v>
      </c>
    </row>
    <row r="978" spans="1:1">
      <c r="A978" t="s">
        <v>3628</v>
      </c>
    </row>
    <row r="979" spans="1:1">
      <c r="A979" t="s">
        <v>3629</v>
      </c>
    </row>
    <row r="980" spans="1:1">
      <c r="A980" t="s">
        <v>3630</v>
      </c>
    </row>
    <row r="981" spans="1:1">
      <c r="A981" t="s">
        <v>3631</v>
      </c>
    </row>
    <row r="982" spans="1:1">
      <c r="A982" t="s">
        <v>3632</v>
      </c>
    </row>
    <row r="983" spans="1:1">
      <c r="A983" t="s">
        <v>3633</v>
      </c>
    </row>
    <row r="984" spans="1:1">
      <c r="A984" t="s">
        <v>3634</v>
      </c>
    </row>
    <row r="985" spans="1:1">
      <c r="A985" t="s">
        <v>3635</v>
      </c>
    </row>
    <row r="986" spans="1:1">
      <c r="A986" t="s">
        <v>3636</v>
      </c>
    </row>
    <row r="987" spans="1:1">
      <c r="A987" t="s">
        <v>3637</v>
      </c>
    </row>
    <row r="988" spans="1:1">
      <c r="A988" t="s">
        <v>3638</v>
      </c>
    </row>
    <row r="989" spans="1:1">
      <c r="A989" t="s">
        <v>3639</v>
      </c>
    </row>
    <row r="990" spans="1:1">
      <c r="A990" t="s">
        <v>3640</v>
      </c>
    </row>
    <row r="991" spans="1:1">
      <c r="A991" t="s">
        <v>3641</v>
      </c>
    </row>
    <row r="992" spans="1:1">
      <c r="A992" t="s">
        <v>3642</v>
      </c>
    </row>
    <row r="993" spans="1:1">
      <c r="A993" t="s">
        <v>3643</v>
      </c>
    </row>
    <row r="994" spans="1:1">
      <c r="A994" t="s">
        <v>3644</v>
      </c>
    </row>
    <row r="995" spans="1:1">
      <c r="A995" t="s">
        <v>3645</v>
      </c>
    </row>
    <row r="996" spans="1:1">
      <c r="A996" t="s">
        <v>3646</v>
      </c>
    </row>
    <row r="997" spans="1:1">
      <c r="A997" t="s">
        <v>3647</v>
      </c>
    </row>
    <row r="998" spans="1:1">
      <c r="A998" t="s">
        <v>3648</v>
      </c>
    </row>
    <row r="999" spans="1:1">
      <c r="A999" t="s">
        <v>3649</v>
      </c>
    </row>
  </sheetData>
  <sheetProtection algorithmName="SHA-512" hashValue="OnBPSn5modst6obFKSmK7slhWuuJqmdreyAiB+CJNGL2O/VFDSqiZmNiO0twYb2Ps2tjbVgkms4LtaiYOp6IOA==" saltValue="4MZjmukSn8CaQglj7QFrYg==" spinCount="100000" sheet="1" objects="1" scenarios="1"/>
  <mergeCells count="1">
    <mergeCell ref="A732:M732"/>
  </mergeCells>
  <phoneticPr fontId="89" type="noConversion"/>
  <pageMargins left="0.7" right="0.7" top="0.75" bottom="0.75" header="0.3" footer="0.3"/>
  <pageSetup orientation="portrait" r:id="rId1"/>
  <legacyDrawing r:id="rId2"/>
  <tableParts count="5">
    <tablePart r:id="rId3"/>
    <tablePart r:id="rId4"/>
    <tablePart r:id="rId5"/>
    <tablePart r:id="rId6"/>
    <tablePart r:id="rId7"/>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theme="1"/>
  </sheetPr>
  <dimension ref="A1:S3547"/>
  <sheetViews>
    <sheetView zoomScaleNormal="100" workbookViewId="0"/>
  </sheetViews>
  <sheetFormatPr defaultRowHeight="14.4"/>
  <cols>
    <col min="1" max="1" width="94.5546875" customWidth="1"/>
    <col min="3" max="3" width="52" customWidth="1"/>
    <col min="4" max="4" width="13" customWidth="1"/>
    <col min="5" max="5" width="26.88671875" customWidth="1"/>
    <col min="6" max="6" width="103.33203125" customWidth="1"/>
    <col min="7" max="7" width="52" customWidth="1"/>
    <col min="8" max="8" width="42" customWidth="1"/>
    <col min="13" max="13" width="12.6640625" customWidth="1"/>
  </cols>
  <sheetData>
    <row r="1" spans="1:13">
      <c r="A1" s="99"/>
      <c r="B1" s="99"/>
      <c r="C1" s="99"/>
      <c r="D1" s="99"/>
      <c r="E1" s="99"/>
      <c r="F1" s="99"/>
      <c r="G1" s="99"/>
      <c r="H1" s="71"/>
      <c r="I1" s="71"/>
      <c r="J1" s="71"/>
      <c r="K1" s="71"/>
      <c r="L1" s="71"/>
      <c r="M1" s="71"/>
    </row>
    <row r="2" spans="1:13">
      <c r="A2" s="19" t="s">
        <v>3650</v>
      </c>
      <c r="B2" s="19"/>
      <c r="C2" s="19"/>
      <c r="D2" s="19"/>
      <c r="E2" s="19"/>
      <c r="F2" s="19"/>
      <c r="G2" s="19"/>
      <c r="H2" s="19"/>
      <c r="I2" s="19"/>
      <c r="J2" s="19"/>
    </row>
    <row r="3" spans="1:13">
      <c r="A3" s="22" t="s">
        <v>88</v>
      </c>
      <c r="F3" s="49" t="s">
        <v>3651</v>
      </c>
    </row>
    <row r="4" spans="1:13">
      <c r="A4" s="53" t="s">
        <v>3652</v>
      </c>
      <c r="B4" s="53" t="s">
        <v>3653</v>
      </c>
      <c r="C4" s="53" t="s">
        <v>3654</v>
      </c>
      <c r="D4" s="53" t="s">
        <v>3655</v>
      </c>
      <c r="E4" s="53" t="s">
        <v>3656</v>
      </c>
      <c r="F4" s="53" t="s">
        <v>3657</v>
      </c>
      <c r="G4" s="54" t="s">
        <v>3658</v>
      </c>
      <c r="H4" s="53"/>
      <c r="I4" s="53"/>
      <c r="J4" s="53"/>
      <c r="K4" s="53"/>
    </row>
    <row r="5" spans="1:13" ht="15" customHeight="1">
      <c r="A5" t="str">
        <f ca="1">IF(E5="",F5, "")</f>
        <v xml:space="preserve">Enter a date for 'Application Date' in cell B4 between 01/01/2025 and 11/30/2026.
</v>
      </c>
      <c r="B5">
        <f>ROW(Application!A4)</f>
        <v>4</v>
      </c>
      <c r="C5" t="str">
        <f t="shared" ref="C5:C52" ca="1" si="0">INDIRECT($F$3 &amp; ADDRESS(B5, 1,4  ))</f>
        <v>Application Date</v>
      </c>
      <c r="D5" t="str">
        <f t="shared" ref="D5:D15" si="1">ADDRESS(B5, 2,4  )</f>
        <v>B4</v>
      </c>
      <c r="E5" t="str">
        <f t="shared" ref="E5:E52" ca="1" si="2">IF(ISBLANK( INDIRECT($F$3 &amp; D5)),"", INDIRECT($F$3 &amp; D5))</f>
        <v/>
      </c>
      <c r="F5" t="str">
        <f ca="1">CONCATENATE("Enter a date for '", C5, "' in cell ", D5, " between ", TEXT(Admin!B2,"mm/dd/yyyy")," and ", TEXT(Admin!B3,"mm/dd/yyyy"), ".", CHAR(10))</f>
        <v xml:space="preserve">Enter a date for 'Application Date' in cell B4 between 01/01/2025 and 11/30/2026.
</v>
      </c>
      <c r="G5" s="9" t="str">
        <f ca="1">A5</f>
        <v xml:space="preserve">Enter a date for 'Application Date' in cell B4 between 01/01/2025 and 11/30/2026.
</v>
      </c>
    </row>
    <row r="6" spans="1:13" ht="15" customHeight="1">
      <c r="A6" t="str">
        <f ca="1">IF(E6="",F6, "")</f>
        <v xml:space="preserve">Select a value for 'Application Stage' in cell B6.
</v>
      </c>
      <c r="B6">
        <f>ROW(Application!A6)</f>
        <v>6</v>
      </c>
      <c r="C6" t="str">
        <f t="shared" ca="1" si="0"/>
        <v>Application Stage</v>
      </c>
      <c r="D6" t="str">
        <f t="shared" si="1"/>
        <v>B6</v>
      </c>
      <c r="E6" t="str">
        <f t="shared" ca="1" si="2"/>
        <v/>
      </c>
      <c r="F6" t="str">
        <f ca="1">CONCATENATE("Select a value for '", C6, "' in cell ", D6, ".", CHAR(10))</f>
        <v xml:space="preserve">Select a value for 'Application Stage' in cell B6.
</v>
      </c>
      <c r="G6" s="9" t="str">
        <f t="shared" ref="G6:G53" ca="1" si="3">OFFSET(G6, -1, 0) &amp; A6</f>
        <v xml:space="preserve">Enter a date for 'Application Date' in cell B4 between 01/01/2025 and 11/30/2026.
Select a value for 'Application Stage' in cell B6.
</v>
      </c>
    </row>
    <row r="7" spans="1:13" ht="15" customHeight="1">
      <c r="A7" t="str">
        <f ca="1">IF(E7="",F7, "")</f>
        <v xml:space="preserve">Select a value for 'Is Supplemental Credit being requested?' in cell B7.
</v>
      </c>
      <c r="B7">
        <f>ROW(Application!A7)</f>
        <v>7</v>
      </c>
      <c r="C7" t="str">
        <f t="shared" ca="1" si="0"/>
        <v>Is Supplemental Credit being requested?</v>
      </c>
      <c r="D7" t="str">
        <f t="shared" si="1"/>
        <v>B7</v>
      </c>
      <c r="E7" t="str">
        <f t="shared" ca="1" si="2"/>
        <v/>
      </c>
      <c r="F7" t="str">
        <f ca="1">CONCATENATE("Select a value for '", C7, "' in cell ", D7, ".", CHAR(10))</f>
        <v xml:space="preserve">Select a value for 'Is Supplemental Credit being requested?' in cell B7.
</v>
      </c>
      <c r="G7" s="9" t="str">
        <f t="shared" ca="1" si="3"/>
        <v xml:space="preserve">Enter a date for 'Application Date' in cell B4 between 01/01/2025 and 11/30/2026.
Select a value for 'Application Stage' in cell B6.
Select a value for 'Is Supplemental Credit being requested?' in cell B7.
</v>
      </c>
      <c r="L7" s="16" t="s">
        <v>3659</v>
      </c>
    </row>
    <row r="8" spans="1:13" ht="15" customHeight="1">
      <c r="A8" s="52" t="str">
        <f ca="1">IF(AND(NOT(Calculations!B2), E8="N/A"),F8, "")</f>
        <v/>
      </c>
      <c r="B8">
        <f>ROW(Application!A7)</f>
        <v>7</v>
      </c>
      <c r="C8" t="str">
        <f t="shared" ca="1" si="0"/>
        <v>Is Supplemental Credit being requested?</v>
      </c>
      <c r="D8" t="str">
        <f t="shared" si="1"/>
        <v>B7</v>
      </c>
      <c r="E8" t="str">
        <f t="shared" ca="1" si="2"/>
        <v/>
      </c>
      <c r="F8" t="str">
        <f ca="1">CONCATENATE("Select Yes or No for '", C8, "' in cell ", D8, ".", CHAR(10))</f>
        <v xml:space="preserve">Select Yes or No for 'Is Supplemental Credit being requested?' in cell B7.
</v>
      </c>
      <c r="G8" s="9" t="str">
        <f t="shared" ca="1" si="3"/>
        <v xml:space="preserve">Enter a date for 'Application Date' in cell B4 between 01/01/2025 and 11/30/2026.
Select a value for 'Application Stage' in cell B6.
Select a value for 'Is Supplemental Credit being requested?' in cell B7.
</v>
      </c>
    </row>
    <row r="9" spans="1:13" ht="15" customHeight="1">
      <c r="A9" t="str">
        <f ca="1">IF(E9="",F9, "")</f>
        <v xml:space="preserve">Select a value for 'Are you requesting a CHFA DDA Basis Boost? ' in cell B8.
</v>
      </c>
      <c r="B9">
        <f>ROW(Application!A8)</f>
        <v>8</v>
      </c>
      <c r="C9" t="str">
        <f t="shared" ca="1" si="0"/>
        <v xml:space="preserve">Are you requesting a CHFA DDA Basis Boost? </v>
      </c>
      <c r="D9" t="str">
        <f t="shared" si="1"/>
        <v>B8</v>
      </c>
      <c r="E9" t="str">
        <f t="shared" ca="1" si="2"/>
        <v/>
      </c>
      <c r="F9" t="str">
        <f ca="1">CONCATENATE("Select a value for '", C9, "' in cell ", D9, ".", CHAR(10))</f>
        <v xml:space="preserve">Select a value for 'Are you requesting a CHFA DDA Basis Boost? ' in cell B8.
</v>
      </c>
      <c r="G9" s="9" t="str">
        <f t="shared" ca="1" si="3"/>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v>
      </c>
    </row>
    <row r="10" spans="1:13" ht="15" customHeight="1">
      <c r="A10" s="52" t="str">
        <f ca="1">IF(AND(E10= "Yes", NOT(Calculations!B6)), F10, "")</f>
        <v/>
      </c>
      <c r="B10">
        <f>ROW(Application!A8)</f>
        <v>8</v>
      </c>
      <c r="C10" t="str">
        <f t="shared" ca="1" si="0"/>
        <v xml:space="preserve">Are you requesting a CHFA DDA Basis Boost? </v>
      </c>
      <c r="D10" t="str">
        <f t="shared" si="1"/>
        <v>B8</v>
      </c>
      <c r="E10" t="str">
        <f t="shared" ca="1" si="2"/>
        <v/>
      </c>
      <c r="F10" t="str">
        <f>CONCATENATE("4% Non-Competitive is not eligible for a CHFA DDA Boost (cell ", D10, ").", CHAR(10))</f>
        <v xml:space="preserve">4% Non-Competitive is not eligible for a CHFA DDA Boost (cell B8).
</v>
      </c>
      <c r="G10" s="9" t="str">
        <f t="shared" ca="1" si="3"/>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v>
      </c>
    </row>
    <row r="11" spans="1:13" ht="15" customHeight="1">
      <c r="A11" s="52" t="str">
        <f>IF(AND(Calculations!B21, Calculations!B22), F11, "")</f>
        <v/>
      </c>
      <c r="B11">
        <f>ROW(Application!A8)</f>
        <v>8</v>
      </c>
      <c r="C11" t="str">
        <f t="shared" ca="1" si="0"/>
        <v xml:space="preserve">Are you requesting a CHFA DDA Basis Boost? </v>
      </c>
      <c r="D11" t="str">
        <f t="shared" si="1"/>
        <v>B8</v>
      </c>
      <c r="E11" t="str">
        <f t="shared" ca="1" si="2"/>
        <v/>
      </c>
      <c r="F11" t="str">
        <f>CONCATENATE("Project is not eligible for a CHFA DDA Boost (cell ", D11, ") since it is already QCT Eligible.", CHAR(10))</f>
        <v xml:space="preserve">Project is not eligible for a CHFA DDA Boost (cell B8) since it is already QCT Eligible.
</v>
      </c>
      <c r="G11" s="9" t="str">
        <f t="shared" ca="1" si="3"/>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v>
      </c>
    </row>
    <row r="12" spans="1:13" ht="15" customHeight="1">
      <c r="A12" t="str">
        <f t="shared" ref="A12:A18" ca="1" si="4">IF(E12="",F12, "")</f>
        <v xml:space="preserve">Select a value for 'Identity of Interest' in cell B9.
</v>
      </c>
      <c r="B12">
        <f>ROW(Application!A9)</f>
        <v>9</v>
      </c>
      <c r="C12" t="str">
        <f t="shared" ref="C12" ca="1" si="5">INDIRECT($F$3 &amp; ADDRESS(B12, 1,4  ))</f>
        <v>Identity of Interest</v>
      </c>
      <c r="D12" t="str">
        <f t="shared" ref="D12" si="6">ADDRESS(B12, 2,4  )</f>
        <v>B9</v>
      </c>
      <c r="E12" t="str">
        <f t="shared" ref="E12" ca="1" si="7">IF(ISBLANK( INDIRECT($F$3 &amp; D12)),"", INDIRECT($F$3 &amp; D12))</f>
        <v/>
      </c>
      <c r="F12" t="str">
        <f t="shared" ref="F12:F21" ca="1" si="8">CONCATENATE("Select a value for '", C12, "' in cell ", D12, ".", CHAR(10))</f>
        <v xml:space="preserve">Select a value for 'Identity of Interest' in cell B9.
</v>
      </c>
      <c r="G12" s="9" t="str">
        <f t="shared" ref="G12" ca="1" si="9">OFFSET(G12, -1, 0) &amp; A12</f>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v>
      </c>
    </row>
    <row r="13" spans="1:13" ht="15" customHeight="1">
      <c r="A13" t="str">
        <f t="shared" ca="1" si="4"/>
        <v xml:space="preserve">Select a value for 'Type Of Tax Credit' in cell B10.
</v>
      </c>
      <c r="B13">
        <f>ROW(Application!A10)</f>
        <v>10</v>
      </c>
      <c r="C13" t="str">
        <f t="shared" ca="1" si="0"/>
        <v>Type Of Tax Credit</v>
      </c>
      <c r="D13" t="str">
        <f t="shared" si="1"/>
        <v>B10</v>
      </c>
      <c r="E13" t="str">
        <f t="shared" ca="1" si="2"/>
        <v/>
      </c>
      <c r="F13" t="str">
        <f t="shared" ca="1" si="8"/>
        <v xml:space="preserve">Select a value for 'Type Of Tax Credit' in cell B10.
</v>
      </c>
      <c r="G13" s="9" t="str">
        <f t="shared" ca="1" si="3"/>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v>
      </c>
    </row>
    <row r="14" spans="1:13" ht="15" customHeight="1">
      <c r="A14" t="str">
        <f t="shared" ca="1" si="4"/>
        <v xml:space="preserve">Select a value for 'TOC Credit?' in cell B12.
</v>
      </c>
      <c r="B14">
        <v>12</v>
      </c>
      <c r="C14" t="str">
        <f t="shared" ca="1" si="0"/>
        <v>TOC Credit?</v>
      </c>
      <c r="D14" t="str">
        <f t="shared" si="1"/>
        <v>B12</v>
      </c>
      <c r="E14" t="str">
        <f t="shared" ca="1" si="2"/>
        <v/>
      </c>
      <c r="F14" t="str">
        <f t="shared" ca="1" si="8"/>
        <v xml:space="preserve">Select a value for 'TOC Credit?' in cell B12.
</v>
      </c>
      <c r="G14" s="9" t="str">
        <f t="shared" ca="1" si="3"/>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v>
      </c>
    </row>
    <row r="15" spans="1:13" ht="15" customHeight="1">
      <c r="A15" t="str">
        <f t="shared" ca="1" si="4"/>
        <v xml:space="preserve">Select a value for 'Project Type' in cell B13.
</v>
      </c>
      <c r="B15">
        <f>ROW(Application!A13)</f>
        <v>13</v>
      </c>
      <c r="C15" t="str">
        <f t="shared" ca="1" si="0"/>
        <v>Project Type</v>
      </c>
      <c r="D15" t="str">
        <f t="shared" si="1"/>
        <v>B13</v>
      </c>
      <c r="E15" t="str">
        <f t="shared" ca="1" si="2"/>
        <v/>
      </c>
      <c r="F15" t="str">
        <f t="shared" ca="1" si="8"/>
        <v xml:space="preserve">Select a value for 'Project Type' in cell B13.
</v>
      </c>
      <c r="G15" s="9" t="str">
        <f t="shared" ca="1" si="3"/>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v>
      </c>
    </row>
    <row r="16" spans="1:13" ht="15" customHeight="1">
      <c r="A16" t="str">
        <f t="shared" ca="1" si="4"/>
        <v xml:space="preserve">Select a value for 'Is this an existing LIHTC property' in cell B14.
</v>
      </c>
      <c r="B16">
        <f>ROW(Application!A14)</f>
        <v>14</v>
      </c>
      <c r="C16" t="str">
        <f t="shared" ca="1" si="0"/>
        <v>Is this an existing LIHTC property</v>
      </c>
      <c r="D16" t="str">
        <f>ADDRESS(B16, 2, 4)</f>
        <v>B14</v>
      </c>
      <c r="E16" t="str">
        <f t="shared" ca="1" si="2"/>
        <v/>
      </c>
      <c r="F16" t="str">
        <f t="shared" ca="1" si="8"/>
        <v xml:space="preserve">Select a value for 'Is this an existing LIHTC property' in cell B14.
</v>
      </c>
      <c r="G16" s="9" t="str">
        <f t="shared" ca="1" si="3"/>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v>
      </c>
    </row>
    <row r="17" spans="1:8" ht="15" customHeight="1">
      <c r="A17" t="str">
        <f t="shared" ca="1" si="4"/>
        <v xml:space="preserve">Select a value for 'Locking Applicable Percentage?' in cell B15.
</v>
      </c>
      <c r="B17">
        <f>ROW(Application!A15)</f>
        <v>15</v>
      </c>
      <c r="C17" t="str">
        <f t="shared" ca="1" si="0"/>
        <v>Locking Applicable Percentage?</v>
      </c>
      <c r="D17" t="str">
        <f t="shared" ref="D17:D52" si="10">ADDRESS(B17, 2,4  )</f>
        <v>B15</v>
      </c>
      <c r="E17" t="str">
        <f t="shared" ca="1" si="2"/>
        <v/>
      </c>
      <c r="F17" t="str">
        <f t="shared" ca="1" si="8"/>
        <v xml:space="preserve">Select a value for 'Locking Applicable Percentage?' in cell B15.
</v>
      </c>
      <c r="G17" s="9" t="str">
        <f t="shared" ca="1" si="3"/>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v>
      </c>
    </row>
    <row r="18" spans="1:8" ht="15" customHeight="1">
      <c r="A18" t="str">
        <f t="shared" ca="1" si="4"/>
        <v xml:space="preserve">Select a value for 'Federal Equity Factor' in cell B16.
</v>
      </c>
      <c r="B18">
        <f>ROW(Application!A16)</f>
        <v>16</v>
      </c>
      <c r="C18" t="str">
        <f t="shared" ca="1" si="0"/>
        <v>Federal Equity Factor</v>
      </c>
      <c r="D18" t="str">
        <f t="shared" si="10"/>
        <v>B16</v>
      </c>
      <c r="E18" t="str">
        <f t="shared" ca="1" si="2"/>
        <v/>
      </c>
      <c r="F18" t="str">
        <f t="shared" ca="1" si="8"/>
        <v xml:space="preserve">Select a value for 'Federal Equity Factor' in cell B16.
</v>
      </c>
      <c r="G18" s="9" t="str">
        <f t="shared" ca="1" si="3"/>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v>
      </c>
    </row>
    <row r="19" spans="1:8" ht="15" customHeight="1">
      <c r="A19" t="str">
        <f ca="1">IF(AND(Calculations!B10, E19=""),F19, "")</f>
        <v/>
      </c>
      <c r="B19">
        <f>ROW(Application!A17)</f>
        <v>17</v>
      </c>
      <c r="C19" t="str">
        <f t="shared" ca="1" si="0"/>
        <v>State Equity Factor</v>
      </c>
      <c r="D19" t="str">
        <f t="shared" si="10"/>
        <v>B17</v>
      </c>
      <c r="E19" t="str">
        <f t="shared" ca="1" si="2"/>
        <v/>
      </c>
      <c r="F19" t="str">
        <f t="shared" ca="1" si="8"/>
        <v xml:space="preserve">Select a value for 'State Equity Factor' in cell B17.
</v>
      </c>
      <c r="G19" s="9" t="str">
        <f t="shared" ca="1" si="3"/>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v>
      </c>
    </row>
    <row r="20" spans="1:8" ht="15" customHeight="1">
      <c r="A20" t="str">
        <f ca="1">IF(AND(H20, OR(E20="", E20=0)),F20, "")</f>
        <v/>
      </c>
      <c r="B20">
        <f>ROW(Application!A18)</f>
        <v>18</v>
      </c>
      <c r="C20" t="str">
        <f t="shared" ref="C20" ca="1" si="11">INDIRECT($F$3 &amp; ADDRESS(B20, 1,4  ))</f>
        <v>TOC Credit Equity Factor</v>
      </c>
      <c r="D20" t="str">
        <f t="shared" ref="D20" si="12">ADDRESS(B20, 2,4  )</f>
        <v>B18</v>
      </c>
      <c r="E20" t="str">
        <f t="shared" ref="E20" ca="1" si="13">IF(ISBLANK( INDIRECT($F$3 &amp; D20)),"", INDIRECT($F$3 &amp; D20))</f>
        <v/>
      </c>
      <c r="F20" t="str">
        <f t="shared" ref="F20" ca="1" si="14">CONCATENATE("Select a value for '", C20, "' in cell ", D20, ".", CHAR(10))</f>
        <v xml:space="preserve">Select a value for 'TOC Credit Equity Factor' in cell B18.
</v>
      </c>
      <c r="G20" s="9" t="str">
        <f t="shared" ref="G20" ca="1" si="15">OFFSET(G20, -1, 0) &amp; A20</f>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v>
      </c>
      <c r="H20" t="b">
        <f>Application!B12 = "Yes"</f>
        <v>0</v>
      </c>
    </row>
    <row r="21" spans="1:8" ht="15" customHeight="1">
      <c r="A21" t="str">
        <f ca="1">IF(AND(Calculations!B5, E21=""),F21, "")</f>
        <v/>
      </c>
      <c r="B21">
        <f>ROW(Application!A21)</f>
        <v>21</v>
      </c>
      <c r="C21" t="str">
        <f t="shared" ca="1" si="0"/>
        <v>Acquisition 4% Applicable Percentage Rates (APR)</v>
      </c>
      <c r="D21" t="str">
        <f t="shared" si="10"/>
        <v>B21</v>
      </c>
      <c r="E21">
        <f t="shared" ca="1" si="2"/>
        <v>0.04</v>
      </c>
      <c r="F21" t="str">
        <f t="shared" ca="1" si="8"/>
        <v xml:space="preserve">Select a value for 'Acquisition 4% Applicable Percentage Rates (APR)' in cell B21.
</v>
      </c>
      <c r="G21" s="9" t="str">
        <f t="shared" ca="1" si="3"/>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v>
      </c>
    </row>
    <row r="22" spans="1:8" ht="15" customHeight="1">
      <c r="A22" s="52" t="str">
        <f ca="1">IF(AND(Calculations!B5, E22 &gt; 0.04), F22, "")</f>
        <v/>
      </c>
      <c r="B22">
        <f>ROW(Application!A21)</f>
        <v>21</v>
      </c>
      <c r="C22" t="str">
        <f t="shared" ca="1" si="0"/>
        <v>Acquisition 4% Applicable Percentage Rates (APR)</v>
      </c>
      <c r="D22" t="str">
        <f t="shared" si="10"/>
        <v>B21</v>
      </c>
      <c r="E22">
        <f t="shared" ca="1" si="2"/>
        <v>0.04</v>
      </c>
      <c r="F22" t="str">
        <f ca="1">CONCATENATE("The value for '", C22, "' in cell ", D22, " must be 4% or less for the type of tax credit selected.", CHAR(10))</f>
        <v xml:space="preserve">The value for 'Acquisition 4% Applicable Percentage Rates (APR)' in cell B21 must be 4% or less for the type of tax credit selected.
</v>
      </c>
      <c r="G22" s="9" t="str">
        <f t="shared" ca="1" si="3"/>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v>
      </c>
      <c r="H22" t="s">
        <v>3660</v>
      </c>
    </row>
    <row r="23" spans="1:8" ht="15" customHeight="1">
      <c r="A23" t="str">
        <f ca="1">IF(AND(OR(Calculations!$B$3,Calculations!$B$4),E23=""),F23, "")</f>
        <v/>
      </c>
      <c r="B23">
        <f>ROW(Application!A24)</f>
        <v>24</v>
      </c>
      <c r="C23" t="str">
        <f t="shared" ca="1" si="0"/>
        <v>Lock-in gross rent floor</v>
      </c>
      <c r="D23" t="str">
        <f t="shared" si="10"/>
        <v>B24</v>
      </c>
      <c r="E23" t="str">
        <f t="shared" ca="1" si="2"/>
        <v/>
      </c>
      <c r="F23" t="str">
        <f ca="1">CONCATENATE("Select a value for '", C23, "' in cell ", D23, ".", CHAR(10))</f>
        <v xml:space="preserve">Select a value for 'Lock-in gross rent floor' in cell B24.
</v>
      </c>
      <c r="G23" s="9" t="str">
        <f t="shared" ca="1" si="3"/>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v>
      </c>
    </row>
    <row r="24" spans="1:8" ht="15" customHeight="1">
      <c r="A24" t="str">
        <f ca="1">IF(AND(E24="",E23="Yes"),F24, "")</f>
        <v/>
      </c>
      <c r="B24">
        <f>ROW(Application!A25)</f>
        <v>25</v>
      </c>
      <c r="C24" t="str">
        <f t="shared" ca="1" si="0"/>
        <v>Lock-in gross rent floor Date</v>
      </c>
      <c r="D24" t="str">
        <f t="shared" si="10"/>
        <v>B25</v>
      </c>
      <c r="E24" t="str">
        <f t="shared" ca="1" si="2"/>
        <v/>
      </c>
      <c r="F24" t="str">
        <f ca="1">CONCATENATE("Enter a date for '", C24, "' in cell ", D24, ".", CHAR(10))</f>
        <v xml:space="preserve">Enter a date for 'Lock-in gross rent floor Date' in cell B25.
</v>
      </c>
      <c r="G24" s="9" t="str">
        <f t="shared" ca="1" si="3"/>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v>
      </c>
    </row>
    <row r="25" spans="1:8" ht="15" customHeight="1">
      <c r="A25" t="str">
        <f ca="1">IF(AND(Calculations!$B$4,E25=""),F25, "")</f>
        <v/>
      </c>
      <c r="B25">
        <f>ROW(Application!A26)</f>
        <v>26</v>
      </c>
      <c r="C25" t="str">
        <f t="shared" ca="1" si="0"/>
        <v>Enter Last Building Placed in Service Date</v>
      </c>
      <c r="D25" t="str">
        <f t="shared" si="10"/>
        <v>B26</v>
      </c>
      <c r="E25" t="str">
        <f t="shared" ca="1" si="2"/>
        <v/>
      </c>
      <c r="F25" t="str">
        <f t="shared" ref="F25:F52" ca="1" si="16">CONCATENATE("Enter a value for '", C25, "' in cell ", D25, ".", CHAR(10))</f>
        <v xml:space="preserve">Enter a value for 'Enter Last Building Placed in Service Date' in cell B26.
</v>
      </c>
      <c r="G25" s="9" t="str">
        <f t="shared" ca="1" si="3"/>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v>
      </c>
    </row>
    <row r="26" spans="1:8" ht="15" customHeight="1">
      <c r="A26" t="str">
        <f t="shared" ref="A26:A52" ca="1" si="17">IF(E26="",F26, "")</f>
        <v xml:space="preserve">Enter a value for 'Name' in cell B29.
</v>
      </c>
      <c r="B26">
        <f>ROW(Application!A29)</f>
        <v>29</v>
      </c>
      <c r="C26" t="str">
        <f t="shared" ca="1" si="0"/>
        <v>Name</v>
      </c>
      <c r="D26" t="str">
        <f t="shared" si="10"/>
        <v>B29</v>
      </c>
      <c r="E26" t="str">
        <f t="shared" ca="1" si="2"/>
        <v/>
      </c>
      <c r="F26" t="str">
        <f t="shared" ca="1" si="16"/>
        <v xml:space="preserve">Enter a value for 'Name' in cell B29.
</v>
      </c>
      <c r="G26" s="9" t="str">
        <f t="shared" ca="1" si="3"/>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v>
      </c>
    </row>
    <row r="27" spans="1:8" ht="15" customHeight="1">
      <c r="A27" t="str">
        <f t="shared" ca="1" si="17"/>
        <v xml:space="preserve">Enter a value for 'Address' in cell B30.
</v>
      </c>
      <c r="B27">
        <f>ROW(Application!A30)</f>
        <v>30</v>
      </c>
      <c r="C27" t="str">
        <f t="shared" ca="1" si="0"/>
        <v>Address</v>
      </c>
      <c r="D27" t="str">
        <f t="shared" si="10"/>
        <v>B30</v>
      </c>
      <c r="E27" t="str">
        <f t="shared" ca="1" si="2"/>
        <v/>
      </c>
      <c r="F27" t="str">
        <f t="shared" ca="1" si="16"/>
        <v xml:space="preserve">Enter a value for 'Address' in cell B30.
</v>
      </c>
      <c r="G27" s="9" t="str">
        <f t="shared" ca="1" si="3"/>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v>
      </c>
    </row>
    <row r="28" spans="1:8" ht="15" customHeight="1">
      <c r="A28" t="str">
        <f t="shared" ca="1" si="17"/>
        <v xml:space="preserve">Enter a value for 'City' in cell B31.
</v>
      </c>
      <c r="B28">
        <f>ROW(Application!A31)</f>
        <v>31</v>
      </c>
      <c r="C28" t="str">
        <f t="shared" ca="1" si="0"/>
        <v>City</v>
      </c>
      <c r="D28" t="str">
        <f t="shared" si="10"/>
        <v>B31</v>
      </c>
      <c r="E28" t="str">
        <f t="shared" ca="1" si="2"/>
        <v/>
      </c>
      <c r="F28" t="str">
        <f t="shared" ca="1" si="16"/>
        <v xml:space="preserve">Enter a value for 'City' in cell B31.
</v>
      </c>
      <c r="G28" s="9" t="str">
        <f t="shared" ca="1" si="3"/>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v>
      </c>
    </row>
    <row r="29" spans="1:8" ht="15" customHeight="1">
      <c r="A29" t="str">
        <f t="shared" ca="1" si="17"/>
        <v xml:space="preserve">Enter a value for 'Zip' in cell B32.
</v>
      </c>
      <c r="B29">
        <f>ROW(Application!A32)</f>
        <v>32</v>
      </c>
      <c r="C29" t="str">
        <f t="shared" ca="1" si="0"/>
        <v>Zip</v>
      </c>
      <c r="D29" t="str">
        <f t="shared" si="10"/>
        <v>B32</v>
      </c>
      <c r="E29" t="str">
        <f t="shared" ca="1" si="2"/>
        <v/>
      </c>
      <c r="F29" t="str">
        <f t="shared" ca="1" si="16"/>
        <v xml:space="preserve">Enter a value for 'Zip' in cell B32.
</v>
      </c>
      <c r="G29" s="9" t="str">
        <f t="shared" ca="1" si="3"/>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v>
      </c>
    </row>
    <row r="30" spans="1:8" ht="15" customHeight="1">
      <c r="A30" t="str">
        <f t="shared" ca="1" si="17"/>
        <v xml:space="preserve">Enter a value for 'County' in cell B33.
</v>
      </c>
      <c r="B30">
        <f>ROW(Application!A33)</f>
        <v>33</v>
      </c>
      <c r="C30" t="str">
        <f t="shared" ca="1" si="0"/>
        <v>County</v>
      </c>
      <c r="D30" t="str">
        <f t="shared" si="10"/>
        <v>B33</v>
      </c>
      <c r="E30" t="str">
        <f t="shared" ca="1" si="2"/>
        <v/>
      </c>
      <c r="F30" t="str">
        <f t="shared" ca="1" si="16"/>
        <v xml:space="preserve">Enter a value for 'County' in cell B33.
</v>
      </c>
      <c r="G30" s="9" t="str">
        <f t="shared" ca="1" si="3"/>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v>
      </c>
    </row>
    <row r="31" spans="1:8" ht="15" customHeight="1">
      <c r="A31" t="str">
        <f t="shared" ca="1" si="17"/>
        <v xml:space="preserve">Enter a value for 'Census Tract' in cell B34.
</v>
      </c>
      <c r="B31">
        <f>ROW(Application!A34)</f>
        <v>34</v>
      </c>
      <c r="C31" t="str">
        <f t="shared" ca="1" si="0"/>
        <v>Census Tract</v>
      </c>
      <c r="D31" t="str">
        <f t="shared" si="10"/>
        <v>B34</v>
      </c>
      <c r="E31" t="str">
        <f t="shared" ca="1" si="2"/>
        <v/>
      </c>
      <c r="F31" t="str">
        <f t="shared" ca="1" si="16"/>
        <v xml:space="preserve">Enter a value for 'Census Tract' in cell B34.
</v>
      </c>
      <c r="G31" s="9" t="str">
        <f t="shared" ca="1" si="3"/>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v>
      </c>
    </row>
    <row r="32" spans="1:8" ht="15" customHeight="1">
      <c r="A32" t="str">
        <f t="shared" ca="1" si="17"/>
        <v xml:space="preserve">Enter a value for 'State Senate District' in cell B35.
</v>
      </c>
      <c r="B32">
        <f>ROW(Application!A35)</f>
        <v>35</v>
      </c>
      <c r="C32" t="str">
        <f t="shared" ca="1" si="0"/>
        <v>State Senate District</v>
      </c>
      <c r="D32" t="str">
        <f t="shared" si="10"/>
        <v>B35</v>
      </c>
      <c r="E32" t="str">
        <f t="shared" ca="1" si="2"/>
        <v/>
      </c>
      <c r="F32" t="str">
        <f t="shared" ca="1" si="16"/>
        <v xml:space="preserve">Enter a value for 'State Senate District' in cell B35.
</v>
      </c>
      <c r="G32" s="9" t="str">
        <f t="shared" ca="1" si="3"/>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v>
      </c>
    </row>
    <row r="33" spans="1:7" ht="15" customHeight="1">
      <c r="A33" t="str">
        <f t="shared" ca="1" si="17"/>
        <v xml:space="preserve">Enter a value for 'State House District' in cell B36.
</v>
      </c>
      <c r="B33">
        <f>ROW(Application!A36)</f>
        <v>36</v>
      </c>
      <c r="C33" t="str">
        <f t="shared" ca="1" si="0"/>
        <v>State House District</v>
      </c>
      <c r="D33" t="str">
        <f t="shared" si="10"/>
        <v>B36</v>
      </c>
      <c r="E33" t="str">
        <f t="shared" ca="1" si="2"/>
        <v/>
      </c>
      <c r="F33" t="str">
        <f t="shared" ca="1" si="16"/>
        <v xml:space="preserve">Enter a value for 'State House District' in cell B36.
</v>
      </c>
      <c r="G33" s="9" t="str">
        <f t="shared" ca="1" si="3"/>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v>
      </c>
    </row>
    <row r="34" spans="1:7" ht="15" customHeight="1">
      <c r="A34" t="str">
        <f t="shared" ca="1" si="17"/>
        <v xml:space="preserve">Enter a value for 'Congressional District' in cell B37.
</v>
      </c>
      <c r="B34">
        <f>ROW(Application!A37)</f>
        <v>37</v>
      </c>
      <c r="C34" t="str">
        <f t="shared" ca="1" si="0"/>
        <v>Congressional District</v>
      </c>
      <c r="D34" t="str">
        <f t="shared" si="10"/>
        <v>B37</v>
      </c>
      <c r="E34" t="str">
        <f t="shared" ca="1" si="2"/>
        <v/>
      </c>
      <c r="F34" t="str">
        <f t="shared" ca="1" si="16"/>
        <v xml:space="preserve">Enter a value for 'Congressional District' in cell B37.
</v>
      </c>
      <c r="G34" s="9" t="str">
        <f t="shared" ca="1" si="3"/>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v>
      </c>
    </row>
    <row r="35" spans="1:7" ht="15" customHeight="1">
      <c r="A35" t="str">
        <f t="shared" ca="1" si="17"/>
        <v xml:space="preserve">Enter a value for 'Site Control' in cell B38.
</v>
      </c>
      <c r="B35">
        <f>ROW(Application!A38)</f>
        <v>38</v>
      </c>
      <c r="C35" t="str">
        <f t="shared" ca="1" si="0"/>
        <v>Site Control</v>
      </c>
      <c r="D35" t="str">
        <f t="shared" si="10"/>
        <v>B38</v>
      </c>
      <c r="E35" t="str">
        <f t="shared" ca="1" si="2"/>
        <v/>
      </c>
      <c r="F35" t="str">
        <f t="shared" ca="1" si="16"/>
        <v xml:space="preserve">Enter a value for 'Site Control' in cell B38.
</v>
      </c>
      <c r="G35" s="9" t="str">
        <f t="shared" ca="1" si="3"/>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v>
      </c>
    </row>
    <row r="36" spans="1:7" ht="15" customHeight="1">
      <c r="A36" t="str">
        <f t="shared" ref="A36:A38" ca="1" si="18">IF(E36="",F36, "")</f>
        <v xml:space="preserve">Enter a value for 'Identify current Owner/Seller/Lessor ' in cell B39.
</v>
      </c>
      <c r="B36">
        <f>ROW(Application!A39)</f>
        <v>39</v>
      </c>
      <c r="C36" t="str">
        <f t="shared" ref="C36:C38" ca="1" si="19">INDIRECT($F$3 &amp; ADDRESS(B36, 1,4  ))</f>
        <v xml:space="preserve">Identify current Owner/Seller/Lessor </v>
      </c>
      <c r="D36" t="str">
        <f t="shared" ref="D36:D38" si="20">ADDRESS(B36, 2,4  )</f>
        <v>B39</v>
      </c>
      <c r="E36" t="str">
        <f t="shared" ref="E36:E38" ca="1" si="21">IF(ISBLANK( INDIRECT($F$3 &amp; D36)),"", INDIRECT($F$3 &amp; D36))</f>
        <v/>
      </c>
      <c r="F36" t="str">
        <f t="shared" ref="F36:F38" ca="1" si="22">CONCATENATE("Enter a value for '", C36, "' in cell ", D36, ".", CHAR(10))</f>
        <v xml:space="preserve">Enter a value for 'Identify current Owner/Seller/Lessor ' in cell B39.
</v>
      </c>
      <c r="G36" s="9" t="str">
        <f t="shared" ref="G36:G38" ca="1" si="23">OFFSET(G36, -1, 0) &amp; A36</f>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v>
      </c>
    </row>
    <row r="37" spans="1:7" ht="15" customHeight="1">
      <c r="A37" t="str">
        <f t="shared" ca="1" si="18"/>
        <v xml:space="preserve">Enter a value for 'Related Party? ' in cell B40.
</v>
      </c>
      <c r="B37">
        <f>ROW(Application!A40)</f>
        <v>40</v>
      </c>
      <c r="C37" t="str">
        <f t="shared" ca="1" si="19"/>
        <v xml:space="preserve">Related Party? </v>
      </c>
      <c r="D37" t="str">
        <f t="shared" si="20"/>
        <v>B40</v>
      </c>
      <c r="E37" t="str">
        <f t="shared" ca="1" si="21"/>
        <v/>
      </c>
      <c r="F37" t="str">
        <f t="shared" ca="1" si="22"/>
        <v xml:space="preserve">Enter a value for 'Related Party? ' in cell B40.
</v>
      </c>
      <c r="G37" s="9" t="str">
        <f t="shared" ca="1" si="23"/>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v>
      </c>
    </row>
    <row r="38" spans="1:7" ht="15" customHeight="1">
      <c r="A38" t="str">
        <f t="shared" ca="1" si="18"/>
        <v xml:space="preserve">Enter a value for 'If yes please explain related party ' in cell B41.
</v>
      </c>
      <c r="B38">
        <f>ROW(Application!A41)</f>
        <v>41</v>
      </c>
      <c r="C38" t="str">
        <f t="shared" ca="1" si="19"/>
        <v xml:space="preserve">If yes please explain related party </v>
      </c>
      <c r="D38" t="str">
        <f t="shared" si="20"/>
        <v>B41</v>
      </c>
      <c r="E38" t="str">
        <f t="shared" ca="1" si="21"/>
        <v/>
      </c>
      <c r="F38" t="str">
        <f t="shared" ca="1" si="22"/>
        <v xml:space="preserve">Enter a value for 'If yes please explain related party ' in cell B41.
</v>
      </c>
      <c r="G38" s="9" t="str">
        <f t="shared" ca="1" si="23"/>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v>
      </c>
    </row>
    <row r="39" spans="1:7" ht="15" customHeight="1">
      <c r="A39" t="str">
        <f t="shared" ca="1" si="17"/>
        <v xml:space="preserve">Enter a value for 'Is the site properly zoned?' in cell B42.
</v>
      </c>
      <c r="B39">
        <f>ROW(Application!A42)</f>
        <v>42</v>
      </c>
      <c r="C39" t="str">
        <f t="shared" ca="1" si="0"/>
        <v>Is the site properly zoned?</v>
      </c>
      <c r="D39" t="str">
        <f t="shared" si="10"/>
        <v>B42</v>
      </c>
      <c r="E39" t="str">
        <f t="shared" ca="1" si="2"/>
        <v/>
      </c>
      <c r="F39" t="str">
        <f t="shared" ca="1" si="16"/>
        <v xml:space="preserve">Enter a value for 'Is the site properly zoned?' in cell B42.
</v>
      </c>
      <c r="G39" s="9" t="str">
        <f t="shared" ca="1" si="3"/>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v>
      </c>
    </row>
    <row r="40" spans="1:7" ht="15" customHeight="1">
      <c r="A40" t="str">
        <f t="shared" ref="A40" ca="1" si="24">IF(E40="",F40, "")</f>
        <v xml:space="preserve">Enter a value for 'Does Zoning meet parking ratio requirements?' in cell B43.
</v>
      </c>
      <c r="B40">
        <f>ROW(Application!A43)</f>
        <v>43</v>
      </c>
      <c r="C40" t="str">
        <f t="shared" ref="C40" ca="1" si="25">INDIRECT($F$3 &amp; ADDRESS(B40, 1,4  ))</f>
        <v>Does Zoning meet parking ratio requirements?</v>
      </c>
      <c r="D40" t="str">
        <f t="shared" ref="D40" si="26">ADDRESS(B40, 2,4  )</f>
        <v>B43</v>
      </c>
      <c r="E40" t="str">
        <f t="shared" ref="E40" ca="1" si="27">IF(ISBLANK( INDIRECT($F$3 &amp; D40)),"", INDIRECT($F$3 &amp; D40))</f>
        <v/>
      </c>
      <c r="F40" t="str">
        <f t="shared" ref="F40" ca="1" si="28">CONCATENATE("Enter a value for '", C40, "' in cell ", D40, ".", CHAR(10))</f>
        <v xml:space="preserve">Enter a value for 'Does Zoning meet parking ratio requirements?' in cell B43.
</v>
      </c>
      <c r="G40" s="9" t="str">
        <f t="shared" ref="G40" ca="1" si="29">OFFSET(G40, -1, 0) &amp; A40</f>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v>
      </c>
    </row>
    <row r="41" spans="1:7" ht="15" customHeight="1">
      <c r="A41" t="str">
        <f t="shared" ca="1" si="17"/>
        <v xml:space="preserve">Enter a value for 'Are all utilities available for the development?' in cell B45.
</v>
      </c>
      <c r="B41">
        <f>ROW(Application!A45)</f>
        <v>45</v>
      </c>
      <c r="C41" t="str">
        <f t="shared" ca="1" si="0"/>
        <v>Are all utilities available for the development?</v>
      </c>
      <c r="D41" t="str">
        <f t="shared" si="10"/>
        <v>B45</v>
      </c>
      <c r="E41" t="str">
        <f t="shared" ca="1" si="2"/>
        <v/>
      </c>
      <c r="F41" t="str">
        <f t="shared" ca="1" si="16"/>
        <v xml:space="preserve">Enter a value for 'Are all utilities available for the development?' in cell B45.
</v>
      </c>
      <c r="G41" s="9" t="str">
        <f t="shared" ca="1" si="3"/>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v>
      </c>
    </row>
    <row r="42" spans="1:7" ht="15" customHeight="1">
      <c r="A42" t="str">
        <f t="shared" ca="1" si="17"/>
        <v xml:space="preserve">Enter a value for 'Heating Type In-Unit' in cell B46.
</v>
      </c>
      <c r="B42">
        <f>ROW(Application!A46)</f>
        <v>46</v>
      </c>
      <c r="C42" t="str">
        <f t="shared" ca="1" si="0"/>
        <v>Heating Type In-Unit</v>
      </c>
      <c r="D42" t="str">
        <f t="shared" si="10"/>
        <v>B46</v>
      </c>
      <c r="E42" t="str">
        <f t="shared" ca="1" si="2"/>
        <v/>
      </c>
      <c r="F42" t="str">
        <f t="shared" ca="1" si="16"/>
        <v xml:space="preserve">Enter a value for 'Heating Type In-Unit' in cell B46.
</v>
      </c>
      <c r="G42" s="9" t="str">
        <f t="shared" ca="1" si="3"/>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v>
      </c>
    </row>
    <row r="43" spans="1:7" ht="15" customHeight="1">
      <c r="A43" t="str">
        <f t="shared" ref="A43" ca="1" si="30">IF(E43="",F43, "")</f>
        <v xml:space="preserve">Enter a value for 'Heating Type Common Area' in cell B47.
</v>
      </c>
      <c r="B43">
        <f>ROW(Application!A47)</f>
        <v>47</v>
      </c>
      <c r="C43" t="str">
        <f t="shared" ref="C43" ca="1" si="31">INDIRECT($F$3 &amp; ADDRESS(B43, 1,4  ))</f>
        <v>Heating Type Common Area</v>
      </c>
      <c r="D43" t="str">
        <f t="shared" ref="D43" si="32">ADDRESS(B43, 2,4  )</f>
        <v>B47</v>
      </c>
      <c r="E43" t="str">
        <f t="shared" ref="E43" ca="1" si="33">IF(ISBLANK( INDIRECT($F$3 &amp; D43)),"", INDIRECT($F$3 &amp; D43))</f>
        <v/>
      </c>
      <c r="F43" t="str">
        <f t="shared" ref="F43" ca="1" si="34">CONCATENATE("Enter a value for '", C43, "' in cell ", D43, ".", CHAR(10))</f>
        <v xml:space="preserve">Enter a value for 'Heating Type Common Area' in cell B47.
</v>
      </c>
      <c r="G43" s="9" t="str">
        <f t="shared" ref="G43" ca="1" si="35">OFFSET(G43, -1, 0) &amp; A43</f>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v>
      </c>
    </row>
    <row r="44" spans="1:7" ht="15.75" customHeight="1">
      <c r="A44" t="str">
        <f t="shared" ca="1" si="17"/>
        <v xml:space="preserve">Enter a value for 'Cooling Type In-Unit' in cell B48.
</v>
      </c>
      <c r="B44">
        <f>ROW(Application!A48)</f>
        <v>48</v>
      </c>
      <c r="C44" t="str">
        <f t="shared" ca="1" si="0"/>
        <v>Cooling Type In-Unit</v>
      </c>
      <c r="D44" t="str">
        <f t="shared" si="10"/>
        <v>B48</v>
      </c>
      <c r="E44" t="str">
        <f t="shared" ca="1" si="2"/>
        <v/>
      </c>
      <c r="F44" t="str">
        <f t="shared" ca="1" si="16"/>
        <v xml:space="preserve">Enter a value for 'Cooling Type In-Unit' in cell B48.
</v>
      </c>
      <c r="G44" s="9" t="str">
        <f t="shared" ca="1" si="3"/>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v>
      </c>
    </row>
    <row r="45" spans="1:7" ht="15.75" customHeight="1">
      <c r="A45" t="str">
        <f t="shared" ref="A45:A48" ca="1" si="36">IF(E45="",F45, "")</f>
        <v xml:space="preserve">Enter a value for 'Cooling Type Common Area' in cell B49.
</v>
      </c>
      <c r="B45">
        <f>ROW(Application!A49)</f>
        <v>49</v>
      </c>
      <c r="C45" t="str">
        <f t="shared" ref="C45:C48" ca="1" si="37">INDIRECT($F$3 &amp; ADDRESS(B45, 1,4  ))</f>
        <v>Cooling Type Common Area</v>
      </c>
      <c r="D45" t="str">
        <f t="shared" ref="D45:D48" si="38">ADDRESS(B45, 2,4  )</f>
        <v>B49</v>
      </c>
      <c r="E45" t="str">
        <f t="shared" ref="E45:E48" ca="1" si="39">IF(ISBLANK( INDIRECT($F$3 &amp; D45)),"", INDIRECT($F$3 &amp; D45))</f>
        <v/>
      </c>
      <c r="F45" t="str">
        <f t="shared" ref="F45:F48" ca="1" si="40">CONCATENATE("Enter a value for '", C45, "' in cell ", D45, ".", CHAR(10))</f>
        <v xml:space="preserve">Enter a value for 'Cooling Type Common Area' in cell B49.
</v>
      </c>
      <c r="G45" s="9" t="str">
        <f t="shared" ref="G45:G48" ca="1" si="41">OFFSET(G45, -1, 0) &amp; A45</f>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v>
      </c>
    </row>
    <row r="46" spans="1:7" ht="15.75" customHeight="1">
      <c r="A46" t="str">
        <f t="shared" ca="1" si="36"/>
        <v xml:space="preserve">Enter a value for 'HVAC System In-Unit' in cell B50.
</v>
      </c>
      <c r="B46">
        <f>ROW(Application!A50)</f>
        <v>50</v>
      </c>
      <c r="C46" t="str">
        <f t="shared" ca="1" si="37"/>
        <v>HVAC System In-Unit</v>
      </c>
      <c r="D46" t="str">
        <f t="shared" si="38"/>
        <v>B50</v>
      </c>
      <c r="E46" t="str">
        <f t="shared" ca="1" si="39"/>
        <v/>
      </c>
      <c r="F46" t="str">
        <f t="shared" ca="1" si="40"/>
        <v xml:space="preserve">Enter a value for 'HVAC System In-Unit' in cell B50.
</v>
      </c>
      <c r="G46" s="9" t="str">
        <f t="shared" ca="1" si="41"/>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v>
      </c>
    </row>
    <row r="47" spans="1:7" ht="15.75" customHeight="1">
      <c r="A47" t="str">
        <f t="shared" ca="1" si="36"/>
        <v xml:space="preserve">Enter a value for 'Hot Water Heating Type' in cell B51.
</v>
      </c>
      <c r="B47">
        <f>ROW(Application!A51)</f>
        <v>51</v>
      </c>
      <c r="C47" t="str">
        <f t="shared" ca="1" si="37"/>
        <v>Hot Water Heating Type</v>
      </c>
      <c r="D47" t="str">
        <f t="shared" si="38"/>
        <v>B51</v>
      </c>
      <c r="E47" t="str">
        <f t="shared" ca="1" si="39"/>
        <v/>
      </c>
      <c r="F47" t="str">
        <f t="shared" ca="1" si="40"/>
        <v xml:space="preserve">Enter a value for 'Hot Water Heating Type' in cell B51.
</v>
      </c>
      <c r="G47" s="9" t="str">
        <f t="shared" ca="1" si="41"/>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v>
      </c>
    </row>
    <row r="48" spans="1:7" ht="15.75" customHeight="1">
      <c r="A48" t="str">
        <f t="shared" ca="1" si="36"/>
        <v xml:space="preserve">Enter a value for 'Ventalation System' in cell B52.
</v>
      </c>
      <c r="B48">
        <f>ROW(Application!A52)</f>
        <v>52</v>
      </c>
      <c r="C48" t="str">
        <f t="shared" ca="1" si="37"/>
        <v>Ventalation System</v>
      </c>
      <c r="D48" t="str">
        <f t="shared" si="38"/>
        <v>B52</v>
      </c>
      <c r="E48" t="str">
        <f t="shared" ca="1" si="39"/>
        <v/>
      </c>
      <c r="F48" t="str">
        <f t="shared" ca="1" si="40"/>
        <v xml:space="preserve">Enter a value for 'Ventalation System' in cell B52.
</v>
      </c>
      <c r="G48" s="9" t="str">
        <f t="shared" ca="1" si="41"/>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v>
      </c>
    </row>
    <row r="49" spans="1:13" ht="15" customHeight="1">
      <c r="A49" t="str">
        <f t="shared" ref="A49" ca="1" si="42">IF(E49="",F49, "")</f>
        <v xml:space="preserve">Enter a value for 'All-Electric Development' in cell B53.
</v>
      </c>
      <c r="B49">
        <f>ROW(Application!A53)</f>
        <v>53</v>
      </c>
      <c r="C49" t="str">
        <f t="shared" ref="C49" ca="1" si="43">INDIRECT($F$3 &amp; ADDRESS(B49, 1,4  ))</f>
        <v>All-Electric Development</v>
      </c>
      <c r="D49" t="str">
        <f t="shared" ref="D49" si="44">ADDRESS(B49, 2,4  )</f>
        <v>B53</v>
      </c>
      <c r="E49" t="str">
        <f t="shared" ref="E49" ca="1" si="45">IF(ISBLANK( INDIRECT($F$3 &amp; D49)),"", INDIRECT($F$3 &amp; D49))</f>
        <v/>
      </c>
      <c r="F49" t="str">
        <f t="shared" ref="F49" ca="1" si="46">CONCATENATE("Enter a value for '", C49, "' in cell ", D49, ".", CHAR(10))</f>
        <v xml:space="preserve">Enter a value for 'All-Electric Development' in cell B53.
</v>
      </c>
      <c r="G49" s="9" t="str">
        <f t="shared" ref="G49" ca="1" si="47">OFFSET(G49, -1, 0) &amp; A49</f>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v>
      </c>
    </row>
    <row r="50" spans="1:13" ht="15" customHeight="1">
      <c r="A50" t="str">
        <f t="shared" ref="A50" ca="1" si="48">IF(E50="",F50, "")</f>
        <v xml:space="preserve">Enter a value for 'Electrification-Ready Development' in cell B54.
</v>
      </c>
      <c r="B50">
        <f>ROW(Application!A54)</f>
        <v>54</v>
      </c>
      <c r="C50" t="str">
        <f t="shared" ref="C50" ca="1" si="49">INDIRECT($F$3 &amp; ADDRESS(B50, 1,4  ))</f>
        <v>Electrification-Ready Development</v>
      </c>
      <c r="D50" t="str">
        <f t="shared" ref="D50" si="50">ADDRESS(B50, 2,4  )</f>
        <v>B54</v>
      </c>
      <c r="E50" t="str">
        <f t="shared" ref="E50" ca="1" si="51">IF(ISBLANK( INDIRECT($F$3 &amp; D50)),"", INDIRECT($F$3 &amp; D50))</f>
        <v/>
      </c>
      <c r="F50" t="str">
        <f t="shared" ref="F50" ca="1" si="52">CONCATENATE("Enter a value for '", C50, "' in cell ", D50, ".", CHAR(10))</f>
        <v xml:space="preserve">Enter a value for 'Electrification-Ready Development' in cell B54.
</v>
      </c>
      <c r="G50" s="9" t="str">
        <f t="shared" ref="G50" ca="1" si="53">OFFSET(G50, -1, 0) &amp; A50</f>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v>
      </c>
    </row>
    <row r="51" spans="1:13" ht="15" customHeight="1">
      <c r="A51" t="str">
        <f t="shared" ca="1" si="17"/>
        <v xml:space="preserve">Enter a value for 'Green Systems' in cell B55.
</v>
      </c>
      <c r="B51">
        <f>ROW(Application!A55)</f>
        <v>55</v>
      </c>
      <c r="C51" t="str">
        <f t="shared" ca="1" si="0"/>
        <v>Green Systems</v>
      </c>
      <c r="D51" t="str">
        <f t="shared" si="10"/>
        <v>B55</v>
      </c>
      <c r="E51" t="str">
        <f t="shared" ca="1" si="2"/>
        <v/>
      </c>
      <c r="F51" t="str">
        <f t="shared" ca="1" si="16"/>
        <v xml:space="preserve">Enter a value for 'Green Systems' in cell B55.
</v>
      </c>
      <c r="G51" s="9" t="str">
        <f t="shared" ca="1" si="3"/>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v>
      </c>
    </row>
    <row r="52" spans="1:13" ht="15" customHeight="1">
      <c r="A52" t="str">
        <f t="shared" ca="1" si="17"/>
        <v xml:space="preserve">Enter a value for 'Type of Energy Efficiency Certification' in cell B56.
</v>
      </c>
      <c r="B52">
        <f>ROW(Application!A56)</f>
        <v>56</v>
      </c>
      <c r="C52" t="str">
        <f t="shared" ca="1" si="0"/>
        <v>Type of Energy Efficiency Certification</v>
      </c>
      <c r="D52" t="str">
        <f t="shared" si="10"/>
        <v>B56</v>
      </c>
      <c r="E52" t="str">
        <f t="shared" ca="1" si="2"/>
        <v/>
      </c>
      <c r="F52" t="str">
        <f t="shared" ca="1" si="16"/>
        <v xml:space="preserve">Enter a value for 'Type of Energy Efficiency Certification' in cell B56.
</v>
      </c>
      <c r="G52" s="9" t="str">
        <f t="shared" ca="1" si="3"/>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v>
      </c>
    </row>
    <row r="53" spans="1:13" ht="15" customHeight="1">
      <c r="A53" t="str">
        <f t="shared" ref="A53" ca="1" si="54">IF(E53="",F53, "")</f>
        <v xml:space="preserve">Enter a value for 'Radon Mitigation' in cell B57.
</v>
      </c>
      <c r="B53">
        <f>ROW(Application!A57)</f>
        <v>57</v>
      </c>
      <c r="C53" t="str">
        <f t="shared" ref="C53" ca="1" si="55">INDIRECT($F$3 &amp; ADDRESS(B53, 1,4  ))</f>
        <v>Radon Mitigation</v>
      </c>
      <c r="D53" t="str">
        <f t="shared" ref="D53" si="56">ADDRESS(B53, 2,4  )</f>
        <v>B57</v>
      </c>
      <c r="E53" t="str">
        <f t="shared" ref="E53" ca="1" si="57">IF(ISBLANK( INDIRECT($F$3 &amp; D53)),"", INDIRECT($F$3 &amp; D53))</f>
        <v/>
      </c>
      <c r="F53" t="str">
        <f t="shared" ref="F53" ca="1" si="58">CONCATENATE("Enter a value for '", C53, "' in cell ", D53, ".", CHAR(10))</f>
        <v xml:space="preserve">Enter a value for 'Radon Mitigation' in cell B57.
</v>
      </c>
      <c r="G53" s="9" t="str">
        <f t="shared" ca="1" si="3"/>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v>
      </c>
    </row>
    <row r="54" spans="1:13" ht="15" customHeight="1">
      <c r="A54" t="str">
        <f t="shared" ref="A54" ca="1" si="59">IF(E54="",F54, "")</f>
        <v xml:space="preserve">Enter a value for 'Water-Wise Landscaping' in cell B58.
</v>
      </c>
      <c r="B54">
        <f>ROW(Application!A58)</f>
        <v>58</v>
      </c>
      <c r="C54" t="str">
        <f t="shared" ref="C54" ca="1" si="60">INDIRECT($F$3 &amp; ADDRESS(B54, 1,4  ))</f>
        <v>Water-Wise Landscaping</v>
      </c>
      <c r="D54" t="str">
        <f t="shared" ref="D54" si="61">ADDRESS(B54, 2,4  )</f>
        <v>B58</v>
      </c>
      <c r="E54" t="str">
        <f t="shared" ref="E54" ca="1" si="62">IF(ISBLANK( INDIRECT($F$3 &amp; D54)),"", INDIRECT($F$3 &amp; D54))</f>
        <v/>
      </c>
      <c r="F54" t="str">
        <f t="shared" ref="F54" ca="1" si="63">CONCATENATE("Enter a value for '", C54, "' in cell ", D54, ".", CHAR(10))</f>
        <v xml:space="preserve">Enter a value for 'Water-Wise Landscaping' in cell B58.
</v>
      </c>
      <c r="G54" s="9" t="str">
        <f t="shared" ref="G54" ca="1" si="64">OFFSET(G54, -1, 0) &amp; A54</f>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v>
      </c>
    </row>
    <row r="55" spans="1:13" ht="15" customHeight="1">
      <c r="A55" t="str">
        <f t="shared" ref="A55:A62" ca="1" si="65">IF(E55="",F55, "")</f>
        <v xml:space="preserve">Enter a value for 'Number of Residential Building(s)' in cell B59.
</v>
      </c>
      <c r="B55">
        <f>ROW(Application!A59)</f>
        <v>59</v>
      </c>
      <c r="C55" t="str">
        <f t="shared" ref="C55:C98" ca="1" si="66">INDIRECT($F$3 &amp; ADDRESS(B55, 1,4  ))</f>
        <v>Number of Residential Building(s)</v>
      </c>
      <c r="D55" t="str">
        <f t="shared" ref="D55:D98" si="67">ADDRESS(B55, 2,4  )</f>
        <v>B59</v>
      </c>
      <c r="E55" t="str">
        <f t="shared" ref="E55:E98" ca="1" si="68">IF(ISBLANK( INDIRECT($F$3 &amp; D55)),"", INDIRECT($F$3 &amp; D55))</f>
        <v/>
      </c>
      <c r="F55" t="str">
        <f t="shared" ref="F55:F63" ca="1" si="69">CONCATENATE("Enter a value for '", C55, "' in cell ", D55, ".", CHAR(10))</f>
        <v xml:space="preserve">Enter a value for 'Number of Residential Building(s)' in cell B59.
</v>
      </c>
      <c r="G55" s="9" t="str">
        <f t="shared" ref="G55:G93" ca="1" si="70">OFFSET(G55, -1, 0) &amp; A55</f>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v>
      </c>
    </row>
    <row r="56" spans="1:13" ht="15" customHeight="1">
      <c r="A56" t="str">
        <f t="shared" ref="A56" ca="1" si="71">IF(E56="",F56, "")</f>
        <v xml:space="preserve">Enter a value for 'Number of Floors in the Tallest Building' in cell B60.
</v>
      </c>
      <c r="B56">
        <f>ROW(Application!A60)</f>
        <v>60</v>
      </c>
      <c r="C56" t="str">
        <f t="shared" ref="C56" ca="1" si="72">INDIRECT($F$3 &amp; ADDRESS(B56, 1,4  ))</f>
        <v>Number of Floors in the Tallest Building</v>
      </c>
      <c r="D56" t="str">
        <f t="shared" ref="D56" si="73">ADDRESS(B56, 2,4  )</f>
        <v>B60</v>
      </c>
      <c r="E56" t="str">
        <f t="shared" ref="E56" ca="1" si="74">IF(ISBLANK( INDIRECT($F$3 &amp; D56)),"", INDIRECT($F$3 &amp; D56))</f>
        <v/>
      </c>
      <c r="F56" t="str">
        <f t="shared" ref="F56" ca="1" si="75">CONCATENATE("Enter a value for '", C56, "' in cell ", D56, ".", CHAR(10))</f>
        <v xml:space="preserve">Enter a value for 'Number of Floors in the Tallest Building' in cell B60.
</v>
      </c>
      <c r="G56" s="9" t="str">
        <f t="shared" ref="G56" ca="1" si="76">OFFSET(G56, -1, 0) &amp; A56</f>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v>
      </c>
      <c r="H56" s="606" cm="1">
        <f t="array" aca="1" ref="H56" ca="1">SUMPRODUCT(--ISTEXT(INDIRECT(J56)))</f>
        <v>0</v>
      </c>
      <c r="I56" s="606" cm="1">
        <f t="array" aca="1" ref="I56" ca="1">SUMPRODUCT(--ISNUMBER(INDIRECT(J56)))</f>
        <v>0</v>
      </c>
      <c r="J56" s="607" t="s">
        <v>3661</v>
      </c>
      <c r="K56" s="608"/>
      <c r="L56" s="608"/>
      <c r="M56" s="609" t="s">
        <v>3662</v>
      </c>
    </row>
    <row r="57" spans="1:13" ht="15" customHeight="1">
      <c r="A57" t="str">
        <f t="shared" ca="1" si="65"/>
        <v xml:space="preserve">Enter a value for 'Building Construction' in cell B61.
</v>
      </c>
      <c r="B57">
        <f>ROW(Application!A61)</f>
        <v>61</v>
      </c>
      <c r="C57" t="str">
        <f t="shared" ca="1" si="66"/>
        <v>Building Construction</v>
      </c>
      <c r="D57" t="str">
        <f t="shared" si="67"/>
        <v>B61</v>
      </c>
      <c r="E57" t="str">
        <f t="shared" ca="1" si="68"/>
        <v/>
      </c>
      <c r="F57" t="str">
        <f t="shared" ca="1" si="69"/>
        <v xml:space="preserve">Enter a value for 'Building Construction' in cell B61.
</v>
      </c>
      <c r="G57" s="9" t="str">
        <f t="shared" ca="1" si="70"/>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v>
      </c>
    </row>
    <row r="58" spans="1:13" ht="15" customHeight="1">
      <c r="A58" t="str">
        <f t="shared" ca="1" si="65"/>
        <v xml:space="preserve">Enter a value for 'Building Type' in cell B62.
</v>
      </c>
      <c r="B58">
        <f>ROW(Application!A62)</f>
        <v>62</v>
      </c>
      <c r="C58" t="str">
        <f t="shared" ca="1" si="66"/>
        <v>Building Type</v>
      </c>
      <c r="D58" t="str">
        <f t="shared" si="67"/>
        <v>B62</v>
      </c>
      <c r="E58" t="str">
        <f t="shared" ca="1" si="68"/>
        <v/>
      </c>
      <c r="F58" t="str">
        <f t="shared" ca="1" si="69"/>
        <v xml:space="preserve">Enter a value for 'Building Type' in cell B62.
</v>
      </c>
      <c r="G58" s="9" t="str">
        <f t="shared" ca="1" si="70"/>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v>
      </c>
    </row>
    <row r="59" spans="1:13" ht="15" customHeight="1">
      <c r="A59" t="str">
        <f t="shared" ca="1" si="65"/>
        <v xml:space="preserve">Enter a value for 'Parcel Size (Site Acres)' in cell B63.
</v>
      </c>
      <c r="B59">
        <f>ROW(Application!A63)</f>
        <v>63</v>
      </c>
      <c r="C59" t="str">
        <f t="shared" ca="1" si="66"/>
        <v>Parcel Size (Site Acres)</v>
      </c>
      <c r="D59" t="str">
        <f t="shared" si="67"/>
        <v>B63</v>
      </c>
      <c r="E59" t="str">
        <f t="shared" ca="1" si="68"/>
        <v/>
      </c>
      <c r="F59" t="str">
        <f t="shared" ca="1" si="69"/>
        <v xml:space="preserve">Enter a value for 'Parcel Size (Site Acres)' in cell B63.
</v>
      </c>
      <c r="G59" s="9" t="str">
        <f t="shared" ca="1" si="70"/>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v>
      </c>
    </row>
    <row r="60" spans="1:13" ht="15" customHeight="1">
      <c r="A60" t="str">
        <f t="shared" ca="1" si="65"/>
        <v xml:space="preserve">Enter a value for 'Common Space Square Footage' in cell B64.
</v>
      </c>
      <c r="B60">
        <f>ROW(Application!A64)</f>
        <v>64</v>
      </c>
      <c r="C60" t="str">
        <f t="shared" ca="1" si="66"/>
        <v>Common Space Square Footage</v>
      </c>
      <c r="D60" t="str">
        <f t="shared" si="67"/>
        <v>B64</v>
      </c>
      <c r="E60" t="str">
        <f t="shared" ca="1" si="68"/>
        <v/>
      </c>
      <c r="F60" t="str">
        <f t="shared" ca="1" si="69"/>
        <v xml:space="preserve">Enter a value for 'Common Space Square Footage' in cell B64.
</v>
      </c>
      <c r="G60" s="9" t="str">
        <f t="shared" ca="1" si="70"/>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v>
      </c>
    </row>
    <row r="61" spans="1:13" ht="15" customHeight="1">
      <c r="A61" t="str">
        <f t="shared" ca="1" si="65"/>
        <v xml:space="preserve">Enter a value for 'Commercial Space Square Footage' in cell B65.
</v>
      </c>
      <c r="B61">
        <f>ROW(Application!A65)</f>
        <v>65</v>
      </c>
      <c r="C61" t="str">
        <f t="shared" ca="1" si="66"/>
        <v>Commercial Space Square Footage</v>
      </c>
      <c r="D61" t="str">
        <f t="shared" si="67"/>
        <v>B65</v>
      </c>
      <c r="E61" t="str">
        <f t="shared" ca="1" si="68"/>
        <v/>
      </c>
      <c r="F61" t="str">
        <f t="shared" ca="1" si="69"/>
        <v xml:space="preserve">Enter a value for 'Commercial Space Square Footage' in cell B65.
</v>
      </c>
      <c r="G61" s="9" t="str">
        <f t="shared" ca="1" si="70"/>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v>
      </c>
    </row>
    <row r="62" spans="1:13" ht="15" customHeight="1">
      <c r="A62" t="str">
        <f t="shared" ca="1" si="65"/>
        <v xml:space="preserve">Enter a value for 'Type of Units/Housing' in cell B66.
</v>
      </c>
      <c r="B62">
        <f>ROW(Application!A66)</f>
        <v>66</v>
      </c>
      <c r="C62" t="str">
        <f t="shared" ca="1" si="66"/>
        <v>Type of Units/Housing</v>
      </c>
      <c r="D62" t="str">
        <f t="shared" si="67"/>
        <v>B66</v>
      </c>
      <c r="E62" t="str">
        <f t="shared" ca="1" si="68"/>
        <v/>
      </c>
      <c r="F62" t="str">
        <f t="shared" ca="1" si="69"/>
        <v xml:space="preserve">Enter a value for 'Type of Units/Housing' in cell B66.
</v>
      </c>
      <c r="G62" s="9" t="str">
        <f t="shared" ca="1" si="70"/>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v>
      </c>
    </row>
    <row r="63" spans="1:13" ht="15" customHeight="1">
      <c r="A63" t="str">
        <f ca="1">IF(E63="",F63, "")</f>
        <v xml:space="preserve">Enter a value for 'Federal Assistance' in cell B68.
</v>
      </c>
      <c r="B63">
        <f>ROW(Application!A68)</f>
        <v>68</v>
      </c>
      <c r="C63" t="str">
        <f t="shared" ca="1" si="66"/>
        <v>Federal Assistance</v>
      </c>
      <c r="D63" t="str">
        <f t="shared" si="67"/>
        <v>B68</v>
      </c>
      <c r="E63" t="str">
        <f t="shared" ca="1" si="68"/>
        <v/>
      </c>
      <c r="F63" t="str">
        <f t="shared" ca="1" si="69"/>
        <v xml:space="preserve">Enter a value for 'Federal Assistance' in cell B68.
</v>
      </c>
      <c r="G63" s="9" t="str">
        <f t="shared" ca="1" si="70"/>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v>
      </c>
    </row>
    <row r="64" spans="1:13" ht="15" customHeight="1">
      <c r="A64" s="52" t="str">
        <f ca="1">IF(AND(E70 = "Yes", E64&lt;&gt;"Yes"),F64, "")</f>
        <v/>
      </c>
      <c r="B64">
        <f>ROW(Application!A68)</f>
        <v>68</v>
      </c>
      <c r="C64" t="str">
        <f t="shared" ca="1" si="66"/>
        <v>Federal Assistance</v>
      </c>
      <c r="D64" t="str">
        <f t="shared" si="67"/>
        <v>B68</v>
      </c>
      <c r="E64" t="str">
        <f ca="1">IF(ISBLANK( INDIRECT($F$3 &amp; D64)),"", INDIRECT($F$3 &amp; D64))</f>
        <v/>
      </c>
      <c r="F64" t="str">
        <f ca="1">CONCATENATE("Yes is requied for '", C64, "' in cell ", D64, " when using Tax Exempt Bond Financing.", CHAR(10))</f>
        <v xml:space="preserve">Yes is requied for 'Federal Assistance' in cell B68 when using Tax Exempt Bond Financing.
</v>
      </c>
      <c r="G64" s="9" t="str">
        <f t="shared" ca="1" si="70"/>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v>
      </c>
    </row>
    <row r="65" spans="1:7" ht="15" customHeight="1">
      <c r="A65" t="str">
        <f ca="1">IF(E65="",F65, "")</f>
        <v xml:space="preserve">Enter a value for 'USDA Rural Development Sect. 515' in cell B69.
</v>
      </c>
      <c r="B65">
        <f>ROW(Application!A69)</f>
        <v>69</v>
      </c>
      <c r="C65" t="str">
        <f t="shared" ca="1" si="66"/>
        <v>USDA Rural Development Sect. 515</v>
      </c>
      <c r="D65" t="str">
        <f t="shared" si="67"/>
        <v>B69</v>
      </c>
      <c r="E65" t="str">
        <f t="shared" ca="1" si="68"/>
        <v/>
      </c>
      <c r="F65" t="str">
        <f t="shared" ref="F65:F70" ca="1" si="77">CONCATENATE("Enter a value for '", C65, "' in cell ", D65, ".", CHAR(10))</f>
        <v xml:space="preserve">Enter a value for 'USDA Rural Development Sect. 515' in cell B69.
</v>
      </c>
      <c r="G65" s="9" t="str">
        <f t="shared" ca="1" si="70"/>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v>
      </c>
    </row>
    <row r="66" spans="1:7" ht="15" customHeight="1">
      <c r="A66" t="str">
        <f t="shared" ref="A66:A70" ca="1" si="78">IF(E66="",F66, "")</f>
        <v xml:space="preserve">Enter a value for 'USDA Rural Development Sect. 514 (Farmworker)' in cell B70.
</v>
      </c>
      <c r="B66">
        <f>ROW(Application!A70)</f>
        <v>70</v>
      </c>
      <c r="C66" t="str">
        <f t="shared" ca="1" si="66"/>
        <v>USDA Rural Development Sect. 514 (Farmworker)</v>
      </c>
      <c r="D66" t="str">
        <f t="shared" si="67"/>
        <v>B70</v>
      </c>
      <c r="E66" t="str">
        <f t="shared" ca="1" si="68"/>
        <v/>
      </c>
      <c r="F66" t="str">
        <f t="shared" ca="1" si="77"/>
        <v xml:space="preserve">Enter a value for 'USDA Rural Development Sect. 514 (Farmworker)' in cell B70.
</v>
      </c>
      <c r="G66" s="9" t="str">
        <f t="shared" ca="1" si="70"/>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v>
      </c>
    </row>
    <row r="67" spans="1:7" ht="15" customHeight="1">
      <c r="A67" t="str">
        <f t="shared" ca="1" si="78"/>
        <v xml:space="preserve">Enter a value for 'FHA Insurance-221(d)(4) ' in cell B71.
</v>
      </c>
      <c r="B67">
        <f>ROW(Application!A71)</f>
        <v>71</v>
      </c>
      <c r="C67" t="str">
        <f t="shared" ca="1" si="66"/>
        <v xml:space="preserve">FHA Insurance-221(d)(4) </v>
      </c>
      <c r="D67" t="str">
        <f t="shared" si="67"/>
        <v>B71</v>
      </c>
      <c r="E67" t="str">
        <f t="shared" ca="1" si="68"/>
        <v/>
      </c>
      <c r="F67" t="str">
        <f t="shared" ca="1" si="77"/>
        <v xml:space="preserve">Enter a value for 'FHA Insurance-221(d)(4) ' in cell B71.
</v>
      </c>
      <c r="G67" s="9" t="str">
        <f t="shared" ca="1" si="70"/>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v>
      </c>
    </row>
    <row r="68" spans="1:7" ht="15" customHeight="1">
      <c r="A68" t="str">
        <f t="shared" ca="1" si="78"/>
        <v xml:space="preserve">Enter a value for 'FHA Insurance 223 (f)' in cell B72.
</v>
      </c>
      <c r="B68">
        <f>ROW(Application!A72)</f>
        <v>72</v>
      </c>
      <c r="C68" t="str">
        <f t="shared" ca="1" si="66"/>
        <v>FHA Insurance 223 (f)</v>
      </c>
      <c r="D68" t="str">
        <f t="shared" si="67"/>
        <v>B72</v>
      </c>
      <c r="E68" t="str">
        <f t="shared" ca="1" si="68"/>
        <v/>
      </c>
      <c r="F68" t="str">
        <f t="shared" ca="1" si="77"/>
        <v xml:space="preserve">Enter a value for 'FHA Insurance 223 (f)' in cell B72.
</v>
      </c>
      <c r="G68" s="9" t="str">
        <f t="shared" ca="1" si="70"/>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v>
      </c>
    </row>
    <row r="69" spans="1:7" ht="15" customHeight="1">
      <c r="A69" t="str">
        <f t="shared" ca="1" si="78"/>
        <v xml:space="preserve">Enter a value for 'FHA Insurance-Risk-Sharing' in cell B73.
</v>
      </c>
      <c r="B69">
        <f>ROW(Application!A73)</f>
        <v>73</v>
      </c>
      <c r="C69" t="str">
        <f t="shared" ca="1" si="66"/>
        <v>FHA Insurance-Risk-Sharing</v>
      </c>
      <c r="D69" t="str">
        <f t="shared" si="67"/>
        <v>B73</v>
      </c>
      <c r="E69" t="str">
        <f t="shared" ca="1" si="68"/>
        <v/>
      </c>
      <c r="F69" t="str">
        <f t="shared" ca="1" si="77"/>
        <v xml:space="preserve">Enter a value for 'FHA Insurance-Risk-Sharing' in cell B73.
</v>
      </c>
      <c r="G69" s="9" t="str">
        <f t="shared" ca="1" si="70"/>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v>
      </c>
    </row>
    <row r="70" spans="1:7" ht="15" customHeight="1">
      <c r="A70" t="str">
        <f t="shared" ca="1" si="78"/>
        <v xml:space="preserve">Enter a value for 'Tax Exempt Bond Financing' in cell B74.
</v>
      </c>
      <c r="B70">
        <f>ROW(Application!A74)</f>
        <v>74</v>
      </c>
      <c r="C70" t="str">
        <f t="shared" ca="1" si="66"/>
        <v>Tax Exempt Bond Financing</v>
      </c>
      <c r="D70" t="str">
        <f t="shared" si="67"/>
        <v>B74</v>
      </c>
      <c r="E70" t="str">
        <f t="shared" ca="1" si="68"/>
        <v/>
      </c>
      <c r="F70" t="str">
        <f t="shared" ca="1" si="77"/>
        <v xml:space="preserve">Enter a value for 'Tax Exempt Bond Financing' in cell B74.
</v>
      </c>
      <c r="G70" s="9" t="str">
        <f t="shared" ca="1" si="70"/>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v>
      </c>
    </row>
    <row r="71" spans="1:7" ht="15" customHeight="1">
      <c r="A71" t="str">
        <f ca="1">IF(AND(E70="Yes", E71=""),F71, "")</f>
        <v/>
      </c>
      <c r="B71">
        <f>ROW(Application!A75)</f>
        <v>75</v>
      </c>
      <c r="C71" t="str">
        <f ca="1">INDIRECT($F$3 &amp; ADDRESS(B71, 1,4  ))</f>
        <v>Bond Issuer Name</v>
      </c>
      <c r="D71" t="str">
        <f>ADDRESS(B71, 2,4  )</f>
        <v>B75</v>
      </c>
      <c r="E71" t="str">
        <f ca="1">IF(ISBLANK( INDIRECT($F$3 &amp; D71)),"", INDIRECT($F$3 &amp; D71))</f>
        <v/>
      </c>
      <c r="F71" t="str">
        <f ca="1">CONCATENATE("Enter a value for '", C71, "' in cell ", D71, ".", CHAR(10))</f>
        <v xml:space="preserve">Enter a value for 'Bond Issuer Name' in cell B75.
</v>
      </c>
      <c r="G71" s="9" t="str">
        <f ca="1">OFFSET(G71, -1, 0) &amp; A71</f>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v>
      </c>
    </row>
    <row r="72" spans="1:7" ht="15" customHeight="1">
      <c r="A72" t="str">
        <f ca="1">IF(AND(E70="Yes", E72=""),F72, "")</f>
        <v/>
      </c>
      <c r="B72">
        <f>ROW(Application!A76)</f>
        <v>76</v>
      </c>
      <c r="C72" t="str">
        <f t="shared" ca="1" si="66"/>
        <v xml:space="preserve">Enter the Total Amount of A Bonds being issued  </v>
      </c>
      <c r="D72" t="str">
        <f t="shared" si="67"/>
        <v>B76</v>
      </c>
      <c r="E72">
        <f t="shared" ca="1" si="68"/>
        <v>0</v>
      </c>
      <c r="F72" t="str">
        <f t="shared" ref="F72:F95" ca="1" si="79">CONCATENATE("Enter a value for '", C72, "' in cell ", D72, ".", CHAR(10))</f>
        <v xml:space="preserve">Enter a value for 'Enter the Total Amount of A Bonds being issued  ' in cell B76.
</v>
      </c>
      <c r="G72" s="9" t="str">
        <f t="shared" ca="1" si="70"/>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v>
      </c>
    </row>
    <row r="73" spans="1:7" ht="15" customHeight="1">
      <c r="A73" t="str">
        <f ca="1">IF(AND(E70="Yes", E73=""),F73, "")</f>
        <v/>
      </c>
      <c r="B73">
        <f>ROW(Application!A77)</f>
        <v>77</v>
      </c>
      <c r="C73" t="str">
        <f t="shared" ca="1" si="66"/>
        <v xml:space="preserve">Enter the Total Amount of B Bonds being issued  </v>
      </c>
      <c r="D73" t="str">
        <f t="shared" si="67"/>
        <v>B77</v>
      </c>
      <c r="E73">
        <f t="shared" ca="1" si="68"/>
        <v>0</v>
      </c>
      <c r="F73" t="str">
        <f t="shared" ca="1" si="79"/>
        <v xml:space="preserve">Enter a value for 'Enter the Total Amount of B Bonds being issued  ' in cell B77.
</v>
      </c>
      <c r="G73" s="9" t="str">
        <f t="shared" ca="1" si="70"/>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v>
      </c>
    </row>
    <row r="74" spans="1:7" ht="15" customHeight="1">
      <c r="B74">
        <f>ROW(Application!A78)</f>
        <v>78</v>
      </c>
      <c r="C74" t="str">
        <f t="shared" ca="1" si="66"/>
        <v xml:space="preserve">Enter the Total Amount of C Bonds being issued </v>
      </c>
      <c r="D74" t="str">
        <f t="shared" si="67"/>
        <v>B78</v>
      </c>
      <c r="E74">
        <f t="shared" ca="1" si="68"/>
        <v>0</v>
      </c>
      <c r="F74" t="str">
        <f t="shared" ca="1" si="79"/>
        <v xml:space="preserve">Enter a value for 'Enter the Total Amount of C Bonds being issued ' in cell B78.
</v>
      </c>
      <c r="G74" s="9" t="str">
        <f ca="1">OFFSET(G74, -1, 0) &amp; A74</f>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v>
      </c>
    </row>
    <row r="75" spans="1:7" ht="15" customHeight="1">
      <c r="B75">
        <f>ROW(Application!A79)</f>
        <v>79</v>
      </c>
      <c r="C75" t="str">
        <f t="shared" ca="1" si="66"/>
        <v>Enter the Total Amount of Recycled Bonds being issued</v>
      </c>
      <c r="D75" t="str">
        <f t="shared" si="67"/>
        <v>B79</v>
      </c>
      <c r="E75">
        <f t="shared" ca="1" si="68"/>
        <v>0</v>
      </c>
      <c r="F75" t="str">
        <f t="shared" ca="1" si="79"/>
        <v xml:space="preserve">Enter a value for 'Enter the Total Amount of Recycled Bonds being issued' in cell B79.
</v>
      </c>
      <c r="G75" s="9" t="str">
        <f t="shared" ref="G75:G79" ca="1" si="80">OFFSET(G75, -1, 0) &amp; A75</f>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v>
      </c>
    </row>
    <row r="76" spans="1:7" ht="15" customHeight="1">
      <c r="A76" t="str">
        <f t="shared" ref="A76:A77" ca="1" si="81">IF(E76="",F76, "")</f>
        <v xml:space="preserve">A value of Yes for 'Enter name of Entity Transferring Bond Cap ' in cell B80 is only available for 4% non-competetive.
</v>
      </c>
      <c r="B76">
        <f>ROW(Application!A80)</f>
        <v>80</v>
      </c>
      <c r="C76" t="str">
        <f t="shared" ref="C76:C77" ca="1" si="82">INDIRECT($F$3 &amp; ADDRESS(B76, 1,4  ))</f>
        <v xml:space="preserve">Enter name of Entity Transferring Bond Cap </v>
      </c>
      <c r="D76" t="str">
        <f t="shared" ref="D76:D77" si="83">ADDRESS(B76, 2,4  )</f>
        <v>B80</v>
      </c>
      <c r="E76" t="str">
        <f t="shared" ref="E76:E77" ca="1" si="84">IF(ISBLANK( INDIRECT($F$3 &amp; D76)),"", INDIRECT($F$3 &amp; D76))</f>
        <v/>
      </c>
      <c r="F76" t="str">
        <f t="shared" ref="F76:F77" ca="1" si="85">CONCATENATE("A value of Yes for '", C76, "' in cell ", D76, " is only available for 4% non-competetive.", CHAR(10))</f>
        <v xml:space="preserve">A value of Yes for 'Enter name of Entity Transferring Bond Cap ' in cell B80 is only available for 4% non-competetive.
</v>
      </c>
      <c r="G76" s="9" t="str">
        <f t="shared" ref="G76:G77" ca="1" si="86">OFFSET(G76, -1, 0) &amp; A76</f>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A value of Yes for 'Enter name of Entity Transferring Bond Cap ' in cell B80 is only available for 4% non-competetive.
</v>
      </c>
    </row>
    <row r="77" spans="1:7" ht="15" customHeight="1">
      <c r="A77" t="str">
        <f t="shared" ca="1" si="81"/>
        <v/>
      </c>
      <c r="B77">
        <f>ROW(Application!A81)</f>
        <v>81</v>
      </c>
      <c r="C77" t="str">
        <f t="shared" ca="1" si="82"/>
        <v>Enter the Total Amount of Bond Cap Being Transferred</v>
      </c>
      <c r="D77" t="str">
        <f t="shared" si="83"/>
        <v>B81</v>
      </c>
      <c r="E77">
        <f t="shared" ca="1" si="84"/>
        <v>0</v>
      </c>
      <c r="F77" t="str">
        <f t="shared" ca="1" si="85"/>
        <v xml:space="preserve">A value of Yes for 'Enter the Total Amount of Bond Cap Being Transferred' in cell B81 is only available for 4% non-competetive.
</v>
      </c>
      <c r="G77" s="9" t="str">
        <f t="shared" ca="1" si="86"/>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A value of Yes for 'Enter name of Entity Transferring Bond Cap ' in cell B80 is only available for 4% non-competetive.
</v>
      </c>
    </row>
    <row r="78" spans="1:7" ht="15" customHeight="1">
      <c r="A78" t="str">
        <f ca="1">IF(E78="",F78, "")</f>
        <v xml:space="preserve">Enter a value for 'Taxable Bond Financing' in cell B82.
</v>
      </c>
      <c r="B78">
        <f>ROW(Application!A82)</f>
        <v>82</v>
      </c>
      <c r="C78" t="str">
        <f t="shared" ca="1" si="66"/>
        <v>Taxable Bond Financing</v>
      </c>
      <c r="D78" t="str">
        <f t="shared" si="67"/>
        <v>B82</v>
      </c>
      <c r="E78" t="str">
        <f t="shared" ca="1" si="68"/>
        <v/>
      </c>
      <c r="F78" t="str">
        <f t="shared" ca="1" si="79"/>
        <v xml:space="preserve">Enter a value for 'Taxable Bond Financing' in cell B82.
</v>
      </c>
      <c r="G78" s="9" t="str">
        <f t="shared" ca="1" si="80"/>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A value of Yes for 'Enter name of Entity Transferring Bond Cap ' in cell B80 is only available for 4% non-competetive.
Enter a value for 'Taxable Bond Financing' in cell B82.
</v>
      </c>
    </row>
    <row r="79" spans="1:7" ht="15" customHeight="1">
      <c r="B79">
        <f>ROW(Application!A83)</f>
        <v>83</v>
      </c>
      <c r="C79" t="str">
        <f t="shared" ca="1" si="66"/>
        <v xml:space="preserve">Enter the Total Amount of Taxable Bonds being issued  </v>
      </c>
      <c r="D79" t="str">
        <f t="shared" si="67"/>
        <v>B83</v>
      </c>
      <c r="E79" t="str">
        <f t="shared" ca="1" si="68"/>
        <v/>
      </c>
      <c r="F79" t="str">
        <f t="shared" ca="1" si="79"/>
        <v xml:space="preserve">Enter a value for 'Enter the Total Amount of Taxable Bonds being issued  ' in cell B83.
</v>
      </c>
      <c r="G79" s="9" t="str">
        <f t="shared" ca="1" si="80"/>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A value of Yes for 'Enter name of Entity Transferring Bond Cap ' in cell B80 is only available for 4% non-competetive.
Enter a value for 'Taxable Bond Financing' in cell B82.
</v>
      </c>
    </row>
    <row r="80" spans="1:7" ht="15" customHeight="1">
      <c r="A80" t="str">
        <f ca="1">IF(E80="",F80, "")</f>
        <v xml:space="preserve">Enter a value for 'Federal Historic Rehabilitation Tax Credits' in cell B84.
</v>
      </c>
      <c r="B80">
        <f>ROW(Application!A84)</f>
        <v>84</v>
      </c>
      <c r="C80" t="str">
        <f t="shared" ca="1" si="66"/>
        <v>Federal Historic Rehabilitation Tax Credits</v>
      </c>
      <c r="D80" t="str">
        <f t="shared" si="67"/>
        <v>B84</v>
      </c>
      <c r="E80" t="str">
        <f t="shared" ca="1" si="68"/>
        <v/>
      </c>
      <c r="F80" t="str">
        <f t="shared" ca="1" si="79"/>
        <v xml:space="preserve">Enter a value for 'Federal Historic Rehabilitation Tax Credits' in cell B84.
</v>
      </c>
      <c r="G80" s="9" t="str">
        <f t="shared" ca="1" si="70"/>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A value of Yes for 'Enter name of Entity Transferring Bond Cap ' in cell B80 is only available for 4% non-competetive.
Enter a value for 'Taxable Bond Financing' in cell B82.
Enter a value for 'Federal Historic Rehabilitation Tax Credits' in cell B84.
</v>
      </c>
    </row>
    <row r="81" spans="1:7" ht="15" customHeight="1">
      <c r="A81" s="52" t="str">
        <f ca="1">IF(AND(E80="Yes", E81=""),F81, "")</f>
        <v/>
      </c>
      <c r="B81">
        <f>ROW(Application!A85)</f>
        <v>85</v>
      </c>
      <c r="C81" t="str">
        <f t="shared" ca="1" si="66"/>
        <v xml:space="preserve">Enter the federal historic credit amount  </v>
      </c>
      <c r="D81" t="str">
        <f t="shared" si="67"/>
        <v>B85</v>
      </c>
      <c r="E81">
        <f t="shared" ca="1" si="68"/>
        <v>0</v>
      </c>
      <c r="F81" t="str">
        <f t="shared" ca="1" si="79"/>
        <v xml:space="preserve">Enter a value for 'Enter the federal historic credit amount  ' in cell B85.
</v>
      </c>
      <c r="G81" s="9" t="str">
        <f t="shared" ca="1" si="70"/>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A value of Yes for 'Enter name of Entity Transferring Bond Cap ' in cell B80 is only available for 4% non-competetive.
Enter a value for 'Taxable Bond Financing' in cell B82.
Enter a value for 'Federal Historic Rehabilitation Tax Credits' in cell B84.
</v>
      </c>
    </row>
    <row r="82" spans="1:7" ht="15" customHeight="1">
      <c r="A82" t="str">
        <f ca="1">IF(E82="",F82, "")</f>
        <v xml:space="preserve">Enter a value for 'State Historic Rehabilitation Tax Credits' in cell B86.
</v>
      </c>
      <c r="B82">
        <f>ROW(Application!A86)</f>
        <v>86</v>
      </c>
      <c r="C82" t="str">
        <f t="shared" ca="1" si="66"/>
        <v>State Historic Rehabilitation Tax Credits</v>
      </c>
      <c r="D82" t="str">
        <f t="shared" si="67"/>
        <v>B86</v>
      </c>
      <c r="E82" t="str">
        <f t="shared" ca="1" si="68"/>
        <v/>
      </c>
      <c r="F82" t="str">
        <f t="shared" ca="1" si="79"/>
        <v xml:space="preserve">Enter a value for 'State Historic Rehabilitation Tax Credits' in cell B86.
</v>
      </c>
      <c r="G82" s="9" t="str">
        <f t="shared" ca="1" si="70"/>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A value of Yes for 'Enter name of Entity Transferring Bond Cap ' in cell B80 is only available for 4% non-competetive.
Enter a value for 'Taxable Bond Financing' in cell B82.
Enter a value for 'Federal Historic Rehabilitation Tax Credits' in cell B84.
Enter a value for 'State Historic Rehabilitation Tax Credits' in cell B86.
</v>
      </c>
    </row>
    <row r="83" spans="1:7" ht="15" customHeight="1">
      <c r="A83" s="52" t="str">
        <f ca="1">IF(AND(E82="Yes", E83=""),F83, "")</f>
        <v/>
      </c>
      <c r="B83">
        <f>ROW(Application!A87)</f>
        <v>87</v>
      </c>
      <c r="C83" t="str">
        <f t="shared" ca="1" si="66"/>
        <v xml:space="preserve">Enter the state historic credit amount  </v>
      </c>
      <c r="D83" t="str">
        <f t="shared" si="67"/>
        <v>B87</v>
      </c>
      <c r="E83">
        <f t="shared" ca="1" si="68"/>
        <v>0</v>
      </c>
      <c r="F83" t="str">
        <f t="shared" ca="1" si="79"/>
        <v xml:space="preserve">Enter a value for 'Enter the state historic credit amount  ' in cell B87.
</v>
      </c>
      <c r="G83" s="9" t="str">
        <f t="shared" ca="1" si="70"/>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A value of Yes for 'Enter name of Entity Transferring Bond Cap ' in cell B80 is only available for 4% non-competetive.
Enter a value for 'Taxable Bond Financing' in cell B82.
Enter a value for 'Federal Historic Rehabilitation Tax Credits' in cell B84.
Enter a value for 'State Historic Rehabilitation Tax Credits' in cell B86.
</v>
      </c>
    </row>
    <row r="84" spans="1:7" ht="15" customHeight="1">
      <c r="A84" t="str">
        <f t="shared" ref="A84:A95" ca="1" si="87">IF(E84="",F84, "")</f>
        <v xml:space="preserve">Enter a value for 'Solar Tax Credits/ITC' in cell B88.
</v>
      </c>
      <c r="B84">
        <f>ROW(Application!A88)</f>
        <v>88</v>
      </c>
      <c r="C84" t="str">
        <f t="shared" ca="1" si="66"/>
        <v>Solar Tax Credits/ITC</v>
      </c>
      <c r="D84" t="str">
        <f t="shared" si="67"/>
        <v>B88</v>
      </c>
      <c r="E84" t="str">
        <f t="shared" ca="1" si="68"/>
        <v/>
      </c>
      <c r="F84" t="str">
        <f t="shared" ca="1" si="79"/>
        <v xml:space="preserve">Enter a value for 'Solar Tax Credits/ITC' in cell B88.
</v>
      </c>
      <c r="G84" s="9" t="str">
        <f t="shared" ca="1" si="70"/>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A value of Yes for 'Enter name of Entity Transferring Bond Cap ' in cell B80 is only available for 4% non-competetive.
Enter a value for 'Taxable Bond Financing' in cell B82.
Enter a value for 'Federal Historic Rehabilitation Tax Credits' in cell B84.
Enter a value for 'State Historic Rehabilitation Tax Credits' in cell B86.
Enter a value for 'Solar Tax Credits/ITC' in cell B88.
</v>
      </c>
    </row>
    <row r="85" spans="1:7" ht="15" customHeight="1">
      <c r="A85" t="str">
        <f t="shared" ca="1" si="87"/>
        <v/>
      </c>
      <c r="B85">
        <f>ROW(Application!A89)</f>
        <v>89</v>
      </c>
      <c r="C85" t="str">
        <f t="shared" ca="1" si="66"/>
        <v>Enter the Amount of the Solar Tax Credit</v>
      </c>
      <c r="D85" t="str">
        <f t="shared" si="67"/>
        <v>B89</v>
      </c>
      <c r="E85">
        <f t="shared" ca="1" si="68"/>
        <v>0</v>
      </c>
      <c r="F85" t="str">
        <f t="shared" ca="1" si="79"/>
        <v xml:space="preserve">Enter a value for 'Enter the Amount of the Solar Tax Credit' in cell B89.
</v>
      </c>
      <c r="G85" s="9" t="str">
        <f t="shared" ca="1" si="70"/>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A value of Yes for 'Enter name of Entity Transferring Bond Cap ' in cell B80 is only available for 4% non-competetive.
Enter a value for 'Taxable Bond Financing' in cell B82.
Enter a value for 'Federal Historic Rehabilitation Tax Credits' in cell B84.
Enter a value for 'State Historic Rehabilitation Tax Credits' in cell B86.
Enter a value for 'Solar Tax Credits/ITC' in cell B88.
</v>
      </c>
    </row>
    <row r="86" spans="1:7" ht="15" customHeight="1">
      <c r="A86" t="str">
        <f t="shared" ref="A86" ca="1" si="88">IF(E86="",F86, "")</f>
        <v xml:space="preserve">Enter a value for '45L Energy Efficiency Home Credit' in cell B90.
</v>
      </c>
      <c r="B86">
        <f>ROW(Application!A90)</f>
        <v>90</v>
      </c>
      <c r="C86" t="str">
        <f t="shared" ref="C86" ca="1" si="89">INDIRECT($F$3 &amp; ADDRESS(B86, 1,4  ))</f>
        <v>45L Energy Efficiency Home Credit</v>
      </c>
      <c r="D86" t="str">
        <f t="shared" ref="D86" si="90">ADDRESS(B86, 2,4  )</f>
        <v>B90</v>
      </c>
      <c r="E86" t="str">
        <f t="shared" ref="E86" ca="1" si="91">IF(ISBLANK( INDIRECT($F$3 &amp; D86)),"", INDIRECT($F$3 &amp; D86))</f>
        <v/>
      </c>
      <c r="F86" t="str">
        <f t="shared" ref="F86" ca="1" si="92">CONCATENATE("Enter a value for '", C86, "' in cell ", D86, ".", CHAR(10))</f>
        <v xml:space="preserve">Enter a value for '45L Energy Efficiency Home Credit' in cell B90.
</v>
      </c>
      <c r="G86" s="9" t="str">
        <f t="shared" ref="G86" ca="1" si="93">OFFSET(G86, -1, 0) &amp; A86</f>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A value of Yes for 'Enter name of Entity Transferring Bond Cap ' in cell B80 is only available for 4% non-competetive.
Enter a value for 'Taxable Bond Financing' in cell B82.
Enter a value for 'Federal Historic Rehabilitation Tax Credits' in cell B84.
Enter a value for 'State Historic Rehabilitation Tax Credits' in cell B86.
Enter a value for 'Solar Tax Credits/ITC' in cell B88.
Enter a value for '45L Energy Efficiency Home Credit' in cell B90.
</v>
      </c>
    </row>
    <row r="87" spans="1:7" ht="15" customHeight="1">
      <c r="A87" t="str">
        <f t="shared" ref="A87:A89" ca="1" si="94">IF(E87="",F87, "")</f>
        <v/>
      </c>
      <c r="B87">
        <f>ROW(Application!A91)</f>
        <v>91</v>
      </c>
      <c r="C87" t="str">
        <f t="shared" ref="C87:C89" ca="1" si="95">INDIRECT($F$3 &amp; ADDRESS(B87, 1,4  ))</f>
        <v>Enter the Amount of the 45L EEH Credit</v>
      </c>
      <c r="D87" t="str">
        <f t="shared" ref="D87:D89" si="96">ADDRESS(B87, 2,4  )</f>
        <v>B91</v>
      </c>
      <c r="E87">
        <f t="shared" ref="E87:E89" ca="1" si="97">IF(ISBLANK( INDIRECT($F$3 &amp; D87)),"", INDIRECT($F$3 &amp; D87))</f>
        <v>0</v>
      </c>
      <c r="F87" t="str">
        <f t="shared" ref="F87:F89" ca="1" si="98">CONCATENATE("Enter a value for '", C87, "' in cell ", D87, ".", CHAR(10))</f>
        <v xml:space="preserve">Enter a value for 'Enter the Amount of the 45L EEH Credit' in cell B91.
</v>
      </c>
      <c r="G87" s="9" t="str">
        <f t="shared" ref="G87:G89" ca="1" si="99">OFFSET(G87, -1, 0) &amp; A87</f>
        <v xml:space="preserve">Enter a date for 'Application Date' in cell B4 between 01/01/2025 and 11/30/2026.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A value of Yes for 'Enter name of Entity Transferring Bond Cap ' in cell B80 is only available for 4% non-competetive.
Enter a value for 'Taxable Bond Financing' in cell B82.
Enter a value for 'Federal Historic Rehabilitation Tax Credits' in cell B84.
Enter a value for 'State Historic Rehabilitation Tax Credits' in cell B86.
Enter a value for 'Solar Tax Credits/ITC' in cell B88.
Enter a value for '45L Energy Efficiency Home Credit' in cell B90.
</v>
      </c>
    </row>
    <row r="88" spans="1:7" ht="15" customHeight="1">
      <c r="A88" t="e">
        <f t="shared" ca="1" si="94"/>
        <v>#REF!</v>
      </c>
      <c r="B88" t="e">
        <f>ROW(Application!#REF!)</f>
        <v>#REF!</v>
      </c>
      <c r="C88" t="e">
        <f t="shared" ca="1" si="95"/>
        <v>#REF!</v>
      </c>
      <c r="D88" t="e">
        <f t="shared" si="96"/>
        <v>#REF!</v>
      </c>
      <c r="E88" t="e">
        <f t="shared" ca="1" si="97"/>
        <v>#REF!</v>
      </c>
      <c r="F88" t="e">
        <f t="shared" ca="1" si="98"/>
        <v>#REF!</v>
      </c>
      <c r="G88" s="9" t="e">
        <f t="shared" ca="1" si="99"/>
        <v>#REF!</v>
      </c>
    </row>
    <row r="89" spans="1:7" ht="15" customHeight="1">
      <c r="A89" t="e">
        <f t="shared" ca="1" si="94"/>
        <v>#REF!</v>
      </c>
      <c r="B89" t="e">
        <f>ROW(Application!#REF!)</f>
        <v>#REF!</v>
      </c>
      <c r="C89" t="e">
        <f t="shared" ca="1" si="95"/>
        <v>#REF!</v>
      </c>
      <c r="D89" t="e">
        <f t="shared" si="96"/>
        <v>#REF!</v>
      </c>
      <c r="E89" t="e">
        <f t="shared" ca="1" si="97"/>
        <v>#REF!</v>
      </c>
      <c r="F89" t="e">
        <f t="shared" ca="1" si="98"/>
        <v>#REF!</v>
      </c>
      <c r="G89" s="9" t="e">
        <f t="shared" ca="1" si="99"/>
        <v>#REF!</v>
      </c>
    </row>
    <row r="90" spans="1:7" ht="15" customHeight="1">
      <c r="A90" t="str">
        <f t="shared" ca="1" si="87"/>
        <v xml:space="preserve">Enter a value for '100% Project-based rental assistance (HAP Contract)' in cell B92.
</v>
      </c>
      <c r="B90">
        <f>ROW(Application!A92)</f>
        <v>92</v>
      </c>
      <c r="C90" t="str">
        <f t="shared" ref="C90:C91" ca="1" si="100">INDIRECT($F$3 &amp; ADDRESS(B90, 1,4  ))</f>
        <v>100% Project-based rental assistance (HAP Contract)</v>
      </c>
      <c r="D90" t="str">
        <f t="shared" ref="D90:D91" si="101">ADDRESS(B90, 2,4  )</f>
        <v>B92</v>
      </c>
      <c r="E90" t="str">
        <f t="shared" ref="E90:E91" ca="1" si="102">IF(ISBLANK( INDIRECT($F$3 &amp; D90)),"", INDIRECT($F$3 &amp; D90))</f>
        <v/>
      </c>
      <c r="F90" t="str">
        <f t="shared" ref="F90:F91" ca="1" si="103">CONCATENATE("Enter a value for '", C90, "' in cell ", D90, ".", CHAR(10))</f>
        <v xml:space="preserve">Enter a value for '100% Project-based rental assistance (HAP Contract)' in cell B92.
</v>
      </c>
      <c r="G90" s="9" t="e">
        <f t="shared" ca="1" si="70"/>
        <v>#REF!</v>
      </c>
    </row>
    <row r="91" spans="1:7" ht="15" customHeight="1">
      <c r="A91" t="str">
        <f t="shared" ca="1" si="87"/>
        <v xml:space="preserve">Enter a value for 'McKinney Act Homeless Funding' in cell B93.
</v>
      </c>
      <c r="B91">
        <f>ROW(Application!A93)</f>
        <v>93</v>
      </c>
      <c r="C91" t="str">
        <f t="shared" ca="1" si="100"/>
        <v>McKinney Act Homeless Funding</v>
      </c>
      <c r="D91" t="str">
        <f t="shared" si="101"/>
        <v>B93</v>
      </c>
      <c r="E91" t="str">
        <f t="shared" ca="1" si="102"/>
        <v/>
      </c>
      <c r="F91" t="str">
        <f t="shared" ca="1" si="103"/>
        <v xml:space="preserve">Enter a value for 'McKinney Act Homeless Funding' in cell B93.
</v>
      </c>
      <c r="G91" s="9" t="e">
        <f t="shared" ca="1" si="70"/>
        <v>#REF!</v>
      </c>
    </row>
    <row r="92" spans="1:7" ht="15" customHeight="1">
      <c r="A92" t="str">
        <f t="shared" ca="1" si="87"/>
        <v xml:space="preserve">Enter a value for 'HOME Funding' in cell B94.
</v>
      </c>
      <c r="B92">
        <f>ROW(Application!A94)</f>
        <v>94</v>
      </c>
      <c r="C92" t="str">
        <f t="shared" ca="1" si="66"/>
        <v>HOME Funding</v>
      </c>
      <c r="D92" t="str">
        <f t="shared" si="67"/>
        <v>B94</v>
      </c>
      <c r="E92" t="str">
        <f t="shared" ca="1" si="68"/>
        <v/>
      </c>
      <c r="F92" t="str">
        <f t="shared" ca="1" si="79"/>
        <v xml:space="preserve">Enter a value for 'HOME Funding' in cell B94.
</v>
      </c>
      <c r="G92" s="9" t="e">
        <f t="shared" ca="1" si="70"/>
        <v>#REF!</v>
      </c>
    </row>
    <row r="93" spans="1:7" ht="15" customHeight="1">
      <c r="A93" t="str">
        <f t="shared" ca="1" si="87"/>
        <v xml:space="preserve">Enter a value for 'CDBG DR Funding' in cell B95.
</v>
      </c>
      <c r="B93">
        <f>ROW(Application!A95)</f>
        <v>95</v>
      </c>
      <c r="C93" t="str">
        <f t="shared" ca="1" si="66"/>
        <v>CDBG DR Funding</v>
      </c>
      <c r="D93" t="str">
        <f t="shared" si="67"/>
        <v>B95</v>
      </c>
      <c r="E93" t="str">
        <f t="shared" ca="1" si="68"/>
        <v/>
      </c>
      <c r="F93" t="str">
        <f t="shared" ca="1" si="79"/>
        <v xml:space="preserve">Enter a value for 'CDBG DR Funding' in cell B95.
</v>
      </c>
      <c r="G93" s="9" t="e">
        <f t="shared" ca="1" si="70"/>
        <v>#REF!</v>
      </c>
    </row>
    <row r="94" spans="1:7" ht="15" customHeight="1">
      <c r="A94" t="str">
        <f t="shared" ca="1" si="87"/>
        <v xml:space="preserve">Enter a value for 'FHLB Affordable Housing Program Funding' in cell B96.
</v>
      </c>
      <c r="B94">
        <f>ROW(Application!A96)</f>
        <v>96</v>
      </c>
      <c r="C94" t="str">
        <f t="shared" ca="1" si="66"/>
        <v>FHLB Affordable Housing Program Funding</v>
      </c>
      <c r="D94" t="str">
        <f t="shared" si="67"/>
        <v>B96</v>
      </c>
      <c r="E94" t="str">
        <f t="shared" ca="1" si="68"/>
        <v/>
      </c>
      <c r="F94" t="str">
        <f t="shared" ca="1" si="79"/>
        <v xml:space="preserve">Enter a value for 'FHLB Affordable Housing Program Funding' in cell B96.
</v>
      </c>
      <c r="G94" s="9" t="e">
        <f t="shared" ref="G94:G98" ca="1" si="104">OFFSET(G94, -1, 0) &amp; A94</f>
        <v>#REF!</v>
      </c>
    </row>
    <row r="95" spans="1:7" ht="15" customHeight="1">
      <c r="A95" t="str">
        <f t="shared" ca="1" si="87"/>
        <v xml:space="preserve">Enter a value for 'CDBG Funding' in cell B97.
</v>
      </c>
      <c r="B95">
        <f>ROW(Application!A97)</f>
        <v>97</v>
      </c>
      <c r="C95" t="str">
        <f t="shared" ca="1" si="66"/>
        <v>CDBG Funding</v>
      </c>
      <c r="D95" t="str">
        <f t="shared" si="67"/>
        <v>B97</v>
      </c>
      <c r="E95" t="str">
        <f t="shared" ca="1" si="68"/>
        <v/>
      </c>
      <c r="F95" t="str">
        <f t="shared" ca="1" si="79"/>
        <v xml:space="preserve">Enter a value for 'CDBG Funding' in cell B97.
</v>
      </c>
      <c r="G95" s="9" t="e">
        <f t="shared" ca="1" si="104"/>
        <v>#REF!</v>
      </c>
    </row>
    <row r="96" spans="1:7" ht="15" customHeight="1">
      <c r="A96" t="str">
        <f ca="1">IF(E96="",F96, "")</f>
        <v xml:space="preserve">Enter a value for 'Project-based Vouchers' in cell B98.
</v>
      </c>
      <c r="B96">
        <f>ROW(Application!A98)</f>
        <v>98</v>
      </c>
      <c r="C96" t="str">
        <f t="shared" ca="1" si="66"/>
        <v>Project-based Vouchers</v>
      </c>
      <c r="D96" t="str">
        <f t="shared" si="67"/>
        <v>B98</v>
      </c>
      <c r="E96" t="str">
        <f t="shared" ca="1" si="68"/>
        <v/>
      </c>
      <c r="F96" t="str">
        <f ca="1">CONCATENATE("Enter a value for '", C96, "' in cell ", D96, ".", CHAR(10))</f>
        <v xml:space="preserve">Enter a value for 'Project-based Vouchers' in cell B98.
</v>
      </c>
      <c r="G96" s="9" t="e">
        <f t="shared" ca="1" si="104"/>
        <v>#REF!</v>
      </c>
    </row>
    <row r="97" spans="1:8" ht="15" customHeight="1">
      <c r="A97" t="str">
        <f ca="1">IF(E97="",F97, "")</f>
        <v/>
      </c>
      <c r="B97">
        <f>ROW(Application!A99)</f>
        <v>99</v>
      </c>
      <c r="C97" t="str">
        <f t="shared" ca="1" si="66"/>
        <v xml:space="preserve">Enter the Number of Project-based Vouchers  </v>
      </c>
      <c r="D97" t="str">
        <f t="shared" si="67"/>
        <v>B99</v>
      </c>
      <c r="E97">
        <f t="shared" ca="1" si="68"/>
        <v>0</v>
      </c>
      <c r="F97" t="str">
        <f ca="1">CONCATENATE("Enter a value for '", C97, "' in cell ", D97, ".", CHAR(10))</f>
        <v xml:space="preserve">Enter a value for 'Enter the Number of Project-based Vouchers  ' in cell B99.
</v>
      </c>
      <c r="G97" s="9" t="e">
        <f t="shared" ca="1" si="104"/>
        <v>#REF!</v>
      </c>
    </row>
    <row r="98" spans="1:8" ht="15" customHeight="1">
      <c r="A98" t="str">
        <f ca="1">IF(E98="",F98, "")</f>
        <v xml:space="preserve">Enter a value for 'State Funds - HDG' in cell B100.
</v>
      </c>
      <c r="B98">
        <f>ROW(Application!A100)</f>
        <v>100</v>
      </c>
      <c r="C98" t="str">
        <f t="shared" ca="1" si="66"/>
        <v>State Funds - HDG</v>
      </c>
      <c r="D98" t="str">
        <f t="shared" si="67"/>
        <v>B100</v>
      </c>
      <c r="E98" t="str">
        <f t="shared" ca="1" si="68"/>
        <v/>
      </c>
      <c r="F98" t="str">
        <f ca="1">CONCATENATE("Enter a value for '", C98, "' in cell ", D98, ".", CHAR(10))</f>
        <v xml:space="preserve">Enter a value for 'State Funds - HDG' in cell B100.
</v>
      </c>
      <c r="G98" s="9" t="e">
        <f t="shared" ca="1" si="104"/>
        <v>#REF!</v>
      </c>
    </row>
    <row r="99" spans="1:8" ht="15" customHeight="1">
      <c r="A99" t="str">
        <f t="shared" ref="A99:A101" ca="1" si="105">IF(E99="",F99, "")</f>
        <v xml:space="preserve">Enter a value for 'State Funds - HSP' in cell B101.
</v>
      </c>
      <c r="B99">
        <f>ROW(Application!A101)</f>
        <v>101</v>
      </c>
      <c r="C99" t="str">
        <f t="shared" ref="C99:C102" ca="1" si="106">INDIRECT($F$3 &amp; ADDRESS(B99, 1,4  ))</f>
        <v>State Funds - HSP</v>
      </c>
      <c r="D99" t="str">
        <f t="shared" ref="D99:D102" si="107">ADDRESS(B99, 2,4  )</f>
        <v>B101</v>
      </c>
      <c r="E99" t="str">
        <f t="shared" ref="E99:E102" ca="1" si="108">IF(ISBLANK( INDIRECT($F$3 &amp; D99)),"", INDIRECT($F$3 &amp; D99))</f>
        <v/>
      </c>
      <c r="F99" t="str">
        <f t="shared" ref="F99:F101" ca="1" si="109">CONCATENATE("Enter a value for '", C99, "' in cell ", D99, ".", CHAR(10))</f>
        <v xml:space="preserve">Enter a value for 'State Funds - HSP' in cell B101.
</v>
      </c>
      <c r="G99" s="9" t="e">
        <f t="shared" ref="G99:G102" ca="1" si="110">OFFSET(G99, -1, 0) &amp; A99</f>
        <v>#REF!</v>
      </c>
    </row>
    <row r="100" spans="1:8" ht="15" customHeight="1">
      <c r="A100" t="str">
        <f t="shared" ca="1" si="105"/>
        <v xml:space="preserve">Enter a value for 'State Funds - DOH Vouchers' in cell B102.
</v>
      </c>
      <c r="B100">
        <f>ROW(Application!A102)</f>
        <v>102</v>
      </c>
      <c r="C100" t="str">
        <f t="shared" ca="1" si="106"/>
        <v>State Funds - DOH Vouchers</v>
      </c>
      <c r="D100" t="str">
        <f t="shared" si="107"/>
        <v>B102</v>
      </c>
      <c r="E100" t="str">
        <f t="shared" ca="1" si="108"/>
        <v/>
      </c>
      <c r="F100" t="str">
        <f t="shared" ca="1" si="109"/>
        <v xml:space="preserve">Enter a value for 'State Funds - DOH Vouchers' in cell B102.
</v>
      </c>
      <c r="G100" s="9" t="e">
        <f t="shared" ca="1" si="110"/>
        <v>#REF!</v>
      </c>
    </row>
    <row r="101" spans="1:8" ht="15" customHeight="1">
      <c r="A101" t="str">
        <f t="shared" ca="1" si="105"/>
        <v xml:space="preserve">Enter a value for 'Additional 5% Developer Fee Boost for PSH Units' in cell B107.
</v>
      </c>
      <c r="B101">
        <f>ROW(Application!A107)</f>
        <v>107</v>
      </c>
      <c r="C101" t="str">
        <f t="shared" ca="1" si="106"/>
        <v>Additional 5% Developer Fee Boost for PSH Units</v>
      </c>
      <c r="D101" t="str">
        <f t="shared" si="107"/>
        <v>B107</v>
      </c>
      <c r="E101" t="str">
        <f t="shared" ca="1" si="108"/>
        <v/>
      </c>
      <c r="F101" t="str">
        <f t="shared" ca="1" si="109"/>
        <v xml:space="preserve">Enter a value for 'Additional 5% Developer Fee Boost for PSH Units' in cell B107.
</v>
      </c>
      <c r="G101" t="e">
        <f t="shared" ca="1" si="110"/>
        <v>#REF!</v>
      </c>
    </row>
    <row r="102" spans="1:8" ht="15" customHeight="1">
      <c r="A102" t="str">
        <f ca="1">IF(AND(E102="Yes", E108=0),F102, "")</f>
        <v/>
      </c>
      <c r="B102">
        <f>ROW(Application!A107)</f>
        <v>107</v>
      </c>
      <c r="C102" t="str">
        <f t="shared" ca="1" si="106"/>
        <v>Additional 5% Developer Fee Boost for PSH Units</v>
      </c>
      <c r="D102" t="str">
        <f t="shared" si="107"/>
        <v>B107</v>
      </c>
      <c r="E102" t="str">
        <f t="shared" ca="1" si="108"/>
        <v/>
      </c>
      <c r="F102" t="str">
        <f ca="1">CONCATENATE("A 'Yes' value for '", C102, "' in cell ", D102, " is not permitted unless units are targeting PSH in cell ", D108, ".", CHAR(10))</f>
        <v xml:space="preserve">A 'Yes' value for 'Additional 5% Developer Fee Boost for PSH Units' in cell B107 is not permitted unless units are targeting PSH in cell B114.
</v>
      </c>
      <c r="G102" t="e">
        <f t="shared" ca="1" si="110"/>
        <v>#REF!</v>
      </c>
    </row>
    <row r="103" spans="1:8" ht="15" customHeight="1">
      <c r="A103" t="str">
        <f t="shared" ref="A103:A123" ca="1" si="111">IF(E103="",F103, "")</f>
        <v/>
      </c>
      <c r="B103">
        <f>ROW(Application!A109)</f>
        <v>109</v>
      </c>
      <c r="C103" t="str">
        <f t="shared" ref="C103:C123" ca="1" si="112">INDIRECT($F$3 &amp; ADDRESS(B103, 1,4  ))</f>
        <v>Special Populations</v>
      </c>
      <c r="D103" t="str">
        <f t="shared" ref="D103:D123" si="113">ADDRESS(B103, 2,4  )</f>
        <v>B109</v>
      </c>
      <c r="E103">
        <f t="shared" ref="E103:E127" ca="1" si="114">IF(ISBLANK( INDIRECT($F$3 &amp; D103)),"", INDIRECT($F$3 &amp; D103))</f>
        <v>0</v>
      </c>
      <c r="F103" t="str">
        <f t="shared" ref="F103:F107" ca="1" si="115">CONCATENATE("Enter a value for '", C103, "' in cell ", D103, ".", CHAR(10))</f>
        <v xml:space="preserve">Enter a value for 'Special Populations' in cell B109.
</v>
      </c>
      <c r="G103" s="9" t="e">
        <f t="shared" ref="G103:G127" ca="1" si="116">OFFSET(G103, -1, 0) &amp; A103</f>
        <v>#REF!</v>
      </c>
    </row>
    <row r="104" spans="1:8" ht="15" customHeight="1">
      <c r="A104" t="str">
        <f t="shared" ca="1" si="111"/>
        <v/>
      </c>
      <c r="B104">
        <f>ROW(Application!A110)</f>
        <v>110</v>
      </c>
      <c r="C104" t="str">
        <f t="shared" ca="1" si="112"/>
        <v>Family</v>
      </c>
      <c r="D104" t="str">
        <f t="shared" si="113"/>
        <v>B110</v>
      </c>
      <c r="E104">
        <f t="shared" ca="1" si="114"/>
        <v>0</v>
      </c>
      <c r="F104" t="str">
        <f t="shared" ca="1" si="115"/>
        <v xml:space="preserve">Enter a value for 'Family' in cell B110.
</v>
      </c>
      <c r="G104" s="9" t="e">
        <f t="shared" ca="1" si="116"/>
        <v>#REF!</v>
      </c>
    </row>
    <row r="105" spans="1:8" ht="15" customHeight="1">
      <c r="A105" t="str">
        <f t="shared" ca="1" si="111"/>
        <v/>
      </c>
      <c r="B105">
        <f>ROW(Application!A111)</f>
        <v>111</v>
      </c>
      <c r="C105" t="str">
        <f t="shared" ca="1" si="112"/>
        <v>Homeless (not PSH)</v>
      </c>
      <c r="D105" t="str">
        <f t="shared" si="113"/>
        <v>B111</v>
      </c>
      <c r="E105">
        <f t="shared" ca="1" si="114"/>
        <v>0</v>
      </c>
      <c r="F105" t="str">
        <f t="shared" ca="1" si="115"/>
        <v xml:space="preserve">Enter a value for 'Homeless (not PSH)' in cell B111.
</v>
      </c>
      <c r="G105" s="9" t="e">
        <f t="shared" ca="1" si="116"/>
        <v>#REF!</v>
      </c>
    </row>
    <row r="106" spans="1:8" ht="15" customHeight="1">
      <c r="A106" t="str">
        <f t="shared" ca="1" si="111"/>
        <v/>
      </c>
      <c r="B106">
        <f>ROW(Application!A112)</f>
        <v>112</v>
      </c>
      <c r="C106" t="str">
        <f t="shared" ca="1" si="112"/>
        <v>Older Adult</v>
      </c>
      <c r="D106" t="str">
        <f t="shared" si="113"/>
        <v>B112</v>
      </c>
      <c r="E106">
        <f t="shared" ca="1" si="114"/>
        <v>0</v>
      </c>
      <c r="F106" t="str">
        <f t="shared" ca="1" si="115"/>
        <v xml:space="preserve">Enter a value for 'Older Adult' in cell B112.
</v>
      </c>
      <c r="G106" s="9" t="e">
        <f t="shared" ca="1" si="116"/>
        <v>#REF!</v>
      </c>
    </row>
    <row r="107" spans="1:8" ht="15" customHeight="1">
      <c r="A107" t="str">
        <f t="shared" ca="1" si="111"/>
        <v/>
      </c>
      <c r="B107">
        <f>ROW(Application!A113)</f>
        <v>113</v>
      </c>
      <c r="C107" t="str">
        <f t="shared" ca="1" si="112"/>
        <v>Veterans</v>
      </c>
      <c r="D107" t="str">
        <f t="shared" si="113"/>
        <v>B113</v>
      </c>
      <c r="E107">
        <f t="shared" ca="1" si="114"/>
        <v>0</v>
      </c>
      <c r="F107" t="str">
        <f t="shared" ca="1" si="115"/>
        <v xml:space="preserve">Enter a value for 'Veterans' in cell B113.
</v>
      </c>
      <c r="G107" s="9" t="e">
        <f t="shared" ca="1" si="116"/>
        <v>#REF!</v>
      </c>
    </row>
    <row r="108" spans="1:8" ht="15" customHeight="1">
      <c r="A108" t="str">
        <f t="shared" ref="A108" ca="1" si="117">IF(E108="",F108, "")</f>
        <v/>
      </c>
      <c r="B108">
        <f>ROW(Application!A114)</f>
        <v>114</v>
      </c>
      <c r="C108" t="str">
        <f t="shared" ref="C108" ca="1" si="118">INDIRECT($F$3 &amp; ADDRESS(B108, 1,4  ))</f>
        <v xml:space="preserve">Permanent Supportive Housing </v>
      </c>
      <c r="D108" t="str">
        <f t="shared" ref="D108" si="119">ADDRESS(B108, 2,4  )</f>
        <v>B114</v>
      </c>
      <c r="E108">
        <f t="shared" ref="E108" ca="1" si="120">IF(ISBLANK( INDIRECT($F$3 &amp; D108)),"", INDIRECT($F$3 &amp; D108))</f>
        <v>0</v>
      </c>
      <c r="F108" t="str">
        <f t="shared" ref="F108" ca="1" si="121">CONCATENATE("Enter a value for '", C108, "' in cell ", D108, ".", CHAR(10))</f>
        <v xml:space="preserve">Enter a value for 'Permanent Supportive Housing ' in cell B114.
</v>
      </c>
      <c r="G108" s="9" t="e">
        <f t="shared" ref="G108" ca="1" si="122">OFFSET(G108, -1, 0) &amp; A108</f>
        <v>#REF!</v>
      </c>
    </row>
    <row r="109" spans="1:8" ht="15" customHeight="1">
      <c r="A109" t="str">
        <f ca="1">IF(AND(OR(E109="", E109=0), H109),F109, "")</f>
        <v/>
      </c>
      <c r="B109">
        <v>116</v>
      </c>
      <c r="C109" t="str">
        <f ca="1">INDIRECT($F$3 &amp; ADDRESS(B109, 1,4  ))</f>
        <v>New Construction</v>
      </c>
      <c r="D109" t="str">
        <f>ADDRESS(B109, 2,4  )</f>
        <v>B116</v>
      </c>
      <c r="E109">
        <f ca="1">IF(ISBLANK( INDIRECT($F$3 &amp; D109)),"", INDIRECT($F$3 &amp; D109))</f>
        <v>0</v>
      </c>
      <c r="F109" t="str">
        <f ca="1">CONCATENATE("Enter a value for '", C109, "' in cell ", D109, ".", CHAR(10))</f>
        <v xml:space="preserve">Enter a value for 'New Construction' in cell B116.
</v>
      </c>
      <c r="G109" s="9" t="e">
        <f ca="1">OFFSET(G109, -1, 0) &amp; A109</f>
        <v>#REF!</v>
      </c>
      <c r="H109" t="b">
        <f>AND(Calculations!B8,Calculations!B9)</f>
        <v>0</v>
      </c>
    </row>
    <row r="110" spans="1:8" ht="15" customHeight="1">
      <c r="A110" t="str">
        <f ca="1">IF(AND(OR(E110="", E110=0), H110),F110, "")</f>
        <v/>
      </c>
      <c r="B110">
        <v>117</v>
      </c>
      <c r="C110" t="str">
        <f ca="1">INDIRECT($F$3 &amp; ADDRESS(B110, 1,4  ))</f>
        <v>Acq/Rehab or Rehab</v>
      </c>
      <c r="D110" t="str">
        <f>ADDRESS(B110, 2,4  )</f>
        <v>B117</v>
      </c>
      <c r="E110">
        <f ca="1">IF(ISBLANK( INDIRECT($F$3 &amp; D110)),"", INDIRECT($F$3 &amp; D110))</f>
        <v>0</v>
      </c>
      <c r="F110" t="str">
        <f ca="1">CONCATENATE("Enter a value for '", C110, "' in cell ", D110, ".", CHAR(10))</f>
        <v xml:space="preserve">Enter a value for 'Acq/Rehab or Rehab' in cell B117.
</v>
      </c>
      <c r="G110" s="9" t="e">
        <f ca="1">OFFSET(G110, -1, 0) &amp; A110</f>
        <v>#REF!</v>
      </c>
      <c r="H110" t="b">
        <f>AND(Calculations!B8,Calculations!B9)</f>
        <v>0</v>
      </c>
    </row>
    <row r="111" spans="1:8" ht="15" customHeight="1">
      <c r="A111" t="str">
        <f t="shared" ca="1" si="111"/>
        <v xml:space="preserve">Enter a date for 'Letter of Intent &amp; Market Analyst Engagement Letter to CHFA' in cell B121.
</v>
      </c>
      <c r="B111">
        <f>ROW(Application!A121)</f>
        <v>121</v>
      </c>
      <c r="C111" t="str">
        <f t="shared" ca="1" si="112"/>
        <v>Letter of Intent &amp; Market Analyst Engagement Letter to CHFA</v>
      </c>
      <c r="D111" t="str">
        <f t="shared" si="113"/>
        <v>B121</v>
      </c>
      <c r="E111" t="str">
        <f t="shared" ca="1" si="114"/>
        <v/>
      </c>
      <c r="F111" t="str">
        <f t="shared" ref="F111:F125" ca="1" si="123">CONCATENATE("Enter a date for '", C111, "' in cell ", D111, ".", CHAR(10))</f>
        <v xml:space="preserve">Enter a date for 'Letter of Intent &amp; Market Analyst Engagement Letter to CHFA' in cell B121.
</v>
      </c>
      <c r="G111" s="9" t="e">
        <f t="shared" ca="1" si="116"/>
        <v>#REF!</v>
      </c>
      <c r="H111" t="s">
        <v>3663</v>
      </c>
    </row>
    <row r="112" spans="1:8" ht="15" customHeight="1">
      <c r="A112" t="str">
        <f t="shared" ca="1" si="111"/>
        <v xml:space="preserve">Enter a date for 'Submit Housing Credit Application &amp; Market Study to CHFA' in cell B122.
</v>
      </c>
      <c r="B112">
        <f>ROW(Application!A122)</f>
        <v>122</v>
      </c>
      <c r="C112" t="str">
        <f t="shared" ca="1" si="112"/>
        <v>Submit Housing Credit Application &amp; Market Study to CHFA</v>
      </c>
      <c r="D112" t="str">
        <f t="shared" si="113"/>
        <v>B122</v>
      </c>
      <c r="E112" t="str">
        <f t="shared" ca="1" si="114"/>
        <v/>
      </c>
      <c r="F112" t="str">
        <f t="shared" ca="1" si="123"/>
        <v xml:space="preserve">Enter a date for 'Submit Housing Credit Application &amp; Market Study to CHFA' in cell B122.
</v>
      </c>
      <c r="G112" s="9" t="e">
        <f t="shared" ca="1" si="116"/>
        <v>#REF!</v>
      </c>
      <c r="H112" t="b">
        <f>Application!B74="Yes"</f>
        <v>0</v>
      </c>
    </row>
    <row r="113" spans="1:8" ht="15" customHeight="1">
      <c r="A113" t="str">
        <f t="shared" ca="1" si="111"/>
        <v xml:space="preserve">Enter a date for 'Housing Credit Application Approval/Reservation' in cell B123.
</v>
      </c>
      <c r="B113">
        <f>ROW(Application!A123)</f>
        <v>123</v>
      </c>
      <c r="C113" t="str">
        <f t="shared" ca="1" si="112"/>
        <v>Housing Credit Application Approval/Reservation</v>
      </c>
      <c r="D113" t="str">
        <f t="shared" si="113"/>
        <v>B123</v>
      </c>
      <c r="E113" t="str">
        <f t="shared" ca="1" si="114"/>
        <v/>
      </c>
      <c r="F113" t="str">
        <f t="shared" ca="1" si="123"/>
        <v xml:space="preserve">Enter a date for 'Housing Credit Application Approval/Reservation' in cell B123.
</v>
      </c>
      <c r="G113" s="9" t="e">
        <f t="shared" ca="1" si="116"/>
        <v>#REF!</v>
      </c>
    </row>
    <row r="114" spans="1:8" ht="15" customHeight="1">
      <c r="A114" t="str">
        <f ca="1">IF(AND(E114="", $H$112),F114, "")</f>
        <v/>
      </c>
      <c r="B114">
        <f>ROW(Application!A125)</f>
        <v>125</v>
      </c>
      <c r="C114" t="str">
        <f t="shared" ca="1" si="112"/>
        <v>Inducement Resolution</v>
      </c>
      <c r="D114" t="str">
        <f t="shared" si="113"/>
        <v>B125</v>
      </c>
      <c r="E114" t="str">
        <f t="shared" ca="1" si="114"/>
        <v/>
      </c>
      <c r="F114" t="str">
        <f t="shared" ca="1" si="123"/>
        <v xml:space="preserve">Enter a date for 'Inducement Resolution' in cell B125.
</v>
      </c>
      <c r="G114" s="9" t="e">
        <f t="shared" ca="1" si="116"/>
        <v>#REF!</v>
      </c>
    </row>
    <row r="115" spans="1:8" ht="15" customHeight="1">
      <c r="A115" t="str">
        <f ca="1">IF(AND(E115="", $H$112),F115, "")</f>
        <v/>
      </c>
      <c r="B115">
        <f>ROW(Application!A126)</f>
        <v>126</v>
      </c>
      <c r="C115" t="str">
        <f t="shared" ca="1" si="112"/>
        <v>Final Authorizing Resolution</v>
      </c>
      <c r="D115" t="str">
        <f t="shared" si="113"/>
        <v>B126</v>
      </c>
      <c r="E115" t="str">
        <f t="shared" ca="1" si="114"/>
        <v/>
      </c>
      <c r="F115" t="str">
        <f t="shared" ca="1" si="123"/>
        <v xml:space="preserve">Enter a date for 'Final Authorizing Resolution' in cell B126.
</v>
      </c>
      <c r="G115" s="9" t="e">
        <f t="shared" ca="1" si="116"/>
        <v>#REF!</v>
      </c>
    </row>
    <row r="116" spans="1:8" ht="15" customHeight="1">
      <c r="A116" t="str">
        <f ca="1">IF(AND(E116="", $H$112),F116, "")</f>
        <v/>
      </c>
      <c r="B116">
        <f>ROW(Application!A127)</f>
        <v>127</v>
      </c>
      <c r="C116" t="str">
        <f t="shared" ca="1" si="112"/>
        <v>Construction Loan Closing</v>
      </c>
      <c r="D116" t="str">
        <f t="shared" si="113"/>
        <v>B127</v>
      </c>
      <c r="E116" t="str">
        <f t="shared" ca="1" si="114"/>
        <v/>
      </c>
      <c r="F116" t="str">
        <f t="shared" ca="1" si="123"/>
        <v xml:space="preserve">Enter a date for 'Construction Loan Closing' in cell B127.
</v>
      </c>
      <c r="G116" s="9" t="e">
        <f t="shared" ca="1" si="116"/>
        <v>#REF!</v>
      </c>
    </row>
    <row r="117" spans="1:8" ht="15" customHeight="1">
      <c r="A117" t="str">
        <f t="shared" ca="1" si="111"/>
        <v xml:space="preserve">Enter a date for 'Close Acquisition (if applicable)' in cell B128.
</v>
      </c>
      <c r="B117">
        <f>ROW(Application!A128)</f>
        <v>128</v>
      </c>
      <c r="C117" t="str">
        <f t="shared" ca="1" si="112"/>
        <v>Close Acquisition (if applicable)</v>
      </c>
      <c r="D117" t="str">
        <f t="shared" si="113"/>
        <v>B128</v>
      </c>
      <c r="E117" t="str">
        <f t="shared" ca="1" si="114"/>
        <v/>
      </c>
      <c r="F117" t="str">
        <f t="shared" ca="1" si="123"/>
        <v xml:space="preserve">Enter a date for 'Close Acquisition (if applicable)' in cell B128.
</v>
      </c>
      <c r="G117" s="9" t="e">
        <f t="shared" ca="1" si="116"/>
        <v>#REF!</v>
      </c>
    </row>
    <row r="118" spans="1:8" ht="15" customHeight="1">
      <c r="A118" t="str">
        <f t="shared" ca="1" si="111"/>
        <v xml:space="preserve">Enter a date for 'All Loans Closed' in cell B129.
</v>
      </c>
      <c r="B118">
        <f>ROW(Application!A129)</f>
        <v>129</v>
      </c>
      <c r="C118" t="str">
        <f t="shared" ca="1" si="112"/>
        <v>All Loans Closed</v>
      </c>
      <c r="D118" t="str">
        <f t="shared" si="113"/>
        <v>B129</v>
      </c>
      <c r="E118" t="str">
        <f t="shared" ca="1" si="114"/>
        <v/>
      </c>
      <c r="F118" t="str">
        <f t="shared" ca="1" si="123"/>
        <v xml:space="preserve">Enter a date for 'All Loans Closed' in cell B129.
</v>
      </c>
      <c r="G118" s="9" t="e">
        <f t="shared" ca="1" si="116"/>
        <v>#REF!</v>
      </c>
    </row>
    <row r="119" spans="1:8" ht="15" customHeight="1">
      <c r="A119" t="str">
        <f t="shared" ca="1" si="111"/>
        <v xml:space="preserve">Enter a date for 'Execute Partnership Agreement' in cell B130.
</v>
      </c>
      <c r="B119">
        <f>ROW(Application!A130)</f>
        <v>130</v>
      </c>
      <c r="C119" t="str">
        <f t="shared" ca="1" si="112"/>
        <v>Execute Partnership Agreement</v>
      </c>
      <c r="D119" t="str">
        <f t="shared" si="113"/>
        <v>B130</v>
      </c>
      <c r="E119" t="str">
        <f t="shared" ca="1" si="114"/>
        <v/>
      </c>
      <c r="F119" t="str">
        <f t="shared" ca="1" si="123"/>
        <v xml:space="preserve">Enter a date for 'Execute Partnership Agreement' in cell B130.
</v>
      </c>
      <c r="G119" s="9" t="e">
        <f t="shared" ca="1" si="116"/>
        <v>#REF!</v>
      </c>
    </row>
    <row r="120" spans="1:8" ht="15" customHeight="1">
      <c r="A120" t="str">
        <f ca="1">IF(AND(E120="",$H$112=FALSE),F120, "")</f>
        <v xml:space="preserve">Enter a date for 'Submit Carryover Application for 9% Project' in cell B131.
</v>
      </c>
      <c r="B120">
        <f>ROW(Application!A131)</f>
        <v>131</v>
      </c>
      <c r="C120" t="str">
        <f t="shared" ca="1" si="112"/>
        <v>Submit Carryover Application for 9% Project</v>
      </c>
      <c r="D120" t="str">
        <f t="shared" si="113"/>
        <v>B131</v>
      </c>
      <c r="E120" t="str">
        <f t="shared" ca="1" si="114"/>
        <v/>
      </c>
      <c r="F120" t="str">
        <f t="shared" ca="1" si="123"/>
        <v xml:space="preserve">Enter a date for 'Submit Carryover Application for 9% Project' in cell B131.
</v>
      </c>
      <c r="G120" s="9" t="e">
        <f t="shared" ca="1" si="116"/>
        <v>#REF!</v>
      </c>
    </row>
    <row r="121" spans="1:8" s="357" customFormat="1" ht="15" customHeight="1">
      <c r="A121" s="357" t="str">
        <f ca="1">IF(AND(E121="",Calculations!B10),F121, "")</f>
        <v/>
      </c>
      <c r="B121" s="357">
        <f>ROW(Application!A132)</f>
        <v>132</v>
      </c>
      <c r="C121" s="357" t="str">
        <f t="shared" ref="C121" ca="1" si="124">INDIRECT($F$3 &amp; ADDRESS(B121, 1,4  ))</f>
        <v>Submit Milestone Documention for State AHTC</v>
      </c>
      <c r="D121" s="357" t="str">
        <f t="shared" ref="D121" si="125">ADDRESS(B121, 2,4  )</f>
        <v>B132</v>
      </c>
      <c r="E121" s="357" t="str">
        <f t="shared" ca="1" si="114"/>
        <v/>
      </c>
      <c r="F121" s="357" t="str">
        <f t="shared" ca="1" si="123"/>
        <v xml:space="preserve">Enter a date for 'Submit Milestone Documention for State AHTC' in cell B132.
</v>
      </c>
      <c r="G121" s="623" t="e">
        <f t="shared" ca="1" si="116"/>
        <v>#REF!</v>
      </c>
      <c r="H121" s="357" t="s">
        <v>3664</v>
      </c>
    </row>
    <row r="122" spans="1:8" ht="15" customHeight="1">
      <c r="A122" t="str">
        <f t="shared" ca="1" si="111"/>
        <v xml:space="preserve">Enter a date for 'Complete Construction Drawings approved by Planning/Building Dept.' in cell B134.
</v>
      </c>
      <c r="B122">
        <f>ROW(Application!A134)</f>
        <v>134</v>
      </c>
      <c r="C122" t="str">
        <f t="shared" ca="1" si="112"/>
        <v>Complete Construction Drawings approved by Planning/Building Dept.</v>
      </c>
      <c r="D122" t="str">
        <f t="shared" si="113"/>
        <v>B134</v>
      </c>
      <c r="E122" t="str">
        <f t="shared" ca="1" si="114"/>
        <v/>
      </c>
      <c r="F122" t="str">
        <f t="shared" ca="1" si="123"/>
        <v xml:space="preserve">Enter a date for 'Complete Construction Drawings approved by Planning/Building Dept.' in cell B134.
</v>
      </c>
      <c r="G122" s="9" t="e">
        <f t="shared" ca="1" si="116"/>
        <v>#REF!</v>
      </c>
    </row>
    <row r="123" spans="1:8" ht="15" customHeight="1">
      <c r="A123" t="str">
        <f t="shared" ca="1" si="111"/>
        <v xml:space="preserve">Enter a date for 'Final Site Plan Approval' in cell B135.
</v>
      </c>
      <c r="B123">
        <f>ROW(Application!A135)</f>
        <v>135</v>
      </c>
      <c r="C123" t="str">
        <f t="shared" ca="1" si="112"/>
        <v>Final Site Plan Approval</v>
      </c>
      <c r="D123" t="str">
        <f t="shared" si="113"/>
        <v>B135</v>
      </c>
      <c r="E123" t="str">
        <f t="shared" ca="1" si="114"/>
        <v/>
      </c>
      <c r="F123" t="str">
        <f t="shared" ca="1" si="123"/>
        <v xml:space="preserve">Enter a date for 'Final Site Plan Approval' in cell B135.
</v>
      </c>
      <c r="G123" s="9" t="e">
        <f t="shared" ca="1" si="116"/>
        <v>#REF!</v>
      </c>
    </row>
    <row r="124" spans="1:8" ht="15" customHeight="1">
      <c r="A124" t="str">
        <f t="shared" ref="A124:A127" ca="1" si="126">IF(E124="",F124, "")</f>
        <v xml:space="preserve">Enter a date for 'Groundbreaking Ceremony (if planned)' in cell B136.
</v>
      </c>
      <c r="B124">
        <f>ROW(Application!A136)</f>
        <v>136</v>
      </c>
      <c r="C124" t="str">
        <f t="shared" ref="C124:C127" ca="1" si="127">INDIRECT($F$3 &amp; ADDRESS(B124, 1,4  ))</f>
        <v>Groundbreaking Ceremony (if planned)</v>
      </c>
      <c r="D124" t="str">
        <f t="shared" ref="D124:D127" si="128">ADDRESS(B124, 2,4  )</f>
        <v>B136</v>
      </c>
      <c r="E124" t="str">
        <f t="shared" ca="1" si="114"/>
        <v/>
      </c>
      <c r="F124" t="str">
        <f t="shared" ca="1" si="123"/>
        <v xml:space="preserve">Enter a date for 'Groundbreaking Ceremony (if planned)' in cell B136.
</v>
      </c>
      <c r="G124" s="9" t="e">
        <f t="shared" ca="1" si="116"/>
        <v>#REF!</v>
      </c>
    </row>
    <row r="125" spans="1:8" ht="15" customHeight="1">
      <c r="A125" t="str">
        <f t="shared" ca="1" si="126"/>
        <v xml:space="preserve">Enter a date for 'Building Permit(s) Issued' in cell B137.
</v>
      </c>
      <c r="B125">
        <f>ROW(Application!A137)</f>
        <v>137</v>
      </c>
      <c r="C125" t="str">
        <f t="shared" ca="1" si="127"/>
        <v>Building Permit(s) Issued</v>
      </c>
      <c r="D125" t="str">
        <f t="shared" si="128"/>
        <v>B137</v>
      </c>
      <c r="E125" t="str">
        <f t="shared" ca="1" si="114"/>
        <v/>
      </c>
      <c r="F125" t="str">
        <f t="shared" ca="1" si="123"/>
        <v xml:space="preserve">Enter a date for 'Building Permit(s) Issued' in cell B137.
</v>
      </c>
      <c r="G125" s="9" t="e">
        <f t="shared" ca="1" si="116"/>
        <v>#REF!</v>
      </c>
    </row>
    <row r="126" spans="1:8" ht="15" customHeight="1">
      <c r="A126" t="str">
        <f t="shared" ca="1" si="126"/>
        <v xml:space="preserve">Enter a value for 'Complete Construction &amp; Anticipated Place-In-Service
(Obtain Certificates of Occupancy)' in cell B138.
</v>
      </c>
      <c r="B126">
        <f>ROW(Application!A138)</f>
        <v>138</v>
      </c>
      <c r="C126" t="str">
        <f t="shared" ca="1" si="127"/>
        <v>Complete Construction &amp; Anticipated Place-In-Service
(Obtain Certificates of Occupancy)</v>
      </c>
      <c r="D126" t="str">
        <f t="shared" si="128"/>
        <v>B138</v>
      </c>
      <c r="E126" t="str">
        <f t="shared" ca="1" si="114"/>
        <v/>
      </c>
      <c r="F126" t="str">
        <f ca="1">CONCATENATE("Enter a value for '", C126, "' in cell ", D126, ".", CHAR(10))</f>
        <v xml:space="preserve">Enter a value for 'Complete Construction &amp; Anticipated Place-In-Service
(Obtain Certificates of Occupancy)' in cell B138.
</v>
      </c>
      <c r="G126" s="9" t="e">
        <f t="shared" ca="1" si="116"/>
        <v>#REF!</v>
      </c>
    </row>
    <row r="127" spans="1:8" ht="15" customHeight="1">
      <c r="A127" t="str">
        <f t="shared" ca="1" si="126"/>
        <v xml:space="preserve">Enter a date for 'Enter Estimated Construction Period (Months)' in cell B139.
</v>
      </c>
      <c r="B127">
        <f>ROW(Application!A139)</f>
        <v>139</v>
      </c>
      <c r="C127" t="str">
        <f t="shared" ca="1" si="127"/>
        <v>Enter Estimated Construction Period (Months)</v>
      </c>
      <c r="D127" t="str">
        <f t="shared" si="128"/>
        <v>B139</v>
      </c>
      <c r="E127" t="str">
        <f t="shared" ca="1" si="114"/>
        <v/>
      </c>
      <c r="F127" t="str">
        <f ca="1">CONCATENATE("Enter a date for '", C127, "' in cell ", D127, ".", CHAR(10))</f>
        <v xml:space="preserve">Enter a date for 'Enter Estimated Construction Period (Months)' in cell B139.
</v>
      </c>
      <c r="G127" s="9" t="e">
        <f t="shared" ca="1" si="116"/>
        <v>#REF!</v>
      </c>
    </row>
    <row r="128" spans="1:8" ht="15" customHeight="1">
      <c r="A128" t="str">
        <f t="shared" ref="A128:A131" ca="1" si="129">IF(E128="",F128, "")</f>
        <v xml:space="preserve">Enter a date for 'Place-In-Service Application for LURA to CHFA (must submit within 45 days of first building placing in service)' in cell B141.
</v>
      </c>
      <c r="B128">
        <f>ROW(Application!A141)</f>
        <v>141</v>
      </c>
      <c r="C128" t="str">
        <f t="shared" ref="C128:C131" ca="1" si="130">INDIRECT($F$3 &amp; ADDRESS(B128, 1,4  ))</f>
        <v>Place-In-Service Application for LURA to CHFA (must submit within 45 days of first building placing in service)</v>
      </c>
      <c r="D128" t="str">
        <f t="shared" ref="D128:D131" si="131">ADDRESS(B128, 2,4  )</f>
        <v>B141</v>
      </c>
      <c r="E128" t="str">
        <f t="shared" ref="E128:E131" ca="1" si="132">IF(ISBLANK( INDIRECT($F$3 &amp; D128)),"", INDIRECT($F$3 &amp; D128))</f>
        <v/>
      </c>
      <c r="F128" t="str">
        <f t="shared" ref="F128:F131" ca="1" si="133">CONCATENATE("Enter a date for '", C128, "' in cell ", D128, ".", CHAR(10))</f>
        <v xml:space="preserve">Enter a date for 'Place-In-Service Application for LURA to CHFA (must submit within 45 days of first building placing in service)' in cell B141.
</v>
      </c>
      <c r="G128" s="9" t="e">
        <f t="shared" ref="G128:G131" ca="1" si="134">OFFSET(G128, -1, 0) &amp; A128</f>
        <v>#REF!</v>
      </c>
    </row>
    <row r="129" spans="1:7" ht="15" customHeight="1">
      <c r="A129" t="str">
        <f t="shared" ca="1" si="129"/>
        <v xml:space="preserve">Enter a date for 'Grand Opening (if planned)' in cell B142.
</v>
      </c>
      <c r="B129">
        <f>ROW(Application!A142)</f>
        <v>142</v>
      </c>
      <c r="C129" t="str">
        <f t="shared" ca="1" si="130"/>
        <v>Grand Opening (if planned)</v>
      </c>
      <c r="D129" t="str">
        <f t="shared" si="131"/>
        <v>B142</v>
      </c>
      <c r="E129" t="str">
        <f t="shared" ca="1" si="132"/>
        <v/>
      </c>
      <c r="F129" t="str">
        <f t="shared" ca="1" si="133"/>
        <v xml:space="preserve">Enter a date for 'Grand Opening (if planned)' in cell B142.
</v>
      </c>
      <c r="G129" s="9" t="e">
        <f t="shared" ca="1" si="134"/>
        <v>#REF!</v>
      </c>
    </row>
    <row r="130" spans="1:7" ht="15" customHeight="1">
      <c r="A130" t="str">
        <f t="shared" ca="1" si="129"/>
        <v xml:space="preserve">Enter a date for 'Stabilization/Lease up' in cell B143.
</v>
      </c>
      <c r="B130">
        <f>ROW(Application!A143)</f>
        <v>143</v>
      </c>
      <c r="C130" t="str">
        <f t="shared" ca="1" si="130"/>
        <v>Stabilization/Lease up</v>
      </c>
      <c r="D130" t="str">
        <f t="shared" si="131"/>
        <v>B143</v>
      </c>
      <c r="E130" t="str">
        <f t="shared" ca="1" si="132"/>
        <v/>
      </c>
      <c r="F130" t="str">
        <f t="shared" ca="1" si="133"/>
        <v xml:space="preserve">Enter a date for 'Stabilization/Lease up' in cell B143.
</v>
      </c>
      <c r="G130" s="9" t="e">
        <f t="shared" ca="1" si="134"/>
        <v>#REF!</v>
      </c>
    </row>
    <row r="131" spans="1:7" ht="15" customHeight="1">
      <c r="A131" t="str">
        <f t="shared" ca="1" si="129"/>
        <v xml:space="preserve">Enter a date for 'Convert to Permanent Loan' in cell B144.
</v>
      </c>
      <c r="B131">
        <f>ROW(Application!A144)</f>
        <v>144</v>
      </c>
      <c r="C131" t="str">
        <f t="shared" ca="1" si="130"/>
        <v>Convert to Permanent Loan</v>
      </c>
      <c r="D131" t="str">
        <f t="shared" si="131"/>
        <v>B144</v>
      </c>
      <c r="E131" t="str">
        <f t="shared" ca="1" si="132"/>
        <v/>
      </c>
      <c r="F131" t="str">
        <f t="shared" ca="1" si="133"/>
        <v xml:space="preserve">Enter a date for 'Convert to Permanent Loan' in cell B144.
</v>
      </c>
      <c r="G131" s="9" t="e">
        <f t="shared" ca="1" si="134"/>
        <v>#REF!</v>
      </c>
    </row>
    <row r="132" spans="1:7" ht="15" customHeight="1">
      <c r="A132" t="str">
        <f t="shared" ref="A132" ca="1" si="135">IF(E132="",F132, "")</f>
        <v xml:space="preserve">Enter a date for 'Final Application to CHFA' in cell B145.
</v>
      </c>
      <c r="B132">
        <f>ROW(Application!A145)</f>
        <v>145</v>
      </c>
      <c r="C132" t="str">
        <f t="shared" ref="C132" ca="1" si="136">INDIRECT($F$3 &amp; ADDRESS(B132, 1,4  ))</f>
        <v>Final Application to CHFA</v>
      </c>
      <c r="D132" t="str">
        <f t="shared" ref="D132" si="137">ADDRESS(B132, 2,4  )</f>
        <v>B145</v>
      </c>
      <c r="E132" t="str">
        <f t="shared" ref="E132" ca="1" si="138">IF(ISBLANK( INDIRECT($F$3 &amp; D132)),"", INDIRECT($F$3 &amp; D132))</f>
        <v/>
      </c>
      <c r="F132" t="str">
        <f t="shared" ref="F132" ca="1" si="139">CONCATENATE("Enter a date for '", C132, "' in cell ", D132, ".", CHAR(10))</f>
        <v xml:space="preserve">Enter a date for 'Final Application to CHFA' in cell B145.
</v>
      </c>
      <c r="G132" s="9" t="e">
        <f t="shared" ref="G132" ca="1" si="140">OFFSET(G132, -1, 0) &amp; A132</f>
        <v>#REF!</v>
      </c>
    </row>
    <row r="133" spans="1:7" ht="15" customHeight="1">
      <c r="A133" s="55" t="s">
        <v>3665</v>
      </c>
      <c r="B133" s="53"/>
      <c r="C133" s="53"/>
      <c r="D133" s="53"/>
      <c r="E133" s="53"/>
      <c r="F133" s="53"/>
      <c r="G133" s="56"/>
    </row>
    <row r="134" spans="1:7" ht="15" customHeight="1">
      <c r="G134" t="s">
        <v>457</v>
      </c>
    </row>
    <row r="135" spans="1:7" ht="15" customHeight="1">
      <c r="A135" s="22" t="s">
        <v>89</v>
      </c>
      <c r="F135" s="49" t="s">
        <v>3666</v>
      </c>
    </row>
    <row r="136" spans="1:7" ht="15" customHeight="1">
      <c r="A136" s="53" t="s">
        <v>3652</v>
      </c>
      <c r="B136" s="53" t="s">
        <v>3653</v>
      </c>
      <c r="C136" s="53" t="s">
        <v>3654</v>
      </c>
      <c r="D136" s="53" t="s">
        <v>3655</v>
      </c>
      <c r="E136" s="53" t="s">
        <v>3656</v>
      </c>
      <c r="F136" s="53" t="s">
        <v>3657</v>
      </c>
      <c r="G136" s="54" t="s">
        <v>3658</v>
      </c>
    </row>
    <row r="137" spans="1:7" ht="15" customHeight="1">
      <c r="A137" t="str">
        <f t="shared" ref="A137:A144" ca="1" si="141">IF(E137="",F137, "")</f>
        <v xml:space="preserve">Enter a value for 'Total Number of Units' in cell B3.
</v>
      </c>
      <c r="B137">
        <f>ROW('Unit Mix &amp; Rents'!A3)</f>
        <v>3</v>
      </c>
      <c r="C137" t="str">
        <f t="shared" ref="C137:C144" ca="1" si="142">INDIRECT($F$135 &amp; ADDRESS(B137, 1,4  ))</f>
        <v>Total Number of Units</v>
      </c>
      <c r="D137" t="str">
        <f t="shared" ref="D137:D145" si="143">ADDRESS(B137, 2,4  )</f>
        <v>B3</v>
      </c>
      <c r="E137" t="str">
        <f t="shared" ref="E137:E144" ca="1" si="144">IF(ISBLANK( INDIRECT($F$135 &amp; D137)),"", INDIRECT($F$135 &amp; D137))</f>
        <v/>
      </c>
      <c r="F137" t="str">
        <f t="shared" ref="F137:F144" ca="1" si="145">CONCATENATE("Enter a value for '", C137, "' in cell ", D137, ".", CHAR(10))</f>
        <v xml:space="preserve">Enter a value for 'Total Number of Units' in cell B3.
</v>
      </c>
      <c r="G137" s="9" t="str">
        <f ca="1">A137</f>
        <v xml:space="preserve">Enter a value for 'Total Number of Units' in cell B3.
</v>
      </c>
    </row>
    <row r="138" spans="1:7" ht="15" customHeight="1">
      <c r="A138" t="str">
        <f t="shared" ca="1" si="141"/>
        <v/>
      </c>
      <c r="B138">
        <f>ROW('Unit Mix &amp; Rents'!A7)</f>
        <v>7</v>
      </c>
      <c r="C138" t="str">
        <f t="shared" ca="1" si="142"/>
        <v>0 bedroom</v>
      </c>
      <c r="D138" t="str">
        <f t="shared" si="143"/>
        <v>B7</v>
      </c>
      <c r="E138">
        <f t="shared" ca="1" si="144"/>
        <v>0</v>
      </c>
      <c r="F138" t="str">
        <f t="shared" ca="1" si="145"/>
        <v xml:space="preserve">Enter a value for '0 bedroom' in cell B7.
</v>
      </c>
      <c r="G138" s="9" t="str">
        <f t="shared" ref="G138:G169" ca="1" si="146">OFFSET(G138, -1, 0) &amp; A138</f>
        <v xml:space="preserve">Enter a value for 'Total Number of Units' in cell B3.
</v>
      </c>
    </row>
    <row r="139" spans="1:7" ht="15" customHeight="1">
      <c r="A139" t="str">
        <f t="shared" ca="1" si="141"/>
        <v/>
      </c>
      <c r="B139">
        <f>ROW('Unit Mix &amp; Rents'!A8)</f>
        <v>8</v>
      </c>
      <c r="C139" t="str">
        <f t="shared" ca="1" si="142"/>
        <v>1 bedroom</v>
      </c>
      <c r="D139" t="str">
        <f t="shared" si="143"/>
        <v>B8</v>
      </c>
      <c r="E139">
        <f t="shared" ca="1" si="144"/>
        <v>0</v>
      </c>
      <c r="F139" t="str">
        <f t="shared" ca="1" si="145"/>
        <v xml:space="preserve">Enter a value for '1 bedroom' in cell B8.
</v>
      </c>
      <c r="G139" s="9" t="str">
        <f t="shared" ca="1" si="146"/>
        <v xml:space="preserve">Enter a value for 'Total Number of Units' in cell B3.
</v>
      </c>
    </row>
    <row r="140" spans="1:7" ht="15" customHeight="1">
      <c r="A140" t="str">
        <f t="shared" ca="1" si="141"/>
        <v/>
      </c>
      <c r="B140">
        <f>ROW('Unit Mix &amp; Rents'!A9)</f>
        <v>9</v>
      </c>
      <c r="C140" t="str">
        <f t="shared" ca="1" si="142"/>
        <v>2 bedroom</v>
      </c>
      <c r="D140" t="str">
        <f t="shared" si="143"/>
        <v>B9</v>
      </c>
      <c r="E140">
        <f t="shared" ca="1" si="144"/>
        <v>0</v>
      </c>
      <c r="F140" t="str">
        <f t="shared" ca="1" si="145"/>
        <v xml:space="preserve">Enter a value for '2 bedroom' in cell B9.
</v>
      </c>
      <c r="G140" s="9" t="str">
        <f t="shared" ca="1" si="146"/>
        <v xml:space="preserve">Enter a value for 'Total Number of Units' in cell B3.
</v>
      </c>
    </row>
    <row r="141" spans="1:7" ht="15" customHeight="1">
      <c r="A141" t="str">
        <f t="shared" ca="1" si="141"/>
        <v/>
      </c>
      <c r="B141">
        <f>ROW('Unit Mix &amp; Rents'!A10)</f>
        <v>10</v>
      </c>
      <c r="C141" t="str">
        <f t="shared" ca="1" si="142"/>
        <v>3 bedroom</v>
      </c>
      <c r="D141" t="str">
        <f t="shared" si="143"/>
        <v>B10</v>
      </c>
      <c r="E141">
        <f t="shared" ca="1" si="144"/>
        <v>0</v>
      </c>
      <c r="F141" t="str">
        <f t="shared" ca="1" si="145"/>
        <v xml:space="preserve">Enter a value for '3 bedroom' in cell B10.
</v>
      </c>
      <c r="G141" s="9" t="str">
        <f t="shared" ca="1" si="146"/>
        <v xml:space="preserve">Enter a value for 'Total Number of Units' in cell B3.
</v>
      </c>
    </row>
    <row r="142" spans="1:7" ht="15" customHeight="1">
      <c r="A142" t="str">
        <f t="shared" ca="1" si="141"/>
        <v/>
      </c>
      <c r="B142">
        <f>ROW('Unit Mix &amp; Rents'!A11)</f>
        <v>11</v>
      </c>
      <c r="C142" t="str">
        <f t="shared" ca="1" si="142"/>
        <v>4 bedroom</v>
      </c>
      <c r="D142" t="str">
        <f t="shared" si="143"/>
        <v>B11</v>
      </c>
      <c r="E142">
        <f t="shared" ca="1" si="144"/>
        <v>0</v>
      </c>
      <c r="F142" t="str">
        <f t="shared" ca="1" si="145"/>
        <v xml:space="preserve">Enter a value for '4 bedroom' in cell B11.
</v>
      </c>
      <c r="G142" s="9" t="str">
        <f t="shared" ca="1" si="146"/>
        <v xml:space="preserve">Enter a value for 'Total Number of Units' in cell B3.
</v>
      </c>
    </row>
    <row r="143" spans="1:7" ht="15" customHeight="1">
      <c r="A143" t="str">
        <f t="shared" ca="1" si="141"/>
        <v/>
      </c>
      <c r="B143">
        <f>ROW('Unit Mix &amp; Rents'!A12)</f>
        <v>12</v>
      </c>
      <c r="C143" t="str">
        <f t="shared" ca="1" si="142"/>
        <v>5 bedroom</v>
      </c>
      <c r="D143" t="str">
        <f t="shared" si="143"/>
        <v>B12</v>
      </c>
      <c r="E143">
        <f t="shared" ca="1" si="144"/>
        <v>0</v>
      </c>
      <c r="F143" t="str">
        <f t="shared" ca="1" si="145"/>
        <v xml:space="preserve">Enter a value for '5 bedroom' in cell B12.
</v>
      </c>
      <c r="G143" s="9" t="str">
        <f t="shared" ca="1" si="146"/>
        <v xml:space="preserve">Enter a value for 'Total Number of Units' in cell B3.
</v>
      </c>
    </row>
    <row r="144" spans="1:7" ht="15" customHeight="1">
      <c r="A144" t="str">
        <f t="shared" ca="1" si="141"/>
        <v xml:space="preserve">Enter a value for 'Do Rents Include Utilities' in cell B4.
</v>
      </c>
      <c r="B144">
        <f>ROW('Unit Mix &amp; Rents'!A4)</f>
        <v>4</v>
      </c>
      <c r="C144" t="str">
        <f t="shared" ca="1" si="142"/>
        <v>Do Rents Include Utilities</v>
      </c>
      <c r="D144" t="str">
        <f t="shared" si="143"/>
        <v>B4</v>
      </c>
      <c r="E144" t="str">
        <f t="shared" ca="1" si="144"/>
        <v/>
      </c>
      <c r="F144" t="str">
        <f t="shared" ca="1" si="145"/>
        <v xml:space="preserve">Enter a value for 'Do Rents Include Utilities' in cell B4.
</v>
      </c>
      <c r="G144" s="9" t="str">
        <f t="shared" ca="1" si="146"/>
        <v xml:space="preserve">Enter a value for 'Total Number of Units' in cell B3.
Enter a value for 'Do Rents Include Utilities' in cell B4.
</v>
      </c>
    </row>
    <row r="145" spans="1:14" ht="15" customHeight="1">
      <c r="A145" s="52" t="str">
        <f ca="1">IF(AND(E137&lt;&gt;"", E145&lt;&gt;E137),F145, "")</f>
        <v/>
      </c>
      <c r="B145" s="52">
        <f>ROW('Unit Mix &amp; Rents'!A3)</f>
        <v>3</v>
      </c>
      <c r="C145" s="52"/>
      <c r="D145" s="52" t="str">
        <f t="shared" si="143"/>
        <v>B3</v>
      </c>
      <c r="E145" s="52">
        <f>Calculations!$H$45</f>
        <v>0</v>
      </c>
      <c r="F145" t="str">
        <f>CONCATENATE("Total number of units in the unit breakdown does not match the total units specified in cell ", D145, ".", CHAR(10))</f>
        <v xml:space="preserve">Total number of units in the unit breakdown does not match the total units specified in cell B3.
</v>
      </c>
      <c r="G145" s="9" t="str">
        <f t="shared" ca="1" si="146"/>
        <v xml:space="preserve">Enter a value for 'Total Number of Units' in cell B3.
Enter a value for 'Do Rents Include Utilities' in cell B4.
</v>
      </c>
    </row>
    <row r="146" spans="1:14" ht="15" customHeight="1">
      <c r="A146" s="52" t="str">
        <f>IF(E146=0, F146, "")</f>
        <v xml:space="preserve">Please enter at least one row of the Rental Income Table beginning on worksheet row 4.
</v>
      </c>
      <c r="B146" s="52">
        <f>ROW('Unit Mix &amp; Rents'!A17)</f>
        <v>17</v>
      </c>
      <c r="C146" s="52"/>
      <c r="D146" s="52"/>
      <c r="E146" s="52">
        <f>SUMPRODUCT(ISTEXT('Unit Mix &amp; Rents'!A17:E76) + ISNUMBER('Unit Mix &amp; Rents'!A17:E76))</f>
        <v>0</v>
      </c>
      <c r="F146" t="str">
        <f>CONCATENATE("Please enter at least one row of the Rental Income Table beginning on worksheet row ", B144, ".", CHAR(10))</f>
        <v xml:space="preserve">Please enter at least one row of the Rental Income Table beginning on worksheet row 4.
</v>
      </c>
      <c r="G146" s="9" t="str">
        <f t="shared" ca="1" si="146"/>
        <v xml:space="preserve">Enter a value for 'Total Number of Units' in cell B3.
Enter a value for 'Do Rents Include Utilities' in cell B4.
Please enter at least one row of the Rental Income Table beginning on worksheet row 4.
</v>
      </c>
    </row>
    <row r="147" spans="1:14" ht="15" customHeight="1">
      <c r="A147" s="52" t="str">
        <f>IF(AND(E147&gt;1,E147&lt;5), F147, "")</f>
        <v/>
      </c>
      <c r="B147" s="52">
        <f>ROW('Unit Mix &amp; Rents'!A17)</f>
        <v>17</v>
      </c>
      <c r="C147" s="52"/>
      <c r="D147" s="52"/>
      <c r="E147" s="52">
        <f>SUMPRODUCT(ISTEXT('Unit Mix &amp; Rents'!A17:E17) + ISNUMBER('Unit Mix &amp; Rents'!A17:E17))</f>
        <v>0</v>
      </c>
      <c r="F147" t="str">
        <f>CONCATENATE("Please enter all values in unit breakdown in worksheet row ", B145, ".", CHAR(10))</f>
        <v xml:space="preserve">Please enter all values in unit breakdown in worksheet row 3.
</v>
      </c>
      <c r="G147" s="9" t="str">
        <f t="shared" ca="1" si="146"/>
        <v xml:space="preserve">Enter a value for 'Total Number of Units' in cell B3.
Enter a value for 'Do Rents Include Utilities' in cell B4.
Please enter at least one row of the Rental Income Table beginning on worksheet row 4.
</v>
      </c>
    </row>
    <row r="148" spans="1:14" ht="15" customHeight="1">
      <c r="A148" t="str">
        <f ca="1">IF(AND(IF(ISNA(K148), FALSE, K148), E148 &gt; IF(ISNA(N148), E148, L148)), F148, "")</f>
        <v/>
      </c>
      <c r="B148">
        <f>B147</f>
        <v>17</v>
      </c>
      <c r="D148" s="52" t="str">
        <f>ADDRESS(B148,5,4)</f>
        <v>E17</v>
      </c>
      <c r="E148" t="str">
        <f ca="1">IF(ISBLANK( INDIRECT($F$135 &amp; D148)),"", INDIRECT($F$135 &amp; D148))</f>
        <v/>
      </c>
      <c r="F148" t="e">
        <f ca="1">CONCATENATE("Actual Rent per Unit exceeds maximum allowed rent of ", DOLLAR(N148), " in worksheet row ", B148, ".", CHAR(10))</f>
        <v>#N/A</v>
      </c>
      <c r="G148" s="9" t="str">
        <f t="shared" ca="1" si="146"/>
        <v xml:space="preserve">Enter a value for 'Total Number of Units' in cell B3.
Enter a value for 'Do Rents Include Utilities' in cell B4.
Please enter at least one row of the Rental Income Table beginning on worksheet row 4.
</v>
      </c>
      <c r="H148" s="52">
        <f ca="1">INDIRECT($F$135 &amp; ADDRESS(B148,1,4))</f>
        <v>0</v>
      </c>
      <c r="I148" s="52">
        <f ca="1">INDIRECT($F$135 &amp; ADDRESS(B148,2,4))</f>
        <v>0</v>
      </c>
      <c r="J148" s="52" t="e">
        <f ca="1">INDEX(Unit_Mix_Type_Table[Bedrooms], MATCH(Validation!I148,Unit_Mix_Type_Table[Unit Mix Type],0), 1)</f>
        <v>#N/A</v>
      </c>
      <c r="K148" s="52" t="e">
        <f ca="1">INDEX(Unit_Mix_Type_Table[Has Max Rent], MATCH(Validation!I148,Unit_Mix_Type_Table[Unit Mix Type],0), 1)</f>
        <v>#N/A</v>
      </c>
      <c r="L148" s="52" t="e">
        <f ca="1">INDEX(Calculations!$A$77:$G$84, MATCH(H148, Calculations!$A$77:$A$84),MATCH(J148,Calculations!$A$77:$G$77))</f>
        <v>#N/A</v>
      </c>
      <c r="M148" s="52" t="e">
        <f ca="1">INDEX(Calculations!$A$89:$G$96, MATCH(H148, Calculations!$A$77:$A$84),MATCH(J148,Calculations!$A$77:$G$77))</f>
        <v>#N/A</v>
      </c>
      <c r="N148" s="52" t="e">
        <f ca="1">IF('Unit Mix &amp; Rents'!B4="No", Validation!M148, Validation!L148)</f>
        <v>#N/A</v>
      </c>
    </row>
    <row r="149" spans="1:14" ht="15" customHeight="1">
      <c r="A149" s="52" t="str">
        <f>IF(AND(E149&gt;1,E149&lt;5), F149, "")</f>
        <v/>
      </c>
      <c r="B149" s="52">
        <f>ROW('Unit Mix &amp; Rents'!A18)</f>
        <v>18</v>
      </c>
      <c r="C149" s="52"/>
      <c r="D149" s="52"/>
      <c r="E149" s="52">
        <f>SUMPRODUCT(ISTEXT('Unit Mix &amp; Rents'!A18:E18) + ISNUMBER('Unit Mix &amp; Rents'!A18:E18))</f>
        <v>0</v>
      </c>
      <c r="F149" t="str">
        <f>CONCATENATE("Please enter all values in unit breakdown in worksheet row ", B147, ".", CHAR(10))</f>
        <v xml:space="preserve">Please enter all values in unit breakdown in worksheet row 17.
</v>
      </c>
      <c r="G149" s="9" t="str">
        <f t="shared" ca="1" si="146"/>
        <v xml:space="preserve">Enter a value for 'Total Number of Units' in cell B3.
Enter a value for 'Do Rents Include Utilities' in cell B4.
Please enter at least one row of the Rental Income Table beginning on worksheet row 4.
</v>
      </c>
    </row>
    <row r="150" spans="1:14" ht="15" customHeight="1">
      <c r="A150" t="str">
        <f ca="1">IF(AND(IF(ISNA(K150), FALSE, K150), E150 &gt; IF(ISNA(N150), E150, L150)), F150, "")</f>
        <v/>
      </c>
      <c r="B150">
        <f>B149</f>
        <v>18</v>
      </c>
      <c r="D150" s="52" t="str">
        <f>ADDRESS(B150,5,4)</f>
        <v>E18</v>
      </c>
      <c r="E150" t="str">
        <f ca="1">IF(ISBLANK( INDIRECT($F$135 &amp; D150)),"", INDIRECT($F$135 &amp; D150))</f>
        <v/>
      </c>
      <c r="F150" t="e">
        <f ca="1">CONCATENATE("Actual Rent per Unit exceeds maximum allowed rent of ", DOLLAR(N150), " in worksheet row ", B150, ".", CHAR(10))</f>
        <v>#N/A</v>
      </c>
      <c r="G150" s="9" t="str">
        <f t="shared" ref="G150" ca="1" si="147">OFFSET(G150, -1, 0) &amp; A150</f>
        <v xml:space="preserve">Enter a value for 'Total Number of Units' in cell B3.
Enter a value for 'Do Rents Include Utilities' in cell B4.
Please enter at least one row of the Rental Income Table beginning on worksheet row 4.
</v>
      </c>
      <c r="H150" s="52">
        <f ca="1">INDIRECT($F$135 &amp; ADDRESS(B150,1,4))</f>
        <v>0</v>
      </c>
      <c r="I150" s="52">
        <f ca="1">INDIRECT($F$135 &amp; ADDRESS(B150,2,4))</f>
        <v>0</v>
      </c>
      <c r="J150" s="52" t="e">
        <f ca="1">INDEX(Unit_Mix_Type_Table[Bedrooms], MATCH(Validation!I150,Unit_Mix_Type_Table[Unit Mix Type],0), 1)</f>
        <v>#N/A</v>
      </c>
      <c r="K150" s="52" t="e">
        <f ca="1">INDEX(Unit_Mix_Type_Table[Has Max Rent], MATCH(Validation!I150,Unit_Mix_Type_Table[Unit Mix Type],0), 1)</f>
        <v>#N/A</v>
      </c>
      <c r="L150" s="52" t="e">
        <f ca="1">INDEX(Calculations!$A$77:$G$84, MATCH(H150, Calculations!$A$77:$A$84),MATCH(J150,Calculations!$A$77:$G$77))</f>
        <v>#N/A</v>
      </c>
      <c r="M150" s="52" t="e">
        <f ca="1">INDEX(Calculations!$A$89:$G$94, MATCH(H150, Calculations!$A$77:$A$84),MATCH(J150,Calculations!$A$77:$G$77))</f>
        <v>#N/A</v>
      </c>
      <c r="N150" s="52" t="e">
        <f ca="1">IF('Unit Mix &amp; Rents'!B14="No", Validation!M150, Validation!L150)</f>
        <v>#N/A</v>
      </c>
    </row>
    <row r="151" spans="1:14" ht="15" customHeight="1">
      <c r="A151" s="52" t="str">
        <f>IF(AND(E151&gt;1,E151&lt;5), F151, "")</f>
        <v/>
      </c>
      <c r="B151" s="52">
        <f>ROW('Unit Mix &amp; Rents'!A39)</f>
        <v>39</v>
      </c>
      <c r="C151" s="52"/>
      <c r="D151" s="52"/>
      <c r="E151" s="52">
        <f>SUMPRODUCT(ISTEXT('Unit Mix &amp; Rents'!A39:E39) + ISNUMBER('Unit Mix &amp; Rents'!A39:E39))</f>
        <v>0</v>
      </c>
      <c r="F151" t="str">
        <f>CONCATENATE("Please enter all values in unit breakdown in worksheet row ", B149, ".", CHAR(10))</f>
        <v xml:space="preserve">Please enter all values in unit breakdown in worksheet row 18.
</v>
      </c>
      <c r="G151" s="9" t="str">
        <f t="shared" ca="1" si="146"/>
        <v xml:space="preserve">Enter a value for 'Total Number of Units' in cell B3.
Enter a value for 'Do Rents Include Utilities' in cell B4.
Please enter at least one row of the Rental Income Table beginning on worksheet row 4.
</v>
      </c>
    </row>
    <row r="152" spans="1:14" ht="15" customHeight="1">
      <c r="A152" t="str">
        <f ca="1">IF(AND(IF(ISNA(K152), FALSE, K152), E152 &gt; IF(ISNA(N152), E152, L152)), F152, "")</f>
        <v/>
      </c>
      <c r="B152">
        <f>B151</f>
        <v>39</v>
      </c>
      <c r="D152" s="52" t="str">
        <f>ADDRESS(B152,5,4)</f>
        <v>E39</v>
      </c>
      <c r="E152" t="str">
        <f ca="1">IF(ISBLANK( INDIRECT($F$135 &amp; D152)),"", INDIRECT($F$135 &amp; D152))</f>
        <v/>
      </c>
      <c r="F152" t="e">
        <f ca="1">CONCATENATE("Actual Rent per Unit exceeds maximum allowed rent of ", DOLLAR(N152), " in worksheet row ", B152, ".", CHAR(10))</f>
        <v>#N/A</v>
      </c>
      <c r="G152" s="9" t="str">
        <f t="shared" ref="G152" ca="1" si="148">OFFSET(G152, -1, 0) &amp; A152</f>
        <v xml:space="preserve">Enter a value for 'Total Number of Units' in cell B3.
Enter a value for 'Do Rents Include Utilities' in cell B4.
Please enter at least one row of the Rental Income Table beginning on worksheet row 4.
</v>
      </c>
      <c r="H152" s="52">
        <f ca="1">INDIRECT($F$135 &amp; ADDRESS(B152,1,4))</f>
        <v>0</v>
      </c>
      <c r="I152" s="52">
        <f ca="1">INDIRECT($F$135 &amp; ADDRESS(B152,2,4))</f>
        <v>0</v>
      </c>
      <c r="J152" s="52" t="e">
        <f ca="1">INDEX(Unit_Mix_Type_Table[Bedrooms], MATCH(Validation!I152,Unit_Mix_Type_Table[Unit Mix Type],0), 1)</f>
        <v>#N/A</v>
      </c>
      <c r="K152" s="52" t="e">
        <f ca="1">INDEX(Unit_Mix_Type_Table[Has Max Rent], MATCH(Validation!I152,Unit_Mix_Type_Table[Unit Mix Type],0), 1)</f>
        <v>#N/A</v>
      </c>
      <c r="L152" s="52" t="e">
        <f ca="1">INDEX(Calculations!$A$77:$G$84, MATCH(H152, Calculations!$A$77:$A$84),MATCH(J152,Calculations!$A$77:$G$77))</f>
        <v>#N/A</v>
      </c>
      <c r="M152" s="52" t="e">
        <f ca="1">INDEX(Calculations!$A$89:$G$94, MATCH(H152, Calculations!$A$77:$A$84),MATCH(J152,Calculations!$A$77:$G$77))</f>
        <v>#N/A</v>
      </c>
      <c r="N152" s="52" t="e">
        <f ca="1">IF('Unit Mix &amp; Rents'!B16="No", Validation!M152, Validation!L152)</f>
        <v>#N/A</v>
      </c>
    </row>
    <row r="153" spans="1:14" ht="15" customHeight="1">
      <c r="A153" s="52" t="str">
        <f>IF(AND(E153&gt;1,E153&lt;5), F153, "")</f>
        <v/>
      </c>
      <c r="B153" s="52">
        <f>ROW('Unit Mix &amp; Rents'!A40)</f>
        <v>40</v>
      </c>
      <c r="C153" s="52"/>
      <c r="D153" s="52"/>
      <c r="E153" s="52">
        <f>SUMPRODUCT(ISTEXT('Unit Mix &amp; Rents'!A40:E40) + ISNUMBER('Unit Mix &amp; Rents'!A40:E40))</f>
        <v>0</v>
      </c>
      <c r="F153" t="str">
        <f>CONCATENATE("Please enter all values in unit breakdown in worksheet row ", B151, ".", CHAR(10))</f>
        <v xml:space="preserve">Please enter all values in unit breakdown in worksheet row 39.
</v>
      </c>
      <c r="G153" s="9" t="str">
        <f t="shared" ca="1" si="146"/>
        <v xml:space="preserve">Enter a value for 'Total Number of Units' in cell B3.
Enter a value for 'Do Rents Include Utilities' in cell B4.
Please enter at least one row of the Rental Income Table beginning on worksheet row 4.
</v>
      </c>
    </row>
    <row r="154" spans="1:14" ht="15" customHeight="1">
      <c r="A154" t="str">
        <f ca="1">IF(AND(IF(ISNA(K154), FALSE, K154), E154 &gt; IF(ISNA(N154), E154, L154)), F154, "")</f>
        <v/>
      </c>
      <c r="B154">
        <f>B153</f>
        <v>40</v>
      </c>
      <c r="D154" s="52" t="str">
        <f>ADDRESS(B154,5,4)</f>
        <v>E40</v>
      </c>
      <c r="E154" t="str">
        <f ca="1">IF(ISBLANK( INDIRECT($F$135 &amp; D154)),"", INDIRECT($F$135 &amp; D154))</f>
        <v/>
      </c>
      <c r="F154" t="e">
        <f ca="1">CONCATENATE("Actual Rent per Unit exceeds maximum allowed rent of ", DOLLAR(N154), " in worksheet row ", B154, ".", CHAR(10))</f>
        <v>#N/A</v>
      </c>
      <c r="G154" s="9" t="str">
        <f t="shared" ref="G154" ca="1" si="149">OFFSET(G154, -1, 0) &amp; A154</f>
        <v xml:space="preserve">Enter a value for 'Total Number of Units' in cell B3.
Enter a value for 'Do Rents Include Utilities' in cell B4.
Please enter at least one row of the Rental Income Table beginning on worksheet row 4.
</v>
      </c>
      <c r="H154" s="52">
        <f ca="1">INDIRECT($F$135 &amp; ADDRESS(B154,1,4))</f>
        <v>0</v>
      </c>
      <c r="I154" s="52">
        <f ca="1">INDIRECT($F$135 &amp; ADDRESS(B154,2,4))</f>
        <v>0</v>
      </c>
      <c r="J154" s="52" t="e">
        <f ca="1">INDEX(Unit_Mix_Type_Table[Bedrooms], MATCH(Validation!I154,Unit_Mix_Type_Table[Unit Mix Type],0), 1)</f>
        <v>#N/A</v>
      </c>
      <c r="K154" s="52" t="e">
        <f ca="1">INDEX(Unit_Mix_Type_Table[Has Max Rent], MATCH(Validation!I154,Unit_Mix_Type_Table[Unit Mix Type],0), 1)</f>
        <v>#N/A</v>
      </c>
      <c r="L154" s="52" t="e">
        <f ca="1">INDEX(Calculations!$A$77:$G$84, MATCH(H154, Calculations!$A$77:$A$84),MATCH(J154,Calculations!$A$77:$G$77))</f>
        <v>#N/A</v>
      </c>
      <c r="M154" s="52" t="e">
        <f ca="1">INDEX(Calculations!$A$89:$G$94, MATCH(H154, Calculations!$A$77:$A$84),MATCH(J154,Calculations!$A$77:$G$77))</f>
        <v>#N/A</v>
      </c>
      <c r="N154" s="52" t="e">
        <f ca="1">IF('Unit Mix &amp; Rents'!B18="No", Validation!M154, Validation!L154)</f>
        <v>#N/A</v>
      </c>
    </row>
    <row r="155" spans="1:14" ht="15" customHeight="1">
      <c r="A155" s="52" t="str">
        <f>IF(AND(E155&gt;1,E155&lt;5), F155, "")</f>
        <v/>
      </c>
      <c r="B155" s="52">
        <f>ROW('Unit Mix &amp; Rents'!A41)</f>
        <v>41</v>
      </c>
      <c r="C155" s="52"/>
      <c r="D155" s="52"/>
      <c r="E155" s="52">
        <f>SUMPRODUCT(ISTEXT('Unit Mix &amp; Rents'!A41:E41) + ISNUMBER('Unit Mix &amp; Rents'!A41:E41))</f>
        <v>0</v>
      </c>
      <c r="F155" t="str">
        <f>CONCATENATE("Please enter all values in unit breakdown in worksheet row ", B153, ".", CHAR(10))</f>
        <v xml:space="preserve">Please enter all values in unit breakdown in worksheet row 40.
</v>
      </c>
      <c r="G155" s="9" t="str">
        <f t="shared" ca="1" si="146"/>
        <v xml:space="preserve">Enter a value for 'Total Number of Units' in cell B3.
Enter a value for 'Do Rents Include Utilities' in cell B4.
Please enter at least one row of the Rental Income Table beginning on worksheet row 4.
</v>
      </c>
    </row>
    <row r="156" spans="1:14" ht="15" customHeight="1">
      <c r="A156" t="str">
        <f ca="1">IF(AND(IF(ISNA(K156), FALSE, K156), E156 &gt; IF(ISNA(N156), E156, L156)), F156, "")</f>
        <v/>
      </c>
      <c r="B156">
        <f>B155</f>
        <v>41</v>
      </c>
      <c r="D156" s="52" t="str">
        <f>ADDRESS(B156,5,4)</f>
        <v>E41</v>
      </c>
      <c r="E156" t="str">
        <f ca="1">IF(ISBLANK( INDIRECT($F$135 &amp; D156)),"", INDIRECT($F$135 &amp; D156))</f>
        <v/>
      </c>
      <c r="F156" t="e">
        <f ca="1">CONCATENATE("Actual Rent per Unit exceeds maximum allowed rent of ", DOLLAR(N156), " in worksheet row ", B156, ".", CHAR(10))</f>
        <v>#N/A</v>
      </c>
      <c r="G156" s="9" t="str">
        <f t="shared" ref="G156" ca="1" si="150">OFFSET(G156, -1, 0) &amp; A156</f>
        <v xml:space="preserve">Enter a value for 'Total Number of Units' in cell B3.
Enter a value for 'Do Rents Include Utilities' in cell B4.
Please enter at least one row of the Rental Income Table beginning on worksheet row 4.
</v>
      </c>
      <c r="H156" s="52">
        <f ca="1">INDIRECT($F$135 &amp; ADDRESS(B156,1,4))</f>
        <v>0</v>
      </c>
      <c r="I156" s="52">
        <f ca="1">INDIRECT($F$135 &amp; ADDRESS(B156,2,4))</f>
        <v>0</v>
      </c>
      <c r="J156" s="52" t="e">
        <f ca="1">INDEX(Unit_Mix_Type_Table[Bedrooms], MATCH(Validation!I156,Unit_Mix_Type_Table[Unit Mix Type],0), 1)</f>
        <v>#N/A</v>
      </c>
      <c r="K156" s="52" t="e">
        <f ca="1">INDEX(Unit_Mix_Type_Table[Has Max Rent], MATCH(Validation!I156,Unit_Mix_Type_Table[Unit Mix Type],0), 1)</f>
        <v>#N/A</v>
      </c>
      <c r="L156" s="52" t="e">
        <f ca="1">INDEX(Calculations!$A$77:$G$84, MATCH(H156, Calculations!$A$77:$A$84),MATCH(J156,Calculations!$A$77:$G$77))</f>
        <v>#N/A</v>
      </c>
      <c r="M156" s="52" t="e">
        <f ca="1">INDEX(Calculations!$A$89:$G$94, MATCH(H156, Calculations!$A$77:$A$84),MATCH(J156,Calculations!$A$77:$G$77))</f>
        <v>#N/A</v>
      </c>
      <c r="N156" s="52" t="e">
        <f ca="1">IF('Unit Mix &amp; Rents'!B20="No", Validation!M156, Validation!L156)</f>
        <v>#N/A</v>
      </c>
    </row>
    <row r="157" spans="1:14" ht="15" customHeight="1">
      <c r="A157" s="52" t="str">
        <f>IF(AND(E157&gt;1,E157&lt;5), F157, "")</f>
        <v/>
      </c>
      <c r="B157" s="52">
        <f>ROW('Unit Mix &amp; Rents'!A42)</f>
        <v>42</v>
      </c>
      <c r="C157" s="52"/>
      <c r="D157" s="52"/>
      <c r="E157" s="52">
        <f>SUMPRODUCT(ISTEXT('Unit Mix &amp; Rents'!A42:E42) + ISNUMBER('Unit Mix &amp; Rents'!A42:E42))</f>
        <v>0</v>
      </c>
      <c r="F157" t="str">
        <f>CONCATENATE("Please enter all values in unit breakdown in worksheet row ", B155, ".", CHAR(10))</f>
        <v xml:space="preserve">Please enter all values in unit breakdown in worksheet row 41.
</v>
      </c>
      <c r="G157" s="9" t="str">
        <f t="shared" ca="1" si="146"/>
        <v xml:space="preserve">Enter a value for 'Total Number of Units' in cell B3.
Enter a value for 'Do Rents Include Utilities' in cell B4.
Please enter at least one row of the Rental Income Table beginning on worksheet row 4.
</v>
      </c>
    </row>
    <row r="158" spans="1:14" ht="15" customHeight="1">
      <c r="A158" t="str">
        <f ca="1">IF(AND(IF(ISNA(K158), FALSE, K158), E158 &gt; IF(ISNA(N158), E158, L158)), F158, "")</f>
        <v/>
      </c>
      <c r="B158">
        <f>B157</f>
        <v>42</v>
      </c>
      <c r="D158" s="52" t="str">
        <f>ADDRESS(B158,5,4)</f>
        <v>E42</v>
      </c>
      <c r="E158" t="str">
        <f ca="1">IF(ISBLANK( INDIRECT($F$135 &amp; D158)),"", INDIRECT($F$135 &amp; D158))</f>
        <v/>
      </c>
      <c r="F158" t="e">
        <f ca="1">CONCATENATE("Actual Rent per Unit exceeds maximum allowed rent of ", DOLLAR(N158), " in worksheet row ", B158, ".", CHAR(10))</f>
        <v>#N/A</v>
      </c>
      <c r="G158" s="9" t="str">
        <f t="shared" ref="G158" ca="1" si="151">OFFSET(G158, -1, 0) &amp; A158</f>
        <v xml:space="preserve">Enter a value for 'Total Number of Units' in cell B3.
Enter a value for 'Do Rents Include Utilities' in cell B4.
Please enter at least one row of the Rental Income Table beginning on worksheet row 4.
</v>
      </c>
      <c r="H158" s="52">
        <f ca="1">INDIRECT($F$135 &amp; ADDRESS(B158,1,4))</f>
        <v>0</v>
      </c>
      <c r="I158" s="52">
        <f ca="1">INDIRECT($F$135 &amp; ADDRESS(B158,2,4))</f>
        <v>0</v>
      </c>
      <c r="J158" s="52" t="e">
        <f ca="1">INDEX(Unit_Mix_Type_Table[Bedrooms], MATCH(Validation!I158,Unit_Mix_Type_Table[Unit Mix Type],0), 1)</f>
        <v>#N/A</v>
      </c>
      <c r="K158" s="52" t="e">
        <f ca="1">INDEX(Unit_Mix_Type_Table[Has Max Rent], MATCH(Validation!I158,Unit_Mix_Type_Table[Unit Mix Type],0), 1)</f>
        <v>#N/A</v>
      </c>
      <c r="L158" s="52" t="e">
        <f ca="1">INDEX(Calculations!$A$77:$G$84, MATCH(H158, Calculations!$A$77:$A$84),MATCH(J158,Calculations!$A$77:$G$77))</f>
        <v>#N/A</v>
      </c>
      <c r="M158" s="52" t="e">
        <f ca="1">INDEX(Calculations!$A$89:$G$94, MATCH(H158, Calculations!$A$77:$A$84),MATCH(J158,Calculations!$A$77:$G$77))</f>
        <v>#N/A</v>
      </c>
      <c r="N158" s="52" t="e">
        <f ca="1">IF('Unit Mix &amp; Rents'!B22="No", Validation!M158, Validation!L158)</f>
        <v>#N/A</v>
      </c>
    </row>
    <row r="159" spans="1:14" ht="15" customHeight="1">
      <c r="A159" s="52" t="str">
        <f>IF(AND(E159&gt;1,E159&lt;5), F159, "")</f>
        <v/>
      </c>
      <c r="B159" s="52">
        <f>ROW('Unit Mix &amp; Rents'!A43)</f>
        <v>43</v>
      </c>
      <c r="C159" s="52"/>
      <c r="D159" s="52"/>
      <c r="E159" s="52">
        <f>SUMPRODUCT(ISTEXT('Unit Mix &amp; Rents'!A43:E43) + ISNUMBER('Unit Mix &amp; Rents'!A43:E43))</f>
        <v>0</v>
      </c>
      <c r="F159" t="str">
        <f>CONCATENATE("Please enter all values in unit breakdown in worksheet row ", B157, ".", CHAR(10))</f>
        <v xml:space="preserve">Please enter all values in unit breakdown in worksheet row 42.
</v>
      </c>
      <c r="G159" s="9" t="str">
        <f t="shared" ca="1" si="146"/>
        <v xml:space="preserve">Enter a value for 'Total Number of Units' in cell B3.
Enter a value for 'Do Rents Include Utilities' in cell B4.
Please enter at least one row of the Rental Income Table beginning on worksheet row 4.
</v>
      </c>
    </row>
    <row r="160" spans="1:14" ht="15" customHeight="1">
      <c r="A160" t="str">
        <f ca="1">IF(AND(IF(ISNA(K160), FALSE, K160), E160 &gt; IF(ISNA(N160), E160, L160)), F160, "")</f>
        <v/>
      </c>
      <c r="B160">
        <f>B159</f>
        <v>43</v>
      </c>
      <c r="D160" s="52" t="str">
        <f>ADDRESS(B160,5,4)</f>
        <v>E43</v>
      </c>
      <c r="E160" t="str">
        <f ca="1">IF(ISBLANK( INDIRECT($F$135 &amp; D160)),"", INDIRECT($F$135 &amp; D160))</f>
        <v/>
      </c>
      <c r="F160" t="e">
        <f ca="1">CONCATENATE("Actual Rent per Unit exceeds maximum allowed rent of ", DOLLAR(N160), " in worksheet row ", B160, ".", CHAR(10))</f>
        <v>#N/A</v>
      </c>
      <c r="G160" s="9" t="str">
        <f t="shared" ref="G160" ca="1" si="152">OFFSET(G160, -1, 0) &amp; A160</f>
        <v xml:space="preserve">Enter a value for 'Total Number of Units' in cell B3.
Enter a value for 'Do Rents Include Utilities' in cell B4.
Please enter at least one row of the Rental Income Table beginning on worksheet row 4.
</v>
      </c>
      <c r="H160" s="52">
        <f ca="1">INDIRECT($F$135 &amp; ADDRESS(B160,1,4))</f>
        <v>0</v>
      </c>
      <c r="I160" s="52">
        <f ca="1">INDIRECT($F$135 &amp; ADDRESS(B160,2,4))</f>
        <v>0</v>
      </c>
      <c r="J160" s="52" t="e">
        <f ca="1">INDEX(Unit_Mix_Type_Table[Bedrooms], MATCH(Validation!I160,Unit_Mix_Type_Table[Unit Mix Type],0), 1)</f>
        <v>#N/A</v>
      </c>
      <c r="K160" s="52" t="e">
        <f ca="1">INDEX(Unit_Mix_Type_Table[Has Max Rent], MATCH(Validation!I160,Unit_Mix_Type_Table[Unit Mix Type],0), 1)</f>
        <v>#N/A</v>
      </c>
      <c r="L160" s="52" t="e">
        <f ca="1">INDEX(Calculations!$A$77:$G$84, MATCH(H160, Calculations!$A$77:$A$84),MATCH(J160,Calculations!$A$77:$G$77))</f>
        <v>#N/A</v>
      </c>
      <c r="M160" s="52" t="e">
        <f ca="1">INDEX(Calculations!$A$89:$G$94, MATCH(H160, Calculations!$A$77:$A$84),MATCH(J160,Calculations!$A$77:$G$77))</f>
        <v>#N/A</v>
      </c>
      <c r="N160" s="52" t="e">
        <f ca="1">IF('Unit Mix &amp; Rents'!B24="No", Validation!M160, Validation!L160)</f>
        <v>#N/A</v>
      </c>
    </row>
    <row r="161" spans="1:14" ht="15" customHeight="1">
      <c r="A161" s="52" t="str">
        <f>IF(AND(E161&gt;1,E161&lt;5), F161, "")</f>
        <v/>
      </c>
      <c r="B161" s="52">
        <f>ROW('Unit Mix &amp; Rents'!A44)</f>
        <v>44</v>
      </c>
      <c r="C161" s="52"/>
      <c r="D161" s="52"/>
      <c r="E161" s="52">
        <f>SUMPRODUCT(ISTEXT('Unit Mix &amp; Rents'!A44:E44) + ISNUMBER('Unit Mix &amp; Rents'!A44:E44))</f>
        <v>0</v>
      </c>
      <c r="F161" t="str">
        <f>CONCATENATE("Please enter all values in unit breakdown in worksheet row ", B159, ".", CHAR(10))</f>
        <v xml:space="preserve">Please enter all values in unit breakdown in worksheet row 43.
</v>
      </c>
      <c r="G161" s="9" t="str">
        <f t="shared" ca="1" si="146"/>
        <v xml:space="preserve">Enter a value for 'Total Number of Units' in cell B3.
Enter a value for 'Do Rents Include Utilities' in cell B4.
Please enter at least one row of the Rental Income Table beginning on worksheet row 4.
</v>
      </c>
    </row>
    <row r="162" spans="1:14" ht="15" customHeight="1">
      <c r="A162" t="str">
        <f ca="1">IF(AND(IF(ISNA(K162), FALSE, K162), E162 &gt; IF(ISNA(N162), E162, L162)), F162, "")</f>
        <v/>
      </c>
      <c r="B162">
        <f>B161</f>
        <v>44</v>
      </c>
      <c r="D162" s="52" t="str">
        <f>ADDRESS(B162,5,4)</f>
        <v>E44</v>
      </c>
      <c r="E162" t="str">
        <f ca="1">IF(ISBLANK( INDIRECT($F$135 &amp; D162)),"", INDIRECT($F$135 &amp; D162))</f>
        <v/>
      </c>
      <c r="F162" t="e">
        <f ca="1">CONCATENATE("Actual Rent per Unit exceeds maximum allowed rent of ", DOLLAR(N162), " in worksheet row ", B162, ".", CHAR(10))</f>
        <v>#N/A</v>
      </c>
      <c r="G162" s="9" t="str">
        <f t="shared" ref="G162" ca="1" si="153">OFFSET(G162, -1, 0) &amp; A162</f>
        <v xml:space="preserve">Enter a value for 'Total Number of Units' in cell B3.
Enter a value for 'Do Rents Include Utilities' in cell B4.
Please enter at least one row of the Rental Income Table beginning on worksheet row 4.
</v>
      </c>
      <c r="H162" s="52">
        <f ca="1">INDIRECT($F$135 &amp; ADDRESS(B162,1,4))</f>
        <v>0</v>
      </c>
      <c r="I162" s="52">
        <f ca="1">INDIRECT($F$135 &amp; ADDRESS(B162,2,4))</f>
        <v>0</v>
      </c>
      <c r="J162" s="52" t="e">
        <f ca="1">INDEX(Unit_Mix_Type_Table[Bedrooms], MATCH(Validation!I162,Unit_Mix_Type_Table[Unit Mix Type],0), 1)</f>
        <v>#N/A</v>
      </c>
      <c r="K162" s="52" t="e">
        <f ca="1">INDEX(Unit_Mix_Type_Table[Has Max Rent], MATCH(Validation!I162,Unit_Mix_Type_Table[Unit Mix Type],0), 1)</f>
        <v>#N/A</v>
      </c>
      <c r="L162" s="52" t="e">
        <f ca="1">INDEX(Calculations!$A$77:$G$84, MATCH(H162, Calculations!$A$77:$A$84),MATCH(J162,Calculations!$A$77:$G$77))</f>
        <v>#N/A</v>
      </c>
      <c r="M162" s="52" t="e">
        <f ca="1">INDEX(Calculations!$A$89:$G$94, MATCH(H162, Calculations!$A$77:$A$84),MATCH(J162,Calculations!$A$77:$G$77))</f>
        <v>#N/A</v>
      </c>
      <c r="N162" s="52" t="e">
        <f ca="1">IF('Unit Mix &amp; Rents'!B26="No", Validation!M162, Validation!L162)</f>
        <v>#N/A</v>
      </c>
    </row>
    <row r="163" spans="1:14" ht="15" customHeight="1">
      <c r="A163" s="52" t="str">
        <f>IF(AND(E163&gt;1,E163&lt;5), F163, "")</f>
        <v/>
      </c>
      <c r="B163" s="52">
        <f>ROW('Unit Mix &amp; Rents'!A45)</f>
        <v>45</v>
      </c>
      <c r="C163" s="52"/>
      <c r="D163" s="52"/>
      <c r="E163" s="52">
        <f>SUMPRODUCT(ISTEXT('Unit Mix &amp; Rents'!A45:E45) + ISNUMBER('Unit Mix &amp; Rents'!A45:E45))</f>
        <v>0</v>
      </c>
      <c r="F163" t="str">
        <f>CONCATENATE("Please enter all values in unit breakdown in worksheet row ", B161, ".", CHAR(10))</f>
        <v xml:space="preserve">Please enter all values in unit breakdown in worksheet row 44.
</v>
      </c>
      <c r="G163" s="9" t="str">
        <f t="shared" ca="1" si="146"/>
        <v xml:space="preserve">Enter a value for 'Total Number of Units' in cell B3.
Enter a value for 'Do Rents Include Utilities' in cell B4.
Please enter at least one row of the Rental Income Table beginning on worksheet row 4.
</v>
      </c>
    </row>
    <row r="164" spans="1:14" ht="15" customHeight="1">
      <c r="A164" t="str">
        <f ca="1">IF(AND(IF(ISNA(K164), FALSE, K164), E164 &gt; IF(ISNA(N164), E164, L164)), F164, "")</f>
        <v/>
      </c>
      <c r="B164">
        <f>B163</f>
        <v>45</v>
      </c>
      <c r="D164" s="52" t="str">
        <f>ADDRESS(B164,5,4)</f>
        <v>E45</v>
      </c>
      <c r="E164" t="str">
        <f ca="1">IF(ISBLANK( INDIRECT($F$135 &amp; D164)),"", INDIRECT($F$135 &amp; D164))</f>
        <v/>
      </c>
      <c r="F164" t="e">
        <f ca="1">CONCATENATE("Actual Rent per Unit exceeds maximum allowed rent of ", DOLLAR(N164), " in worksheet row ", B164, ".", CHAR(10))</f>
        <v>#N/A</v>
      </c>
      <c r="G164" s="9" t="str">
        <f t="shared" ref="G164" ca="1" si="154">OFFSET(G164, -1, 0) &amp; A164</f>
        <v xml:space="preserve">Enter a value for 'Total Number of Units' in cell B3.
Enter a value for 'Do Rents Include Utilities' in cell B4.
Please enter at least one row of the Rental Income Table beginning on worksheet row 4.
</v>
      </c>
      <c r="H164" s="52">
        <f ca="1">INDIRECT($F$135 &amp; ADDRESS(B164,1,4))</f>
        <v>0</v>
      </c>
      <c r="I164" s="52">
        <f ca="1">INDIRECT($F$135 &amp; ADDRESS(B164,2,4))</f>
        <v>0</v>
      </c>
      <c r="J164" s="52" t="e">
        <f ca="1">INDEX(Unit_Mix_Type_Table[Bedrooms], MATCH(Validation!I164,Unit_Mix_Type_Table[Unit Mix Type],0), 1)</f>
        <v>#N/A</v>
      </c>
      <c r="K164" s="52" t="e">
        <f ca="1">INDEX(Unit_Mix_Type_Table[Has Max Rent], MATCH(Validation!I164,Unit_Mix_Type_Table[Unit Mix Type],0), 1)</f>
        <v>#N/A</v>
      </c>
      <c r="L164" s="52" t="e">
        <f ca="1">INDEX(Calculations!$A$77:$G$84, MATCH(H164, Calculations!$A$77:$A$84),MATCH(J164,Calculations!$A$77:$G$77))</f>
        <v>#N/A</v>
      </c>
      <c r="M164" s="52" t="e">
        <f ca="1">INDEX(Calculations!$A$89:$G$94, MATCH(H164, Calculations!$A$77:$A$84),MATCH(J164,Calculations!$A$77:$G$77))</f>
        <v>#N/A</v>
      </c>
      <c r="N164" s="52" t="e">
        <f ca="1">IF('Unit Mix &amp; Rents'!B28="No", Validation!M164, Validation!L164)</f>
        <v>#N/A</v>
      </c>
    </row>
    <row r="165" spans="1:14" ht="15" customHeight="1">
      <c r="A165" s="52" t="str">
        <f>IF(AND(E165&gt;1,E165&lt;5), F165, "")</f>
        <v/>
      </c>
      <c r="B165" s="52">
        <f>ROW('Unit Mix &amp; Rents'!A46)</f>
        <v>46</v>
      </c>
      <c r="C165" s="52"/>
      <c r="D165" s="52"/>
      <c r="E165" s="52">
        <f>SUMPRODUCT(ISTEXT('Unit Mix &amp; Rents'!A46:E46) + ISNUMBER('Unit Mix &amp; Rents'!A46:E46))</f>
        <v>0</v>
      </c>
      <c r="F165" t="str">
        <f>CONCATENATE("Please enter all values in unit breakdown in worksheet row ", B163, ".", CHAR(10))</f>
        <v xml:space="preserve">Please enter all values in unit breakdown in worksheet row 45.
</v>
      </c>
      <c r="G165" s="9" t="str">
        <f t="shared" ca="1" si="146"/>
        <v xml:space="preserve">Enter a value for 'Total Number of Units' in cell B3.
Enter a value for 'Do Rents Include Utilities' in cell B4.
Please enter at least one row of the Rental Income Table beginning on worksheet row 4.
</v>
      </c>
    </row>
    <row r="166" spans="1:14" ht="15" customHeight="1">
      <c r="A166" t="str">
        <f ca="1">IF(AND(IF(ISNA(K166), FALSE, K166), E166 &gt; IF(ISNA(N166), E166, L166)), F166, "")</f>
        <v/>
      </c>
      <c r="B166">
        <f>B165</f>
        <v>46</v>
      </c>
      <c r="D166" s="52" t="str">
        <f>ADDRESS(B166,5,4)</f>
        <v>E46</v>
      </c>
      <c r="E166" t="str">
        <f ca="1">IF(ISBLANK( INDIRECT($F$135 &amp; D166)),"", INDIRECT($F$135 &amp; D166))</f>
        <v/>
      </c>
      <c r="F166" t="e">
        <f ca="1">CONCATENATE("Actual Rent per Unit exceeds maximum allowed rent of ", DOLLAR(N166), " in worksheet row ", B166, ".", CHAR(10))</f>
        <v>#N/A</v>
      </c>
      <c r="G166" s="9" t="str">
        <f t="shared" ref="G166" ca="1" si="155">OFFSET(G166, -1, 0) &amp; A166</f>
        <v xml:space="preserve">Enter a value for 'Total Number of Units' in cell B3.
Enter a value for 'Do Rents Include Utilities' in cell B4.
Please enter at least one row of the Rental Income Table beginning on worksheet row 4.
</v>
      </c>
      <c r="H166" s="52">
        <f ca="1">INDIRECT($F$135 &amp; ADDRESS(B166,1,4))</f>
        <v>0</v>
      </c>
      <c r="I166" s="52">
        <f ca="1">INDIRECT($F$135 &amp; ADDRESS(B166,2,4))</f>
        <v>0</v>
      </c>
      <c r="J166" s="52" t="e">
        <f ca="1">INDEX(Unit_Mix_Type_Table[Bedrooms], MATCH(Validation!I166,Unit_Mix_Type_Table[Unit Mix Type],0), 1)</f>
        <v>#N/A</v>
      </c>
      <c r="K166" s="52" t="e">
        <f ca="1">INDEX(Unit_Mix_Type_Table[Has Max Rent], MATCH(Validation!I166,Unit_Mix_Type_Table[Unit Mix Type],0), 1)</f>
        <v>#N/A</v>
      </c>
      <c r="L166" s="52" t="e">
        <f ca="1">INDEX(Calculations!$A$77:$G$84, MATCH(H166, Calculations!$A$77:$A$84),MATCH(J166,Calculations!$A$77:$G$77))</f>
        <v>#N/A</v>
      </c>
      <c r="M166" s="52" t="e">
        <f ca="1">INDEX(Calculations!$A$89:$G$94, MATCH(H166, Calculations!$A$77:$A$84),MATCH(J166,Calculations!$A$77:$G$77))</f>
        <v>#N/A</v>
      </c>
      <c r="N166" s="52" t="e">
        <f ca="1">IF('Unit Mix &amp; Rents'!B30="No", Validation!M166, Validation!L166)</f>
        <v>#N/A</v>
      </c>
    </row>
    <row r="167" spans="1:14" ht="15" customHeight="1">
      <c r="A167" s="52" t="str">
        <f>IF(AND(E167&gt;1,E167&lt;5), F167, "")</f>
        <v/>
      </c>
      <c r="B167" s="52">
        <f>ROW('Unit Mix &amp; Rents'!A47)</f>
        <v>47</v>
      </c>
      <c r="C167" s="52"/>
      <c r="D167" s="52"/>
      <c r="E167" s="52">
        <f>SUMPRODUCT(ISTEXT('Unit Mix &amp; Rents'!A47:E47) + ISNUMBER('Unit Mix &amp; Rents'!A47:E47))</f>
        <v>0</v>
      </c>
      <c r="F167" t="str">
        <f>CONCATENATE("Please enter all values in unit breakdown in worksheet row ", B165, ".", CHAR(10))</f>
        <v xml:space="preserve">Please enter all values in unit breakdown in worksheet row 46.
</v>
      </c>
      <c r="G167" s="9" t="str">
        <f t="shared" ca="1" si="146"/>
        <v xml:space="preserve">Enter a value for 'Total Number of Units' in cell B3.
Enter a value for 'Do Rents Include Utilities' in cell B4.
Please enter at least one row of the Rental Income Table beginning on worksheet row 4.
</v>
      </c>
    </row>
    <row r="168" spans="1:14" ht="15" customHeight="1">
      <c r="A168" t="str">
        <f ca="1">IF(AND(IF(ISNA(K168), FALSE, K168), E168 &gt; IF(ISNA(N168), E168, L168)), F168, "")</f>
        <v/>
      </c>
      <c r="B168">
        <f>B167</f>
        <v>47</v>
      </c>
      <c r="D168" s="52" t="str">
        <f>ADDRESS(B168,5,4)</f>
        <v>E47</v>
      </c>
      <c r="E168" t="str">
        <f ca="1">IF(ISBLANK( INDIRECT($F$135 &amp; D168)),"", INDIRECT($F$135 &amp; D168))</f>
        <v/>
      </c>
      <c r="F168" t="e">
        <f ca="1">CONCATENATE("Actual Rent per Unit exceeds maximum allowed rent of ", DOLLAR(N168), " in worksheet row ", B168, ".", CHAR(10))</f>
        <v>#N/A</v>
      </c>
      <c r="G168" s="9" t="str">
        <f t="shared" ref="G168" ca="1" si="156">OFFSET(G168, -1, 0) &amp; A168</f>
        <v xml:space="preserve">Enter a value for 'Total Number of Units' in cell B3.
Enter a value for 'Do Rents Include Utilities' in cell B4.
Please enter at least one row of the Rental Income Table beginning on worksheet row 4.
</v>
      </c>
      <c r="H168" s="52">
        <f ca="1">INDIRECT($F$135 &amp; ADDRESS(B168,1,4))</f>
        <v>0</v>
      </c>
      <c r="I168" s="52">
        <f ca="1">INDIRECT($F$135 &amp; ADDRESS(B168,2,4))</f>
        <v>0</v>
      </c>
      <c r="J168" s="52" t="e">
        <f ca="1">INDEX(Unit_Mix_Type_Table[Bedrooms], MATCH(Validation!I168,Unit_Mix_Type_Table[Unit Mix Type],0), 1)</f>
        <v>#N/A</v>
      </c>
      <c r="K168" s="52" t="e">
        <f ca="1">INDEX(Unit_Mix_Type_Table[Has Max Rent], MATCH(Validation!I168,Unit_Mix_Type_Table[Unit Mix Type],0), 1)</f>
        <v>#N/A</v>
      </c>
      <c r="L168" s="52" t="e">
        <f ca="1">INDEX(Calculations!$A$77:$G$84, MATCH(H168, Calculations!$A$77:$A$84),MATCH(J168,Calculations!$A$77:$G$77))</f>
        <v>#N/A</v>
      </c>
      <c r="M168" s="52" t="e">
        <f ca="1">INDEX(Calculations!$A$89:$G$94, MATCH(H168, Calculations!$A$77:$A$84),MATCH(J168,Calculations!$A$77:$G$77))</f>
        <v>#N/A</v>
      </c>
      <c r="N168" s="52" t="e">
        <f ca="1">IF('Unit Mix &amp; Rents'!B32="No", Validation!M168, Validation!L168)</f>
        <v>#N/A</v>
      </c>
    </row>
    <row r="169" spans="1:14" ht="15" customHeight="1">
      <c r="A169" s="52" t="str">
        <f>IF(AND(E169&gt;1,E169&lt;5), F169, "")</f>
        <v/>
      </c>
      <c r="B169" s="52">
        <f>ROW('Unit Mix &amp; Rents'!A48)</f>
        <v>48</v>
      </c>
      <c r="C169" s="52"/>
      <c r="D169" s="52"/>
      <c r="E169" s="52">
        <f>SUMPRODUCT(ISTEXT('Unit Mix &amp; Rents'!A48:E48) + ISNUMBER('Unit Mix &amp; Rents'!A48:E48))</f>
        <v>0</v>
      </c>
      <c r="F169" t="str">
        <f>CONCATENATE("Please enter all values in unit breakdown in worksheet row ", B167, ".", CHAR(10))</f>
        <v xml:space="preserve">Please enter all values in unit breakdown in worksheet row 47.
</v>
      </c>
      <c r="G169" s="9" t="str">
        <f t="shared" ca="1" si="146"/>
        <v xml:space="preserve">Enter a value for 'Total Number of Units' in cell B3.
Enter a value for 'Do Rents Include Utilities' in cell B4.
Please enter at least one row of the Rental Income Table beginning on worksheet row 4.
</v>
      </c>
    </row>
    <row r="170" spans="1:14" ht="15" customHeight="1">
      <c r="A170" t="str">
        <f ca="1">IF(AND(IF(ISNA(K170), FALSE, K170), E170 &gt; IF(ISNA(N170), E170, L170)), F170, "")</f>
        <v/>
      </c>
      <c r="B170">
        <f>B169</f>
        <v>48</v>
      </c>
      <c r="D170" s="52" t="str">
        <f>ADDRESS(B170,5,4)</f>
        <v>E48</v>
      </c>
      <c r="E170" t="str">
        <f ca="1">IF(ISBLANK( INDIRECT($F$135 &amp; D170)),"", INDIRECT($F$135 &amp; D170))</f>
        <v/>
      </c>
      <c r="F170" t="e">
        <f ca="1">CONCATENATE("Actual Rent per Unit exceeds maximum allowed rent of ", DOLLAR(N170), " in worksheet row ", B170, ".", CHAR(10))</f>
        <v>#N/A</v>
      </c>
      <c r="G170" s="9" t="str">
        <f t="shared" ref="G170" ca="1" si="157">OFFSET(G170, -1, 0) &amp; A170</f>
        <v xml:space="preserve">Enter a value for 'Total Number of Units' in cell B3.
Enter a value for 'Do Rents Include Utilities' in cell B4.
Please enter at least one row of the Rental Income Table beginning on worksheet row 4.
</v>
      </c>
      <c r="H170" s="52">
        <f ca="1">INDIRECT($F$135 &amp; ADDRESS(B170,1,4))</f>
        <v>0</v>
      </c>
      <c r="I170" s="52">
        <f ca="1">INDIRECT($F$135 &amp; ADDRESS(B170,2,4))</f>
        <v>0</v>
      </c>
      <c r="J170" s="52" t="e">
        <f ca="1">INDEX(Unit_Mix_Type_Table[Bedrooms], MATCH(Validation!I170,Unit_Mix_Type_Table[Unit Mix Type],0), 1)</f>
        <v>#N/A</v>
      </c>
      <c r="K170" s="52" t="e">
        <f ca="1">INDEX(Unit_Mix_Type_Table[Has Max Rent], MATCH(Validation!I170,Unit_Mix_Type_Table[Unit Mix Type],0), 1)</f>
        <v>#N/A</v>
      </c>
      <c r="L170" s="52" t="e">
        <f ca="1">INDEX(Calculations!$A$77:$G$84, MATCH(H170, Calculations!$A$77:$A$84),MATCH(J170,Calculations!$A$77:$G$77))</f>
        <v>#N/A</v>
      </c>
      <c r="M170" s="52" t="e">
        <f ca="1">INDEX(Calculations!$A$89:$G$94, MATCH(H170, Calculations!$A$77:$A$84),MATCH(J170,Calculations!$A$77:$G$77))</f>
        <v>#N/A</v>
      </c>
      <c r="N170" s="52" t="e">
        <f ca="1">IF('Unit Mix &amp; Rents'!B34="No", Validation!M170, Validation!L170)</f>
        <v>#N/A</v>
      </c>
    </row>
    <row r="171" spans="1:14" ht="15" customHeight="1">
      <c r="A171" s="52" t="str">
        <f>IF(AND(E171&gt;1,E171&lt;5), F171, "")</f>
        <v/>
      </c>
      <c r="B171" s="52">
        <f>ROW('Unit Mix &amp; Rents'!A49)</f>
        <v>49</v>
      </c>
      <c r="C171" s="52"/>
      <c r="D171" s="52"/>
      <c r="E171" s="52">
        <f>SUMPRODUCT(ISTEXT('Unit Mix &amp; Rents'!A49:E49) + ISNUMBER('Unit Mix &amp; Rents'!A49:E49))</f>
        <v>0</v>
      </c>
      <c r="F171" t="str">
        <f>CONCATENATE("Please enter all values in unit breakdown in worksheet row ", B169, ".", CHAR(10))</f>
        <v xml:space="preserve">Please enter all values in unit breakdown in worksheet row 48.
</v>
      </c>
      <c r="G171" s="9" t="str">
        <f t="shared" ref="G171:G202" ca="1" si="158">OFFSET(G171, -1, 0) &amp; A171</f>
        <v xml:space="preserve">Enter a value for 'Total Number of Units' in cell B3.
Enter a value for 'Do Rents Include Utilities' in cell B4.
Please enter at least one row of the Rental Income Table beginning on worksheet row 4.
</v>
      </c>
    </row>
    <row r="172" spans="1:14" ht="15" customHeight="1">
      <c r="A172" t="str">
        <f ca="1">IF(AND(IF(ISNA(K172), FALSE, K172), E172 &gt; IF(ISNA(N172), E172, L172)), F172, "")</f>
        <v/>
      </c>
      <c r="B172">
        <f>B171</f>
        <v>49</v>
      </c>
      <c r="D172" s="52" t="str">
        <f>ADDRESS(B172,5,4)</f>
        <v>E49</v>
      </c>
      <c r="E172" t="str">
        <f ca="1">IF(ISBLANK( INDIRECT($F$135 &amp; D172)),"", INDIRECT($F$135 &amp; D172))</f>
        <v/>
      </c>
      <c r="F172" t="e">
        <f ca="1">CONCATENATE("Actual Rent per Unit exceeds maximum allowed rent of ", DOLLAR(N172), " in worksheet row ", B172, ".", CHAR(10))</f>
        <v>#N/A</v>
      </c>
      <c r="G172" s="9" t="str">
        <f t="shared" ca="1" si="158"/>
        <v xml:space="preserve">Enter a value for 'Total Number of Units' in cell B3.
Enter a value for 'Do Rents Include Utilities' in cell B4.
Please enter at least one row of the Rental Income Table beginning on worksheet row 4.
</v>
      </c>
      <c r="H172" s="52">
        <f ca="1">INDIRECT($F$135 &amp; ADDRESS(B172,1,4))</f>
        <v>0</v>
      </c>
      <c r="I172" s="52">
        <f ca="1">INDIRECT($F$135 &amp; ADDRESS(B172,2,4))</f>
        <v>0</v>
      </c>
      <c r="J172" s="52" t="e">
        <f ca="1">INDEX(Unit_Mix_Type_Table[Bedrooms], MATCH(Validation!I172,Unit_Mix_Type_Table[Unit Mix Type],0), 1)</f>
        <v>#N/A</v>
      </c>
      <c r="K172" s="52" t="e">
        <f ca="1">INDEX(Unit_Mix_Type_Table[Has Max Rent], MATCH(Validation!I172,Unit_Mix_Type_Table[Unit Mix Type],0), 1)</f>
        <v>#N/A</v>
      </c>
      <c r="L172" s="52" t="e">
        <f ca="1">INDEX(Calculations!$A$77:$G$84, MATCH(H172, Calculations!$A$77:$A$84),MATCH(J172,Calculations!$A$77:$G$77))</f>
        <v>#N/A</v>
      </c>
      <c r="M172" s="52" t="e">
        <f ca="1">INDEX(Calculations!$A$89:$G$94, MATCH(H172, Calculations!$A$77:$A$84),MATCH(J172,Calculations!$A$77:$G$77))</f>
        <v>#N/A</v>
      </c>
      <c r="N172" s="52" t="e">
        <f ca="1">IF('Unit Mix &amp; Rents'!B36="No", Validation!M172, Validation!L172)</f>
        <v>#N/A</v>
      </c>
    </row>
    <row r="173" spans="1:14" ht="15" customHeight="1">
      <c r="A173" s="52" t="str">
        <f>IF(AND(E173&gt;1,E173&lt;5), F173, "")</f>
        <v/>
      </c>
      <c r="B173" s="52">
        <f>ROW('Unit Mix &amp; Rents'!A50)</f>
        <v>50</v>
      </c>
      <c r="C173" s="52"/>
      <c r="D173" s="52"/>
      <c r="E173" s="52">
        <f>SUMPRODUCT(ISTEXT('Unit Mix &amp; Rents'!A50:E50) + ISNUMBER('Unit Mix &amp; Rents'!A50:E50))</f>
        <v>0</v>
      </c>
      <c r="F173" t="str">
        <f>CONCATENATE("Please enter all values in unit breakdown in worksheet row ", B171, ".", CHAR(10))</f>
        <v xml:space="preserve">Please enter all values in unit breakdown in worksheet row 49.
</v>
      </c>
      <c r="G173" s="9" t="str">
        <f t="shared" ca="1" si="158"/>
        <v xml:space="preserve">Enter a value for 'Total Number of Units' in cell B3.
Enter a value for 'Do Rents Include Utilities' in cell B4.
Please enter at least one row of the Rental Income Table beginning on worksheet row 4.
</v>
      </c>
    </row>
    <row r="174" spans="1:14" ht="15" customHeight="1">
      <c r="A174" t="str">
        <f ca="1">IF(AND(IF(ISNA(K174), FALSE, K174), E174 &gt; IF(ISNA(N174), E174, L174)), F174, "")</f>
        <v/>
      </c>
      <c r="B174">
        <f>B173</f>
        <v>50</v>
      </c>
      <c r="D174" s="52" t="str">
        <f>ADDRESS(B174,5,4)</f>
        <v>E50</v>
      </c>
      <c r="E174" t="str">
        <f ca="1">IF(ISBLANK( INDIRECT($F$135 &amp; D174)),"", INDIRECT($F$135 &amp; D174))</f>
        <v/>
      </c>
      <c r="F174" t="e">
        <f ca="1">CONCATENATE("Actual Rent per Unit exceeds maximum allowed rent of ", DOLLAR(N174), " in worksheet row ", B174, ".", CHAR(10))</f>
        <v>#N/A</v>
      </c>
      <c r="G174" s="9" t="str">
        <f t="shared" ca="1" si="158"/>
        <v xml:space="preserve">Enter a value for 'Total Number of Units' in cell B3.
Enter a value for 'Do Rents Include Utilities' in cell B4.
Please enter at least one row of the Rental Income Table beginning on worksheet row 4.
</v>
      </c>
      <c r="H174" s="52">
        <f ca="1">INDIRECT($F$135 &amp; ADDRESS(B174,1,4))</f>
        <v>0</v>
      </c>
      <c r="I174" s="52">
        <f ca="1">INDIRECT($F$135 &amp; ADDRESS(B174,2,4))</f>
        <v>0</v>
      </c>
      <c r="J174" s="52" t="e">
        <f ca="1">INDEX(Unit_Mix_Type_Table[Bedrooms], MATCH(Validation!I174,Unit_Mix_Type_Table[Unit Mix Type],0), 1)</f>
        <v>#N/A</v>
      </c>
      <c r="K174" s="52" t="e">
        <f ca="1">INDEX(Unit_Mix_Type_Table[Has Max Rent], MATCH(Validation!I174,Unit_Mix_Type_Table[Unit Mix Type],0), 1)</f>
        <v>#N/A</v>
      </c>
      <c r="L174" s="52" t="e">
        <f ca="1">INDEX(Calculations!$A$77:$G$84, MATCH(H174, Calculations!$A$77:$A$84),MATCH(J174,Calculations!$A$77:$G$77))</f>
        <v>#N/A</v>
      </c>
      <c r="M174" s="52" t="e">
        <f ca="1">INDEX(Calculations!$A$89:$G$94, MATCH(H174, Calculations!$A$77:$A$84),MATCH(J174,Calculations!$A$77:$G$77))</f>
        <v>#N/A</v>
      </c>
      <c r="N174" s="52" t="e">
        <f ca="1">IF('Unit Mix &amp; Rents'!B38="No", Validation!M174, Validation!L174)</f>
        <v>#N/A</v>
      </c>
    </row>
    <row r="175" spans="1:14" ht="15" customHeight="1">
      <c r="A175" s="52" t="str">
        <f>IF(AND(E175&gt;1,E175&lt;5), F175, "")</f>
        <v/>
      </c>
      <c r="B175" s="52">
        <f>ROW('Unit Mix &amp; Rents'!A51)</f>
        <v>51</v>
      </c>
      <c r="C175" s="52"/>
      <c r="D175" s="52"/>
      <c r="E175" s="52">
        <f>SUMPRODUCT(ISTEXT('Unit Mix &amp; Rents'!A51:E51) + ISNUMBER('Unit Mix &amp; Rents'!A51:E51))</f>
        <v>0</v>
      </c>
      <c r="F175" t="str">
        <f>CONCATENATE("Please enter all values in unit breakdown in worksheet row ", B173, ".", CHAR(10))</f>
        <v xml:space="preserve">Please enter all values in unit breakdown in worksheet row 50.
</v>
      </c>
      <c r="G175" s="9" t="str">
        <f t="shared" ca="1" si="158"/>
        <v xml:space="preserve">Enter a value for 'Total Number of Units' in cell B3.
Enter a value for 'Do Rents Include Utilities' in cell B4.
Please enter at least one row of the Rental Income Table beginning on worksheet row 4.
</v>
      </c>
    </row>
    <row r="176" spans="1:14" ht="15" customHeight="1">
      <c r="A176" t="str">
        <f ca="1">IF(AND(IF(ISNA(K176), FALSE, K176), E176 &gt; IF(ISNA(N176), E176, L176)), F176, "")</f>
        <v/>
      </c>
      <c r="B176">
        <f>B175</f>
        <v>51</v>
      </c>
      <c r="D176" s="52" t="str">
        <f>ADDRESS(B176,5,4)</f>
        <v>E51</v>
      </c>
      <c r="E176" t="str">
        <f ca="1">IF(ISBLANK( INDIRECT($F$135 &amp; D176)),"", INDIRECT($F$135 &amp; D176))</f>
        <v/>
      </c>
      <c r="F176" t="e">
        <f ca="1">CONCATENATE("Actual Rent per Unit exceeds maximum allowed rent of ", DOLLAR(N176), " in worksheet row ", B176, ".", CHAR(10))</f>
        <v>#N/A</v>
      </c>
      <c r="G176" s="9" t="str">
        <f t="shared" ca="1" si="158"/>
        <v xml:space="preserve">Enter a value for 'Total Number of Units' in cell B3.
Enter a value for 'Do Rents Include Utilities' in cell B4.
Please enter at least one row of the Rental Income Table beginning on worksheet row 4.
</v>
      </c>
      <c r="H176" s="52">
        <f ca="1">INDIRECT($F$135 &amp; ADDRESS(B176,1,4))</f>
        <v>0</v>
      </c>
      <c r="I176" s="52">
        <f ca="1">INDIRECT($F$135 &amp; ADDRESS(B176,2,4))</f>
        <v>0</v>
      </c>
      <c r="J176" s="52" t="e">
        <f ca="1">INDEX(Unit_Mix_Type_Table[Bedrooms], MATCH(Validation!I176,Unit_Mix_Type_Table[Unit Mix Type],0), 1)</f>
        <v>#N/A</v>
      </c>
      <c r="K176" s="52" t="e">
        <f ca="1">INDEX(Unit_Mix_Type_Table[Has Max Rent], MATCH(Validation!I176,Unit_Mix_Type_Table[Unit Mix Type],0), 1)</f>
        <v>#N/A</v>
      </c>
      <c r="L176" s="52" t="e">
        <f ca="1">INDEX(Calculations!$A$77:$G$84, MATCH(H176, Calculations!$A$77:$A$84),MATCH(J176,Calculations!$A$77:$G$77))</f>
        <v>#N/A</v>
      </c>
      <c r="M176" s="52" t="e">
        <f ca="1">INDEX(Calculations!$A$89:$G$94, MATCH(H176, Calculations!$A$77:$A$84),MATCH(J176,Calculations!$A$77:$G$77))</f>
        <v>#N/A</v>
      </c>
      <c r="N176" s="52" t="e">
        <f ca="1">IF('Unit Mix &amp; Rents'!B40="No", Validation!M176, Validation!L176)</f>
        <v>#N/A</v>
      </c>
    </row>
    <row r="177" spans="1:14" ht="15" customHeight="1">
      <c r="A177" s="52" t="str">
        <f>IF(AND(E177&gt;1,E177&lt;5), F177, "")</f>
        <v/>
      </c>
      <c r="B177" s="52">
        <f>ROW('Unit Mix &amp; Rents'!A52)</f>
        <v>52</v>
      </c>
      <c r="C177" s="52"/>
      <c r="D177" s="52"/>
      <c r="E177" s="52">
        <f>SUMPRODUCT(ISTEXT('Unit Mix &amp; Rents'!A52:E52) + ISNUMBER('Unit Mix &amp; Rents'!A52:E52))</f>
        <v>0</v>
      </c>
      <c r="F177" t="str">
        <f>CONCATENATE("Please enter all values in unit breakdown in worksheet row ", B175, ".", CHAR(10))</f>
        <v xml:space="preserve">Please enter all values in unit breakdown in worksheet row 51.
</v>
      </c>
      <c r="G177" s="9" t="str">
        <f t="shared" ca="1" si="158"/>
        <v xml:space="preserve">Enter a value for 'Total Number of Units' in cell B3.
Enter a value for 'Do Rents Include Utilities' in cell B4.
Please enter at least one row of the Rental Income Table beginning on worksheet row 4.
</v>
      </c>
    </row>
    <row r="178" spans="1:14" ht="15" customHeight="1">
      <c r="A178" t="str">
        <f ca="1">IF(AND(IF(ISNA(K178), FALSE, K178), E178 &gt; IF(ISNA(N178), E178, L178)), F178, "")</f>
        <v/>
      </c>
      <c r="B178">
        <f>B177</f>
        <v>52</v>
      </c>
      <c r="D178" s="52" t="str">
        <f>ADDRESS(B178,5,4)</f>
        <v>E52</v>
      </c>
      <c r="E178" t="str">
        <f ca="1">IF(ISBLANK( INDIRECT($F$135 &amp; D178)),"", INDIRECT($F$135 &amp; D178))</f>
        <v/>
      </c>
      <c r="F178" t="e">
        <f ca="1">CONCATENATE("Actual Rent per Unit exceeds maximum allowed rent of ", DOLLAR(N178), " in worksheet row ", B178, ".", CHAR(10))</f>
        <v>#N/A</v>
      </c>
      <c r="G178" s="9" t="str">
        <f t="shared" ca="1" si="158"/>
        <v xml:space="preserve">Enter a value for 'Total Number of Units' in cell B3.
Enter a value for 'Do Rents Include Utilities' in cell B4.
Please enter at least one row of the Rental Income Table beginning on worksheet row 4.
</v>
      </c>
      <c r="H178" s="52">
        <f ca="1">INDIRECT($F$135 &amp; ADDRESS(B178,1,4))</f>
        <v>0</v>
      </c>
      <c r="I178" s="52">
        <f ca="1">INDIRECT($F$135 &amp; ADDRESS(B178,2,4))</f>
        <v>0</v>
      </c>
      <c r="J178" s="52" t="e">
        <f ca="1">INDEX(Unit_Mix_Type_Table[Bedrooms], MATCH(Validation!I178,Unit_Mix_Type_Table[Unit Mix Type],0), 1)</f>
        <v>#N/A</v>
      </c>
      <c r="K178" s="52" t="e">
        <f ca="1">INDEX(Unit_Mix_Type_Table[Has Max Rent], MATCH(Validation!I178,Unit_Mix_Type_Table[Unit Mix Type],0), 1)</f>
        <v>#N/A</v>
      </c>
      <c r="L178" s="52" t="e">
        <f ca="1">INDEX(Calculations!$A$77:$G$84, MATCH(H178, Calculations!$A$77:$A$84),MATCH(J178,Calculations!$A$77:$G$77))</f>
        <v>#N/A</v>
      </c>
      <c r="M178" s="52" t="e">
        <f ca="1">INDEX(Calculations!$A$89:$G$94, MATCH(H178, Calculations!$A$77:$A$84),MATCH(J178,Calculations!$A$77:$G$77))</f>
        <v>#N/A</v>
      </c>
      <c r="N178" s="52" t="e">
        <f ca="1">IF('Unit Mix &amp; Rents'!B42="No", Validation!M178, Validation!L178)</f>
        <v>#N/A</v>
      </c>
    </row>
    <row r="179" spans="1:14" ht="15" customHeight="1">
      <c r="A179" s="52" t="str">
        <f>IF(AND(E179&gt;1,E179&lt;5), F179, "")</f>
        <v/>
      </c>
      <c r="B179" s="52">
        <f>ROW('Unit Mix &amp; Rents'!A53)</f>
        <v>53</v>
      </c>
      <c r="C179" s="52"/>
      <c r="D179" s="52"/>
      <c r="E179" s="52">
        <f>SUMPRODUCT(ISTEXT('Unit Mix &amp; Rents'!A53:E53) + ISNUMBER('Unit Mix &amp; Rents'!A53:E53))</f>
        <v>0</v>
      </c>
      <c r="F179" t="str">
        <f>CONCATENATE("Please enter all values in unit breakdown in worksheet row ", B177, ".", CHAR(10))</f>
        <v xml:space="preserve">Please enter all values in unit breakdown in worksheet row 52.
</v>
      </c>
      <c r="G179" s="9" t="str">
        <f t="shared" ca="1" si="158"/>
        <v xml:space="preserve">Enter a value for 'Total Number of Units' in cell B3.
Enter a value for 'Do Rents Include Utilities' in cell B4.
Please enter at least one row of the Rental Income Table beginning on worksheet row 4.
</v>
      </c>
    </row>
    <row r="180" spans="1:14" ht="15" customHeight="1">
      <c r="A180" t="str">
        <f ca="1">IF(AND(IF(ISNA(K180), FALSE, K180), E180 &gt; IF(ISNA(N180), E180, L180)), F180, "")</f>
        <v/>
      </c>
      <c r="B180">
        <f>B179</f>
        <v>53</v>
      </c>
      <c r="D180" s="52" t="str">
        <f>ADDRESS(B180,5,4)</f>
        <v>E53</v>
      </c>
      <c r="E180" t="str">
        <f ca="1">IF(ISBLANK( INDIRECT($F$135 &amp; D180)),"", INDIRECT($F$135 &amp; D180))</f>
        <v/>
      </c>
      <c r="F180" t="e">
        <f ca="1">CONCATENATE("Actual Rent per Unit exceeds maximum allowed rent of ", DOLLAR(N180), " in worksheet row ", B180, ".", CHAR(10))</f>
        <v>#N/A</v>
      </c>
      <c r="G180" s="9" t="str">
        <f t="shared" ca="1" si="158"/>
        <v xml:space="preserve">Enter a value for 'Total Number of Units' in cell B3.
Enter a value for 'Do Rents Include Utilities' in cell B4.
Please enter at least one row of the Rental Income Table beginning on worksheet row 4.
</v>
      </c>
      <c r="H180" s="52">
        <f ca="1">INDIRECT($F$135 &amp; ADDRESS(B180,1,4))</f>
        <v>0</v>
      </c>
      <c r="I180" s="52">
        <f ca="1">INDIRECT($F$135 &amp; ADDRESS(B180,2,4))</f>
        <v>0</v>
      </c>
      <c r="J180" s="52" t="e">
        <f ca="1">INDEX(Unit_Mix_Type_Table[Bedrooms], MATCH(Validation!I180,Unit_Mix_Type_Table[Unit Mix Type],0), 1)</f>
        <v>#N/A</v>
      </c>
      <c r="K180" s="52" t="e">
        <f ca="1">INDEX(Unit_Mix_Type_Table[Has Max Rent], MATCH(Validation!I180,Unit_Mix_Type_Table[Unit Mix Type],0), 1)</f>
        <v>#N/A</v>
      </c>
      <c r="L180" s="52" t="e">
        <f ca="1">INDEX(Calculations!$A$77:$G$84, MATCH(H180, Calculations!$A$77:$A$84),MATCH(J180,Calculations!$A$77:$G$77))</f>
        <v>#N/A</v>
      </c>
      <c r="M180" s="52" t="e">
        <f ca="1">INDEX(Calculations!$A$89:$G$94, MATCH(H180, Calculations!$A$77:$A$84),MATCH(J180,Calculations!$A$77:$G$77))</f>
        <v>#N/A</v>
      </c>
      <c r="N180" s="52" t="e">
        <f ca="1">IF('Unit Mix &amp; Rents'!B44="No", Validation!M180, Validation!L180)</f>
        <v>#N/A</v>
      </c>
    </row>
    <row r="181" spans="1:14" ht="15" customHeight="1">
      <c r="A181" s="52" t="str">
        <f>IF(AND(E181&gt;1,E181&lt;5), F181, "")</f>
        <v/>
      </c>
      <c r="B181" s="52">
        <f>ROW('Unit Mix &amp; Rents'!A54)</f>
        <v>54</v>
      </c>
      <c r="C181" s="52"/>
      <c r="D181" s="52"/>
      <c r="E181" s="52">
        <f>SUMPRODUCT(ISTEXT('Unit Mix &amp; Rents'!A54:E54) + ISNUMBER('Unit Mix &amp; Rents'!A54:E54))</f>
        <v>0</v>
      </c>
      <c r="F181" t="str">
        <f>CONCATENATE("Please enter all values in unit breakdown in worksheet row ", B179, ".", CHAR(10))</f>
        <v xml:space="preserve">Please enter all values in unit breakdown in worksheet row 53.
</v>
      </c>
      <c r="G181" s="9" t="str">
        <f t="shared" ca="1" si="158"/>
        <v xml:space="preserve">Enter a value for 'Total Number of Units' in cell B3.
Enter a value for 'Do Rents Include Utilities' in cell B4.
Please enter at least one row of the Rental Income Table beginning on worksheet row 4.
</v>
      </c>
    </row>
    <row r="182" spans="1:14" ht="15" customHeight="1">
      <c r="A182" t="str">
        <f ca="1">IF(AND(IF(ISNA(K182), FALSE, K182), E182 &gt; IF(ISNA(N182), E182, L182)), F182, "")</f>
        <v/>
      </c>
      <c r="B182">
        <f>B181</f>
        <v>54</v>
      </c>
      <c r="D182" s="52" t="str">
        <f>ADDRESS(B182,5,4)</f>
        <v>E54</v>
      </c>
      <c r="E182" t="str">
        <f ca="1">IF(ISBLANK( INDIRECT($F$135 &amp; D182)),"", INDIRECT($F$135 &amp; D182))</f>
        <v/>
      </c>
      <c r="F182" t="e">
        <f ca="1">CONCATENATE("Actual Rent per Unit exceeds maximum allowed rent of ", DOLLAR(N182), " in worksheet row ", B182, ".", CHAR(10))</f>
        <v>#N/A</v>
      </c>
      <c r="G182" s="9" t="str">
        <f t="shared" ca="1" si="158"/>
        <v xml:space="preserve">Enter a value for 'Total Number of Units' in cell B3.
Enter a value for 'Do Rents Include Utilities' in cell B4.
Please enter at least one row of the Rental Income Table beginning on worksheet row 4.
</v>
      </c>
      <c r="H182" s="52">
        <f ca="1">INDIRECT($F$135 &amp; ADDRESS(B182,1,4))</f>
        <v>0</v>
      </c>
      <c r="I182" s="52">
        <f ca="1">INDIRECT($F$135 &amp; ADDRESS(B182,2,4))</f>
        <v>0</v>
      </c>
      <c r="J182" s="52" t="e">
        <f ca="1">INDEX(Unit_Mix_Type_Table[Bedrooms], MATCH(Validation!I182,Unit_Mix_Type_Table[Unit Mix Type],0), 1)</f>
        <v>#N/A</v>
      </c>
      <c r="K182" s="52" t="e">
        <f ca="1">INDEX(Unit_Mix_Type_Table[Has Max Rent], MATCH(Validation!I182,Unit_Mix_Type_Table[Unit Mix Type],0), 1)</f>
        <v>#N/A</v>
      </c>
      <c r="L182" s="52" t="e">
        <f ca="1">INDEX(Calculations!$A$77:$G$84, MATCH(H182, Calculations!$A$77:$A$84),MATCH(J182,Calculations!$A$77:$G$77))</f>
        <v>#N/A</v>
      </c>
      <c r="M182" s="52" t="e">
        <f ca="1">INDEX(Calculations!$A$89:$G$94, MATCH(H182, Calculations!$A$77:$A$84),MATCH(J182,Calculations!$A$77:$G$77))</f>
        <v>#N/A</v>
      </c>
      <c r="N182" s="52" t="e">
        <f ca="1">IF('Unit Mix &amp; Rents'!B46="No", Validation!M182, Validation!L182)</f>
        <v>#N/A</v>
      </c>
    </row>
    <row r="183" spans="1:14" ht="15" customHeight="1">
      <c r="A183" s="52" t="str">
        <f>IF(AND(E183&gt;1,E183&lt;5), F183, "")</f>
        <v/>
      </c>
      <c r="B183" s="52">
        <f>ROW('Unit Mix &amp; Rents'!A55)</f>
        <v>55</v>
      </c>
      <c r="C183" s="52"/>
      <c r="D183" s="52"/>
      <c r="E183" s="52">
        <f>SUMPRODUCT(ISTEXT('Unit Mix &amp; Rents'!A55:E55) + ISNUMBER('Unit Mix &amp; Rents'!A55:E55))</f>
        <v>0</v>
      </c>
      <c r="F183" t="str">
        <f>CONCATENATE("Please enter all values in unit breakdown in worksheet row ", B181, ".", CHAR(10))</f>
        <v xml:space="preserve">Please enter all values in unit breakdown in worksheet row 54.
</v>
      </c>
      <c r="G183" s="9" t="str">
        <f t="shared" ca="1" si="158"/>
        <v xml:space="preserve">Enter a value for 'Total Number of Units' in cell B3.
Enter a value for 'Do Rents Include Utilities' in cell B4.
Please enter at least one row of the Rental Income Table beginning on worksheet row 4.
</v>
      </c>
    </row>
    <row r="184" spans="1:14" ht="15" customHeight="1">
      <c r="A184" t="str">
        <f ca="1">IF(AND(IF(ISNA(K184), FALSE, K184), E184 &gt; IF(ISNA(N184), E184, L184)), F184, "")</f>
        <v/>
      </c>
      <c r="B184">
        <f>B183</f>
        <v>55</v>
      </c>
      <c r="D184" s="52" t="str">
        <f>ADDRESS(B184,5,4)</f>
        <v>E55</v>
      </c>
      <c r="E184" t="str">
        <f ca="1">IF(ISBLANK( INDIRECT($F$135 &amp; D184)),"", INDIRECT($F$135 &amp; D184))</f>
        <v/>
      </c>
      <c r="F184" t="e">
        <f ca="1">CONCATENATE("Actual Rent per Unit exceeds maximum allowed rent of ", DOLLAR(N184), " in worksheet row ", B184, ".", CHAR(10))</f>
        <v>#N/A</v>
      </c>
      <c r="G184" s="9" t="str">
        <f t="shared" ca="1" si="158"/>
        <v xml:space="preserve">Enter a value for 'Total Number of Units' in cell B3.
Enter a value for 'Do Rents Include Utilities' in cell B4.
Please enter at least one row of the Rental Income Table beginning on worksheet row 4.
</v>
      </c>
      <c r="H184" s="52">
        <f ca="1">INDIRECT($F$135 &amp; ADDRESS(B184,1,4))</f>
        <v>0</v>
      </c>
      <c r="I184" s="52">
        <f ca="1">INDIRECT($F$135 &amp; ADDRESS(B184,2,4))</f>
        <v>0</v>
      </c>
      <c r="J184" s="52" t="e">
        <f ca="1">INDEX(Unit_Mix_Type_Table[Bedrooms], MATCH(Validation!I184,Unit_Mix_Type_Table[Unit Mix Type],0), 1)</f>
        <v>#N/A</v>
      </c>
      <c r="K184" s="52" t="e">
        <f ca="1">INDEX(Unit_Mix_Type_Table[Has Max Rent], MATCH(Validation!I184,Unit_Mix_Type_Table[Unit Mix Type],0), 1)</f>
        <v>#N/A</v>
      </c>
      <c r="L184" s="52" t="e">
        <f ca="1">INDEX(Calculations!$A$77:$G$84, MATCH(H184, Calculations!$A$77:$A$84),MATCH(J184,Calculations!$A$77:$G$77))</f>
        <v>#N/A</v>
      </c>
      <c r="M184" s="52" t="e">
        <f ca="1">INDEX(Calculations!$A$89:$G$94, MATCH(H184, Calculations!$A$77:$A$84),MATCH(J184,Calculations!$A$77:$G$77))</f>
        <v>#N/A</v>
      </c>
      <c r="N184" s="52" t="e">
        <f ca="1">IF('Unit Mix &amp; Rents'!B48="No", Validation!M184, Validation!L184)</f>
        <v>#N/A</v>
      </c>
    </row>
    <row r="185" spans="1:14" ht="15" customHeight="1">
      <c r="A185" s="52" t="str">
        <f>IF(AND(E185&gt;1,E185&lt;5), F185, "")</f>
        <v/>
      </c>
      <c r="B185" s="52">
        <f>ROW('Unit Mix &amp; Rents'!A56)</f>
        <v>56</v>
      </c>
      <c r="C185" s="52"/>
      <c r="D185" s="52"/>
      <c r="E185" s="52">
        <f>SUMPRODUCT(ISTEXT('Unit Mix &amp; Rents'!A56:E56) + ISNUMBER('Unit Mix &amp; Rents'!A56:E56))</f>
        <v>0</v>
      </c>
      <c r="F185" t="str">
        <f>CONCATENATE("Please enter all values in unit breakdown in worksheet row ", B183, ".", CHAR(10))</f>
        <v xml:space="preserve">Please enter all values in unit breakdown in worksheet row 55.
</v>
      </c>
      <c r="G185" s="9" t="str">
        <f t="shared" ca="1" si="158"/>
        <v xml:space="preserve">Enter a value for 'Total Number of Units' in cell B3.
Enter a value for 'Do Rents Include Utilities' in cell B4.
Please enter at least one row of the Rental Income Table beginning on worksheet row 4.
</v>
      </c>
    </row>
    <row r="186" spans="1:14" ht="15" customHeight="1">
      <c r="A186" t="str">
        <f ca="1">IF(AND(IF(ISNA(K186), FALSE, K186), E186 &gt; IF(ISNA(N186), E186, L186)), F186, "")</f>
        <v/>
      </c>
      <c r="B186">
        <f>B185</f>
        <v>56</v>
      </c>
      <c r="D186" s="52" t="str">
        <f>ADDRESS(B186,5,4)</f>
        <v>E56</v>
      </c>
      <c r="E186" t="str">
        <f ca="1">IF(ISBLANK( INDIRECT($F$135 &amp; D186)),"", INDIRECT($F$135 &amp; D186))</f>
        <v/>
      </c>
      <c r="F186" t="e">
        <f ca="1">CONCATENATE("Actual Rent per Unit exceeds maximum allowed rent of ", DOLLAR(N186), " in worksheet row ", B186, ".", CHAR(10))</f>
        <v>#N/A</v>
      </c>
      <c r="G186" s="9" t="str">
        <f t="shared" ca="1" si="158"/>
        <v xml:space="preserve">Enter a value for 'Total Number of Units' in cell B3.
Enter a value for 'Do Rents Include Utilities' in cell B4.
Please enter at least one row of the Rental Income Table beginning on worksheet row 4.
</v>
      </c>
      <c r="H186" s="52">
        <f ca="1">INDIRECT($F$135 &amp; ADDRESS(B186,1,4))</f>
        <v>0</v>
      </c>
      <c r="I186" s="52">
        <f ca="1">INDIRECT($F$135 &amp; ADDRESS(B186,2,4))</f>
        <v>0</v>
      </c>
      <c r="J186" s="52" t="e">
        <f ca="1">INDEX(Unit_Mix_Type_Table[Bedrooms], MATCH(Validation!I186,Unit_Mix_Type_Table[Unit Mix Type],0), 1)</f>
        <v>#N/A</v>
      </c>
      <c r="K186" s="52" t="e">
        <f ca="1">INDEX(Unit_Mix_Type_Table[Has Max Rent], MATCH(Validation!I186,Unit_Mix_Type_Table[Unit Mix Type],0), 1)</f>
        <v>#N/A</v>
      </c>
      <c r="L186" s="52" t="e">
        <f ca="1">INDEX(Calculations!$A$77:$G$84, MATCH(H186, Calculations!$A$77:$A$84),MATCH(J186,Calculations!$A$77:$G$77))</f>
        <v>#N/A</v>
      </c>
      <c r="M186" s="52" t="e">
        <f ca="1">INDEX(Calculations!$A$89:$G$94, MATCH(H186, Calculations!$A$77:$A$84),MATCH(J186,Calculations!$A$77:$G$77))</f>
        <v>#N/A</v>
      </c>
      <c r="N186" s="52" t="e">
        <f ca="1">IF('Unit Mix &amp; Rents'!B50="No", Validation!M186, Validation!L186)</f>
        <v>#N/A</v>
      </c>
    </row>
    <row r="187" spans="1:14" ht="15" customHeight="1">
      <c r="A187" s="52" t="str">
        <f>IF(AND(E187&gt;1,E187&lt;5), F187, "")</f>
        <v/>
      </c>
      <c r="B187" s="52">
        <f>ROW('Unit Mix &amp; Rents'!A57)</f>
        <v>57</v>
      </c>
      <c r="C187" s="52"/>
      <c r="D187" s="52"/>
      <c r="E187" s="52">
        <f>SUMPRODUCT(ISTEXT('Unit Mix &amp; Rents'!A57:E57) + ISNUMBER('Unit Mix &amp; Rents'!A57:E57))</f>
        <v>0</v>
      </c>
      <c r="F187" t="str">
        <f>CONCATENATE("Please enter all values in unit breakdown in worksheet row ", B185, ".", CHAR(10))</f>
        <v xml:space="preserve">Please enter all values in unit breakdown in worksheet row 56.
</v>
      </c>
      <c r="G187" s="9" t="str">
        <f t="shared" ca="1" si="158"/>
        <v xml:space="preserve">Enter a value for 'Total Number of Units' in cell B3.
Enter a value for 'Do Rents Include Utilities' in cell B4.
Please enter at least one row of the Rental Income Table beginning on worksheet row 4.
</v>
      </c>
    </row>
    <row r="188" spans="1:14" ht="15" customHeight="1">
      <c r="A188" t="str">
        <f ca="1">IF(AND(IF(ISNA(K188), FALSE, K188), E188 &gt; IF(ISNA(N188), E188, L188)), F188, "")</f>
        <v/>
      </c>
      <c r="B188">
        <f>B187</f>
        <v>57</v>
      </c>
      <c r="D188" s="52" t="str">
        <f>ADDRESS(B188,5,4)</f>
        <v>E57</v>
      </c>
      <c r="E188" t="str">
        <f ca="1">IF(ISBLANK( INDIRECT($F$135 &amp; D188)),"", INDIRECT($F$135 &amp; D188))</f>
        <v/>
      </c>
      <c r="F188" t="e">
        <f ca="1">CONCATENATE("Actual Rent per Unit exceeds maximum allowed rent of ", DOLLAR(N188), " in worksheet row ", B188, ".", CHAR(10))</f>
        <v>#N/A</v>
      </c>
      <c r="G188" s="9" t="str">
        <f t="shared" ca="1" si="158"/>
        <v xml:space="preserve">Enter a value for 'Total Number of Units' in cell B3.
Enter a value for 'Do Rents Include Utilities' in cell B4.
Please enter at least one row of the Rental Income Table beginning on worksheet row 4.
</v>
      </c>
      <c r="H188" s="52">
        <f ca="1">INDIRECT($F$135 &amp; ADDRESS(B188,1,4))</f>
        <v>0</v>
      </c>
      <c r="I188" s="52">
        <f ca="1">INDIRECT($F$135 &amp; ADDRESS(B188,2,4))</f>
        <v>0</v>
      </c>
      <c r="J188" s="52" t="e">
        <f ca="1">INDEX(Unit_Mix_Type_Table[Bedrooms], MATCH(Validation!I188,Unit_Mix_Type_Table[Unit Mix Type],0), 1)</f>
        <v>#N/A</v>
      </c>
      <c r="K188" s="52" t="e">
        <f ca="1">INDEX(Unit_Mix_Type_Table[Has Max Rent], MATCH(Validation!I188,Unit_Mix_Type_Table[Unit Mix Type],0), 1)</f>
        <v>#N/A</v>
      </c>
      <c r="L188" s="52" t="e">
        <f ca="1">INDEX(Calculations!$A$77:$G$84, MATCH(H188, Calculations!$A$77:$A$84),MATCH(J188,Calculations!$A$77:$G$77))</f>
        <v>#N/A</v>
      </c>
      <c r="M188" s="52" t="e">
        <f ca="1">INDEX(Calculations!$A$89:$G$94, MATCH(H188, Calculations!$A$77:$A$84),MATCH(J188,Calculations!$A$77:$G$77))</f>
        <v>#N/A</v>
      </c>
      <c r="N188" s="52" t="e">
        <f ca="1">IF('Unit Mix &amp; Rents'!B52="No", Validation!M188, Validation!L188)</f>
        <v>#N/A</v>
      </c>
    </row>
    <row r="189" spans="1:14" ht="15" customHeight="1">
      <c r="A189" s="52" t="str">
        <f>IF(AND(E189&gt;1,E189&lt;5), F189, "")</f>
        <v/>
      </c>
      <c r="B189" s="52">
        <f>ROW('Unit Mix &amp; Rents'!A58)</f>
        <v>58</v>
      </c>
      <c r="C189" s="52"/>
      <c r="D189" s="52"/>
      <c r="E189" s="52">
        <f>SUMPRODUCT(ISTEXT('Unit Mix &amp; Rents'!A58:E58) + ISNUMBER('Unit Mix &amp; Rents'!A58:E58))</f>
        <v>0</v>
      </c>
      <c r="F189" t="str">
        <f>CONCATENATE("Please enter all values in unit breakdown in worksheet row ", B187, ".", CHAR(10))</f>
        <v xml:space="preserve">Please enter all values in unit breakdown in worksheet row 57.
</v>
      </c>
      <c r="G189" s="9" t="str">
        <f t="shared" ca="1" si="158"/>
        <v xml:space="preserve">Enter a value for 'Total Number of Units' in cell B3.
Enter a value for 'Do Rents Include Utilities' in cell B4.
Please enter at least one row of the Rental Income Table beginning on worksheet row 4.
</v>
      </c>
    </row>
    <row r="190" spans="1:14" ht="15" customHeight="1">
      <c r="A190" t="str">
        <f ca="1">IF(AND(IF(ISNA(K190), FALSE, K190), E190 &gt; IF(ISNA(N190), E190, L190)), F190, "")</f>
        <v/>
      </c>
      <c r="B190">
        <f>B189</f>
        <v>58</v>
      </c>
      <c r="D190" s="52" t="str">
        <f>ADDRESS(B190,5,4)</f>
        <v>E58</v>
      </c>
      <c r="E190" t="str">
        <f ca="1">IF(ISBLANK( INDIRECT($F$135 &amp; D190)),"", INDIRECT($F$135 &amp; D190))</f>
        <v/>
      </c>
      <c r="F190" t="e">
        <f ca="1">CONCATENATE("Actual Rent per Unit exceeds maximum allowed rent of ", DOLLAR(N190), " in worksheet row ", B190, ".", CHAR(10))</f>
        <v>#N/A</v>
      </c>
      <c r="G190" s="9" t="str">
        <f t="shared" ca="1" si="158"/>
        <v xml:space="preserve">Enter a value for 'Total Number of Units' in cell B3.
Enter a value for 'Do Rents Include Utilities' in cell B4.
Please enter at least one row of the Rental Income Table beginning on worksheet row 4.
</v>
      </c>
      <c r="H190" s="52">
        <f ca="1">INDIRECT($F$135 &amp; ADDRESS(B190,1,4))</f>
        <v>0</v>
      </c>
      <c r="I190" s="52">
        <f ca="1">INDIRECT($F$135 &amp; ADDRESS(B190,2,4))</f>
        <v>0</v>
      </c>
      <c r="J190" s="52" t="e">
        <f ca="1">INDEX(Unit_Mix_Type_Table[Bedrooms], MATCH(Validation!I190,Unit_Mix_Type_Table[Unit Mix Type],0), 1)</f>
        <v>#N/A</v>
      </c>
      <c r="K190" s="52" t="e">
        <f ca="1">INDEX(Unit_Mix_Type_Table[Has Max Rent], MATCH(Validation!I190,Unit_Mix_Type_Table[Unit Mix Type],0), 1)</f>
        <v>#N/A</v>
      </c>
      <c r="L190" s="52" t="e">
        <f ca="1">INDEX(Calculations!$A$77:$G$84, MATCH(H190, Calculations!$A$77:$A$84),MATCH(J190,Calculations!$A$77:$G$77))</f>
        <v>#N/A</v>
      </c>
      <c r="M190" s="52" t="e">
        <f ca="1">INDEX(Calculations!$A$89:$G$94, MATCH(H190, Calculations!$A$77:$A$84),MATCH(J190,Calculations!$A$77:$G$77))</f>
        <v>#N/A</v>
      </c>
      <c r="N190" s="52" t="e">
        <f ca="1">IF('Unit Mix &amp; Rents'!B54="No", Validation!M190, Validation!L190)</f>
        <v>#N/A</v>
      </c>
    </row>
    <row r="191" spans="1:14" ht="15" customHeight="1">
      <c r="A191" s="52" t="str">
        <f>IF(AND(E191&gt;1,E191&lt;5), F191, "")</f>
        <v/>
      </c>
      <c r="B191" s="52">
        <f>ROW('Unit Mix &amp; Rents'!A59)</f>
        <v>59</v>
      </c>
      <c r="C191" s="52"/>
      <c r="D191" s="52"/>
      <c r="E191" s="52">
        <f>SUMPRODUCT(ISTEXT('Unit Mix &amp; Rents'!A59:E59) + ISNUMBER('Unit Mix &amp; Rents'!A59:E59))</f>
        <v>0</v>
      </c>
      <c r="F191" t="str">
        <f>CONCATENATE("Please enter all values in unit breakdown in worksheet row ", B189, ".", CHAR(10))</f>
        <v xml:space="preserve">Please enter all values in unit breakdown in worksheet row 58.
</v>
      </c>
      <c r="G191" s="9" t="str">
        <f t="shared" ca="1" si="158"/>
        <v xml:space="preserve">Enter a value for 'Total Number of Units' in cell B3.
Enter a value for 'Do Rents Include Utilities' in cell B4.
Please enter at least one row of the Rental Income Table beginning on worksheet row 4.
</v>
      </c>
    </row>
    <row r="192" spans="1:14" ht="15" customHeight="1">
      <c r="A192" t="str">
        <f ca="1">IF(AND(IF(ISNA(K192), FALSE, K192), E192 &gt; IF(ISNA(N192), E192, L192)), F192, "")</f>
        <v/>
      </c>
      <c r="B192">
        <f>B191</f>
        <v>59</v>
      </c>
      <c r="D192" s="52" t="str">
        <f>ADDRESS(B192,5,4)</f>
        <v>E59</v>
      </c>
      <c r="E192" t="str">
        <f ca="1">IF(ISBLANK( INDIRECT($F$135 &amp; D192)),"", INDIRECT($F$135 &amp; D192))</f>
        <v/>
      </c>
      <c r="F192" t="e">
        <f ca="1">CONCATENATE("Actual Rent per Unit exceeds maximum allowed rent of ", DOLLAR(N192), " in worksheet row ", B192, ".", CHAR(10))</f>
        <v>#N/A</v>
      </c>
      <c r="G192" s="9" t="str">
        <f t="shared" ca="1" si="158"/>
        <v xml:space="preserve">Enter a value for 'Total Number of Units' in cell B3.
Enter a value for 'Do Rents Include Utilities' in cell B4.
Please enter at least one row of the Rental Income Table beginning on worksheet row 4.
</v>
      </c>
      <c r="H192" s="52">
        <f ca="1">INDIRECT($F$135 &amp; ADDRESS(B192,1,4))</f>
        <v>0</v>
      </c>
      <c r="I192" s="52">
        <f ca="1">INDIRECT($F$135 &amp; ADDRESS(B192,2,4))</f>
        <v>0</v>
      </c>
      <c r="J192" s="52" t="e">
        <f ca="1">INDEX(Unit_Mix_Type_Table[Bedrooms], MATCH(Validation!I192,Unit_Mix_Type_Table[Unit Mix Type],0), 1)</f>
        <v>#N/A</v>
      </c>
      <c r="K192" s="52" t="e">
        <f ca="1">INDEX(Unit_Mix_Type_Table[Has Max Rent], MATCH(Validation!I192,Unit_Mix_Type_Table[Unit Mix Type],0), 1)</f>
        <v>#N/A</v>
      </c>
      <c r="L192" s="52" t="e">
        <f ca="1">INDEX(Calculations!$A$77:$G$84, MATCH(H192, Calculations!$A$77:$A$84),MATCH(J192,Calculations!$A$77:$G$77))</f>
        <v>#N/A</v>
      </c>
      <c r="M192" s="52" t="e">
        <f ca="1">INDEX(Calculations!$A$89:$G$94, MATCH(H192, Calculations!$A$77:$A$84),MATCH(J192,Calculations!$A$77:$G$77))</f>
        <v>#N/A</v>
      </c>
      <c r="N192" s="52" t="e">
        <f ca="1">IF('Unit Mix &amp; Rents'!B56="No", Validation!M192, Validation!L192)</f>
        <v>#N/A</v>
      </c>
    </row>
    <row r="193" spans="1:14" ht="15" customHeight="1">
      <c r="A193" s="52" t="str">
        <f>IF(AND(E193&gt;1,E193&lt;5), F193, "")</f>
        <v/>
      </c>
      <c r="B193" s="52">
        <f>ROW('Unit Mix &amp; Rents'!A60)</f>
        <v>60</v>
      </c>
      <c r="C193" s="52"/>
      <c r="D193" s="52"/>
      <c r="E193" s="52">
        <f>SUMPRODUCT(ISTEXT('Unit Mix &amp; Rents'!A60:E60) + ISNUMBER('Unit Mix &amp; Rents'!A60:E60))</f>
        <v>0</v>
      </c>
      <c r="F193" t="str">
        <f>CONCATENATE("Please enter all values in unit breakdown in worksheet row ", B191, ".", CHAR(10))</f>
        <v xml:space="preserve">Please enter all values in unit breakdown in worksheet row 59.
</v>
      </c>
      <c r="G193" s="9" t="str">
        <f t="shared" ca="1" si="158"/>
        <v xml:space="preserve">Enter a value for 'Total Number of Units' in cell B3.
Enter a value for 'Do Rents Include Utilities' in cell B4.
Please enter at least one row of the Rental Income Table beginning on worksheet row 4.
</v>
      </c>
    </row>
    <row r="194" spans="1:14" ht="15" customHeight="1">
      <c r="A194" t="str">
        <f ca="1">IF(AND(IF(ISNA(K194), FALSE, K194), E194 &gt; IF(ISNA(N194), E194, L194)), F194, "")</f>
        <v/>
      </c>
      <c r="B194">
        <f>B193</f>
        <v>60</v>
      </c>
      <c r="D194" s="52" t="str">
        <f>ADDRESS(B194,5,4)</f>
        <v>E60</v>
      </c>
      <c r="E194" t="str">
        <f ca="1">IF(ISBLANK( INDIRECT($F$135 &amp; D194)),"", INDIRECT($F$135 &amp; D194))</f>
        <v/>
      </c>
      <c r="F194" t="e">
        <f ca="1">CONCATENATE("Actual Rent per Unit exceeds maximum allowed rent of ", DOLLAR(N194), " in worksheet row ", B194, ".", CHAR(10))</f>
        <v>#N/A</v>
      </c>
      <c r="G194" s="9" t="str">
        <f t="shared" ca="1" si="158"/>
        <v xml:space="preserve">Enter a value for 'Total Number of Units' in cell B3.
Enter a value for 'Do Rents Include Utilities' in cell B4.
Please enter at least one row of the Rental Income Table beginning on worksheet row 4.
</v>
      </c>
      <c r="H194" s="52">
        <f ca="1">INDIRECT($F$135 &amp; ADDRESS(B194,1,4))</f>
        <v>0</v>
      </c>
      <c r="I194" s="52">
        <f ca="1">INDIRECT($F$135 &amp; ADDRESS(B194,2,4))</f>
        <v>0</v>
      </c>
      <c r="J194" s="52" t="e">
        <f ca="1">INDEX(Unit_Mix_Type_Table[Bedrooms], MATCH(Validation!I194,Unit_Mix_Type_Table[Unit Mix Type],0), 1)</f>
        <v>#N/A</v>
      </c>
      <c r="K194" s="52" t="e">
        <f ca="1">INDEX(Unit_Mix_Type_Table[Has Max Rent], MATCH(Validation!I194,Unit_Mix_Type_Table[Unit Mix Type],0), 1)</f>
        <v>#N/A</v>
      </c>
      <c r="L194" s="52" t="e">
        <f ca="1">INDEX(Calculations!$A$77:$G$84, MATCH(H194, Calculations!$A$77:$A$84),MATCH(J194,Calculations!$A$77:$G$77))</f>
        <v>#N/A</v>
      </c>
      <c r="M194" s="52" t="e">
        <f ca="1">INDEX(Calculations!$A$89:$G$94, MATCH(H194, Calculations!$A$77:$A$84),MATCH(J194,Calculations!$A$77:$G$77))</f>
        <v>#N/A</v>
      </c>
      <c r="N194" s="52" t="e">
        <f ca="1">IF('Unit Mix &amp; Rents'!B58="No", Validation!M194, Validation!L194)</f>
        <v>#N/A</v>
      </c>
    </row>
    <row r="195" spans="1:14" ht="15" customHeight="1">
      <c r="A195" s="52" t="str">
        <f>IF(AND(E195&gt;1,E195&lt;5), F195, "")</f>
        <v/>
      </c>
      <c r="B195" s="52">
        <f>ROW('Unit Mix &amp; Rents'!A69)</f>
        <v>69</v>
      </c>
      <c r="C195" s="52"/>
      <c r="D195" s="52"/>
      <c r="E195" s="52">
        <f>SUMPRODUCT(ISTEXT('Unit Mix &amp; Rents'!A69:E69) + ISNUMBER('Unit Mix &amp; Rents'!A69:E69))</f>
        <v>0</v>
      </c>
      <c r="F195" t="str">
        <f>CONCATENATE("Please enter all values in unit breakdown in worksheet row ", B193, ".", CHAR(10))</f>
        <v xml:space="preserve">Please enter all values in unit breakdown in worksheet row 60.
</v>
      </c>
      <c r="G195" s="9" t="str">
        <f t="shared" ca="1" si="158"/>
        <v xml:space="preserve">Enter a value for 'Total Number of Units' in cell B3.
Enter a value for 'Do Rents Include Utilities' in cell B4.
Please enter at least one row of the Rental Income Table beginning on worksheet row 4.
</v>
      </c>
    </row>
    <row r="196" spans="1:14" ht="15" customHeight="1">
      <c r="A196" t="str">
        <f ca="1">IF(AND(IF(ISNA(K196), FALSE, K196), E196 &gt; IF(ISNA(N196), E196, L196)), F196, "")</f>
        <v/>
      </c>
      <c r="B196">
        <f>B195</f>
        <v>69</v>
      </c>
      <c r="D196" s="52" t="str">
        <f>ADDRESS(B196,5,4)</f>
        <v>E69</v>
      </c>
      <c r="E196" t="str">
        <f ca="1">IF(ISBLANK( INDIRECT($F$135 &amp; D196)),"", INDIRECT($F$135 &amp; D196))</f>
        <v/>
      </c>
      <c r="F196" t="e">
        <f ca="1">CONCATENATE("Actual Rent per Unit exceeds maximum allowed rent of ", DOLLAR(N196), " in worksheet row ", B196, ".", CHAR(10))</f>
        <v>#N/A</v>
      </c>
      <c r="G196" s="9" t="str">
        <f t="shared" ca="1" si="158"/>
        <v xml:space="preserve">Enter a value for 'Total Number of Units' in cell B3.
Enter a value for 'Do Rents Include Utilities' in cell B4.
Please enter at least one row of the Rental Income Table beginning on worksheet row 4.
</v>
      </c>
      <c r="H196" s="52">
        <f ca="1">INDIRECT($F$135 &amp; ADDRESS(B196,1,4))</f>
        <v>0</v>
      </c>
      <c r="I196" s="52">
        <f ca="1">INDIRECT($F$135 &amp; ADDRESS(B196,2,4))</f>
        <v>0</v>
      </c>
      <c r="J196" s="52" t="e">
        <f ca="1">INDEX(Unit_Mix_Type_Table[Bedrooms], MATCH(Validation!I196,Unit_Mix_Type_Table[Unit Mix Type],0), 1)</f>
        <v>#N/A</v>
      </c>
      <c r="K196" s="52" t="e">
        <f ca="1">INDEX(Unit_Mix_Type_Table[Has Max Rent], MATCH(Validation!I196,Unit_Mix_Type_Table[Unit Mix Type],0), 1)</f>
        <v>#N/A</v>
      </c>
      <c r="L196" s="52" t="e">
        <f ca="1">INDEX(Calculations!$A$77:$G$84, MATCH(H196, Calculations!$A$77:$A$84),MATCH(J196,Calculations!$A$77:$G$77))</f>
        <v>#N/A</v>
      </c>
      <c r="M196" s="52" t="e">
        <f ca="1">INDEX(Calculations!$A$89:$G$94, MATCH(H196, Calculations!$A$77:$A$84),MATCH(J196,Calculations!$A$77:$G$77))</f>
        <v>#N/A</v>
      </c>
      <c r="N196" s="52" t="e">
        <f ca="1">IF('Unit Mix &amp; Rents'!B60="No", Validation!M196, Validation!L196)</f>
        <v>#N/A</v>
      </c>
    </row>
    <row r="197" spans="1:14" ht="15" customHeight="1">
      <c r="A197" s="52" t="str">
        <f>IF(AND(E197&gt;1,E197&lt;5), F197, "")</f>
        <v/>
      </c>
      <c r="B197" s="52">
        <f>ROW('Unit Mix &amp; Rents'!A70)</f>
        <v>70</v>
      </c>
      <c r="C197" s="52"/>
      <c r="D197" s="52"/>
      <c r="E197" s="52">
        <f>SUMPRODUCT(ISTEXT('Unit Mix &amp; Rents'!A70:E70) + ISNUMBER('Unit Mix &amp; Rents'!A70:E70))</f>
        <v>0</v>
      </c>
      <c r="F197" t="str">
        <f>CONCATENATE("Please enter all values in unit breakdown in worksheet row ", B195, ".", CHAR(10))</f>
        <v xml:space="preserve">Please enter all values in unit breakdown in worksheet row 69.
</v>
      </c>
      <c r="G197" s="9" t="str">
        <f t="shared" ca="1" si="158"/>
        <v xml:space="preserve">Enter a value for 'Total Number of Units' in cell B3.
Enter a value for 'Do Rents Include Utilities' in cell B4.
Please enter at least one row of the Rental Income Table beginning on worksheet row 4.
</v>
      </c>
    </row>
    <row r="198" spans="1:14" ht="15" customHeight="1">
      <c r="A198" t="str">
        <f ca="1">IF(AND(IF(ISNA(K198), FALSE, K198), E198 &gt; IF(ISNA(N198), E198, L198)), F198, "")</f>
        <v/>
      </c>
      <c r="B198">
        <f>B197</f>
        <v>70</v>
      </c>
      <c r="D198" s="52" t="str">
        <f>ADDRESS(B198,5,4)</f>
        <v>E70</v>
      </c>
      <c r="E198" t="str">
        <f ca="1">IF(ISBLANK( INDIRECT($F$135 &amp; D198)),"", INDIRECT($F$135 &amp; D198))</f>
        <v/>
      </c>
      <c r="F198" t="e">
        <f ca="1">CONCATENATE("Actual Rent per Unit exceeds maximum allowed rent of ", DOLLAR(N198), " in worksheet row ", B198, ".", CHAR(10))</f>
        <v>#N/A</v>
      </c>
      <c r="G198" s="9" t="str">
        <f t="shared" ca="1" si="158"/>
        <v xml:space="preserve">Enter a value for 'Total Number of Units' in cell B3.
Enter a value for 'Do Rents Include Utilities' in cell B4.
Please enter at least one row of the Rental Income Table beginning on worksheet row 4.
</v>
      </c>
      <c r="H198" s="52">
        <f ca="1">INDIRECT($F$135 &amp; ADDRESS(B198,1,4))</f>
        <v>0</v>
      </c>
      <c r="I198" s="52">
        <f ca="1">INDIRECT($F$135 &amp; ADDRESS(B198,2,4))</f>
        <v>0</v>
      </c>
      <c r="J198" s="52" t="e">
        <f ca="1">INDEX(Unit_Mix_Type_Table[Bedrooms], MATCH(Validation!I198,Unit_Mix_Type_Table[Unit Mix Type],0), 1)</f>
        <v>#N/A</v>
      </c>
      <c r="K198" s="52" t="e">
        <f ca="1">INDEX(Unit_Mix_Type_Table[Has Max Rent], MATCH(Validation!I198,Unit_Mix_Type_Table[Unit Mix Type],0), 1)</f>
        <v>#N/A</v>
      </c>
      <c r="L198" s="52" t="e">
        <f ca="1">INDEX(Calculations!$A$77:$G$84, MATCH(H198, Calculations!$A$77:$A$84),MATCH(J198,Calculations!$A$77:$G$77))</f>
        <v>#N/A</v>
      </c>
      <c r="M198" s="52" t="e">
        <f ca="1">INDEX(Calculations!$A$89:$G$94, MATCH(H198, Calculations!$A$77:$A$84),MATCH(J198,Calculations!$A$77:$G$77))</f>
        <v>#N/A</v>
      </c>
      <c r="N198" s="52" t="e">
        <f ca="1">IF('Unit Mix &amp; Rents'!B62="No", Validation!M198, Validation!L198)</f>
        <v>#N/A</v>
      </c>
    </row>
    <row r="199" spans="1:14" ht="15" customHeight="1">
      <c r="A199" s="52" t="str">
        <f>IF(AND(E199&gt;1,E199&lt;5), F199, "")</f>
        <v/>
      </c>
      <c r="B199" s="52">
        <f>ROW('Unit Mix &amp; Rents'!A71)</f>
        <v>71</v>
      </c>
      <c r="C199" s="52"/>
      <c r="D199" s="52"/>
      <c r="E199" s="52">
        <f>SUMPRODUCT(ISTEXT('Unit Mix &amp; Rents'!A71:E71) + ISNUMBER('Unit Mix &amp; Rents'!A71:E71))</f>
        <v>0</v>
      </c>
      <c r="F199" t="str">
        <f>CONCATENATE("Please enter all values in unit breakdown in worksheet row ", B197, ".", CHAR(10))</f>
        <v xml:space="preserve">Please enter all values in unit breakdown in worksheet row 70.
</v>
      </c>
      <c r="G199" s="9" t="str">
        <f t="shared" ca="1" si="158"/>
        <v xml:space="preserve">Enter a value for 'Total Number of Units' in cell B3.
Enter a value for 'Do Rents Include Utilities' in cell B4.
Please enter at least one row of the Rental Income Table beginning on worksheet row 4.
</v>
      </c>
    </row>
    <row r="200" spans="1:14" ht="15" customHeight="1">
      <c r="A200" t="str">
        <f ca="1">IF(AND(IF(ISNA(K200), FALSE, K200), E200 &gt; IF(ISNA(N200), E200, L200)), F200, "")</f>
        <v/>
      </c>
      <c r="B200">
        <f>B199</f>
        <v>71</v>
      </c>
      <c r="D200" s="52" t="str">
        <f>ADDRESS(B200,5,4)</f>
        <v>E71</v>
      </c>
      <c r="E200" t="str">
        <f ca="1">IF(ISBLANK( INDIRECT($F$135 &amp; D200)),"", INDIRECT($F$135 &amp; D200))</f>
        <v/>
      </c>
      <c r="F200" t="e">
        <f ca="1">CONCATENATE("Actual Rent per Unit exceeds maximum allowed rent of ", DOLLAR(N200), " in worksheet row ", B200, ".", CHAR(10))</f>
        <v>#N/A</v>
      </c>
      <c r="G200" s="9" t="str">
        <f t="shared" ca="1" si="158"/>
        <v xml:space="preserve">Enter a value for 'Total Number of Units' in cell B3.
Enter a value for 'Do Rents Include Utilities' in cell B4.
Please enter at least one row of the Rental Income Table beginning on worksheet row 4.
</v>
      </c>
      <c r="H200" s="52">
        <f ca="1">INDIRECT($F$135 &amp; ADDRESS(B200,1,4))</f>
        <v>0</v>
      </c>
      <c r="I200" s="52">
        <f ca="1">INDIRECT($F$135 &amp; ADDRESS(B200,2,4))</f>
        <v>0</v>
      </c>
      <c r="J200" s="52" t="e">
        <f ca="1">INDEX(Unit_Mix_Type_Table[Bedrooms], MATCH(Validation!I200,Unit_Mix_Type_Table[Unit Mix Type],0), 1)</f>
        <v>#N/A</v>
      </c>
      <c r="K200" s="52" t="e">
        <f ca="1">INDEX(Unit_Mix_Type_Table[Has Max Rent], MATCH(Validation!I200,Unit_Mix_Type_Table[Unit Mix Type],0), 1)</f>
        <v>#N/A</v>
      </c>
      <c r="L200" s="52" t="e">
        <f ca="1">INDEX(Calculations!$A$77:$G$84, MATCH(H200, Calculations!$A$77:$A$84),MATCH(J200,Calculations!$A$77:$G$77))</f>
        <v>#N/A</v>
      </c>
      <c r="M200" s="52" t="e">
        <f ca="1">INDEX(Calculations!$A$89:$G$94, MATCH(H200, Calculations!$A$77:$A$84),MATCH(J200,Calculations!$A$77:$G$77))</f>
        <v>#N/A</v>
      </c>
      <c r="N200" s="52" t="e">
        <f ca="1">IF('Unit Mix &amp; Rents'!B64="No", Validation!M200, Validation!L200)</f>
        <v>#N/A</v>
      </c>
    </row>
    <row r="201" spans="1:14" ht="15" customHeight="1">
      <c r="A201" s="52" t="str">
        <f>IF(AND(E201&gt;1,E201&lt;5), F201, "")</f>
        <v/>
      </c>
      <c r="B201" s="52">
        <f>ROW('Unit Mix &amp; Rents'!A72)</f>
        <v>72</v>
      </c>
      <c r="C201" s="52"/>
      <c r="D201" s="52"/>
      <c r="E201" s="52">
        <f>SUMPRODUCT(ISTEXT('Unit Mix &amp; Rents'!A72:E72) + ISNUMBER('Unit Mix &amp; Rents'!A72:E72))</f>
        <v>0</v>
      </c>
      <c r="F201" t="str">
        <f>CONCATENATE("Please enter all values in unit breakdown in worksheet row ", B199, ".", CHAR(10))</f>
        <v xml:space="preserve">Please enter all values in unit breakdown in worksheet row 71.
</v>
      </c>
      <c r="G201" s="9" t="str">
        <f t="shared" ca="1" si="158"/>
        <v xml:space="preserve">Enter a value for 'Total Number of Units' in cell B3.
Enter a value for 'Do Rents Include Utilities' in cell B4.
Please enter at least one row of the Rental Income Table beginning on worksheet row 4.
</v>
      </c>
    </row>
    <row r="202" spans="1:14" ht="15" customHeight="1">
      <c r="A202" t="str">
        <f ca="1">IF(AND(IF(ISNA(K202), FALSE, K202), E202 &gt; IF(ISNA(N202), E202, L202)), F202, "")</f>
        <v/>
      </c>
      <c r="B202">
        <f>B201</f>
        <v>72</v>
      </c>
      <c r="D202" s="52" t="str">
        <f>ADDRESS(B202,5,4)</f>
        <v>E72</v>
      </c>
      <c r="E202" t="str">
        <f ca="1">IF(ISBLANK( INDIRECT($F$135 &amp; D202)),"", INDIRECT($F$135 &amp; D202))</f>
        <v/>
      </c>
      <c r="F202" t="e">
        <f ca="1">CONCATENATE("Actual Rent per Unit exceeds maximum allowed rent of ", DOLLAR(N202), " in worksheet row ", B202, ".", CHAR(10))</f>
        <v>#N/A</v>
      </c>
      <c r="G202" s="9" t="str">
        <f t="shared" ca="1" si="158"/>
        <v xml:space="preserve">Enter a value for 'Total Number of Units' in cell B3.
Enter a value for 'Do Rents Include Utilities' in cell B4.
Please enter at least one row of the Rental Income Table beginning on worksheet row 4.
</v>
      </c>
      <c r="H202" s="52">
        <f ca="1">INDIRECT($F$135 &amp; ADDRESS(B202,1,4))</f>
        <v>0</v>
      </c>
      <c r="I202" s="52">
        <f ca="1">INDIRECT($F$135 &amp; ADDRESS(B202,2,4))</f>
        <v>0</v>
      </c>
      <c r="J202" s="52" t="e">
        <f ca="1">INDEX(Unit_Mix_Type_Table[Bedrooms], MATCH(Validation!I202,Unit_Mix_Type_Table[Unit Mix Type],0), 1)</f>
        <v>#N/A</v>
      </c>
      <c r="K202" s="52" t="e">
        <f ca="1">INDEX(Unit_Mix_Type_Table[Has Max Rent], MATCH(Validation!I202,Unit_Mix_Type_Table[Unit Mix Type],0), 1)</f>
        <v>#N/A</v>
      </c>
      <c r="L202" s="52" t="e">
        <f ca="1">INDEX(Calculations!$A$77:$G$84, MATCH(H202, Calculations!$A$77:$A$84),MATCH(J202,Calculations!$A$77:$G$77))</f>
        <v>#N/A</v>
      </c>
      <c r="M202" s="52" t="e">
        <f ca="1">INDEX(Calculations!$A$89:$G$94, MATCH(H202, Calculations!$A$77:$A$84),MATCH(J202,Calculations!$A$77:$G$77))</f>
        <v>#N/A</v>
      </c>
      <c r="N202" s="52" t="e">
        <f ca="1">IF('Unit Mix &amp; Rents'!B66="No", Validation!M202, Validation!L202)</f>
        <v>#N/A</v>
      </c>
    </row>
    <row r="203" spans="1:14" ht="15" customHeight="1">
      <c r="A203" s="52" t="str">
        <f>IF(AND(E203&gt;1,E203&lt;5), F203, "")</f>
        <v/>
      </c>
      <c r="B203" s="52">
        <f>ROW('Unit Mix &amp; Rents'!A73)</f>
        <v>73</v>
      </c>
      <c r="C203" s="52"/>
      <c r="D203" s="52"/>
      <c r="E203" s="52">
        <f>SUMPRODUCT(ISTEXT('Unit Mix &amp; Rents'!A73:E73) + ISNUMBER('Unit Mix &amp; Rents'!A73:E73))</f>
        <v>0</v>
      </c>
      <c r="F203" t="str">
        <f>CONCATENATE("Please enter all values in unit breakdown in worksheet row ", B201, ".", CHAR(10))</f>
        <v xml:space="preserve">Please enter all values in unit breakdown in worksheet row 72.
</v>
      </c>
      <c r="G203" s="9" t="str">
        <f t="shared" ref="G203:G214" ca="1" si="159">OFFSET(G203, -1, 0) &amp; A203</f>
        <v xml:space="preserve">Enter a value for 'Total Number of Units' in cell B3.
Enter a value for 'Do Rents Include Utilities' in cell B4.
Please enter at least one row of the Rental Income Table beginning on worksheet row 4.
</v>
      </c>
    </row>
    <row r="204" spans="1:14" ht="15" customHeight="1">
      <c r="A204" t="str">
        <f ca="1">IF(AND(IF(ISNA(K204), FALSE, K204), E204 &gt; IF(ISNA(N204), E204, L204)), F204, "")</f>
        <v/>
      </c>
      <c r="B204">
        <f>B203</f>
        <v>73</v>
      </c>
      <c r="D204" s="52" t="str">
        <f>ADDRESS(B204,5,4)</f>
        <v>E73</v>
      </c>
      <c r="E204" t="str">
        <f ca="1">IF(ISBLANK( INDIRECT($F$135 &amp; D204)),"", INDIRECT($F$135 &amp; D204))</f>
        <v/>
      </c>
      <c r="F204" t="e">
        <f ca="1">CONCATENATE("Actual Rent per Unit exceeds maximum allowed rent of ", DOLLAR(N204), " in worksheet row ", B204, ".", CHAR(10))</f>
        <v>#N/A</v>
      </c>
      <c r="G204" s="9" t="str">
        <f t="shared" ca="1" si="159"/>
        <v xml:space="preserve">Enter a value for 'Total Number of Units' in cell B3.
Enter a value for 'Do Rents Include Utilities' in cell B4.
Please enter at least one row of the Rental Income Table beginning on worksheet row 4.
</v>
      </c>
      <c r="H204" s="52">
        <f ca="1">INDIRECT($F$135 &amp; ADDRESS(B204,1,4))</f>
        <v>0</v>
      </c>
      <c r="I204" s="52">
        <f ca="1">INDIRECT($F$135 &amp; ADDRESS(B204,2,4))</f>
        <v>0</v>
      </c>
      <c r="J204" s="52" t="e">
        <f ca="1">INDEX(Unit_Mix_Type_Table[Bedrooms], MATCH(Validation!I204,Unit_Mix_Type_Table[Unit Mix Type],0), 1)</f>
        <v>#N/A</v>
      </c>
      <c r="K204" s="52" t="e">
        <f ca="1">INDEX(Unit_Mix_Type_Table[Has Max Rent], MATCH(Validation!I204,Unit_Mix_Type_Table[Unit Mix Type],0), 1)</f>
        <v>#N/A</v>
      </c>
      <c r="L204" s="52" t="e">
        <f ca="1">INDEX(Calculations!$A$77:$G$84, MATCH(H204, Calculations!$A$77:$A$84),MATCH(J204,Calculations!$A$77:$G$77))</f>
        <v>#N/A</v>
      </c>
      <c r="M204" s="52" t="e">
        <f ca="1">INDEX(Calculations!$A$89:$G$94, MATCH(H204, Calculations!$A$77:$A$84),MATCH(J204,Calculations!$A$77:$G$77))</f>
        <v>#N/A</v>
      </c>
      <c r="N204" s="52" t="e">
        <f ca="1">IF('Unit Mix &amp; Rents'!B68="No", Validation!M204, Validation!L204)</f>
        <v>#N/A</v>
      </c>
    </row>
    <row r="205" spans="1:14" ht="15" customHeight="1">
      <c r="A205" s="52" t="str">
        <f>IF(AND(E205&gt;1,E205&lt;5), F205, "")</f>
        <v/>
      </c>
      <c r="B205" s="52">
        <f>ROW('Unit Mix &amp; Rents'!A74)</f>
        <v>74</v>
      </c>
      <c r="C205" s="52"/>
      <c r="D205" s="52"/>
      <c r="E205" s="52">
        <f>SUMPRODUCT(ISTEXT('Unit Mix &amp; Rents'!A74:E74) + ISNUMBER('Unit Mix &amp; Rents'!A74:E74))</f>
        <v>0</v>
      </c>
      <c r="F205" t="str">
        <f>CONCATENATE("Please enter all values in unit breakdown in worksheet row ", B203, ".", CHAR(10))</f>
        <v xml:space="preserve">Please enter all values in unit breakdown in worksheet row 73.
</v>
      </c>
      <c r="G205" s="9" t="str">
        <f t="shared" ca="1" si="159"/>
        <v xml:space="preserve">Enter a value for 'Total Number of Units' in cell B3.
Enter a value for 'Do Rents Include Utilities' in cell B4.
Please enter at least one row of the Rental Income Table beginning on worksheet row 4.
</v>
      </c>
    </row>
    <row r="206" spans="1:14" ht="15" customHeight="1">
      <c r="A206" t="str">
        <f ca="1">IF(AND(IF(ISNA(K206), FALSE, K206), E206 &gt; IF(ISNA(N206), E206, L206)), F206, "")</f>
        <v/>
      </c>
      <c r="B206">
        <f>B205</f>
        <v>74</v>
      </c>
      <c r="D206" s="52" t="str">
        <f>ADDRESS(B206,5,4)</f>
        <v>E74</v>
      </c>
      <c r="E206" t="str">
        <f ca="1">IF(ISBLANK( INDIRECT($F$135 &amp; D206)),"", INDIRECT($F$135 &amp; D206))</f>
        <v/>
      </c>
      <c r="F206" t="e">
        <f ca="1">CONCATENATE("Actual Rent per Unit exceeds maximum allowed rent of ", DOLLAR(N206), " in worksheet row ", B206, ".", CHAR(10))</f>
        <v>#N/A</v>
      </c>
      <c r="G206" s="9" t="str">
        <f t="shared" ca="1" si="159"/>
        <v xml:space="preserve">Enter a value for 'Total Number of Units' in cell B3.
Enter a value for 'Do Rents Include Utilities' in cell B4.
Please enter at least one row of the Rental Income Table beginning on worksheet row 4.
</v>
      </c>
      <c r="H206" s="52">
        <f ca="1">INDIRECT($F$135 &amp; ADDRESS(B206,1,4))</f>
        <v>0</v>
      </c>
      <c r="I206" s="52">
        <f ca="1">INDIRECT($F$135 &amp; ADDRESS(B206,2,4))</f>
        <v>0</v>
      </c>
      <c r="J206" s="52" t="e">
        <f ca="1">INDEX(Unit_Mix_Type_Table[Bedrooms], MATCH(Validation!I206,Unit_Mix_Type_Table[Unit Mix Type],0), 1)</f>
        <v>#N/A</v>
      </c>
      <c r="K206" s="52" t="e">
        <f ca="1">INDEX(Unit_Mix_Type_Table[Has Max Rent], MATCH(Validation!I206,Unit_Mix_Type_Table[Unit Mix Type],0), 1)</f>
        <v>#N/A</v>
      </c>
      <c r="L206" s="52" t="e">
        <f ca="1">INDEX(Calculations!$A$77:$G$84, MATCH(H206, Calculations!$A$77:$A$84),MATCH(J206,Calculations!$A$77:$G$77))</f>
        <v>#N/A</v>
      </c>
      <c r="M206" s="52" t="e">
        <f ca="1">INDEX(Calculations!$A$89:$G$94, MATCH(H206, Calculations!$A$77:$A$84),MATCH(J206,Calculations!$A$77:$G$77))</f>
        <v>#N/A</v>
      </c>
      <c r="N206" s="52" t="e">
        <f ca="1">IF('Unit Mix &amp; Rents'!B70="No", Validation!M206, Validation!L206)</f>
        <v>#N/A</v>
      </c>
    </row>
    <row r="207" spans="1:14" ht="15" customHeight="1">
      <c r="A207" s="52" t="str">
        <f>IF(AND(E207&gt;1,E207&lt;5), F207, "")</f>
        <v/>
      </c>
      <c r="B207" s="52">
        <f>ROW('Unit Mix &amp; Rents'!A75)</f>
        <v>75</v>
      </c>
      <c r="C207" s="52"/>
      <c r="D207" s="52"/>
      <c r="E207" s="52">
        <f>SUMPRODUCT(ISTEXT('Unit Mix &amp; Rents'!A75:E75) + ISNUMBER('Unit Mix &amp; Rents'!A75:E75))</f>
        <v>0</v>
      </c>
      <c r="F207" t="str">
        <f>CONCATENATE("Please enter all values in unit breakdown in worksheet row ", B205, ".", CHAR(10))</f>
        <v xml:space="preserve">Please enter all values in unit breakdown in worksheet row 74.
</v>
      </c>
      <c r="G207" s="9" t="str">
        <f t="shared" ca="1" si="159"/>
        <v xml:space="preserve">Enter a value for 'Total Number of Units' in cell B3.
Enter a value for 'Do Rents Include Utilities' in cell B4.
Please enter at least one row of the Rental Income Table beginning on worksheet row 4.
</v>
      </c>
    </row>
    <row r="208" spans="1:14" ht="15" customHeight="1">
      <c r="A208" t="str">
        <f ca="1">IF(AND(IF(ISNA(K208), FALSE, K208), E208 &gt; IF(ISNA(N208), E208, L208)), F208, "")</f>
        <v/>
      </c>
      <c r="B208">
        <f>B207</f>
        <v>75</v>
      </c>
      <c r="D208" s="52" t="str">
        <f>ADDRESS(B208,5,4)</f>
        <v>E75</v>
      </c>
      <c r="E208" t="str">
        <f ca="1">IF(ISBLANK( INDIRECT($F$135 &amp; D208)),"", INDIRECT($F$135 &amp; D208))</f>
        <v/>
      </c>
      <c r="F208" t="e">
        <f ca="1">CONCATENATE("Actual Rent per Unit exceeds maximum allowed rent of ", DOLLAR(N208), " in worksheet row ", B208, ".", CHAR(10))</f>
        <v>#N/A</v>
      </c>
      <c r="G208" s="9" t="str">
        <f t="shared" ca="1" si="159"/>
        <v xml:space="preserve">Enter a value for 'Total Number of Units' in cell B3.
Enter a value for 'Do Rents Include Utilities' in cell B4.
Please enter at least one row of the Rental Income Table beginning on worksheet row 4.
</v>
      </c>
      <c r="H208" s="52">
        <f ca="1">INDIRECT($F$135 &amp; ADDRESS(B208,1,4))</f>
        <v>0</v>
      </c>
      <c r="I208" s="52">
        <f ca="1">INDIRECT($F$135 &amp; ADDRESS(B208,2,4))</f>
        <v>0</v>
      </c>
      <c r="J208" s="52" t="e">
        <f ca="1">INDEX(Unit_Mix_Type_Table[Bedrooms], MATCH(Validation!I208,Unit_Mix_Type_Table[Unit Mix Type],0), 1)</f>
        <v>#N/A</v>
      </c>
      <c r="K208" s="52" t="e">
        <f ca="1">INDEX(Unit_Mix_Type_Table[Has Max Rent], MATCH(Validation!I208,Unit_Mix_Type_Table[Unit Mix Type],0), 1)</f>
        <v>#N/A</v>
      </c>
      <c r="L208" s="52" t="e">
        <f ca="1">INDEX(Calculations!$A$77:$G$84, MATCH(H208, Calculations!$A$77:$A$84),MATCH(J208,Calculations!$A$77:$G$77))</f>
        <v>#N/A</v>
      </c>
      <c r="M208" s="52" t="e">
        <f ca="1">INDEX(Calculations!$A$89:$G$94, MATCH(H208, Calculations!$A$77:$A$84),MATCH(J208,Calculations!$A$77:$G$77))</f>
        <v>#N/A</v>
      </c>
      <c r="N208" s="52" t="e">
        <f ca="1">IF('Unit Mix &amp; Rents'!B72="No", Validation!M208, Validation!L208)</f>
        <v>#N/A</v>
      </c>
    </row>
    <row r="209" spans="1:15" ht="15" customHeight="1">
      <c r="A209" s="52" t="str">
        <f>IF(AND(E209&gt;1,E209&lt;5), F209, "")</f>
        <v/>
      </c>
      <c r="B209" s="52">
        <f>ROW('Unit Mix &amp; Rents'!A76)</f>
        <v>76</v>
      </c>
      <c r="C209" s="52"/>
      <c r="D209" s="52"/>
      <c r="E209" s="52">
        <f>SUMPRODUCT(ISTEXT('Unit Mix &amp; Rents'!A76:E76) + ISNUMBER('Unit Mix &amp; Rents'!A76:E76))</f>
        <v>0</v>
      </c>
      <c r="F209" t="str">
        <f>CONCATENATE("Please enter all values in unit breakdown in worksheet row ", B207, ".", CHAR(10))</f>
        <v xml:space="preserve">Please enter all values in unit breakdown in worksheet row 75.
</v>
      </c>
      <c r="G209" s="9" t="str">
        <f t="shared" ca="1" si="159"/>
        <v xml:space="preserve">Enter a value for 'Total Number of Units' in cell B3.
Enter a value for 'Do Rents Include Utilities' in cell B4.
Please enter at least one row of the Rental Income Table beginning on worksheet row 4.
</v>
      </c>
    </row>
    <row r="210" spans="1:15" ht="15" customHeight="1">
      <c r="A210" t="str">
        <f ca="1">IF(AND(IF(ISNA(K210), FALSE, K210), E210 &gt; IF(ISNA(N210), E210, L210)), F210, "")</f>
        <v/>
      </c>
      <c r="B210">
        <f>B209</f>
        <v>76</v>
      </c>
      <c r="D210" s="52" t="str">
        <f>ADDRESS(B210,5,4)</f>
        <v>E76</v>
      </c>
      <c r="E210" t="str">
        <f ca="1">IF(ISBLANK( INDIRECT($F$135 &amp; D210)),"", INDIRECT($F$135 &amp; D210))</f>
        <v/>
      </c>
      <c r="F210" t="e">
        <f ca="1">CONCATENATE("Actual Rent per Unit exceeds maximum allowed rent of ", DOLLAR(N210), " in worksheet row ", B210, ".", CHAR(10))</f>
        <v>#N/A</v>
      </c>
      <c r="G210" s="9" t="str">
        <f t="shared" ca="1" si="159"/>
        <v xml:space="preserve">Enter a value for 'Total Number of Units' in cell B3.
Enter a value for 'Do Rents Include Utilities' in cell B4.
Please enter at least one row of the Rental Income Table beginning on worksheet row 4.
</v>
      </c>
      <c r="H210" s="52">
        <f ca="1">INDIRECT($F$135 &amp; ADDRESS(B210,1,4))</f>
        <v>0</v>
      </c>
      <c r="I210" s="52">
        <f ca="1">INDIRECT($F$135 &amp; ADDRESS(B210,2,4))</f>
        <v>0</v>
      </c>
      <c r="J210" s="52" t="e">
        <f ca="1">INDEX(Unit_Mix_Type_Table[Bedrooms], MATCH(Validation!I210,Unit_Mix_Type_Table[Unit Mix Type],0), 1)</f>
        <v>#N/A</v>
      </c>
      <c r="K210" s="52" t="e">
        <f ca="1">INDEX(Unit_Mix_Type_Table[Has Max Rent], MATCH(Validation!I210,Unit_Mix_Type_Table[Unit Mix Type],0), 1)</f>
        <v>#N/A</v>
      </c>
      <c r="L210" s="52" t="e">
        <f ca="1">INDEX(Calculations!$A$77:$G$84, MATCH(H210, Calculations!$A$77:$A$84),MATCH(J210,Calculations!$A$77:$G$77))</f>
        <v>#N/A</v>
      </c>
      <c r="M210" s="52" t="e">
        <f ca="1">INDEX(Calculations!$A$89:$G$94, MATCH(H210, Calculations!$A$77:$A$84),MATCH(J210,Calculations!$A$77:$G$77))</f>
        <v>#N/A</v>
      </c>
      <c r="N210" s="52" t="e">
        <f ca="1">IF('Unit Mix &amp; Rents'!B74="No", Validation!M210, Validation!L210)</f>
        <v>#N/A</v>
      </c>
    </row>
    <row r="211" spans="1:15" ht="15" customHeight="1">
      <c r="A211" s="16" t="str">
        <f>IF(E211,"",F211)</f>
        <v/>
      </c>
      <c r="B211" s="16"/>
      <c r="C211" s="16"/>
      <c r="D211" s="16"/>
      <c r="E211" s="16" t="b">
        <f>Calculations!L42</f>
        <v>1</v>
      </c>
      <c r="F211" s="16" t="str">
        <f>CONCATENATE("Income Averaging exceeds 60%.",CHAR(10))</f>
        <v xml:space="preserve">Income Averaging exceeds 60%.
</v>
      </c>
      <c r="G211" s="390" t="str">
        <f t="shared" ca="1" si="159"/>
        <v xml:space="preserve">Enter a value for 'Total Number of Units' in cell B3.
Enter a value for 'Do Rents Include Utilities' in cell B4.
Please enter at least one row of the Rental Income Table beginning on worksheet row 4.
</v>
      </c>
      <c r="H211" s="16"/>
      <c r="I211" s="16"/>
      <c r="J211" s="16"/>
      <c r="K211" s="16"/>
      <c r="L211" s="16"/>
      <c r="M211" s="16"/>
      <c r="N211" s="16"/>
      <c r="O211" t="s">
        <v>3667</v>
      </c>
    </row>
    <row r="212" spans="1:15" ht="15" customHeight="1">
      <c r="A212" t="str">
        <f>IF(E212,F212,"")</f>
        <v/>
      </c>
      <c r="E212" t="b">
        <f>IF(H212&gt;0,I212="Income Averaging")</f>
        <v>0</v>
      </c>
      <c r="F212" t="str">
        <f>CONCATENATE("Must be 100% Low Income when Income Averaging is selected on Scoring worksheet.",CHAR(10))</f>
        <v xml:space="preserve">Must be 100% Low Income when Income Averaging is selected on Scoring worksheet.
</v>
      </c>
      <c r="G212" s="9" t="str">
        <f t="shared" ca="1" si="159"/>
        <v xml:space="preserve">Enter a value for 'Total Number of Units' in cell B3.
Enter a value for 'Do Rents Include Utilities' in cell B4.
Please enter at least one row of the Rental Income Table beginning on worksheet row 4.
</v>
      </c>
      <c r="H212">
        <f>Calculations!H44</f>
        <v>0</v>
      </c>
      <c r="I212">
        <f>Scoring!B5</f>
        <v>0</v>
      </c>
    </row>
    <row r="213" spans="1:15" ht="15" customHeight="1">
      <c r="G213" s="9" t="str">
        <f t="shared" ca="1" si="159"/>
        <v xml:space="preserve">Enter a value for 'Total Number of Units' in cell B3.
Enter a value for 'Do Rents Include Utilities' in cell B4.
Please enter at least one row of the Rental Income Table beginning on worksheet row 4.
</v>
      </c>
    </row>
    <row r="214" spans="1:15" ht="15" customHeight="1">
      <c r="G214" s="9" t="str">
        <f t="shared" ca="1" si="159"/>
        <v xml:space="preserve">Enter a value for 'Total Number of Units' in cell B3.
Enter a value for 'Do Rents Include Utilities' in cell B4.
Please enter at least one row of the Rental Income Table beginning on worksheet row 4.
</v>
      </c>
    </row>
    <row r="215" spans="1:15" ht="15" customHeight="1">
      <c r="A215" s="55" t="s">
        <v>3668</v>
      </c>
      <c r="B215" s="53"/>
      <c r="C215" s="53"/>
      <c r="D215" s="53"/>
      <c r="E215" s="53"/>
      <c r="F215" s="53"/>
      <c r="G215" s="56" t="str">
        <f ca="1">OFFSET(G215, -1, 0)</f>
        <v xml:space="preserve">Enter a value for 'Total Number of Units' in cell B3.
Enter a value for 'Do Rents Include Utilities' in cell B4.
Please enter at least one row of the Rental Income Table beginning on worksheet row 4.
</v>
      </c>
    </row>
    <row r="216" spans="1:15" ht="15" customHeight="1">
      <c r="F216" s="9"/>
    </row>
    <row r="217" spans="1:15" ht="15" customHeight="1">
      <c r="F217" s="9"/>
    </row>
    <row r="218" spans="1:15" ht="15" customHeight="1">
      <c r="A218" s="22" t="s">
        <v>3669</v>
      </c>
      <c r="F218" s="49" t="s">
        <v>3670</v>
      </c>
    </row>
    <row r="219" spans="1:15" ht="15" customHeight="1">
      <c r="A219" s="53" t="s">
        <v>3652</v>
      </c>
      <c r="B219" s="53" t="s">
        <v>3653</v>
      </c>
      <c r="C219" s="53" t="s">
        <v>3654</v>
      </c>
      <c r="D219" s="53" t="s">
        <v>3655</v>
      </c>
      <c r="E219" s="53" t="s">
        <v>3656</v>
      </c>
      <c r="F219" s="53" t="s">
        <v>3657</v>
      </c>
      <c r="G219" s="54" t="s">
        <v>3658</v>
      </c>
    </row>
    <row r="220" spans="1:15" ht="15" customHeight="1">
      <c r="A220" t="str">
        <f t="shared" ref="A220:A232" ca="1" si="160">IF(E220="",F220, "")</f>
        <v xml:space="preserve">Enter a value for 'Threshold' in cell B5.
</v>
      </c>
      <c r="B220">
        <f>ROW(Scoring!A5)</f>
        <v>5</v>
      </c>
      <c r="C220" t="str">
        <f ca="1">INDIRECT($F$218 &amp; ADDRESS(B220, 1,4  ))</f>
        <v>Threshold</v>
      </c>
      <c r="D220" t="str">
        <f t="shared" ref="D220:D232" si="161">ADDRESS(B220, 2,4  )</f>
        <v>B5</v>
      </c>
      <c r="E220" t="str">
        <f t="shared" ref="E220:E232" ca="1" si="162">IF(ISBLANK( INDIRECT($F$218 &amp; D220)),"", INDIRECT($F$218 &amp; D220))</f>
        <v/>
      </c>
      <c r="F220" t="str">
        <f ca="1">CONCATENATE("Enter a value for '", C220, "' in cell ", D220, ".", CHAR(10))</f>
        <v xml:space="preserve">Enter a value for 'Threshold' in cell B5.
</v>
      </c>
      <c r="G220" s="9" t="str">
        <f ca="1">A220</f>
        <v xml:space="preserve">Enter a value for 'Threshold' in cell B5.
</v>
      </c>
    </row>
    <row r="221" spans="1:15" ht="15" customHeight="1">
      <c r="A221" t="str">
        <f t="shared" ca="1" si="160"/>
        <v xml:space="preserve">Enter a value for 'Very, Very Low-Income Targeting' in cell B8.
</v>
      </c>
      <c r="B221">
        <f>ROW(Scoring!A8)</f>
        <v>8</v>
      </c>
      <c r="C221" t="str">
        <f ca="1">INDIRECT($F$218 &amp; ADDRESS(B221, 1,4  ))</f>
        <v>Very, Very Low-Income Targeting</v>
      </c>
      <c r="D221" t="str">
        <f t="shared" si="161"/>
        <v>B8</v>
      </c>
      <c r="E221" t="str">
        <f t="shared" ca="1" si="162"/>
        <v/>
      </c>
      <c r="F221" t="str">
        <f ca="1">CONCATENATE("Enter a value for '", C221, "' in cell ", D221, ".", CHAR(10))</f>
        <v xml:space="preserve">Enter a value for 'Very, Very Low-Income Targeting' in cell B8.
</v>
      </c>
      <c r="G221" s="9" t="str">
        <f t="shared" ref="G221:G234" ca="1" si="163">OFFSET(G221, -1, 0) &amp; A221</f>
        <v xml:space="preserve">Enter a value for 'Threshold' in cell B5.
Enter a value for 'Very, Very Low-Income Targeting' in cell B8.
</v>
      </c>
    </row>
    <row r="222" spans="1:15" ht="15" customHeight="1">
      <c r="A222" t="str">
        <f t="shared" ca="1" si="160"/>
        <v xml:space="preserve">Enter a value for 'Extended Low-Income Use' in cell B11.
</v>
      </c>
      <c r="B222">
        <f>ROW(Scoring!A11)</f>
        <v>11</v>
      </c>
      <c r="C222" t="str">
        <f ca="1">INDIRECT($F$218 &amp; ADDRESS(B222, 1,4  ))</f>
        <v>Extended Low-Income Use</v>
      </c>
      <c r="D222" t="str">
        <f t="shared" si="161"/>
        <v>B11</v>
      </c>
      <c r="E222" t="str">
        <f t="shared" ca="1" si="162"/>
        <v/>
      </c>
      <c r="F222" t="str">
        <f ca="1">CONCATENATE("Enter a value for '", C222, "' in cell ", D222, ".", CHAR(10))</f>
        <v xml:space="preserve">Enter a value for 'Extended Low-Income Use' in cell B11.
</v>
      </c>
      <c r="G222" s="9" t="str">
        <f t="shared" ca="1" si="163"/>
        <v xml:space="preserve">Enter a value for 'Threshold' in cell B5.
Enter a value for 'Very, Very Low-Income Targeting' in cell B8.
Enter a value for 'Extended Low-Income Use' in cell B11.
</v>
      </c>
    </row>
    <row r="223" spans="1:15" ht="15" customHeight="1">
      <c r="A223" t="str">
        <f t="shared" ca="1" si="160"/>
        <v xml:space="preserve">Enter a value for 'Community Revitalization Plan' in cell B14.
</v>
      </c>
      <c r="B223">
        <f>ROW(Scoring!A14)</f>
        <v>14</v>
      </c>
      <c r="C223" s="52" t="s">
        <v>2011</v>
      </c>
      <c r="D223" t="str">
        <f t="shared" si="161"/>
        <v>B14</v>
      </c>
      <c r="E223" t="str">
        <f t="shared" ca="1" si="162"/>
        <v/>
      </c>
      <c r="F223" t="str">
        <f>CONCATENATE("Enter a value for '", C223, "' in cell ", D223, ".", CHAR(10))</f>
        <v xml:space="preserve">Enter a value for 'Community Revitalization Plan' in cell B14.
</v>
      </c>
      <c r="G223" s="9" t="str">
        <f t="shared" ca="1" si="163"/>
        <v xml:space="preserve">Enter a value for 'Threshold' in cell B5.
Enter a value for 'Very, Very Low-Income Targeting' in cell B8.
Enter a value for 'Extended Low-Income Use' in cell B11.
Enter a value for 'Community Revitalization Plan' in cell B14.
</v>
      </c>
    </row>
    <row r="224" spans="1:15" ht="15" customHeight="1">
      <c r="A224" t="str">
        <f t="shared" ca="1" si="160"/>
        <v xml:space="preserve">Select a value for 'Development Location' in cell B20.
</v>
      </c>
      <c r="B224">
        <f>ROW(Scoring!A20)</f>
        <v>20</v>
      </c>
      <c r="C224" s="52" t="s">
        <v>847</v>
      </c>
      <c r="D224" t="str">
        <f t="shared" si="161"/>
        <v>B20</v>
      </c>
      <c r="E224" t="str">
        <f t="shared" ca="1" si="162"/>
        <v/>
      </c>
      <c r="F224" t="str">
        <f t="shared" ref="F224:F232" si="164">CONCATENATE("Select a value for '", C224, "' in cell ", D224, ".", CHAR(10))</f>
        <v xml:space="preserve">Select a value for 'Development Location' in cell B20.
</v>
      </c>
      <c r="G224" s="9" t="str">
        <f t="shared" ca="1" si="163"/>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v>
      </c>
    </row>
    <row r="225" spans="1:11" ht="15" customHeight="1">
      <c r="A225" t="str">
        <f t="shared" ca="1" si="160"/>
        <v xml:space="preserve">Select a value for 'question 1 of Development Characteristics' in cell B24.
</v>
      </c>
      <c r="B225">
        <f>ROW(Scoring!A24)</f>
        <v>24</v>
      </c>
      <c r="C225" s="52" t="s">
        <v>3671</v>
      </c>
      <c r="D225" t="str">
        <f t="shared" si="161"/>
        <v>B24</v>
      </c>
      <c r="E225" t="str">
        <f t="shared" ca="1" si="162"/>
        <v/>
      </c>
      <c r="F225" t="str">
        <f t="shared" si="164"/>
        <v xml:space="preserve">Select a value for 'question 1 of Development Characteristics' in cell B24.
</v>
      </c>
      <c r="G225" s="9" t="str">
        <f t="shared" ca="1" si="163"/>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v>
      </c>
    </row>
    <row r="226" spans="1:11" ht="15" customHeight="1">
      <c r="A226" t="str">
        <f t="shared" ca="1" si="160"/>
        <v xml:space="preserve">Select a value for 'question 2 of Development Characteristics' in cell B25.
</v>
      </c>
      <c r="B226">
        <f>ROW(Scoring!A25)</f>
        <v>25</v>
      </c>
      <c r="C226" s="52" t="s">
        <v>3672</v>
      </c>
      <c r="D226" t="str">
        <f t="shared" si="161"/>
        <v>B25</v>
      </c>
      <c r="E226" t="str">
        <f t="shared" ca="1" si="162"/>
        <v/>
      </c>
      <c r="F226" t="str">
        <f t="shared" si="164"/>
        <v xml:space="preserve">Select a value for 'question 2 of Development Characteristics' in cell B25.
</v>
      </c>
      <c r="G226" s="9" t="str">
        <f t="shared" ca="1" si="163"/>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Select a value for 'question 2 of Development Characteristics' in cell B25.
</v>
      </c>
    </row>
    <row r="227" spans="1:11" ht="15" customHeight="1">
      <c r="A227" t="str">
        <f t="shared" ca="1" si="160"/>
        <v xml:space="preserve">Select a value for 'question 3 of Development Characteristics' in cell B26.
</v>
      </c>
      <c r="B227">
        <f>ROW(Scoring!A26)</f>
        <v>26</v>
      </c>
      <c r="C227" s="52" t="s">
        <v>3673</v>
      </c>
      <c r="D227" t="str">
        <f t="shared" si="161"/>
        <v>B26</v>
      </c>
      <c r="E227" t="str">
        <f t="shared" ca="1" si="162"/>
        <v/>
      </c>
      <c r="F227" t="str">
        <f t="shared" si="164"/>
        <v xml:space="preserve">Select a value for 'question 3 of Development Characteristics' in cell B26.
</v>
      </c>
      <c r="G227" s="9" t="str">
        <f t="shared" ca="1" si="163"/>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Select a value for 'question 2 of Development Characteristics' in cell B25.
Select a value for 'question 3 of Development Characteristics' in cell B26.
</v>
      </c>
    </row>
    <row r="228" spans="1:11" ht="15" customHeight="1">
      <c r="A228" t="str">
        <f t="shared" ca="1" si="160"/>
        <v xml:space="preserve">Select a value for 'question 4 of Development Characteristics' in cell B27.
</v>
      </c>
      <c r="B228">
        <f>ROW(Scoring!A27)</f>
        <v>27</v>
      </c>
      <c r="C228" s="52" t="s">
        <v>3674</v>
      </c>
      <c r="D228" t="str">
        <f t="shared" si="161"/>
        <v>B27</v>
      </c>
      <c r="E228" t="str">
        <f t="shared" ca="1" si="162"/>
        <v/>
      </c>
      <c r="F228" t="str">
        <f t="shared" si="164"/>
        <v xml:space="preserve">Select a value for 'question 4 of Development Characteristics' in cell B27.
</v>
      </c>
      <c r="G228" s="9" t="str">
        <f t="shared" ca="1" si="163"/>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Select a value for 'question 2 of Development Characteristics' in cell B25.
Select a value for 'question 3 of Development Characteristics' in cell B26.
Select a value for 'question 4 of Development Characteristics' in cell B27.
</v>
      </c>
    </row>
    <row r="229" spans="1:11" ht="15" customHeight="1">
      <c r="A229" t="str">
        <f t="shared" ca="1" si="160"/>
        <v xml:space="preserve">Select a value for 'question 5 of Development Characteristics' in cell B28.
</v>
      </c>
      <c r="B229">
        <f>ROW(Scoring!A28)</f>
        <v>28</v>
      </c>
      <c r="C229" s="52" t="s">
        <v>3675</v>
      </c>
      <c r="D229" t="str">
        <f t="shared" si="161"/>
        <v>B28</v>
      </c>
      <c r="E229" t="str">
        <f t="shared" ca="1" si="162"/>
        <v/>
      </c>
      <c r="F229" t="str">
        <f t="shared" si="164"/>
        <v xml:space="preserve">Select a value for 'question 5 of Development Characteristics' in cell B28.
</v>
      </c>
      <c r="G229" s="9" t="str">
        <f t="shared" ca="1" si="163"/>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Select a value for 'question 2 of Development Characteristics' in cell B25.
Select a value for 'question 3 of Development Characteristics' in cell B26.
Select a value for 'question 4 of Development Characteristics' in cell B27.
Select a value for 'question 5 of Development Characteristics' in cell B28.
</v>
      </c>
    </row>
    <row r="230" spans="1:11" ht="15" customHeight="1">
      <c r="A230" t="str">
        <f t="shared" ca="1" si="160"/>
        <v xml:space="preserve">Select a value for 'Applicant Characteristics' in cell B34.
</v>
      </c>
      <c r="B230">
        <f>ROW(Scoring!A34)</f>
        <v>34</v>
      </c>
      <c r="C230" s="52" t="s">
        <v>522</v>
      </c>
      <c r="D230" t="str">
        <f t="shared" si="161"/>
        <v>B34</v>
      </c>
      <c r="E230" t="str">
        <f t="shared" ca="1" si="162"/>
        <v/>
      </c>
      <c r="F230" t="str">
        <f t="shared" si="164"/>
        <v xml:space="preserve">Select a value for 'Applicant Characteristics' in cell B34.
</v>
      </c>
      <c r="G230" s="9" t="str">
        <f t="shared" ca="1" si="163"/>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Select a value for 'question 2 of Development Characteristics' in cell B25.
Select a value for 'question 3 of Development Characteristics' in cell B26.
Select a value for 'question 4 of Development Characteristics' in cell B27.
Select a value for 'question 5 of Development Characteristics' in cell B28.
Select a value for 'Applicant Characteristics' in cell B34.
</v>
      </c>
    </row>
    <row r="231" spans="1:11" ht="15" customHeight="1">
      <c r="A231" t="str">
        <f t="shared" ca="1" si="160"/>
        <v xml:space="preserve">Select a value for 'Projects serving Persons experiencing Homelessness or Special Populations. See Section 5.B.5 of the Allocation Plan for the definition and required documentation.' in cell B37.
</v>
      </c>
      <c r="B231">
        <f>ROW(Scoring!A37)</f>
        <v>37</v>
      </c>
      <c r="C231" t="str">
        <f ca="1">INDIRECT($F$218 &amp; ADDRESS(B231, 1,4  ))</f>
        <v>Projects serving Persons experiencing Homelessness or Special Populations. See Section 5.B.5 of the Allocation Plan for the definition and required documentation.</v>
      </c>
      <c r="D231" t="str">
        <f t="shared" si="161"/>
        <v>B37</v>
      </c>
      <c r="E231" t="str">
        <f t="shared" ca="1" si="162"/>
        <v/>
      </c>
      <c r="F231" t="str">
        <f t="shared" ca="1" si="164"/>
        <v xml:space="preserve">Select a value for 'Projects serving Persons experiencing Homelessness or Special Populations. See Section 5.B.5 of the Allocation Plan for the definition and required documentation.' in cell B37.
</v>
      </c>
      <c r="G231" s="9" t="str">
        <f t="shared" ca="1" si="163"/>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Select a value for 'question 2 of Development Characteristics' in cell B25.
Select a value for 'question 3 of Development Characteristics' in cell B26.
Select a value for 'question 4 of Development Characteristics' in cell B27.
Select a value for 'question 5 of Development Characteristics' in cell B28.
Select a value for 'Applicant Characteristics' in cell B34.
Select a value for 'Projects serving Persons experiencing Homelessness or Special Populations. See Section 5.B.5 of the Allocation Plan for the definition and required documentation.' in cell B37.
</v>
      </c>
    </row>
    <row r="232" spans="1:11" ht="15" customHeight="1">
      <c r="A232" t="str">
        <f t="shared" ca="1" si="160"/>
        <v xml:space="preserve">Select a value for 'Housing Authority Waitlist' in cell B40.
</v>
      </c>
      <c r="B232">
        <f>ROW(Scoring!A40)</f>
        <v>40</v>
      </c>
      <c r="C232" t="str">
        <f ca="1">INDIRECT($F$218 &amp; ADDRESS(B232, 1,4  ))</f>
        <v>Housing Authority Waitlist</v>
      </c>
      <c r="D232" t="str">
        <f t="shared" si="161"/>
        <v>B40</v>
      </c>
      <c r="E232" t="str">
        <f t="shared" ca="1" si="162"/>
        <v/>
      </c>
      <c r="F232" t="str">
        <f t="shared" ca="1" si="164"/>
        <v xml:space="preserve">Select a value for 'Housing Authority Waitlist' in cell B40.
</v>
      </c>
      <c r="G232" s="9" t="str">
        <f t="shared" ca="1" si="163"/>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Select a value for 'question 2 of Development Characteristics' in cell B25.
Select a value for 'question 3 of Development Characteristics' in cell B26.
Select a value for 'question 4 of Development Characteristics' in cell B27.
Select a value for 'question 5 of Development Characteristics' in cell B28.
Select a value for 'Applicant Characteristics' in cell B34.
Select a value for 'Projects serving Persons experiencing Homelessness or Special Populations. See Section 5.B.5 of the Allocation Plan for the definition and required documentation.' in cell B37.
Select a value for 'Housing Authority Waitlist' in cell B40.
</v>
      </c>
    </row>
    <row r="233" spans="1:11" ht="15" customHeight="1">
      <c r="A233" t="str">
        <f>IF(E233&lt;I233, F233, "")</f>
        <v xml:space="preserve">Minumum score of 95 has not been met.
</v>
      </c>
      <c r="B233" s="52"/>
      <c r="C233" s="52"/>
      <c r="D233" s="52"/>
      <c r="E233" s="52">
        <f>Calculations!$B324</f>
        <v>15</v>
      </c>
      <c r="F233" s="52" t="str">
        <f>CONCATENATE("Minumum score of ", I233, " has not been met.", CHAR(10))</f>
        <v xml:space="preserve">Minumum score of 95 has not been met.
</v>
      </c>
      <c r="G233" s="52" t="str">
        <f t="shared" ca="1" si="163"/>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Select a value for 'question 2 of Development Characteristics' in cell B25.
Select a value for 'question 3 of Development Characteristics' in cell B26.
Select a value for 'question 4 of Development Characteristics' in cell B27.
Select a value for 'question 5 of Development Characteristics' in cell B28.
Select a value for 'Applicant Characteristics' in cell B34.
Select a value for 'Projects serving Persons experiencing Homelessness or Special Populations. See Section 5.B.5 of the Allocation Plan for the definition and required documentation.' in cell B37.
Select a value for 'Housing Authority Waitlist' in cell B40.
Minumum score of 95 has not been met.
</v>
      </c>
      <c r="H233" s="52" t="s">
        <v>3676</v>
      </c>
      <c r="I233" s="52">
        <f>Calculations!$B$298</f>
        <v>95</v>
      </c>
    </row>
    <row r="234" spans="1:11" ht="15" customHeight="1">
      <c r="A234" t="str">
        <f ca="1">IF(E234,F234,"")</f>
        <v/>
      </c>
      <c r="E234" t="b">
        <f ca="1">AND(E221&lt;&gt;"",E221&lt;&gt;"None",E231&lt;&gt;"N/A")</f>
        <v>0</v>
      </c>
      <c r="F234" t="s">
        <v>3677</v>
      </c>
      <c r="G234" t="str">
        <f t="shared" ca="1" si="163"/>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Select a value for 'question 2 of Development Characteristics' in cell B25.
Select a value for 'question 3 of Development Characteristics' in cell B26.
Select a value for 'question 4 of Development Characteristics' in cell B27.
Select a value for 'question 5 of Development Characteristics' in cell B28.
Select a value for 'Applicant Characteristics' in cell B34.
Select a value for 'Projects serving Persons experiencing Homelessness or Special Populations. See Section 5.B.5 of the Allocation Plan for the definition and required documentation.' in cell B37.
Select a value for 'Housing Authority Waitlist' in cell B40.
Minumum score of 95 has not been met.
</v>
      </c>
    </row>
    <row r="235" spans="1:11" ht="15" customHeight="1">
      <c r="A235" t="str">
        <f>IF(E235,F235,"")</f>
        <v/>
      </c>
      <c r="E235" t="b">
        <f>AND(NOT(Calculations!M45), Calculations!L45&gt;0)</f>
        <v>0</v>
      </c>
      <c r="F235" t="str">
        <f>CONCATENATE("70% and 80% AMI units are not permitted unless Average Income is selected on Scoring worksheet.",CHAR(10))</f>
        <v xml:space="preserve">70% and 80% AMI units are not permitted unless Average Income is selected on Scoring worksheet.
</v>
      </c>
      <c r="G235" t="str">
        <f ca="1">OFFSET(G235, -1, 0) &amp; A235</f>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Select a value for 'question 2 of Development Characteristics' in cell B25.
Select a value for 'question 3 of Development Characteristics' in cell B26.
Select a value for 'question 4 of Development Characteristics' in cell B27.
Select a value for 'question 5 of Development Characteristics' in cell B28.
Select a value for 'Applicant Characteristics' in cell B34.
Select a value for 'Projects serving Persons experiencing Homelessness or Special Populations. See Section 5.B.5 of the Allocation Plan for the definition and required documentation.' in cell B37.
Select a value for 'Housing Authority Waitlist' in cell B40.
Minumum score of 95 has not been met.
</v>
      </c>
    </row>
    <row r="236" spans="1:11" ht="15" customHeight="1">
      <c r="A236" t="str">
        <f>IF(AND(H236,I236,NOT(OR(J236,K236))), F236,"")</f>
        <v/>
      </c>
      <c r="F236" t="str">
        <f>CONCATENATE("40% of the units must be less than or equal to 60% AMI OR 20% of the units MUST be less than or equal to 50% AMI when Average Income is selected on Scoring worksheet.",CHAR(10))</f>
        <v xml:space="preserve">40% of the units must be less than or equal to 60% AMI OR 20% of the units MUST be less than or equal to 50% AMI when Average Income is selected on Scoring worksheet.
</v>
      </c>
      <c r="G236" t="str">
        <f ca="1">OFFSET(G236, -1, 0) &amp; A236</f>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Select a value for 'question 2 of Development Characteristics' in cell B25.
Select a value for 'question 3 of Development Characteristics' in cell B26.
Select a value for 'question 4 of Development Characteristics' in cell B27.
Select a value for 'question 5 of Development Characteristics' in cell B28.
Select a value for 'Applicant Characteristics' in cell B34.
Select a value for 'Projects serving Persons experiencing Homelessness or Special Populations. See Section 5.B.5 of the Allocation Plan for the definition and required documentation.' in cell B37.
Select a value for 'Housing Authority Waitlist' in cell B40.
Minumum score of 95 has not been met.
</v>
      </c>
      <c r="H236" t="b">
        <f>Calculations!B5</f>
        <v>0</v>
      </c>
      <c r="I236" t="b">
        <f>Scoring!B5 = "Average Income"</f>
        <v>0</v>
      </c>
      <c r="J236" t="b">
        <f>IF(Calculations!H45 = 0, TRUE,  SUM(Calculations!H34:'Calculations'!H37)/Calculations!H45 &gt;= 0.2)</f>
        <v>1</v>
      </c>
      <c r="K236" t="b">
        <f>IF(Calculations!H45 = 0, TRUE,  SUM(Calculations!H34:'Calculations'!H38)/Calculations!H45 &gt;= 0.4)</f>
        <v>1</v>
      </c>
    </row>
    <row r="237" spans="1:11" ht="15" customHeight="1">
      <c r="A237" s="55" t="s">
        <v>3678</v>
      </c>
      <c r="B237" s="53"/>
      <c r="C237" s="53"/>
      <c r="D237" s="53"/>
      <c r="E237" s="53"/>
      <c r="F237" s="53"/>
      <c r="G237" s="56" t="str">
        <f ca="1">OFFSET(G237, -1, 0)</f>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Select a value for 'question 2 of Development Characteristics' in cell B25.
Select a value for 'question 3 of Development Characteristics' in cell B26.
Select a value for 'question 4 of Development Characteristics' in cell B27.
Select a value for 'question 5 of Development Characteristics' in cell B28.
Select a value for 'Applicant Characteristics' in cell B34.
Select a value for 'Projects serving Persons experiencing Homelessness or Special Populations. See Section 5.B.5 of the Allocation Plan for the definition and required documentation.' in cell B37.
Select a value for 'Housing Authority Waitlist' in cell B40.
Minumum score of 95 has not been met.
</v>
      </c>
    </row>
    <row r="238" spans="1:11" ht="15" customHeight="1"/>
    <row r="239" spans="1:11" ht="15" customHeight="1"/>
    <row r="240" spans="1:11" ht="15" customHeight="1">
      <c r="A240" s="22" t="s">
        <v>90</v>
      </c>
      <c r="F240" s="49" t="s">
        <v>3679</v>
      </c>
    </row>
    <row r="241" spans="1:8" ht="15" customHeight="1">
      <c r="A241" s="53" t="s">
        <v>3652</v>
      </c>
      <c r="B241" s="53" t="s">
        <v>3653</v>
      </c>
      <c r="C241" s="53" t="s">
        <v>3654</v>
      </c>
      <c r="D241" s="53" t="s">
        <v>3655</v>
      </c>
      <c r="E241" s="53" t="s">
        <v>3656</v>
      </c>
      <c r="F241" s="53" t="s">
        <v>3657</v>
      </c>
      <c r="G241" s="54" t="s">
        <v>3658</v>
      </c>
    </row>
    <row r="242" spans="1:8" ht="15" customHeight="1">
      <c r="A242" t="str">
        <f ca="1">IF(E242="",F242, "")</f>
        <v xml:space="preserve">Enter a value for 'Construction Loan Amount' in cell B3.
</v>
      </c>
      <c r="B242">
        <f>ROW(Financing!A3)</f>
        <v>3</v>
      </c>
      <c r="C242" t="str">
        <f ca="1">INDIRECT($F$240 &amp; ADDRESS(B242, 1,4  ))</f>
        <v>Construction Loan Amount</v>
      </c>
      <c r="D242" t="str">
        <f>ADDRESS(B242, 2,4  )</f>
        <v>B3</v>
      </c>
      <c r="E242" t="str">
        <f ca="1">IF(ISBLANK( INDIRECT($F$240 &amp; D242)),"", INDIRECT($F$240 &amp; D242))</f>
        <v/>
      </c>
      <c r="F242" t="str">
        <f ca="1">CONCATENATE("Enter a value for '", C242, "' in cell ", D242, ".", CHAR(10))</f>
        <v xml:space="preserve">Enter a value for 'Construction Loan Amount' in cell B3.
</v>
      </c>
      <c r="G242" s="9" t="str">
        <f ca="1">A242</f>
        <v xml:space="preserve">Enter a value for 'Construction Loan Amount' in cell B3.
</v>
      </c>
    </row>
    <row r="243" spans="1:8" ht="15" customHeight="1">
      <c r="A243" t="str">
        <f t="shared" ref="A243:A244" ca="1" si="165">IF(E243="",F243, "")</f>
        <v xml:space="preserve">Enter a value for 'Construction Loan Rate' in cell B4.
</v>
      </c>
      <c r="B243">
        <f>ROW(Financing!A4)</f>
        <v>4</v>
      </c>
      <c r="C243" t="str">
        <f ca="1">INDIRECT($F$240 &amp; ADDRESS(B243, 1,4  ))</f>
        <v>Construction Loan Rate</v>
      </c>
      <c r="D243" t="str">
        <f>ADDRESS(B243, 2,4  )</f>
        <v>B4</v>
      </c>
      <c r="E243" t="str">
        <f ca="1">IF(ISBLANK( INDIRECT($F$240 &amp; D243)),"", INDIRECT($F$240 &amp; D243))</f>
        <v/>
      </c>
      <c r="F243" t="str">
        <f ca="1">CONCATENATE("Enter a value for '", C243, "' in cell ", D243, ".", CHAR(10))</f>
        <v xml:space="preserve">Enter a value for 'Construction Loan Rate' in cell B4.
</v>
      </c>
      <c r="G243" s="9" t="str">
        <f t="shared" ref="G243:G288" ca="1" si="166">OFFSET(G243, -1, 0) &amp; A243</f>
        <v xml:space="preserve">Enter a value for 'Construction Loan Amount' in cell B3.
Enter a value for 'Construction Loan Rate' in cell B4.
</v>
      </c>
    </row>
    <row r="244" spans="1:8" ht="15" customHeight="1">
      <c r="A244" t="str">
        <f t="shared" ca="1" si="165"/>
        <v xml:space="preserve">Enter a value for 'Project Funded without Permanent Debt' in cell B5.
</v>
      </c>
      <c r="B244">
        <f>ROW(Financing!A5)</f>
        <v>5</v>
      </c>
      <c r="C244" t="str">
        <f ca="1">INDIRECT($F$240 &amp; ADDRESS(B244, 1,4  ))</f>
        <v>Project Funded without Permanent Debt</v>
      </c>
      <c r="D244" t="str">
        <f>ADDRESS(B244, 2,4  )</f>
        <v>B5</v>
      </c>
      <c r="E244" t="str">
        <f ca="1">IF(ISBLANK( INDIRECT($F$240 &amp; D244)),"", INDIRECT($F$240 &amp; D244))</f>
        <v/>
      </c>
      <c r="F244" t="str">
        <f ca="1">CONCATENATE("Enter a value for '", C244, "' in cell ", D244, ".", CHAR(10))</f>
        <v xml:space="preserve">Enter a value for 'Project Funded without Permanent Debt' in cell B5.
</v>
      </c>
      <c r="G244" s="9" t="str">
        <f t="shared" ref="G244" ca="1" si="167">OFFSET(G244, -1, 0) &amp; A244</f>
        <v xml:space="preserve">Enter a value for 'Construction Loan Amount' in cell B3.
Enter a value for 'Construction Loan Rate' in cell B4.
Enter a value for 'Project Funded without Permanent Debt' in cell B5.
</v>
      </c>
    </row>
    <row r="245" spans="1:8" ht="15" customHeight="1">
      <c r="A245" s="52" t="str">
        <f ca="1">IF(AND(E245&gt;0,E245&lt;6), F245, "")</f>
        <v/>
      </c>
      <c r="B245">
        <f>ROW(Financing!A9)</f>
        <v>9</v>
      </c>
      <c r="C245" s="52"/>
      <c r="D245" s="52" t="str">
        <f>CONCATENATE($F$240,ADDRESS(B245,1,4),":",ADDRESS(B245,6,4))</f>
        <v>'Financing'!A9:F9</v>
      </c>
      <c r="E245" s="52">
        <f t="shared" ref="E245:E261" ca="1" si="168">SUMPRODUCT(ISTEXT(INDIRECT(D245)) + ISNUMBER(INDIRECT(D245)))</f>
        <v>0</v>
      </c>
      <c r="F245" s="52" t="str">
        <f t="shared" ref="F245:F253" si="169">CONCATENATE("Please enter all values for the ", H245, " in worksheet row ", B245, ".", CHAR(10))</f>
        <v xml:space="preserve">Please enter all values for the Residential Loans (amortizing) in worksheet row 9.
</v>
      </c>
      <c r="G245" s="9" t="str">
        <f t="shared" ca="1" si="166"/>
        <v xml:space="preserve">Enter a value for 'Construction Loan Amount' in cell B3.
Enter a value for 'Construction Loan Rate' in cell B4.
Enter a value for 'Project Funded without Permanent Debt' in cell B5.
</v>
      </c>
      <c r="H245" t="str">
        <f>Financing!$A$7</f>
        <v>Residential Loans (amortizing)</v>
      </c>
    </row>
    <row r="246" spans="1:8" ht="15" customHeight="1">
      <c r="A246" s="52" t="str">
        <f ca="1">IF(AND(E246&gt;0,E246&lt;6), F246, "")</f>
        <v/>
      </c>
      <c r="B246">
        <f>ROW(Financing!A10)</f>
        <v>10</v>
      </c>
      <c r="C246" s="52"/>
      <c r="D246" s="52" t="str">
        <f>CONCATENATE($F$240,ADDRESS(B246,1,4),":",ADDRESS(B246,6,4))</f>
        <v>'Financing'!A10:F10</v>
      </c>
      <c r="E246" s="52">
        <f t="shared" ca="1" si="168"/>
        <v>0</v>
      </c>
      <c r="F246" s="52" t="str">
        <f t="shared" si="169"/>
        <v xml:space="preserve">Please enter all values for the Residential Loans (amortizing) in worksheet row 10.
</v>
      </c>
      <c r="G246" s="9" t="str">
        <f t="shared" ca="1" si="166"/>
        <v xml:space="preserve">Enter a value for 'Construction Loan Amount' in cell B3.
Enter a value for 'Construction Loan Rate' in cell B4.
Enter a value for 'Project Funded without Permanent Debt' in cell B5.
</v>
      </c>
      <c r="H246" t="str">
        <f>Financing!$A$7</f>
        <v>Residential Loans (amortizing)</v>
      </c>
    </row>
    <row r="247" spans="1:8" ht="15" customHeight="1">
      <c r="A247" s="52" t="str">
        <f ca="1">IF(AND(E247&gt;0,E247&lt;6), F247, "")</f>
        <v/>
      </c>
      <c r="B247">
        <f>ROW(Financing!A11)</f>
        <v>11</v>
      </c>
      <c r="C247" s="52"/>
      <c r="D247" s="52" t="str">
        <f>CONCATENATE($F$240,ADDRESS(B247,1,4),":",ADDRESS(B247,6,4))</f>
        <v>'Financing'!A11:F11</v>
      </c>
      <c r="E247" s="52">
        <f t="shared" ca="1" si="168"/>
        <v>0</v>
      </c>
      <c r="F247" s="52" t="str">
        <f t="shared" si="169"/>
        <v xml:space="preserve">Please enter all values for the Residential Loans (amortizing) in worksheet row 11.
</v>
      </c>
      <c r="G247" s="9" t="str">
        <f t="shared" ca="1" si="166"/>
        <v xml:space="preserve">Enter a value for 'Construction Loan Amount' in cell B3.
Enter a value for 'Construction Loan Rate' in cell B4.
Enter a value for 'Project Funded without Permanent Debt' in cell B5.
</v>
      </c>
      <c r="H247" t="str">
        <f>Financing!$A$7</f>
        <v>Residential Loans (amortizing)</v>
      </c>
    </row>
    <row r="248" spans="1:8" ht="15" customHeight="1">
      <c r="A248" s="52" t="str">
        <f t="shared" ref="A248:A253" ca="1" si="170">IF(AND(E248&gt;0,E248&lt;5), F248, "")</f>
        <v/>
      </c>
      <c r="B248">
        <f>ROW(Financing!A16)</f>
        <v>16</v>
      </c>
      <c r="C248" s="52"/>
      <c r="D248" s="52" t="str">
        <f t="shared" ref="D248:D253" si="171">CONCATENATE($F$240&amp;ADDRESS(B248,1,4)&amp;":"&amp;ADDRESS(B248,5,4))</f>
        <v>'Financing'!A16:E16</v>
      </c>
      <c r="E248" s="52">
        <f t="shared" ca="1" si="168"/>
        <v>0</v>
      </c>
      <c r="F248" s="52" t="str">
        <f t="shared" si="169"/>
        <v xml:space="preserve">Please enter all values for the Residential Loans (cash flow only) in worksheet row 16.
</v>
      </c>
      <c r="G248" s="9" t="str">
        <f t="shared" ca="1" si="166"/>
        <v xml:space="preserve">Enter a value for 'Construction Loan Amount' in cell B3.
Enter a value for 'Construction Loan Rate' in cell B4.
Enter a value for 'Project Funded without Permanent Debt' in cell B5.
</v>
      </c>
      <c r="H248" t="str">
        <f>Financing!$A$14</f>
        <v>Residential Loans (cash flow only)</v>
      </c>
    </row>
    <row r="249" spans="1:8" ht="15" customHeight="1">
      <c r="A249" s="52" t="str">
        <f t="shared" ca="1" si="170"/>
        <v/>
      </c>
      <c r="B249">
        <f>ROW(Financing!A17)</f>
        <v>17</v>
      </c>
      <c r="C249" s="52"/>
      <c r="D249" s="52" t="str">
        <f t="shared" si="171"/>
        <v>'Financing'!A17:E17</v>
      </c>
      <c r="E249" s="52">
        <f t="shared" ca="1" si="168"/>
        <v>0</v>
      </c>
      <c r="F249" s="52" t="str">
        <f t="shared" si="169"/>
        <v xml:space="preserve">Please enter all values for the Residential Loans (cash flow only) in worksheet row 17.
</v>
      </c>
      <c r="G249" s="9" t="str">
        <f t="shared" ca="1" si="166"/>
        <v xml:space="preserve">Enter a value for 'Construction Loan Amount' in cell B3.
Enter a value for 'Construction Loan Rate' in cell B4.
Enter a value for 'Project Funded without Permanent Debt' in cell B5.
</v>
      </c>
      <c r="H249" t="str">
        <f>Financing!$A$14</f>
        <v>Residential Loans (cash flow only)</v>
      </c>
    </row>
    <row r="250" spans="1:8" ht="15" customHeight="1">
      <c r="A250" s="52" t="str">
        <f t="shared" ca="1" si="170"/>
        <v/>
      </c>
      <c r="B250">
        <f>ROW(Financing!A18)</f>
        <v>18</v>
      </c>
      <c r="C250" s="52"/>
      <c r="D250" s="52" t="str">
        <f t="shared" si="171"/>
        <v>'Financing'!A18:E18</v>
      </c>
      <c r="E250" s="52">
        <f t="shared" ca="1" si="168"/>
        <v>0</v>
      </c>
      <c r="F250" s="52" t="str">
        <f t="shared" si="169"/>
        <v xml:space="preserve">Please enter all values for the Residential Loans (cash flow only) in worksheet row 18.
</v>
      </c>
      <c r="G250" s="9" t="str">
        <f t="shared" ca="1" si="166"/>
        <v xml:space="preserve">Enter a value for 'Construction Loan Amount' in cell B3.
Enter a value for 'Construction Loan Rate' in cell B4.
Enter a value for 'Project Funded without Permanent Debt' in cell B5.
</v>
      </c>
      <c r="H250" t="str">
        <f>Financing!$A$14</f>
        <v>Residential Loans (cash flow only)</v>
      </c>
    </row>
    <row r="251" spans="1:8" ht="15" customHeight="1">
      <c r="A251" s="52" t="str">
        <f t="shared" ca="1" si="170"/>
        <v/>
      </c>
      <c r="B251">
        <f>ROW(Financing!A19)</f>
        <v>19</v>
      </c>
      <c r="C251" s="52"/>
      <c r="D251" s="52" t="str">
        <f t="shared" si="171"/>
        <v>'Financing'!A19:E19</v>
      </c>
      <c r="E251" s="52">
        <f t="shared" ca="1" si="168"/>
        <v>0</v>
      </c>
      <c r="F251" s="52" t="str">
        <f t="shared" si="169"/>
        <v xml:space="preserve">Please enter all values for the Residential Loans (cash flow only) in worksheet row 19.
</v>
      </c>
      <c r="G251" s="9" t="str">
        <f t="shared" ca="1" si="166"/>
        <v xml:space="preserve">Enter a value for 'Construction Loan Amount' in cell B3.
Enter a value for 'Construction Loan Rate' in cell B4.
Enter a value for 'Project Funded without Permanent Debt' in cell B5.
</v>
      </c>
      <c r="H251" t="str">
        <f>Financing!$A$14</f>
        <v>Residential Loans (cash flow only)</v>
      </c>
    </row>
    <row r="252" spans="1:8" ht="15" customHeight="1">
      <c r="A252" s="52" t="str">
        <f t="shared" ca="1" si="170"/>
        <v/>
      </c>
      <c r="B252">
        <f>ROW(Financing!A20)</f>
        <v>20</v>
      </c>
      <c r="C252" s="52"/>
      <c r="D252" s="52" t="str">
        <f t="shared" si="171"/>
        <v>'Financing'!A20:E20</v>
      </c>
      <c r="E252" s="52">
        <f t="shared" ca="1" si="168"/>
        <v>0</v>
      </c>
      <c r="F252" s="52" t="str">
        <f t="shared" si="169"/>
        <v xml:space="preserve">Please enter all values for the Residential Loans (cash flow only) in worksheet row 20.
</v>
      </c>
      <c r="G252" s="9" t="str">
        <f t="shared" ca="1" si="166"/>
        <v xml:space="preserve">Enter a value for 'Construction Loan Amount' in cell B3.
Enter a value for 'Construction Loan Rate' in cell B4.
Enter a value for 'Project Funded without Permanent Debt' in cell B5.
</v>
      </c>
      <c r="H252" t="str">
        <f>Financing!$A$14</f>
        <v>Residential Loans (cash flow only)</v>
      </c>
    </row>
    <row r="253" spans="1:8" ht="15" customHeight="1">
      <c r="A253" s="52" t="str">
        <f t="shared" ca="1" si="170"/>
        <v/>
      </c>
      <c r="B253">
        <f>ROW(Financing!A21)</f>
        <v>21</v>
      </c>
      <c r="C253" s="52"/>
      <c r="D253" s="52" t="str">
        <f t="shared" si="171"/>
        <v>'Financing'!A21:E21</v>
      </c>
      <c r="E253" s="52">
        <f t="shared" ca="1" si="168"/>
        <v>0</v>
      </c>
      <c r="F253" s="52" t="str">
        <f t="shared" si="169"/>
        <v xml:space="preserve">Please enter all values for the Residential Loans (cash flow only) in worksheet row 21.
</v>
      </c>
      <c r="G253" s="9" t="str">
        <f t="shared" ca="1" si="166"/>
        <v xml:space="preserve">Enter a value for 'Construction Loan Amount' in cell B3.
Enter a value for 'Construction Loan Rate' in cell B4.
Enter a value for 'Project Funded without Permanent Debt' in cell B5.
</v>
      </c>
      <c r="H253" t="str">
        <f>Financing!$A$14</f>
        <v>Residential Loans (cash flow only)</v>
      </c>
    </row>
    <row r="254" spans="1:8" ht="15" customHeight="1">
      <c r="A254" s="52" t="str">
        <f t="shared" ref="A254:A261" ca="1" si="172">IF(AND(E254&gt;0,E254&lt;2), F254, "")</f>
        <v/>
      </c>
      <c r="B254">
        <f>ROW(Financing!A26)</f>
        <v>26</v>
      </c>
      <c r="C254" s="52"/>
      <c r="D254" s="52" t="str">
        <f t="shared" ref="D254:D261" si="173">CONCATENATE($F$240&amp;ADDRESS(B254,1,4)&amp;":"&amp;ADDRESS(B254,2,4))</f>
        <v>'Financing'!A26:B26</v>
      </c>
      <c r="E254" s="52">
        <f t="shared" ca="1" si="168"/>
        <v>0</v>
      </c>
      <c r="F254" s="52" t="str">
        <f t="shared" ref="F254:F261" si="174">CONCATENATE("Please enter all values for the residential grant in worksheet row ", B254, ".", CHAR(10))</f>
        <v xml:space="preserve">Please enter all values for the residential grant in worksheet row 26.
</v>
      </c>
      <c r="G254" s="9" t="str">
        <f t="shared" ca="1" si="166"/>
        <v xml:space="preserve">Enter a value for 'Construction Loan Amount' in cell B3.
Enter a value for 'Construction Loan Rate' in cell B4.
Enter a value for 'Project Funded without Permanent Debt' in cell B5.
</v>
      </c>
    </row>
    <row r="255" spans="1:8" ht="15" customHeight="1">
      <c r="A255" s="52" t="str">
        <f t="shared" ca="1" si="172"/>
        <v/>
      </c>
      <c r="B255">
        <f>ROW(Financing!A27)</f>
        <v>27</v>
      </c>
      <c r="C255" s="52"/>
      <c r="D255" s="52" t="str">
        <f t="shared" si="173"/>
        <v>'Financing'!A27:B27</v>
      </c>
      <c r="E255" s="52">
        <f t="shared" ca="1" si="168"/>
        <v>0</v>
      </c>
      <c r="F255" s="52" t="str">
        <f t="shared" si="174"/>
        <v xml:space="preserve">Please enter all values for the residential grant in worksheet row 27.
</v>
      </c>
      <c r="G255" s="9" t="str">
        <f t="shared" ca="1" si="166"/>
        <v xml:space="preserve">Enter a value for 'Construction Loan Amount' in cell B3.
Enter a value for 'Construction Loan Rate' in cell B4.
Enter a value for 'Project Funded without Permanent Debt' in cell B5.
</v>
      </c>
    </row>
    <row r="256" spans="1:8" ht="15" customHeight="1">
      <c r="A256" s="52" t="str">
        <f t="shared" ca="1" si="172"/>
        <v/>
      </c>
      <c r="B256">
        <f>ROW(Financing!A28)</f>
        <v>28</v>
      </c>
      <c r="C256" s="52"/>
      <c r="D256" s="52" t="str">
        <f t="shared" si="173"/>
        <v>'Financing'!A28:B28</v>
      </c>
      <c r="E256" s="52">
        <f t="shared" ca="1" si="168"/>
        <v>0</v>
      </c>
      <c r="F256" s="52" t="str">
        <f t="shared" si="174"/>
        <v xml:space="preserve">Please enter all values for the residential grant in worksheet row 28.
</v>
      </c>
      <c r="G256" s="9" t="str">
        <f t="shared" ca="1" si="166"/>
        <v xml:space="preserve">Enter a value for 'Construction Loan Amount' in cell B3.
Enter a value for 'Construction Loan Rate' in cell B4.
Enter a value for 'Project Funded without Permanent Debt' in cell B5.
</v>
      </c>
    </row>
    <row r="257" spans="1:8" ht="15" customHeight="1">
      <c r="A257" s="52" t="str">
        <f t="shared" ca="1" si="172"/>
        <v/>
      </c>
      <c r="B257">
        <f>ROW(Financing!A29)</f>
        <v>29</v>
      </c>
      <c r="C257" s="52"/>
      <c r="D257" s="52" t="str">
        <f t="shared" si="173"/>
        <v>'Financing'!A29:B29</v>
      </c>
      <c r="E257" s="52">
        <f t="shared" ca="1" si="168"/>
        <v>0</v>
      </c>
      <c r="F257" s="52" t="str">
        <f t="shared" si="174"/>
        <v xml:space="preserve">Please enter all values for the residential grant in worksheet row 29.
</v>
      </c>
      <c r="G257" s="9" t="str">
        <f t="shared" ca="1" si="166"/>
        <v xml:space="preserve">Enter a value for 'Construction Loan Amount' in cell B3.
Enter a value for 'Construction Loan Rate' in cell B4.
Enter a value for 'Project Funded without Permanent Debt' in cell B5.
</v>
      </c>
    </row>
    <row r="258" spans="1:8" ht="15" customHeight="1">
      <c r="A258" s="52" t="str">
        <f t="shared" ca="1" si="172"/>
        <v/>
      </c>
      <c r="B258">
        <f>ROW(Financing!A30)</f>
        <v>30</v>
      </c>
      <c r="C258" s="52"/>
      <c r="D258" s="52" t="str">
        <f t="shared" si="173"/>
        <v>'Financing'!A30:B30</v>
      </c>
      <c r="E258" s="52">
        <f t="shared" ca="1" si="168"/>
        <v>0</v>
      </c>
      <c r="F258" s="52" t="str">
        <f t="shared" si="174"/>
        <v xml:space="preserve">Please enter all values for the residential grant in worksheet row 30.
</v>
      </c>
      <c r="G258" s="9" t="str">
        <f t="shared" ca="1" si="166"/>
        <v xml:space="preserve">Enter a value for 'Construction Loan Amount' in cell B3.
Enter a value for 'Construction Loan Rate' in cell B4.
Enter a value for 'Project Funded without Permanent Debt' in cell B5.
</v>
      </c>
    </row>
    <row r="259" spans="1:8" ht="15" customHeight="1">
      <c r="A259" s="52" t="str">
        <f t="shared" ca="1" si="172"/>
        <v/>
      </c>
      <c r="B259">
        <f>ROW(Financing!A31)</f>
        <v>31</v>
      </c>
      <c r="C259" s="52"/>
      <c r="D259" s="52" t="str">
        <f t="shared" si="173"/>
        <v>'Financing'!A31:B31</v>
      </c>
      <c r="E259" s="52">
        <f t="shared" ca="1" si="168"/>
        <v>0</v>
      </c>
      <c r="F259" s="52" t="str">
        <f t="shared" si="174"/>
        <v xml:space="preserve">Please enter all values for the residential grant in worksheet row 31.
</v>
      </c>
      <c r="G259" s="9" t="str">
        <f t="shared" ca="1" si="166"/>
        <v xml:space="preserve">Enter a value for 'Construction Loan Amount' in cell B3.
Enter a value for 'Construction Loan Rate' in cell B4.
Enter a value for 'Project Funded without Permanent Debt' in cell B5.
</v>
      </c>
    </row>
    <row r="260" spans="1:8" ht="15" customHeight="1">
      <c r="A260" s="52" t="str">
        <f t="shared" ca="1" si="172"/>
        <v/>
      </c>
      <c r="B260">
        <f>ROW(Financing!A32)</f>
        <v>32</v>
      </c>
      <c r="C260" s="52"/>
      <c r="D260" s="52" t="str">
        <f t="shared" si="173"/>
        <v>'Financing'!A32:B32</v>
      </c>
      <c r="E260" s="52">
        <f t="shared" ca="1" si="168"/>
        <v>0</v>
      </c>
      <c r="F260" s="52" t="str">
        <f t="shared" si="174"/>
        <v xml:space="preserve">Please enter all values for the residential grant in worksheet row 32.
</v>
      </c>
      <c r="G260" s="9" t="str">
        <f t="shared" ca="1" si="166"/>
        <v xml:space="preserve">Enter a value for 'Construction Loan Amount' in cell B3.
Enter a value for 'Construction Loan Rate' in cell B4.
Enter a value for 'Project Funded without Permanent Debt' in cell B5.
</v>
      </c>
    </row>
    <row r="261" spans="1:8" ht="15" customHeight="1">
      <c r="A261" s="52" t="str">
        <f t="shared" ca="1" si="172"/>
        <v/>
      </c>
      <c r="B261">
        <f>ROW(Financing!A33)</f>
        <v>33</v>
      </c>
      <c r="C261" s="52"/>
      <c r="D261" s="52" t="str">
        <f t="shared" si="173"/>
        <v>'Financing'!A33:B33</v>
      </c>
      <c r="E261" s="52">
        <f t="shared" ca="1" si="168"/>
        <v>0</v>
      </c>
      <c r="F261" s="52" t="str">
        <f t="shared" si="174"/>
        <v xml:space="preserve">Please enter all values for the residential grant in worksheet row 33.
</v>
      </c>
      <c r="G261" s="9" t="str">
        <f t="shared" ca="1" si="166"/>
        <v xml:space="preserve">Enter a value for 'Construction Loan Amount' in cell B3.
Enter a value for 'Construction Loan Rate' in cell B4.
Enter a value for 'Project Funded without Permanent Debt' in cell B5.
</v>
      </c>
    </row>
    <row r="262" spans="1:8" ht="15" customHeight="1">
      <c r="A262" t="str">
        <f ca="1">IF(E262="",F262, "")</f>
        <v/>
      </c>
      <c r="B262">
        <f>ROW(Financing!A38)</f>
        <v>38</v>
      </c>
      <c r="C262" t="str">
        <f ca="1">INDIRECT($F$240 &amp; ADDRESS(B262, 1,4  ))</f>
        <v>Deferred Developer Fee</v>
      </c>
      <c r="D262" t="str">
        <f>ADDRESS(B262, 2,4  )</f>
        <v>B38</v>
      </c>
      <c r="E262">
        <f ca="1">IF(ISBLANK( INDIRECT($F$240 &amp; D262)),"", INDIRECT($F$240 &amp; D262))</f>
        <v>0</v>
      </c>
      <c r="F262" t="str">
        <f ca="1">CONCATENATE("Enter a value for '", C262, "' in cell ", D262, ".", CHAR(10))</f>
        <v xml:space="preserve">Enter a value for 'Deferred Developer Fee' in cell B38.
</v>
      </c>
      <c r="G262" s="9" t="str">
        <f t="shared" ca="1" si="166"/>
        <v xml:space="preserve">Enter a value for 'Construction Loan Amount' in cell B3.
Enter a value for 'Construction Loan Rate' in cell B4.
Enter a value for 'Project Funded without Permanent Debt' in cell B5.
</v>
      </c>
    </row>
    <row r="263" spans="1:8" ht="15" customHeight="1">
      <c r="A263" t="str">
        <f ca="1">IF(E263="",F263, "")</f>
        <v/>
      </c>
      <c r="B263">
        <f>ROW(Financing!A39)</f>
        <v>39</v>
      </c>
      <c r="C263" t="str">
        <f ca="1">INDIRECT($F$240 &amp; ADDRESS(B263, 1,4  ))</f>
        <v>Other Owner Equity</v>
      </c>
      <c r="D263" t="str">
        <f>ADDRESS(B263, 2,4  )</f>
        <v>B39</v>
      </c>
      <c r="E263">
        <f ca="1">IF(ISBLANK( INDIRECT($F$240 &amp; D263)),"", INDIRECT($F$240 &amp; D263))</f>
        <v>0</v>
      </c>
      <c r="F263" t="str">
        <f ca="1">CONCATENATE("Enter a value for '", C263, "' in cell ", D263, ".", CHAR(10))</f>
        <v xml:space="preserve">Enter a value for 'Other Owner Equity' in cell B39.
</v>
      </c>
      <c r="G263" s="9" t="str">
        <f t="shared" ca="1" si="166"/>
        <v xml:space="preserve">Enter a value for 'Construction Loan Amount' in cell B3.
Enter a value for 'Construction Loan Rate' in cell B4.
Enter a value for 'Project Funded without Permanent Debt' in cell B5.
</v>
      </c>
    </row>
    <row r="264" spans="1:8" ht="15" customHeight="1">
      <c r="A264" t="str">
        <f ca="1">IF(E264="",F264, "")</f>
        <v/>
      </c>
      <c r="B264">
        <f>ROW(Financing!A40)</f>
        <v>40</v>
      </c>
      <c r="C264" t="str">
        <f ca="1">INDIRECT($F$240 &amp; ADDRESS(B264, 1,4  ))</f>
        <v>Additional Amount to cover GAP</v>
      </c>
      <c r="D264" t="str">
        <f>ADDRESS(B264, 2,4  )</f>
        <v>B40</v>
      </c>
      <c r="E264">
        <f ca="1">IF(ISBLANK( INDIRECT($F$240 &amp; D264)),"", INDIRECT($F$240 &amp; D264))</f>
        <v>0</v>
      </c>
      <c r="F264" t="str">
        <f ca="1">CONCATENATE("Enter a value for '", C264, "' in cell ", D264, ".", CHAR(10))</f>
        <v xml:space="preserve">Enter a value for 'Additional Amount to cover GAP' in cell B40.
</v>
      </c>
      <c r="G264" s="9" t="str">
        <f t="shared" ca="1" si="166"/>
        <v xml:space="preserve">Enter a value for 'Construction Loan Amount' in cell B3.
Enter a value for 'Construction Loan Rate' in cell B4.
Enter a value for 'Project Funded without Permanent Debt' in cell B5.
</v>
      </c>
    </row>
    <row r="265" spans="1:8" ht="15" customHeight="1">
      <c r="A265" s="52" t="str">
        <f ca="1">IF(AND(E265&gt;0,E265&lt;5), F265, "")</f>
        <v/>
      </c>
      <c r="B265">
        <f>ROW(Financing!A46)</f>
        <v>46</v>
      </c>
      <c r="C265" s="52"/>
      <c r="D265" s="52" t="str">
        <f>CONCATENATE($F$240,ADDRESS(B265,1,4),":",ADDRESS(B265,5,4))</f>
        <v>'Financing'!A46:E46</v>
      </c>
      <c r="E265" s="52">
        <f t="shared" ref="E265:E281" ca="1" si="175">SUMPRODUCT(ISTEXT(INDIRECT(D265)) + ISNUMBER(INDIRECT(D265)))</f>
        <v>0</v>
      </c>
      <c r="F265" s="52" t="str">
        <f t="shared" ref="F265:F273" si="176">CONCATENATE("Please enter all values for the ", H265, " in worksheet row ", B265, ".", CHAR(10))</f>
        <v xml:space="preserve">Please enter all values for the Commercial Loans (amortizing) in worksheet row 46.
</v>
      </c>
      <c r="G265" s="9" t="str">
        <f t="shared" ca="1" si="166"/>
        <v xml:space="preserve">Enter a value for 'Construction Loan Amount' in cell B3.
Enter a value for 'Construction Loan Rate' in cell B4.
Enter a value for 'Project Funded without Permanent Debt' in cell B5.
</v>
      </c>
      <c r="H265" t="str">
        <f>Financing!$A$44</f>
        <v>Commercial Loans (amortizing)</v>
      </c>
    </row>
    <row r="266" spans="1:8" ht="15" customHeight="1">
      <c r="A266" s="52" t="str">
        <f ca="1">IF(AND(E266&gt;0,E266&lt;5), F266, "")</f>
        <v/>
      </c>
      <c r="B266">
        <f>ROW(Financing!A47)</f>
        <v>47</v>
      </c>
      <c r="C266" s="52"/>
      <c r="D266" s="52" t="str">
        <f>CONCATENATE($F$240,ADDRESS(B266,1,4),":",ADDRESS(B266,5,4))</f>
        <v>'Financing'!A47:E47</v>
      </c>
      <c r="E266" s="52">
        <f t="shared" ca="1" si="175"/>
        <v>0</v>
      </c>
      <c r="F266" s="52" t="str">
        <f t="shared" si="176"/>
        <v xml:space="preserve">Please enter all values for the Commercial Loans (amortizing) in worksheet row 47.
</v>
      </c>
      <c r="G266" s="9" t="str">
        <f t="shared" ca="1" si="166"/>
        <v xml:space="preserve">Enter a value for 'Construction Loan Amount' in cell B3.
Enter a value for 'Construction Loan Rate' in cell B4.
Enter a value for 'Project Funded without Permanent Debt' in cell B5.
</v>
      </c>
      <c r="H266" t="str">
        <f>Financing!$A$44</f>
        <v>Commercial Loans (amortizing)</v>
      </c>
    </row>
    <row r="267" spans="1:8" ht="15" customHeight="1">
      <c r="A267" s="52" t="str">
        <f ca="1">IF(AND(E267&gt;0,E267&lt;5), F267, "")</f>
        <v/>
      </c>
      <c r="B267">
        <f>ROW(Financing!A48)</f>
        <v>48</v>
      </c>
      <c r="C267" s="52"/>
      <c r="D267" s="52" t="str">
        <f>CONCATENATE($F$240,ADDRESS(B267,1,4),":",ADDRESS(B267,5,4))</f>
        <v>'Financing'!A48:E48</v>
      </c>
      <c r="E267" s="52">
        <f t="shared" ca="1" si="175"/>
        <v>0</v>
      </c>
      <c r="F267" s="52" t="str">
        <f t="shared" si="176"/>
        <v xml:space="preserve">Please enter all values for the Commercial Loans (amortizing) in worksheet row 48.
</v>
      </c>
      <c r="G267" s="9" t="str">
        <f t="shared" ca="1" si="166"/>
        <v xml:space="preserve">Enter a value for 'Construction Loan Amount' in cell B3.
Enter a value for 'Construction Loan Rate' in cell B4.
Enter a value for 'Project Funded without Permanent Debt' in cell B5.
</v>
      </c>
      <c r="H267" t="str">
        <f>Financing!$A$44</f>
        <v>Commercial Loans (amortizing)</v>
      </c>
    </row>
    <row r="268" spans="1:8" ht="15" customHeight="1">
      <c r="A268" s="52" t="str">
        <f t="shared" ref="A268:A273" ca="1" si="177">IF(AND(E268&gt;0,E268&lt;4), F268, "")</f>
        <v/>
      </c>
      <c r="B268">
        <f>ROW(Financing!A53)</f>
        <v>53</v>
      </c>
      <c r="C268" s="52"/>
      <c r="D268" s="52" t="str">
        <f t="shared" ref="D268:D273" si="178">CONCATENATE($F$240,ADDRESS(B268,1,4),":",ADDRESS(B268,4,4))</f>
        <v>'Financing'!A53:D53</v>
      </c>
      <c r="E268" s="52">
        <f t="shared" ca="1" si="175"/>
        <v>0</v>
      </c>
      <c r="F268" s="52" t="str">
        <f t="shared" si="176"/>
        <v xml:space="preserve">Please enter all values for the Commercial Loans (cash flow only) in worksheet row 53.
</v>
      </c>
      <c r="G268" s="9" t="str">
        <f t="shared" ca="1" si="166"/>
        <v xml:space="preserve">Enter a value for 'Construction Loan Amount' in cell B3.
Enter a value for 'Construction Loan Rate' in cell B4.
Enter a value for 'Project Funded without Permanent Debt' in cell B5.
</v>
      </c>
      <c r="H268" t="str">
        <f>Financing!$A$51</f>
        <v>Commercial Loans (cash flow only)</v>
      </c>
    </row>
    <row r="269" spans="1:8" ht="15" customHeight="1">
      <c r="A269" s="52" t="str">
        <f t="shared" ca="1" si="177"/>
        <v/>
      </c>
      <c r="B269">
        <f>ROW(Financing!A54)</f>
        <v>54</v>
      </c>
      <c r="C269" s="52"/>
      <c r="D269" s="52" t="str">
        <f t="shared" si="178"/>
        <v>'Financing'!A54:D54</v>
      </c>
      <c r="E269" s="52">
        <f t="shared" ca="1" si="175"/>
        <v>0</v>
      </c>
      <c r="F269" s="52" t="str">
        <f t="shared" si="176"/>
        <v xml:space="preserve">Please enter all values for the Commercial Loans (cash flow only) in worksheet row 54.
</v>
      </c>
      <c r="G269" s="9" t="str">
        <f t="shared" ca="1" si="166"/>
        <v xml:space="preserve">Enter a value for 'Construction Loan Amount' in cell B3.
Enter a value for 'Construction Loan Rate' in cell B4.
Enter a value for 'Project Funded without Permanent Debt' in cell B5.
</v>
      </c>
      <c r="H269" t="str">
        <f>Financing!$A$51</f>
        <v>Commercial Loans (cash flow only)</v>
      </c>
    </row>
    <row r="270" spans="1:8" ht="15" customHeight="1">
      <c r="A270" s="52" t="str">
        <f t="shared" ca="1" si="177"/>
        <v/>
      </c>
      <c r="B270">
        <f>ROW(Financing!A55)</f>
        <v>55</v>
      </c>
      <c r="C270" s="52"/>
      <c r="D270" s="52" t="str">
        <f t="shared" si="178"/>
        <v>'Financing'!A55:D55</v>
      </c>
      <c r="E270" s="52">
        <f t="shared" ca="1" si="175"/>
        <v>0</v>
      </c>
      <c r="F270" s="52" t="str">
        <f t="shared" si="176"/>
        <v xml:space="preserve">Please enter all values for the Commercial Loans (cash flow only) in worksheet row 55.
</v>
      </c>
      <c r="G270" s="9" t="str">
        <f t="shared" ca="1" si="166"/>
        <v xml:space="preserve">Enter a value for 'Construction Loan Amount' in cell B3.
Enter a value for 'Construction Loan Rate' in cell B4.
Enter a value for 'Project Funded without Permanent Debt' in cell B5.
</v>
      </c>
      <c r="H270" t="str">
        <f>Financing!$A$51</f>
        <v>Commercial Loans (cash flow only)</v>
      </c>
    </row>
    <row r="271" spans="1:8" ht="15" customHeight="1">
      <c r="A271" s="52" t="str">
        <f t="shared" ca="1" si="177"/>
        <v/>
      </c>
      <c r="B271">
        <f>ROW(Financing!A56)</f>
        <v>56</v>
      </c>
      <c r="C271" s="52"/>
      <c r="D271" s="52" t="str">
        <f t="shared" si="178"/>
        <v>'Financing'!A56:D56</v>
      </c>
      <c r="E271" s="52">
        <f t="shared" ca="1" si="175"/>
        <v>0</v>
      </c>
      <c r="F271" s="52" t="str">
        <f t="shared" si="176"/>
        <v xml:space="preserve">Please enter all values for the Commercial Loans (cash flow only) in worksheet row 56.
</v>
      </c>
      <c r="G271" s="9" t="str">
        <f t="shared" ca="1" si="166"/>
        <v xml:space="preserve">Enter a value for 'Construction Loan Amount' in cell B3.
Enter a value for 'Construction Loan Rate' in cell B4.
Enter a value for 'Project Funded without Permanent Debt' in cell B5.
</v>
      </c>
      <c r="H271" t="str">
        <f>Financing!$A$51</f>
        <v>Commercial Loans (cash flow only)</v>
      </c>
    </row>
    <row r="272" spans="1:8" ht="15" customHeight="1">
      <c r="A272" s="52" t="str">
        <f t="shared" ca="1" si="177"/>
        <v/>
      </c>
      <c r="B272">
        <f>ROW(Financing!A57)</f>
        <v>57</v>
      </c>
      <c r="C272" s="52"/>
      <c r="D272" s="52" t="str">
        <f t="shared" si="178"/>
        <v>'Financing'!A57:D57</v>
      </c>
      <c r="E272" s="52">
        <f t="shared" ca="1" si="175"/>
        <v>0</v>
      </c>
      <c r="F272" s="52" t="str">
        <f t="shared" si="176"/>
        <v xml:space="preserve">Please enter all values for the Commercial Loans (cash flow only) in worksheet row 57.
</v>
      </c>
      <c r="G272" s="9" t="str">
        <f t="shared" ca="1" si="166"/>
        <v xml:space="preserve">Enter a value for 'Construction Loan Amount' in cell B3.
Enter a value for 'Construction Loan Rate' in cell B4.
Enter a value for 'Project Funded without Permanent Debt' in cell B5.
</v>
      </c>
      <c r="H272" t="str">
        <f>Financing!$A$51</f>
        <v>Commercial Loans (cash flow only)</v>
      </c>
    </row>
    <row r="273" spans="1:8" ht="15" customHeight="1">
      <c r="A273" s="52" t="str">
        <f t="shared" ca="1" si="177"/>
        <v/>
      </c>
      <c r="B273">
        <f>ROW(Financing!A58)</f>
        <v>58</v>
      </c>
      <c r="C273" s="52"/>
      <c r="D273" s="52" t="str">
        <f t="shared" si="178"/>
        <v>'Financing'!A58:D58</v>
      </c>
      <c r="E273" s="52">
        <f t="shared" ca="1" si="175"/>
        <v>0</v>
      </c>
      <c r="F273" s="52" t="str">
        <f t="shared" si="176"/>
        <v xml:space="preserve">Please enter all values for the Commercial Loans (cash flow only) in worksheet row 58.
</v>
      </c>
      <c r="G273" s="9" t="str">
        <f t="shared" ca="1" si="166"/>
        <v xml:space="preserve">Enter a value for 'Construction Loan Amount' in cell B3.
Enter a value for 'Construction Loan Rate' in cell B4.
Enter a value for 'Project Funded without Permanent Debt' in cell B5.
</v>
      </c>
      <c r="H273" t="str">
        <f>Financing!$A$51</f>
        <v>Commercial Loans (cash flow only)</v>
      </c>
    </row>
    <row r="274" spans="1:8" ht="15" customHeight="1">
      <c r="A274" s="52" t="str">
        <f t="shared" ref="A274:A281" ca="1" si="179">IF(AND(E274&gt;0,E274&lt;2), F274, "")</f>
        <v/>
      </c>
      <c r="B274">
        <f>ROW(Financing!A63)</f>
        <v>63</v>
      </c>
      <c r="C274" s="52"/>
      <c r="D274" s="52" t="str">
        <f t="shared" ref="D274:D281" si="180">CONCATENATE($F$240&amp;ADDRESS(B274,1,4)&amp;":"&amp;ADDRESS(B274,2,4))</f>
        <v>'Financing'!A63:B63</v>
      </c>
      <c r="E274" s="52">
        <f t="shared" ca="1" si="175"/>
        <v>0</v>
      </c>
      <c r="F274" s="52" t="str">
        <f t="shared" ref="F274:F281" si="181">CONCATENATE("Please enter all values for the commercial grant in worksheet row ", B274, ".", CHAR(10))</f>
        <v xml:space="preserve">Please enter all values for the commercial grant in worksheet row 63.
</v>
      </c>
      <c r="G274" s="9" t="str">
        <f t="shared" ca="1" si="166"/>
        <v xml:space="preserve">Enter a value for 'Construction Loan Amount' in cell B3.
Enter a value for 'Construction Loan Rate' in cell B4.
Enter a value for 'Project Funded without Permanent Debt' in cell B5.
</v>
      </c>
    </row>
    <row r="275" spans="1:8" ht="15" customHeight="1">
      <c r="A275" s="52" t="str">
        <f t="shared" ca="1" si="179"/>
        <v/>
      </c>
      <c r="B275">
        <f>ROW(Financing!A64)</f>
        <v>64</v>
      </c>
      <c r="C275" s="52"/>
      <c r="D275" s="52" t="str">
        <f t="shared" si="180"/>
        <v>'Financing'!A64:B64</v>
      </c>
      <c r="E275" s="52">
        <f t="shared" ca="1" si="175"/>
        <v>0</v>
      </c>
      <c r="F275" s="52" t="str">
        <f t="shared" si="181"/>
        <v xml:space="preserve">Please enter all values for the commercial grant in worksheet row 64.
</v>
      </c>
      <c r="G275" s="9" t="str">
        <f t="shared" ca="1" si="166"/>
        <v xml:space="preserve">Enter a value for 'Construction Loan Amount' in cell B3.
Enter a value for 'Construction Loan Rate' in cell B4.
Enter a value for 'Project Funded without Permanent Debt' in cell B5.
</v>
      </c>
    </row>
    <row r="276" spans="1:8" ht="15" customHeight="1">
      <c r="A276" s="52" t="str">
        <f t="shared" ca="1" si="179"/>
        <v/>
      </c>
      <c r="B276">
        <f>ROW(Financing!A65)</f>
        <v>65</v>
      </c>
      <c r="C276" s="52"/>
      <c r="D276" s="52" t="str">
        <f t="shared" si="180"/>
        <v>'Financing'!A65:B65</v>
      </c>
      <c r="E276" s="52">
        <f t="shared" ca="1" si="175"/>
        <v>0</v>
      </c>
      <c r="F276" s="52" t="str">
        <f t="shared" si="181"/>
        <v xml:space="preserve">Please enter all values for the commercial grant in worksheet row 65.
</v>
      </c>
      <c r="G276" s="9" t="str">
        <f t="shared" ca="1" si="166"/>
        <v xml:space="preserve">Enter a value for 'Construction Loan Amount' in cell B3.
Enter a value for 'Construction Loan Rate' in cell B4.
Enter a value for 'Project Funded without Permanent Debt' in cell B5.
</v>
      </c>
    </row>
    <row r="277" spans="1:8" ht="15" customHeight="1">
      <c r="A277" s="52" t="str">
        <f t="shared" ca="1" si="179"/>
        <v/>
      </c>
      <c r="B277">
        <f>ROW(Financing!A66)</f>
        <v>66</v>
      </c>
      <c r="C277" s="52"/>
      <c r="D277" s="52" t="str">
        <f t="shared" si="180"/>
        <v>'Financing'!A66:B66</v>
      </c>
      <c r="E277" s="52">
        <f t="shared" ca="1" si="175"/>
        <v>0</v>
      </c>
      <c r="F277" s="52" t="str">
        <f t="shared" si="181"/>
        <v xml:space="preserve">Please enter all values for the commercial grant in worksheet row 66.
</v>
      </c>
      <c r="G277" s="9" t="str">
        <f t="shared" ca="1" si="166"/>
        <v xml:space="preserve">Enter a value for 'Construction Loan Amount' in cell B3.
Enter a value for 'Construction Loan Rate' in cell B4.
Enter a value for 'Project Funded without Permanent Debt' in cell B5.
</v>
      </c>
    </row>
    <row r="278" spans="1:8" ht="15" customHeight="1">
      <c r="A278" s="52" t="str">
        <f t="shared" ca="1" si="179"/>
        <v/>
      </c>
      <c r="B278">
        <f>ROW(Financing!A67)</f>
        <v>67</v>
      </c>
      <c r="C278" s="52"/>
      <c r="D278" s="52" t="str">
        <f t="shared" si="180"/>
        <v>'Financing'!A67:B67</v>
      </c>
      <c r="E278" s="52">
        <f t="shared" ca="1" si="175"/>
        <v>0</v>
      </c>
      <c r="F278" s="52" t="str">
        <f t="shared" si="181"/>
        <v xml:space="preserve">Please enter all values for the commercial grant in worksheet row 67.
</v>
      </c>
      <c r="G278" s="9" t="str">
        <f t="shared" ca="1" si="166"/>
        <v xml:space="preserve">Enter a value for 'Construction Loan Amount' in cell B3.
Enter a value for 'Construction Loan Rate' in cell B4.
Enter a value for 'Project Funded without Permanent Debt' in cell B5.
</v>
      </c>
    </row>
    <row r="279" spans="1:8" ht="15" customHeight="1">
      <c r="A279" s="52" t="str">
        <f t="shared" ca="1" si="179"/>
        <v/>
      </c>
      <c r="B279">
        <f>ROW(Financing!A68)</f>
        <v>68</v>
      </c>
      <c r="C279" s="52"/>
      <c r="D279" s="52" t="str">
        <f t="shared" si="180"/>
        <v>'Financing'!A68:B68</v>
      </c>
      <c r="E279" s="52">
        <f t="shared" ca="1" si="175"/>
        <v>0</v>
      </c>
      <c r="F279" s="52" t="str">
        <f t="shared" si="181"/>
        <v xml:space="preserve">Please enter all values for the commercial grant in worksheet row 68.
</v>
      </c>
      <c r="G279" s="9" t="str">
        <f t="shared" ca="1" si="166"/>
        <v xml:space="preserve">Enter a value for 'Construction Loan Amount' in cell B3.
Enter a value for 'Construction Loan Rate' in cell B4.
Enter a value for 'Project Funded without Permanent Debt' in cell B5.
</v>
      </c>
    </row>
    <row r="280" spans="1:8" ht="15" customHeight="1">
      <c r="A280" s="52" t="str">
        <f t="shared" ca="1" si="179"/>
        <v/>
      </c>
      <c r="B280">
        <f>ROW(Financing!A69)</f>
        <v>69</v>
      </c>
      <c r="C280" s="52"/>
      <c r="D280" s="52" t="str">
        <f t="shared" si="180"/>
        <v>'Financing'!A69:B69</v>
      </c>
      <c r="E280" s="52">
        <f t="shared" ca="1" si="175"/>
        <v>0</v>
      </c>
      <c r="F280" s="52" t="str">
        <f t="shared" si="181"/>
        <v xml:space="preserve">Please enter all values for the commercial grant in worksheet row 69.
</v>
      </c>
      <c r="G280" s="9" t="str">
        <f t="shared" ca="1" si="166"/>
        <v xml:space="preserve">Enter a value for 'Construction Loan Amount' in cell B3.
Enter a value for 'Construction Loan Rate' in cell B4.
Enter a value for 'Project Funded without Permanent Debt' in cell B5.
</v>
      </c>
    </row>
    <row r="281" spans="1:8" ht="15" customHeight="1">
      <c r="A281" s="52" t="str">
        <f t="shared" ca="1" si="179"/>
        <v/>
      </c>
      <c r="B281">
        <f>ROW(Financing!A70)</f>
        <v>70</v>
      </c>
      <c r="C281" s="52"/>
      <c r="D281" s="52" t="str">
        <f t="shared" si="180"/>
        <v>'Financing'!A70:B70</v>
      </c>
      <c r="E281" s="52">
        <f t="shared" ca="1" si="175"/>
        <v>0</v>
      </c>
      <c r="F281" s="52" t="str">
        <f t="shared" si="181"/>
        <v xml:space="preserve">Please enter all values for the commercial grant in worksheet row 70.
</v>
      </c>
      <c r="G281" s="9" t="str">
        <f t="shared" ca="1" si="166"/>
        <v xml:space="preserve">Enter a value for 'Construction Loan Amount' in cell B3.
Enter a value for 'Construction Loan Rate' in cell B4.
Enter a value for 'Project Funded without Permanent Debt' in cell B5.
</v>
      </c>
    </row>
    <row r="282" spans="1:8" ht="15" customHeight="1">
      <c r="A282" t="str">
        <f ca="1">IF(E282="",F282, "")</f>
        <v/>
      </c>
      <c r="B282">
        <f>ROW(Financing!A76)</f>
        <v>76</v>
      </c>
      <c r="C282" t="str">
        <f ca="1">INDIRECT($F$240 &amp; ADDRESS(B282, 1,4  ))</f>
        <v>Other Owner Equity</v>
      </c>
      <c r="D282" t="str">
        <f>ADDRESS(B282, 2,4  )</f>
        <v>B76</v>
      </c>
      <c r="E282">
        <f ca="1">IF(ISBLANK( INDIRECT($F$240 &amp; D282)),"", INDIRECT($F$240 &amp; D282))</f>
        <v>0</v>
      </c>
      <c r="F282" t="str">
        <f ca="1">CONCATENATE("Enter a value for '", C282, "' in cell ", D282, ".", CHAR(10))</f>
        <v xml:space="preserve">Enter a value for 'Other Owner Equity' in cell B76.
</v>
      </c>
      <c r="G282" s="9" t="str">
        <f t="shared" ca="1" si="166"/>
        <v xml:space="preserve">Enter a value for 'Construction Loan Amount' in cell B3.
Enter a value for 'Construction Loan Rate' in cell B4.
Enter a value for 'Project Funded without Permanent Debt' in cell B5.
</v>
      </c>
    </row>
    <row r="283" spans="1:8" ht="15" customHeight="1">
      <c r="A283" s="52" t="str">
        <f>IF(E283&lt;= 0, F283, "")</f>
        <v xml:space="preserve">Total residential financing must be greater than 0.
</v>
      </c>
      <c r="E283" s="65">
        <f>Calculations!B138 + Calculations!B139</f>
        <v>0</v>
      </c>
      <c r="F283" s="52" t="str">
        <f>CONCATENATE("Total residential financing must be greater than 0.", CHAR(10))</f>
        <v xml:space="preserve">Total residential financing must be greater than 0.
</v>
      </c>
      <c r="G283" s="9" t="str">
        <f t="shared" ca="1" si="166"/>
        <v xml:space="preserve">Enter a value for 'Construction Loan Amount' in cell B3.
Enter a value for 'Construction Loan Rate' in cell B4.
Enter a value for 'Project Funded without Permanent Debt' in cell B5.
Total residential financing must be greater than 0.
</v>
      </c>
      <c r="H283" t="s">
        <v>3680</v>
      </c>
    </row>
    <row r="284" spans="1:8" ht="15" customHeight="1">
      <c r="A284" s="52" t="str">
        <f>IF(AND(Calculations!B25, E284&lt;= 0), F284, "")</f>
        <v/>
      </c>
      <c r="E284" s="65">
        <f>Calculations!B166</f>
        <v>0</v>
      </c>
      <c r="F284" s="52" t="str">
        <f>CONCATENATE("Total commercial financing must be greater than 0 for projects that contain commercial square footage.",CHAR(10))</f>
        <v xml:space="preserve">Total commercial financing must be greater than 0 for projects that contain commercial square footage.
</v>
      </c>
      <c r="G284" s="9" t="str">
        <f t="shared" ca="1" si="166"/>
        <v xml:space="preserve">Enter a value for 'Construction Loan Amount' in cell B3.
Enter a value for 'Construction Loan Rate' in cell B4.
Enter a value for 'Project Funded without Permanent Debt' in cell B5.
Total residential financing must be greater than 0.
</v>
      </c>
      <c r="H284" t="s">
        <v>3681</v>
      </c>
    </row>
    <row r="285" spans="1:8" ht="15" customHeight="1">
      <c r="G285" s="9" t="str">
        <f t="shared" ca="1" si="166"/>
        <v xml:space="preserve">Enter a value for 'Construction Loan Amount' in cell B3.
Enter a value for 'Construction Loan Rate' in cell B4.
Enter a value for 'Project Funded without Permanent Debt' in cell B5.
Total residential financing must be greater than 0.
</v>
      </c>
      <c r="H285" s="64" t="s">
        <v>3682</v>
      </c>
    </row>
    <row r="286" spans="1:8" ht="15" customHeight="1">
      <c r="G286" s="9" t="str">
        <f t="shared" ca="1" si="166"/>
        <v xml:space="preserve">Enter a value for 'Construction Loan Amount' in cell B3.
Enter a value for 'Construction Loan Rate' in cell B4.
Enter a value for 'Project Funded without Permanent Debt' in cell B5.
Total residential financing must be greater than 0.
</v>
      </c>
      <c r="H286" s="64" t="s">
        <v>3683</v>
      </c>
    </row>
    <row r="287" spans="1:8" ht="15" customHeight="1">
      <c r="G287" s="9" t="str">
        <f t="shared" ca="1" si="166"/>
        <v xml:space="preserve">Enter a value for 'Construction Loan Amount' in cell B3.
Enter a value for 'Construction Loan Rate' in cell B4.
Enter a value for 'Project Funded without Permanent Debt' in cell B5.
Total residential financing must be greater than 0.
</v>
      </c>
    </row>
    <row r="288" spans="1:8" ht="15" customHeight="1">
      <c r="G288" s="9" t="str">
        <f t="shared" ca="1" si="166"/>
        <v xml:space="preserve">Enter a value for 'Construction Loan Amount' in cell B3.
Enter a value for 'Construction Loan Rate' in cell B4.
Enter a value for 'Project Funded without Permanent Debt' in cell B5.
Total residential financing must be greater than 0.
</v>
      </c>
    </row>
    <row r="289" spans="1:19" ht="15" customHeight="1">
      <c r="A289" s="55" t="s">
        <v>3684</v>
      </c>
      <c r="B289" s="53"/>
      <c r="C289" s="53"/>
      <c r="D289" s="53"/>
      <c r="E289" s="53"/>
      <c r="F289" s="53"/>
      <c r="G289" s="56" t="str">
        <f ca="1">OFFSET(G289, -1, 0)</f>
        <v xml:space="preserve">Enter a value for 'Construction Loan Amount' in cell B3.
Enter a value for 'Construction Loan Rate' in cell B4.
Enter a value for 'Project Funded without Permanent Debt' in cell B5.
Total residential financing must be greater than 0.
</v>
      </c>
    </row>
    <row r="290" spans="1:19" ht="15" customHeight="1"/>
    <row r="291" spans="1:19" ht="15" customHeight="1"/>
    <row r="292" spans="1:19" ht="15" customHeight="1">
      <c r="A292" s="22" t="s">
        <v>91</v>
      </c>
      <c r="F292" s="49" t="s">
        <v>3685</v>
      </c>
    </row>
    <row r="293" spans="1:19" ht="15" customHeight="1">
      <c r="A293" s="53" t="s">
        <v>3652</v>
      </c>
      <c r="B293" s="53" t="s">
        <v>3653</v>
      </c>
      <c r="C293" s="53" t="s">
        <v>3654</v>
      </c>
      <c r="D293" s="53" t="s">
        <v>3655</v>
      </c>
      <c r="E293" s="53" t="s">
        <v>3656</v>
      </c>
      <c r="F293" s="53" t="s">
        <v>3657</v>
      </c>
      <c r="G293" s="54" t="s">
        <v>3658</v>
      </c>
    </row>
    <row r="294" spans="1:19" ht="15" customHeight="1">
      <c r="A294" s="52" t="str">
        <f>IF(E294&gt;0, F294, "")</f>
        <v/>
      </c>
      <c r="B294" s="52" t="s">
        <v>3686</v>
      </c>
      <c r="C294" s="52"/>
      <c r="D294" s="52"/>
      <c r="E294" s="52">
        <f>IFERROR(SUM(J294:S294), 0)</f>
        <v>0</v>
      </c>
      <c r="F294" s="52" t="str">
        <f>CONCATENATE("Formulas are not permitted in the Amount column (column B).", CHAR(10))</f>
        <v xml:space="preserve">Formulas are not permitted in the Amount column (column B).
</v>
      </c>
      <c r="G294" s="9" t="str">
        <f>A294</f>
        <v/>
      </c>
      <c r="H294" s="315" t="s">
        <v>3687</v>
      </c>
      <c r="I294" s="315" t="s">
        <v>3688</v>
      </c>
      <c r="J294">
        <f>SUMPRODUCT(--_xlfn.ISFORMULA('Development Budget'!B4:B6))</f>
        <v>0</v>
      </c>
      <c r="K294">
        <f>SUMPRODUCT(--_xlfn.ISFORMULA('Development Budget'!B9:B10))</f>
        <v>0</v>
      </c>
      <c r="L294">
        <f>SUMPRODUCT(--_xlfn.ISFORMULA('Development Budget'!B13:B26))</f>
        <v>0</v>
      </c>
      <c r="M294">
        <f>SUMPRODUCT(--_xlfn.ISFORMULA('Development Budget'!B29:B42))</f>
        <v>0</v>
      </c>
      <c r="N294">
        <f>SUMPRODUCT(--_xlfn.ISFORMULA('Development Budget'!B45:B62))</f>
        <v>0</v>
      </c>
      <c r="O294">
        <f>SUMPRODUCT(--_xlfn.ISFORMULA('Development Budget'!B65:B78))</f>
        <v>0</v>
      </c>
      <c r="P294">
        <f>SUMPRODUCT(--_xlfn.ISFORMULA('Development Budget'!B81:B97))</f>
        <v>0</v>
      </c>
      <c r="Q294">
        <f>SUMPRODUCT(--_xlfn.ISFORMULA('Development Budget'!B100:B105))</f>
        <v>0</v>
      </c>
      <c r="R294">
        <f>SUMPRODUCT(--_xlfn.ISFORMULA('Development Budget'!B108:B114))</f>
        <v>0</v>
      </c>
      <c r="S294">
        <f>SUMPRODUCT(--_xlfn.ISFORMULA('Development Budget'!B117:B122))</f>
        <v>0</v>
      </c>
    </row>
    <row r="295" spans="1:19" ht="15" customHeight="1">
      <c r="A295" s="52" t="str">
        <f>IF(E295&gt;0, F295, "")</f>
        <v/>
      </c>
      <c r="B295" s="52" t="s">
        <v>3689</v>
      </c>
      <c r="C295" s="52"/>
      <c r="D295" s="52"/>
      <c r="E295" s="52">
        <f t="shared" ref="E295:E298" si="182">IFERROR(SUM(J295:S295), 0)</f>
        <v>0</v>
      </c>
      <c r="F295" s="52" t="str">
        <f>CONCATENATE("Formulas are not permitted in the 4% LIHTC Basis Calculation column (column C).", CHAR(10))</f>
        <v xml:space="preserve">Formulas are not permitted in the 4% LIHTC Basis Calculation column (column C).
</v>
      </c>
      <c r="G295" s="9" t="str">
        <f t="shared" ref="G295:G356" ca="1" si="183">OFFSET(G295, -1, 0) &amp; A295</f>
        <v/>
      </c>
      <c r="H295" s="9"/>
      <c r="I295" s="9"/>
      <c r="J295">
        <f>SUMPRODUCT(--_xlfn.ISFORMULA('Development Budget'!C4:C6))</f>
        <v>0</v>
      </c>
      <c r="K295">
        <f>SUMPRODUCT(--_xlfn.ISFORMULA('Development Budget'!C9:C10))</f>
        <v>0</v>
      </c>
      <c r="L295">
        <f>SUMPRODUCT(--_xlfn.ISFORMULA('Development Budget'!C13:C26))</f>
        <v>0</v>
      </c>
      <c r="M295">
        <f>SUMPRODUCT(--_xlfn.ISFORMULA('Development Budget'!C29:C42))</f>
        <v>0</v>
      </c>
      <c r="N295">
        <f>SUMPRODUCT(--_xlfn.ISFORMULA('Development Budget'!C45:C62))</f>
        <v>0</v>
      </c>
      <c r="O295">
        <f>SUMPRODUCT(--_xlfn.ISFORMULA('Development Budget'!C65:C78))</f>
        <v>0</v>
      </c>
      <c r="P295">
        <f>SUMPRODUCT(--_xlfn.ISFORMULA('Development Budget'!C81:C97))</f>
        <v>0</v>
      </c>
      <c r="Q295">
        <f>SUMPRODUCT(--_xlfn.ISFORMULA('Development Budget'!C100:C105))</f>
        <v>0</v>
      </c>
      <c r="R295">
        <f>SUMPRODUCT(--_xlfn.ISFORMULA('Development Budget'!C108:C114))</f>
        <v>0</v>
      </c>
      <c r="S295">
        <f>SUMPRODUCT(--_xlfn.ISFORMULA('Development Budget'!C117:C122))</f>
        <v>0</v>
      </c>
    </row>
    <row r="296" spans="1:19" ht="15" customHeight="1">
      <c r="A296" s="52" t="str">
        <f>IF(E296&gt;0, F296, "")</f>
        <v/>
      </c>
      <c r="B296" s="52" t="s">
        <v>3690</v>
      </c>
      <c r="C296" s="52"/>
      <c r="D296" s="52"/>
      <c r="E296" s="52">
        <f t="shared" si="182"/>
        <v>0</v>
      </c>
      <c r="F296" s="52" t="str">
        <f>CONCATENATE("Formulas are not permitted in the 9% LIHTC Basis Calculation column (column D).", CHAR(10))</f>
        <v xml:space="preserve">Formulas are not permitted in the 9% LIHTC Basis Calculation column (column D).
</v>
      </c>
      <c r="G296" s="9" t="str">
        <f t="shared" ca="1" si="183"/>
        <v/>
      </c>
      <c r="H296" s="9"/>
      <c r="I296" s="9"/>
      <c r="J296">
        <f>SUMPRODUCT(--_xlfn.ISFORMULA('Development Budget'!D4:D6))</f>
        <v>0</v>
      </c>
      <c r="K296">
        <f>SUMPRODUCT(--_xlfn.ISFORMULA('Development Budget'!D9:D10))</f>
        <v>0</v>
      </c>
      <c r="L296">
        <f>SUMPRODUCT(--_xlfn.ISFORMULA('Development Budget'!D13:D26))</f>
        <v>0</v>
      </c>
      <c r="M296">
        <f>SUMPRODUCT(--_xlfn.ISFORMULA('Development Budget'!D29:D42))</f>
        <v>0</v>
      </c>
      <c r="N296">
        <f>SUMPRODUCT(--_xlfn.ISFORMULA('Development Budget'!D45:D62))</f>
        <v>0</v>
      </c>
      <c r="O296">
        <f>SUMPRODUCT(--_xlfn.ISFORMULA('Development Budget'!D65:D78))</f>
        <v>0</v>
      </c>
      <c r="P296">
        <f>SUMPRODUCT(--_xlfn.ISFORMULA('Development Budget'!D81:D97))</f>
        <v>0</v>
      </c>
      <c r="Q296">
        <f>SUMPRODUCT(--_xlfn.ISFORMULA('Development Budget'!D100:D105))</f>
        <v>0</v>
      </c>
      <c r="R296">
        <f>SUMPRODUCT(--_xlfn.ISFORMULA('Development Budget'!D108:D114))</f>
        <v>0</v>
      </c>
      <c r="S296">
        <f>SUMPRODUCT(--_xlfn.ISFORMULA('Development Budget'!D117:D122))</f>
        <v>0</v>
      </c>
    </row>
    <row r="297" spans="1:19" ht="15" customHeight="1">
      <c r="A297" s="52" t="str">
        <f>IF(E297&gt;0, F297, "")</f>
        <v/>
      </c>
      <c r="B297" s="52" t="s">
        <v>3691</v>
      </c>
      <c r="C297" s="52"/>
      <c r="D297" s="52"/>
      <c r="E297" s="52">
        <f t="shared" si="182"/>
        <v>0</v>
      </c>
      <c r="F297" s="52" t="str">
        <f>CONCATENATE("Formulas are not permitted in the Amount Last Provided to CHFA column (column E).", CHAR(10))</f>
        <v xml:space="preserve">Formulas are not permitted in the Amount Last Provided to CHFA column (column E).
</v>
      </c>
      <c r="G297" s="9" t="str">
        <f t="shared" ca="1" si="183"/>
        <v/>
      </c>
      <c r="H297" s="9"/>
      <c r="I297" s="9"/>
      <c r="J297">
        <f>SUMPRODUCT(--_xlfn.ISFORMULA('Development Budget'!E4:E6))</f>
        <v>0</v>
      </c>
      <c r="K297">
        <f>SUMPRODUCT(--_xlfn.ISFORMULA('Development Budget'!E9:E10))</f>
        <v>0</v>
      </c>
      <c r="L297">
        <f>SUMPRODUCT(--_xlfn.ISFORMULA('Development Budget'!E13:E26))</f>
        <v>0</v>
      </c>
      <c r="M297">
        <f>SUMPRODUCT(--_xlfn.ISFORMULA('Development Budget'!E29:E42))</f>
        <v>0</v>
      </c>
      <c r="N297">
        <f>SUMPRODUCT(--_xlfn.ISFORMULA('Development Budget'!E45:E62))</f>
        <v>0</v>
      </c>
      <c r="O297">
        <f>SUMPRODUCT(--_xlfn.ISFORMULA('Development Budget'!E65:E78))</f>
        <v>0</v>
      </c>
      <c r="P297">
        <f>SUMPRODUCT(--_xlfn.ISFORMULA('Development Budget'!E81:E97))</f>
        <v>0</v>
      </c>
      <c r="Q297">
        <f>SUMPRODUCT(--_xlfn.ISFORMULA('Development Budget'!E100:E105))</f>
        <v>0</v>
      </c>
      <c r="R297">
        <f>SUMPRODUCT(--_xlfn.ISFORMULA('Development Budget'!E108:E114))</f>
        <v>0</v>
      </c>
      <c r="S297">
        <f>SUMPRODUCT(--_xlfn.ISFORMULA('Development Budget'!E117:E122))</f>
        <v>0</v>
      </c>
    </row>
    <row r="298" spans="1:19" ht="15" customHeight="1">
      <c r="A298" s="52" t="str">
        <f>IF(E298&gt;0, F298, "")</f>
        <v/>
      </c>
      <c r="B298" s="52" t="s">
        <v>3692</v>
      </c>
      <c r="C298" s="52"/>
      <c r="D298" s="52"/>
      <c r="E298" s="52">
        <f t="shared" si="182"/>
        <v>0</v>
      </c>
      <c r="F298" s="52" t="str">
        <f>CONCATENATE("Formulas are not permitted in the 10% Carryover Actual Incurred Costs column (column F).", CHAR(10))</f>
        <v xml:space="preserve">Formulas are not permitted in the 10% Carryover Actual Incurred Costs column (column F).
</v>
      </c>
      <c r="G298" s="9" t="str">
        <f t="shared" ca="1" si="183"/>
        <v/>
      </c>
      <c r="H298" s="9"/>
      <c r="I298" s="9"/>
      <c r="J298">
        <f>SUMPRODUCT(--_xlfn.ISFORMULA('Development Budget'!F4:F6))</f>
        <v>0</v>
      </c>
      <c r="K298">
        <f>SUMPRODUCT(--_xlfn.ISFORMULA('Development Budget'!F9:F10))</f>
        <v>0</v>
      </c>
      <c r="L298">
        <f>SUMPRODUCT(--_xlfn.ISFORMULA('Development Budget'!F13:F26))</f>
        <v>0</v>
      </c>
      <c r="M298">
        <f>SUMPRODUCT(--_xlfn.ISFORMULA('Development Budget'!F29:F42))</f>
        <v>0</v>
      </c>
      <c r="N298">
        <f>SUMPRODUCT(--_xlfn.ISFORMULA('Development Budget'!F45:F62))</f>
        <v>0</v>
      </c>
      <c r="O298">
        <f>SUMPRODUCT(--_xlfn.ISFORMULA('Development Budget'!F65:F78))</f>
        <v>0</v>
      </c>
      <c r="P298">
        <f>SUMPRODUCT(--_xlfn.ISFORMULA('Development Budget'!F81:F97))</f>
        <v>0</v>
      </c>
      <c r="Q298">
        <f>SUMPRODUCT(--_xlfn.ISFORMULA('Development Budget'!F100:F105))</f>
        <v>0</v>
      </c>
      <c r="R298">
        <f>SUMPRODUCT(--_xlfn.ISFORMULA('Development Budget'!F108:F114))</f>
        <v>0</v>
      </c>
      <c r="S298">
        <f>SUMPRODUCT(--_xlfn.ISFORMULA('Development Budget'!F117:F122))</f>
        <v>0</v>
      </c>
    </row>
    <row r="299" spans="1:19" ht="15" customHeight="1">
      <c r="A299" s="52" t="str">
        <f>IF(E299=0, F299, "")</f>
        <v xml:space="preserve">The total of development budget in column B must be greater than zero.
</v>
      </c>
      <c r="B299" s="52">
        <f>ROW('Development Budget'!A4)</f>
        <v>4</v>
      </c>
      <c r="C299" s="52"/>
      <c r="D299" s="52" t="str">
        <f>SUBSTITUTE(ADDRESS(B299, COLUMN('Development Budget'!B4),4), B299, "")</f>
        <v>B</v>
      </c>
      <c r="E299" s="252">
        <f>Calculations!B292</f>
        <v>0</v>
      </c>
      <c r="F299" s="52" t="str">
        <f>CONCATENATE("The total of development budget in column ", D299, " must be greater than zero.", CHAR(10))</f>
        <v xml:space="preserve">The total of development budget in column B must be greater than zero.
</v>
      </c>
      <c r="G299" s="9" t="str">
        <f t="shared" ca="1" si="183"/>
        <v xml:space="preserve">The total of development budget in column B must be greater than zero.
</v>
      </c>
    </row>
    <row r="300" spans="1:19" ht="15" customHeight="1">
      <c r="A300" t="str">
        <f ca="1">IF(E300="", F300, "")</f>
        <v/>
      </c>
      <c r="B300">
        <f>ROW('Development Budget'!A4)</f>
        <v>4</v>
      </c>
      <c r="C300" t="str">
        <f ca="1">INDIRECT($F$292 &amp; ADDRESS(B300, 1,4  ))</f>
        <v>Land</v>
      </c>
      <c r="D300" t="str">
        <f>ADDRESS(B300, 2,4  )</f>
        <v>B4</v>
      </c>
      <c r="E300">
        <f t="shared" ref="E300:E329" ca="1" si="184">IF(ISBLANK( INDIRECT($F$292 &amp; D300)),"", INDIRECT($F$292 &amp; D300))</f>
        <v>0</v>
      </c>
      <c r="F300" t="str">
        <f ca="1">CONCATENATE("Enter a value for '", C300, "' in cell ", D300, ".", CHAR(10))</f>
        <v xml:space="preserve">Enter a value for 'Land' in cell B4.
</v>
      </c>
      <c r="G300" s="9" t="str">
        <f t="shared" ca="1" si="183"/>
        <v xml:space="preserve">The total of development budget in column B must be greater than zero.
</v>
      </c>
    </row>
    <row r="301" spans="1:19" ht="15" customHeight="1">
      <c r="A301" t="str">
        <f ca="1">IF(AND(OR(Calculations!$B$3:$B$4), E301=""), F301, "")</f>
        <v/>
      </c>
      <c r="B301" t="s">
        <v>457</v>
      </c>
      <c r="C301" t="str">
        <f ca="1">INDIRECT($F$292 &amp; ADDRESS(B300, 1,4  ))</f>
        <v>Land</v>
      </c>
      <c r="D301" t="str">
        <f>ADDRESS(B300, 5,4  )</f>
        <v>E4</v>
      </c>
      <c r="E301">
        <f t="shared" ca="1" si="184"/>
        <v>0</v>
      </c>
      <c r="F301" t="str">
        <f ca="1">CONCATENATE("Enter an 'Amount Last Provided to CHFA' value for '", C301, "' in cell ", D301, ".", CHAR(10))</f>
        <v xml:space="preserve">Enter an 'Amount Last Provided to CHFA' value for 'Land' in cell E4.
</v>
      </c>
      <c r="G301" s="9" t="str">
        <f t="shared" ca="1" si="183"/>
        <v xml:space="preserve">The total of development budget in column B must be greater than zero.
</v>
      </c>
    </row>
    <row r="302" spans="1:19" ht="15" customHeight="1">
      <c r="A302" t="str">
        <f ca="1">IF(AND(Calculations!$B$3, E302=""), F302, "")</f>
        <v/>
      </c>
      <c r="B302" t="s">
        <v>457</v>
      </c>
      <c r="C302" t="str">
        <f ca="1">INDIRECT($F$292 &amp; ADDRESS(B300, 1,4  ))</f>
        <v>Land</v>
      </c>
      <c r="D302" t="str">
        <f>ADDRESS(B300, 6,4  )</f>
        <v>F4</v>
      </c>
      <c r="E302">
        <f t="shared" ca="1" si="184"/>
        <v>0</v>
      </c>
      <c r="F302" t="str">
        <f ca="1">CONCATENATE("Enter a '10% Carryover Actual Incurred Costs' value for '", C302, "' in cell ", D302, ".", CHAR(10))</f>
        <v xml:space="preserve">Enter a '10% Carryover Actual Incurred Costs' value for 'Land' in cell F4.
</v>
      </c>
      <c r="G302" s="9" t="str">
        <f t="shared" ca="1" si="183"/>
        <v xml:space="preserve">The total of development budget in column B must be greater than zero.
</v>
      </c>
    </row>
    <row r="303" spans="1:19" ht="15" customHeight="1">
      <c r="A303" t="str">
        <f ca="1">IF(E303="", F303, "")</f>
        <v/>
      </c>
      <c r="B303" s="52">
        <f>B300+1</f>
        <v>5</v>
      </c>
      <c r="C303" t="str">
        <f ca="1">INDIRECT($F$292 &amp; ADDRESS(B303, 1,4  ))</f>
        <v>Existing Structures</v>
      </c>
      <c r="D303" t="str">
        <f>ADDRESS(B303, 2,4  )</f>
        <v>B5</v>
      </c>
      <c r="E303">
        <f t="shared" ca="1" si="184"/>
        <v>0</v>
      </c>
      <c r="F303" t="str">
        <f ca="1">CONCATENATE("Enter a value for '", C303, "' in cell ", D303, ".", CHAR(10))</f>
        <v xml:space="preserve">Enter a value for 'Existing Structures' in cell B5.
</v>
      </c>
      <c r="G303" s="9" t="str">
        <f t="shared" ca="1" si="183"/>
        <v xml:space="preserve">The total of development budget in column B must be greater than zero.
</v>
      </c>
    </row>
    <row r="304" spans="1:19" ht="15" customHeight="1">
      <c r="A304" t="str">
        <f ca="1">IF(AND(Calculations!$B$5, E304=""), F304, "")</f>
        <v/>
      </c>
      <c r="B304" t="s">
        <v>457</v>
      </c>
      <c r="C304" t="str">
        <f ca="1">INDIRECT($F$292 &amp; ADDRESS(B303, 1,4  ))</f>
        <v>Existing Structures</v>
      </c>
      <c r="D304" t="str">
        <f>ADDRESS(B303, 3,4  )</f>
        <v>C5</v>
      </c>
      <c r="E304">
        <f t="shared" ca="1" si="184"/>
        <v>0</v>
      </c>
      <c r="F304" t="str">
        <f ca="1">CONCATENATE("Enter an '4% LIHTC Basis Calculation' value for '", C304, "' in cell ", D304, ".", CHAR(10))</f>
        <v xml:space="preserve">Enter an '4% LIHTC Basis Calculation' value for 'Existing Structures' in cell C5.
</v>
      </c>
      <c r="G304" s="9" t="str">
        <f t="shared" ca="1" si="183"/>
        <v xml:space="preserve">The total of development budget in column B must be greater than zero.
</v>
      </c>
    </row>
    <row r="305" spans="1:7" ht="15" customHeight="1">
      <c r="A305" t="str">
        <f ca="1">IF(AND(OR(Calculations!$B$3:$B$4), E305=""), F305, "")</f>
        <v/>
      </c>
      <c r="B305" t="s">
        <v>457</v>
      </c>
      <c r="C305" t="str">
        <f ca="1">INDIRECT($F$292 &amp; ADDRESS(B303, 1,4  ))</f>
        <v>Existing Structures</v>
      </c>
      <c r="D305" t="str">
        <f>ADDRESS(B303, 5,4  )</f>
        <v>E5</v>
      </c>
      <c r="E305">
        <f t="shared" ca="1" si="184"/>
        <v>0</v>
      </c>
      <c r="F305" t="str">
        <f ca="1">CONCATENATE("Enter an 'Amount Last Provided to CHFA' value for '", C305, "' in cell ", D305, ".", CHAR(10))</f>
        <v xml:space="preserve">Enter an 'Amount Last Provided to CHFA' value for 'Existing Structures' in cell E5.
</v>
      </c>
      <c r="G305" s="9" t="str">
        <f t="shared" ca="1" si="183"/>
        <v xml:space="preserve">The total of development budget in column B must be greater than zero.
</v>
      </c>
    </row>
    <row r="306" spans="1:7" ht="15" customHeight="1">
      <c r="A306" t="str">
        <f ca="1">IF(AND(Calculations!$B$3, E306=""), F306, "")</f>
        <v/>
      </c>
      <c r="B306" t="s">
        <v>457</v>
      </c>
      <c r="C306" t="str">
        <f ca="1">INDIRECT($F$292 &amp; ADDRESS(B303, 1,4  ))</f>
        <v>Existing Structures</v>
      </c>
      <c r="D306" t="str">
        <f>ADDRESS(B303, 6,4  )</f>
        <v>F5</v>
      </c>
      <c r="E306">
        <f t="shared" ca="1" si="184"/>
        <v>0</v>
      </c>
      <c r="F306" t="str">
        <f ca="1">CONCATENATE("Enter a '10% Carryover Actual Incurred Costs' value for '", C306, "' in cell ", D306, ".", CHAR(10))</f>
        <v xml:space="preserve">Enter a '10% Carryover Actual Incurred Costs' value for 'Existing Structures' in cell F5.
</v>
      </c>
      <c r="G306" s="9" t="str">
        <f t="shared" ca="1" si="183"/>
        <v xml:space="preserve">The total of development budget in column B must be greater than zero.
</v>
      </c>
    </row>
    <row r="307" spans="1:7" ht="15" customHeight="1">
      <c r="A307" t="str">
        <f ca="1">IF(E307="", F307, "")</f>
        <v/>
      </c>
      <c r="B307" s="52">
        <f>B303+1</f>
        <v>6</v>
      </c>
      <c r="C307" t="str">
        <f ca="1">INDIRECT($F$292 &amp; ADDRESS(B307, 1,4  ))</f>
        <v>Demolition</v>
      </c>
      <c r="D307" t="str">
        <f>ADDRESS(B307, 2,4  )</f>
        <v>B6</v>
      </c>
      <c r="E307">
        <f t="shared" ca="1" si="184"/>
        <v>0</v>
      </c>
      <c r="F307" t="str">
        <f ca="1">CONCATENATE("Enter a value for '", C307, "' in cell ", D307, ".", CHAR(10))</f>
        <v xml:space="preserve">Enter a value for 'Demolition' in cell B6.
</v>
      </c>
      <c r="G307" s="9" t="str">
        <f t="shared" ca="1" si="183"/>
        <v xml:space="preserve">The total of development budget in column B must be greater than zero.
</v>
      </c>
    </row>
    <row r="308" spans="1:7" ht="15" customHeight="1">
      <c r="A308" t="str">
        <f ca="1">IF(AND(OR(Calculations!$B$3:$B$4), E308=""), F308, "")</f>
        <v/>
      </c>
      <c r="B308" t="s">
        <v>457</v>
      </c>
      <c r="C308" t="str">
        <f ca="1">INDIRECT($F$292 &amp; ADDRESS(B307, 1,4  ))</f>
        <v>Demolition</v>
      </c>
      <c r="D308" t="str">
        <f>ADDRESS(B307, 5,4  )</f>
        <v>E6</v>
      </c>
      <c r="E308">
        <f t="shared" ca="1" si="184"/>
        <v>0</v>
      </c>
      <c r="F308" t="str">
        <f ca="1">CONCATENATE("Enter an 'Amount Last Provided to CHFA' value for '", C308, "' in cell ", D308, ".", CHAR(10))</f>
        <v xml:space="preserve">Enter an 'Amount Last Provided to CHFA' value for 'Demolition' in cell E6.
</v>
      </c>
      <c r="G308" s="9" t="str">
        <f t="shared" ca="1" si="183"/>
        <v xml:space="preserve">The total of development budget in column B must be greater than zero.
</v>
      </c>
    </row>
    <row r="309" spans="1:7" ht="15" customHeight="1">
      <c r="A309" t="str">
        <f ca="1">IF(E309="", F309, "")</f>
        <v/>
      </c>
      <c r="B309">
        <f>ROW('Development Budget'!A9)</f>
        <v>9</v>
      </c>
      <c r="C309" t="str">
        <f ca="1">INDIRECT($F$292 &amp; ADDRESS(B309, 1,4  ))</f>
        <v>Onsite Work</v>
      </c>
      <c r="D309" t="str">
        <f>ADDRESS(B309, 2,4  )</f>
        <v>B9</v>
      </c>
      <c r="E309">
        <f t="shared" ca="1" si="184"/>
        <v>0</v>
      </c>
      <c r="F309" t="str">
        <f ca="1">CONCATENATE("Enter a value for '", C309, "' in cell ", D309, ".", CHAR(10))</f>
        <v xml:space="preserve">Enter a value for 'Onsite Work' in cell B9.
</v>
      </c>
      <c r="G309" s="9" t="str">
        <f t="shared" ca="1" si="183"/>
        <v xml:space="preserve">The total of development budget in column B must be greater than zero.
</v>
      </c>
    </row>
    <row r="310" spans="1:7" ht="15" customHeight="1">
      <c r="A310" t="str">
        <f ca="1">IF(AND(Calculations!$B$5, E310=""), F310, "")</f>
        <v/>
      </c>
      <c r="B310" t="s">
        <v>457</v>
      </c>
      <c r="C310" t="str">
        <f ca="1">INDIRECT($F$292 &amp; ADDRESS(B309, 1,4  ))</f>
        <v>Onsite Work</v>
      </c>
      <c r="D310" t="str">
        <f>ADDRESS(B309, 3,4  )</f>
        <v>C9</v>
      </c>
      <c r="E310">
        <f t="shared" ca="1" si="184"/>
        <v>0</v>
      </c>
      <c r="F310" t="str">
        <f ca="1">CONCATENATE("Enter an '4% LIHTC Basis Calculation' value for '", C310, "' in cell ", D310, ".", CHAR(10))</f>
        <v xml:space="preserve">Enter an '4% LIHTC Basis Calculation' value for 'Onsite Work' in cell C9.
</v>
      </c>
      <c r="G310" s="9" t="str">
        <f t="shared" ca="1" si="183"/>
        <v xml:space="preserve">The total of development budget in column B must be greater than zero.
</v>
      </c>
    </row>
    <row r="311" spans="1:7" ht="15" customHeight="1">
      <c r="A311" t="str">
        <f ca="1">IF(AND(Calculations!$B$6, E311=""), F311, "")</f>
        <v/>
      </c>
      <c r="B311" t="s">
        <v>457</v>
      </c>
      <c r="C311" t="str">
        <f ca="1">INDIRECT($F$292 &amp; ADDRESS(B309, 1,4  ))</f>
        <v>Onsite Work</v>
      </c>
      <c r="D311" t="str">
        <f>ADDRESS(B309, 4,4  )</f>
        <v>D9</v>
      </c>
      <c r="E311">
        <f t="shared" ca="1" si="184"/>
        <v>0</v>
      </c>
      <c r="F311" t="str">
        <f ca="1">CONCATENATE("Enter an '9% LIHTC Basis Calculation' value for '", C311, "' in cell ", D311, ".", CHAR(10))</f>
        <v xml:space="preserve">Enter an '9% LIHTC Basis Calculation' value for 'Onsite Work' in cell D9.
</v>
      </c>
      <c r="G311" s="9" t="str">
        <f t="shared" ca="1" si="183"/>
        <v xml:space="preserve">The total of development budget in column B must be greater than zero.
</v>
      </c>
    </row>
    <row r="312" spans="1:7" ht="15" customHeight="1">
      <c r="A312" t="str">
        <f ca="1">IF(AND(OR(Calculations!$B$3:$B$4), E312=""), F312, "")</f>
        <v/>
      </c>
      <c r="B312" t="s">
        <v>457</v>
      </c>
      <c r="C312" t="str">
        <f ca="1">INDIRECT($F$292 &amp; ADDRESS(B309, 1,4  ))</f>
        <v>Onsite Work</v>
      </c>
      <c r="D312" t="str">
        <f>ADDRESS(B309, 5,4  )</f>
        <v>E9</v>
      </c>
      <c r="E312">
        <f t="shared" ca="1" si="184"/>
        <v>0</v>
      </c>
      <c r="F312" t="str">
        <f ca="1">CONCATENATE("Enter an 'Amount Last Provided to CHFA' value for '", C312, "' in cell ", D312, ".", CHAR(10))</f>
        <v xml:space="preserve">Enter an 'Amount Last Provided to CHFA' value for 'Onsite Work' in cell E9.
</v>
      </c>
      <c r="G312" s="9" t="str">
        <f t="shared" ca="1" si="183"/>
        <v xml:space="preserve">The total of development budget in column B must be greater than zero.
</v>
      </c>
    </row>
    <row r="313" spans="1:7" ht="15" customHeight="1">
      <c r="A313" t="str">
        <f ca="1">IF(AND(Calculations!$B$3, E313=""), F313, "")</f>
        <v/>
      </c>
      <c r="B313" t="s">
        <v>457</v>
      </c>
      <c r="C313" t="str">
        <f ca="1">INDIRECT($F$292 &amp; ADDRESS(B309, 1,4  ))</f>
        <v>Onsite Work</v>
      </c>
      <c r="D313" t="str">
        <f>ADDRESS(B309, 6,4  )</f>
        <v>F9</v>
      </c>
      <c r="E313">
        <f t="shared" ca="1" si="184"/>
        <v>0</v>
      </c>
      <c r="F313" t="str">
        <f ca="1">CONCATENATE("Enter a '10% Carryover Actual Incurred Costs' value for '", C313, "' in cell ", D313, ".", CHAR(10))</f>
        <v xml:space="preserve">Enter a '10% Carryover Actual Incurred Costs' value for 'Onsite Work' in cell F9.
</v>
      </c>
      <c r="G313" s="9" t="str">
        <f t="shared" ca="1" si="183"/>
        <v xml:space="preserve">The total of development budget in column B must be greater than zero.
</v>
      </c>
    </row>
    <row r="314" spans="1:7" ht="15" customHeight="1">
      <c r="A314" t="str">
        <f ca="1">IF(E314="", F314, "")</f>
        <v/>
      </c>
      <c r="B314" s="52">
        <f>B309+1</f>
        <v>10</v>
      </c>
      <c r="C314" t="str">
        <f ca="1">INDIRECT($F$292 &amp; ADDRESS(B314, 1,4  ))</f>
        <v>Off Site Work</v>
      </c>
      <c r="D314" t="str">
        <f>ADDRESS(B314, 2,4  )</f>
        <v>B10</v>
      </c>
      <c r="E314">
        <f t="shared" ca="1" si="184"/>
        <v>0</v>
      </c>
      <c r="F314" t="str">
        <f ca="1">CONCATENATE("Enter a value for '", C314, "' in cell ", D314, ".", CHAR(10))</f>
        <v xml:space="preserve">Enter a value for 'Off Site Work' in cell B10.
</v>
      </c>
      <c r="G314" s="9" t="str">
        <f t="shared" ca="1" si="183"/>
        <v xml:space="preserve">The total of development budget in column B must be greater than zero.
</v>
      </c>
    </row>
    <row r="315" spans="1:7" ht="15" customHeight="1">
      <c r="A315" t="str">
        <f ca="1">IF(AND(OR(Calculations!$B$3:$B$4), E315=""), F315, "")</f>
        <v/>
      </c>
      <c r="B315" t="s">
        <v>457</v>
      </c>
      <c r="C315" t="str">
        <f ca="1">INDIRECT($F$292 &amp; ADDRESS(B314, 1,4  ))</f>
        <v>Off Site Work</v>
      </c>
      <c r="D315" t="str">
        <f>ADDRESS(B314, 5,4  )</f>
        <v>E10</v>
      </c>
      <c r="E315">
        <f t="shared" ca="1" si="184"/>
        <v>0</v>
      </c>
      <c r="F315" t="str">
        <f ca="1">CONCATENATE("Enter an 'Amount Last Provided to CHFA' value for '", C315, "' in cell ", D315, ".", CHAR(10))</f>
        <v xml:space="preserve">Enter an 'Amount Last Provided to CHFA' value for 'Off Site Work' in cell E10.
</v>
      </c>
      <c r="G315" s="9" t="str">
        <f t="shared" ca="1" si="183"/>
        <v xml:space="preserve">The total of development budget in column B must be greater than zero.
</v>
      </c>
    </row>
    <row r="316" spans="1:7" ht="15" customHeight="1">
      <c r="A316" t="str">
        <f ca="1">IF(E316="", F316, "")</f>
        <v/>
      </c>
      <c r="B316" s="52">
        <f>13</f>
        <v>13</v>
      </c>
      <c r="C316" t="str">
        <f ca="1">INDIRECT($F$292 &amp; ADDRESS(B316, 1,4  ))</f>
        <v>New Structures</v>
      </c>
      <c r="D316" t="str">
        <f>ADDRESS(B316, 2,4  )</f>
        <v>B13</v>
      </c>
      <c r="E316">
        <f t="shared" ca="1" si="184"/>
        <v>0</v>
      </c>
      <c r="F316" t="str">
        <f ca="1">CONCATENATE("Enter a value for '", C316, "' in cell ", D316, ".", CHAR(10))</f>
        <v xml:space="preserve">Enter a value for 'New Structures' in cell B13.
</v>
      </c>
      <c r="G316" s="9" t="str">
        <f t="shared" ca="1" si="183"/>
        <v xml:space="preserve">The total of development budget in column B must be greater than zero.
</v>
      </c>
    </row>
    <row r="317" spans="1:7" ht="15" customHeight="1">
      <c r="A317" t="str">
        <f ca="1">IF(AND(Calculations!$B$5, E317=""), F317, "")</f>
        <v/>
      </c>
      <c r="B317" t="s">
        <v>457</v>
      </c>
      <c r="C317" t="str">
        <f ca="1">INDIRECT($F$292 &amp; ADDRESS(B316, 1,4  ))</f>
        <v>New Structures</v>
      </c>
      <c r="D317" t="str">
        <f>ADDRESS(B316, 3,4  )</f>
        <v>C13</v>
      </c>
      <c r="E317">
        <f t="shared" ca="1" si="184"/>
        <v>0</v>
      </c>
      <c r="F317" t="str">
        <f ca="1">CONCATENATE("Enter an '4% LIHTC Basis Calculation' value for '", C317, "' in cell ", D317, ".", CHAR(10))</f>
        <v xml:space="preserve">Enter an '4% LIHTC Basis Calculation' value for 'New Structures' in cell C13.
</v>
      </c>
      <c r="G317" s="9" t="str">
        <f t="shared" ca="1" si="183"/>
        <v xml:space="preserve">The total of development budget in column B must be greater than zero.
</v>
      </c>
    </row>
    <row r="318" spans="1:7" ht="15" customHeight="1">
      <c r="A318" t="str">
        <f ca="1">IF(AND(Calculations!$B$6, E318=""), F318, "")</f>
        <v/>
      </c>
      <c r="B318" t="s">
        <v>457</v>
      </c>
      <c r="C318" t="str">
        <f ca="1">INDIRECT($F$292 &amp; ADDRESS(B316, 1,4  ))</f>
        <v>New Structures</v>
      </c>
      <c r="D318" t="str">
        <f>ADDRESS(B316, 4,4  )</f>
        <v>D13</v>
      </c>
      <c r="E318">
        <f t="shared" ca="1" si="184"/>
        <v>0</v>
      </c>
      <c r="F318" t="str">
        <f ca="1">CONCATENATE("Enter an '9% LIHTC Basis Calculation' value for '", C318, "' in cell ", D318, ".", CHAR(10))</f>
        <v xml:space="preserve">Enter an '9% LIHTC Basis Calculation' value for 'New Structures' in cell D13.
</v>
      </c>
      <c r="G318" s="9" t="str">
        <f t="shared" ca="1" si="183"/>
        <v xml:space="preserve">The total of development budget in column B must be greater than zero.
</v>
      </c>
    </row>
    <row r="319" spans="1:7" ht="15" customHeight="1">
      <c r="A319" t="str">
        <f ca="1">IF(AND(OR(Calculations!$B$3:$B$4), E319=""), F319, "")</f>
        <v/>
      </c>
      <c r="B319" t="s">
        <v>457</v>
      </c>
      <c r="C319" t="str">
        <f ca="1">INDIRECT($F$292 &amp; ADDRESS(B316, 1,4  ))</f>
        <v>New Structures</v>
      </c>
      <c r="D319" t="str">
        <f>ADDRESS(B316, 5,4  )</f>
        <v>E13</v>
      </c>
      <c r="E319">
        <f t="shared" ca="1" si="184"/>
        <v>0</v>
      </c>
      <c r="F319" t="str">
        <f ca="1">CONCATENATE("Enter an 'Amount Last Provided to CHFA' value for '", C319, "' in cell ", D319, ".", CHAR(10))</f>
        <v xml:space="preserve">Enter an 'Amount Last Provided to CHFA' value for 'New Structures' in cell E13.
</v>
      </c>
      <c r="G319" s="9" t="str">
        <f t="shared" ca="1" si="183"/>
        <v xml:space="preserve">The total of development budget in column B must be greater than zero.
</v>
      </c>
    </row>
    <row r="320" spans="1:7" ht="15" customHeight="1">
      <c r="A320" t="str">
        <f ca="1">IF(AND(Calculations!$B$3, E320=""), F320, "")</f>
        <v/>
      </c>
      <c r="B320" t="s">
        <v>457</v>
      </c>
      <c r="C320" t="str">
        <f ca="1">INDIRECT($F$292 &amp; ADDRESS(B316, 1,4  ))</f>
        <v>New Structures</v>
      </c>
      <c r="D320" t="str">
        <f>ADDRESS(B316, 6,4  )</f>
        <v>F13</v>
      </c>
      <c r="E320">
        <f t="shared" ca="1" si="184"/>
        <v>0</v>
      </c>
      <c r="F320" t="str">
        <f ca="1">CONCATENATE("Enter a '10% Carryover Actual Incurred Costs' value for '", C320, "' in cell ", D320, ".", CHAR(10))</f>
        <v xml:space="preserve">Enter a '10% Carryover Actual Incurred Costs' value for 'New Structures' in cell F13.
</v>
      </c>
      <c r="G320" s="9" t="str">
        <f t="shared" ca="1" si="183"/>
        <v xml:space="preserve">The total of development budget in column B must be greater than zero.
</v>
      </c>
    </row>
    <row r="321" spans="1:7" ht="15" customHeight="1">
      <c r="A321" t="str">
        <f ca="1">IF(E321="", F321, "")</f>
        <v/>
      </c>
      <c r="B321" s="52">
        <f>B316+1</f>
        <v>14</v>
      </c>
      <c r="C321" t="str">
        <f ca="1">INDIRECT($F$292 &amp; ADDRESS(B321, 1,4  ))</f>
        <v>Rehabilitation</v>
      </c>
      <c r="D321" t="str">
        <f>ADDRESS(B321, 2,4  )</f>
        <v>B14</v>
      </c>
      <c r="E321">
        <f t="shared" ca="1" si="184"/>
        <v>0</v>
      </c>
      <c r="F321" t="str">
        <f ca="1">CONCATENATE("Enter a value for '", C321, "' in cell ", D321, ".", CHAR(10))</f>
        <v xml:space="preserve">Enter a value for 'Rehabilitation' in cell B14.
</v>
      </c>
      <c r="G321" s="9" t="str">
        <f t="shared" ca="1" si="183"/>
        <v xml:space="preserve">The total of development budget in column B must be greater than zero.
</v>
      </c>
    </row>
    <row r="322" spans="1:7" ht="15" customHeight="1">
      <c r="A322" t="str">
        <f ca="1">IF(AND(Calculations!$B$5, E322=""), F322, "")</f>
        <v/>
      </c>
      <c r="B322" t="s">
        <v>457</v>
      </c>
      <c r="C322" t="str">
        <f ca="1">INDIRECT($F$292 &amp; ADDRESS(B321, 1,4  ))</f>
        <v>Rehabilitation</v>
      </c>
      <c r="D322" t="str">
        <f>ADDRESS(B321, 3,4  )</f>
        <v>C14</v>
      </c>
      <c r="E322">
        <f t="shared" ca="1" si="184"/>
        <v>0</v>
      </c>
      <c r="F322" t="str">
        <f ca="1">CONCATENATE("Enter an '4% LIHTC Basis Calculation' value for '", C322, "' in cell ", D322, ".", CHAR(10))</f>
        <v xml:space="preserve">Enter an '4% LIHTC Basis Calculation' value for 'Rehabilitation' in cell C14.
</v>
      </c>
      <c r="G322" s="9" t="str">
        <f t="shared" ca="1" si="183"/>
        <v xml:space="preserve">The total of development budget in column B must be greater than zero.
</v>
      </c>
    </row>
    <row r="323" spans="1:7" ht="15" customHeight="1">
      <c r="A323" t="str">
        <f ca="1">IF(AND(Calculations!$B$6, E323=""), F323, "")</f>
        <v/>
      </c>
      <c r="B323" t="s">
        <v>457</v>
      </c>
      <c r="C323" t="str">
        <f ca="1">INDIRECT($F$292 &amp; ADDRESS(B321, 1,4  ))</f>
        <v>Rehabilitation</v>
      </c>
      <c r="D323" t="str">
        <f>ADDRESS(B321, 4,4  )</f>
        <v>D14</v>
      </c>
      <c r="E323">
        <f t="shared" ca="1" si="184"/>
        <v>0</v>
      </c>
      <c r="F323" t="str">
        <f ca="1">CONCATENATE("Enter an '9% LIHTC Basis Calculation' value for '", C323, "' in cell ", D323, ".", CHAR(10))</f>
        <v xml:space="preserve">Enter an '9% LIHTC Basis Calculation' value for 'Rehabilitation' in cell D14.
</v>
      </c>
      <c r="G323" s="9" t="str">
        <f t="shared" ca="1" si="183"/>
        <v xml:space="preserve">The total of development budget in column B must be greater than zero.
</v>
      </c>
    </row>
    <row r="324" spans="1:7" ht="15" customHeight="1">
      <c r="A324" t="str">
        <f ca="1">IF(AND(OR(Calculations!$B$3:$B$4), E324=""), F324, "")</f>
        <v/>
      </c>
      <c r="B324" t="s">
        <v>457</v>
      </c>
      <c r="C324" t="str">
        <f ca="1">INDIRECT($F$292 &amp; ADDRESS(B321, 1,4  ))</f>
        <v>Rehabilitation</v>
      </c>
      <c r="D324" t="str">
        <f>ADDRESS(B321, 5,4  )</f>
        <v>E14</v>
      </c>
      <c r="E324">
        <f t="shared" ca="1" si="184"/>
        <v>0</v>
      </c>
      <c r="F324" t="str">
        <f ca="1">CONCATENATE("Enter an 'Amount Last Provided to CHFA' value for '", C324, "' in cell ", D324, ".", CHAR(10))</f>
        <v xml:space="preserve">Enter an 'Amount Last Provided to CHFA' value for 'Rehabilitation' in cell E14.
</v>
      </c>
      <c r="G324" s="9" t="str">
        <f t="shared" ca="1" si="183"/>
        <v xml:space="preserve">The total of development budget in column B must be greater than zero.
</v>
      </c>
    </row>
    <row r="325" spans="1:7" ht="15" customHeight="1">
      <c r="A325" t="str">
        <f ca="1">IF(AND(Calculations!$B$3, E325=""), F325, "")</f>
        <v/>
      </c>
      <c r="B325" t="s">
        <v>457</v>
      </c>
      <c r="C325" t="str">
        <f ca="1">INDIRECT($F$292 &amp; ADDRESS(B321, 1,4  ))</f>
        <v>Rehabilitation</v>
      </c>
      <c r="D325" t="str">
        <f>ADDRESS(B321, 6,4  )</f>
        <v>F14</v>
      </c>
      <c r="E325">
        <f t="shared" ca="1" si="184"/>
        <v>0</v>
      </c>
      <c r="F325" t="str">
        <f ca="1">CONCATENATE("Enter a '10% Carryover Actual Incurred Costs' value for '", C325, "' in cell ", D325, ".", CHAR(10))</f>
        <v xml:space="preserve">Enter a '10% Carryover Actual Incurred Costs' value for 'Rehabilitation' in cell F14.
</v>
      </c>
      <c r="G325" s="9" t="str">
        <f t="shared" ca="1" si="183"/>
        <v xml:space="preserve">The total of development budget in column B must be greater than zero.
</v>
      </c>
    </row>
    <row r="326" spans="1:7" ht="15" customHeight="1">
      <c r="A326" t="str">
        <f ca="1">IF(E326="", F326, "")</f>
        <v/>
      </c>
      <c r="B326" s="52">
        <f>B321+1</f>
        <v>15</v>
      </c>
      <c r="C326" t="str">
        <f ca="1">INDIRECT($F$292 &amp; ADDRESS(B326, 1,4  ))</f>
        <v>Accessory Structures (CSF, storage, garage(s))</v>
      </c>
      <c r="D326" t="str">
        <f>ADDRESS(B326, 2,4  )</f>
        <v>B15</v>
      </c>
      <c r="E326">
        <f t="shared" ca="1" si="184"/>
        <v>0</v>
      </c>
      <c r="F326" t="str">
        <f ca="1">CONCATENATE("Enter a value for '", C326, "' in cell ", D326, ".", CHAR(10))</f>
        <v xml:space="preserve">Enter a value for 'Accessory Structures (CSF, storage, garage(s))' in cell B15.
</v>
      </c>
      <c r="G326" s="9" t="str">
        <f t="shared" ca="1" si="183"/>
        <v xml:space="preserve">The total of development budget in column B must be greater than zero.
</v>
      </c>
    </row>
    <row r="327" spans="1:7" ht="15" customHeight="1">
      <c r="A327" t="str">
        <f ca="1">IF(AND(Calculations!$B$5, E327=""), F327, "")</f>
        <v/>
      </c>
      <c r="B327" t="s">
        <v>457</v>
      </c>
      <c r="C327" t="str">
        <f ca="1">INDIRECT($F$292 &amp; ADDRESS(B326, 1,4  ))</f>
        <v>Accessory Structures (CSF, storage, garage(s))</v>
      </c>
      <c r="D327" t="str">
        <f>ADDRESS(B326, 3,4  )</f>
        <v>C15</v>
      </c>
      <c r="E327">
        <f t="shared" ca="1" si="184"/>
        <v>0</v>
      </c>
      <c r="F327" t="str">
        <f ca="1">CONCATENATE("Enter an '4% LIHTC Basis Calculation' value for '", C327, "' in cell ", D327, ".", CHAR(10))</f>
        <v xml:space="preserve">Enter an '4% LIHTC Basis Calculation' value for 'Accessory Structures (CSF, storage, garage(s))' in cell C15.
</v>
      </c>
      <c r="G327" s="9" t="str">
        <f t="shared" ca="1" si="183"/>
        <v xml:space="preserve">The total of development budget in column B must be greater than zero.
</v>
      </c>
    </row>
    <row r="328" spans="1:7" ht="15" customHeight="1">
      <c r="A328" t="str">
        <f ca="1">IF(AND(Calculations!$B$6, E328=""), F328, "")</f>
        <v/>
      </c>
      <c r="B328" t="s">
        <v>457</v>
      </c>
      <c r="C328" t="str">
        <f ca="1">INDIRECT($F$292 &amp; ADDRESS(B326, 1,4  ))</f>
        <v>Accessory Structures (CSF, storage, garage(s))</v>
      </c>
      <c r="D328" t="str">
        <f>ADDRESS(B326, 4,4  )</f>
        <v>D15</v>
      </c>
      <c r="E328">
        <f t="shared" ca="1" si="184"/>
        <v>0</v>
      </c>
      <c r="F328" t="str">
        <f ca="1">CONCATENATE("Enter an '9% LIHTC Basis Calculation' value for '", C328, "' in cell ", D328, ".", CHAR(10))</f>
        <v xml:space="preserve">Enter an '9% LIHTC Basis Calculation' value for 'Accessory Structures (CSF, storage, garage(s))' in cell D15.
</v>
      </c>
      <c r="G328" s="9" t="str">
        <f t="shared" ca="1" si="183"/>
        <v xml:space="preserve">The total of development budget in column B must be greater than zero.
</v>
      </c>
    </row>
    <row r="329" spans="1:7" ht="15" customHeight="1">
      <c r="A329" t="str">
        <f ca="1">IF(AND(OR(Calculations!$B$3:$B$4), E329=""), F329, "")</f>
        <v/>
      </c>
      <c r="B329" t="s">
        <v>457</v>
      </c>
      <c r="C329" t="str">
        <f ca="1">INDIRECT($F$292 &amp; ADDRESS(B326, 1,4  ))</f>
        <v>Accessory Structures (CSF, storage, garage(s))</v>
      </c>
      <c r="D329" t="str">
        <f>ADDRESS(B326, 5,4  )</f>
        <v>E15</v>
      </c>
      <c r="E329">
        <f t="shared" ca="1" si="184"/>
        <v>0</v>
      </c>
      <c r="F329" t="str">
        <f ca="1">CONCATENATE("Enter an 'Amount Last Provided to CHFA' value for '", C329, "' in cell ", D329, ".", CHAR(10))</f>
        <v xml:space="preserve">Enter an 'Amount Last Provided to CHFA' value for 'Accessory Structures (CSF, storage, garage(s))' in cell E15.
</v>
      </c>
      <c r="G329" s="9" t="str">
        <f t="shared" ca="1" si="183"/>
        <v xml:space="preserve">The total of development budget in column B must be greater than zero.
</v>
      </c>
    </row>
    <row r="330" spans="1:7" ht="15" customHeight="1">
      <c r="A330" t="str">
        <f ca="1">IF(AND(Calculations!$B$3, E330=""), F330, "")</f>
        <v/>
      </c>
      <c r="B330" t="s">
        <v>457</v>
      </c>
      <c r="C330" t="str">
        <f ca="1">INDIRECT($F$292 &amp; ADDRESS(B326, 1,4  ))</f>
        <v>Accessory Structures (CSF, storage, garage(s))</v>
      </c>
      <c r="D330" t="str">
        <f>ADDRESS(B326, 6,4  )</f>
        <v>F15</v>
      </c>
      <c r="E330">
        <f t="shared" ref="E330:E361" ca="1" si="185">IF(ISBLANK( INDIRECT($F$292 &amp; D330)),"", INDIRECT($F$292 &amp; D330))</f>
        <v>0</v>
      </c>
      <c r="F330" t="str">
        <f ca="1">CONCATENATE("Enter a '10% Carryover Actual Incurred Costs' value for '", C330, "' in cell ", D330, ".", CHAR(10))</f>
        <v xml:space="preserve">Enter a '10% Carryover Actual Incurred Costs' value for 'Accessory Structures (CSF, storage, garage(s))' in cell F15.
</v>
      </c>
      <c r="G330" s="9" t="str">
        <f t="shared" ca="1" si="183"/>
        <v xml:space="preserve">The total of development budget in column B must be greater than zero.
</v>
      </c>
    </row>
    <row r="331" spans="1:7" ht="15" customHeight="1">
      <c r="A331" t="str">
        <f ca="1">IF(E331="", F331, "")</f>
        <v/>
      </c>
      <c r="B331" s="52">
        <f>B326+1</f>
        <v>16</v>
      </c>
      <c r="C331" t="str">
        <f ca="1">INDIRECT($F$292 &amp; ADDRESS(B331, 1,4  ))</f>
        <v>Green Systems (Solar, Geothermal, Other, etc.)</v>
      </c>
      <c r="D331" t="str">
        <f>ADDRESS(B331, 2,4  )</f>
        <v>B16</v>
      </c>
      <c r="E331">
        <f t="shared" ca="1" si="185"/>
        <v>0</v>
      </c>
      <c r="F331" t="str">
        <f ca="1">CONCATENATE("Enter a value for '", C331, "' in cell ", D331, ".", CHAR(10))</f>
        <v xml:space="preserve">Enter a value for 'Green Systems (Solar, Geothermal, Other, etc.)' in cell B16.
</v>
      </c>
      <c r="G331" s="9" t="str">
        <f t="shared" ca="1" si="183"/>
        <v xml:space="preserve">The total of development budget in column B must be greater than zero.
</v>
      </c>
    </row>
    <row r="332" spans="1:7" ht="15" customHeight="1">
      <c r="A332" t="str">
        <f ca="1">IF(AND(Calculations!$B$5, E332=""), F332, "")</f>
        <v/>
      </c>
      <c r="B332" t="s">
        <v>457</v>
      </c>
      <c r="C332" t="str">
        <f ca="1">INDIRECT($F$292 &amp; ADDRESS(B331, 1,4  ))</f>
        <v>Green Systems (Solar, Geothermal, Other, etc.)</v>
      </c>
      <c r="D332" t="str">
        <f>ADDRESS(B331, 3,4  )</f>
        <v>C16</v>
      </c>
      <c r="E332">
        <f t="shared" ca="1" si="185"/>
        <v>0</v>
      </c>
      <c r="F332" t="str">
        <f ca="1">CONCATENATE("Enter an '4% LIHTC Basis Calculation' value for '", C332, "' in cell ", D332, ".", CHAR(10))</f>
        <v xml:space="preserve">Enter an '4% LIHTC Basis Calculation' value for 'Green Systems (Solar, Geothermal, Other, etc.)' in cell C16.
</v>
      </c>
      <c r="G332" s="9" t="str">
        <f t="shared" ca="1" si="183"/>
        <v xml:space="preserve">The total of development budget in column B must be greater than zero.
</v>
      </c>
    </row>
    <row r="333" spans="1:7" ht="15" customHeight="1">
      <c r="A333" t="str">
        <f ca="1">IF(AND(Calculations!$B$6, E333=""), F333, "")</f>
        <v/>
      </c>
      <c r="B333" t="s">
        <v>457</v>
      </c>
      <c r="C333" t="str">
        <f ca="1">INDIRECT($F$292 &amp; ADDRESS(B331, 1,4  ))</f>
        <v>Green Systems (Solar, Geothermal, Other, etc.)</v>
      </c>
      <c r="D333" t="str">
        <f>ADDRESS(B331, 4,4  )</f>
        <v>D16</v>
      </c>
      <c r="E333">
        <f t="shared" ca="1" si="185"/>
        <v>0</v>
      </c>
      <c r="F333" t="str">
        <f ca="1">CONCATENATE("Enter an '9% LIHTC Basis Calculation' value for '", C333, "' in cell ", D333, ".", CHAR(10))</f>
        <v xml:space="preserve">Enter an '9% LIHTC Basis Calculation' value for 'Green Systems (Solar, Geothermal, Other, etc.)' in cell D16.
</v>
      </c>
      <c r="G333" s="9" t="str">
        <f t="shared" ca="1" si="183"/>
        <v xml:space="preserve">The total of development budget in column B must be greater than zero.
</v>
      </c>
    </row>
    <row r="334" spans="1:7" ht="15" customHeight="1">
      <c r="A334" t="str">
        <f ca="1">IF(AND(OR(Calculations!$B$3:$B$4), E334=""), F334, "")</f>
        <v/>
      </c>
      <c r="B334" t="s">
        <v>457</v>
      </c>
      <c r="C334" t="str">
        <f ca="1">INDIRECT($F$292 &amp; ADDRESS(B331, 1,4  ))</f>
        <v>Green Systems (Solar, Geothermal, Other, etc.)</v>
      </c>
      <c r="D334" t="str">
        <f>ADDRESS(B331, 5,4  )</f>
        <v>E16</v>
      </c>
      <c r="E334">
        <f t="shared" ca="1" si="185"/>
        <v>0</v>
      </c>
      <c r="F334" t="str">
        <f ca="1">CONCATENATE("Enter an 'Amount Last Provided to CHFA' value for '", C334, "' in cell ", D334, ".", CHAR(10))</f>
        <v xml:space="preserve">Enter an 'Amount Last Provided to CHFA' value for 'Green Systems (Solar, Geothermal, Other, etc.)' in cell E16.
</v>
      </c>
      <c r="G334" s="9" t="str">
        <f t="shared" ca="1" si="183"/>
        <v xml:space="preserve">The total of development budget in column B must be greater than zero.
</v>
      </c>
    </row>
    <row r="335" spans="1:7" ht="15" customHeight="1">
      <c r="A335" t="str">
        <f ca="1">IF(AND(Calculations!$B$3, E335=""), F335, "")</f>
        <v/>
      </c>
      <c r="B335" t="s">
        <v>457</v>
      </c>
      <c r="C335" t="str">
        <f ca="1">INDIRECT($F$292 &amp; ADDRESS(B331, 1,4  ))</f>
        <v>Green Systems (Solar, Geothermal, Other, etc.)</v>
      </c>
      <c r="D335" t="str">
        <f>ADDRESS(B331, 6,4  )</f>
        <v>F16</v>
      </c>
      <c r="E335">
        <f t="shared" ca="1" si="185"/>
        <v>0</v>
      </c>
      <c r="F335" t="str">
        <f ca="1">CONCATENATE("Enter a '10% Carryover Actual Incurred Costs' value for '", C335, "' in cell ", D335, ".", CHAR(10))</f>
        <v xml:space="preserve">Enter a '10% Carryover Actual Incurred Costs' value for 'Green Systems (Solar, Geothermal, Other, etc.)' in cell F16.
</v>
      </c>
      <c r="G335" s="9" t="str">
        <f t="shared" ca="1" si="183"/>
        <v xml:space="preserve">The total of development budget in column B must be greater than zero.
</v>
      </c>
    </row>
    <row r="336" spans="1:7" ht="15" customHeight="1">
      <c r="A336" t="str">
        <f ca="1">IF(E336="", F336, "")</f>
        <v/>
      </c>
      <c r="B336" s="52">
        <f>B331+1</f>
        <v>17</v>
      </c>
      <c r="C336" t="str">
        <f ca="1">INDIRECT($F$292 &amp; ADDRESS(B336, 1,4  ))</f>
        <v>General Requirements</v>
      </c>
      <c r="D336" t="str">
        <f>ADDRESS(B336, 2,4  )</f>
        <v>B17</v>
      </c>
      <c r="E336">
        <f t="shared" ca="1" si="185"/>
        <v>0</v>
      </c>
      <c r="F336" t="str">
        <f ca="1">CONCATENATE("Enter a value for '", C336, "' in cell ", D336, ".", CHAR(10))</f>
        <v xml:space="preserve">Enter a value for 'General Requirements' in cell B17.
</v>
      </c>
      <c r="G336" s="9" t="str">
        <f t="shared" ca="1" si="183"/>
        <v xml:space="preserve">The total of development budget in column B must be greater than zero.
</v>
      </c>
    </row>
    <row r="337" spans="1:7" ht="15" customHeight="1">
      <c r="A337" t="str">
        <f ca="1">IF(AND(Calculations!$B$5, E337=""), F337, "")</f>
        <v/>
      </c>
      <c r="B337" t="s">
        <v>457</v>
      </c>
      <c r="C337" t="str">
        <f ca="1">INDIRECT($F$292 &amp; ADDRESS(B336, 1,4  ))</f>
        <v>General Requirements</v>
      </c>
      <c r="D337" t="str">
        <f>ADDRESS(B336, 3,4  )</f>
        <v>C17</v>
      </c>
      <c r="E337">
        <f t="shared" ca="1" si="185"/>
        <v>0</v>
      </c>
      <c r="F337" t="str">
        <f ca="1">CONCATENATE("Enter an '4% LIHTC Basis Calculation' value for '", C337, "' in cell ", D337, ".", CHAR(10))</f>
        <v xml:space="preserve">Enter an '4% LIHTC Basis Calculation' value for 'General Requirements' in cell C17.
</v>
      </c>
      <c r="G337" s="9" t="str">
        <f t="shared" ca="1" si="183"/>
        <v xml:space="preserve">The total of development budget in column B must be greater than zero.
</v>
      </c>
    </row>
    <row r="338" spans="1:7" ht="15" customHeight="1">
      <c r="A338" t="str">
        <f ca="1">IF(AND(Calculations!$B$6, E338=""), F338, "")</f>
        <v/>
      </c>
      <c r="B338" t="s">
        <v>457</v>
      </c>
      <c r="C338" t="str">
        <f ca="1">INDIRECT($F$292 &amp; ADDRESS(B336, 1,4  ))</f>
        <v>General Requirements</v>
      </c>
      <c r="D338" t="str">
        <f>ADDRESS(B336, 4,4  )</f>
        <v>D17</v>
      </c>
      <c r="E338">
        <f t="shared" ca="1" si="185"/>
        <v>0</v>
      </c>
      <c r="F338" t="str">
        <f ca="1">CONCATENATE("Enter an '9% LIHTC Basis Calculation' value for '", C338, "' in cell ", D338, ".", CHAR(10))</f>
        <v xml:space="preserve">Enter an '9% LIHTC Basis Calculation' value for 'General Requirements' in cell D17.
</v>
      </c>
      <c r="G338" s="9" t="str">
        <f t="shared" ca="1" si="183"/>
        <v xml:space="preserve">The total of development budget in column B must be greater than zero.
</v>
      </c>
    </row>
    <row r="339" spans="1:7" ht="15" customHeight="1">
      <c r="A339" t="str">
        <f ca="1">IF(AND(OR(Calculations!$B$3:$B$4), E339=""), F339, "")</f>
        <v/>
      </c>
      <c r="B339" t="s">
        <v>457</v>
      </c>
      <c r="C339" t="str">
        <f ca="1">INDIRECT($F$292 &amp; ADDRESS(B336, 1,4  ))</f>
        <v>General Requirements</v>
      </c>
      <c r="D339" t="str">
        <f>ADDRESS(B336, 5,4  )</f>
        <v>E17</v>
      </c>
      <c r="E339">
        <f t="shared" ca="1" si="185"/>
        <v>0</v>
      </c>
      <c r="F339" t="str">
        <f ca="1">CONCATENATE("Enter an 'Amount Last Provided to CHFA' value for '", C339, "' in cell ", D339, ".", CHAR(10))</f>
        <v xml:space="preserve">Enter an 'Amount Last Provided to CHFA' value for 'General Requirements' in cell E17.
</v>
      </c>
      <c r="G339" s="9" t="str">
        <f t="shared" ca="1" si="183"/>
        <v xml:space="preserve">The total of development budget in column B must be greater than zero.
</v>
      </c>
    </row>
    <row r="340" spans="1:7" ht="15" customHeight="1">
      <c r="A340" t="str">
        <f ca="1">IF(AND(Calculations!$B$3, E340=""), F340, "")</f>
        <v/>
      </c>
      <c r="B340" t="s">
        <v>457</v>
      </c>
      <c r="C340" t="str">
        <f ca="1">INDIRECT($F$292 &amp; ADDRESS(B336, 1,4  ))</f>
        <v>General Requirements</v>
      </c>
      <c r="D340" t="str">
        <f>ADDRESS(B336, 6,4  )</f>
        <v>F17</v>
      </c>
      <c r="E340">
        <f t="shared" ca="1" si="185"/>
        <v>0</v>
      </c>
      <c r="F340" t="str">
        <f ca="1">CONCATENATE("Enter a '10% Carryover Actual Incurred Costs' value for '", C340, "' in cell ", D340, ".", CHAR(10))</f>
        <v xml:space="preserve">Enter a '10% Carryover Actual Incurred Costs' value for 'General Requirements' in cell F17.
</v>
      </c>
      <c r="G340" s="9" t="str">
        <f t="shared" ca="1" si="183"/>
        <v xml:space="preserve">The total of development budget in column B must be greater than zero.
</v>
      </c>
    </row>
    <row r="341" spans="1:7" ht="15" customHeight="1">
      <c r="A341" t="str">
        <f ca="1">IF(E341="", F341, "")</f>
        <v/>
      </c>
      <c r="B341" s="52">
        <f>B336+1</f>
        <v>18</v>
      </c>
      <c r="C341" t="str">
        <f ca="1">INDIRECT($F$292 &amp; ADDRESS(B341, 1,4  ))</f>
        <v>Contractor Overhead</v>
      </c>
      <c r="D341" t="str">
        <f>ADDRESS(B341, 2,4  )</f>
        <v>B18</v>
      </c>
      <c r="E341">
        <f t="shared" ca="1" si="185"/>
        <v>0</v>
      </c>
      <c r="F341" t="str">
        <f ca="1">CONCATENATE("Enter a value for '", C341, "' in cell ", D341, ".", CHAR(10))</f>
        <v xml:space="preserve">Enter a value for 'Contractor Overhead' in cell B18.
</v>
      </c>
      <c r="G341" s="9" t="str">
        <f t="shared" ca="1" si="183"/>
        <v xml:space="preserve">The total of development budget in column B must be greater than zero.
</v>
      </c>
    </row>
    <row r="342" spans="1:7" ht="15" customHeight="1">
      <c r="A342" t="str">
        <f ca="1">IF(AND(Calculations!$B$5, E342=""), F342, "")</f>
        <v/>
      </c>
      <c r="B342" t="s">
        <v>457</v>
      </c>
      <c r="C342" t="str">
        <f ca="1">INDIRECT($F$292 &amp; ADDRESS(B341, 1,4  ))</f>
        <v>Contractor Overhead</v>
      </c>
      <c r="D342" t="str">
        <f>ADDRESS(B341, 3,4  )</f>
        <v>C18</v>
      </c>
      <c r="E342">
        <f t="shared" ca="1" si="185"/>
        <v>0</v>
      </c>
      <c r="F342" t="str">
        <f ca="1">CONCATENATE("Enter an '4% LIHTC Basis Calculation' value for '", C342, "' in cell ", D342, ".", CHAR(10))</f>
        <v xml:space="preserve">Enter an '4% LIHTC Basis Calculation' value for 'Contractor Overhead' in cell C18.
</v>
      </c>
      <c r="G342" s="9" t="str">
        <f t="shared" ca="1" si="183"/>
        <v xml:space="preserve">The total of development budget in column B must be greater than zero.
</v>
      </c>
    </row>
    <row r="343" spans="1:7" ht="15" customHeight="1">
      <c r="A343" t="str">
        <f ca="1">IF(AND(Calculations!$B$6, E343=""), F343, "")</f>
        <v/>
      </c>
      <c r="B343" t="s">
        <v>457</v>
      </c>
      <c r="C343" t="str">
        <f ca="1">INDIRECT($F$292 &amp; ADDRESS(B341, 1,4  ))</f>
        <v>Contractor Overhead</v>
      </c>
      <c r="D343" t="str">
        <f>ADDRESS(B341, 4,4  )</f>
        <v>D18</v>
      </c>
      <c r="E343">
        <f t="shared" ca="1" si="185"/>
        <v>0</v>
      </c>
      <c r="F343" t="str">
        <f ca="1">CONCATENATE("Enter an '9% LIHTC Basis Calculation' value for '", C343, "' in cell ", D343, ".", CHAR(10))</f>
        <v xml:space="preserve">Enter an '9% LIHTC Basis Calculation' value for 'Contractor Overhead' in cell D18.
</v>
      </c>
      <c r="G343" s="9" t="str">
        <f t="shared" ca="1" si="183"/>
        <v xml:space="preserve">The total of development budget in column B must be greater than zero.
</v>
      </c>
    </row>
    <row r="344" spans="1:7" ht="15" customHeight="1">
      <c r="A344" t="str">
        <f ca="1">IF(AND(OR(Calculations!$B$3:$B$4), E344=""), F344, "")</f>
        <v/>
      </c>
      <c r="B344" t="s">
        <v>457</v>
      </c>
      <c r="C344" t="str">
        <f ca="1">INDIRECT($F$292 &amp; ADDRESS(B341, 1,4  ))</f>
        <v>Contractor Overhead</v>
      </c>
      <c r="D344" t="str">
        <f>ADDRESS(B341, 5,4  )</f>
        <v>E18</v>
      </c>
      <c r="E344">
        <f t="shared" ca="1" si="185"/>
        <v>0</v>
      </c>
      <c r="F344" t="str">
        <f ca="1">CONCATENATE("Enter an 'Amount Last Provided to CHFA' value for '", C344, "' in cell ", D344, ".", CHAR(10))</f>
        <v xml:space="preserve">Enter an 'Amount Last Provided to CHFA' value for 'Contractor Overhead' in cell E18.
</v>
      </c>
      <c r="G344" s="9" t="str">
        <f t="shared" ca="1" si="183"/>
        <v xml:space="preserve">The total of development budget in column B must be greater than zero.
</v>
      </c>
    </row>
    <row r="345" spans="1:7" ht="15" customHeight="1">
      <c r="A345" t="str">
        <f ca="1">IF(AND(Calculations!$B$3, E345=""), F345, "")</f>
        <v/>
      </c>
      <c r="B345" t="s">
        <v>457</v>
      </c>
      <c r="C345" t="str">
        <f ca="1">INDIRECT($F$292 &amp; ADDRESS(B341, 1,4  ))</f>
        <v>Contractor Overhead</v>
      </c>
      <c r="D345" t="str">
        <f>ADDRESS(B341, 6,4  )</f>
        <v>F18</v>
      </c>
      <c r="E345">
        <f t="shared" ca="1" si="185"/>
        <v>0</v>
      </c>
      <c r="F345" t="str">
        <f ca="1">CONCATENATE("Enter a '10% Carryover Actual Incurred Costs' value for '", C345, "' in cell ", D345, ".", CHAR(10))</f>
        <v xml:space="preserve">Enter a '10% Carryover Actual Incurred Costs' value for 'Contractor Overhead' in cell F18.
</v>
      </c>
      <c r="G345" s="9" t="str">
        <f t="shared" ca="1" si="183"/>
        <v xml:space="preserve">The total of development budget in column B must be greater than zero.
</v>
      </c>
    </row>
    <row r="346" spans="1:7" ht="15" customHeight="1">
      <c r="A346" t="str">
        <f ca="1">IF(E346="", F346, "")</f>
        <v/>
      </c>
      <c r="B346" s="52">
        <f>B341+1</f>
        <v>19</v>
      </c>
      <c r="C346" t="str">
        <f ca="1">INDIRECT($F$292 &amp; ADDRESS(B346, 1,4  ))</f>
        <v>Contractor Profit</v>
      </c>
      <c r="D346" t="str">
        <f>ADDRESS(B346, 2,4  )</f>
        <v>B19</v>
      </c>
      <c r="E346">
        <f t="shared" ca="1" si="185"/>
        <v>0</v>
      </c>
      <c r="F346" t="str">
        <f ca="1">CONCATENATE("Enter a value for '", C346, "' in cell ", D346, ".", CHAR(10))</f>
        <v xml:space="preserve">Enter a value for 'Contractor Profit' in cell B19.
</v>
      </c>
      <c r="G346" s="9" t="str">
        <f t="shared" ca="1" si="183"/>
        <v xml:space="preserve">The total of development budget in column B must be greater than zero.
</v>
      </c>
    </row>
    <row r="347" spans="1:7" ht="15" customHeight="1">
      <c r="A347" t="str">
        <f ca="1">IF(AND(Calculations!$B$5, E347=""), F347, "")</f>
        <v/>
      </c>
      <c r="B347" t="s">
        <v>457</v>
      </c>
      <c r="C347" t="str">
        <f ca="1">INDIRECT($F$292 &amp; ADDRESS(B346, 1,4  ))</f>
        <v>Contractor Profit</v>
      </c>
      <c r="D347" t="str">
        <f>ADDRESS(B346, 3,4  )</f>
        <v>C19</v>
      </c>
      <c r="E347">
        <f t="shared" ca="1" si="185"/>
        <v>0</v>
      </c>
      <c r="F347" t="str">
        <f ca="1">CONCATENATE("Enter an '4% LIHTC Basis Calculation' value for '", C347, "' in cell ", D347, ".", CHAR(10))</f>
        <v xml:space="preserve">Enter an '4% LIHTC Basis Calculation' value for 'Contractor Profit' in cell C19.
</v>
      </c>
      <c r="G347" s="9" t="str">
        <f t="shared" ca="1" si="183"/>
        <v xml:space="preserve">The total of development budget in column B must be greater than zero.
</v>
      </c>
    </row>
    <row r="348" spans="1:7" ht="15" customHeight="1">
      <c r="A348" t="str">
        <f ca="1">IF(AND(Calculations!$B$6, E348=""), F348, "")</f>
        <v/>
      </c>
      <c r="B348" t="s">
        <v>457</v>
      </c>
      <c r="C348" t="str">
        <f ca="1">INDIRECT($F$292 &amp; ADDRESS(B346, 1,4  ))</f>
        <v>Contractor Profit</v>
      </c>
      <c r="D348" t="str">
        <f>ADDRESS(B346, 4,4  )</f>
        <v>D19</v>
      </c>
      <c r="E348">
        <f t="shared" ca="1" si="185"/>
        <v>0</v>
      </c>
      <c r="F348" t="str">
        <f ca="1">CONCATENATE("Enter an '9% LIHTC Basis Calculation' value for '", C348, "' in cell ", D348, ".", CHAR(10))</f>
        <v xml:space="preserve">Enter an '9% LIHTC Basis Calculation' value for 'Contractor Profit' in cell D19.
</v>
      </c>
      <c r="G348" s="9" t="str">
        <f t="shared" ca="1" si="183"/>
        <v xml:space="preserve">The total of development budget in column B must be greater than zero.
</v>
      </c>
    </row>
    <row r="349" spans="1:7" ht="15" customHeight="1">
      <c r="A349" t="str">
        <f ca="1">IF(AND(OR(Calculations!$B$3:$B$4), E349=""), F349, "")</f>
        <v/>
      </c>
      <c r="B349" t="s">
        <v>457</v>
      </c>
      <c r="C349" t="str">
        <f ca="1">INDIRECT($F$292 &amp; ADDRESS(B346, 1,4  ))</f>
        <v>Contractor Profit</v>
      </c>
      <c r="D349" t="str">
        <f>ADDRESS(B346, 5,4  )</f>
        <v>E19</v>
      </c>
      <c r="E349">
        <f t="shared" ca="1" si="185"/>
        <v>0</v>
      </c>
      <c r="F349" t="str">
        <f ca="1">CONCATENATE("Enter an 'Amount Last Provided to CHFA' value for '", C349, "' in cell ", D349, ".", CHAR(10))</f>
        <v xml:space="preserve">Enter an 'Amount Last Provided to CHFA' value for 'Contractor Profit' in cell E19.
</v>
      </c>
      <c r="G349" s="9" t="str">
        <f t="shared" ca="1" si="183"/>
        <v xml:space="preserve">The total of development budget in column B must be greater than zero.
</v>
      </c>
    </row>
    <row r="350" spans="1:7" ht="15" customHeight="1">
      <c r="A350" t="str">
        <f ca="1">IF(AND(Calculations!$B$3, E350=""), F350, "")</f>
        <v/>
      </c>
      <c r="B350" t="s">
        <v>457</v>
      </c>
      <c r="C350" t="str">
        <f ca="1">INDIRECT($F$292 &amp; ADDRESS(B346, 1,4  ))</f>
        <v>Contractor Profit</v>
      </c>
      <c r="D350" t="str">
        <f>ADDRESS(B346, 6,4  )</f>
        <v>F19</v>
      </c>
      <c r="E350">
        <f t="shared" ca="1" si="185"/>
        <v>0</v>
      </c>
      <c r="F350" t="str">
        <f ca="1">CONCATENATE("Enter a '10% Carryover Actual Incurred Costs' value for '", C350, "' in cell ", D350, ".", CHAR(10))</f>
        <v xml:space="preserve">Enter a '10% Carryover Actual Incurred Costs' value for 'Contractor Profit' in cell F19.
</v>
      </c>
      <c r="G350" s="9" t="str">
        <f t="shared" ca="1" si="183"/>
        <v xml:space="preserve">The total of development budget in column B must be greater than zero.
</v>
      </c>
    </row>
    <row r="351" spans="1:7" ht="15" customHeight="1">
      <c r="A351" t="str">
        <f ca="1">IF(E351="", F351, "")</f>
        <v/>
      </c>
      <c r="B351" s="52">
        <f>B346+1</f>
        <v>20</v>
      </c>
      <c r="C351" t="str">
        <f ca="1">INDIRECT($F$292 &amp; ADDRESS(B351, 1,4  ))</f>
        <v>Contractor Construction Contingency</v>
      </c>
      <c r="D351" t="str">
        <f>ADDRESS(B351, 2,4  )</f>
        <v>B20</v>
      </c>
      <c r="E351">
        <f t="shared" ca="1" si="185"/>
        <v>0</v>
      </c>
      <c r="F351" t="str">
        <f ca="1">CONCATENATE("Enter a value for '", C351, "' in cell ", D351, ".", CHAR(10))</f>
        <v xml:space="preserve">Enter a value for 'Contractor Construction Contingency' in cell B20.
</v>
      </c>
      <c r="G351" s="9" t="str">
        <f t="shared" ca="1" si="183"/>
        <v xml:space="preserve">The total of development budget in column B must be greater than zero.
</v>
      </c>
    </row>
    <row r="352" spans="1:7" ht="15" customHeight="1">
      <c r="A352" t="str">
        <f ca="1">IF(AND(Calculations!$B$5, E352=""), F352, "")</f>
        <v/>
      </c>
      <c r="B352" t="s">
        <v>457</v>
      </c>
      <c r="C352" t="str">
        <f ca="1">INDIRECT($F$292 &amp; ADDRESS(B351, 1,4  ))</f>
        <v>Contractor Construction Contingency</v>
      </c>
      <c r="D352" t="str">
        <f>ADDRESS(B351, 3,4  )</f>
        <v>C20</v>
      </c>
      <c r="E352">
        <f t="shared" ca="1" si="185"/>
        <v>0</v>
      </c>
      <c r="F352" t="str">
        <f ca="1">CONCATENATE("Enter an '4% LIHTC Basis Calculation' value for '", C352, "' in cell ", D352, ".", CHAR(10))</f>
        <v xml:space="preserve">Enter an '4% LIHTC Basis Calculation' value for 'Contractor Construction Contingency' in cell C20.
</v>
      </c>
      <c r="G352" s="9" t="str">
        <f t="shared" ca="1" si="183"/>
        <v xml:space="preserve">The total of development budget in column B must be greater than zero.
</v>
      </c>
    </row>
    <row r="353" spans="1:8" ht="15" customHeight="1">
      <c r="A353" t="str">
        <f ca="1">IF(AND(Calculations!$B$6, E353=""), F353, "")</f>
        <v/>
      </c>
      <c r="B353" t="s">
        <v>457</v>
      </c>
      <c r="C353" t="str">
        <f ca="1">INDIRECT($F$292 &amp; ADDRESS(B351, 1,4  ))</f>
        <v>Contractor Construction Contingency</v>
      </c>
      <c r="D353" t="str">
        <f>ADDRESS(B351, 4,4  )</f>
        <v>D20</v>
      </c>
      <c r="E353">
        <f t="shared" ca="1" si="185"/>
        <v>0</v>
      </c>
      <c r="F353" t="str">
        <f ca="1">CONCATENATE("Enter an '9% LIHTC Basis Calculation' value for '", C353, "' in cell ", D353, ".", CHAR(10))</f>
        <v xml:space="preserve">Enter an '9% LIHTC Basis Calculation' value for 'Contractor Construction Contingency' in cell D20.
</v>
      </c>
      <c r="G353" s="9" t="str">
        <f t="shared" ca="1" si="183"/>
        <v xml:space="preserve">The total of development budget in column B must be greater than zero.
</v>
      </c>
    </row>
    <row r="354" spans="1:8" ht="15" customHeight="1">
      <c r="A354" t="str">
        <f ca="1">IF(AND(OR(Calculations!$B$3:$B$4), E354=""), F354, "")</f>
        <v/>
      </c>
      <c r="B354" t="s">
        <v>457</v>
      </c>
      <c r="C354" t="str">
        <f ca="1">INDIRECT($F$292 &amp; ADDRESS(B351, 1,4  ))</f>
        <v>Contractor Construction Contingency</v>
      </c>
      <c r="D354" t="str">
        <f>ADDRESS(B351, 5,4  )</f>
        <v>E20</v>
      </c>
      <c r="E354">
        <f t="shared" ca="1" si="185"/>
        <v>0</v>
      </c>
      <c r="F354" t="str">
        <f ca="1">CONCATENATE("Enter an 'Amount Last Provided to CHFA' value for '", C354, "' in cell ", D354, ".", CHAR(10))</f>
        <v xml:space="preserve">Enter an 'Amount Last Provided to CHFA' value for 'Contractor Construction Contingency' in cell E20.
</v>
      </c>
      <c r="G354" s="9" t="str">
        <f t="shared" ca="1" si="183"/>
        <v xml:space="preserve">The total of development budget in column B must be greater than zero.
</v>
      </c>
    </row>
    <row r="355" spans="1:8" ht="15" customHeight="1">
      <c r="A355" t="str">
        <f ca="1">IF(AND(Calculations!$B$3, E355=""), F355, "")</f>
        <v/>
      </c>
      <c r="B355" t="s">
        <v>457</v>
      </c>
      <c r="C355" t="str">
        <f ca="1">INDIRECT($F$292 &amp; ADDRESS(B351, 1,4  ))</f>
        <v>Contractor Construction Contingency</v>
      </c>
      <c r="D355" t="str">
        <f>ADDRESS(B351, 6,4  )</f>
        <v>F20</v>
      </c>
      <c r="E355">
        <f t="shared" ca="1" si="185"/>
        <v>0</v>
      </c>
      <c r="F355" t="str">
        <f ca="1">CONCATENATE("Enter a '10% Carryover Actual Incurred Costs' value for '", C355, "' in cell ", D355, ".", CHAR(10))</f>
        <v xml:space="preserve">Enter a '10% Carryover Actual Incurred Costs' value for 'Contractor Construction Contingency' in cell F20.
</v>
      </c>
      <c r="G355" s="9" t="str">
        <f t="shared" ca="1" si="183"/>
        <v xml:space="preserve">The total of development budget in column B must be greater than zero.
</v>
      </c>
    </row>
    <row r="356" spans="1:8" ht="15" customHeight="1">
      <c r="A356" t="str">
        <f ca="1">IF(E356="", F356, "")</f>
        <v/>
      </c>
      <c r="B356" s="52">
        <f>B351+1</f>
        <v>21</v>
      </c>
      <c r="C356" t="str">
        <f ca="1">INDIRECT($F$292 &amp; ADDRESS(B356, 1,4  ))</f>
        <v>Owner Hard Cost Contingency</v>
      </c>
      <c r="D356" t="str">
        <f>ADDRESS(B356, 2,4  )</f>
        <v>B21</v>
      </c>
      <c r="E356">
        <f t="shared" ca="1" si="185"/>
        <v>0</v>
      </c>
      <c r="F356" t="str">
        <f ca="1">CONCATENATE("Enter a value for '", C356, "' in cell ", D356, ".", CHAR(10))</f>
        <v xml:space="preserve">Enter a value for 'Owner Hard Cost Contingency' in cell B21.
</v>
      </c>
      <c r="G356" s="9" t="str">
        <f t="shared" ca="1" si="183"/>
        <v xml:space="preserve">The total of development budget in column B must be greater than zero.
</v>
      </c>
    </row>
    <row r="357" spans="1:8" ht="15" customHeight="1">
      <c r="A357" t="str">
        <f ca="1">IF(AND(Calculations!$B$5, E357=""), F357, "")</f>
        <v/>
      </c>
      <c r="B357" t="s">
        <v>457</v>
      </c>
      <c r="C357" t="str">
        <f ca="1">INDIRECT($F$292 &amp; ADDRESS(B356, 1,4  ))</f>
        <v>Owner Hard Cost Contingency</v>
      </c>
      <c r="D357" t="str">
        <f>ADDRESS(B356, 3,4  )</f>
        <v>C21</v>
      </c>
      <c r="E357">
        <f t="shared" ca="1" si="185"/>
        <v>0</v>
      </c>
      <c r="F357" t="str">
        <f ca="1">CONCATENATE("Enter an '4% LIHTC Basis Calculation' value for '", C357, "' in cell ", D357, ".", CHAR(10))</f>
        <v xml:space="preserve">Enter an '4% LIHTC Basis Calculation' value for 'Owner Hard Cost Contingency' in cell C21.
</v>
      </c>
      <c r="G357" s="9" t="str">
        <f t="shared" ref="G357:G420" ca="1" si="186">OFFSET(G357, -1, 0) &amp; A357</f>
        <v xml:space="preserve">The total of development budget in column B must be greater than zero.
</v>
      </c>
    </row>
    <row r="358" spans="1:8" ht="15" customHeight="1">
      <c r="A358" t="str">
        <f ca="1">IF(AND(Calculations!$B$6, E358=""), F358, "")</f>
        <v/>
      </c>
      <c r="B358" t="s">
        <v>457</v>
      </c>
      <c r="C358" t="str">
        <f ca="1">INDIRECT($F$292 &amp; ADDRESS(B356, 1,4  ))</f>
        <v>Owner Hard Cost Contingency</v>
      </c>
      <c r="D358" t="str">
        <f>ADDRESS(B356, 4,4  )</f>
        <v>D21</v>
      </c>
      <c r="E358">
        <f t="shared" ca="1" si="185"/>
        <v>0</v>
      </c>
      <c r="F358" t="str">
        <f ca="1">CONCATENATE("Enter an '9% LIHTC Basis Calculation' value for '", C358, "' in cell ", D358, ".", CHAR(10))</f>
        <v xml:space="preserve">Enter an '9% LIHTC Basis Calculation' value for 'Owner Hard Cost Contingency' in cell D21.
</v>
      </c>
      <c r="G358" s="9" t="str">
        <f t="shared" ca="1" si="186"/>
        <v xml:space="preserve">The total of development budget in column B must be greater than zero.
</v>
      </c>
    </row>
    <row r="359" spans="1:8" ht="15" customHeight="1">
      <c r="A359" t="str">
        <f ca="1">IF(AND(OR(Calculations!$B$3:$B$4), E359=""), F359, "")</f>
        <v/>
      </c>
      <c r="B359" t="s">
        <v>457</v>
      </c>
      <c r="C359" t="str">
        <f ca="1">INDIRECT($F$292 &amp; ADDRESS(B356, 1,4  ))</f>
        <v>Owner Hard Cost Contingency</v>
      </c>
      <c r="D359" t="str">
        <f>ADDRESS(B356, 5,4  )</f>
        <v>E21</v>
      </c>
      <c r="E359">
        <f t="shared" ca="1" si="185"/>
        <v>0</v>
      </c>
      <c r="F359" t="str">
        <f ca="1">CONCATENATE("Enter an 'Amount Last Provided to CHFA' value for '", C359, "' in cell ", D359, ".", CHAR(10))</f>
        <v xml:space="preserve">Enter an 'Amount Last Provided to CHFA' value for 'Owner Hard Cost Contingency' in cell E21.
</v>
      </c>
      <c r="G359" s="9" t="str">
        <f t="shared" ca="1" si="186"/>
        <v xml:space="preserve">The total of development budget in column B must be greater than zero.
</v>
      </c>
    </row>
    <row r="360" spans="1:8" ht="15" customHeight="1">
      <c r="A360" t="str">
        <f ca="1">IF(AND(Calculations!$B$3, E360=""), F360, "")</f>
        <v/>
      </c>
      <c r="B360" t="s">
        <v>457</v>
      </c>
      <c r="C360" t="str">
        <f ca="1">INDIRECT($F$292 &amp; ADDRESS(B356, 1,4  ))</f>
        <v>Owner Hard Cost Contingency</v>
      </c>
      <c r="D360" t="str">
        <f>ADDRESS(B356, 6,4  )</f>
        <v>F21</v>
      </c>
      <c r="E360">
        <f t="shared" ca="1" si="185"/>
        <v>0</v>
      </c>
      <c r="F360" t="str">
        <f ca="1">CONCATENATE("Enter a '10% Carryover Actual Incurred Costs' value for '", C360, "' in cell ", D360, ".", CHAR(10))</f>
        <v xml:space="preserve">Enter a '10% Carryover Actual Incurred Costs' value for 'Owner Hard Cost Contingency' in cell F21.
</v>
      </c>
      <c r="G360" s="9" t="str">
        <f t="shared" ca="1" si="186"/>
        <v xml:space="preserve">The total of development budget in column B must be greater than zero.
</v>
      </c>
    </row>
    <row r="361" spans="1:8" ht="15" customHeight="1">
      <c r="A361" t="str">
        <f ca="1">IF(E361="", F361, "")</f>
        <v/>
      </c>
      <c r="B361" s="52">
        <f>B356+1</f>
        <v>22</v>
      </c>
      <c r="C361" t="str">
        <f ca="1">INDIRECT($F$292 &amp; ADDRESS(B361, 1,4  ))</f>
        <v>Furniture, Fixtures, &amp; Equipment</v>
      </c>
      <c r="D361" t="str">
        <f>ADDRESS(B361, 2,4  )</f>
        <v>B22</v>
      </c>
      <c r="E361">
        <f t="shared" ca="1" si="185"/>
        <v>0</v>
      </c>
      <c r="F361" t="str">
        <f ca="1">CONCATENATE("Enter a value for '", C361, "' in cell ", D361, ".", CHAR(10))</f>
        <v xml:space="preserve">Enter a value for 'Furniture, Fixtures, &amp; Equipment' in cell B22.
</v>
      </c>
      <c r="G361" s="9" t="str">
        <f t="shared" ca="1" si="186"/>
        <v xml:space="preserve">The total of development budget in column B must be greater than zero.
</v>
      </c>
    </row>
    <row r="362" spans="1:8" ht="15" customHeight="1">
      <c r="A362" t="str">
        <f ca="1">IF(AND(Calculations!$B$5, E362=""), F362, "")</f>
        <v/>
      </c>
      <c r="B362" t="s">
        <v>457</v>
      </c>
      <c r="C362" t="str">
        <f ca="1">INDIRECT($F$292 &amp; ADDRESS(B361, 1,4  ))</f>
        <v>Furniture, Fixtures, &amp; Equipment</v>
      </c>
      <c r="D362" t="str">
        <f>ADDRESS(B361, 3,4  )</f>
        <v>C22</v>
      </c>
      <c r="E362">
        <f t="shared" ref="E362:E375" ca="1" si="187">IF(ISBLANK( INDIRECT($F$292 &amp; D362)),"", INDIRECT($F$292 &amp; D362))</f>
        <v>0</v>
      </c>
      <c r="F362" t="str">
        <f ca="1">CONCATENATE("Enter an '4% LIHTC Basis Calculation' value for '", C362, "' in cell ", D362, ".", CHAR(10))</f>
        <v xml:space="preserve">Enter an '4% LIHTC Basis Calculation' value for 'Furniture, Fixtures, &amp; Equipment' in cell C22.
</v>
      </c>
      <c r="G362" s="9" t="str">
        <f t="shared" ca="1" si="186"/>
        <v xml:space="preserve">The total of development budget in column B must be greater than zero.
</v>
      </c>
    </row>
    <row r="363" spans="1:8" ht="15" customHeight="1">
      <c r="A363" t="str">
        <f ca="1">IF(AND(Calculations!$B$6, E363=""), F363, "")</f>
        <v/>
      </c>
      <c r="B363" t="s">
        <v>457</v>
      </c>
      <c r="C363" t="str">
        <f ca="1">INDIRECT($F$292 &amp; ADDRESS(B361, 1,4  ))</f>
        <v>Furniture, Fixtures, &amp; Equipment</v>
      </c>
      <c r="D363" t="str">
        <f>ADDRESS(B361, 4,4  )</f>
        <v>D22</v>
      </c>
      <c r="E363">
        <f t="shared" ca="1" si="187"/>
        <v>0</v>
      </c>
      <c r="F363" t="str">
        <f ca="1">CONCATENATE("Enter an '9% LIHTC Basis Calculation' value for '", C363, "' in cell ", D363, ".", CHAR(10))</f>
        <v xml:space="preserve">Enter an '9% LIHTC Basis Calculation' value for 'Furniture, Fixtures, &amp; Equipment' in cell D22.
</v>
      </c>
      <c r="G363" s="9" t="str">
        <f t="shared" ca="1" si="186"/>
        <v xml:space="preserve">The total of development budget in column B must be greater than zero.
</v>
      </c>
    </row>
    <row r="364" spans="1:8" ht="15" customHeight="1">
      <c r="A364" t="str">
        <f ca="1">IF(AND(OR(Calculations!$B$3:$B$4), E364=""), F364, "")</f>
        <v/>
      </c>
      <c r="B364" t="s">
        <v>457</v>
      </c>
      <c r="C364" t="str">
        <f ca="1">INDIRECT($F$292 &amp; ADDRESS(B361, 1,4  ))</f>
        <v>Furniture, Fixtures, &amp; Equipment</v>
      </c>
      <c r="D364" t="str">
        <f>ADDRESS(B361, 5,4  )</f>
        <v>E22</v>
      </c>
      <c r="E364">
        <f t="shared" ca="1" si="187"/>
        <v>0</v>
      </c>
      <c r="F364" t="str">
        <f ca="1">CONCATENATE("Enter an 'Amount Last Provided to CHFA' value for '", C364, "' in cell ", D364, ".", CHAR(10))</f>
        <v xml:space="preserve">Enter an 'Amount Last Provided to CHFA' value for 'Furniture, Fixtures, &amp; Equipment' in cell E22.
</v>
      </c>
      <c r="G364" s="9" t="str">
        <f t="shared" ca="1" si="186"/>
        <v xml:space="preserve">The total of development budget in column B must be greater than zero.
</v>
      </c>
    </row>
    <row r="365" spans="1:8" ht="15" customHeight="1">
      <c r="A365" t="str">
        <f ca="1">IF(AND(Calculations!$B$3, E365=""), F365, "")</f>
        <v/>
      </c>
      <c r="B365" t="s">
        <v>457</v>
      </c>
      <c r="C365" t="str">
        <f ca="1">INDIRECT($F$292 &amp; ADDRESS(B361, 1,4  ))</f>
        <v>Furniture, Fixtures, &amp; Equipment</v>
      </c>
      <c r="D365" t="str">
        <f>ADDRESS(B361, 6,4  )</f>
        <v>F22</v>
      </c>
      <c r="E365">
        <f t="shared" ca="1" si="187"/>
        <v>0</v>
      </c>
      <c r="F365" t="str">
        <f ca="1">CONCATENATE("Enter a '10% Carryover Actual Incurred Costs' value for '", C365, "' in cell ", D365, ".", CHAR(10))</f>
        <v xml:space="preserve">Enter a '10% Carryover Actual Incurred Costs' value for 'Furniture, Fixtures, &amp; Equipment' in cell F22.
</v>
      </c>
      <c r="G365" s="9" t="str">
        <f t="shared" ca="1" si="186"/>
        <v xml:space="preserve">The total of development budget in column B must be greater than zero.
</v>
      </c>
    </row>
    <row r="366" spans="1:8" ht="15" customHeight="1">
      <c r="A366" t="str">
        <f ca="1">IF(E366="", F366, "")</f>
        <v/>
      </c>
      <c r="B366" s="52">
        <f>B361+1</f>
        <v>23</v>
      </c>
      <c r="C366" t="str">
        <f ca="1">INDIRECT($F$292 &amp; ADDRESS(B366, 1,4  ))</f>
        <v>Building Permits</v>
      </c>
      <c r="D366" t="str">
        <f>ADDRESS(B366, 2,4  )</f>
        <v>B23</v>
      </c>
      <c r="E366">
        <f t="shared" ca="1" si="187"/>
        <v>0</v>
      </c>
      <c r="F366" t="str">
        <f ca="1">CONCATENATE("Enter a value for '", C366, "' in cell ", D366, ".", CHAR(10))</f>
        <v xml:space="preserve">Enter a value for 'Building Permits' in cell B23.
</v>
      </c>
      <c r="G366" s="9" t="str">
        <f t="shared" ca="1" si="186"/>
        <v xml:space="preserve">The total of development budget in column B must be greater than zero.
</v>
      </c>
      <c r="H366" t="s">
        <v>3693</v>
      </c>
    </row>
    <row r="367" spans="1:8" ht="15" customHeight="1">
      <c r="A367" t="str">
        <f ca="1">IF(AND(Calculations!$B$5, E367=""), F367, "")</f>
        <v/>
      </c>
      <c r="B367" t="s">
        <v>457</v>
      </c>
      <c r="C367" t="str">
        <f ca="1">INDIRECT($F$292 &amp; ADDRESS(B366, 1,4  ))</f>
        <v>Building Permits</v>
      </c>
      <c r="D367" t="str">
        <f>ADDRESS(B366, 3,4  )</f>
        <v>C23</v>
      </c>
      <c r="E367">
        <f t="shared" ca="1" si="187"/>
        <v>0</v>
      </c>
      <c r="F367" t="str">
        <f ca="1">CONCATENATE("Enter an '4% LIHTC Basis Calculation' value for '", C367, "' in cell ", D367, ".", CHAR(10))</f>
        <v xml:space="preserve">Enter an '4% LIHTC Basis Calculation' value for 'Building Permits' in cell C23.
</v>
      </c>
      <c r="G367" s="9" t="str">
        <f t="shared" ca="1" si="186"/>
        <v xml:space="preserve">The total of development budget in column B must be greater than zero.
</v>
      </c>
    </row>
    <row r="368" spans="1:8" ht="15" customHeight="1">
      <c r="A368" t="str">
        <f ca="1">IF(AND(Calculations!$B$6, E368=""), F368, "")</f>
        <v/>
      </c>
      <c r="B368" t="s">
        <v>457</v>
      </c>
      <c r="C368" t="str">
        <f ca="1">INDIRECT($F$292 &amp; ADDRESS(B366, 1,4  ))</f>
        <v>Building Permits</v>
      </c>
      <c r="D368" t="str">
        <f>ADDRESS(B366, 4,4  )</f>
        <v>D23</v>
      </c>
      <c r="E368">
        <f t="shared" ca="1" si="187"/>
        <v>0</v>
      </c>
      <c r="F368" t="str">
        <f ca="1">CONCATENATE("Enter an '9% LIHTC Basis Calculation' value for '", C368, "' in cell ", D368, ".", CHAR(10))</f>
        <v xml:space="preserve">Enter an '9% LIHTC Basis Calculation' value for 'Building Permits' in cell D23.
</v>
      </c>
      <c r="G368" s="9" t="str">
        <f t="shared" ca="1" si="186"/>
        <v xml:space="preserve">The total of development budget in column B must be greater than zero.
</v>
      </c>
    </row>
    <row r="369" spans="1:7" ht="15" customHeight="1">
      <c r="A369" t="str">
        <f ca="1">IF(AND(OR(Calculations!$B$3:$B$4), E369=""), F369, "")</f>
        <v/>
      </c>
      <c r="B369" t="s">
        <v>457</v>
      </c>
      <c r="C369" t="str">
        <f ca="1">INDIRECT($F$292 &amp; ADDRESS(B366, 1,4  ))</f>
        <v>Building Permits</v>
      </c>
      <c r="D369" t="str">
        <f>ADDRESS(B366, 5,4  )</f>
        <v>E23</v>
      </c>
      <c r="E369">
        <f t="shared" ca="1" si="187"/>
        <v>0</v>
      </c>
      <c r="F369" t="str">
        <f ca="1">CONCATENATE("Enter an 'Amount Last Provided to CHFA' value for '", C369, "' in cell ", D369, ".", CHAR(10))</f>
        <v xml:space="preserve">Enter an 'Amount Last Provided to CHFA' value for 'Building Permits' in cell E23.
</v>
      </c>
      <c r="G369" s="9" t="str">
        <f t="shared" ca="1" si="186"/>
        <v xml:space="preserve">The total of development budget in column B must be greater than zero.
</v>
      </c>
    </row>
    <row r="370" spans="1:7" ht="15" customHeight="1">
      <c r="A370" t="str">
        <f ca="1">IF(AND(Calculations!$B$3, E370=""), F370, "")</f>
        <v/>
      </c>
      <c r="B370" t="s">
        <v>457</v>
      </c>
      <c r="C370" t="str">
        <f ca="1">INDIRECT($F$292 &amp; ADDRESS(B366, 1,4  ))</f>
        <v>Building Permits</v>
      </c>
      <c r="D370" t="str">
        <f>ADDRESS(B366, 6,4  )</f>
        <v>F23</v>
      </c>
      <c r="E370">
        <f t="shared" ca="1" si="187"/>
        <v>0</v>
      </c>
      <c r="F370" t="str">
        <f ca="1">CONCATENATE("Enter a '10% Carryover Actual Incurred Costs' value for '", C370, "' in cell ", D370, ".", CHAR(10))</f>
        <v xml:space="preserve">Enter a '10% Carryover Actual Incurred Costs' value for 'Building Permits' in cell F23.
</v>
      </c>
      <c r="G370" s="9" t="str">
        <f t="shared" ca="1" si="186"/>
        <v xml:space="preserve">The total of development budget in column B must be greater than zero.
</v>
      </c>
    </row>
    <row r="371" spans="1:7" ht="15" customHeight="1">
      <c r="A371" t="str">
        <f ca="1">IF(E371="", F371, "")</f>
        <v/>
      </c>
      <c r="B371" s="52">
        <f>B366+1</f>
        <v>24</v>
      </c>
      <c r="C371" t="str">
        <f ca="1">INDIRECT($F$292 &amp; ADDRESS(B371, 1,4  ))</f>
        <v>Other (Specify)</v>
      </c>
      <c r="D371" t="str">
        <f>ADDRESS(B371, 2,4  )</f>
        <v>B24</v>
      </c>
      <c r="E371">
        <f t="shared" ca="1" si="187"/>
        <v>0</v>
      </c>
      <c r="F371" t="str">
        <f ca="1">CONCATENATE("Enter a value for '", C371, "' in cell ", D371, ".", CHAR(10))</f>
        <v xml:space="preserve">Enter a value for 'Other (Specify)' in cell B24.
</v>
      </c>
      <c r="G371" s="9" t="str">
        <f t="shared" ca="1" si="186"/>
        <v xml:space="preserve">The total of development budget in column B must be greater than zero.
</v>
      </c>
    </row>
    <row r="372" spans="1:7" ht="15" customHeight="1">
      <c r="A372" t="str">
        <f ca="1">IF(AND(Calculations!$B$5, E372=""), F372, "")</f>
        <v/>
      </c>
      <c r="B372" t="s">
        <v>457</v>
      </c>
      <c r="C372" t="str">
        <f ca="1">INDIRECT($F$292 &amp; ADDRESS(B371, 1,4  ))</f>
        <v>Other (Specify)</v>
      </c>
      <c r="D372" t="str">
        <f>ADDRESS(B371, 3,4  )</f>
        <v>C24</v>
      </c>
      <c r="E372">
        <f t="shared" ca="1" si="187"/>
        <v>0</v>
      </c>
      <c r="F372" t="str">
        <f ca="1">CONCATENATE("Enter an '4% LIHTC Basis Calculation' value for '", C372, "' in cell ", D372, ".", CHAR(10))</f>
        <v xml:space="preserve">Enter an '4% LIHTC Basis Calculation' value for 'Other (Specify)' in cell C24.
</v>
      </c>
      <c r="G372" s="9" t="str">
        <f t="shared" ca="1" si="186"/>
        <v xml:space="preserve">The total of development budget in column B must be greater than zero.
</v>
      </c>
    </row>
    <row r="373" spans="1:7" ht="15" customHeight="1">
      <c r="A373" t="str">
        <f ca="1">IF(AND(Calculations!$B$6, E373=""), F373, "")</f>
        <v/>
      </c>
      <c r="B373" t="s">
        <v>457</v>
      </c>
      <c r="C373" t="str">
        <f ca="1">INDIRECT($F$292 &amp; ADDRESS(B371, 1,4  ))</f>
        <v>Other (Specify)</v>
      </c>
      <c r="D373" t="str">
        <f>ADDRESS(B371, 4,4  )</f>
        <v>D24</v>
      </c>
      <c r="E373">
        <f t="shared" ca="1" si="187"/>
        <v>0</v>
      </c>
      <c r="F373" t="str">
        <f ca="1">CONCATENATE("Enter an '9% LIHTC Basis Calculation' value for '", C373, "' in cell ", D373, ".", CHAR(10))</f>
        <v xml:space="preserve">Enter an '9% LIHTC Basis Calculation' value for 'Other (Specify)' in cell D24.
</v>
      </c>
      <c r="G373" s="9" t="str">
        <f t="shared" ca="1" si="186"/>
        <v xml:space="preserve">The total of development budget in column B must be greater than zero.
</v>
      </c>
    </row>
    <row r="374" spans="1:7" ht="15" customHeight="1">
      <c r="A374" t="str">
        <f ca="1">IF(AND(OR(Calculations!$B$3:$B$4), E374=""), F374, "")</f>
        <v/>
      </c>
      <c r="B374" t="s">
        <v>457</v>
      </c>
      <c r="C374" t="str">
        <f ca="1">INDIRECT($F$292 &amp; ADDRESS(B371, 1,4  ))</f>
        <v>Other (Specify)</v>
      </c>
      <c r="D374" t="str">
        <f>ADDRESS(B371, 5,4  )</f>
        <v>E24</v>
      </c>
      <c r="E374">
        <f t="shared" ca="1" si="187"/>
        <v>0</v>
      </c>
      <c r="F374" t="str">
        <f ca="1">CONCATENATE("Enter an 'Amount Last Provided to CHFA' value for '", C374, "' in cell ", D374, ".", CHAR(10))</f>
        <v xml:space="preserve">Enter an 'Amount Last Provided to CHFA' value for 'Other (Specify)' in cell E24.
</v>
      </c>
      <c r="G374" s="9" t="str">
        <f t="shared" ca="1" si="186"/>
        <v xml:space="preserve">The total of development budget in column B must be greater than zero.
</v>
      </c>
    </row>
    <row r="375" spans="1:7" ht="15" customHeight="1">
      <c r="A375" t="str">
        <f ca="1">IF(AND(Calculations!$B$3, E375=""), F375, "")</f>
        <v/>
      </c>
      <c r="B375" t="s">
        <v>457</v>
      </c>
      <c r="C375" t="str">
        <f ca="1">INDIRECT($F$292 &amp; ADDRESS(B371, 1,4  ))</f>
        <v>Other (Specify)</v>
      </c>
      <c r="D375" t="str">
        <f>ADDRESS(B371, 6,4  )</f>
        <v>F24</v>
      </c>
      <c r="E375">
        <f t="shared" ca="1" si="187"/>
        <v>0</v>
      </c>
      <c r="F375" t="str">
        <f ca="1">CONCATENATE("Enter a '10% Carryover Actual Incurred Costs' value for '", C375, "' in cell ", D375, ".", CHAR(10))</f>
        <v xml:space="preserve">Enter a '10% Carryover Actual Incurred Costs' value for 'Other (Specify)' in cell F24.
</v>
      </c>
      <c r="G375" s="9" t="str">
        <f t="shared" ca="1" si="186"/>
        <v xml:space="preserve">The total of development budget in column B must be greater than zero.
</v>
      </c>
    </row>
    <row r="376" spans="1:7" ht="15" customHeight="1">
      <c r="A376" t="str">
        <f ca="1">IF(AND(E376, SUM(E371:E375) &gt; 0), F376, "")</f>
        <v/>
      </c>
      <c r="C376" t="str">
        <f ca="1">INDIRECT($F$292 &amp; ADDRESS(B371, 1,4  ))</f>
        <v>Other (Specify)</v>
      </c>
      <c r="D376" t="str">
        <f>ADDRESS(B371, 1,4  )</f>
        <v>A24</v>
      </c>
      <c r="E376" t="b">
        <f ca="1">INDIRECT($F$292 &amp; D376)="Other (specify)"</f>
        <v>1</v>
      </c>
      <c r="F376" t="str">
        <f ca="1">CONCATENATE("Please specify value for '", C376, "' in cell ", D376, ".", CHAR(10))</f>
        <v xml:space="preserve">Please specify value for 'Other (Specify)' in cell A24.
</v>
      </c>
      <c r="G376" s="9" t="str">
        <f t="shared" ca="1" si="186"/>
        <v xml:space="preserve">The total of development budget in column B must be greater than zero.
</v>
      </c>
    </row>
    <row r="377" spans="1:7" ht="15" customHeight="1">
      <c r="A377" t="str">
        <f ca="1">IF(E377="", F377, "")</f>
        <v/>
      </c>
      <c r="B377" s="52">
        <f>B371+1</f>
        <v>25</v>
      </c>
      <c r="C377" t="str">
        <f ca="1">INDIRECT($F$292 &amp; ADDRESS(B377, 1,4  ))</f>
        <v>Other (Specify)</v>
      </c>
      <c r="D377" t="str">
        <f>ADDRESS(B377, 2,4  )</f>
        <v>B25</v>
      </c>
      <c r="E377">
        <f ca="1">IF(ISBLANK( INDIRECT($F$292 &amp; D377)),"", INDIRECT($F$292 &amp; D377))</f>
        <v>0</v>
      </c>
      <c r="F377" t="str">
        <f ca="1">CONCATENATE("Enter a value for '", C377, "' in cell ", D377, ".", CHAR(10))</f>
        <v xml:space="preserve">Enter a value for 'Other (Specify)' in cell B25.
</v>
      </c>
      <c r="G377" s="9" t="str">
        <f t="shared" ca="1" si="186"/>
        <v xml:space="preserve">The total of development budget in column B must be greater than zero.
</v>
      </c>
    </row>
    <row r="378" spans="1:7" ht="15" customHeight="1">
      <c r="A378" t="str">
        <f ca="1">IF(AND(Calculations!$B$5, E378=""), F378, "")</f>
        <v/>
      </c>
      <c r="B378" t="s">
        <v>457</v>
      </c>
      <c r="C378" t="str">
        <f ca="1">INDIRECT($F$292 &amp; ADDRESS(B377, 1,4  ))</f>
        <v>Other (Specify)</v>
      </c>
      <c r="D378" t="str">
        <f>ADDRESS(B377, 3,4  )</f>
        <v>C25</v>
      </c>
      <c r="E378">
        <f ca="1">IF(ISBLANK( INDIRECT($F$292 &amp; D378)),"", INDIRECT($F$292 &amp; D378))</f>
        <v>0</v>
      </c>
      <c r="F378" t="str">
        <f ca="1">CONCATENATE("Enter an '4% LIHTC Basis Calculation' value for '", C378, "' in cell ", D378, ".", CHAR(10))</f>
        <v xml:space="preserve">Enter an '4% LIHTC Basis Calculation' value for 'Other (Specify)' in cell C25.
</v>
      </c>
      <c r="G378" s="9" t="str">
        <f t="shared" ca="1" si="186"/>
        <v xml:space="preserve">The total of development budget in column B must be greater than zero.
</v>
      </c>
    </row>
    <row r="379" spans="1:7" ht="15" customHeight="1">
      <c r="A379" t="str">
        <f ca="1">IF(AND(Calculations!$B$6, E379=""), F379, "")</f>
        <v/>
      </c>
      <c r="B379" t="s">
        <v>457</v>
      </c>
      <c r="C379" t="str">
        <f ca="1">INDIRECT($F$292 &amp; ADDRESS(B377, 1,4  ))</f>
        <v>Other (Specify)</v>
      </c>
      <c r="D379" t="str">
        <f>ADDRESS(B377, 4,4  )</f>
        <v>D25</v>
      </c>
      <c r="E379">
        <f ca="1">IF(ISBLANK( INDIRECT($F$292 &amp; D379)),"", INDIRECT($F$292 &amp; D379))</f>
        <v>0</v>
      </c>
      <c r="F379" t="str">
        <f ca="1">CONCATENATE("Enter an '9% LIHTC Basis Calculation' value for '", C379, "' in cell ", D379, ".", CHAR(10))</f>
        <v xml:space="preserve">Enter an '9% LIHTC Basis Calculation' value for 'Other (Specify)' in cell D25.
</v>
      </c>
      <c r="G379" s="9" t="str">
        <f t="shared" ca="1" si="186"/>
        <v xml:space="preserve">The total of development budget in column B must be greater than zero.
</v>
      </c>
    </row>
    <row r="380" spans="1:7" ht="15" customHeight="1">
      <c r="A380" t="str">
        <f ca="1">IF(AND(OR(Calculations!$B$3:$B$4), E380=""), F380, "")</f>
        <v/>
      </c>
      <c r="B380" t="s">
        <v>457</v>
      </c>
      <c r="C380" t="str">
        <f ca="1">INDIRECT($F$292 &amp; ADDRESS(B377, 1,4  ))</f>
        <v>Other (Specify)</v>
      </c>
      <c r="D380" t="str">
        <f>ADDRESS(B377, 5,4  )</f>
        <v>E25</v>
      </c>
      <c r="E380">
        <f ca="1">IF(ISBLANK( INDIRECT($F$292 &amp; D380)),"", INDIRECT($F$292 &amp; D380))</f>
        <v>0</v>
      </c>
      <c r="F380" t="str">
        <f ca="1">CONCATENATE("Enter an 'Amount Last Provided to CHFA' value for '", C380, "' in cell ", D380, ".", CHAR(10))</f>
        <v xml:space="preserve">Enter an 'Amount Last Provided to CHFA' value for 'Other (Specify)' in cell E25.
</v>
      </c>
      <c r="G380" s="9" t="str">
        <f t="shared" ca="1" si="186"/>
        <v xml:space="preserve">The total of development budget in column B must be greater than zero.
</v>
      </c>
    </row>
    <row r="381" spans="1:7" ht="15" customHeight="1">
      <c r="A381" t="str">
        <f ca="1">IF(AND(Calculations!$B$3, E381=""), F381, "")</f>
        <v/>
      </c>
      <c r="B381" t="s">
        <v>457</v>
      </c>
      <c r="C381" t="str">
        <f ca="1">INDIRECT($F$292 &amp; ADDRESS(B377, 1,4  ))</f>
        <v>Other (Specify)</v>
      </c>
      <c r="D381" t="str">
        <f>ADDRESS(B377, 6,4  )</f>
        <v>F25</v>
      </c>
      <c r="E381">
        <f ca="1">IF(ISBLANK( INDIRECT($F$292 &amp; D381)),"", INDIRECT($F$292 &amp; D381))</f>
        <v>0</v>
      </c>
      <c r="F381" t="str">
        <f ca="1">CONCATENATE("Enter a '10% Carryover Actual Incurred Costs' value for '", C381, "' in cell ", D381, ".", CHAR(10))</f>
        <v xml:space="preserve">Enter a '10% Carryover Actual Incurred Costs' value for 'Other (Specify)' in cell F25.
</v>
      </c>
      <c r="G381" s="9" t="str">
        <f t="shared" ca="1" si="186"/>
        <v xml:space="preserve">The total of development budget in column B must be greater than zero.
</v>
      </c>
    </row>
    <row r="382" spans="1:7" ht="15" customHeight="1">
      <c r="A382" t="str">
        <f ca="1">IF(AND(E382, SUM(E377:E381) &gt; 0), F382, "")</f>
        <v/>
      </c>
      <c r="C382" t="str">
        <f ca="1">INDIRECT($F$292 &amp; ADDRESS(B377, 1,4  ))</f>
        <v>Other (Specify)</v>
      </c>
      <c r="D382" t="str">
        <f>ADDRESS(B377, 1,4  )</f>
        <v>A25</v>
      </c>
      <c r="E382" t="b">
        <f ca="1">INDIRECT($F$292 &amp; D382)="Other (specify)"</f>
        <v>1</v>
      </c>
      <c r="F382" t="str">
        <f ca="1">CONCATENATE("Please specify value for '", C382, "' in cell ", D382, ".", CHAR(10))</f>
        <v xml:space="preserve">Please specify value for 'Other (Specify)' in cell A25.
</v>
      </c>
      <c r="G382" s="9" t="str">
        <f t="shared" ca="1" si="186"/>
        <v xml:space="preserve">The total of development budget in column B must be greater than zero.
</v>
      </c>
    </row>
    <row r="383" spans="1:7" ht="15" customHeight="1">
      <c r="A383" t="str">
        <f ca="1">IF(E383="", F383, "")</f>
        <v/>
      </c>
      <c r="B383" s="52">
        <f>B377+1</f>
        <v>26</v>
      </c>
      <c r="C383" t="str">
        <f ca="1">INDIRECT($F$292 &amp; ADDRESS(B383, 1,4  ))</f>
        <v>Other (Specify)</v>
      </c>
      <c r="D383" t="str">
        <f>ADDRESS(B383, 2,4  )</f>
        <v>B26</v>
      </c>
      <c r="E383">
        <f ca="1">IF(ISBLANK( INDIRECT($F$292 &amp; D383)),"", INDIRECT($F$292 &amp; D383))</f>
        <v>0</v>
      </c>
      <c r="F383" t="str">
        <f ca="1">CONCATENATE("Enter a value for '", C383, "' in cell ", D383, ".", CHAR(10))</f>
        <v xml:space="preserve">Enter a value for 'Other (Specify)' in cell B26.
</v>
      </c>
      <c r="G383" s="9" t="str">
        <f t="shared" ca="1" si="186"/>
        <v xml:space="preserve">The total of development budget in column B must be greater than zero.
</v>
      </c>
    </row>
    <row r="384" spans="1:7" ht="15" customHeight="1">
      <c r="A384" t="str">
        <f ca="1">IF(AND(Calculations!$B$5, E384=""), F384, "")</f>
        <v/>
      </c>
      <c r="B384" t="s">
        <v>457</v>
      </c>
      <c r="C384" t="str">
        <f ca="1">INDIRECT($F$292 &amp; ADDRESS(B383, 1,4  ))</f>
        <v>Other (Specify)</v>
      </c>
      <c r="D384" t="str">
        <f>ADDRESS(B383, 3,4  )</f>
        <v>C26</v>
      </c>
      <c r="E384">
        <f ca="1">IF(ISBLANK( INDIRECT($F$292 &amp; D384)),"", INDIRECT($F$292 &amp; D384))</f>
        <v>0</v>
      </c>
      <c r="F384" t="str">
        <f ca="1">CONCATENATE("Enter an '4% LIHTC Basis Calculation' value for '", C384, "' in cell ", D384, ".", CHAR(10))</f>
        <v xml:space="preserve">Enter an '4% LIHTC Basis Calculation' value for 'Other (Specify)' in cell C26.
</v>
      </c>
      <c r="G384" s="9" t="str">
        <f t="shared" ca="1" si="186"/>
        <v xml:space="preserve">The total of development budget in column B must be greater than zero.
</v>
      </c>
    </row>
    <row r="385" spans="1:7" ht="15" customHeight="1">
      <c r="A385" t="str">
        <f ca="1">IF(AND(Calculations!$B$6, E385=""), F385, "")</f>
        <v/>
      </c>
      <c r="B385" t="s">
        <v>457</v>
      </c>
      <c r="C385" t="str">
        <f ca="1">INDIRECT($F$292 &amp; ADDRESS(B383, 1,4  ))</f>
        <v>Other (Specify)</v>
      </c>
      <c r="D385" t="str">
        <f>ADDRESS(B383, 4,4  )</f>
        <v>D26</v>
      </c>
      <c r="E385">
        <f ca="1">IF(ISBLANK( INDIRECT($F$292 &amp; D385)),"", INDIRECT($F$292 &amp; D385))</f>
        <v>0</v>
      </c>
      <c r="F385" t="str">
        <f ca="1">CONCATENATE("Enter an '9% LIHTC Basis Calculation' value for '", C385, "' in cell ", D385, ".", CHAR(10))</f>
        <v xml:space="preserve">Enter an '9% LIHTC Basis Calculation' value for 'Other (Specify)' in cell D26.
</v>
      </c>
      <c r="G385" s="9" t="str">
        <f t="shared" ca="1" si="186"/>
        <v xml:space="preserve">The total of development budget in column B must be greater than zero.
</v>
      </c>
    </row>
    <row r="386" spans="1:7" ht="15" customHeight="1">
      <c r="A386" t="str">
        <f ca="1">IF(AND(OR(Calculations!$B$3:$B$4), E386=""), F386, "")</f>
        <v/>
      </c>
      <c r="B386" t="s">
        <v>457</v>
      </c>
      <c r="C386" t="str">
        <f ca="1">INDIRECT($F$292 &amp; ADDRESS(B383, 1,4  ))</f>
        <v>Other (Specify)</v>
      </c>
      <c r="D386" t="str">
        <f>ADDRESS(B383, 5,4  )</f>
        <v>E26</v>
      </c>
      <c r="E386">
        <f ca="1">IF(ISBLANK( INDIRECT($F$292 &amp; D386)),"", INDIRECT($F$292 &amp; D386))</f>
        <v>0</v>
      </c>
      <c r="F386" t="str">
        <f ca="1">CONCATENATE("Enter an 'Amount Last Provided to CHFA' value for '", C386, "' in cell ", D386, ".", CHAR(10))</f>
        <v xml:space="preserve">Enter an 'Amount Last Provided to CHFA' value for 'Other (Specify)' in cell E26.
</v>
      </c>
      <c r="G386" s="9" t="str">
        <f t="shared" ca="1" si="186"/>
        <v xml:space="preserve">The total of development budget in column B must be greater than zero.
</v>
      </c>
    </row>
    <row r="387" spans="1:7" ht="15" customHeight="1">
      <c r="A387" t="str">
        <f ca="1">IF(AND(Calculations!$B$3, E387=""), F387, "")</f>
        <v/>
      </c>
      <c r="B387" t="s">
        <v>457</v>
      </c>
      <c r="C387" t="str">
        <f ca="1">INDIRECT($F$292 &amp; ADDRESS(B383, 1,4  ))</f>
        <v>Other (Specify)</v>
      </c>
      <c r="D387" t="str">
        <f>ADDRESS(B383, 6,4  )</f>
        <v>F26</v>
      </c>
      <c r="E387">
        <f ca="1">IF(ISBLANK( INDIRECT($F$292 &amp; D387)),"", INDIRECT($F$292 &amp; D387))</f>
        <v>0</v>
      </c>
      <c r="F387" t="str">
        <f ca="1">CONCATENATE("Enter a '10% Carryover Actual Incurred Costs' value for '", C387, "' in cell ", D387, ".", CHAR(10))</f>
        <v xml:space="preserve">Enter a '10% Carryover Actual Incurred Costs' value for 'Other (Specify)' in cell F26.
</v>
      </c>
      <c r="G387" s="9" t="str">
        <f t="shared" ca="1" si="186"/>
        <v xml:space="preserve">The total of development budget in column B must be greater than zero.
</v>
      </c>
    </row>
    <row r="388" spans="1:7" ht="15" customHeight="1">
      <c r="A388" t="str">
        <f ca="1">IF(AND(E388, SUM(E383:E387) &gt; 0), F388, "")</f>
        <v/>
      </c>
      <c r="C388" t="str">
        <f ca="1">INDIRECT($F$292 &amp; ADDRESS(B383, 1,4  ))</f>
        <v>Other (Specify)</v>
      </c>
      <c r="D388" t="str">
        <f>ADDRESS(B383, 1,4  )</f>
        <v>A26</v>
      </c>
      <c r="E388" t="b">
        <f ca="1">INDIRECT($F$292 &amp; D388)="Other (specify)"</f>
        <v>1</v>
      </c>
      <c r="F388" t="str">
        <f ca="1">CONCATENATE("Please specify value for '", C388, "' in cell ", D388, ".", CHAR(10))</f>
        <v xml:space="preserve">Please specify value for 'Other (Specify)' in cell A26.
</v>
      </c>
      <c r="G388" s="9" t="str">
        <f t="shared" ca="1" si="186"/>
        <v xml:space="preserve">The total of development budget in column B must be greater than zero.
</v>
      </c>
    </row>
    <row r="389" spans="1:7" ht="15" customHeight="1">
      <c r="A389" t="str">
        <f ca="1">IF(E389="", F389, "")</f>
        <v/>
      </c>
      <c r="B389" s="52">
        <v>29</v>
      </c>
      <c r="C389" t="str">
        <f ca="1">INDIRECT($F$292 &amp; ADDRESS(B389, 1,4  ))</f>
        <v>Architect, Design</v>
      </c>
      <c r="D389" t="str">
        <f>ADDRESS(B389, 2,4  )</f>
        <v>B29</v>
      </c>
      <c r="E389">
        <f t="shared" ref="E389:E420" ca="1" si="188">IF(ISBLANK( INDIRECT($F$292 &amp; D389)),"", INDIRECT($F$292 &amp; D389))</f>
        <v>0</v>
      </c>
      <c r="F389" t="str">
        <f ca="1">CONCATENATE("Enter a value for '", C389, "' in cell ", D389, ".", CHAR(10))</f>
        <v xml:space="preserve">Enter a value for 'Architect, Design' in cell B29.
</v>
      </c>
      <c r="G389" s="9" t="str">
        <f t="shared" ca="1" si="186"/>
        <v xml:space="preserve">The total of development budget in column B must be greater than zero.
</v>
      </c>
    </row>
    <row r="390" spans="1:7" ht="15" customHeight="1">
      <c r="A390" t="str">
        <f ca="1">IF(AND(Calculations!$B$5, E390=""), F390, "")</f>
        <v/>
      </c>
      <c r="B390" t="s">
        <v>457</v>
      </c>
      <c r="C390" t="str">
        <f ca="1">INDIRECT($F$292 &amp; ADDRESS(B389, 1,4  ))</f>
        <v>Architect, Design</v>
      </c>
      <c r="D390" t="str">
        <f>ADDRESS(B389, 3,4  )</f>
        <v>C29</v>
      </c>
      <c r="E390">
        <f t="shared" ca="1" si="188"/>
        <v>0</v>
      </c>
      <c r="F390" t="str">
        <f ca="1">CONCATENATE("Enter an '4% LIHTC Basis Calculation' value for '", C390, "' in cell ", D390, ".", CHAR(10))</f>
        <v xml:space="preserve">Enter an '4% LIHTC Basis Calculation' value for 'Architect, Design' in cell C29.
</v>
      </c>
      <c r="G390" s="9" t="str">
        <f t="shared" ca="1" si="186"/>
        <v xml:space="preserve">The total of development budget in column B must be greater than zero.
</v>
      </c>
    </row>
    <row r="391" spans="1:7" ht="15" customHeight="1">
      <c r="A391" t="str">
        <f ca="1">IF(AND(Calculations!$B$6, E391=""), F391, "")</f>
        <v/>
      </c>
      <c r="B391" t="s">
        <v>457</v>
      </c>
      <c r="C391" t="str">
        <f ca="1">INDIRECT($F$292 &amp; ADDRESS(B389, 1,4  ))</f>
        <v>Architect, Design</v>
      </c>
      <c r="D391" t="str">
        <f>ADDRESS(B389, 4,4  )</f>
        <v>D29</v>
      </c>
      <c r="E391">
        <f t="shared" ca="1" si="188"/>
        <v>0</v>
      </c>
      <c r="F391" t="str">
        <f ca="1">CONCATENATE("Enter an '9% LIHTC Basis Calculation' value for '", C391, "' in cell ", D391, ".", CHAR(10))</f>
        <v xml:space="preserve">Enter an '9% LIHTC Basis Calculation' value for 'Architect, Design' in cell D29.
</v>
      </c>
      <c r="G391" s="9" t="str">
        <f t="shared" ca="1" si="186"/>
        <v xml:space="preserve">The total of development budget in column B must be greater than zero.
</v>
      </c>
    </row>
    <row r="392" spans="1:7" ht="15" customHeight="1">
      <c r="A392" t="str">
        <f ca="1">IF(AND(OR(Calculations!$B$3:$B$4), E392=""), F392, "")</f>
        <v/>
      </c>
      <c r="B392" t="s">
        <v>457</v>
      </c>
      <c r="C392" t="str">
        <f ca="1">INDIRECT($F$292 &amp; ADDRESS(B389, 1,4  ))</f>
        <v>Architect, Design</v>
      </c>
      <c r="D392" t="str">
        <f>ADDRESS(B389, 5,4  )</f>
        <v>E29</v>
      </c>
      <c r="E392">
        <f t="shared" ca="1" si="188"/>
        <v>0</v>
      </c>
      <c r="F392" t="str">
        <f ca="1">CONCATENATE("Enter an 'Amount Last Provided to CHFA' value for '", C392, "' in cell ", D392, ".", CHAR(10))</f>
        <v xml:space="preserve">Enter an 'Amount Last Provided to CHFA' value for 'Architect, Design' in cell E29.
</v>
      </c>
      <c r="G392" s="9" t="str">
        <f t="shared" ca="1" si="186"/>
        <v xml:space="preserve">The total of development budget in column B must be greater than zero.
</v>
      </c>
    </row>
    <row r="393" spans="1:7" ht="15" customHeight="1">
      <c r="A393" t="str">
        <f ca="1">IF(AND(Calculations!$B$3, E393=""), F393, "")</f>
        <v/>
      </c>
      <c r="B393" t="s">
        <v>457</v>
      </c>
      <c r="C393" t="str">
        <f ca="1">INDIRECT($F$292 &amp; ADDRESS(B389, 1,4  ))</f>
        <v>Architect, Design</v>
      </c>
      <c r="D393" t="str">
        <f>ADDRESS(B389, 6,4  )</f>
        <v>F29</v>
      </c>
      <c r="E393">
        <f t="shared" ca="1" si="188"/>
        <v>0</v>
      </c>
      <c r="F393" t="str">
        <f ca="1">CONCATENATE("Enter a '10% Carryover Actual Incurred Costs' value for '", C393, "' in cell ", D393, ".", CHAR(10))</f>
        <v xml:space="preserve">Enter a '10% Carryover Actual Incurred Costs' value for 'Architect, Design' in cell F29.
</v>
      </c>
      <c r="G393" s="9" t="str">
        <f t="shared" ca="1" si="186"/>
        <v xml:space="preserve">The total of development budget in column B must be greater than zero.
</v>
      </c>
    </row>
    <row r="394" spans="1:7" ht="15" customHeight="1">
      <c r="A394" t="str">
        <f ca="1">IF(E394="", F394, "")</f>
        <v/>
      </c>
      <c r="B394" s="52">
        <f>B389+1</f>
        <v>30</v>
      </c>
      <c r="C394" t="str">
        <f ca="1">INDIRECT($F$292 &amp; ADDRESS(B394, 1,4  ))</f>
        <v>Architect Construction Management/Admin</v>
      </c>
      <c r="D394" t="str">
        <f>ADDRESS(B394, 2,4  )</f>
        <v>B30</v>
      </c>
      <c r="E394">
        <f t="shared" ca="1" si="188"/>
        <v>0</v>
      </c>
      <c r="F394" t="str">
        <f ca="1">CONCATENATE("Enter a value for '", C394, "' in cell ", D394, ".", CHAR(10))</f>
        <v xml:space="preserve">Enter a value for 'Architect Construction Management/Admin' in cell B30.
</v>
      </c>
      <c r="G394" s="9" t="str">
        <f t="shared" ca="1" si="186"/>
        <v xml:space="preserve">The total of development budget in column B must be greater than zero.
</v>
      </c>
    </row>
    <row r="395" spans="1:7" ht="15" customHeight="1">
      <c r="A395" t="str">
        <f ca="1">IF(AND(Calculations!$B$5, E395=""), F395, "")</f>
        <v/>
      </c>
      <c r="B395" t="s">
        <v>457</v>
      </c>
      <c r="C395" t="str">
        <f ca="1">INDIRECT($F$292 &amp; ADDRESS(B394, 1,4  ))</f>
        <v>Architect Construction Management/Admin</v>
      </c>
      <c r="D395" t="str">
        <f>ADDRESS(B394, 3,4  )</f>
        <v>C30</v>
      </c>
      <c r="E395">
        <f t="shared" ca="1" si="188"/>
        <v>0</v>
      </c>
      <c r="F395" t="str">
        <f ca="1">CONCATENATE("Enter an '4% LIHTC Basis Calculation' value for '", C395, "' in cell ", D395, ".", CHAR(10))</f>
        <v xml:space="preserve">Enter an '4% LIHTC Basis Calculation' value for 'Architect Construction Management/Admin' in cell C30.
</v>
      </c>
      <c r="G395" s="9" t="str">
        <f t="shared" ca="1" si="186"/>
        <v xml:space="preserve">The total of development budget in column B must be greater than zero.
</v>
      </c>
    </row>
    <row r="396" spans="1:7" ht="15" customHeight="1">
      <c r="A396" t="str">
        <f ca="1">IF(AND(Calculations!$B$6, E396=""), F396, "")</f>
        <v/>
      </c>
      <c r="B396" t="s">
        <v>457</v>
      </c>
      <c r="C396" t="str">
        <f ca="1">INDIRECT($F$292 &amp; ADDRESS(B394, 1,4  ))</f>
        <v>Architect Construction Management/Admin</v>
      </c>
      <c r="D396" t="str">
        <f>ADDRESS(B394, 4,4  )</f>
        <v>D30</v>
      </c>
      <c r="E396">
        <f t="shared" ca="1" si="188"/>
        <v>0</v>
      </c>
      <c r="F396" t="str">
        <f ca="1">CONCATENATE("Enter an '9% LIHTC Basis Calculation' value for '", C396, "' in cell ", D396, ".", CHAR(10))</f>
        <v xml:space="preserve">Enter an '9% LIHTC Basis Calculation' value for 'Architect Construction Management/Admin' in cell D30.
</v>
      </c>
      <c r="G396" s="9" t="str">
        <f t="shared" ca="1" si="186"/>
        <v xml:space="preserve">The total of development budget in column B must be greater than zero.
</v>
      </c>
    </row>
    <row r="397" spans="1:7" ht="15" customHeight="1">
      <c r="A397" t="str">
        <f ca="1">IF(AND(OR(Calculations!$B$3:$B$4), E397=""), F397, "")</f>
        <v/>
      </c>
      <c r="B397" t="s">
        <v>457</v>
      </c>
      <c r="C397" t="str">
        <f ca="1">INDIRECT($F$292 &amp; ADDRESS(B394, 1,4  ))</f>
        <v>Architect Construction Management/Admin</v>
      </c>
      <c r="D397" t="str">
        <f>ADDRESS(B394, 5,4  )</f>
        <v>E30</v>
      </c>
      <c r="E397">
        <f t="shared" ca="1" si="188"/>
        <v>0</v>
      </c>
      <c r="F397" t="str">
        <f ca="1">CONCATENATE("Enter an 'Amount Last Provided to CHFA' value for '", C397, "' in cell ", D397, ".", CHAR(10))</f>
        <v xml:space="preserve">Enter an 'Amount Last Provided to CHFA' value for 'Architect Construction Management/Admin' in cell E30.
</v>
      </c>
      <c r="G397" s="9" t="str">
        <f t="shared" ca="1" si="186"/>
        <v xml:space="preserve">The total of development budget in column B must be greater than zero.
</v>
      </c>
    </row>
    <row r="398" spans="1:7" ht="15" customHeight="1">
      <c r="A398" t="str">
        <f ca="1">IF(AND(Calculations!$B$3, E398=""), F398, "")</f>
        <v/>
      </c>
      <c r="B398" t="s">
        <v>457</v>
      </c>
      <c r="C398" t="str">
        <f ca="1">INDIRECT($F$292 &amp; ADDRESS(B394, 1,4  ))</f>
        <v>Architect Construction Management/Admin</v>
      </c>
      <c r="D398" t="str">
        <f>ADDRESS(B394, 6,4  )</f>
        <v>F30</v>
      </c>
      <c r="E398">
        <f t="shared" ca="1" si="188"/>
        <v>0</v>
      </c>
      <c r="F398" t="str">
        <f ca="1">CONCATENATE("Enter a '10% Carryover Actual Incurred Costs' value for '", C398, "' in cell ", D398, ".", CHAR(10))</f>
        <v xml:space="preserve">Enter a '10% Carryover Actual Incurred Costs' value for 'Architect Construction Management/Admin' in cell F30.
</v>
      </c>
      <c r="G398" s="9" t="str">
        <f t="shared" ca="1" si="186"/>
        <v xml:space="preserve">The total of development budget in column B must be greater than zero.
</v>
      </c>
    </row>
    <row r="399" spans="1:7" ht="15" customHeight="1">
      <c r="A399" t="str">
        <f ca="1">IF(E399="", F399, "")</f>
        <v/>
      </c>
      <c r="B399">
        <f>ROW('Development Budget'!A29)</f>
        <v>29</v>
      </c>
      <c r="C399" t="str">
        <f ca="1">INDIRECT($F$292 &amp; ADDRESS(B399, 1,4  ))</f>
        <v>Architect, Design</v>
      </c>
      <c r="D399" t="str">
        <f>ADDRESS(B399, 2,4  )</f>
        <v>B29</v>
      </c>
      <c r="E399">
        <f t="shared" ca="1" si="188"/>
        <v>0</v>
      </c>
      <c r="F399" t="str">
        <f ca="1">CONCATENATE("Enter a value for '", C399, "' in cell ", D399, ".", CHAR(10))</f>
        <v xml:space="preserve">Enter a value for 'Architect, Design' in cell B29.
</v>
      </c>
      <c r="G399" s="9" t="str">
        <f t="shared" ca="1" si="186"/>
        <v xml:space="preserve">The total of development budget in column B must be greater than zero.
</v>
      </c>
    </row>
    <row r="400" spans="1:7" ht="15" customHeight="1">
      <c r="A400" t="str">
        <f ca="1">IF(AND(Calculations!$B$5, E400=""), F400, "")</f>
        <v/>
      </c>
      <c r="B400" t="s">
        <v>457</v>
      </c>
      <c r="C400" t="str">
        <f ca="1">INDIRECT($F$292 &amp; ADDRESS(B399, 1,4  ))</f>
        <v>Architect, Design</v>
      </c>
      <c r="D400" t="str">
        <f>ADDRESS(B399, 3,4  )</f>
        <v>C29</v>
      </c>
      <c r="E400">
        <f t="shared" ca="1" si="188"/>
        <v>0</v>
      </c>
      <c r="F400" t="str">
        <f ca="1">CONCATENATE("Enter an '4% LIHTC Basis Calculation' value for '", C400, "' in cell ", D400, ".", CHAR(10))</f>
        <v xml:space="preserve">Enter an '4% LIHTC Basis Calculation' value for 'Architect, Design' in cell C29.
</v>
      </c>
      <c r="G400" s="9" t="str">
        <f t="shared" ca="1" si="186"/>
        <v xml:space="preserve">The total of development budget in column B must be greater than zero.
</v>
      </c>
    </row>
    <row r="401" spans="1:7" ht="15" customHeight="1">
      <c r="A401" t="str">
        <f ca="1">IF(AND(Calculations!$B$6, E401=""), F401, "")</f>
        <v/>
      </c>
      <c r="B401" t="s">
        <v>457</v>
      </c>
      <c r="C401" t="str">
        <f ca="1">INDIRECT($F$292 &amp; ADDRESS(B399, 1,4  ))</f>
        <v>Architect, Design</v>
      </c>
      <c r="D401" t="str">
        <f>ADDRESS(B399, 4,4  )</f>
        <v>D29</v>
      </c>
      <c r="E401">
        <f t="shared" ca="1" si="188"/>
        <v>0</v>
      </c>
      <c r="F401" t="str">
        <f ca="1">CONCATENATE("Enter an '9% LIHTC Basis Calculation' value for '", C401, "' in cell ", D401, ".", CHAR(10))</f>
        <v xml:space="preserve">Enter an '9% LIHTC Basis Calculation' value for 'Architect, Design' in cell D29.
</v>
      </c>
      <c r="G401" s="9" t="str">
        <f t="shared" ca="1" si="186"/>
        <v xml:space="preserve">The total of development budget in column B must be greater than zero.
</v>
      </c>
    </row>
    <row r="402" spans="1:7" ht="15" customHeight="1">
      <c r="A402" t="str">
        <f ca="1">IF(AND(OR(Calculations!$B$3:$B$4), E402=""), F402, "")</f>
        <v/>
      </c>
      <c r="B402" t="s">
        <v>457</v>
      </c>
      <c r="C402" t="str">
        <f ca="1">INDIRECT($F$292 &amp; ADDRESS(B399, 1,4  ))</f>
        <v>Architect, Design</v>
      </c>
      <c r="D402" t="str">
        <f>ADDRESS(B399, 5,4  )</f>
        <v>E29</v>
      </c>
      <c r="E402">
        <f t="shared" ca="1" si="188"/>
        <v>0</v>
      </c>
      <c r="F402" t="str">
        <f ca="1">CONCATENATE("Enter an 'Amount Last Provided to CHFA' value for '", C402, "' in cell ", D402, ".", CHAR(10))</f>
        <v xml:space="preserve">Enter an 'Amount Last Provided to CHFA' value for 'Architect, Design' in cell E29.
</v>
      </c>
      <c r="G402" s="9" t="str">
        <f t="shared" ca="1" si="186"/>
        <v xml:space="preserve">The total of development budget in column B must be greater than zero.
</v>
      </c>
    </row>
    <row r="403" spans="1:7" ht="15" customHeight="1">
      <c r="A403" t="str">
        <f ca="1">IF(AND(Calculations!$B$3, E403=""), F403, "")</f>
        <v/>
      </c>
      <c r="B403" t="s">
        <v>457</v>
      </c>
      <c r="C403" t="str">
        <f ca="1">INDIRECT($F$292 &amp; ADDRESS(B399, 1,4  ))</f>
        <v>Architect, Design</v>
      </c>
      <c r="D403" t="str">
        <f>ADDRESS(B399, 6,4  )</f>
        <v>F29</v>
      </c>
      <c r="E403">
        <f t="shared" ca="1" si="188"/>
        <v>0</v>
      </c>
      <c r="F403" t="str">
        <f ca="1">CONCATENATE("Enter a '10% Carryover Actual Incurred Costs' value for '", C403, "' in cell ", D403, ".", CHAR(10))</f>
        <v xml:space="preserve">Enter a '10% Carryover Actual Incurred Costs' value for 'Architect, Design' in cell F29.
</v>
      </c>
      <c r="G403" s="9" t="str">
        <f t="shared" ca="1" si="186"/>
        <v xml:space="preserve">The total of development budget in column B must be greater than zero.
</v>
      </c>
    </row>
    <row r="404" spans="1:7" ht="15" customHeight="1">
      <c r="A404" t="str">
        <f ca="1">IF(E404="", F404, "")</f>
        <v/>
      </c>
      <c r="B404" s="52">
        <f>B399+1</f>
        <v>30</v>
      </c>
      <c r="C404" t="str">
        <f ca="1">INDIRECT($F$292 &amp; ADDRESS(B404, 1,4  ))</f>
        <v>Architect Construction Management/Admin</v>
      </c>
      <c r="D404" t="str">
        <f>ADDRESS(B404, 2,4  )</f>
        <v>B30</v>
      </c>
      <c r="E404">
        <f t="shared" ca="1" si="188"/>
        <v>0</v>
      </c>
      <c r="F404" t="str">
        <f ca="1">CONCATENATE("Enter a value for '", C404, "' in cell ", D404, ".", CHAR(10))</f>
        <v xml:space="preserve">Enter a value for 'Architect Construction Management/Admin' in cell B30.
</v>
      </c>
      <c r="G404" s="9" t="str">
        <f t="shared" ca="1" si="186"/>
        <v xml:space="preserve">The total of development budget in column B must be greater than zero.
</v>
      </c>
    </row>
    <row r="405" spans="1:7" ht="15" customHeight="1">
      <c r="A405" t="str">
        <f ca="1">IF(AND(Calculations!$B$5, E405=""), F405, "")</f>
        <v/>
      </c>
      <c r="B405" t="s">
        <v>457</v>
      </c>
      <c r="C405" t="str">
        <f ca="1">INDIRECT($F$292 &amp; ADDRESS(B404, 1,4  ))</f>
        <v>Architect Construction Management/Admin</v>
      </c>
      <c r="D405" t="str">
        <f>ADDRESS(B404, 3,4  )</f>
        <v>C30</v>
      </c>
      <c r="E405">
        <f t="shared" ca="1" si="188"/>
        <v>0</v>
      </c>
      <c r="F405" t="str">
        <f ca="1">CONCATENATE("Enter an '4% LIHTC Basis Calculation' value for '", C405, "' in cell ", D405, ".", CHAR(10))</f>
        <v xml:space="preserve">Enter an '4% LIHTC Basis Calculation' value for 'Architect Construction Management/Admin' in cell C30.
</v>
      </c>
      <c r="G405" s="9" t="str">
        <f t="shared" ca="1" si="186"/>
        <v xml:space="preserve">The total of development budget in column B must be greater than zero.
</v>
      </c>
    </row>
    <row r="406" spans="1:7" ht="15" customHeight="1">
      <c r="A406" t="str">
        <f ca="1">IF(AND(Calculations!$B$6, E406=""), F406, "")</f>
        <v/>
      </c>
      <c r="B406" t="s">
        <v>457</v>
      </c>
      <c r="C406" t="str">
        <f ca="1">INDIRECT($F$292 &amp; ADDRESS(B404, 1,4  ))</f>
        <v>Architect Construction Management/Admin</v>
      </c>
      <c r="D406" t="str">
        <f>ADDRESS(B404, 4,4  )</f>
        <v>D30</v>
      </c>
      <c r="E406">
        <f t="shared" ca="1" si="188"/>
        <v>0</v>
      </c>
      <c r="F406" t="str">
        <f ca="1">CONCATENATE("Enter an '9% LIHTC Basis Calculation' value for '", C406, "' in cell ", D406, ".", CHAR(10))</f>
        <v xml:space="preserve">Enter an '9% LIHTC Basis Calculation' value for 'Architect Construction Management/Admin' in cell D30.
</v>
      </c>
      <c r="G406" s="9" t="str">
        <f t="shared" ca="1" si="186"/>
        <v xml:space="preserve">The total of development budget in column B must be greater than zero.
</v>
      </c>
    </row>
    <row r="407" spans="1:7" ht="15" customHeight="1">
      <c r="A407" t="str">
        <f ca="1">IF(AND(OR(Calculations!$B$3:$B$4), E407=""), F407, "")</f>
        <v/>
      </c>
      <c r="B407" t="s">
        <v>457</v>
      </c>
      <c r="C407" t="str">
        <f ca="1">INDIRECT($F$292 &amp; ADDRESS(B404, 1,4  ))</f>
        <v>Architect Construction Management/Admin</v>
      </c>
      <c r="D407" t="str">
        <f>ADDRESS(B404, 5,4  )</f>
        <v>E30</v>
      </c>
      <c r="E407">
        <f t="shared" ca="1" si="188"/>
        <v>0</v>
      </c>
      <c r="F407" t="str">
        <f ca="1">CONCATENATE("Enter an 'Amount Last Provided to CHFA' value for '", C407, "' in cell ", D407, ".", CHAR(10))</f>
        <v xml:space="preserve">Enter an 'Amount Last Provided to CHFA' value for 'Architect Construction Management/Admin' in cell E30.
</v>
      </c>
      <c r="G407" s="9" t="str">
        <f t="shared" ca="1" si="186"/>
        <v xml:space="preserve">The total of development budget in column B must be greater than zero.
</v>
      </c>
    </row>
    <row r="408" spans="1:7" ht="15" customHeight="1">
      <c r="A408" t="str">
        <f ca="1">IF(AND(Calculations!$B$3, E408=""), F408, "")</f>
        <v/>
      </c>
      <c r="B408" t="s">
        <v>457</v>
      </c>
      <c r="C408" t="str">
        <f ca="1">INDIRECT($F$292 &amp; ADDRESS(B404, 1,4  ))</f>
        <v>Architect Construction Management/Admin</v>
      </c>
      <c r="D408" t="str">
        <f>ADDRESS(B404, 6,4  )</f>
        <v>F30</v>
      </c>
      <c r="E408">
        <f t="shared" ca="1" si="188"/>
        <v>0</v>
      </c>
      <c r="F408" t="str">
        <f ca="1">CONCATENATE("Enter a '10% Carryover Actual Incurred Costs' value for '", C408, "' in cell ", D408, ".", CHAR(10))</f>
        <v xml:space="preserve">Enter a '10% Carryover Actual Incurred Costs' value for 'Architect Construction Management/Admin' in cell F30.
</v>
      </c>
      <c r="G408" s="9" t="str">
        <f t="shared" ca="1" si="186"/>
        <v xml:space="preserve">The total of development budget in column B must be greater than zero.
</v>
      </c>
    </row>
    <row r="409" spans="1:7" ht="15" customHeight="1">
      <c r="A409" t="str">
        <f ca="1">IF(E409="", F409, "")</f>
        <v/>
      </c>
      <c r="B409" s="52">
        <f>B404+1</f>
        <v>31</v>
      </c>
      <c r="C409" t="str">
        <f ca="1">INDIRECT($F$292 &amp; ADDRESS(B409, 1,4  ))</f>
        <v>Landscape Design</v>
      </c>
      <c r="D409" t="str">
        <f>ADDRESS(B409, 2,4  )</f>
        <v>B31</v>
      </c>
      <c r="E409">
        <f t="shared" ca="1" si="188"/>
        <v>0</v>
      </c>
      <c r="F409" t="str">
        <f ca="1">CONCATENATE("Enter a value for '", C409, "' in cell ", D409, ".", CHAR(10))</f>
        <v xml:space="preserve">Enter a value for 'Landscape Design' in cell B31.
</v>
      </c>
      <c r="G409" s="9" t="str">
        <f t="shared" ca="1" si="186"/>
        <v xml:space="preserve">The total of development budget in column B must be greater than zero.
</v>
      </c>
    </row>
    <row r="410" spans="1:7" ht="15" customHeight="1">
      <c r="A410" t="str">
        <f ca="1">IF(AND(Calculations!$B$5, E410=""), F410, "")</f>
        <v/>
      </c>
      <c r="B410" t="s">
        <v>457</v>
      </c>
      <c r="C410" t="str">
        <f ca="1">INDIRECT($F$292 &amp; ADDRESS(B409, 1,4  ))</f>
        <v>Landscape Design</v>
      </c>
      <c r="D410" t="str">
        <f>ADDRESS(B409, 3,4  )</f>
        <v>C31</v>
      </c>
      <c r="E410">
        <f t="shared" ca="1" si="188"/>
        <v>0</v>
      </c>
      <c r="F410" t="str">
        <f ca="1">CONCATENATE("Enter an '4% LIHTC Basis Calculation' value for '", C410, "' in cell ", D410, ".", CHAR(10))</f>
        <v xml:space="preserve">Enter an '4% LIHTC Basis Calculation' value for 'Landscape Design' in cell C31.
</v>
      </c>
      <c r="G410" s="9" t="str">
        <f t="shared" ca="1" si="186"/>
        <v xml:space="preserve">The total of development budget in column B must be greater than zero.
</v>
      </c>
    </row>
    <row r="411" spans="1:7" ht="15" customHeight="1">
      <c r="A411" t="str">
        <f ca="1">IF(AND(Calculations!$B$6, E411=""), F411, "")</f>
        <v/>
      </c>
      <c r="B411" t="s">
        <v>457</v>
      </c>
      <c r="C411" t="str">
        <f ca="1">INDIRECT($F$292 &amp; ADDRESS(B409, 1,4  ))</f>
        <v>Landscape Design</v>
      </c>
      <c r="D411" t="str">
        <f>ADDRESS(B409, 4,4  )</f>
        <v>D31</v>
      </c>
      <c r="E411">
        <f t="shared" ca="1" si="188"/>
        <v>0</v>
      </c>
      <c r="F411" t="str">
        <f ca="1">CONCATENATE("Enter an '9% LIHTC Basis Calculation' value for '", C411, "' in cell ", D411, ".", CHAR(10))</f>
        <v xml:space="preserve">Enter an '9% LIHTC Basis Calculation' value for 'Landscape Design' in cell D31.
</v>
      </c>
      <c r="G411" s="9" t="str">
        <f t="shared" ca="1" si="186"/>
        <v xml:space="preserve">The total of development budget in column B must be greater than zero.
</v>
      </c>
    </row>
    <row r="412" spans="1:7" ht="15" customHeight="1">
      <c r="A412" t="str">
        <f ca="1">IF(AND(OR(Calculations!$B$3:$B$4), E412=""), F412, "")</f>
        <v/>
      </c>
      <c r="B412" t="s">
        <v>457</v>
      </c>
      <c r="C412" t="str">
        <f ca="1">INDIRECT($F$292 &amp; ADDRESS(B409, 1,4  ))</f>
        <v>Landscape Design</v>
      </c>
      <c r="D412" t="str">
        <f>ADDRESS(B409, 5,4  )</f>
        <v>E31</v>
      </c>
      <c r="E412">
        <f t="shared" ca="1" si="188"/>
        <v>0</v>
      </c>
      <c r="F412" t="str">
        <f ca="1">CONCATENATE("Enter an 'Amount Last Provided to CHFA' value for '", C412, "' in cell ", D412, ".", CHAR(10))</f>
        <v xml:space="preserve">Enter an 'Amount Last Provided to CHFA' value for 'Landscape Design' in cell E31.
</v>
      </c>
      <c r="G412" s="9" t="str">
        <f t="shared" ca="1" si="186"/>
        <v xml:space="preserve">The total of development budget in column B must be greater than zero.
</v>
      </c>
    </row>
    <row r="413" spans="1:7" ht="15" customHeight="1">
      <c r="A413" t="str">
        <f ca="1">IF(AND(Calculations!$B$3, E413=""), F413, "")</f>
        <v/>
      </c>
      <c r="B413" t="s">
        <v>457</v>
      </c>
      <c r="C413" t="str">
        <f ca="1">INDIRECT($F$292 &amp; ADDRESS(B409, 1,4  ))</f>
        <v>Landscape Design</v>
      </c>
      <c r="D413" t="str">
        <f>ADDRESS(B409, 6,4  )</f>
        <v>F31</v>
      </c>
      <c r="E413">
        <f t="shared" ca="1" si="188"/>
        <v>0</v>
      </c>
      <c r="F413" t="str">
        <f ca="1">CONCATENATE("Enter a '10% Carryover Actual Incurred Costs' value for '", C413, "' in cell ", D413, ".", CHAR(10))</f>
        <v xml:space="preserve">Enter a '10% Carryover Actual Incurred Costs' value for 'Landscape Design' in cell F31.
</v>
      </c>
      <c r="G413" s="9" t="str">
        <f t="shared" ca="1" si="186"/>
        <v xml:space="preserve">The total of development budget in column B must be greater than zero.
</v>
      </c>
    </row>
    <row r="414" spans="1:7" ht="15" customHeight="1">
      <c r="A414" t="str">
        <f ca="1">IF(E414="", F414, "")</f>
        <v/>
      </c>
      <c r="B414" s="52">
        <f>B409+1</f>
        <v>32</v>
      </c>
      <c r="C414" t="str">
        <f ca="1">INDIRECT($F$292 &amp; ADDRESS(B414, 1,4  ))</f>
        <v>Structural Engineering</v>
      </c>
      <c r="D414" t="str">
        <f>ADDRESS(B414, 2,4  )</f>
        <v>B32</v>
      </c>
      <c r="E414">
        <f t="shared" ca="1" si="188"/>
        <v>0</v>
      </c>
      <c r="F414" t="str">
        <f ca="1">CONCATENATE("Enter a value for '", C414, "' in cell ", D414, ".", CHAR(10))</f>
        <v xml:space="preserve">Enter a value for 'Structural Engineering' in cell B32.
</v>
      </c>
      <c r="G414" s="9" t="str">
        <f t="shared" ca="1" si="186"/>
        <v xml:space="preserve">The total of development budget in column B must be greater than zero.
</v>
      </c>
    </row>
    <row r="415" spans="1:7" ht="15" customHeight="1">
      <c r="A415" t="str">
        <f ca="1">IF(AND(Calculations!$B$5, E415=""), F415, "")</f>
        <v/>
      </c>
      <c r="B415" t="s">
        <v>457</v>
      </c>
      <c r="C415" t="str">
        <f ca="1">INDIRECT($F$292 &amp; ADDRESS(B414, 1,4  ))</f>
        <v>Structural Engineering</v>
      </c>
      <c r="D415" t="str">
        <f>ADDRESS(B414, 3,4  )</f>
        <v>C32</v>
      </c>
      <c r="E415">
        <f t="shared" ca="1" si="188"/>
        <v>0</v>
      </c>
      <c r="F415" t="str">
        <f ca="1">CONCATENATE("Enter an '4% LIHTC Basis Calculation' value for '", C415, "' in cell ", D415, ".", CHAR(10))</f>
        <v xml:space="preserve">Enter an '4% LIHTC Basis Calculation' value for 'Structural Engineering' in cell C32.
</v>
      </c>
      <c r="G415" s="9" t="str">
        <f t="shared" ca="1" si="186"/>
        <v xml:space="preserve">The total of development budget in column B must be greater than zero.
</v>
      </c>
    </row>
    <row r="416" spans="1:7" ht="15" customHeight="1">
      <c r="A416" t="str">
        <f ca="1">IF(AND(Calculations!$B$6, E416=""), F416, "")</f>
        <v/>
      </c>
      <c r="B416" t="s">
        <v>457</v>
      </c>
      <c r="C416" t="str">
        <f ca="1">INDIRECT($F$292 &amp; ADDRESS(B414, 1,4  ))</f>
        <v>Structural Engineering</v>
      </c>
      <c r="D416" t="str">
        <f>ADDRESS(B414, 4,4  )</f>
        <v>D32</v>
      </c>
      <c r="E416">
        <f t="shared" ca="1" si="188"/>
        <v>0</v>
      </c>
      <c r="F416" t="str">
        <f ca="1">CONCATENATE("Enter an '9% LIHTC Basis Calculation' value for '", C416, "' in cell ", D416, ".", CHAR(10))</f>
        <v xml:space="preserve">Enter an '9% LIHTC Basis Calculation' value for 'Structural Engineering' in cell D32.
</v>
      </c>
      <c r="G416" s="9" t="str">
        <f t="shared" ca="1" si="186"/>
        <v xml:space="preserve">The total of development budget in column B must be greater than zero.
</v>
      </c>
    </row>
    <row r="417" spans="1:7" ht="15" customHeight="1">
      <c r="A417" t="str">
        <f ca="1">IF(AND(OR(Calculations!$B$3:$B$4), E417=""), F417, "")</f>
        <v/>
      </c>
      <c r="B417" t="s">
        <v>457</v>
      </c>
      <c r="C417" t="str">
        <f ca="1">INDIRECT($F$292 &amp; ADDRESS(B414, 1,4  ))</f>
        <v>Structural Engineering</v>
      </c>
      <c r="D417" t="str">
        <f>ADDRESS(B414, 5,4  )</f>
        <v>E32</v>
      </c>
      <c r="E417">
        <f t="shared" ca="1" si="188"/>
        <v>0</v>
      </c>
      <c r="F417" t="str">
        <f ca="1">CONCATENATE("Enter an 'Amount Last Provided to CHFA' value for '", C417, "' in cell ", D417, ".", CHAR(10))</f>
        <v xml:space="preserve">Enter an 'Amount Last Provided to CHFA' value for 'Structural Engineering' in cell E32.
</v>
      </c>
      <c r="G417" s="9" t="str">
        <f t="shared" ca="1" si="186"/>
        <v xml:space="preserve">The total of development budget in column B must be greater than zero.
</v>
      </c>
    </row>
    <row r="418" spans="1:7" ht="15" customHeight="1">
      <c r="A418" t="str">
        <f ca="1">IF(AND(Calculations!$B$3, E418=""), F418, "")</f>
        <v/>
      </c>
      <c r="B418" t="s">
        <v>457</v>
      </c>
      <c r="C418" t="str">
        <f ca="1">INDIRECT($F$292 &amp; ADDRESS(B414, 1,4  ))</f>
        <v>Structural Engineering</v>
      </c>
      <c r="D418" t="str">
        <f>ADDRESS(B414, 6,4  )</f>
        <v>F32</v>
      </c>
      <c r="E418">
        <f t="shared" ca="1" si="188"/>
        <v>0</v>
      </c>
      <c r="F418" t="str">
        <f ca="1">CONCATENATE("Enter a '10% Carryover Actual Incurred Costs' value for '", C418, "' in cell ", D418, ".", CHAR(10))</f>
        <v xml:space="preserve">Enter a '10% Carryover Actual Incurred Costs' value for 'Structural Engineering' in cell F32.
</v>
      </c>
      <c r="G418" s="9" t="str">
        <f t="shared" ca="1" si="186"/>
        <v xml:space="preserve">The total of development budget in column B must be greater than zero.
</v>
      </c>
    </row>
    <row r="419" spans="1:7" ht="15" customHeight="1">
      <c r="A419" t="str">
        <f ca="1">IF(E419="", F419, "")</f>
        <v/>
      </c>
      <c r="B419" s="52">
        <f>B414+1</f>
        <v>33</v>
      </c>
      <c r="C419" t="str">
        <f ca="1">INDIRECT($F$292 &amp; ADDRESS(B419, 1,4  ))</f>
        <v>Civil Engineering</v>
      </c>
      <c r="D419" t="str">
        <f>ADDRESS(B419, 2,4  )</f>
        <v>B33</v>
      </c>
      <c r="E419">
        <f t="shared" ca="1" si="188"/>
        <v>0</v>
      </c>
      <c r="F419" t="str">
        <f ca="1">CONCATENATE("Enter a value for '", C419, "' in cell ", D419, ".", CHAR(10))</f>
        <v xml:space="preserve">Enter a value for 'Civil Engineering' in cell B33.
</v>
      </c>
      <c r="G419" s="9" t="str">
        <f t="shared" ca="1" si="186"/>
        <v xml:space="preserve">The total of development budget in column B must be greater than zero.
</v>
      </c>
    </row>
    <row r="420" spans="1:7" ht="15" customHeight="1">
      <c r="A420" t="str">
        <f ca="1">IF(AND(Calculations!$B$5, E420=""), F420, "")</f>
        <v/>
      </c>
      <c r="B420" t="s">
        <v>457</v>
      </c>
      <c r="C420" t="str">
        <f ca="1">INDIRECT($F$292 &amp; ADDRESS(B419, 1,4  ))</f>
        <v>Civil Engineering</v>
      </c>
      <c r="D420" t="str">
        <f>ADDRESS(B419, 3,4  )</f>
        <v>C33</v>
      </c>
      <c r="E420">
        <f t="shared" ca="1" si="188"/>
        <v>0</v>
      </c>
      <c r="F420" t="str">
        <f ca="1">CONCATENATE("Enter an '4% LIHTC Basis Calculation' value for '", C420, "' in cell ", D420, ".", CHAR(10))</f>
        <v xml:space="preserve">Enter an '4% LIHTC Basis Calculation' value for 'Civil Engineering' in cell C33.
</v>
      </c>
      <c r="G420" s="9" t="str">
        <f t="shared" ca="1" si="186"/>
        <v xml:space="preserve">The total of development budget in column B must be greater than zero.
</v>
      </c>
    </row>
    <row r="421" spans="1:7" ht="15" customHeight="1">
      <c r="A421" t="str">
        <f ca="1">IF(AND(Calculations!$B$6, E421=""), F421, "")</f>
        <v/>
      </c>
      <c r="B421" t="s">
        <v>457</v>
      </c>
      <c r="C421" t="str">
        <f ca="1">INDIRECT($F$292 &amp; ADDRESS(B419, 1,4  ))</f>
        <v>Civil Engineering</v>
      </c>
      <c r="D421" t="str">
        <f>ADDRESS(B419, 4,4  )</f>
        <v>D33</v>
      </c>
      <c r="E421">
        <f t="shared" ref="E421:E452" ca="1" si="189">IF(ISBLANK( INDIRECT($F$292 &amp; D421)),"", INDIRECT($F$292 &amp; D421))</f>
        <v>0</v>
      </c>
      <c r="F421" t="str">
        <f ca="1">CONCATENATE("Enter an '9% LIHTC Basis Calculation' value for '", C421, "' in cell ", D421, ".", CHAR(10))</f>
        <v xml:space="preserve">Enter an '9% LIHTC Basis Calculation' value for 'Civil Engineering' in cell D33.
</v>
      </c>
      <c r="G421" s="9" t="str">
        <f t="shared" ref="G421:G484" ca="1" si="190">OFFSET(G421, -1, 0) &amp; A421</f>
        <v xml:space="preserve">The total of development budget in column B must be greater than zero.
</v>
      </c>
    </row>
    <row r="422" spans="1:7" ht="15" customHeight="1">
      <c r="A422" t="str">
        <f ca="1">IF(AND(OR(Calculations!$B$3:$B$4), E422=""), F422, "")</f>
        <v/>
      </c>
      <c r="B422" t="s">
        <v>457</v>
      </c>
      <c r="C422" t="str">
        <f ca="1">INDIRECT($F$292 &amp; ADDRESS(B419, 1,4  ))</f>
        <v>Civil Engineering</v>
      </c>
      <c r="D422" t="str">
        <f>ADDRESS(B419, 5,4  )</f>
        <v>E33</v>
      </c>
      <c r="E422">
        <f t="shared" ca="1" si="189"/>
        <v>0</v>
      </c>
      <c r="F422" t="str">
        <f ca="1">CONCATENATE("Enter an 'Amount Last Provided to CHFA' value for '", C422, "' in cell ", D422, ".", CHAR(10))</f>
        <v xml:space="preserve">Enter an 'Amount Last Provided to CHFA' value for 'Civil Engineering' in cell E33.
</v>
      </c>
      <c r="G422" s="9" t="str">
        <f t="shared" ca="1" si="190"/>
        <v xml:space="preserve">The total of development budget in column B must be greater than zero.
</v>
      </c>
    </row>
    <row r="423" spans="1:7" ht="15" customHeight="1">
      <c r="A423" t="str">
        <f ca="1">IF(AND(Calculations!$B$3, E423=""), F423, "")</f>
        <v/>
      </c>
      <c r="B423" t="s">
        <v>457</v>
      </c>
      <c r="C423" t="str">
        <f ca="1">INDIRECT($F$292 &amp; ADDRESS(B419, 1,4  ))</f>
        <v>Civil Engineering</v>
      </c>
      <c r="D423" t="str">
        <f>ADDRESS(B419, 6,4  )</f>
        <v>F33</v>
      </c>
      <c r="E423">
        <f t="shared" ca="1" si="189"/>
        <v>0</v>
      </c>
      <c r="F423" t="str">
        <f ca="1">CONCATENATE("Enter a '10% Carryover Actual Incurred Costs' value for '", C423, "' in cell ", D423, ".", CHAR(10))</f>
        <v xml:space="preserve">Enter a '10% Carryover Actual Incurred Costs' value for 'Civil Engineering' in cell F33.
</v>
      </c>
      <c r="G423" s="9" t="str">
        <f t="shared" ca="1" si="190"/>
        <v xml:space="preserve">The total of development budget in column B must be greater than zero.
</v>
      </c>
    </row>
    <row r="424" spans="1:7" ht="15" customHeight="1">
      <c r="A424" t="str">
        <f ca="1">IF(E424="", F424, "")</f>
        <v/>
      </c>
      <c r="B424" s="52">
        <f>B419+1</f>
        <v>34</v>
      </c>
      <c r="C424" t="str">
        <f ca="1">INDIRECT($F$292 &amp; ADDRESS(B424, 1,4  ))</f>
        <v>Other Engineering</v>
      </c>
      <c r="D424" t="str">
        <f>ADDRESS(B424, 2,4  )</f>
        <v>B34</v>
      </c>
      <c r="E424">
        <f t="shared" ca="1" si="189"/>
        <v>0</v>
      </c>
      <c r="F424" t="str">
        <f ca="1">CONCATENATE("Enter a value for '", C424, "' in cell ", D424, ".", CHAR(10))</f>
        <v xml:space="preserve">Enter a value for 'Other Engineering' in cell B34.
</v>
      </c>
      <c r="G424" s="9" t="str">
        <f t="shared" ca="1" si="190"/>
        <v xml:space="preserve">The total of development budget in column B must be greater than zero.
</v>
      </c>
    </row>
    <row r="425" spans="1:7" ht="15" customHeight="1">
      <c r="A425" t="str">
        <f ca="1">IF(AND(Calculations!$B$5, E425=""), F425, "")</f>
        <v/>
      </c>
      <c r="B425" t="s">
        <v>457</v>
      </c>
      <c r="C425" t="str">
        <f ca="1">INDIRECT($F$292 &amp; ADDRESS(B424, 1,4  ))</f>
        <v>Other Engineering</v>
      </c>
      <c r="D425" t="str">
        <f>ADDRESS(B424, 3,4  )</f>
        <v>C34</v>
      </c>
      <c r="E425">
        <f t="shared" ca="1" si="189"/>
        <v>0</v>
      </c>
      <c r="F425" t="str">
        <f ca="1">CONCATENATE("Enter an '4% LIHTC Basis Calculation' value for '", C425, "' in cell ", D425, ".", CHAR(10))</f>
        <v xml:space="preserve">Enter an '4% LIHTC Basis Calculation' value for 'Other Engineering' in cell C34.
</v>
      </c>
      <c r="G425" s="9" t="str">
        <f t="shared" ca="1" si="190"/>
        <v xml:space="preserve">The total of development budget in column B must be greater than zero.
</v>
      </c>
    </row>
    <row r="426" spans="1:7" ht="15" customHeight="1">
      <c r="A426" t="str">
        <f ca="1">IF(AND(Calculations!$B$6, E426=""), F426, "")</f>
        <v/>
      </c>
      <c r="B426" t="s">
        <v>457</v>
      </c>
      <c r="C426" t="str">
        <f ca="1">INDIRECT($F$292 &amp; ADDRESS(B424, 1,4  ))</f>
        <v>Other Engineering</v>
      </c>
      <c r="D426" t="str">
        <f>ADDRESS(B424, 4,4  )</f>
        <v>D34</v>
      </c>
      <c r="E426">
        <f t="shared" ca="1" si="189"/>
        <v>0</v>
      </c>
      <c r="F426" t="str">
        <f ca="1">CONCATENATE("Enter an '9% LIHTC Basis Calculation' value for '", C426, "' in cell ", D426, ".", CHAR(10))</f>
        <v xml:space="preserve">Enter an '9% LIHTC Basis Calculation' value for 'Other Engineering' in cell D34.
</v>
      </c>
      <c r="G426" s="9" t="str">
        <f t="shared" ca="1" si="190"/>
        <v xml:space="preserve">The total of development budget in column B must be greater than zero.
</v>
      </c>
    </row>
    <row r="427" spans="1:7" ht="15" customHeight="1">
      <c r="A427" t="str">
        <f ca="1">IF(AND(OR(Calculations!$B$3:$B$4), E427=""), F427, "")</f>
        <v/>
      </c>
      <c r="B427" t="s">
        <v>457</v>
      </c>
      <c r="C427" t="str">
        <f ca="1">INDIRECT($F$292 &amp; ADDRESS(B424, 1,4  ))</f>
        <v>Other Engineering</v>
      </c>
      <c r="D427" t="str">
        <f>ADDRESS(B424, 5,4  )</f>
        <v>E34</v>
      </c>
      <c r="E427">
        <f t="shared" ca="1" si="189"/>
        <v>0</v>
      </c>
      <c r="F427" t="str">
        <f ca="1">CONCATENATE("Enter an 'Amount Last Provided to CHFA' value for '", C427, "' in cell ", D427, ".", CHAR(10))</f>
        <v xml:space="preserve">Enter an 'Amount Last Provided to CHFA' value for 'Other Engineering' in cell E34.
</v>
      </c>
      <c r="G427" s="9" t="str">
        <f t="shared" ca="1" si="190"/>
        <v xml:space="preserve">The total of development budget in column B must be greater than zero.
</v>
      </c>
    </row>
    <row r="428" spans="1:7" ht="15" customHeight="1">
      <c r="A428" t="str">
        <f ca="1">IF(AND(Calculations!$B$3, E428=""), F428, "")</f>
        <v/>
      </c>
      <c r="B428" t="s">
        <v>457</v>
      </c>
      <c r="C428" t="str">
        <f ca="1">INDIRECT($F$292 &amp; ADDRESS(B424, 1,4  ))</f>
        <v>Other Engineering</v>
      </c>
      <c r="D428" t="str">
        <f>ADDRESS(B424, 6,4  )</f>
        <v>F34</v>
      </c>
      <c r="E428">
        <f t="shared" ca="1" si="189"/>
        <v>0</v>
      </c>
      <c r="F428" t="str">
        <f ca="1">CONCATENATE("Enter a '10% Carryover Actual Incurred Costs' value for '", C428, "' in cell ", D428, ".", CHAR(10))</f>
        <v xml:space="preserve">Enter a '10% Carryover Actual Incurred Costs' value for 'Other Engineering' in cell F34.
</v>
      </c>
      <c r="G428" s="9" t="str">
        <f t="shared" ca="1" si="190"/>
        <v xml:space="preserve">The total of development budget in column B must be greater than zero.
</v>
      </c>
    </row>
    <row r="429" spans="1:7" ht="15" customHeight="1">
      <c r="A429" t="str">
        <f ca="1">IF(E429="", F429, "")</f>
        <v/>
      </c>
      <c r="B429" s="52">
        <f>B424+1</f>
        <v>35</v>
      </c>
      <c r="C429" t="str">
        <f ca="1">INDIRECT($F$292 &amp; ADDRESS(B429, 1,4  ))</f>
        <v>Surveyor</v>
      </c>
      <c r="D429" t="str">
        <f>ADDRESS(B429, 2,4  )</f>
        <v>B35</v>
      </c>
      <c r="E429">
        <f t="shared" ca="1" si="189"/>
        <v>0</v>
      </c>
      <c r="F429" t="str">
        <f ca="1">CONCATENATE("Enter a value for '", C429, "' in cell ", D429, ".", CHAR(10))</f>
        <v xml:space="preserve">Enter a value for 'Surveyor' in cell B35.
</v>
      </c>
      <c r="G429" s="9" t="str">
        <f t="shared" ca="1" si="190"/>
        <v xml:space="preserve">The total of development budget in column B must be greater than zero.
</v>
      </c>
    </row>
    <row r="430" spans="1:7" ht="15" customHeight="1">
      <c r="A430" t="str">
        <f ca="1">IF(AND(Calculations!$B$5, E430=""), F430, "")</f>
        <v/>
      </c>
      <c r="B430" t="s">
        <v>457</v>
      </c>
      <c r="C430" t="str">
        <f ca="1">INDIRECT($F$292 &amp; ADDRESS(B429, 1,4  ))</f>
        <v>Surveyor</v>
      </c>
      <c r="D430" t="str">
        <f>ADDRESS(B429, 3,4  )</f>
        <v>C35</v>
      </c>
      <c r="E430">
        <f t="shared" ca="1" si="189"/>
        <v>0</v>
      </c>
      <c r="F430" t="str">
        <f ca="1">CONCATENATE("Enter an '4% LIHTC Basis Calculation' value for '", C430, "' in cell ", D430, ".", CHAR(10))</f>
        <v xml:space="preserve">Enter an '4% LIHTC Basis Calculation' value for 'Surveyor' in cell C35.
</v>
      </c>
      <c r="G430" s="9" t="str">
        <f t="shared" ca="1" si="190"/>
        <v xml:space="preserve">The total of development budget in column B must be greater than zero.
</v>
      </c>
    </row>
    <row r="431" spans="1:7" ht="15" customHeight="1">
      <c r="A431" t="str">
        <f ca="1">IF(AND(Calculations!$B$6, E431=""), F431, "")</f>
        <v/>
      </c>
      <c r="B431" t="s">
        <v>457</v>
      </c>
      <c r="C431" t="str">
        <f ca="1">INDIRECT($F$292 &amp; ADDRESS(B429, 1,4  ))</f>
        <v>Surveyor</v>
      </c>
      <c r="D431" t="str">
        <f>ADDRESS(B429, 4,4  )</f>
        <v>D35</v>
      </c>
      <c r="E431">
        <f t="shared" ca="1" si="189"/>
        <v>0</v>
      </c>
      <c r="F431" t="str">
        <f ca="1">CONCATENATE("Enter an '9% LIHTC Basis Calculation' value for '", C431, "' in cell ", D431, ".", CHAR(10))</f>
        <v xml:space="preserve">Enter an '9% LIHTC Basis Calculation' value for 'Surveyor' in cell D35.
</v>
      </c>
      <c r="G431" s="9" t="str">
        <f t="shared" ca="1" si="190"/>
        <v xml:space="preserve">The total of development budget in column B must be greater than zero.
</v>
      </c>
    </row>
    <row r="432" spans="1:7" ht="15" customHeight="1">
      <c r="A432" t="str">
        <f ca="1">IF(AND(OR(Calculations!$B$3:$B$4), E432=""), F432, "")</f>
        <v/>
      </c>
      <c r="B432" t="s">
        <v>457</v>
      </c>
      <c r="C432" t="str">
        <f ca="1">INDIRECT($F$292 &amp; ADDRESS(B429, 1,4  ))</f>
        <v>Surveyor</v>
      </c>
      <c r="D432" t="str">
        <f>ADDRESS(B429, 5,4  )</f>
        <v>E35</v>
      </c>
      <c r="E432">
        <f t="shared" ca="1" si="189"/>
        <v>0</v>
      </c>
      <c r="F432" t="str">
        <f ca="1">CONCATENATE("Enter an 'Amount Last Provided to CHFA' value for '", C432, "' in cell ", D432, ".", CHAR(10))</f>
        <v xml:space="preserve">Enter an 'Amount Last Provided to CHFA' value for 'Surveyor' in cell E35.
</v>
      </c>
      <c r="G432" s="9" t="str">
        <f t="shared" ca="1" si="190"/>
        <v xml:space="preserve">The total of development budget in column B must be greater than zero.
</v>
      </c>
    </row>
    <row r="433" spans="1:7" ht="15" customHeight="1">
      <c r="A433" t="str">
        <f ca="1">IF(AND(Calculations!$B$3, E433=""), F433, "")</f>
        <v/>
      </c>
      <c r="B433" t="s">
        <v>457</v>
      </c>
      <c r="C433" t="str">
        <f ca="1">INDIRECT($F$292 &amp; ADDRESS(B429, 1,4  ))</f>
        <v>Surveyor</v>
      </c>
      <c r="D433" t="str">
        <f>ADDRESS(B429, 6,4  )</f>
        <v>F35</v>
      </c>
      <c r="E433">
        <f t="shared" ca="1" si="189"/>
        <v>0</v>
      </c>
      <c r="F433" t="str">
        <f ca="1">CONCATENATE("Enter a '10% Carryover Actual Incurred Costs' value for '", C433, "' in cell ", D433, ".", CHAR(10))</f>
        <v xml:space="preserve">Enter a '10% Carryover Actual Incurred Costs' value for 'Surveyor' in cell F35.
</v>
      </c>
      <c r="G433" s="9" t="str">
        <f t="shared" ca="1" si="190"/>
        <v xml:space="preserve">The total of development budget in column B must be greater than zero.
</v>
      </c>
    </row>
    <row r="434" spans="1:7" ht="15" customHeight="1">
      <c r="A434" t="str">
        <f ca="1">IF(E434="", F434, "")</f>
        <v/>
      </c>
      <c r="B434" s="52">
        <f>B429+1</f>
        <v>36</v>
      </c>
      <c r="C434" t="str">
        <f ca="1">INDIRECT($F$292 &amp; ADDRESS(B434, 1,4  ))</f>
        <v>Attorney, Real Estate</v>
      </c>
      <c r="D434" t="str">
        <f>ADDRESS(B434, 2,4  )</f>
        <v>B36</v>
      </c>
      <c r="E434">
        <f t="shared" ca="1" si="189"/>
        <v>0</v>
      </c>
      <c r="F434" t="str">
        <f ca="1">CONCATENATE("Enter a value for '", C434, "' in cell ", D434, ".", CHAR(10))</f>
        <v xml:space="preserve">Enter a value for 'Attorney, Real Estate' in cell B36.
</v>
      </c>
      <c r="G434" s="9" t="str">
        <f t="shared" ca="1" si="190"/>
        <v xml:space="preserve">The total of development budget in column B must be greater than zero.
</v>
      </c>
    </row>
    <row r="435" spans="1:7" ht="15" customHeight="1">
      <c r="A435" t="str">
        <f ca="1">IF(AND(Calculations!$B$5, E435=""), F435, "")</f>
        <v/>
      </c>
      <c r="B435" t="s">
        <v>457</v>
      </c>
      <c r="C435" t="str">
        <f ca="1">INDIRECT($F$292 &amp; ADDRESS(B434, 1,4  ))</f>
        <v>Attorney, Real Estate</v>
      </c>
      <c r="D435" t="str">
        <f>ADDRESS(B434, 3,4  )</f>
        <v>C36</v>
      </c>
      <c r="E435">
        <f t="shared" ca="1" si="189"/>
        <v>0</v>
      </c>
      <c r="F435" t="str">
        <f ca="1">CONCATENATE("Enter an '4% LIHTC Basis Calculation' value for '", C435, "' in cell ", D435, ".", CHAR(10))</f>
        <v xml:space="preserve">Enter an '4% LIHTC Basis Calculation' value for 'Attorney, Real Estate' in cell C36.
</v>
      </c>
      <c r="G435" s="9" t="str">
        <f t="shared" ca="1" si="190"/>
        <v xml:space="preserve">The total of development budget in column B must be greater than zero.
</v>
      </c>
    </row>
    <row r="436" spans="1:7" ht="15" customHeight="1">
      <c r="A436" t="str">
        <f ca="1">IF(AND(Calculations!$B$6, E436=""), F436, "")</f>
        <v/>
      </c>
      <c r="B436" t="s">
        <v>457</v>
      </c>
      <c r="C436" t="str">
        <f ca="1">INDIRECT($F$292 &amp; ADDRESS(B434, 1,4  ))</f>
        <v>Attorney, Real Estate</v>
      </c>
      <c r="D436" t="str">
        <f>ADDRESS(B434, 4,4  )</f>
        <v>D36</v>
      </c>
      <c r="E436">
        <f t="shared" ca="1" si="189"/>
        <v>0</v>
      </c>
      <c r="F436" t="str">
        <f ca="1">CONCATENATE("Enter an '9% LIHTC Basis Calculation' value for '", C436, "' in cell ", D436, ".", CHAR(10))</f>
        <v xml:space="preserve">Enter an '9% LIHTC Basis Calculation' value for 'Attorney, Real Estate' in cell D36.
</v>
      </c>
      <c r="G436" s="9" t="str">
        <f t="shared" ca="1" si="190"/>
        <v xml:space="preserve">The total of development budget in column B must be greater than zero.
</v>
      </c>
    </row>
    <row r="437" spans="1:7" ht="15" customHeight="1">
      <c r="A437" t="str">
        <f ca="1">IF(AND(OR(Calculations!$B$3:$B$4), E437=""), F437, "")</f>
        <v/>
      </c>
      <c r="B437" t="s">
        <v>457</v>
      </c>
      <c r="C437" t="str">
        <f ca="1">INDIRECT($F$292 &amp; ADDRESS(B434, 1,4  ))</f>
        <v>Attorney, Real Estate</v>
      </c>
      <c r="D437" t="str">
        <f>ADDRESS(B434, 5,4  )</f>
        <v>E36</v>
      </c>
      <c r="E437">
        <f t="shared" ca="1" si="189"/>
        <v>0</v>
      </c>
      <c r="F437" t="str">
        <f ca="1">CONCATENATE("Enter an 'Amount Last Provided to CHFA' value for '", C437, "' in cell ", D437, ".", CHAR(10))</f>
        <v xml:space="preserve">Enter an 'Amount Last Provided to CHFA' value for 'Attorney, Real Estate' in cell E36.
</v>
      </c>
      <c r="G437" s="9" t="str">
        <f t="shared" ca="1" si="190"/>
        <v xml:space="preserve">The total of development budget in column B must be greater than zero.
</v>
      </c>
    </row>
    <row r="438" spans="1:7" ht="15" customHeight="1">
      <c r="A438" t="str">
        <f ca="1">IF(AND(Calculations!$B$3, E438=""), F438, "")</f>
        <v/>
      </c>
      <c r="B438" t="s">
        <v>457</v>
      </c>
      <c r="C438" t="str">
        <f ca="1">INDIRECT($F$292 &amp; ADDRESS(B434, 1,4  ))</f>
        <v>Attorney, Real Estate</v>
      </c>
      <c r="D438" t="str">
        <f>ADDRESS(B434, 6,4  )</f>
        <v>F36</v>
      </c>
      <c r="E438">
        <f t="shared" ca="1" si="189"/>
        <v>0</v>
      </c>
      <c r="F438" t="str">
        <f ca="1">CONCATENATE("Enter a '10% Carryover Actual Incurred Costs' value for '", C438, "' in cell ", D438, ".", CHAR(10))</f>
        <v xml:space="preserve">Enter a '10% Carryover Actual Incurred Costs' value for 'Attorney, Real Estate' in cell F36.
</v>
      </c>
      <c r="G438" s="9" t="str">
        <f t="shared" ca="1" si="190"/>
        <v xml:space="preserve">The total of development budget in column B must be greater than zero.
</v>
      </c>
    </row>
    <row r="439" spans="1:7" ht="15" customHeight="1">
      <c r="A439" t="str">
        <f ca="1">IF(E439="", F439, "")</f>
        <v/>
      </c>
      <c r="B439" s="52">
        <f>B434+1</f>
        <v>37</v>
      </c>
      <c r="C439" t="str">
        <f ca="1">INDIRECT($F$292 &amp; ADDRESS(B439, 1,4  ))</f>
        <v>Green Consultant</v>
      </c>
      <c r="D439" t="str">
        <f>ADDRESS(B439, 2,4  )</f>
        <v>B37</v>
      </c>
      <c r="E439">
        <f t="shared" ca="1" si="189"/>
        <v>0</v>
      </c>
      <c r="F439" t="str">
        <f ca="1">CONCATENATE("Enter a value for '", C439, "' in cell ", D439, ".", CHAR(10))</f>
        <v xml:space="preserve">Enter a value for 'Green Consultant' in cell B37.
</v>
      </c>
      <c r="G439" s="9" t="str">
        <f t="shared" ca="1" si="190"/>
        <v xml:space="preserve">The total of development budget in column B must be greater than zero.
</v>
      </c>
    </row>
    <row r="440" spans="1:7" ht="15" customHeight="1">
      <c r="A440" t="str">
        <f ca="1">IF(AND(Calculations!$B$5, E440=""), F440, "")</f>
        <v/>
      </c>
      <c r="B440" t="s">
        <v>457</v>
      </c>
      <c r="C440" t="str">
        <f ca="1">INDIRECT($F$292 &amp; ADDRESS(B439, 1,4  ))</f>
        <v>Green Consultant</v>
      </c>
      <c r="D440" t="str">
        <f>ADDRESS(B439, 3,4  )</f>
        <v>C37</v>
      </c>
      <c r="E440">
        <f t="shared" ca="1" si="189"/>
        <v>0</v>
      </c>
      <c r="F440" t="str">
        <f ca="1">CONCATENATE("Enter an '4% LIHTC Basis Calculation' value for '", C440, "' in cell ", D440, ".", CHAR(10))</f>
        <v xml:space="preserve">Enter an '4% LIHTC Basis Calculation' value for 'Green Consultant' in cell C37.
</v>
      </c>
      <c r="G440" s="9" t="str">
        <f t="shared" ca="1" si="190"/>
        <v xml:space="preserve">The total of development budget in column B must be greater than zero.
</v>
      </c>
    </row>
    <row r="441" spans="1:7" ht="15" customHeight="1">
      <c r="A441" t="str">
        <f ca="1">IF(AND(Calculations!$B$6, E441=""), F441, "")</f>
        <v/>
      </c>
      <c r="B441" t="s">
        <v>457</v>
      </c>
      <c r="C441" t="str">
        <f ca="1">INDIRECT($F$292 &amp; ADDRESS(B439, 1,4  ))</f>
        <v>Green Consultant</v>
      </c>
      <c r="D441" t="str">
        <f>ADDRESS(B439, 4,4  )</f>
        <v>D37</v>
      </c>
      <c r="E441">
        <f t="shared" ca="1" si="189"/>
        <v>0</v>
      </c>
      <c r="F441" t="str">
        <f ca="1">CONCATENATE("Enter an '9% LIHTC Basis Calculation' value for '", C441, "' in cell ", D441, ".", CHAR(10))</f>
        <v xml:space="preserve">Enter an '9% LIHTC Basis Calculation' value for 'Green Consultant' in cell D37.
</v>
      </c>
      <c r="G441" s="9" t="str">
        <f t="shared" ca="1" si="190"/>
        <v xml:space="preserve">The total of development budget in column B must be greater than zero.
</v>
      </c>
    </row>
    <row r="442" spans="1:7" ht="15" customHeight="1">
      <c r="A442" t="str">
        <f ca="1">IF(AND(OR(Calculations!$B$3:$B$4), E442=""), F442, "")</f>
        <v/>
      </c>
      <c r="B442" t="s">
        <v>457</v>
      </c>
      <c r="C442" t="str">
        <f ca="1">INDIRECT($F$292 &amp; ADDRESS(B439, 1,4  ))</f>
        <v>Green Consultant</v>
      </c>
      <c r="D442" t="str">
        <f>ADDRESS(B439, 5,4  )</f>
        <v>E37</v>
      </c>
      <c r="E442">
        <f t="shared" ca="1" si="189"/>
        <v>0</v>
      </c>
      <c r="F442" t="str">
        <f ca="1">CONCATENATE("Enter an 'Amount Last Provided to CHFA' value for '", C442, "' in cell ", D442, ".", CHAR(10))</f>
        <v xml:space="preserve">Enter an 'Amount Last Provided to CHFA' value for 'Green Consultant' in cell E37.
</v>
      </c>
      <c r="G442" s="9" t="str">
        <f t="shared" ca="1" si="190"/>
        <v xml:space="preserve">The total of development budget in column B must be greater than zero.
</v>
      </c>
    </row>
    <row r="443" spans="1:7" ht="15" customHeight="1">
      <c r="A443" t="str">
        <f ca="1">IF(AND(Calculations!$B$3, E443=""), F443, "")</f>
        <v/>
      </c>
      <c r="B443" t="s">
        <v>457</v>
      </c>
      <c r="C443" t="str">
        <f ca="1">INDIRECT($F$292 &amp; ADDRESS(B439, 1,4  ))</f>
        <v>Green Consultant</v>
      </c>
      <c r="D443" t="str">
        <f>ADDRESS(B439, 6,4  )</f>
        <v>F37</v>
      </c>
      <c r="E443">
        <f t="shared" ca="1" si="189"/>
        <v>0</v>
      </c>
      <c r="F443" t="str">
        <f ca="1">CONCATENATE("Enter a '10% Carryover Actual Incurred Costs' value for '", C443, "' in cell ", D443, ".", CHAR(10))</f>
        <v xml:space="preserve">Enter a '10% Carryover Actual Incurred Costs' value for 'Green Consultant' in cell F37.
</v>
      </c>
      <c r="G443" s="9" t="str">
        <f t="shared" ca="1" si="190"/>
        <v xml:space="preserve">The total of development budget in column B must be greater than zero.
</v>
      </c>
    </row>
    <row r="444" spans="1:7" ht="15" customHeight="1">
      <c r="A444" t="str">
        <f ca="1">IF(E444="", F444, "")</f>
        <v/>
      </c>
      <c r="B444" s="52">
        <f>B439+1</f>
        <v>38</v>
      </c>
      <c r="C444" t="str">
        <f ca="1">INDIRECT($F$292 &amp; ADDRESS(B444, 1,4  ))</f>
        <v>Green Charrette</v>
      </c>
      <c r="D444" t="str">
        <f>ADDRESS(B444, 2,4  )</f>
        <v>B38</v>
      </c>
      <c r="E444">
        <f t="shared" ca="1" si="189"/>
        <v>0</v>
      </c>
      <c r="F444" t="str">
        <f ca="1">CONCATENATE("Enter a value for '", C444, "' in cell ", D444, ".", CHAR(10))</f>
        <v xml:space="preserve">Enter a value for 'Green Charrette' in cell B38.
</v>
      </c>
      <c r="G444" s="9" t="str">
        <f t="shared" ca="1" si="190"/>
        <v xml:space="preserve">The total of development budget in column B must be greater than zero.
</v>
      </c>
    </row>
    <row r="445" spans="1:7" ht="15" customHeight="1">
      <c r="A445" t="str">
        <f ca="1">IF(AND(Calculations!$B$5, E445=""), F445, "")</f>
        <v/>
      </c>
      <c r="B445" t="s">
        <v>457</v>
      </c>
      <c r="C445" t="str">
        <f ca="1">INDIRECT($F$292 &amp; ADDRESS(B444, 1,4  ))</f>
        <v>Green Charrette</v>
      </c>
      <c r="D445" t="str">
        <f>ADDRESS(B444, 3,4  )</f>
        <v>C38</v>
      </c>
      <c r="E445">
        <f t="shared" ca="1" si="189"/>
        <v>0</v>
      </c>
      <c r="F445" t="str">
        <f ca="1">CONCATENATE("Enter an '4% LIHTC Basis Calculation' value for '", C445, "' in cell ", D445, ".", CHAR(10))</f>
        <v xml:space="preserve">Enter an '4% LIHTC Basis Calculation' value for 'Green Charrette' in cell C38.
</v>
      </c>
      <c r="G445" s="9" t="str">
        <f t="shared" ca="1" si="190"/>
        <v xml:space="preserve">The total of development budget in column B must be greater than zero.
</v>
      </c>
    </row>
    <row r="446" spans="1:7" ht="15" customHeight="1">
      <c r="A446" t="str">
        <f ca="1">IF(AND(Calculations!$B$6, E446=""), F446, "")</f>
        <v/>
      </c>
      <c r="B446" t="s">
        <v>457</v>
      </c>
      <c r="C446" t="str">
        <f ca="1">INDIRECT($F$292 &amp; ADDRESS(B444, 1,4  ))</f>
        <v>Green Charrette</v>
      </c>
      <c r="D446" t="str">
        <f>ADDRESS(B444, 4,4  )</f>
        <v>D38</v>
      </c>
      <c r="E446">
        <f t="shared" ca="1" si="189"/>
        <v>0</v>
      </c>
      <c r="F446" t="str">
        <f ca="1">CONCATENATE("Enter an '9% LIHTC Basis Calculation' value for '", C446, "' in cell ", D446, ".", CHAR(10))</f>
        <v xml:space="preserve">Enter an '9% LIHTC Basis Calculation' value for 'Green Charrette' in cell D38.
</v>
      </c>
      <c r="G446" s="9" t="str">
        <f t="shared" ca="1" si="190"/>
        <v xml:space="preserve">The total of development budget in column B must be greater than zero.
</v>
      </c>
    </row>
    <row r="447" spans="1:7" ht="15" customHeight="1">
      <c r="A447" t="str">
        <f ca="1">IF(AND(OR(Calculations!$B$3:$B$4), E447=""), F447, "")</f>
        <v/>
      </c>
      <c r="B447" t="s">
        <v>457</v>
      </c>
      <c r="C447" t="str">
        <f ca="1">INDIRECT($F$292 &amp; ADDRESS(B444, 1,4  ))</f>
        <v>Green Charrette</v>
      </c>
      <c r="D447" t="str">
        <f>ADDRESS(B444, 5,4  )</f>
        <v>E38</v>
      </c>
      <c r="E447">
        <f t="shared" ca="1" si="189"/>
        <v>0</v>
      </c>
      <c r="F447" t="str">
        <f ca="1">CONCATENATE("Enter an 'Amount Last Provided to CHFA' value for '", C447, "' in cell ", D447, ".", CHAR(10))</f>
        <v xml:space="preserve">Enter an 'Amount Last Provided to CHFA' value for 'Green Charrette' in cell E38.
</v>
      </c>
      <c r="G447" s="9" t="str">
        <f t="shared" ca="1" si="190"/>
        <v xml:space="preserve">The total of development budget in column B must be greater than zero.
</v>
      </c>
    </row>
    <row r="448" spans="1:7" ht="15" customHeight="1">
      <c r="A448" t="str">
        <f ca="1">IF(AND(Calculations!$B$3, E448=""), F448, "")</f>
        <v/>
      </c>
      <c r="B448" t="s">
        <v>457</v>
      </c>
      <c r="C448" t="str">
        <f ca="1">INDIRECT($F$292 &amp; ADDRESS(B444, 1,4  ))</f>
        <v>Green Charrette</v>
      </c>
      <c r="D448" t="str">
        <f>ADDRESS(B444, 6,4  )</f>
        <v>F38</v>
      </c>
      <c r="E448">
        <f t="shared" ca="1" si="189"/>
        <v>0</v>
      </c>
      <c r="F448" t="str">
        <f ca="1">CONCATENATE("Enter a '10% Carryover Actual Incurred Costs' value for '", C448, "' in cell ", D448, ".", CHAR(10))</f>
        <v xml:space="preserve">Enter a '10% Carryover Actual Incurred Costs' value for 'Green Charrette' in cell F38.
</v>
      </c>
      <c r="G448" s="9" t="str">
        <f t="shared" ca="1" si="190"/>
        <v xml:space="preserve">The total of development budget in column B must be greater than zero.
</v>
      </c>
    </row>
    <row r="449" spans="1:7" ht="15" customHeight="1">
      <c r="A449" t="str">
        <f ca="1">IF(E449="", F449, "")</f>
        <v/>
      </c>
      <c r="B449" s="52">
        <f>B444+1</f>
        <v>39</v>
      </c>
      <c r="C449" t="str">
        <f ca="1">INDIRECT($F$292 &amp; ADDRESS(B449, 1,4  ))</f>
        <v>Construction Accounting</v>
      </c>
      <c r="D449" t="str">
        <f>ADDRESS(B449, 2,4  )</f>
        <v>B39</v>
      </c>
      <c r="E449">
        <f t="shared" ca="1" si="189"/>
        <v>0</v>
      </c>
      <c r="F449" t="str">
        <f ca="1">CONCATENATE("Enter a value for '", C449, "' in cell ", D449, ".", CHAR(10))</f>
        <v xml:space="preserve">Enter a value for 'Construction Accounting' in cell B39.
</v>
      </c>
      <c r="G449" s="9" t="str">
        <f t="shared" ca="1" si="190"/>
        <v xml:space="preserve">The total of development budget in column B must be greater than zero.
</v>
      </c>
    </row>
    <row r="450" spans="1:7" ht="15" customHeight="1">
      <c r="A450" t="str">
        <f ca="1">IF(AND(Calculations!$B$5, E450=""), F450, "")</f>
        <v/>
      </c>
      <c r="B450" t="s">
        <v>457</v>
      </c>
      <c r="C450" t="str">
        <f ca="1">INDIRECT($F$292 &amp; ADDRESS(B449, 1,4  ))</f>
        <v>Construction Accounting</v>
      </c>
      <c r="D450" t="str">
        <f>ADDRESS(B449, 3,4  )</f>
        <v>C39</v>
      </c>
      <c r="E450">
        <f t="shared" ca="1" si="189"/>
        <v>0</v>
      </c>
      <c r="F450" t="str">
        <f ca="1">CONCATENATE("Enter an '4% LIHTC Basis Calculation' value for '", C450, "' in cell ", D450, ".", CHAR(10))</f>
        <v xml:space="preserve">Enter an '4% LIHTC Basis Calculation' value for 'Construction Accounting' in cell C39.
</v>
      </c>
      <c r="G450" s="9" t="str">
        <f t="shared" ca="1" si="190"/>
        <v xml:space="preserve">The total of development budget in column B must be greater than zero.
</v>
      </c>
    </row>
    <row r="451" spans="1:7" ht="15" customHeight="1">
      <c r="A451" t="str">
        <f ca="1">IF(AND(Calculations!$B$6, E451=""), F451, "")</f>
        <v/>
      </c>
      <c r="B451" t="s">
        <v>457</v>
      </c>
      <c r="C451" t="str">
        <f ca="1">INDIRECT($F$292 &amp; ADDRESS(B449, 1,4  ))</f>
        <v>Construction Accounting</v>
      </c>
      <c r="D451" t="str">
        <f>ADDRESS(B449, 4,4  )</f>
        <v>D39</v>
      </c>
      <c r="E451">
        <f t="shared" ca="1" si="189"/>
        <v>0</v>
      </c>
      <c r="F451" t="str">
        <f ca="1">CONCATENATE("Enter an '9% LIHTC Basis Calculation' value for '", C451, "' in cell ", D451, ".", CHAR(10))</f>
        <v xml:space="preserve">Enter an '9% LIHTC Basis Calculation' value for 'Construction Accounting' in cell D39.
</v>
      </c>
      <c r="G451" s="9" t="str">
        <f t="shared" ca="1" si="190"/>
        <v xml:space="preserve">The total of development budget in column B must be greater than zero.
</v>
      </c>
    </row>
    <row r="452" spans="1:7" ht="15" customHeight="1">
      <c r="A452" t="str">
        <f ca="1">IF(AND(OR(Calculations!$B$3:$B$4), E452=""), F452, "")</f>
        <v/>
      </c>
      <c r="B452" t="s">
        <v>457</v>
      </c>
      <c r="C452" t="str">
        <f ca="1">INDIRECT($F$292 &amp; ADDRESS(B449, 1,4  ))</f>
        <v>Construction Accounting</v>
      </c>
      <c r="D452" t="str">
        <f>ADDRESS(B449, 5,4  )</f>
        <v>E39</v>
      </c>
      <c r="E452">
        <f t="shared" ca="1" si="189"/>
        <v>0</v>
      </c>
      <c r="F452" t="str">
        <f ca="1">CONCATENATE("Enter an 'Amount Last Provided to CHFA' value for '", C452, "' in cell ", D452, ".", CHAR(10))</f>
        <v xml:space="preserve">Enter an 'Amount Last Provided to CHFA' value for 'Construction Accounting' in cell E39.
</v>
      </c>
      <c r="G452" s="9" t="str">
        <f t="shared" ca="1" si="190"/>
        <v xml:space="preserve">The total of development budget in column B must be greater than zero.
</v>
      </c>
    </row>
    <row r="453" spans="1:7" ht="15" customHeight="1">
      <c r="A453" t="str">
        <f ca="1">IF(AND(Calculations!$B$3, E453=""), F453, "")</f>
        <v/>
      </c>
      <c r="B453" t="s">
        <v>457</v>
      </c>
      <c r="C453" t="str">
        <f ca="1">INDIRECT($F$292 &amp; ADDRESS(B449, 1,4  ))</f>
        <v>Construction Accounting</v>
      </c>
      <c r="D453" t="str">
        <f>ADDRESS(B449, 6,4  )</f>
        <v>F39</v>
      </c>
      <c r="E453">
        <f t="shared" ref="E453:E458" ca="1" si="191">IF(ISBLANK( INDIRECT($F$292 &amp; D453)),"", INDIRECT($F$292 &amp; D453))</f>
        <v>0</v>
      </c>
      <c r="F453" t="str">
        <f ca="1">CONCATENATE("Enter a '10% Carryover Actual Incurred Costs' value for '", C453, "' in cell ", D453, ".", CHAR(10))</f>
        <v xml:space="preserve">Enter a '10% Carryover Actual Incurred Costs' value for 'Construction Accounting' in cell F39.
</v>
      </c>
      <c r="G453" s="9" t="str">
        <f t="shared" ca="1" si="190"/>
        <v xml:space="preserve">The total of development budget in column B must be greater than zero.
</v>
      </c>
    </row>
    <row r="454" spans="1:7" ht="15" customHeight="1">
      <c r="A454" t="str">
        <f ca="1">IF(E454="", F454, "")</f>
        <v/>
      </c>
      <c r="B454" s="52">
        <f>B449+1</f>
        <v>40</v>
      </c>
      <c r="C454" t="str">
        <f ca="1">INDIRECT($F$292 &amp; ADDRESS(B454, 1,4  ))</f>
        <v>Other (Specify)</v>
      </c>
      <c r="D454" t="str">
        <f>ADDRESS(B454, 2,4  )</f>
        <v>B40</v>
      </c>
      <c r="E454">
        <f t="shared" ca="1" si="191"/>
        <v>0</v>
      </c>
      <c r="F454" t="str">
        <f ca="1">CONCATENATE("Enter a value for '", C454, "' in cell ", D454, ".", CHAR(10))</f>
        <v xml:space="preserve">Enter a value for 'Other (Specify)' in cell B40.
</v>
      </c>
      <c r="G454" s="9" t="str">
        <f t="shared" ca="1" si="190"/>
        <v xml:space="preserve">The total of development budget in column B must be greater than zero.
</v>
      </c>
    </row>
    <row r="455" spans="1:7" ht="15" customHeight="1">
      <c r="A455" t="str">
        <f ca="1">IF(AND(Calculations!$B$5, E455=""), F455, "")</f>
        <v/>
      </c>
      <c r="B455" t="s">
        <v>457</v>
      </c>
      <c r="C455" t="str">
        <f ca="1">INDIRECT($F$292 &amp; ADDRESS(B454, 1,4  ))</f>
        <v>Other (Specify)</v>
      </c>
      <c r="D455" t="str">
        <f>ADDRESS(B454, 3,4  )</f>
        <v>C40</v>
      </c>
      <c r="E455">
        <f t="shared" ca="1" si="191"/>
        <v>0</v>
      </c>
      <c r="F455" t="str">
        <f ca="1">CONCATENATE("Enter an '4% LIHTC Basis Calculation' value for '", C455, "' in cell ", D455, ".", CHAR(10))</f>
        <v xml:space="preserve">Enter an '4% LIHTC Basis Calculation' value for 'Other (Specify)' in cell C40.
</v>
      </c>
      <c r="G455" s="9" t="str">
        <f t="shared" ca="1" si="190"/>
        <v xml:space="preserve">The total of development budget in column B must be greater than zero.
</v>
      </c>
    </row>
    <row r="456" spans="1:7" ht="15" customHeight="1">
      <c r="A456" t="str">
        <f ca="1">IF(AND(Calculations!$B$6, E456=""), F456, "")</f>
        <v/>
      </c>
      <c r="B456" t="s">
        <v>457</v>
      </c>
      <c r="C456" t="str">
        <f ca="1">INDIRECT($F$292 &amp; ADDRESS(B454, 1,4  ))</f>
        <v>Other (Specify)</v>
      </c>
      <c r="D456" t="str">
        <f>ADDRESS(B454, 4,4  )</f>
        <v>D40</v>
      </c>
      <c r="E456">
        <f t="shared" ca="1" si="191"/>
        <v>0</v>
      </c>
      <c r="F456" t="str">
        <f ca="1">CONCATENATE("Enter an '9% LIHTC Basis Calculation' value for '", C456, "' in cell ", D456, ".", CHAR(10))</f>
        <v xml:space="preserve">Enter an '9% LIHTC Basis Calculation' value for 'Other (Specify)' in cell D40.
</v>
      </c>
      <c r="G456" s="9" t="str">
        <f t="shared" ca="1" si="190"/>
        <v xml:space="preserve">The total of development budget in column B must be greater than zero.
</v>
      </c>
    </row>
    <row r="457" spans="1:7" ht="15" customHeight="1">
      <c r="A457" t="str">
        <f ca="1">IF(AND(OR(Calculations!$B$3:$B$4), E457=""), F457, "")</f>
        <v/>
      </c>
      <c r="B457" t="s">
        <v>457</v>
      </c>
      <c r="C457" t="str">
        <f ca="1">INDIRECT($F$292 &amp; ADDRESS(B454, 1,4  ))</f>
        <v>Other (Specify)</v>
      </c>
      <c r="D457" t="str">
        <f>ADDRESS(B454, 5,4  )</f>
        <v>E40</v>
      </c>
      <c r="E457">
        <f t="shared" ca="1" si="191"/>
        <v>0</v>
      </c>
      <c r="F457" t="str">
        <f ca="1">CONCATENATE("Enter an 'Amount Last Provided to CHFA' value for '", C457, "' in cell ", D457, ".", CHAR(10))</f>
        <v xml:space="preserve">Enter an 'Amount Last Provided to CHFA' value for 'Other (Specify)' in cell E40.
</v>
      </c>
      <c r="G457" s="9" t="str">
        <f t="shared" ca="1" si="190"/>
        <v xml:space="preserve">The total of development budget in column B must be greater than zero.
</v>
      </c>
    </row>
    <row r="458" spans="1:7" ht="15" customHeight="1">
      <c r="A458" t="str">
        <f ca="1">IF(AND(Calculations!$B$3, E458=""), F458, "")</f>
        <v/>
      </c>
      <c r="B458" t="s">
        <v>457</v>
      </c>
      <c r="C458" t="str">
        <f ca="1">INDIRECT($F$292 &amp; ADDRESS(B454, 1,4  ))</f>
        <v>Other (Specify)</v>
      </c>
      <c r="D458" t="str">
        <f>ADDRESS(B454, 6,4  )</f>
        <v>F40</v>
      </c>
      <c r="E458">
        <f t="shared" ca="1" si="191"/>
        <v>0</v>
      </c>
      <c r="F458" t="str">
        <f ca="1">CONCATENATE("Enter a '10% Carryover Actual Incurred Costs' value for '", C458, "' in cell ", D458, ".", CHAR(10))</f>
        <v xml:space="preserve">Enter a '10% Carryover Actual Incurred Costs' value for 'Other (Specify)' in cell F40.
</v>
      </c>
      <c r="G458" s="9" t="str">
        <f t="shared" ca="1" si="190"/>
        <v xml:space="preserve">The total of development budget in column B must be greater than zero.
</v>
      </c>
    </row>
    <row r="459" spans="1:7" ht="15" customHeight="1">
      <c r="A459" t="str">
        <f ca="1">IF(AND(E459, SUM(E454:E458) &gt; 0), F459, "")</f>
        <v/>
      </c>
      <c r="C459" t="str">
        <f ca="1">INDIRECT($F$292 &amp; ADDRESS(B454, 1,4  ))</f>
        <v>Other (Specify)</v>
      </c>
      <c r="D459" t="str">
        <f>ADDRESS(B454, 1,4  )</f>
        <v>A40</v>
      </c>
      <c r="E459" t="b">
        <f ca="1">INDIRECT($F$292 &amp; D459)="Other (specify)"</f>
        <v>1</v>
      </c>
      <c r="F459" t="str">
        <f ca="1">CONCATENATE("Please specify value for '", C459, "' in cell ", D459, ".", CHAR(10))</f>
        <v xml:space="preserve">Please specify value for 'Other (Specify)' in cell A40.
</v>
      </c>
      <c r="G459" s="9" t="str">
        <f t="shared" ca="1" si="190"/>
        <v xml:space="preserve">The total of development budget in column B must be greater than zero.
</v>
      </c>
    </row>
    <row r="460" spans="1:7" ht="15" customHeight="1">
      <c r="A460" t="str">
        <f ca="1">IF(E460="", F460, "")</f>
        <v/>
      </c>
      <c r="B460" s="52">
        <f>B454+1</f>
        <v>41</v>
      </c>
      <c r="C460" t="str">
        <f ca="1">INDIRECT($F$292 &amp; ADDRESS(B460, 1,4  ))</f>
        <v>Other (Specify)</v>
      </c>
      <c r="D460" t="str">
        <f>ADDRESS(B460, 2,4  )</f>
        <v>B41</v>
      </c>
      <c r="E460">
        <f ca="1">IF(ISBLANK( INDIRECT($F$292 &amp; D460)),"", INDIRECT($F$292 &amp; D460))</f>
        <v>0</v>
      </c>
      <c r="F460" t="str">
        <f ca="1">CONCATENATE("Enter a value for '", C460, "' in cell ", D460, ".", CHAR(10))</f>
        <v xml:space="preserve">Enter a value for 'Other (Specify)' in cell B41.
</v>
      </c>
      <c r="G460" s="9" t="str">
        <f t="shared" ca="1" si="190"/>
        <v xml:space="preserve">The total of development budget in column B must be greater than zero.
</v>
      </c>
    </row>
    <row r="461" spans="1:7" ht="15" customHeight="1">
      <c r="A461" t="str">
        <f ca="1">IF(AND(Calculations!$B$5, E461=""), F461, "")</f>
        <v/>
      </c>
      <c r="B461" t="s">
        <v>457</v>
      </c>
      <c r="C461" t="str">
        <f ca="1">INDIRECT($F$292 &amp; ADDRESS(B460, 1,4  ))</f>
        <v>Other (Specify)</v>
      </c>
      <c r="D461" t="str">
        <f>ADDRESS(B460, 3,4  )</f>
        <v>C41</v>
      </c>
      <c r="E461">
        <f ca="1">IF(ISBLANK( INDIRECT($F$292 &amp; D461)),"", INDIRECT($F$292 &amp; D461))</f>
        <v>0</v>
      </c>
      <c r="F461" t="str">
        <f ca="1">CONCATENATE("Enter an '4% LIHTC Basis Calculation' value for '", C461, "' in cell ", D461, ".", CHAR(10))</f>
        <v xml:space="preserve">Enter an '4% LIHTC Basis Calculation' value for 'Other (Specify)' in cell C41.
</v>
      </c>
      <c r="G461" s="9" t="str">
        <f t="shared" ca="1" si="190"/>
        <v xml:space="preserve">The total of development budget in column B must be greater than zero.
</v>
      </c>
    </row>
    <row r="462" spans="1:7" ht="15" customHeight="1">
      <c r="A462" t="str">
        <f ca="1">IF(AND(Calculations!$B$6, E462=""), F462, "")</f>
        <v/>
      </c>
      <c r="B462" t="s">
        <v>457</v>
      </c>
      <c r="C462" t="str">
        <f ca="1">INDIRECT($F$292 &amp; ADDRESS(B460, 1,4  ))</f>
        <v>Other (Specify)</v>
      </c>
      <c r="D462" t="str">
        <f>ADDRESS(B460, 4,4  )</f>
        <v>D41</v>
      </c>
      <c r="E462">
        <f ca="1">IF(ISBLANK( INDIRECT($F$292 &amp; D462)),"", INDIRECT($F$292 &amp; D462))</f>
        <v>0</v>
      </c>
      <c r="F462" t="str">
        <f ca="1">CONCATENATE("Enter an '9% LIHTC Basis Calculation' value for '", C462, "' in cell ", D462, ".", CHAR(10))</f>
        <v xml:space="preserve">Enter an '9% LIHTC Basis Calculation' value for 'Other (Specify)' in cell D41.
</v>
      </c>
      <c r="G462" s="9" t="str">
        <f t="shared" ca="1" si="190"/>
        <v xml:space="preserve">The total of development budget in column B must be greater than zero.
</v>
      </c>
    </row>
    <row r="463" spans="1:7" ht="15" customHeight="1">
      <c r="A463" t="str">
        <f ca="1">IF(AND(OR(Calculations!$B$3:$B$4), E463=""), F463, "")</f>
        <v/>
      </c>
      <c r="B463" t="s">
        <v>457</v>
      </c>
      <c r="C463" t="str">
        <f ca="1">INDIRECT($F$292 &amp; ADDRESS(B460, 1,4  ))</f>
        <v>Other (Specify)</v>
      </c>
      <c r="D463" t="str">
        <f>ADDRESS(B460, 5,4  )</f>
        <v>E41</v>
      </c>
      <c r="E463">
        <f ca="1">IF(ISBLANK( INDIRECT($F$292 &amp; D463)),"", INDIRECT($F$292 &amp; D463))</f>
        <v>0</v>
      </c>
      <c r="F463" t="str">
        <f ca="1">CONCATENATE("Enter an 'Amount Last Provided to CHFA' value for '", C463, "' in cell ", D463, ".", CHAR(10))</f>
        <v xml:space="preserve">Enter an 'Amount Last Provided to CHFA' value for 'Other (Specify)' in cell E41.
</v>
      </c>
      <c r="G463" s="9" t="str">
        <f t="shared" ca="1" si="190"/>
        <v xml:space="preserve">The total of development budget in column B must be greater than zero.
</v>
      </c>
    </row>
    <row r="464" spans="1:7" ht="15" customHeight="1">
      <c r="A464" t="str">
        <f ca="1">IF(AND(Calculations!$B$3, E464=""), F464, "")</f>
        <v/>
      </c>
      <c r="B464" t="s">
        <v>457</v>
      </c>
      <c r="C464" t="str">
        <f ca="1">INDIRECT($F$292 &amp; ADDRESS(B460, 1,4  ))</f>
        <v>Other (Specify)</v>
      </c>
      <c r="D464" t="str">
        <f>ADDRESS(B460, 6,4  )</f>
        <v>F41</v>
      </c>
      <c r="E464">
        <f ca="1">IF(ISBLANK( INDIRECT($F$292 &amp; D464)),"", INDIRECT($F$292 &amp; D464))</f>
        <v>0</v>
      </c>
      <c r="F464" t="str">
        <f ca="1">CONCATENATE("Enter a '10% Carryover Actual Incurred Costs' value for '", C464, "' in cell ", D464, ".", CHAR(10))</f>
        <v xml:space="preserve">Enter a '10% Carryover Actual Incurred Costs' value for 'Other (Specify)' in cell F41.
</v>
      </c>
      <c r="G464" s="9" t="str">
        <f t="shared" ca="1" si="190"/>
        <v xml:space="preserve">The total of development budget in column B must be greater than zero.
</v>
      </c>
    </row>
    <row r="465" spans="1:7" ht="15" customHeight="1">
      <c r="A465" t="str">
        <f ca="1">IF(AND(E465, SUM(E460:E464) &gt; 0), F465, "")</f>
        <v/>
      </c>
      <c r="C465" t="str">
        <f ca="1">INDIRECT($F$292 &amp; ADDRESS(B460, 1,4  ))</f>
        <v>Other (Specify)</v>
      </c>
      <c r="D465" t="str">
        <f>ADDRESS(B460, 1,4  )</f>
        <v>A41</v>
      </c>
      <c r="E465" t="b">
        <f ca="1">INDIRECT($F$292 &amp; D465)="Other (specify)"</f>
        <v>1</v>
      </c>
      <c r="F465" t="str">
        <f ca="1">CONCATENATE("Please specify value for '", C465, "' in cell ", D465, ".", CHAR(10))</f>
        <v xml:space="preserve">Please specify value for 'Other (Specify)' in cell A41.
</v>
      </c>
      <c r="G465" s="9" t="str">
        <f t="shared" ca="1" si="190"/>
        <v xml:space="preserve">The total of development budget in column B must be greater than zero.
</v>
      </c>
    </row>
    <row r="466" spans="1:7" ht="15" customHeight="1">
      <c r="A466" t="str">
        <f ca="1">IF(E466="", F466, "")</f>
        <v/>
      </c>
      <c r="B466" s="52">
        <f>B460+1</f>
        <v>42</v>
      </c>
      <c r="C466" t="str">
        <f ca="1">INDIRECT($F$292 &amp; ADDRESS(B466, 1,4  ))</f>
        <v>Other (Specify)</v>
      </c>
      <c r="D466" t="str">
        <f>ADDRESS(B466, 2,4  )</f>
        <v>B42</v>
      </c>
      <c r="E466">
        <f ca="1">IF(ISBLANK( INDIRECT($F$292 &amp; D466)),"", INDIRECT($F$292 &amp; D466))</f>
        <v>0</v>
      </c>
      <c r="F466" t="str">
        <f ca="1">CONCATENATE("Enter a value for '", C466, "' in cell ", D466, ".", CHAR(10))</f>
        <v xml:space="preserve">Enter a value for 'Other (Specify)' in cell B42.
</v>
      </c>
      <c r="G466" s="9" t="str">
        <f t="shared" ca="1" si="190"/>
        <v xml:space="preserve">The total of development budget in column B must be greater than zero.
</v>
      </c>
    </row>
    <row r="467" spans="1:7" ht="15" customHeight="1">
      <c r="A467" t="str">
        <f ca="1">IF(AND(Calculations!$B$5, E467=""), F467, "")</f>
        <v/>
      </c>
      <c r="B467" t="s">
        <v>457</v>
      </c>
      <c r="C467" t="str">
        <f ca="1">INDIRECT($F$292 &amp; ADDRESS(B466, 1,4  ))</f>
        <v>Other (Specify)</v>
      </c>
      <c r="D467" t="str">
        <f>ADDRESS(B466, 3,4  )</f>
        <v>C42</v>
      </c>
      <c r="E467">
        <f ca="1">IF(ISBLANK( INDIRECT($F$292 &amp; D467)),"", INDIRECT($F$292 &amp; D467))</f>
        <v>0</v>
      </c>
      <c r="F467" t="str">
        <f ca="1">CONCATENATE("Enter an '4% LIHTC Basis Calculation' value for '", C467, "' in cell ", D467, ".", CHAR(10))</f>
        <v xml:space="preserve">Enter an '4% LIHTC Basis Calculation' value for 'Other (Specify)' in cell C42.
</v>
      </c>
      <c r="G467" s="9" t="str">
        <f t="shared" ca="1" si="190"/>
        <v xml:space="preserve">The total of development budget in column B must be greater than zero.
</v>
      </c>
    </row>
    <row r="468" spans="1:7" ht="15" customHeight="1">
      <c r="A468" t="str">
        <f ca="1">IF(AND(Calculations!$B$6, E468=""), F468, "")</f>
        <v/>
      </c>
      <c r="B468" t="s">
        <v>457</v>
      </c>
      <c r="C468" t="str">
        <f ca="1">INDIRECT($F$292 &amp; ADDRESS(B466, 1,4  ))</f>
        <v>Other (Specify)</v>
      </c>
      <c r="D468" t="str">
        <f>ADDRESS(B466, 4,4  )</f>
        <v>D42</v>
      </c>
      <c r="E468">
        <f ca="1">IF(ISBLANK( INDIRECT($F$292 &amp; D468)),"", INDIRECT($F$292 &amp; D468))</f>
        <v>0</v>
      </c>
      <c r="F468" t="str">
        <f ca="1">CONCATENATE("Enter an '9% LIHTC Basis Calculation' value for '", C468, "' in cell ", D468, ".", CHAR(10))</f>
        <v xml:space="preserve">Enter an '9% LIHTC Basis Calculation' value for 'Other (Specify)' in cell D42.
</v>
      </c>
      <c r="G468" s="9" t="str">
        <f t="shared" ca="1" si="190"/>
        <v xml:space="preserve">The total of development budget in column B must be greater than zero.
</v>
      </c>
    </row>
    <row r="469" spans="1:7" ht="15" customHeight="1">
      <c r="A469" t="str">
        <f ca="1">IF(AND(OR(Calculations!$B$3:$B$4), E469=""), F469, "")</f>
        <v/>
      </c>
      <c r="B469" t="s">
        <v>457</v>
      </c>
      <c r="C469" t="str">
        <f ca="1">INDIRECT($F$292 &amp; ADDRESS(B466, 1,4  ))</f>
        <v>Other (Specify)</v>
      </c>
      <c r="D469" t="str">
        <f>ADDRESS(B466, 5,4  )</f>
        <v>E42</v>
      </c>
      <c r="E469">
        <f ca="1">IF(ISBLANK( INDIRECT($F$292 &amp; D469)),"", INDIRECT($F$292 &amp; D469))</f>
        <v>0</v>
      </c>
      <c r="F469" t="str">
        <f ca="1">CONCATENATE("Enter an 'Amount Last Provided to CHFA' value for '", C469, "' in cell ", D469, ".", CHAR(10))</f>
        <v xml:space="preserve">Enter an 'Amount Last Provided to CHFA' value for 'Other (Specify)' in cell E42.
</v>
      </c>
      <c r="G469" s="9" t="str">
        <f t="shared" ca="1" si="190"/>
        <v xml:space="preserve">The total of development budget in column B must be greater than zero.
</v>
      </c>
    </row>
    <row r="470" spans="1:7" ht="15" customHeight="1">
      <c r="A470" t="str">
        <f ca="1">IF(AND(Calculations!$B$3, E470=""), F470, "")</f>
        <v/>
      </c>
      <c r="B470" t="s">
        <v>457</v>
      </c>
      <c r="C470" t="str">
        <f ca="1">INDIRECT($F$292 &amp; ADDRESS(B466, 1,4  ))</f>
        <v>Other (Specify)</v>
      </c>
      <c r="D470" t="str">
        <f>ADDRESS(B466, 6,4  )</f>
        <v>F42</v>
      </c>
      <c r="E470">
        <f ca="1">IF(ISBLANK( INDIRECT($F$292 &amp; D470)),"", INDIRECT($F$292 &amp; D470))</f>
        <v>0</v>
      </c>
      <c r="F470" t="str">
        <f ca="1">CONCATENATE("Enter a '10% Carryover Actual Incurred Costs' value for '", C470, "' in cell ", D470, ".", CHAR(10))</f>
        <v xml:space="preserve">Enter a '10% Carryover Actual Incurred Costs' value for 'Other (Specify)' in cell F42.
</v>
      </c>
      <c r="G470" s="9" t="str">
        <f t="shared" ca="1" si="190"/>
        <v xml:space="preserve">The total of development budget in column B must be greater than zero.
</v>
      </c>
    </row>
    <row r="471" spans="1:7" ht="15" customHeight="1">
      <c r="A471" t="str">
        <f ca="1">IF(AND(E471, SUM(E466:E470) &gt; 0), F471, "")</f>
        <v/>
      </c>
      <c r="C471" t="str">
        <f ca="1">INDIRECT($F$292 &amp; ADDRESS(B466, 1,4  ))</f>
        <v>Other (Specify)</v>
      </c>
      <c r="D471" t="str">
        <f>ADDRESS(B466, 1,4  )</f>
        <v>A42</v>
      </c>
      <c r="E471" t="b">
        <f ca="1">INDIRECT($F$292 &amp; D471)="Other (specify)"</f>
        <v>1</v>
      </c>
      <c r="F471" t="str">
        <f ca="1">CONCATENATE("Please specify value for '", C471, "' in cell ", D471, ".", CHAR(10))</f>
        <v xml:space="preserve">Please specify value for 'Other (Specify)' in cell A42.
</v>
      </c>
      <c r="G471" s="9" t="str">
        <f t="shared" ca="1" si="190"/>
        <v xml:space="preserve">The total of development budget in column B must be greater than zero.
</v>
      </c>
    </row>
    <row r="472" spans="1:7" ht="15" customHeight="1">
      <c r="A472" t="str">
        <f ca="1">IF(E472="", F472, "")</f>
        <v/>
      </c>
      <c r="B472">
        <f>ROW('Development Budget'!A45)</f>
        <v>45</v>
      </c>
      <c r="C472" t="str">
        <f ca="1">INDIRECT($F$292 &amp; ADDRESS(B472, 1,4  ))</f>
        <v>Hazard &amp; Liability Insurance</v>
      </c>
      <c r="D472" t="str">
        <f>ADDRESS(B472, 2,4  )</f>
        <v>B45</v>
      </c>
      <c r="E472">
        <f t="shared" ref="E472:E503" ca="1" si="192">IF(ISBLANK( INDIRECT($F$292 &amp; D472)),"", INDIRECT($F$292 &amp; D472))</f>
        <v>0</v>
      </c>
      <c r="F472" t="str">
        <f ca="1">CONCATENATE("Enter a value for '", C472, "' in cell ", D472, ".", CHAR(10))</f>
        <v xml:space="preserve">Enter a value for 'Hazard &amp; Liability Insurance' in cell B45.
</v>
      </c>
      <c r="G472" s="9" t="str">
        <f t="shared" ca="1" si="190"/>
        <v xml:space="preserve">The total of development budget in column B must be greater than zero.
</v>
      </c>
    </row>
    <row r="473" spans="1:7" ht="15" customHeight="1">
      <c r="A473" t="str">
        <f ca="1">IF(AND(Calculations!$B$5, E473=""), F473, "")</f>
        <v/>
      </c>
      <c r="B473" t="s">
        <v>457</v>
      </c>
      <c r="C473" t="str">
        <f ca="1">INDIRECT($F$292 &amp; ADDRESS(B472, 1,4  ))</f>
        <v>Hazard &amp; Liability Insurance</v>
      </c>
      <c r="D473" t="str">
        <f>ADDRESS(B472, 3,4  )</f>
        <v>C45</v>
      </c>
      <c r="E473">
        <f t="shared" ca="1" si="192"/>
        <v>0</v>
      </c>
      <c r="F473" t="str">
        <f ca="1">CONCATENATE("Enter an '4% LIHTC Basis Calculation' value for '", C473, "' in cell ", D473, ".", CHAR(10))</f>
        <v xml:space="preserve">Enter an '4% LIHTC Basis Calculation' value for 'Hazard &amp; Liability Insurance' in cell C45.
</v>
      </c>
      <c r="G473" s="9" t="str">
        <f t="shared" ca="1" si="190"/>
        <v xml:space="preserve">The total of development budget in column B must be greater than zero.
</v>
      </c>
    </row>
    <row r="474" spans="1:7" ht="15" customHeight="1">
      <c r="A474" t="str">
        <f ca="1">IF(AND(Calculations!$B$6, E474=""), F474, "")</f>
        <v/>
      </c>
      <c r="B474" t="s">
        <v>457</v>
      </c>
      <c r="C474" t="str">
        <f ca="1">INDIRECT($F$292 &amp; ADDRESS(B472, 1,4  ))</f>
        <v>Hazard &amp; Liability Insurance</v>
      </c>
      <c r="D474" t="str">
        <f>ADDRESS(B472, 4,4  )</f>
        <v>D45</v>
      </c>
      <c r="E474">
        <f t="shared" ca="1" si="192"/>
        <v>0</v>
      </c>
      <c r="F474" t="str">
        <f ca="1">CONCATENATE("Enter an '9% LIHTC Basis Calculation' value for '", C474, "' in cell ", D474, ".", CHAR(10))</f>
        <v xml:space="preserve">Enter an '9% LIHTC Basis Calculation' value for 'Hazard &amp; Liability Insurance' in cell D45.
</v>
      </c>
      <c r="G474" s="9" t="str">
        <f t="shared" ca="1" si="190"/>
        <v xml:space="preserve">The total of development budget in column B must be greater than zero.
</v>
      </c>
    </row>
    <row r="475" spans="1:7" ht="15" customHeight="1">
      <c r="A475" t="str">
        <f ca="1">IF(AND(OR(Calculations!$B$3:$B$4), E475=""), F475, "")</f>
        <v/>
      </c>
      <c r="B475" t="s">
        <v>457</v>
      </c>
      <c r="C475" t="str">
        <f ca="1">INDIRECT($F$292 &amp; ADDRESS(B472, 1,4  ))</f>
        <v>Hazard &amp; Liability Insurance</v>
      </c>
      <c r="D475" t="str">
        <f>ADDRESS(B472, 5,4  )</f>
        <v>E45</v>
      </c>
      <c r="E475">
        <f t="shared" ca="1" si="192"/>
        <v>0</v>
      </c>
      <c r="F475" t="str">
        <f ca="1">CONCATENATE("Enter an 'Amount Last Provided to CHFA' value for '", C475, "' in cell ", D475, ".", CHAR(10))</f>
        <v xml:space="preserve">Enter an 'Amount Last Provided to CHFA' value for 'Hazard &amp; Liability Insurance' in cell E45.
</v>
      </c>
      <c r="G475" s="9" t="str">
        <f t="shared" ca="1" si="190"/>
        <v xml:space="preserve">The total of development budget in column B must be greater than zero.
</v>
      </c>
    </row>
    <row r="476" spans="1:7" ht="15" customHeight="1">
      <c r="A476" t="str">
        <f ca="1">IF(AND(Calculations!$B$3, E476=""), F476, "")</f>
        <v/>
      </c>
      <c r="B476" t="s">
        <v>457</v>
      </c>
      <c r="C476" t="str">
        <f ca="1">INDIRECT($F$292 &amp; ADDRESS(B472, 1,4  ))</f>
        <v>Hazard &amp; Liability Insurance</v>
      </c>
      <c r="D476" t="str">
        <f>ADDRESS(B472, 6,4  )</f>
        <v>F45</v>
      </c>
      <c r="E476">
        <f t="shared" ca="1" si="192"/>
        <v>0</v>
      </c>
      <c r="F476" t="str">
        <f ca="1">CONCATENATE("Enter a '10% Carryover Actual Incurred Costs' value for '", C476, "' in cell ", D476, ".", CHAR(10))</f>
        <v xml:space="preserve">Enter a '10% Carryover Actual Incurred Costs' value for 'Hazard &amp; Liability Insurance' in cell F45.
</v>
      </c>
      <c r="G476" s="9" t="str">
        <f t="shared" ca="1" si="190"/>
        <v xml:space="preserve">The total of development budget in column B must be greater than zero.
</v>
      </c>
    </row>
    <row r="477" spans="1:7" ht="15" customHeight="1">
      <c r="A477" t="str">
        <f ca="1">IF(E477="", F477, "")</f>
        <v/>
      </c>
      <c r="B477" s="52">
        <f>B472+1</f>
        <v>46</v>
      </c>
      <c r="C477" t="str">
        <f ca="1">INDIRECT($F$292 &amp; ADDRESS(B477, 1,4  ))</f>
        <v>Builder's Risk Insurance</v>
      </c>
      <c r="D477" t="str">
        <f>ADDRESS(B477, 2,4  )</f>
        <v>B46</v>
      </c>
      <c r="E477">
        <f t="shared" ca="1" si="192"/>
        <v>0</v>
      </c>
      <c r="F477" t="str">
        <f ca="1">CONCATENATE("Enter a value for '", C477, "' in cell ", D477, ".", CHAR(10))</f>
        <v xml:space="preserve">Enter a value for 'Builder's Risk Insurance' in cell B46.
</v>
      </c>
      <c r="G477" s="9" t="str">
        <f t="shared" ca="1" si="190"/>
        <v xml:space="preserve">The total of development budget in column B must be greater than zero.
</v>
      </c>
    </row>
    <row r="478" spans="1:7" ht="15" customHeight="1">
      <c r="A478" t="str">
        <f ca="1">IF(AND(Calculations!$B$5, E478=""), F478, "")</f>
        <v/>
      </c>
      <c r="B478" t="s">
        <v>457</v>
      </c>
      <c r="C478" t="str">
        <f ca="1">INDIRECT($F$292 &amp; ADDRESS(B477, 1,4  ))</f>
        <v>Builder's Risk Insurance</v>
      </c>
      <c r="D478" t="str">
        <f>ADDRESS(B477, 3,4  )</f>
        <v>C46</v>
      </c>
      <c r="E478">
        <f t="shared" ca="1" si="192"/>
        <v>0</v>
      </c>
      <c r="F478" t="str">
        <f ca="1">CONCATENATE("Enter an '4% LIHTC Basis Calculation' value for '", C478, "' in cell ", D478, ".", CHAR(10))</f>
        <v xml:space="preserve">Enter an '4% LIHTC Basis Calculation' value for 'Builder's Risk Insurance' in cell C46.
</v>
      </c>
      <c r="G478" s="9" t="str">
        <f t="shared" ca="1" si="190"/>
        <v xml:space="preserve">The total of development budget in column B must be greater than zero.
</v>
      </c>
    </row>
    <row r="479" spans="1:7" ht="15" customHeight="1">
      <c r="A479" t="str">
        <f ca="1">IF(AND(Calculations!$B$6, E479=""), F479, "")</f>
        <v/>
      </c>
      <c r="B479" t="s">
        <v>457</v>
      </c>
      <c r="C479" t="str">
        <f ca="1">INDIRECT($F$292 &amp; ADDRESS(B477, 1,4  ))</f>
        <v>Builder's Risk Insurance</v>
      </c>
      <c r="D479" t="str">
        <f>ADDRESS(B477, 4,4  )</f>
        <v>D46</v>
      </c>
      <c r="E479">
        <f t="shared" ca="1" si="192"/>
        <v>0</v>
      </c>
      <c r="F479" t="str">
        <f ca="1">CONCATENATE("Enter an '9% LIHTC Basis Calculation' value for '", C479, "' in cell ", D479, ".", CHAR(10))</f>
        <v xml:space="preserve">Enter an '9% LIHTC Basis Calculation' value for 'Builder's Risk Insurance' in cell D46.
</v>
      </c>
      <c r="G479" s="9" t="str">
        <f t="shared" ca="1" si="190"/>
        <v xml:space="preserve">The total of development budget in column B must be greater than zero.
</v>
      </c>
    </row>
    <row r="480" spans="1:7" ht="15" customHeight="1">
      <c r="A480" t="str">
        <f ca="1">IF(AND(OR(Calculations!$B$3:$B$4), E480=""), F480, "")</f>
        <v/>
      </c>
      <c r="B480" t="s">
        <v>457</v>
      </c>
      <c r="C480" t="str">
        <f ca="1">INDIRECT($F$292 &amp; ADDRESS(B477, 1,4  ))</f>
        <v>Builder's Risk Insurance</v>
      </c>
      <c r="D480" t="str">
        <f>ADDRESS(B477, 5,4  )</f>
        <v>E46</v>
      </c>
      <c r="E480">
        <f t="shared" ca="1" si="192"/>
        <v>0</v>
      </c>
      <c r="F480" t="str">
        <f ca="1">CONCATENATE("Enter an 'Amount Last Provided to CHFA' value for '", C480, "' in cell ", D480, ".", CHAR(10))</f>
        <v xml:space="preserve">Enter an 'Amount Last Provided to CHFA' value for 'Builder's Risk Insurance' in cell E46.
</v>
      </c>
      <c r="G480" s="9" t="str">
        <f t="shared" ca="1" si="190"/>
        <v xml:space="preserve">The total of development budget in column B must be greater than zero.
</v>
      </c>
    </row>
    <row r="481" spans="1:7" ht="15" customHeight="1">
      <c r="A481" t="str">
        <f ca="1">IF(AND(Calculations!$B$3, E481=""), F481, "")</f>
        <v/>
      </c>
      <c r="B481" t="s">
        <v>457</v>
      </c>
      <c r="C481" t="str">
        <f ca="1">INDIRECT($F$292 &amp; ADDRESS(B477, 1,4  ))</f>
        <v>Builder's Risk Insurance</v>
      </c>
      <c r="D481" t="str">
        <f>ADDRESS(B477, 6,4  )</f>
        <v>F46</v>
      </c>
      <c r="E481">
        <f t="shared" ca="1" si="192"/>
        <v>0</v>
      </c>
      <c r="F481" t="str">
        <f ca="1">CONCATENATE("Enter a '10% Carryover Actual Incurred Costs' value for '", C481, "' in cell ", D481, ".", CHAR(10))</f>
        <v xml:space="preserve">Enter a '10% Carryover Actual Incurred Costs' value for 'Builder's Risk Insurance' in cell F46.
</v>
      </c>
      <c r="G481" s="9" t="str">
        <f t="shared" ca="1" si="190"/>
        <v xml:space="preserve">The total of development budget in column B must be greater than zero.
</v>
      </c>
    </row>
    <row r="482" spans="1:7" ht="15" customHeight="1">
      <c r="A482" t="str">
        <f ca="1">IF(E482="", F482, "")</f>
        <v/>
      </c>
      <c r="B482" s="52">
        <f>B477+1</f>
        <v>47</v>
      </c>
      <c r="C482" t="str">
        <f ca="1">INDIRECT($F$292 &amp; ADDRESS(B482, 1,4  ))</f>
        <v>Perform. &amp; Pymt Bonds</v>
      </c>
      <c r="D482" t="str">
        <f>ADDRESS(B482, 2,4  )</f>
        <v>B47</v>
      </c>
      <c r="E482">
        <f t="shared" ca="1" si="192"/>
        <v>0</v>
      </c>
      <c r="F482" t="str">
        <f ca="1">CONCATENATE("Enter a value for '", C482, "' in cell ", D482, ".", CHAR(10))</f>
        <v xml:space="preserve">Enter a value for 'Perform. &amp; Pymt Bonds' in cell B47.
</v>
      </c>
      <c r="G482" s="9" t="str">
        <f t="shared" ca="1" si="190"/>
        <v xml:space="preserve">The total of development budget in column B must be greater than zero.
</v>
      </c>
    </row>
    <row r="483" spans="1:7" ht="15" customHeight="1">
      <c r="A483" t="str">
        <f ca="1">IF(AND(Calculations!$B$5, E483=""), F483, "")</f>
        <v/>
      </c>
      <c r="B483" t="s">
        <v>457</v>
      </c>
      <c r="C483" t="str">
        <f ca="1">INDIRECT($F$292 &amp; ADDRESS(B482, 1,4  ))</f>
        <v>Perform. &amp; Pymt Bonds</v>
      </c>
      <c r="D483" t="str">
        <f>ADDRESS(B482, 3,4  )</f>
        <v>C47</v>
      </c>
      <c r="E483">
        <f t="shared" ca="1" si="192"/>
        <v>0</v>
      </c>
      <c r="F483" t="str">
        <f ca="1">CONCATENATE("Enter an '4% LIHTC Basis Calculation' value for '", C483, "' in cell ", D483, ".", CHAR(10))</f>
        <v xml:space="preserve">Enter an '4% LIHTC Basis Calculation' value for 'Perform. &amp; Pymt Bonds' in cell C47.
</v>
      </c>
      <c r="G483" s="9" t="str">
        <f t="shared" ca="1" si="190"/>
        <v xml:space="preserve">The total of development budget in column B must be greater than zero.
</v>
      </c>
    </row>
    <row r="484" spans="1:7" ht="15" customHeight="1">
      <c r="A484" t="str">
        <f ca="1">IF(AND(Calculations!$B$6, E484=""), F484, "")</f>
        <v/>
      </c>
      <c r="B484" t="s">
        <v>457</v>
      </c>
      <c r="C484" t="str">
        <f ca="1">INDIRECT($F$292 &amp; ADDRESS(B482, 1,4  ))</f>
        <v>Perform. &amp; Pymt Bonds</v>
      </c>
      <c r="D484" t="str">
        <f>ADDRESS(B482, 4,4  )</f>
        <v>D47</v>
      </c>
      <c r="E484">
        <f t="shared" ca="1" si="192"/>
        <v>0</v>
      </c>
      <c r="F484" t="str">
        <f ca="1">CONCATENATE("Enter an '9% LIHTC Basis Calculation' value for '", C484, "' in cell ", D484, ".", CHAR(10))</f>
        <v xml:space="preserve">Enter an '9% LIHTC Basis Calculation' value for 'Perform. &amp; Pymt Bonds' in cell D47.
</v>
      </c>
      <c r="G484" s="9" t="str">
        <f t="shared" ca="1" si="190"/>
        <v xml:space="preserve">The total of development budget in column B must be greater than zero.
</v>
      </c>
    </row>
    <row r="485" spans="1:7" ht="15" customHeight="1">
      <c r="A485" t="str">
        <f ca="1">IF(AND(OR(Calculations!$B$3:$B$4), E485=""), F485, "")</f>
        <v/>
      </c>
      <c r="B485" t="s">
        <v>457</v>
      </c>
      <c r="C485" t="str">
        <f ca="1">INDIRECT($F$292 &amp; ADDRESS(B482, 1,4  ))</f>
        <v>Perform. &amp; Pymt Bonds</v>
      </c>
      <c r="D485" t="str">
        <f>ADDRESS(B482, 5,4  )</f>
        <v>E47</v>
      </c>
      <c r="E485">
        <f t="shared" ca="1" si="192"/>
        <v>0</v>
      </c>
      <c r="F485" t="str">
        <f ca="1">CONCATENATE("Enter an 'Amount Last Provided to CHFA' value for '", C485, "' in cell ", D485, ".", CHAR(10))</f>
        <v xml:space="preserve">Enter an 'Amount Last Provided to CHFA' value for 'Perform. &amp; Pymt Bonds' in cell E47.
</v>
      </c>
      <c r="G485" s="9" t="str">
        <f t="shared" ref="G485:G553" ca="1" si="193">OFFSET(G485, -1, 0) &amp; A485</f>
        <v xml:space="preserve">The total of development budget in column B must be greater than zero.
</v>
      </c>
    </row>
    <row r="486" spans="1:7" ht="15" customHeight="1">
      <c r="A486" t="str">
        <f ca="1">IF(AND(Calculations!$B$3, E486=""), F486, "")</f>
        <v/>
      </c>
      <c r="B486" t="s">
        <v>457</v>
      </c>
      <c r="C486" t="str">
        <f ca="1">INDIRECT($F$292 &amp; ADDRESS(B482, 1,4  ))</f>
        <v>Perform. &amp; Pymt Bonds</v>
      </c>
      <c r="D486" t="str">
        <f>ADDRESS(B482, 6,4  )</f>
        <v>F47</v>
      </c>
      <c r="E486">
        <f t="shared" ca="1" si="192"/>
        <v>0</v>
      </c>
      <c r="F486" t="str">
        <f ca="1">CONCATENATE("Enter a '10% Carryover Actual Incurred Costs' value for '", C486, "' in cell ", D486, ".", CHAR(10))</f>
        <v xml:space="preserve">Enter a '10% Carryover Actual Incurred Costs' value for 'Perform. &amp; Pymt Bonds' in cell F47.
</v>
      </c>
      <c r="G486" s="9" t="str">
        <f t="shared" ca="1" si="193"/>
        <v xml:space="preserve">The total of development budget in column B must be greater than zero.
</v>
      </c>
    </row>
    <row r="487" spans="1:7" ht="15" customHeight="1">
      <c r="A487" t="str">
        <f ca="1">IF(E487="", F487, "")</f>
        <v/>
      </c>
      <c r="B487" s="52">
        <f>B482+1</f>
        <v>48</v>
      </c>
      <c r="C487" t="str">
        <f ca="1">INDIRECT($F$292 &amp; ADDRESS(B487, 1,4  ))</f>
        <v>Construction Interest</v>
      </c>
      <c r="D487" t="str">
        <f>ADDRESS(B487, 2,4  )</f>
        <v>B48</v>
      </c>
      <c r="E487">
        <f t="shared" ca="1" si="192"/>
        <v>0</v>
      </c>
      <c r="F487" t="str">
        <f ca="1">CONCATENATE("Enter a value for '", C487, "' in cell ", D487, ".", CHAR(10))</f>
        <v xml:space="preserve">Enter a value for 'Construction Interest' in cell B48.
</v>
      </c>
      <c r="G487" s="9" t="str">
        <f t="shared" ca="1" si="193"/>
        <v xml:space="preserve">The total of development budget in column B must be greater than zero.
</v>
      </c>
    </row>
    <row r="488" spans="1:7" ht="15" customHeight="1">
      <c r="A488" t="str">
        <f ca="1">IF(AND(Calculations!$B$5, E488=""), F488, "")</f>
        <v/>
      </c>
      <c r="B488" t="s">
        <v>457</v>
      </c>
      <c r="C488" t="str">
        <f ca="1">INDIRECT($F$292 &amp; ADDRESS(B487, 1,4  ))</f>
        <v>Construction Interest</v>
      </c>
      <c r="D488" t="str">
        <f>ADDRESS(B487, 3,4  )</f>
        <v>C48</v>
      </c>
      <c r="E488">
        <f t="shared" ca="1" si="192"/>
        <v>0</v>
      </c>
      <c r="F488" t="str">
        <f ca="1">CONCATENATE("Enter an '4% LIHTC Basis Calculation' value for '", C488, "' in cell ", D488, ".", CHAR(10))</f>
        <v xml:space="preserve">Enter an '4% LIHTC Basis Calculation' value for 'Construction Interest' in cell C48.
</v>
      </c>
      <c r="G488" s="9" t="str">
        <f t="shared" ca="1" si="193"/>
        <v xml:space="preserve">The total of development budget in column B must be greater than zero.
</v>
      </c>
    </row>
    <row r="489" spans="1:7" ht="15" customHeight="1">
      <c r="A489" t="str">
        <f ca="1">IF(AND(Calculations!$B$6, E489=""), F489, "")</f>
        <v/>
      </c>
      <c r="B489" t="s">
        <v>457</v>
      </c>
      <c r="C489" t="str">
        <f ca="1">INDIRECT($F$292 &amp; ADDRESS(B487, 1,4  ))</f>
        <v>Construction Interest</v>
      </c>
      <c r="D489" t="str">
        <f>ADDRESS(B487, 4,4  )</f>
        <v>D48</v>
      </c>
      <c r="E489">
        <f t="shared" ca="1" si="192"/>
        <v>0</v>
      </c>
      <c r="F489" t="str">
        <f ca="1">CONCATENATE("Enter an '9% LIHTC Basis Calculation' value for '", C489, "' in cell ", D489, ".", CHAR(10))</f>
        <v xml:space="preserve">Enter an '9% LIHTC Basis Calculation' value for 'Construction Interest' in cell D48.
</v>
      </c>
      <c r="G489" s="9" t="str">
        <f t="shared" ca="1" si="193"/>
        <v xml:space="preserve">The total of development budget in column B must be greater than zero.
</v>
      </c>
    </row>
    <row r="490" spans="1:7" ht="15" customHeight="1">
      <c r="A490" t="str">
        <f ca="1">IF(AND(OR(Calculations!$B$3:$B$4), E490=""), F490, "")</f>
        <v/>
      </c>
      <c r="B490" t="s">
        <v>457</v>
      </c>
      <c r="C490" t="str">
        <f ca="1">INDIRECT($F$292 &amp; ADDRESS(B487, 1,4  ))</f>
        <v>Construction Interest</v>
      </c>
      <c r="D490" t="str">
        <f>ADDRESS(B487, 5,4  )</f>
        <v>E48</v>
      </c>
      <c r="E490">
        <f t="shared" ca="1" si="192"/>
        <v>0</v>
      </c>
      <c r="F490" t="str">
        <f ca="1">CONCATENATE("Enter an 'Amount Last Provided to CHFA' value for '", C490, "' in cell ", D490, ".", CHAR(10))</f>
        <v xml:space="preserve">Enter an 'Amount Last Provided to CHFA' value for 'Construction Interest' in cell E48.
</v>
      </c>
      <c r="G490" s="9" t="str">
        <f t="shared" ca="1" si="193"/>
        <v xml:space="preserve">The total of development budget in column B must be greater than zero.
</v>
      </c>
    </row>
    <row r="491" spans="1:7" ht="15" customHeight="1">
      <c r="A491" t="str">
        <f ca="1">IF(AND(Calculations!$B$3, E491=""), F491, "")</f>
        <v/>
      </c>
      <c r="B491" t="s">
        <v>457</v>
      </c>
      <c r="C491" t="str">
        <f ca="1">INDIRECT($F$292 &amp; ADDRESS(B487, 1,4  ))</f>
        <v>Construction Interest</v>
      </c>
      <c r="D491" t="str">
        <f>ADDRESS(B487, 6,4  )</f>
        <v>F48</v>
      </c>
      <c r="E491">
        <f t="shared" ca="1" si="192"/>
        <v>0</v>
      </c>
      <c r="F491" t="str">
        <f ca="1">CONCATENATE("Enter a '10% Carryover Actual Incurred Costs' value for '", C491, "' in cell ", D491, ".", CHAR(10))</f>
        <v xml:space="preserve">Enter a '10% Carryover Actual Incurred Costs' value for 'Construction Interest' in cell F48.
</v>
      </c>
      <c r="G491" s="9" t="str">
        <f t="shared" ca="1" si="193"/>
        <v xml:space="preserve">The total of development budget in column B must be greater than zero.
</v>
      </c>
    </row>
    <row r="492" spans="1:7" ht="15" customHeight="1">
      <c r="A492" t="str">
        <f ca="1">IF(E492="", F492, "")</f>
        <v/>
      </c>
      <c r="B492" s="52">
        <f>B487+1</f>
        <v>49</v>
      </c>
      <c r="C492" t="str">
        <f ca="1">INDIRECT($F$292 &amp; ADDRESS(B492, 1,4  ))</f>
        <v>Constr. Origination Fees</v>
      </c>
      <c r="D492" t="str">
        <f>ADDRESS(B492, 2,4  )</f>
        <v>B49</v>
      </c>
      <c r="E492">
        <f t="shared" ca="1" si="192"/>
        <v>0</v>
      </c>
      <c r="F492" t="str">
        <f ca="1">CONCATENATE("Enter a value for '", C492, "' in cell ", D492, ".", CHAR(10))</f>
        <v xml:space="preserve">Enter a value for 'Constr. Origination Fees' in cell B49.
</v>
      </c>
      <c r="G492" s="9" t="str">
        <f t="shared" ca="1" si="193"/>
        <v xml:space="preserve">The total of development budget in column B must be greater than zero.
</v>
      </c>
    </row>
    <row r="493" spans="1:7" ht="15" customHeight="1">
      <c r="A493" t="str">
        <f ca="1">IF(AND(Calculations!$B$5, E493=""), F493, "")</f>
        <v/>
      </c>
      <c r="B493" t="s">
        <v>457</v>
      </c>
      <c r="C493" t="str">
        <f ca="1">INDIRECT($F$292 &amp; ADDRESS(B492, 1,4  ))</f>
        <v>Constr. Origination Fees</v>
      </c>
      <c r="D493" t="str">
        <f>ADDRESS(B492, 3,4  )</f>
        <v>C49</v>
      </c>
      <c r="E493">
        <f t="shared" ca="1" si="192"/>
        <v>0</v>
      </c>
      <c r="F493" t="str">
        <f ca="1">CONCATENATE("Enter an '4% LIHTC Basis Calculation' value for '", C493, "' in cell ", D493, ".", CHAR(10))</f>
        <v xml:space="preserve">Enter an '4% LIHTC Basis Calculation' value for 'Constr. Origination Fees' in cell C49.
</v>
      </c>
      <c r="G493" s="9" t="str">
        <f t="shared" ca="1" si="193"/>
        <v xml:space="preserve">The total of development budget in column B must be greater than zero.
</v>
      </c>
    </row>
    <row r="494" spans="1:7" ht="15" customHeight="1">
      <c r="A494" t="str">
        <f ca="1">IF(AND(Calculations!$B$6, E494=""), F494, "")</f>
        <v/>
      </c>
      <c r="B494" t="s">
        <v>457</v>
      </c>
      <c r="C494" t="str">
        <f ca="1">INDIRECT($F$292 &amp; ADDRESS(B492, 1,4  ))</f>
        <v>Constr. Origination Fees</v>
      </c>
      <c r="D494" t="str">
        <f>ADDRESS(B492, 4,4  )</f>
        <v>D49</v>
      </c>
      <c r="E494">
        <f t="shared" ca="1" si="192"/>
        <v>0</v>
      </c>
      <c r="F494" t="str">
        <f ca="1">CONCATENATE("Enter an '9% LIHTC Basis Calculation' value for '", C494, "' in cell ", D494, ".", CHAR(10))</f>
        <v xml:space="preserve">Enter an '9% LIHTC Basis Calculation' value for 'Constr. Origination Fees' in cell D49.
</v>
      </c>
      <c r="G494" s="9" t="str">
        <f t="shared" ca="1" si="193"/>
        <v xml:space="preserve">The total of development budget in column B must be greater than zero.
</v>
      </c>
    </row>
    <row r="495" spans="1:7" ht="15" customHeight="1">
      <c r="A495" t="str">
        <f ca="1">IF(AND(OR(Calculations!$B$3:$B$4), E495=""), F495, "")</f>
        <v/>
      </c>
      <c r="B495" t="s">
        <v>457</v>
      </c>
      <c r="C495" t="str">
        <f ca="1">INDIRECT($F$292 &amp; ADDRESS(B492, 1,4  ))</f>
        <v>Constr. Origination Fees</v>
      </c>
      <c r="D495" t="str">
        <f>ADDRESS(B492, 5,4  )</f>
        <v>E49</v>
      </c>
      <c r="E495">
        <f t="shared" ca="1" si="192"/>
        <v>0</v>
      </c>
      <c r="F495" t="str">
        <f ca="1">CONCATENATE("Enter an 'Amount Last Provided to CHFA' value for '", C495, "' in cell ", D495, ".", CHAR(10))</f>
        <v xml:space="preserve">Enter an 'Amount Last Provided to CHFA' value for 'Constr. Origination Fees' in cell E49.
</v>
      </c>
      <c r="G495" s="9" t="str">
        <f t="shared" ca="1" si="193"/>
        <v xml:space="preserve">The total of development budget in column B must be greater than zero.
</v>
      </c>
    </row>
    <row r="496" spans="1:7" ht="15" customHeight="1">
      <c r="A496" t="str">
        <f ca="1">IF(AND(Calculations!$B$3, E496=""), F496, "")</f>
        <v/>
      </c>
      <c r="B496" t="s">
        <v>457</v>
      </c>
      <c r="C496" t="str">
        <f ca="1">INDIRECT($F$292 &amp; ADDRESS(B492, 1,4  ))</f>
        <v>Constr. Origination Fees</v>
      </c>
      <c r="D496" t="str">
        <f>ADDRESS(B492, 6,4  )</f>
        <v>F49</v>
      </c>
      <c r="E496">
        <f t="shared" ca="1" si="192"/>
        <v>0</v>
      </c>
      <c r="F496" t="str">
        <f ca="1">CONCATENATE("Enter a '10% Carryover Actual Incurred Costs' value for '", C496, "' in cell ", D496, ".", CHAR(10))</f>
        <v xml:space="preserve">Enter a '10% Carryover Actual Incurred Costs' value for 'Constr. Origination Fees' in cell F49.
</v>
      </c>
      <c r="G496" s="9" t="str">
        <f t="shared" ca="1" si="193"/>
        <v xml:space="preserve">The total of development budget in column B must be greater than zero.
</v>
      </c>
    </row>
    <row r="497" spans="1:7" ht="15" customHeight="1">
      <c r="A497" t="str">
        <f ca="1">IF(E497="", F497, "")</f>
        <v/>
      </c>
      <c r="B497" s="52">
        <f>B492+1</f>
        <v>50</v>
      </c>
      <c r="C497" t="str">
        <f ca="1">INDIRECT($F$292 &amp; ADDRESS(B497, 1,4  ))</f>
        <v>Tap Fees (Water/Sewer)</v>
      </c>
      <c r="D497" t="str">
        <f>ADDRESS(B497, 2,4  )</f>
        <v>B50</v>
      </c>
      <c r="E497">
        <f t="shared" ca="1" si="192"/>
        <v>0</v>
      </c>
      <c r="F497" t="str">
        <f ca="1">CONCATENATE("Enter a value for '", C497, "' in cell ", D497, ".", CHAR(10))</f>
        <v xml:space="preserve">Enter a value for 'Tap Fees (Water/Sewer)' in cell B50.
</v>
      </c>
      <c r="G497" s="9" t="str">
        <f t="shared" ca="1" si="193"/>
        <v xml:space="preserve">The total of development budget in column B must be greater than zero.
</v>
      </c>
    </row>
    <row r="498" spans="1:7" ht="15" customHeight="1">
      <c r="A498" t="str">
        <f ca="1">IF(AND(Calculations!$B$5, E498=""), F498, "")</f>
        <v/>
      </c>
      <c r="B498" t="s">
        <v>457</v>
      </c>
      <c r="C498" t="str">
        <f ca="1">INDIRECT($F$292 &amp; ADDRESS(B497, 1,4  ))</f>
        <v>Tap Fees (Water/Sewer)</v>
      </c>
      <c r="D498" t="str">
        <f>ADDRESS(B497, 3,4  )</f>
        <v>C50</v>
      </c>
      <c r="E498">
        <f t="shared" ca="1" si="192"/>
        <v>0</v>
      </c>
      <c r="F498" t="str">
        <f ca="1">CONCATENATE("Enter an '4% LIHTC Basis Calculation' value for '", C498, "' in cell ", D498, ".", CHAR(10))</f>
        <v xml:space="preserve">Enter an '4% LIHTC Basis Calculation' value for 'Tap Fees (Water/Sewer)' in cell C50.
</v>
      </c>
      <c r="G498" s="9" t="str">
        <f t="shared" ca="1" si="193"/>
        <v xml:space="preserve">The total of development budget in column B must be greater than zero.
</v>
      </c>
    </row>
    <row r="499" spans="1:7" ht="15" customHeight="1">
      <c r="A499" t="str">
        <f ca="1">IF(AND(Calculations!$B$6, E499=""), F499, "")</f>
        <v/>
      </c>
      <c r="B499" t="s">
        <v>457</v>
      </c>
      <c r="C499" t="str">
        <f ca="1">INDIRECT($F$292 &amp; ADDRESS(B497, 1,4  ))</f>
        <v>Tap Fees (Water/Sewer)</v>
      </c>
      <c r="D499" t="str">
        <f>ADDRESS(B497, 4,4  )</f>
        <v>D50</v>
      </c>
      <c r="E499">
        <f t="shared" ca="1" si="192"/>
        <v>0</v>
      </c>
      <c r="F499" t="str">
        <f ca="1">CONCATENATE("Enter an '9% LIHTC Basis Calculation' value for '", C499, "' in cell ", D499, ".", CHAR(10))</f>
        <v xml:space="preserve">Enter an '9% LIHTC Basis Calculation' value for 'Tap Fees (Water/Sewer)' in cell D50.
</v>
      </c>
      <c r="G499" s="9" t="str">
        <f t="shared" ca="1" si="193"/>
        <v xml:space="preserve">The total of development budget in column B must be greater than zero.
</v>
      </c>
    </row>
    <row r="500" spans="1:7" ht="15" customHeight="1">
      <c r="A500" t="str">
        <f ca="1">IF(AND(OR(Calculations!$B$3:$B$4), E500=""), F500, "")</f>
        <v/>
      </c>
      <c r="B500" t="s">
        <v>457</v>
      </c>
      <c r="C500" t="str">
        <f ca="1">INDIRECT($F$292 &amp; ADDRESS(B497, 1,4  ))</f>
        <v>Tap Fees (Water/Sewer)</v>
      </c>
      <c r="D500" t="str">
        <f>ADDRESS(B497, 5,4  )</f>
        <v>E50</v>
      </c>
      <c r="E500">
        <f t="shared" ca="1" si="192"/>
        <v>0</v>
      </c>
      <c r="F500" t="str">
        <f ca="1">CONCATENATE("Enter an 'Amount Last Provided to CHFA' value for '", C500, "' in cell ", D500, ".", CHAR(10))</f>
        <v xml:space="preserve">Enter an 'Amount Last Provided to CHFA' value for 'Tap Fees (Water/Sewer)' in cell E50.
</v>
      </c>
      <c r="G500" s="9" t="str">
        <f t="shared" ca="1" si="193"/>
        <v xml:space="preserve">The total of development budget in column B must be greater than zero.
</v>
      </c>
    </row>
    <row r="501" spans="1:7" ht="15" customHeight="1">
      <c r="A501" t="str">
        <f ca="1">IF(AND(Calculations!$B$3, E501=""), F501, "")</f>
        <v/>
      </c>
      <c r="B501" t="s">
        <v>457</v>
      </c>
      <c r="C501" t="str">
        <f ca="1">INDIRECT($F$292 &amp; ADDRESS(B497, 1,4  ))</f>
        <v>Tap Fees (Water/Sewer)</v>
      </c>
      <c r="D501" t="str">
        <f>ADDRESS(B497, 6,4  )</f>
        <v>F50</v>
      </c>
      <c r="E501">
        <f t="shared" ca="1" si="192"/>
        <v>0</v>
      </c>
      <c r="F501" t="str">
        <f ca="1">CONCATENATE("Enter a '10% Carryover Actual Incurred Costs' value for '", C501, "' in cell ", D501, ".", CHAR(10))</f>
        <v xml:space="preserve">Enter a '10% Carryover Actual Incurred Costs' value for 'Tap Fees (Water/Sewer)' in cell F50.
</v>
      </c>
      <c r="G501" s="9" t="str">
        <f t="shared" ca="1" si="193"/>
        <v xml:space="preserve">The total of development budget in column B must be greater than zero.
</v>
      </c>
    </row>
    <row r="502" spans="1:7" ht="15" customHeight="1">
      <c r="A502" t="str">
        <f ca="1">IF(E502="", F502, "")</f>
        <v/>
      </c>
      <c r="B502" s="52">
        <f>B497+1</f>
        <v>51</v>
      </c>
      <c r="C502" t="str">
        <f ca="1">INDIRECT($F$292 &amp; ADDRESS(B502, 1,4  ))</f>
        <v>Impact fees</v>
      </c>
      <c r="D502" t="str">
        <f>ADDRESS(B502, 2,4  )</f>
        <v>B51</v>
      </c>
      <c r="E502">
        <f t="shared" ca="1" si="192"/>
        <v>0</v>
      </c>
      <c r="F502" t="str">
        <f ca="1">CONCATENATE("Enter a value for '", C502, "' in cell ", D502, ".", CHAR(10))</f>
        <v xml:space="preserve">Enter a value for 'Impact fees' in cell B51.
</v>
      </c>
      <c r="G502" s="9" t="str">
        <f t="shared" ca="1" si="193"/>
        <v xml:space="preserve">The total of development budget in column B must be greater than zero.
</v>
      </c>
    </row>
    <row r="503" spans="1:7" ht="15" customHeight="1">
      <c r="A503" t="str">
        <f ca="1">IF(AND(Calculations!$B$5, E503=""), F503, "")</f>
        <v/>
      </c>
      <c r="B503" t="s">
        <v>457</v>
      </c>
      <c r="C503" t="str">
        <f ca="1">INDIRECT($F$292 &amp; ADDRESS(B502, 1,4  ))</f>
        <v>Impact fees</v>
      </c>
      <c r="D503" t="str">
        <f>ADDRESS(B502, 3,4  )</f>
        <v>C51</v>
      </c>
      <c r="E503">
        <f t="shared" ca="1" si="192"/>
        <v>0</v>
      </c>
      <c r="F503" t="str">
        <f ca="1">CONCATENATE("Enter an '4% LIHTC Basis Calculation' value for '", C503, "' in cell ", D503, ".", CHAR(10))</f>
        <v xml:space="preserve">Enter an '4% LIHTC Basis Calculation' value for 'Impact fees' in cell C51.
</v>
      </c>
      <c r="G503" s="9" t="str">
        <f t="shared" ca="1" si="193"/>
        <v xml:space="preserve">The total of development budget in column B must be greater than zero.
</v>
      </c>
    </row>
    <row r="504" spans="1:7" ht="15" customHeight="1">
      <c r="A504" t="str">
        <f ca="1">IF(AND(Calculations!$B$6, E504=""), F504, "")</f>
        <v/>
      </c>
      <c r="B504" t="s">
        <v>457</v>
      </c>
      <c r="C504" t="str">
        <f ca="1">INDIRECT($F$292 &amp; ADDRESS(B502, 1,4  ))</f>
        <v>Impact fees</v>
      </c>
      <c r="D504" t="str">
        <f>ADDRESS(B502, 4,4  )</f>
        <v>D51</v>
      </c>
      <c r="E504">
        <f t="shared" ref="E504:E535" ca="1" si="194">IF(ISBLANK( INDIRECT($F$292 &amp; D504)),"", INDIRECT($F$292 &amp; D504))</f>
        <v>0</v>
      </c>
      <c r="F504" t="str">
        <f ca="1">CONCATENATE("Enter an '9% LIHTC Basis Calculation' value for '", C504, "' in cell ", D504, ".", CHAR(10))</f>
        <v xml:space="preserve">Enter an '9% LIHTC Basis Calculation' value for 'Impact fees' in cell D51.
</v>
      </c>
      <c r="G504" s="9" t="str">
        <f t="shared" ca="1" si="193"/>
        <v xml:space="preserve">The total of development budget in column B must be greater than zero.
</v>
      </c>
    </row>
    <row r="505" spans="1:7" ht="15" customHeight="1">
      <c r="A505" t="str">
        <f ca="1">IF(AND(OR(Calculations!$B$3:$B$4), E505=""), F505, "")</f>
        <v/>
      </c>
      <c r="B505" t="s">
        <v>457</v>
      </c>
      <c r="C505" t="str">
        <f ca="1">INDIRECT($F$292 &amp; ADDRESS(B502, 1,4  ))</f>
        <v>Impact fees</v>
      </c>
      <c r="D505" t="str">
        <f>ADDRESS(B502, 5,4  )</f>
        <v>E51</v>
      </c>
      <c r="E505">
        <f t="shared" ca="1" si="194"/>
        <v>0</v>
      </c>
      <c r="F505" t="str">
        <f ca="1">CONCATENATE("Enter an 'Amount Last Provided to CHFA' value for '", C505, "' in cell ", D505, ".", CHAR(10))</f>
        <v xml:space="preserve">Enter an 'Amount Last Provided to CHFA' value for 'Impact fees' in cell E51.
</v>
      </c>
      <c r="G505" s="9" t="str">
        <f t="shared" ca="1" si="193"/>
        <v xml:space="preserve">The total of development budget in column B must be greater than zero.
</v>
      </c>
    </row>
    <row r="506" spans="1:7" ht="15" customHeight="1">
      <c r="A506" t="str">
        <f ca="1">IF(AND(Calculations!$B$3, E506=""), F506, "")</f>
        <v/>
      </c>
      <c r="B506" t="s">
        <v>457</v>
      </c>
      <c r="C506" t="str">
        <f ca="1">INDIRECT($F$292 &amp; ADDRESS(B502, 1,4  ))</f>
        <v>Impact fees</v>
      </c>
      <c r="D506" t="str">
        <f>ADDRESS(B502, 6,4  )</f>
        <v>F51</v>
      </c>
      <c r="E506">
        <f t="shared" ca="1" si="194"/>
        <v>0</v>
      </c>
      <c r="F506" t="str">
        <f ca="1">CONCATENATE("Enter a '10% Carryover Actual Incurred Costs' value for '", C506, "' in cell ", D506, ".", CHAR(10))</f>
        <v xml:space="preserve">Enter a '10% Carryover Actual Incurred Costs' value for 'Impact fees' in cell F51.
</v>
      </c>
      <c r="G506" s="9" t="str">
        <f t="shared" ca="1" si="193"/>
        <v xml:space="preserve">The total of development budget in column B must be greater than zero.
</v>
      </c>
    </row>
    <row r="507" spans="1:7" ht="15" customHeight="1">
      <c r="A507" t="str">
        <f ca="1">IF(E507="", F507, "")</f>
        <v/>
      </c>
      <c r="B507" s="52">
        <f>B502+1</f>
        <v>52</v>
      </c>
      <c r="C507" t="str">
        <f ca="1">INDIRECT($F$292 &amp; ADDRESS(B507, 1,4  ))</f>
        <v>Materials Testing</v>
      </c>
      <c r="D507" t="str">
        <f>ADDRESS(B507, 2,4  )</f>
        <v>B52</v>
      </c>
      <c r="E507">
        <f t="shared" ca="1" si="194"/>
        <v>0</v>
      </c>
      <c r="F507" t="str">
        <f ca="1">CONCATENATE("Enter a value for '", C507, "' in cell ", D507, ".", CHAR(10))</f>
        <v xml:space="preserve">Enter a value for 'Materials Testing' in cell B52.
</v>
      </c>
      <c r="G507" s="9" t="str">
        <f t="shared" ca="1" si="193"/>
        <v xml:space="preserve">The total of development budget in column B must be greater than zero.
</v>
      </c>
    </row>
    <row r="508" spans="1:7" ht="15" customHeight="1">
      <c r="A508" t="str">
        <f ca="1">IF(AND(Calculations!$B$5, E508=""), F508, "")</f>
        <v/>
      </c>
      <c r="B508" t="s">
        <v>457</v>
      </c>
      <c r="C508" t="str">
        <f ca="1">INDIRECT($F$292 &amp; ADDRESS(B507, 1,4  ))</f>
        <v>Materials Testing</v>
      </c>
      <c r="D508" t="str">
        <f>ADDRESS(B507, 3,4  )</f>
        <v>C52</v>
      </c>
      <c r="E508">
        <f t="shared" ca="1" si="194"/>
        <v>0</v>
      </c>
      <c r="F508" t="str">
        <f ca="1">CONCATENATE("Enter an '4% LIHTC Basis Calculation' value for '", C508, "' in cell ", D508, ".", CHAR(10))</f>
        <v xml:space="preserve">Enter an '4% LIHTC Basis Calculation' value for 'Materials Testing' in cell C52.
</v>
      </c>
      <c r="G508" s="9" t="str">
        <f t="shared" ca="1" si="193"/>
        <v xml:space="preserve">The total of development budget in column B must be greater than zero.
</v>
      </c>
    </row>
    <row r="509" spans="1:7" ht="15" customHeight="1">
      <c r="A509" t="str">
        <f ca="1">IF(AND(Calculations!$B$6, E509=""), F509, "")</f>
        <v/>
      </c>
      <c r="B509" t="s">
        <v>457</v>
      </c>
      <c r="C509" t="str">
        <f ca="1">INDIRECT($F$292 &amp; ADDRESS(B507, 1,4  ))</f>
        <v>Materials Testing</v>
      </c>
      <c r="D509" t="str">
        <f>ADDRESS(B507, 4,4  )</f>
        <v>D52</v>
      </c>
      <c r="E509">
        <f t="shared" ca="1" si="194"/>
        <v>0</v>
      </c>
      <c r="F509" t="str">
        <f ca="1">CONCATENATE("Enter an '9% LIHTC Basis Calculation' value for '", C509, "' in cell ", D509, ".", CHAR(10))</f>
        <v xml:space="preserve">Enter an '9% LIHTC Basis Calculation' value for 'Materials Testing' in cell D52.
</v>
      </c>
      <c r="G509" s="9" t="str">
        <f t="shared" ca="1" si="193"/>
        <v xml:space="preserve">The total of development budget in column B must be greater than zero.
</v>
      </c>
    </row>
    <row r="510" spans="1:7" ht="15" customHeight="1">
      <c r="A510" t="str">
        <f ca="1">IF(AND(OR(Calculations!$B$3:$B$4), E510=""), F510, "")</f>
        <v/>
      </c>
      <c r="B510" t="s">
        <v>457</v>
      </c>
      <c r="C510" t="str">
        <f ca="1">INDIRECT($F$292 &amp; ADDRESS(B507, 1,4  ))</f>
        <v>Materials Testing</v>
      </c>
      <c r="D510" t="str">
        <f>ADDRESS(B507, 5,4  )</f>
        <v>E52</v>
      </c>
      <c r="E510">
        <f t="shared" ca="1" si="194"/>
        <v>0</v>
      </c>
      <c r="F510" t="str">
        <f ca="1">CONCATENATE("Enter an 'Amount Last Provided to CHFA' value for '", C510, "' in cell ", D510, ".", CHAR(10))</f>
        <v xml:space="preserve">Enter an 'Amount Last Provided to CHFA' value for 'Materials Testing' in cell E52.
</v>
      </c>
      <c r="G510" s="9" t="str">
        <f t="shared" ca="1" si="193"/>
        <v xml:space="preserve">The total of development budget in column B must be greater than zero.
</v>
      </c>
    </row>
    <row r="511" spans="1:7" ht="15" customHeight="1">
      <c r="A511" t="str">
        <f ca="1">IF(AND(Calculations!$B$3, E511=""), F511, "")</f>
        <v/>
      </c>
      <c r="B511" t="s">
        <v>457</v>
      </c>
      <c r="C511" t="str">
        <f ca="1">INDIRECT($F$292 &amp; ADDRESS(B507, 1,4  ))</f>
        <v>Materials Testing</v>
      </c>
      <c r="D511" t="str">
        <f>ADDRESS(B507, 6,4  )</f>
        <v>F52</v>
      </c>
      <c r="E511">
        <f t="shared" ca="1" si="194"/>
        <v>0</v>
      </c>
      <c r="F511" t="str">
        <f ca="1">CONCATENATE("Enter a '10% Carryover Actual Incurred Costs' value for '", C511, "' in cell ", D511, ".", CHAR(10))</f>
        <v xml:space="preserve">Enter a '10% Carryover Actual Incurred Costs' value for 'Materials Testing' in cell F52.
</v>
      </c>
      <c r="G511" s="9" t="str">
        <f t="shared" ca="1" si="193"/>
        <v xml:space="preserve">The total of development budget in column B must be greater than zero.
</v>
      </c>
    </row>
    <row r="512" spans="1:7" ht="15" customHeight="1">
      <c r="A512" t="str">
        <f ca="1">IF(E512="", F512, "")</f>
        <v/>
      </c>
      <c r="B512" s="52">
        <f>B507+1</f>
        <v>53</v>
      </c>
      <c r="C512" t="str">
        <f ca="1">INDIRECT($F$292 &amp; ADDRESS(B512, 1,4  ))</f>
        <v>Power and Telecom Provider fees</v>
      </c>
      <c r="D512" t="str">
        <f>ADDRESS(B512, 2,4  )</f>
        <v>B53</v>
      </c>
      <c r="E512">
        <f t="shared" ca="1" si="194"/>
        <v>0</v>
      </c>
      <c r="F512" t="str">
        <f ca="1">CONCATENATE("Enter a value for '", C512, "' in cell ", D512, ".", CHAR(10))</f>
        <v xml:space="preserve">Enter a value for 'Power and Telecom Provider fees' in cell B53.
</v>
      </c>
      <c r="G512" s="9" t="str">
        <f t="shared" ca="1" si="193"/>
        <v xml:space="preserve">The total of development budget in column B must be greater than zero.
</v>
      </c>
    </row>
    <row r="513" spans="1:7" ht="15" customHeight="1">
      <c r="A513" t="str">
        <f ca="1">IF(AND(Calculations!$B$5, E513=""), F513, "")</f>
        <v/>
      </c>
      <c r="B513" t="s">
        <v>457</v>
      </c>
      <c r="C513" t="str">
        <f ca="1">INDIRECT($F$292 &amp; ADDRESS(B512, 1,4  ))</f>
        <v>Power and Telecom Provider fees</v>
      </c>
      <c r="D513" t="str">
        <f>ADDRESS(B512, 3,4  )</f>
        <v>C53</v>
      </c>
      <c r="E513">
        <f t="shared" ca="1" si="194"/>
        <v>0</v>
      </c>
      <c r="F513" t="str">
        <f ca="1">CONCATENATE("Enter an '4% LIHTC Basis Calculation' value for '", C513, "' in cell ", D513, ".", CHAR(10))</f>
        <v xml:space="preserve">Enter an '4% LIHTC Basis Calculation' value for 'Power and Telecom Provider fees' in cell C53.
</v>
      </c>
      <c r="G513" s="9" t="str">
        <f t="shared" ca="1" si="193"/>
        <v xml:space="preserve">The total of development budget in column B must be greater than zero.
</v>
      </c>
    </row>
    <row r="514" spans="1:7" ht="15" customHeight="1">
      <c r="A514" t="str">
        <f ca="1">IF(AND(Calculations!$B$6, E514=""), F514, "")</f>
        <v/>
      </c>
      <c r="B514" t="s">
        <v>457</v>
      </c>
      <c r="C514" t="str">
        <f ca="1">INDIRECT($F$292 &amp; ADDRESS(B512, 1,4  ))</f>
        <v>Power and Telecom Provider fees</v>
      </c>
      <c r="D514" t="str">
        <f>ADDRESS(B512, 4,4  )</f>
        <v>D53</v>
      </c>
      <c r="E514">
        <f t="shared" ca="1" si="194"/>
        <v>0</v>
      </c>
      <c r="F514" t="str">
        <f ca="1">CONCATENATE("Enter an '9% LIHTC Basis Calculation' value for '", C514, "' in cell ", D514, ".", CHAR(10))</f>
        <v xml:space="preserve">Enter an '9% LIHTC Basis Calculation' value for 'Power and Telecom Provider fees' in cell D53.
</v>
      </c>
      <c r="G514" s="9" t="str">
        <f t="shared" ca="1" si="193"/>
        <v xml:space="preserve">The total of development budget in column B must be greater than zero.
</v>
      </c>
    </row>
    <row r="515" spans="1:7" ht="15" customHeight="1">
      <c r="A515" t="str">
        <f ca="1">IF(AND(OR(Calculations!$B$3:$B$4), E515=""), F515, "")</f>
        <v/>
      </c>
      <c r="B515" t="s">
        <v>457</v>
      </c>
      <c r="C515" t="str">
        <f ca="1">INDIRECT($F$292 &amp; ADDRESS(B512, 1,4  ))</f>
        <v>Power and Telecom Provider fees</v>
      </c>
      <c r="D515" t="str">
        <f>ADDRESS(B512, 5,4  )</f>
        <v>E53</v>
      </c>
      <c r="E515">
        <f t="shared" ca="1" si="194"/>
        <v>0</v>
      </c>
      <c r="F515" t="str">
        <f ca="1">CONCATENATE("Enter an 'Amount Last Provided to CHFA' value for '", C515, "' in cell ", D515, ".", CHAR(10))</f>
        <v xml:space="preserve">Enter an 'Amount Last Provided to CHFA' value for 'Power and Telecom Provider fees' in cell E53.
</v>
      </c>
      <c r="G515" s="9" t="str">
        <f t="shared" ca="1" si="193"/>
        <v xml:space="preserve">The total of development budget in column B must be greater than zero.
</v>
      </c>
    </row>
    <row r="516" spans="1:7" ht="15" customHeight="1">
      <c r="A516" t="str">
        <f ca="1">IF(AND(Calculations!$B$3, E516=""), F516, "")</f>
        <v/>
      </c>
      <c r="B516" t="s">
        <v>457</v>
      </c>
      <c r="C516" t="str">
        <f ca="1">INDIRECT($F$292 &amp; ADDRESS(B512, 1,4  ))</f>
        <v>Power and Telecom Provider fees</v>
      </c>
      <c r="D516" t="str">
        <f>ADDRESS(B512, 6,4  )</f>
        <v>F53</v>
      </c>
      <c r="E516">
        <f t="shared" ca="1" si="194"/>
        <v>0</v>
      </c>
      <c r="F516" t="str">
        <f ca="1">CONCATENATE("Enter a '10% Carryover Actual Incurred Costs' value for '", C516, "' in cell ", D516, ".", CHAR(10))</f>
        <v xml:space="preserve">Enter a '10% Carryover Actual Incurred Costs' value for 'Power and Telecom Provider fees' in cell F53.
</v>
      </c>
      <c r="G516" s="9" t="str">
        <f t="shared" ca="1" si="193"/>
        <v xml:space="preserve">The total of development budget in column B must be greater than zero.
</v>
      </c>
    </row>
    <row r="517" spans="1:7" ht="15" customHeight="1">
      <c r="A517" t="str">
        <f ca="1">IF(E517="", F517, "")</f>
        <v/>
      </c>
      <c r="B517" s="52">
        <f>B512+1</f>
        <v>54</v>
      </c>
      <c r="C517" t="str">
        <f ca="1">INDIRECT($F$292 &amp; ADDRESS(B517, 1,4  ))</f>
        <v>3rd Party/Bank Inspections/Admin</v>
      </c>
      <c r="D517" t="str">
        <f>ADDRESS(B517, 2,4  )</f>
        <v>B54</v>
      </c>
      <c r="E517">
        <f t="shared" ca="1" si="194"/>
        <v>0</v>
      </c>
      <c r="F517" t="str">
        <f ca="1">CONCATENATE("Enter a value for '", C517, "' in cell ", D517, ".", CHAR(10))</f>
        <v xml:space="preserve">Enter a value for '3rd Party/Bank Inspections/Admin' in cell B54.
</v>
      </c>
      <c r="G517" s="9" t="str">
        <f t="shared" ca="1" si="193"/>
        <v xml:space="preserve">The total of development budget in column B must be greater than zero.
</v>
      </c>
    </row>
    <row r="518" spans="1:7" ht="15" customHeight="1">
      <c r="A518" t="str">
        <f ca="1">IF(AND(Calculations!$B$5, E518=""), F518, "")</f>
        <v/>
      </c>
      <c r="B518" t="s">
        <v>457</v>
      </c>
      <c r="C518" t="str">
        <f ca="1">INDIRECT($F$292 &amp; ADDRESS(B517, 1,4  ))</f>
        <v>3rd Party/Bank Inspections/Admin</v>
      </c>
      <c r="D518" t="str">
        <f>ADDRESS(B517, 3,4  )</f>
        <v>C54</v>
      </c>
      <c r="E518">
        <f t="shared" ca="1" si="194"/>
        <v>0</v>
      </c>
      <c r="F518" t="str">
        <f ca="1">CONCATENATE("Enter an '4% LIHTC Basis Calculation' value for '", C518, "' in cell ", D518, ".", CHAR(10))</f>
        <v xml:space="preserve">Enter an '4% LIHTC Basis Calculation' value for '3rd Party/Bank Inspections/Admin' in cell C54.
</v>
      </c>
      <c r="G518" s="9" t="str">
        <f t="shared" ca="1" si="193"/>
        <v xml:space="preserve">The total of development budget in column B must be greater than zero.
</v>
      </c>
    </row>
    <row r="519" spans="1:7" ht="15" customHeight="1">
      <c r="A519" t="str">
        <f ca="1">IF(AND(Calculations!$B$6, E519=""), F519, "")</f>
        <v/>
      </c>
      <c r="B519" t="s">
        <v>457</v>
      </c>
      <c r="C519" t="str">
        <f ca="1">INDIRECT($F$292 &amp; ADDRESS(B517, 1,4  ))</f>
        <v>3rd Party/Bank Inspections/Admin</v>
      </c>
      <c r="D519" t="str">
        <f>ADDRESS(B517, 4,4  )</f>
        <v>D54</v>
      </c>
      <c r="E519">
        <f t="shared" ca="1" si="194"/>
        <v>0</v>
      </c>
      <c r="F519" t="str">
        <f ca="1">CONCATENATE("Enter an '9% LIHTC Basis Calculation' value for '", C519, "' in cell ", D519, ".", CHAR(10))</f>
        <v xml:space="preserve">Enter an '9% LIHTC Basis Calculation' value for '3rd Party/Bank Inspections/Admin' in cell D54.
</v>
      </c>
      <c r="G519" s="9" t="str">
        <f t="shared" ca="1" si="193"/>
        <v xml:space="preserve">The total of development budget in column B must be greater than zero.
</v>
      </c>
    </row>
    <row r="520" spans="1:7" ht="15" customHeight="1">
      <c r="A520" t="str">
        <f ca="1">IF(AND(OR(Calculations!$B$3:$B$4), E520=""), F520, "")</f>
        <v/>
      </c>
      <c r="B520" t="s">
        <v>457</v>
      </c>
      <c r="C520" t="str">
        <f ca="1">INDIRECT($F$292 &amp; ADDRESS(B517, 1,4  ))</f>
        <v>3rd Party/Bank Inspections/Admin</v>
      </c>
      <c r="D520" t="str">
        <f>ADDRESS(B517, 5,4  )</f>
        <v>E54</v>
      </c>
      <c r="E520">
        <f t="shared" ca="1" si="194"/>
        <v>0</v>
      </c>
      <c r="F520" t="str">
        <f ca="1">CONCATENATE("Enter an 'Amount Last Provided to CHFA' value for '", C520, "' in cell ", D520, ".", CHAR(10))</f>
        <v xml:space="preserve">Enter an 'Amount Last Provided to CHFA' value for '3rd Party/Bank Inspections/Admin' in cell E54.
</v>
      </c>
      <c r="G520" s="9" t="str">
        <f t="shared" ca="1" si="193"/>
        <v xml:space="preserve">The total of development budget in column B must be greater than zero.
</v>
      </c>
    </row>
    <row r="521" spans="1:7" ht="15" customHeight="1">
      <c r="A521" t="str">
        <f ca="1">IF(AND(Calculations!$B$3, E521=""), F521, "")</f>
        <v/>
      </c>
      <c r="B521" t="s">
        <v>457</v>
      </c>
      <c r="C521" t="str">
        <f ca="1">INDIRECT($F$292 &amp; ADDRESS(B517, 1,4  ))</f>
        <v>3rd Party/Bank Inspections/Admin</v>
      </c>
      <c r="D521" t="str">
        <f>ADDRESS(B517, 6,4  )</f>
        <v>F54</v>
      </c>
      <c r="E521">
        <f t="shared" ca="1" si="194"/>
        <v>0</v>
      </c>
      <c r="F521" t="str">
        <f ca="1">CONCATENATE("Enter a '10% Carryover Actual Incurred Costs' value for '", C521, "' in cell ", D521, ".", CHAR(10))</f>
        <v xml:space="preserve">Enter a '10% Carryover Actual Incurred Costs' value for '3rd Party/Bank Inspections/Admin' in cell F54.
</v>
      </c>
      <c r="G521" s="9" t="str">
        <f t="shared" ca="1" si="193"/>
        <v xml:space="preserve">The total of development budget in column B must be greater than zero.
</v>
      </c>
    </row>
    <row r="522" spans="1:7" ht="15" customHeight="1">
      <c r="A522" t="str">
        <f ca="1">IF(E522="", F522, "")</f>
        <v/>
      </c>
      <c r="B522" s="52">
        <f>B517+1</f>
        <v>55</v>
      </c>
      <c r="C522" t="str">
        <f ca="1">INDIRECT($F$292 &amp; ADDRESS(B522, 1,4  ))</f>
        <v>Title &amp; Recording</v>
      </c>
      <c r="D522" t="str">
        <f>ADDRESS(B522, 2,4  )</f>
        <v>B55</v>
      </c>
      <c r="E522">
        <f t="shared" ca="1" si="194"/>
        <v>0</v>
      </c>
      <c r="F522" t="str">
        <f ca="1">CONCATENATE("Enter a value for '", C522, "' in cell ", D522, ".", CHAR(10))</f>
        <v xml:space="preserve">Enter a value for 'Title &amp; Recording' in cell B55.
</v>
      </c>
      <c r="G522" s="9" t="str">
        <f t="shared" ca="1" si="193"/>
        <v xml:space="preserve">The total of development budget in column B must be greater than zero.
</v>
      </c>
    </row>
    <row r="523" spans="1:7" ht="15" customHeight="1">
      <c r="A523" t="str">
        <f ca="1">IF(AND(Calculations!$B$5, E523=""), F523, "")</f>
        <v/>
      </c>
      <c r="B523" t="s">
        <v>457</v>
      </c>
      <c r="C523" t="str">
        <f ca="1">INDIRECT($F$292 &amp; ADDRESS(B522, 1,4  ))</f>
        <v>Title &amp; Recording</v>
      </c>
      <c r="D523" t="str">
        <f>ADDRESS(B522, 3,4  )</f>
        <v>C55</v>
      </c>
      <c r="E523">
        <f t="shared" ca="1" si="194"/>
        <v>0</v>
      </c>
      <c r="F523" t="str">
        <f ca="1">CONCATENATE("Enter an '4% LIHTC Basis Calculation' value for '", C523, "' in cell ", D523, ".", CHAR(10))</f>
        <v xml:space="preserve">Enter an '4% LIHTC Basis Calculation' value for 'Title &amp; Recording' in cell C55.
</v>
      </c>
      <c r="G523" s="9" t="str">
        <f t="shared" ca="1" si="193"/>
        <v xml:space="preserve">The total of development budget in column B must be greater than zero.
</v>
      </c>
    </row>
    <row r="524" spans="1:7" ht="15" customHeight="1">
      <c r="A524" t="str">
        <f ca="1">IF(AND(Calculations!$B$6, E524=""), F524, "")</f>
        <v/>
      </c>
      <c r="B524" t="s">
        <v>457</v>
      </c>
      <c r="C524" t="str">
        <f ca="1">INDIRECT($F$292 &amp; ADDRESS(B522, 1,4  ))</f>
        <v>Title &amp; Recording</v>
      </c>
      <c r="D524" t="str">
        <f>ADDRESS(B522, 4,4  )</f>
        <v>D55</v>
      </c>
      <c r="E524">
        <f t="shared" ca="1" si="194"/>
        <v>0</v>
      </c>
      <c r="F524" t="str">
        <f ca="1">CONCATENATE("Enter an '9% LIHTC Basis Calculation' value for '", C524, "' in cell ", D524, ".", CHAR(10))</f>
        <v xml:space="preserve">Enter an '9% LIHTC Basis Calculation' value for 'Title &amp; Recording' in cell D55.
</v>
      </c>
      <c r="G524" s="9" t="str">
        <f t="shared" ca="1" si="193"/>
        <v xml:space="preserve">The total of development budget in column B must be greater than zero.
</v>
      </c>
    </row>
    <row r="525" spans="1:7" ht="15" customHeight="1">
      <c r="A525" t="str">
        <f ca="1">IF(AND(OR(Calculations!$B$3:$B$4), E525=""), F525, "")</f>
        <v/>
      </c>
      <c r="B525" t="s">
        <v>457</v>
      </c>
      <c r="C525" t="str">
        <f ca="1">INDIRECT($F$292 &amp; ADDRESS(B522, 1,4  ))</f>
        <v>Title &amp; Recording</v>
      </c>
      <c r="D525" t="str">
        <f>ADDRESS(B522, 5,4  )</f>
        <v>E55</v>
      </c>
      <c r="E525">
        <f t="shared" ca="1" si="194"/>
        <v>0</v>
      </c>
      <c r="F525" t="str">
        <f ca="1">CONCATENATE("Enter an 'Amount Last Provided to CHFA' value for '", C525, "' in cell ", D525, ".", CHAR(10))</f>
        <v xml:space="preserve">Enter an 'Amount Last Provided to CHFA' value for 'Title &amp; Recording' in cell E55.
</v>
      </c>
      <c r="G525" s="9" t="str">
        <f t="shared" ca="1" si="193"/>
        <v xml:space="preserve">The total of development budget in column B must be greater than zero.
</v>
      </c>
    </row>
    <row r="526" spans="1:7" ht="15" customHeight="1">
      <c r="A526" t="str">
        <f ca="1">IF(AND(Calculations!$B$3, E526=""), F526, "")</f>
        <v/>
      </c>
      <c r="B526" t="s">
        <v>457</v>
      </c>
      <c r="C526" t="str">
        <f ca="1">INDIRECT($F$292 &amp; ADDRESS(B522, 1,4  ))</f>
        <v>Title &amp; Recording</v>
      </c>
      <c r="D526" t="str">
        <f>ADDRESS(B522, 6,4  )</f>
        <v>F55</v>
      </c>
      <c r="E526">
        <f t="shared" ca="1" si="194"/>
        <v>0</v>
      </c>
      <c r="F526" t="str">
        <f ca="1">CONCATENATE("Enter a '10% Carryover Actual Incurred Costs' value for '", C526, "' in cell ", D526, ".", CHAR(10))</f>
        <v xml:space="preserve">Enter a '10% Carryover Actual Incurred Costs' value for 'Title &amp; Recording' in cell F55.
</v>
      </c>
      <c r="G526" s="9" t="str">
        <f t="shared" ca="1" si="193"/>
        <v xml:space="preserve">The total of development budget in column B must be greater than zero.
</v>
      </c>
    </row>
    <row r="527" spans="1:7" ht="15" customHeight="1">
      <c r="A527" t="str">
        <f ca="1">IF(E527="", F527, "")</f>
        <v/>
      </c>
      <c r="B527" s="52">
        <f>B522+1</f>
        <v>56</v>
      </c>
      <c r="C527" t="str">
        <f ca="1">INDIRECT($F$292 &amp; ADDRESS(B527, 1,4  ))</f>
        <v>Construction Lender Legal Fees</v>
      </c>
      <c r="D527" t="str">
        <f>ADDRESS(B527, 2,4  )</f>
        <v>B56</v>
      </c>
      <c r="E527">
        <f t="shared" ca="1" si="194"/>
        <v>0</v>
      </c>
      <c r="F527" t="str">
        <f ca="1">CONCATENATE("Enter a value for '", C527, "' in cell ", D527, ".", CHAR(10))</f>
        <v xml:space="preserve">Enter a value for 'Construction Lender Legal Fees' in cell B56.
</v>
      </c>
      <c r="G527" s="9" t="str">
        <f t="shared" ca="1" si="193"/>
        <v xml:space="preserve">The total of development budget in column B must be greater than zero.
</v>
      </c>
    </row>
    <row r="528" spans="1:7" ht="15" customHeight="1">
      <c r="A528" t="str">
        <f ca="1">IF(AND(Calculations!$B$5, E528=""), F528, "")</f>
        <v/>
      </c>
      <c r="B528" t="s">
        <v>457</v>
      </c>
      <c r="C528" t="str">
        <f ca="1">INDIRECT($F$292 &amp; ADDRESS(B527, 1,4  ))</f>
        <v>Construction Lender Legal Fees</v>
      </c>
      <c r="D528" t="str">
        <f>ADDRESS(B527, 3,4  )</f>
        <v>C56</v>
      </c>
      <c r="E528">
        <f t="shared" ca="1" si="194"/>
        <v>0</v>
      </c>
      <c r="F528" t="str">
        <f ca="1">CONCATENATE("Enter an '4% LIHTC Basis Calculation' value for '", C528, "' in cell ", D528, ".", CHAR(10))</f>
        <v xml:space="preserve">Enter an '4% LIHTC Basis Calculation' value for 'Construction Lender Legal Fees' in cell C56.
</v>
      </c>
      <c r="G528" s="9" t="str">
        <f t="shared" ca="1" si="193"/>
        <v xml:space="preserve">The total of development budget in column B must be greater than zero.
</v>
      </c>
    </row>
    <row r="529" spans="1:7" ht="15" customHeight="1">
      <c r="A529" t="str">
        <f ca="1">IF(AND(Calculations!$B$6, E529=""), F529, "")</f>
        <v/>
      </c>
      <c r="B529" t="s">
        <v>457</v>
      </c>
      <c r="C529" t="str">
        <f ca="1">INDIRECT($F$292 &amp; ADDRESS(B527, 1,4  ))</f>
        <v>Construction Lender Legal Fees</v>
      </c>
      <c r="D529" t="str">
        <f>ADDRESS(B527, 4,4  )</f>
        <v>D56</v>
      </c>
      <c r="E529">
        <f t="shared" ca="1" si="194"/>
        <v>0</v>
      </c>
      <c r="F529" t="str">
        <f ca="1">CONCATENATE("Enter an '9% LIHTC Basis Calculation' value for '", C529, "' in cell ", D529, ".", CHAR(10))</f>
        <v xml:space="preserve">Enter an '9% LIHTC Basis Calculation' value for 'Construction Lender Legal Fees' in cell D56.
</v>
      </c>
      <c r="G529" s="9" t="str">
        <f t="shared" ca="1" si="193"/>
        <v xml:space="preserve">The total of development budget in column B must be greater than zero.
</v>
      </c>
    </row>
    <row r="530" spans="1:7" ht="15" customHeight="1">
      <c r="A530" t="str">
        <f ca="1">IF(AND(OR(Calculations!$B$3:$B$4), E530=""), F530, "")</f>
        <v/>
      </c>
      <c r="B530" t="s">
        <v>457</v>
      </c>
      <c r="C530" t="str">
        <f ca="1">INDIRECT($F$292 &amp; ADDRESS(B527, 1,4  ))</f>
        <v>Construction Lender Legal Fees</v>
      </c>
      <c r="D530" t="str">
        <f>ADDRESS(B527, 5,4  )</f>
        <v>E56</v>
      </c>
      <c r="E530">
        <f t="shared" ca="1" si="194"/>
        <v>0</v>
      </c>
      <c r="F530" t="str">
        <f ca="1">CONCATENATE("Enter an 'Amount Last Provided to CHFA' value for '", C530, "' in cell ", D530, ".", CHAR(10))</f>
        <v xml:space="preserve">Enter an 'Amount Last Provided to CHFA' value for 'Construction Lender Legal Fees' in cell E56.
</v>
      </c>
      <c r="G530" s="9" t="str">
        <f t="shared" ca="1" si="193"/>
        <v xml:space="preserve">The total of development budget in column B must be greater than zero.
</v>
      </c>
    </row>
    <row r="531" spans="1:7" ht="15" customHeight="1">
      <c r="A531" t="str">
        <f ca="1">IF(AND(Calculations!$B$3, E531=""), F531, "")</f>
        <v/>
      </c>
      <c r="B531" t="s">
        <v>457</v>
      </c>
      <c r="C531" t="str">
        <f ca="1">INDIRECT($F$292 &amp; ADDRESS(B527, 1,4  ))</f>
        <v>Construction Lender Legal Fees</v>
      </c>
      <c r="D531" t="str">
        <f>ADDRESS(B527, 6,4  )</f>
        <v>F56</v>
      </c>
      <c r="E531">
        <f t="shared" ca="1" si="194"/>
        <v>0</v>
      </c>
      <c r="F531" t="str">
        <f ca="1">CONCATENATE("Enter a '10% Carryover Actual Incurred Costs' value for '", C531, "' in cell ", D531, ".", CHAR(10))</f>
        <v xml:space="preserve">Enter a '10% Carryover Actual Incurred Costs' value for 'Construction Lender Legal Fees' in cell F56.
</v>
      </c>
      <c r="G531" s="9" t="str">
        <f t="shared" ca="1" si="193"/>
        <v xml:space="preserve">The total of development budget in column B must be greater than zero.
</v>
      </c>
    </row>
    <row r="532" spans="1:7" ht="15" customHeight="1">
      <c r="A532" t="str">
        <f ca="1">IF(E532="", F532, "")</f>
        <v/>
      </c>
      <c r="B532" s="52">
        <f>B527+1</f>
        <v>57</v>
      </c>
      <c r="C532" t="str">
        <f ca="1">INDIRECT($F$292 &amp; ADDRESS(B532, 1,4  ))</f>
        <v>Prop. Taxes During Construction</v>
      </c>
      <c r="D532" t="str">
        <f>ADDRESS(B532, 2,4  )</f>
        <v>B57</v>
      </c>
      <c r="E532">
        <f t="shared" ca="1" si="194"/>
        <v>0</v>
      </c>
      <c r="F532" t="str">
        <f ca="1">CONCATENATE("Enter a value for '", C532, "' in cell ", D532, ".", CHAR(10))</f>
        <v xml:space="preserve">Enter a value for 'Prop. Taxes During Construction' in cell B57.
</v>
      </c>
      <c r="G532" s="9" t="str">
        <f t="shared" ca="1" si="193"/>
        <v xml:space="preserve">The total of development budget in column B must be greater than zero.
</v>
      </c>
    </row>
    <row r="533" spans="1:7" ht="15" customHeight="1">
      <c r="A533" t="str">
        <f ca="1">IF(AND(Calculations!$B$5, E533=""), F533, "")</f>
        <v/>
      </c>
      <c r="B533" t="s">
        <v>457</v>
      </c>
      <c r="C533" t="str">
        <f ca="1">INDIRECT($F$292 &amp; ADDRESS(B532, 1,4  ))</f>
        <v>Prop. Taxes During Construction</v>
      </c>
      <c r="D533" t="str">
        <f>ADDRESS(B532, 3,4  )</f>
        <v>C57</v>
      </c>
      <c r="E533">
        <f t="shared" ca="1" si="194"/>
        <v>0</v>
      </c>
      <c r="F533" t="str">
        <f ca="1">CONCATENATE("Enter an '4% LIHTC Basis Calculation' value for '", C533, "' in cell ", D533, ".", CHAR(10))</f>
        <v xml:space="preserve">Enter an '4% LIHTC Basis Calculation' value for 'Prop. Taxes During Construction' in cell C57.
</v>
      </c>
      <c r="G533" s="9" t="str">
        <f t="shared" ca="1" si="193"/>
        <v xml:space="preserve">The total of development budget in column B must be greater than zero.
</v>
      </c>
    </row>
    <row r="534" spans="1:7" ht="15" customHeight="1">
      <c r="A534" t="str">
        <f ca="1">IF(AND(Calculations!$B$6, E534=""), F534, "")</f>
        <v/>
      </c>
      <c r="B534" t="s">
        <v>457</v>
      </c>
      <c r="C534" t="str">
        <f ca="1">INDIRECT($F$292 &amp; ADDRESS(B532, 1,4  ))</f>
        <v>Prop. Taxes During Construction</v>
      </c>
      <c r="D534" t="str">
        <f>ADDRESS(B532, 4,4  )</f>
        <v>D57</v>
      </c>
      <c r="E534">
        <f t="shared" ca="1" si="194"/>
        <v>0</v>
      </c>
      <c r="F534" t="str">
        <f ca="1">CONCATENATE("Enter an '9% LIHTC Basis Calculation' value for '", C534, "' in cell ", D534, ".", CHAR(10))</f>
        <v xml:space="preserve">Enter an '9% LIHTC Basis Calculation' value for 'Prop. Taxes During Construction' in cell D57.
</v>
      </c>
      <c r="G534" s="9" t="str">
        <f t="shared" ca="1" si="193"/>
        <v xml:space="preserve">The total of development budget in column B must be greater than zero.
</v>
      </c>
    </row>
    <row r="535" spans="1:7" ht="15" customHeight="1">
      <c r="A535" t="str">
        <f ca="1">IF(AND(OR(Calculations!$B$3:$B$4), E535=""), F535, "")</f>
        <v/>
      </c>
      <c r="B535" t="s">
        <v>457</v>
      </c>
      <c r="C535" t="str">
        <f ca="1">INDIRECT($F$292 &amp; ADDRESS(B532, 1,4  ))</f>
        <v>Prop. Taxes During Construction</v>
      </c>
      <c r="D535" t="str">
        <f>ADDRESS(B532, 5,4  )</f>
        <v>E57</v>
      </c>
      <c r="E535">
        <f t="shared" ca="1" si="194"/>
        <v>0</v>
      </c>
      <c r="F535" t="str">
        <f ca="1">CONCATENATE("Enter an 'Amount Last Provided to CHFA' value for '", C535, "' in cell ", D535, ".", CHAR(10))</f>
        <v xml:space="preserve">Enter an 'Amount Last Provided to CHFA' value for 'Prop. Taxes During Construction' in cell E57.
</v>
      </c>
      <c r="G535" s="9" t="str">
        <f t="shared" ca="1" si="193"/>
        <v xml:space="preserve">The total of development budget in column B must be greater than zero.
</v>
      </c>
    </row>
    <row r="536" spans="1:7" ht="15" customHeight="1">
      <c r="A536" t="str">
        <f ca="1">IF(AND(Calculations!$B$3, E536=""), F536, "")</f>
        <v/>
      </c>
      <c r="B536" t="s">
        <v>457</v>
      </c>
      <c r="C536" t="str">
        <f ca="1">INDIRECT($F$292 &amp; ADDRESS(B532, 1,4  ))</f>
        <v>Prop. Taxes During Construction</v>
      </c>
      <c r="D536" t="str">
        <f>ADDRESS(B532, 6,4  )</f>
        <v>F57</v>
      </c>
      <c r="E536">
        <f t="shared" ref="E536:E551" ca="1" si="195">IF(ISBLANK( INDIRECT($F$292 &amp; D536)),"", INDIRECT($F$292 &amp; D536))</f>
        <v>0</v>
      </c>
      <c r="F536" t="str">
        <f ca="1">CONCATENATE("Enter a '10% Carryover Actual Incurred Costs' value for '", C536, "' in cell ", D536, ".", CHAR(10))</f>
        <v xml:space="preserve">Enter a '10% Carryover Actual Incurred Costs' value for 'Prop. Taxes During Construction' in cell F57.
</v>
      </c>
      <c r="G536" s="9" t="str">
        <f t="shared" ca="1" si="193"/>
        <v xml:space="preserve">The total of development budget in column B must be greater than zero.
</v>
      </c>
    </row>
    <row r="537" spans="1:7" ht="15" customHeight="1">
      <c r="A537" t="str">
        <f ca="1">IF(E537="", F537, "")</f>
        <v/>
      </c>
      <c r="B537" s="52">
        <f>B532+1</f>
        <v>58</v>
      </c>
      <c r="C537" t="str">
        <f ca="1">INDIRECT($F$292 &amp; ADDRESS(B537, 1,4  ))</f>
        <v>Bridge Loan</v>
      </c>
      <c r="D537" t="str">
        <f>ADDRESS(B537, 2,4  )</f>
        <v>B58</v>
      </c>
      <c r="E537">
        <f t="shared" ca="1" si="195"/>
        <v>0</v>
      </c>
      <c r="F537" t="str">
        <f ca="1">CONCATENATE("Enter a value for '", C537, "' in cell ", D537, ".", CHAR(10))</f>
        <v xml:space="preserve">Enter a value for 'Bridge Loan' in cell B58.
</v>
      </c>
      <c r="G537" s="9" t="str">
        <f t="shared" ca="1" si="193"/>
        <v xml:space="preserve">The total of development budget in column B must be greater than zero.
</v>
      </c>
    </row>
    <row r="538" spans="1:7" ht="15" customHeight="1">
      <c r="A538" t="str">
        <f ca="1">IF(AND(Calculations!$B$5, E538=""), F538, "")</f>
        <v/>
      </c>
      <c r="B538" t="s">
        <v>457</v>
      </c>
      <c r="C538" t="str">
        <f ca="1">INDIRECT($F$292 &amp; ADDRESS(B537, 1,4  ))</f>
        <v>Bridge Loan</v>
      </c>
      <c r="D538" t="str">
        <f>ADDRESS(B537, 3,4  )</f>
        <v>C58</v>
      </c>
      <c r="E538">
        <f t="shared" ca="1" si="195"/>
        <v>0</v>
      </c>
      <c r="F538" t="str">
        <f ca="1">CONCATENATE("Enter an '4% LIHTC Basis Calculation' value for '", C538, "' in cell ", D538, ".", CHAR(10))</f>
        <v xml:space="preserve">Enter an '4% LIHTC Basis Calculation' value for 'Bridge Loan' in cell C58.
</v>
      </c>
      <c r="G538" s="9" t="str">
        <f t="shared" ca="1" si="193"/>
        <v xml:space="preserve">The total of development budget in column B must be greater than zero.
</v>
      </c>
    </row>
    <row r="539" spans="1:7" ht="15" customHeight="1">
      <c r="A539" t="str">
        <f ca="1">IF(AND(Calculations!$B$6, E539=""), F539, "")</f>
        <v/>
      </c>
      <c r="B539" t="s">
        <v>457</v>
      </c>
      <c r="C539" t="str">
        <f ca="1">INDIRECT($F$292 &amp; ADDRESS(B537, 1,4  ))</f>
        <v>Bridge Loan</v>
      </c>
      <c r="D539" t="str">
        <f>ADDRESS(B537, 4,4  )</f>
        <v>D58</v>
      </c>
      <c r="E539">
        <f t="shared" ca="1" si="195"/>
        <v>0</v>
      </c>
      <c r="F539" t="str">
        <f ca="1">CONCATENATE("Enter an '9% LIHTC Basis Calculation' value for '", C539, "' in cell ", D539, ".", CHAR(10))</f>
        <v xml:space="preserve">Enter an '9% LIHTC Basis Calculation' value for 'Bridge Loan' in cell D58.
</v>
      </c>
      <c r="G539" s="9" t="str">
        <f t="shared" ca="1" si="193"/>
        <v xml:space="preserve">The total of development budget in column B must be greater than zero.
</v>
      </c>
    </row>
    <row r="540" spans="1:7" ht="15" customHeight="1">
      <c r="A540" t="str">
        <f ca="1">IF(AND(OR(Calculations!$B$3:$B$4), E540=""), F540, "")</f>
        <v/>
      </c>
      <c r="B540" t="s">
        <v>457</v>
      </c>
      <c r="C540" t="str">
        <f ca="1">INDIRECT($F$292 &amp; ADDRESS(B537, 1,4  ))</f>
        <v>Bridge Loan</v>
      </c>
      <c r="D540" t="str">
        <f>ADDRESS(B537, 5,4  )</f>
        <v>E58</v>
      </c>
      <c r="E540">
        <f t="shared" ca="1" si="195"/>
        <v>0</v>
      </c>
      <c r="F540" t="str">
        <f ca="1">CONCATENATE("Enter an 'Amount Last Provided to CHFA' value for '", C540, "' in cell ", D540, ".", CHAR(10))</f>
        <v xml:space="preserve">Enter an 'Amount Last Provided to CHFA' value for 'Bridge Loan' in cell E58.
</v>
      </c>
      <c r="G540" s="9" t="str">
        <f t="shared" ca="1" si="193"/>
        <v xml:space="preserve">The total of development budget in column B must be greater than zero.
</v>
      </c>
    </row>
    <row r="541" spans="1:7" ht="15" customHeight="1">
      <c r="A541" t="str">
        <f ca="1">IF(AND(Calculations!$B$3, E541=""), F541, "")</f>
        <v/>
      </c>
      <c r="C541" t="str">
        <f ca="1">INDIRECT($F$292 &amp; ADDRESS(B537, 1,4  ))</f>
        <v>Bridge Loan</v>
      </c>
      <c r="D541" t="str">
        <f>ADDRESS(B537, 6,4  )</f>
        <v>F58</v>
      </c>
      <c r="E541">
        <f t="shared" ca="1" si="195"/>
        <v>0</v>
      </c>
      <c r="F541" t="str">
        <f ca="1">CONCATENATE("Enter a '10% Carryover Actual Incurred Costs' value for '", C541, "' in cell ", D541, ".", CHAR(10))</f>
        <v xml:space="preserve">Enter a '10% Carryover Actual Incurred Costs' value for 'Bridge Loan' in cell F58.
</v>
      </c>
      <c r="G541" s="9" t="str">
        <f t="shared" ca="1" si="193"/>
        <v xml:space="preserve">The total of development budget in column B must be greater than zero.
</v>
      </c>
    </row>
    <row r="542" spans="1:7" ht="15" customHeight="1">
      <c r="B542" s="52">
        <f>B537+1</f>
        <v>59</v>
      </c>
      <c r="C542" t="str">
        <f ca="1">INDIRECT($F$292 &amp; ADDRESS(B542, 1,4  ))</f>
        <v>Bond Issuance Costs amortized during construction</v>
      </c>
      <c r="D542" t="str">
        <f>ADDRESS(B542, 2,4  )</f>
        <v>B59</v>
      </c>
      <c r="E542">
        <f t="shared" ref="E542" ca="1" si="196">IF(ISBLANK( INDIRECT($F$292 &amp; D542)),"", INDIRECT($F$292 &amp; D542))</f>
        <v>0</v>
      </c>
      <c r="F542" t="str">
        <f ca="1">CONCATENATE("Enter a value for '", C542, "' in cell ", D542, ".", CHAR(10))</f>
        <v xml:space="preserve">Enter a value for 'Bond Issuance Costs amortized during construction' in cell B59.
</v>
      </c>
      <c r="G542" s="9" t="str">
        <f t="shared" ref="G542" ca="1" si="197">OFFSET(G542, -1, 0) &amp; A542</f>
        <v xml:space="preserve">The total of development budget in column B must be greater than zero.
</v>
      </c>
    </row>
    <row r="543" spans="1:7" ht="15" customHeight="1">
      <c r="C543" t="str">
        <f ca="1">INDIRECT($F$292 &amp; ADDRESS(B542, 1,4  ))</f>
        <v>Bond Issuance Costs amortized during construction</v>
      </c>
      <c r="D543" t="str">
        <f>ADDRESS(B542, 3,4  )</f>
        <v>C59</v>
      </c>
      <c r="E543">
        <f t="shared" ref="E543:E546" ca="1" si="198">IF(ISBLANK( INDIRECT($F$292 &amp; D543)),"", INDIRECT($F$292 &amp; D543))</f>
        <v>0</v>
      </c>
      <c r="F543" t="str">
        <f ca="1">CONCATENATE("Enter an '4% LIHTC Basis Calculation' value for '", C543, "' in cell ", D543, ".", CHAR(10))</f>
        <v xml:space="preserve">Enter an '4% LIHTC Basis Calculation' value for 'Bond Issuance Costs amortized during construction' in cell C59.
</v>
      </c>
      <c r="G543" s="9" t="str">
        <f t="shared" ref="G543:G546" ca="1" si="199">OFFSET(G543, -1, 0) &amp; A543</f>
        <v xml:space="preserve">The total of development budget in column B must be greater than zero.
</v>
      </c>
    </row>
    <row r="544" spans="1:7" ht="15" customHeight="1">
      <c r="C544" t="str">
        <f ca="1">INDIRECT($F$292 &amp; ADDRESS(B542, 1,4  ))</f>
        <v>Bond Issuance Costs amortized during construction</v>
      </c>
      <c r="D544" t="str">
        <f>ADDRESS(B542, 4,4  )</f>
        <v>D59</v>
      </c>
      <c r="E544">
        <f t="shared" ca="1" si="198"/>
        <v>0</v>
      </c>
      <c r="F544" t="str">
        <f ca="1">CONCATENATE("Enter an '9% LIHTC Basis Calculation' value for '", C544, "' in cell ", D544, ".", CHAR(10))</f>
        <v xml:space="preserve">Enter an '9% LIHTC Basis Calculation' value for 'Bond Issuance Costs amortized during construction' in cell D59.
</v>
      </c>
      <c r="G544" s="9" t="str">
        <f t="shared" ca="1" si="199"/>
        <v xml:space="preserve">The total of development budget in column B must be greater than zero.
</v>
      </c>
    </row>
    <row r="545" spans="1:7" ht="15" customHeight="1">
      <c r="C545" t="str">
        <f ca="1">INDIRECT($F$292 &amp; ADDRESS(B542, 1,4  ))</f>
        <v>Bond Issuance Costs amortized during construction</v>
      </c>
      <c r="D545" t="str">
        <f>ADDRESS(B542, 5,4  )</f>
        <v>E59</v>
      </c>
      <c r="E545">
        <f t="shared" ca="1" si="198"/>
        <v>0</v>
      </c>
      <c r="F545" t="str">
        <f ca="1">CONCATENATE("Enter an 'Amount Last Provided to CHFA' value for '", C545, "' in cell ", D545, ".", CHAR(10))</f>
        <v xml:space="preserve">Enter an 'Amount Last Provided to CHFA' value for 'Bond Issuance Costs amortized during construction' in cell E59.
</v>
      </c>
      <c r="G545" s="9" t="str">
        <f t="shared" ca="1" si="199"/>
        <v xml:space="preserve">The total of development budget in column B must be greater than zero.
</v>
      </c>
    </row>
    <row r="546" spans="1:7" ht="15" customHeight="1">
      <c r="C546" t="str">
        <f ca="1">INDIRECT($F$292 &amp; ADDRESS(B542, 1,4  ))</f>
        <v>Bond Issuance Costs amortized during construction</v>
      </c>
      <c r="D546" t="str">
        <f>ADDRESS(B542, 6,4  )</f>
        <v>F59</v>
      </c>
      <c r="E546">
        <f t="shared" ca="1" si="198"/>
        <v>0</v>
      </c>
      <c r="F546" t="str">
        <f ca="1">CONCATENATE("Enter a '10% Carryover Actual Incurred Costs' value for '", C546, "' in cell ", D546, ".", CHAR(10))</f>
        <v xml:space="preserve">Enter a '10% Carryover Actual Incurred Costs' value for 'Bond Issuance Costs amortized during construction' in cell F59.
</v>
      </c>
      <c r="G546" s="9" t="str">
        <f t="shared" ca="1" si="199"/>
        <v xml:space="preserve">The total of development budget in column B must be greater than zero.
</v>
      </c>
    </row>
    <row r="547" spans="1:7" ht="15" customHeight="1">
      <c r="A547" t="str">
        <f ca="1">IF(E547="", F547, "")</f>
        <v/>
      </c>
      <c r="B547" s="52">
        <f>B542+1</f>
        <v>60</v>
      </c>
      <c r="C547" t="str">
        <f ca="1">INDIRECT($F$292 &amp; ADDRESS(B547, 1,4  ))</f>
        <v>Other (Specify)</v>
      </c>
      <c r="D547" t="str">
        <f>ADDRESS(B547, 2,4  )</f>
        <v>B60</v>
      </c>
      <c r="E547">
        <f t="shared" ca="1" si="195"/>
        <v>0</v>
      </c>
      <c r="F547" t="str">
        <f ca="1">CONCATENATE("Enter a value for '", C547, "' in cell ", D547, ".", CHAR(10))</f>
        <v xml:space="preserve">Enter a value for 'Other (Specify)' in cell B60.
</v>
      </c>
      <c r="G547" s="9" t="str">
        <f t="shared" ca="1" si="193"/>
        <v xml:space="preserve">The total of development budget in column B must be greater than zero.
</v>
      </c>
    </row>
    <row r="548" spans="1:7" ht="15" customHeight="1">
      <c r="A548" t="str">
        <f ca="1">IF(AND(Calculations!$B$5, E548=""), F548, "")</f>
        <v/>
      </c>
      <c r="B548" t="s">
        <v>457</v>
      </c>
      <c r="C548" t="str">
        <f ca="1">INDIRECT($F$292 &amp; ADDRESS(B547, 1,4  ))</f>
        <v>Other (Specify)</v>
      </c>
      <c r="D548" t="str">
        <f>ADDRESS(B547, 3,4  )</f>
        <v>C60</v>
      </c>
      <c r="E548">
        <f t="shared" ca="1" si="195"/>
        <v>0</v>
      </c>
      <c r="F548" t="str">
        <f ca="1">CONCATENATE("Enter an '4% LIHTC Basis Calculation' value for '", C548, "' in cell ", D548, ".", CHAR(10))</f>
        <v xml:space="preserve">Enter an '4% LIHTC Basis Calculation' value for 'Other (Specify)' in cell C60.
</v>
      </c>
      <c r="G548" s="9" t="str">
        <f t="shared" ca="1" si="193"/>
        <v xml:space="preserve">The total of development budget in column B must be greater than zero.
</v>
      </c>
    </row>
    <row r="549" spans="1:7" ht="15" customHeight="1">
      <c r="A549" t="str">
        <f ca="1">IF(AND(Calculations!$B$6, E549=""), F549, "")</f>
        <v/>
      </c>
      <c r="B549" t="s">
        <v>457</v>
      </c>
      <c r="C549" t="str">
        <f ca="1">INDIRECT($F$292 &amp; ADDRESS(B547, 1,4  ))</f>
        <v>Other (Specify)</v>
      </c>
      <c r="D549" t="str">
        <f>ADDRESS(B547, 4,4  )</f>
        <v>D60</v>
      </c>
      <c r="E549">
        <f t="shared" ca="1" si="195"/>
        <v>0</v>
      </c>
      <c r="F549" t="str">
        <f ca="1">CONCATENATE("Enter an '9% LIHTC Basis Calculation' value for '", C549, "' in cell ", D549, ".", CHAR(10))</f>
        <v xml:space="preserve">Enter an '9% LIHTC Basis Calculation' value for 'Other (Specify)' in cell D60.
</v>
      </c>
      <c r="G549" s="9" t="str">
        <f t="shared" ca="1" si="193"/>
        <v xml:space="preserve">The total of development budget in column B must be greater than zero.
</v>
      </c>
    </row>
    <row r="550" spans="1:7" ht="15" customHeight="1">
      <c r="A550" t="str">
        <f ca="1">IF(AND(OR(Calculations!$B$3:$B$4), E550=""), F550, "")</f>
        <v/>
      </c>
      <c r="B550" t="s">
        <v>457</v>
      </c>
      <c r="C550" t="str">
        <f ca="1">INDIRECT($F$292 &amp; ADDRESS(B547, 1,4  ))</f>
        <v>Other (Specify)</v>
      </c>
      <c r="D550" t="str">
        <f>ADDRESS(B547, 5,4  )</f>
        <v>E60</v>
      </c>
      <c r="E550">
        <f t="shared" ca="1" si="195"/>
        <v>0</v>
      </c>
      <c r="F550" t="str">
        <f ca="1">CONCATENATE("Enter an 'Amount Last Provided to CHFA' value for '", C550, "' in cell ", D550, ".", CHAR(10))</f>
        <v xml:space="preserve">Enter an 'Amount Last Provided to CHFA' value for 'Other (Specify)' in cell E60.
</v>
      </c>
      <c r="G550" s="9" t="str">
        <f t="shared" ca="1" si="193"/>
        <v xml:space="preserve">The total of development budget in column B must be greater than zero.
</v>
      </c>
    </row>
    <row r="551" spans="1:7" ht="15" customHeight="1">
      <c r="A551" t="str">
        <f ca="1">IF(AND(Calculations!$B$3, E551=""), F551, "")</f>
        <v/>
      </c>
      <c r="B551" t="s">
        <v>457</v>
      </c>
      <c r="C551" t="str">
        <f ca="1">INDIRECT($F$292 &amp; ADDRESS(B547, 1,4  ))</f>
        <v>Other (Specify)</v>
      </c>
      <c r="D551" t="str">
        <f>ADDRESS(B547, 6,4  )</f>
        <v>F60</v>
      </c>
      <c r="E551">
        <f t="shared" ca="1" si="195"/>
        <v>0</v>
      </c>
      <c r="F551" t="str">
        <f ca="1">CONCATENATE("Enter a '10% Carryover Actual Incurred Costs' value for '", C551, "' in cell ", D551, ".", CHAR(10))</f>
        <v xml:space="preserve">Enter a '10% Carryover Actual Incurred Costs' value for 'Other (Specify)' in cell F60.
</v>
      </c>
      <c r="G551" s="9" t="str">
        <f t="shared" ca="1" si="193"/>
        <v xml:space="preserve">The total of development budget in column B must be greater than zero.
</v>
      </c>
    </row>
    <row r="552" spans="1:7" ht="15" customHeight="1">
      <c r="A552" t="str">
        <f ca="1">IF(AND(E552, SUM(E547:E551) &gt; 0), F552, "")</f>
        <v/>
      </c>
      <c r="C552" t="str">
        <f ca="1">INDIRECT($F$292 &amp; ADDRESS(B547, 1,4  ))</f>
        <v>Other (Specify)</v>
      </c>
      <c r="D552" t="str">
        <f>ADDRESS(B547, 1,4  )</f>
        <v>A60</v>
      </c>
      <c r="E552" t="b">
        <f ca="1">INDIRECT($F$292 &amp; D552)="Other (specify)"</f>
        <v>1</v>
      </c>
      <c r="F552" t="str">
        <f ca="1">CONCATENATE("Please specify value for '", C552, "' in cell ", D552, ".", CHAR(10))</f>
        <v xml:space="preserve">Please specify value for 'Other (Specify)' in cell A60.
</v>
      </c>
      <c r="G552" s="9" t="str">
        <f t="shared" ca="1" si="193"/>
        <v xml:space="preserve">The total of development budget in column B must be greater than zero.
</v>
      </c>
    </row>
    <row r="553" spans="1:7" ht="15" customHeight="1">
      <c r="A553" t="str">
        <f ca="1">IF(E553="", F553, "")</f>
        <v/>
      </c>
      <c r="B553" s="52">
        <f>B547+1</f>
        <v>61</v>
      </c>
      <c r="C553" t="str">
        <f ca="1">INDIRECT($F$292 &amp; ADDRESS(B553, 1,4  ))</f>
        <v>Other (Specify)</v>
      </c>
      <c r="D553" t="str">
        <f>ADDRESS(B553, 2,4  )</f>
        <v>B61</v>
      </c>
      <c r="E553">
        <f ca="1">IF(ISBLANK( INDIRECT($F$292 &amp; D553)),"", INDIRECT($F$292 &amp; D553))</f>
        <v>0</v>
      </c>
      <c r="F553" t="str">
        <f ca="1">CONCATENATE("Enter a value for '", C553, "' in cell ", D553, ".", CHAR(10))</f>
        <v xml:space="preserve">Enter a value for 'Other (Specify)' in cell B61.
</v>
      </c>
      <c r="G553" s="9" t="str">
        <f t="shared" ca="1" si="193"/>
        <v xml:space="preserve">The total of development budget in column B must be greater than zero.
</v>
      </c>
    </row>
    <row r="554" spans="1:7" ht="15" customHeight="1">
      <c r="A554" t="str">
        <f ca="1">IF(AND(Calculations!$B$5, E554=""), F554, "")</f>
        <v/>
      </c>
      <c r="B554" t="s">
        <v>457</v>
      </c>
      <c r="C554" t="str">
        <f ca="1">INDIRECT($F$292 &amp; ADDRESS(B553, 1,4  ))</f>
        <v>Other (Specify)</v>
      </c>
      <c r="D554" t="str">
        <f>ADDRESS(B553, 3,4  )</f>
        <v>C61</v>
      </c>
      <c r="E554">
        <f ca="1">IF(ISBLANK( INDIRECT($F$292 &amp; D554)),"", INDIRECT($F$292 &amp; D554))</f>
        <v>0</v>
      </c>
      <c r="F554" t="str">
        <f ca="1">CONCATENATE("Enter an '4% LIHTC Basis Calculation' value for '", C554, "' in cell ", D554, ".", CHAR(10))</f>
        <v xml:space="preserve">Enter an '4% LIHTC Basis Calculation' value for 'Other (Specify)' in cell C61.
</v>
      </c>
      <c r="G554" s="9" t="str">
        <f t="shared" ref="G554:G617" ca="1" si="200">OFFSET(G554, -1, 0) &amp; A554</f>
        <v xml:space="preserve">The total of development budget in column B must be greater than zero.
</v>
      </c>
    </row>
    <row r="555" spans="1:7" ht="15" customHeight="1">
      <c r="A555" t="str">
        <f ca="1">IF(AND(Calculations!$B$6, E555=""), F555, "")</f>
        <v/>
      </c>
      <c r="B555" t="s">
        <v>457</v>
      </c>
      <c r="C555" t="str">
        <f ca="1">INDIRECT($F$292 &amp; ADDRESS(B553, 1,4  ))</f>
        <v>Other (Specify)</v>
      </c>
      <c r="D555" t="str">
        <f>ADDRESS(B553, 4,4  )</f>
        <v>D61</v>
      </c>
      <c r="E555">
        <f ca="1">IF(ISBLANK( INDIRECT($F$292 &amp; D555)),"", INDIRECT($F$292 &amp; D555))</f>
        <v>0</v>
      </c>
      <c r="F555" t="str">
        <f ca="1">CONCATENATE("Enter an '9% LIHTC Basis Calculation' value for '", C555, "' in cell ", D555, ".", CHAR(10))</f>
        <v xml:space="preserve">Enter an '9% LIHTC Basis Calculation' value for 'Other (Specify)' in cell D61.
</v>
      </c>
      <c r="G555" s="9" t="str">
        <f t="shared" ca="1" si="200"/>
        <v xml:space="preserve">The total of development budget in column B must be greater than zero.
</v>
      </c>
    </row>
    <row r="556" spans="1:7" ht="15" customHeight="1">
      <c r="A556" t="str">
        <f ca="1">IF(AND(OR(Calculations!$B$3:$B$4), E556=""), F556, "")</f>
        <v/>
      </c>
      <c r="B556" t="s">
        <v>457</v>
      </c>
      <c r="C556" t="str">
        <f ca="1">INDIRECT($F$292 &amp; ADDRESS(B553, 1,4  ))</f>
        <v>Other (Specify)</v>
      </c>
      <c r="D556" t="str">
        <f>ADDRESS(B553, 5,4  )</f>
        <v>E61</v>
      </c>
      <c r="E556">
        <f ca="1">IF(ISBLANK( INDIRECT($F$292 &amp; D556)),"", INDIRECT($F$292 &amp; D556))</f>
        <v>0</v>
      </c>
      <c r="F556" t="str">
        <f ca="1">CONCATENATE("Enter an 'Amount Last Provided to CHFA' value for '", C556, "' in cell ", D556, ".", CHAR(10))</f>
        <v xml:space="preserve">Enter an 'Amount Last Provided to CHFA' value for 'Other (Specify)' in cell E61.
</v>
      </c>
      <c r="G556" s="9" t="str">
        <f t="shared" ca="1" si="200"/>
        <v xml:space="preserve">The total of development budget in column B must be greater than zero.
</v>
      </c>
    </row>
    <row r="557" spans="1:7" ht="15" customHeight="1">
      <c r="A557" t="str">
        <f ca="1">IF(AND(Calculations!$B$3, E557=""), F557, "")</f>
        <v/>
      </c>
      <c r="B557" t="s">
        <v>457</v>
      </c>
      <c r="C557" t="str">
        <f ca="1">INDIRECT($F$292 &amp; ADDRESS(B553, 1,4  ))</f>
        <v>Other (Specify)</v>
      </c>
      <c r="D557" t="str">
        <f>ADDRESS(B553, 6,4  )</f>
        <v>F61</v>
      </c>
      <c r="E557">
        <f ca="1">IF(ISBLANK( INDIRECT($F$292 &amp; D557)),"", INDIRECT($F$292 &amp; D557))</f>
        <v>0</v>
      </c>
      <c r="F557" t="str">
        <f ca="1">CONCATENATE("Enter a '10% Carryover Actual Incurred Costs' value for '", C557, "' in cell ", D557, ".", CHAR(10))</f>
        <v xml:space="preserve">Enter a '10% Carryover Actual Incurred Costs' value for 'Other (Specify)' in cell F61.
</v>
      </c>
      <c r="G557" s="9" t="str">
        <f t="shared" ca="1" si="200"/>
        <v xml:space="preserve">The total of development budget in column B must be greater than zero.
</v>
      </c>
    </row>
    <row r="558" spans="1:7" ht="15" customHeight="1">
      <c r="A558" t="str">
        <f ca="1">IF(AND(E558, SUM(E553:E557) &gt; 0), F558, "")</f>
        <v/>
      </c>
      <c r="C558" t="str">
        <f ca="1">INDIRECT($F$292 &amp; ADDRESS(B553, 1,4  ))</f>
        <v>Other (Specify)</v>
      </c>
      <c r="D558" t="str">
        <f>ADDRESS(B553, 1,4  )</f>
        <v>A61</v>
      </c>
      <c r="E558" t="b">
        <f ca="1">INDIRECT($F$292 &amp; D558)="Other (specify)"</f>
        <v>1</v>
      </c>
      <c r="F558" t="str">
        <f ca="1">CONCATENATE("Please specify value for '", C558, "' in cell ", D558, ".", CHAR(10))</f>
        <v xml:space="preserve">Please specify value for 'Other (Specify)' in cell A61.
</v>
      </c>
      <c r="G558" s="9" t="str">
        <f t="shared" ca="1" si="200"/>
        <v xml:space="preserve">The total of development budget in column B must be greater than zero.
</v>
      </c>
    </row>
    <row r="559" spans="1:7" ht="15" customHeight="1">
      <c r="A559" t="str">
        <f ca="1">IF(E559="", F559, "")</f>
        <v/>
      </c>
      <c r="B559" s="52">
        <f>B553+1</f>
        <v>62</v>
      </c>
      <c r="C559" t="str">
        <f ca="1">INDIRECT($F$292 &amp; ADDRESS(B559, 1,4  ))</f>
        <v>Other (Specify)</v>
      </c>
      <c r="D559" t="str">
        <f>ADDRESS(B559, 2,4  )</f>
        <v>B62</v>
      </c>
      <c r="E559">
        <f ca="1">IF(ISBLANK( INDIRECT($F$292 &amp; D559)),"", INDIRECT($F$292 &amp; D559))</f>
        <v>0</v>
      </c>
      <c r="F559" t="str">
        <f ca="1">CONCATENATE("Enter a value for '", C559, "' in cell ", D559, ".", CHAR(10))</f>
        <v xml:space="preserve">Enter a value for 'Other (Specify)' in cell B62.
</v>
      </c>
      <c r="G559" s="9" t="str">
        <f t="shared" ca="1" si="200"/>
        <v xml:space="preserve">The total of development budget in column B must be greater than zero.
</v>
      </c>
    </row>
    <row r="560" spans="1:7" ht="15" customHeight="1">
      <c r="A560" t="str">
        <f ca="1">IF(AND(Calculations!$B$5, E560=""), F560, "")</f>
        <v/>
      </c>
      <c r="B560" t="s">
        <v>457</v>
      </c>
      <c r="C560" t="str">
        <f ca="1">INDIRECT($F$292 &amp; ADDRESS(B559, 1,4  ))</f>
        <v>Other (Specify)</v>
      </c>
      <c r="D560" t="str">
        <f>ADDRESS(B559, 3,4  )</f>
        <v>C62</v>
      </c>
      <c r="E560">
        <f ca="1">IF(ISBLANK( INDIRECT($F$292 &amp; D560)),"", INDIRECT($F$292 &amp; D560))</f>
        <v>0</v>
      </c>
      <c r="F560" t="str">
        <f ca="1">CONCATENATE("Enter an '4% LIHTC Basis Calculation' value for '", C560, "' in cell ", D560, ".", CHAR(10))</f>
        <v xml:space="preserve">Enter an '4% LIHTC Basis Calculation' value for 'Other (Specify)' in cell C62.
</v>
      </c>
      <c r="G560" s="9" t="str">
        <f t="shared" ca="1" si="200"/>
        <v xml:space="preserve">The total of development budget in column B must be greater than zero.
</v>
      </c>
    </row>
    <row r="561" spans="1:7" ht="15" customHeight="1">
      <c r="A561" t="str">
        <f ca="1">IF(AND(Calculations!$B$6, E561=""), F561, "")</f>
        <v/>
      </c>
      <c r="B561" t="s">
        <v>457</v>
      </c>
      <c r="C561" t="str">
        <f ca="1">INDIRECT($F$292 &amp; ADDRESS(B559, 1,4  ))</f>
        <v>Other (Specify)</v>
      </c>
      <c r="D561" t="str">
        <f>ADDRESS(B559, 4,4  )</f>
        <v>D62</v>
      </c>
      <c r="E561">
        <f ca="1">IF(ISBLANK( INDIRECT($F$292 &amp; D561)),"", INDIRECT($F$292 &amp; D561))</f>
        <v>0</v>
      </c>
      <c r="F561" t="str">
        <f ca="1">CONCATENATE("Enter an '9% LIHTC Basis Calculation' value for '", C561, "' in cell ", D561, ".", CHAR(10))</f>
        <v xml:space="preserve">Enter an '9% LIHTC Basis Calculation' value for 'Other (Specify)' in cell D62.
</v>
      </c>
      <c r="G561" s="9" t="str">
        <f t="shared" ca="1" si="200"/>
        <v xml:space="preserve">The total of development budget in column B must be greater than zero.
</v>
      </c>
    </row>
    <row r="562" spans="1:7" ht="15" customHeight="1">
      <c r="A562" t="str">
        <f ca="1">IF(AND(OR(Calculations!$B$3:$B$4), E562=""), F562, "")</f>
        <v/>
      </c>
      <c r="B562" t="s">
        <v>457</v>
      </c>
      <c r="C562" t="str">
        <f ca="1">INDIRECT($F$292 &amp; ADDRESS(B559, 1,4  ))</f>
        <v>Other (Specify)</v>
      </c>
      <c r="D562" t="str">
        <f>ADDRESS(B559, 5,4  )</f>
        <v>E62</v>
      </c>
      <c r="E562">
        <f ca="1">IF(ISBLANK( INDIRECT($F$292 &amp; D562)),"", INDIRECT($F$292 &amp; D562))</f>
        <v>0</v>
      </c>
      <c r="F562" t="str">
        <f ca="1">CONCATENATE("Enter an 'Amount Last Provided to CHFA' value for '", C562, "' in cell ", D562, ".", CHAR(10))</f>
        <v xml:space="preserve">Enter an 'Amount Last Provided to CHFA' value for 'Other (Specify)' in cell E62.
</v>
      </c>
      <c r="G562" s="9" t="str">
        <f t="shared" ca="1" si="200"/>
        <v xml:space="preserve">The total of development budget in column B must be greater than zero.
</v>
      </c>
    </row>
    <row r="563" spans="1:7" ht="15" customHeight="1">
      <c r="A563" t="str">
        <f ca="1">IF(AND(Calculations!$B$3, E563=""), F563, "")</f>
        <v/>
      </c>
      <c r="B563" t="s">
        <v>457</v>
      </c>
      <c r="C563" t="str">
        <f ca="1">INDIRECT($F$292 &amp; ADDRESS(B559, 1,4  ))</f>
        <v>Other (Specify)</v>
      </c>
      <c r="D563" t="str">
        <f>ADDRESS(B559, 6,4  )</f>
        <v>F62</v>
      </c>
      <c r="E563">
        <f ca="1">IF(ISBLANK( INDIRECT($F$292 &amp; D563)),"", INDIRECT($F$292 &amp; D563))</f>
        <v>0</v>
      </c>
      <c r="F563" t="str">
        <f ca="1">CONCATENATE("Enter a '10% Carryover Actual Incurred Costs' value for '", C563, "' in cell ", D563, ".", CHAR(10))</f>
        <v xml:space="preserve">Enter a '10% Carryover Actual Incurred Costs' value for 'Other (Specify)' in cell F62.
</v>
      </c>
      <c r="G563" s="9" t="str">
        <f t="shared" ca="1" si="200"/>
        <v xml:space="preserve">The total of development budget in column B must be greater than zero.
</v>
      </c>
    </row>
    <row r="564" spans="1:7" ht="15" customHeight="1">
      <c r="A564" t="str">
        <f ca="1">IF(AND(E564, SUM(E559:E563) &gt; 0), F564, "")</f>
        <v/>
      </c>
      <c r="C564" t="str">
        <f ca="1">INDIRECT($F$292 &amp; ADDRESS(B559, 1,4  ))</f>
        <v>Other (Specify)</v>
      </c>
      <c r="D564" t="str">
        <f>ADDRESS(B559, 1,4  )</f>
        <v>A62</v>
      </c>
      <c r="E564" t="b">
        <f ca="1">INDIRECT($F$292 &amp; D564)="Other (specify)"</f>
        <v>1</v>
      </c>
      <c r="F564" t="str">
        <f ca="1">CONCATENATE("Please specify value for '", C564, "' in cell ", D564, ".", CHAR(10))</f>
        <v xml:space="preserve">Please specify value for 'Other (Specify)' in cell A62.
</v>
      </c>
      <c r="G564" s="9" t="str">
        <f t="shared" ca="1" si="200"/>
        <v xml:space="preserve">The total of development budget in column B must be greater than zero.
</v>
      </c>
    </row>
    <row r="565" spans="1:7" ht="15" customHeight="1">
      <c r="A565" t="str">
        <f ca="1">IF(E565="", F565, "")</f>
        <v/>
      </c>
      <c r="B565">
        <f>ROW('Development Budget'!A65)</f>
        <v>65</v>
      </c>
      <c r="C565" t="str">
        <f ca="1">INDIRECT($F$292 &amp; ADDRESS(B565, 1,4  ))</f>
        <v>Bond Premium</v>
      </c>
      <c r="D565" t="str">
        <f>ADDRESS(B565, 2,4  )</f>
        <v>B65</v>
      </c>
      <c r="E565">
        <f t="shared" ref="E565:E589" ca="1" si="201">IF(ISBLANK( INDIRECT($F$292 &amp; D565)),"", INDIRECT($F$292 &amp; D565))</f>
        <v>0</v>
      </c>
      <c r="F565" t="str">
        <f ca="1">CONCATENATE("Enter a value for '", C565, "' in cell ", D565, ".", CHAR(10))</f>
        <v xml:space="preserve">Enter a value for 'Bond Premium' in cell B65.
</v>
      </c>
      <c r="G565" s="9" t="str">
        <f t="shared" ca="1" si="200"/>
        <v xml:space="preserve">The total of development budget in column B must be greater than zero.
</v>
      </c>
    </row>
    <row r="566" spans="1:7" ht="15" customHeight="1">
      <c r="A566" t="str">
        <f ca="1">IF(AND(OR(Calculations!$B$3:$B$4), E566=""), F566, "")</f>
        <v/>
      </c>
      <c r="B566" t="s">
        <v>457</v>
      </c>
      <c r="C566" t="str">
        <f ca="1">INDIRECT($F$292 &amp; ADDRESS(B565, 1,4  ))</f>
        <v>Bond Premium</v>
      </c>
      <c r="D566" t="str">
        <f>ADDRESS(B565, 5,4  )</f>
        <v>E65</v>
      </c>
      <c r="E566">
        <f t="shared" ca="1" si="201"/>
        <v>0</v>
      </c>
      <c r="F566" t="str">
        <f ca="1">CONCATENATE("Enter an 'Amount Last Provided to CHFA' value for '", C566, "' in cell ", D566, ".", CHAR(10))</f>
        <v xml:space="preserve">Enter an 'Amount Last Provided to CHFA' value for 'Bond Premium' in cell E65.
</v>
      </c>
      <c r="G566" s="9" t="str">
        <f t="shared" ca="1" si="200"/>
        <v xml:space="preserve">The total of development budget in column B must be greater than zero.
</v>
      </c>
    </row>
    <row r="567" spans="1:7" ht="15" customHeight="1">
      <c r="A567" t="str">
        <f ca="1">IF(E567="", F567, "")</f>
        <v/>
      </c>
      <c r="B567" s="52">
        <f>B565+1</f>
        <v>66</v>
      </c>
      <c r="C567" t="str">
        <f ca="1">INDIRECT($F$292 &amp; ADDRESS(B567, 1,4  ))</f>
        <v>Bond Issue 30-day lag reserve</v>
      </c>
      <c r="D567" t="str">
        <f>ADDRESS(B567, 2,4  )</f>
        <v>B66</v>
      </c>
      <c r="E567">
        <f t="shared" ca="1" si="201"/>
        <v>0</v>
      </c>
      <c r="F567" t="str">
        <f ca="1">CONCATENATE("Enter a value for '", C567, "' in cell ", D567, ".", CHAR(10))</f>
        <v xml:space="preserve">Enter a value for 'Bond Issue 30-day lag reserve' in cell B66.
</v>
      </c>
      <c r="G567" s="9" t="str">
        <f t="shared" ca="1" si="200"/>
        <v xml:space="preserve">The total of development budget in column B must be greater than zero.
</v>
      </c>
    </row>
    <row r="568" spans="1:7" ht="15" customHeight="1">
      <c r="A568" t="str">
        <f ca="1">IF(AND(OR(Calculations!$B$3:$B$4), E568=""), F568, "")</f>
        <v/>
      </c>
      <c r="B568" t="s">
        <v>457</v>
      </c>
      <c r="C568" t="str">
        <f ca="1">INDIRECT($F$292 &amp; ADDRESS(B567, 1,4  ))</f>
        <v>Bond Issue 30-day lag reserve</v>
      </c>
      <c r="D568" t="str">
        <f>ADDRESS(B567, 5,4  )</f>
        <v>E66</v>
      </c>
      <c r="E568">
        <f t="shared" ca="1" si="201"/>
        <v>0</v>
      </c>
      <c r="F568" t="str">
        <f ca="1">CONCATENATE("Enter an 'Amount Last Provided to CHFA' value for '", C568, "' in cell ", D568, ".", CHAR(10))</f>
        <v xml:space="preserve">Enter an 'Amount Last Provided to CHFA' value for 'Bond Issue 30-day lag reserve' in cell E66.
</v>
      </c>
      <c r="G568" s="9" t="str">
        <f t="shared" ca="1" si="200"/>
        <v xml:space="preserve">The total of development budget in column B must be greater than zero.
</v>
      </c>
    </row>
    <row r="569" spans="1:7" ht="15" customHeight="1">
      <c r="A569" t="str">
        <f ca="1">IF(E569="", F569, "")</f>
        <v/>
      </c>
      <c r="B569" s="52">
        <f>B567+1</f>
        <v>67</v>
      </c>
      <c r="C569" t="str">
        <f ca="1">INDIRECT($F$292 &amp; ADDRESS(B569, 1,4  ))</f>
        <v>Bond Cost of Issuance</v>
      </c>
      <c r="D569" t="str">
        <f>ADDRESS(B569, 2,4  )</f>
        <v>B67</v>
      </c>
      <c r="E569">
        <f t="shared" ca="1" si="201"/>
        <v>0</v>
      </c>
      <c r="F569" t="str">
        <f ca="1">CONCATENATE("Enter a value for '", C569, "' in cell ", D569, ".", CHAR(10))</f>
        <v xml:space="preserve">Enter a value for 'Bond Cost of Issuance' in cell B67.
</v>
      </c>
      <c r="G569" s="9" t="str">
        <f t="shared" ca="1" si="200"/>
        <v xml:space="preserve">The total of development budget in column B must be greater than zero.
</v>
      </c>
    </row>
    <row r="570" spans="1:7" ht="15" customHeight="1">
      <c r="A570" t="str">
        <f ca="1">IF(AND(OR(Calculations!$B$3:$B$4), E570=""), F570, "")</f>
        <v/>
      </c>
      <c r="B570" t="s">
        <v>457</v>
      </c>
      <c r="C570" t="str">
        <f ca="1">INDIRECT($F$292 &amp; ADDRESS(B569, 1,4  ))</f>
        <v>Bond Cost of Issuance</v>
      </c>
      <c r="D570" t="str">
        <f>ADDRESS(B569, 5,4  )</f>
        <v>E67</v>
      </c>
      <c r="E570">
        <f t="shared" ca="1" si="201"/>
        <v>0</v>
      </c>
      <c r="F570" t="str">
        <f ca="1">CONCATENATE("Enter an 'Amount Last Provided to CHFA' value for '", C570, "' in cell ", D570, ".", CHAR(10))</f>
        <v xml:space="preserve">Enter an 'Amount Last Provided to CHFA' value for 'Bond Cost of Issuance' in cell E67.
</v>
      </c>
      <c r="G570" s="9" t="str">
        <f t="shared" ca="1" si="200"/>
        <v xml:space="preserve">The total of development budget in column B must be greater than zero.
</v>
      </c>
    </row>
    <row r="571" spans="1:7" ht="15" customHeight="1">
      <c r="A571" t="str">
        <f ca="1">IF(E571="", F571, "")</f>
        <v/>
      </c>
      <c r="B571" s="52">
        <f>B569+1</f>
        <v>68</v>
      </c>
      <c r="C571" t="str">
        <f ca="1">INDIRECT($F$292 &amp; ADDRESS(B571, 1,4  ))</f>
        <v>Discount Points</v>
      </c>
      <c r="D571" t="str">
        <f>ADDRESS(B571, 2,4  )</f>
        <v>B68</v>
      </c>
      <c r="E571">
        <f t="shared" ca="1" si="201"/>
        <v>0</v>
      </c>
      <c r="F571" t="str">
        <f ca="1">CONCATENATE("Enter a value for '", C571, "' in cell ", D571, ".", CHAR(10))</f>
        <v xml:space="preserve">Enter a value for 'Discount Points' in cell B68.
</v>
      </c>
      <c r="G571" s="9" t="str">
        <f t="shared" ca="1" si="200"/>
        <v xml:space="preserve">The total of development budget in column B must be greater than zero.
</v>
      </c>
    </row>
    <row r="572" spans="1:7" ht="15" customHeight="1">
      <c r="A572" t="str">
        <f ca="1">IF(AND(OR(Calculations!$B$3:$B$4), E572=""), F572, "")</f>
        <v/>
      </c>
      <c r="B572" t="s">
        <v>457</v>
      </c>
      <c r="C572" t="str">
        <f ca="1">INDIRECT($F$292 &amp; ADDRESS(B571, 1,4  ))</f>
        <v>Discount Points</v>
      </c>
      <c r="D572" t="str">
        <f>ADDRESS(B571, 5,4  )</f>
        <v>E68</v>
      </c>
      <c r="E572">
        <f t="shared" ca="1" si="201"/>
        <v>0</v>
      </c>
      <c r="F572" t="str">
        <f ca="1">CONCATENATE("Enter an 'Amount Last Provided to CHFA' value for '", C572, "' in cell ", D572, ".", CHAR(10))</f>
        <v xml:space="preserve">Enter an 'Amount Last Provided to CHFA' value for 'Discount Points' in cell E68.
</v>
      </c>
      <c r="G572" s="9" t="str">
        <f t="shared" ca="1" si="200"/>
        <v xml:space="preserve">The total of development budget in column B must be greater than zero.
</v>
      </c>
    </row>
    <row r="573" spans="1:7" ht="15" customHeight="1">
      <c r="A573" t="str">
        <f ca="1">IF(AND(Calculations!$B$3, E573=""), F573, "")</f>
        <v/>
      </c>
      <c r="B573" t="s">
        <v>457</v>
      </c>
      <c r="C573" t="str">
        <f ca="1">INDIRECT($F$292 &amp; ADDRESS(B571, 1,4  ))</f>
        <v>Discount Points</v>
      </c>
      <c r="D573" t="str">
        <f>ADDRESS(B571, 6,4  )</f>
        <v>F68</v>
      </c>
      <c r="E573" t="str">
        <f t="shared" ca="1" si="201"/>
        <v/>
      </c>
      <c r="F573" t="str">
        <f ca="1">CONCATENATE("Enter a '10% Carryover Actual Incurred Costs' value for '", C573, "' in cell ", D573, ".", CHAR(10))</f>
        <v xml:space="preserve">Enter a '10% Carryover Actual Incurred Costs' value for 'Discount Points' in cell F68.
</v>
      </c>
      <c r="G573" s="9" t="str">
        <f t="shared" ca="1" si="200"/>
        <v xml:space="preserve">The total of development budget in column B must be greater than zero.
</v>
      </c>
    </row>
    <row r="574" spans="1:7" ht="15" customHeight="1">
      <c r="A574" t="str">
        <f ca="1">IF(E574="", F574, "")</f>
        <v/>
      </c>
      <c r="B574" s="52">
        <f>B571+1</f>
        <v>69</v>
      </c>
      <c r="C574" t="str">
        <f ca="1">INDIRECT($F$292 &amp; ADDRESS(B574, 1,4  ))</f>
        <v>Perm Loan Origination</v>
      </c>
      <c r="D574" t="str">
        <f>ADDRESS(B574, 2,4  )</f>
        <v>B69</v>
      </c>
      <c r="E574">
        <f t="shared" ca="1" si="201"/>
        <v>0</v>
      </c>
      <c r="F574" t="str">
        <f ca="1">CONCATENATE("Enter a value for '", C574, "' in cell ", D574, ".", CHAR(10))</f>
        <v xml:space="preserve">Enter a value for 'Perm Loan Origination' in cell B69.
</v>
      </c>
      <c r="G574" s="9" t="str">
        <f t="shared" ca="1" si="200"/>
        <v xml:space="preserve">The total of development budget in column B must be greater than zero.
</v>
      </c>
    </row>
    <row r="575" spans="1:7" ht="15" customHeight="1">
      <c r="A575" t="str">
        <f ca="1">IF(AND(Calculations!$B$5, E575=""), F575, "")</f>
        <v/>
      </c>
      <c r="B575" t="s">
        <v>457</v>
      </c>
      <c r="C575" t="str">
        <f ca="1">INDIRECT($F$292 &amp; ADDRESS(B574, 1,4  ))</f>
        <v>Perm Loan Origination</v>
      </c>
      <c r="D575" t="str">
        <f>ADDRESS(B574, 5,4  )</f>
        <v>E69</v>
      </c>
      <c r="E575">
        <f t="shared" ca="1" si="201"/>
        <v>0</v>
      </c>
      <c r="F575" t="str">
        <f ca="1">CONCATENATE("Enter an '4% LIHTC Basis Calculation' value for '", C575, "' in cell ", D575, ".", CHAR(10))</f>
        <v xml:space="preserve">Enter an '4% LIHTC Basis Calculation' value for 'Perm Loan Origination' in cell E69.
</v>
      </c>
      <c r="G575" s="9" t="str">
        <f t="shared" ca="1" si="200"/>
        <v xml:space="preserve">The total of development budget in column B must be greater than zero.
</v>
      </c>
    </row>
    <row r="576" spans="1:7" ht="15" customHeight="1">
      <c r="A576" t="str">
        <f ca="1">IF(E576="", F576, "")</f>
        <v/>
      </c>
      <c r="B576" s="52">
        <f>B574+1</f>
        <v>70</v>
      </c>
      <c r="C576" t="str">
        <f ca="1">INDIRECT($F$292 &amp; ADDRESS(B576, 1,4  ))</f>
        <v>Credit Enhancement</v>
      </c>
      <c r="D576" t="str">
        <f>ADDRESS(B576, 2,4  )</f>
        <v>B70</v>
      </c>
      <c r="E576">
        <f t="shared" ca="1" si="201"/>
        <v>0</v>
      </c>
      <c r="F576" t="str">
        <f ca="1">CONCATENATE("Enter a value for '", C576, "' in cell ", D576, ".", CHAR(10))</f>
        <v xml:space="preserve">Enter a value for 'Credit Enhancement' in cell B70.
</v>
      </c>
      <c r="G576" s="9" t="str">
        <f t="shared" ca="1" si="200"/>
        <v xml:space="preserve">The total of development budget in column B must be greater than zero.
</v>
      </c>
    </row>
    <row r="577" spans="1:7" ht="15" customHeight="1">
      <c r="A577" t="str">
        <f ca="1">IF(AND(OR(Calculations!$B$3:$B$4), E577=""), F577, "")</f>
        <v/>
      </c>
      <c r="B577" t="s">
        <v>457</v>
      </c>
      <c r="C577" t="str">
        <f ca="1">INDIRECT($F$292 &amp; ADDRESS(B576, 1,4  ))</f>
        <v>Credit Enhancement</v>
      </c>
      <c r="D577" t="str">
        <f>ADDRESS(B576, 5,4  )</f>
        <v>E70</v>
      </c>
      <c r="E577">
        <f t="shared" ca="1" si="201"/>
        <v>0</v>
      </c>
      <c r="F577" t="str">
        <f ca="1">CONCATENATE("Enter an 'Amount Last Provided to CHFA' value for '", C577, "' in cell ", D577, ".", CHAR(10))</f>
        <v xml:space="preserve">Enter an 'Amount Last Provided to CHFA' value for 'Credit Enhancement' in cell E70.
</v>
      </c>
      <c r="G577" s="9" t="str">
        <f t="shared" ca="1" si="200"/>
        <v xml:space="preserve">The total of development budget in column B must be greater than zero.
</v>
      </c>
    </row>
    <row r="578" spans="1:7" ht="15" customHeight="1">
      <c r="A578" t="str">
        <f ca="1">IF(E578="", F578, "")</f>
        <v/>
      </c>
      <c r="B578" s="52">
        <f>B576+1</f>
        <v>71</v>
      </c>
      <c r="C578" t="str">
        <f ca="1">INDIRECT($F$292 &amp; ADDRESS(B578, 1,4  ))</f>
        <v>Title &amp; Recording</v>
      </c>
      <c r="D578" t="str">
        <f>ADDRESS(B578, 2,4  )</f>
        <v>B71</v>
      </c>
      <c r="E578">
        <f t="shared" ca="1" si="201"/>
        <v>0</v>
      </c>
      <c r="F578" t="str">
        <f ca="1">CONCATENATE("Enter a value for '", C578, "' in cell ", D578, ".", CHAR(10))</f>
        <v xml:space="preserve">Enter a value for 'Title &amp; Recording' in cell B71.
</v>
      </c>
      <c r="G578" s="9" t="str">
        <f t="shared" ca="1" si="200"/>
        <v xml:space="preserve">The total of development budget in column B must be greater than zero.
</v>
      </c>
    </row>
    <row r="579" spans="1:7" ht="15" customHeight="1">
      <c r="A579" t="str">
        <f ca="1">IF(AND(OR(Calculations!$B$3:$B$4), E579=""), F579, "")</f>
        <v/>
      </c>
      <c r="B579" t="s">
        <v>457</v>
      </c>
      <c r="C579" t="str">
        <f ca="1">INDIRECT($F$292 &amp; ADDRESS(B578, 1,4  ))</f>
        <v>Title &amp; Recording</v>
      </c>
      <c r="D579" t="str">
        <f>ADDRESS(B578, 5,4  )</f>
        <v>E71</v>
      </c>
      <c r="E579">
        <f t="shared" ca="1" si="201"/>
        <v>0</v>
      </c>
      <c r="F579" t="str">
        <f ca="1">CONCATENATE("Enter an 'Amount Last Provided to CHFA' value for '", C579, "' in cell ", D579, ".", CHAR(10))</f>
        <v xml:space="preserve">Enter an 'Amount Last Provided to CHFA' value for 'Title &amp; Recording' in cell E71.
</v>
      </c>
      <c r="G579" s="9" t="str">
        <f t="shared" ca="1" si="200"/>
        <v xml:space="preserve">The total of development budget in column B must be greater than zero.
</v>
      </c>
    </row>
    <row r="580" spans="1:7" ht="15" customHeight="1">
      <c r="A580" t="str">
        <f ca="1">IF(E580="", F580, "")</f>
        <v/>
      </c>
      <c r="B580" s="52">
        <f>B578+1</f>
        <v>72</v>
      </c>
      <c r="C580" t="str">
        <f ca="1">INDIRECT($F$292 &amp; ADDRESS(B580, 1,4  ))</f>
        <v>Legal Fees</v>
      </c>
      <c r="D580" t="str">
        <f>ADDRESS(B580, 2,4  )</f>
        <v>B72</v>
      </c>
      <c r="E580">
        <f t="shared" ca="1" si="201"/>
        <v>0</v>
      </c>
      <c r="F580" t="str">
        <f ca="1">CONCATENATE("Enter a value for '", C580, "' in cell ", D580, ".", CHAR(10))</f>
        <v xml:space="preserve">Enter a value for 'Legal Fees' in cell B72.
</v>
      </c>
      <c r="G580" s="9" t="str">
        <f t="shared" ca="1" si="200"/>
        <v xml:space="preserve">The total of development budget in column B must be greater than zero.
</v>
      </c>
    </row>
    <row r="581" spans="1:7" ht="15" customHeight="1">
      <c r="A581" t="str">
        <f ca="1">IF(AND(OR(Calculations!$B$3:$B$4), E581=""), F581, "")</f>
        <v/>
      </c>
      <c r="B581" t="s">
        <v>457</v>
      </c>
      <c r="C581" t="str">
        <f ca="1">INDIRECT($F$292 &amp; ADDRESS(B580, 1,4  ))</f>
        <v>Legal Fees</v>
      </c>
      <c r="D581" t="str">
        <f>ADDRESS(B580, 5,4  )</f>
        <v>E72</v>
      </c>
      <c r="E581">
        <f t="shared" ca="1" si="201"/>
        <v>0</v>
      </c>
      <c r="F581" t="str">
        <f ca="1">CONCATENATE("Enter an 'Amount Last Provided to CHFA' value for '", C581, "' in cell ", D581, ".", CHAR(10))</f>
        <v xml:space="preserve">Enter an 'Amount Last Provided to CHFA' value for 'Legal Fees' in cell E72.
</v>
      </c>
      <c r="G581" s="9" t="str">
        <f t="shared" ca="1" si="200"/>
        <v xml:space="preserve">The total of development budget in column B must be greater than zero.
</v>
      </c>
    </row>
    <row r="582" spans="1:7" ht="15" customHeight="1">
      <c r="A582" t="str">
        <f ca="1">IF(E582="", F582, "")</f>
        <v/>
      </c>
      <c r="B582" s="52">
        <f>B580+1</f>
        <v>73</v>
      </c>
      <c r="C582" t="str">
        <f ca="1">INDIRECT($F$292 &amp; ADDRESS(B582, 1,4  ))</f>
        <v>Prepaid MIP</v>
      </c>
      <c r="D582" t="str">
        <f>ADDRESS(B582, 2,4  )</f>
        <v>B73</v>
      </c>
      <c r="E582">
        <f t="shared" ca="1" si="201"/>
        <v>0</v>
      </c>
      <c r="F582" t="str">
        <f ca="1">CONCATENATE("Enter a value for '", C582, "' in cell ", D582, ".", CHAR(10))</f>
        <v xml:space="preserve">Enter a value for 'Prepaid MIP' in cell B73.
</v>
      </c>
      <c r="G582" s="9" t="str">
        <f t="shared" ca="1" si="200"/>
        <v xml:space="preserve">The total of development budget in column B must be greater than zero.
</v>
      </c>
    </row>
    <row r="583" spans="1:7" ht="15" customHeight="1">
      <c r="A583" t="str">
        <f ca="1">IF(AND(OR(Calculations!$B$3:$B$4), E583=""), F583, "")</f>
        <v/>
      </c>
      <c r="B583" t="s">
        <v>457</v>
      </c>
      <c r="C583" t="str">
        <f ca="1">INDIRECT($F$292 &amp; ADDRESS(B582, 1,4  ))</f>
        <v>Prepaid MIP</v>
      </c>
      <c r="D583" t="str">
        <f>ADDRESS(B582, 5,4  )</f>
        <v>E73</v>
      </c>
      <c r="E583">
        <f t="shared" ca="1" si="201"/>
        <v>0</v>
      </c>
      <c r="F583" t="str">
        <f ca="1">CONCATENATE("Enter an 'Amount Last Provided to CHFA' value for '", C583, "' in cell ", D583, ".", CHAR(10))</f>
        <v xml:space="preserve">Enter an 'Amount Last Provided to CHFA' value for 'Prepaid MIP' in cell E73.
</v>
      </c>
      <c r="G583" s="9" t="str">
        <f t="shared" ca="1" si="200"/>
        <v xml:space="preserve">The total of development budget in column B must be greater than zero.
</v>
      </c>
    </row>
    <row r="584" spans="1:7" ht="15" customHeight="1">
      <c r="A584" t="str">
        <f ca="1">IF(E584="", F584, "")</f>
        <v/>
      </c>
      <c r="B584" s="52">
        <f>B582+1</f>
        <v>74</v>
      </c>
      <c r="C584" t="str">
        <f ca="1">INDIRECT($F$292 &amp; ADDRESS(B584, 1,4  ))</f>
        <v>Forward Rate Lock</v>
      </c>
      <c r="D584" t="str">
        <f>ADDRESS(B584, 2,4  )</f>
        <v>B74</v>
      </c>
      <c r="E584">
        <f t="shared" ca="1" si="201"/>
        <v>0</v>
      </c>
      <c r="F584" t="str">
        <f ca="1">CONCATENATE("Enter a value for '", C584, "' in cell ", D584, ".", CHAR(10))</f>
        <v xml:space="preserve">Enter a value for 'Forward Rate Lock' in cell B74.
</v>
      </c>
      <c r="G584" s="9" t="str">
        <f t="shared" ca="1" si="200"/>
        <v xml:space="preserve">The total of development budget in column B must be greater than zero.
</v>
      </c>
    </row>
    <row r="585" spans="1:7" ht="15" customHeight="1">
      <c r="A585" t="str">
        <f ca="1">IF(AND(OR(Calculations!$B$3:$B$4), E585=""), F585, "")</f>
        <v/>
      </c>
      <c r="B585" t="s">
        <v>457</v>
      </c>
      <c r="C585" t="str">
        <f ca="1">INDIRECT($F$292 &amp; ADDRESS(B584, 1,4  ))</f>
        <v>Forward Rate Lock</v>
      </c>
      <c r="D585" t="str">
        <f>ADDRESS(B584, 5,4  )</f>
        <v>E74</v>
      </c>
      <c r="E585">
        <f t="shared" ca="1" si="201"/>
        <v>0</v>
      </c>
      <c r="F585" t="str">
        <f ca="1">CONCATENATE("Enter an 'Amount Last Provided to CHFA' value for '", C585, "' in cell ", D585, ".", CHAR(10))</f>
        <v xml:space="preserve">Enter an 'Amount Last Provided to CHFA' value for 'Forward Rate Lock' in cell E74.
</v>
      </c>
      <c r="G585" s="9" t="str">
        <f t="shared" ca="1" si="200"/>
        <v xml:space="preserve">The total of development budget in column B must be greater than zero.
</v>
      </c>
    </row>
    <row r="586" spans="1:7" ht="15" customHeight="1">
      <c r="A586" t="str">
        <f ca="1">IF(E586="", F586, "")</f>
        <v/>
      </c>
      <c r="B586" s="52">
        <f>B584+1</f>
        <v>75</v>
      </c>
      <c r="C586" t="str">
        <f ca="1">INDIRECT($F$292 &amp; ADDRESS(B586, 1,4  ))</f>
        <v>Conversion Fee</v>
      </c>
      <c r="D586" t="str">
        <f>ADDRESS(B586, 2,4  )</f>
        <v>B75</v>
      </c>
      <c r="E586">
        <f t="shared" ca="1" si="201"/>
        <v>0</v>
      </c>
      <c r="F586" t="str">
        <f ca="1">CONCATENATE("Enter a value for '", C586, "' in cell ", D586, ".", CHAR(10))</f>
        <v xml:space="preserve">Enter a value for 'Conversion Fee' in cell B75.
</v>
      </c>
      <c r="G586" s="9" t="str">
        <f t="shared" ca="1" si="200"/>
        <v xml:space="preserve">The total of development budget in column B must be greater than zero.
</v>
      </c>
    </row>
    <row r="587" spans="1:7" ht="15" customHeight="1">
      <c r="A587" t="str">
        <f ca="1">IF(AND(OR(Calculations!$B$3:$B$4), E587=""), F587, "")</f>
        <v/>
      </c>
      <c r="B587" t="s">
        <v>457</v>
      </c>
      <c r="C587" t="str">
        <f ca="1">INDIRECT($F$292 &amp; ADDRESS(B586, 1,4  ))</f>
        <v>Conversion Fee</v>
      </c>
      <c r="D587" t="str">
        <f>ADDRESS(B586, 5,4  )</f>
        <v>E75</v>
      </c>
      <c r="E587">
        <f t="shared" ca="1" si="201"/>
        <v>0</v>
      </c>
      <c r="F587" t="str">
        <f ca="1">CONCATENATE("Enter an 'Amount Last Provided to CHFA' value for '", C587, "' in cell ", D587, ".", CHAR(10))</f>
        <v xml:space="preserve">Enter an 'Amount Last Provided to CHFA' value for 'Conversion Fee' in cell E75.
</v>
      </c>
      <c r="G587" s="9" t="str">
        <f t="shared" ca="1" si="200"/>
        <v xml:space="preserve">The total of development budget in column B must be greater than zero.
</v>
      </c>
    </row>
    <row r="588" spans="1:7" ht="15" customHeight="1">
      <c r="A588" t="str">
        <f ca="1">IF(E588="", F588, "")</f>
        <v/>
      </c>
      <c r="B588" s="52">
        <f>B586+1</f>
        <v>76</v>
      </c>
      <c r="C588" t="str">
        <f ca="1">INDIRECT($F$292 &amp; ADDRESS(B588, 1,4  ))</f>
        <v>Other (Specify)</v>
      </c>
      <c r="D588" t="str">
        <f>ADDRESS(B588, 2,4  )</f>
        <v>B76</v>
      </c>
      <c r="E588">
        <f t="shared" ca="1" si="201"/>
        <v>0</v>
      </c>
      <c r="F588" t="str">
        <f ca="1">CONCATENATE("Enter a value for '", C588, "' in cell ", D588, ".", CHAR(10))</f>
        <v xml:space="preserve">Enter a value for 'Other (Specify)' in cell B76.
</v>
      </c>
      <c r="G588" s="9" t="str">
        <f t="shared" ca="1" si="200"/>
        <v xml:space="preserve">The total of development budget in column B must be greater than zero.
</v>
      </c>
    </row>
    <row r="589" spans="1:7" ht="15" customHeight="1">
      <c r="A589" t="str">
        <f ca="1">IF(AND(OR(Calculations!$B$3:$B$4), E589=""), F589, "")</f>
        <v/>
      </c>
      <c r="B589" t="s">
        <v>457</v>
      </c>
      <c r="C589" t="str">
        <f ca="1">INDIRECT($F$292 &amp; ADDRESS(B588, 1,4  ))</f>
        <v>Other (Specify)</v>
      </c>
      <c r="D589" t="str">
        <f>ADDRESS(B588, 5,4  )</f>
        <v>E76</v>
      </c>
      <c r="E589">
        <f t="shared" ca="1" si="201"/>
        <v>0</v>
      </c>
      <c r="F589" t="str">
        <f ca="1">CONCATENATE("Enter an 'Amount Last Provided to CHFA' value for '", C589, "' in cell ", D589, ".", CHAR(10))</f>
        <v xml:space="preserve">Enter an 'Amount Last Provided to CHFA' value for 'Other (Specify)' in cell E76.
</v>
      </c>
      <c r="G589" s="9" t="str">
        <f t="shared" ca="1" si="200"/>
        <v xml:space="preserve">The total of development budget in column B must be greater than zero.
</v>
      </c>
    </row>
    <row r="590" spans="1:7" ht="15" customHeight="1">
      <c r="A590" t="str">
        <f ca="1">IF(AND(E590, SUM(E588:E589) &gt; 0), F590, "")</f>
        <v/>
      </c>
      <c r="C590" t="str">
        <f ca="1">INDIRECT($F$292 &amp; ADDRESS(B588, 1,4  ))</f>
        <v>Other (Specify)</v>
      </c>
      <c r="D590" t="str">
        <f>ADDRESS(B588, 1,4  )</f>
        <v>A76</v>
      </c>
      <c r="E590" t="b">
        <f ca="1">INDIRECT($F$292 &amp; D590)="Other (specify)"</f>
        <v>1</v>
      </c>
      <c r="F590" t="str">
        <f ca="1">CONCATENATE("Please specify value for '", C590, "' in cell ", D590, ".", CHAR(10))</f>
        <v xml:space="preserve">Please specify value for 'Other (Specify)' in cell A76.
</v>
      </c>
      <c r="G590" s="9" t="str">
        <f t="shared" ca="1" si="200"/>
        <v xml:space="preserve">The total of development budget in column B must be greater than zero.
</v>
      </c>
    </row>
    <row r="591" spans="1:7" ht="15" customHeight="1">
      <c r="A591" t="str">
        <f ca="1">IF(E591="", F591, "")</f>
        <v/>
      </c>
      <c r="B591" s="52">
        <f>B588+1</f>
        <v>77</v>
      </c>
      <c r="C591" t="str">
        <f ca="1">INDIRECT($F$292 &amp; ADDRESS(B591, 1,4  ))</f>
        <v>Other (Specify)</v>
      </c>
      <c r="D591" t="str">
        <f>ADDRESS(B591, 2,4  )</f>
        <v>B77</v>
      </c>
      <c r="E591">
        <f ca="1">IF(ISBLANK( INDIRECT($F$292 &amp; D591)),"", INDIRECT($F$292 &amp; D591))</f>
        <v>0</v>
      </c>
      <c r="F591" t="str">
        <f ca="1">CONCATENATE("Enter a value for '", C591, "' in cell ", D591, ".", CHAR(10))</f>
        <v xml:space="preserve">Enter a value for 'Other (Specify)' in cell B77.
</v>
      </c>
      <c r="G591" s="9" t="str">
        <f t="shared" ca="1" si="200"/>
        <v xml:space="preserve">The total of development budget in column B must be greater than zero.
</v>
      </c>
    </row>
    <row r="592" spans="1:7" ht="15" customHeight="1">
      <c r="A592" t="str">
        <f ca="1">IF(AND(OR(Calculations!$B$3:$B$4), E592=""), F592, "")</f>
        <v/>
      </c>
      <c r="B592" t="s">
        <v>457</v>
      </c>
      <c r="C592" t="str">
        <f ca="1">INDIRECT($F$292 &amp; ADDRESS(B591, 1,4  ))</f>
        <v>Other (Specify)</v>
      </c>
      <c r="D592" t="str">
        <f>ADDRESS(B591, 5,4  )</f>
        <v>E77</v>
      </c>
      <c r="E592">
        <f ca="1">IF(ISBLANK( INDIRECT($F$292 &amp; D592)),"", INDIRECT($F$292 &amp; D592))</f>
        <v>0</v>
      </c>
      <c r="F592" t="str">
        <f ca="1">CONCATENATE("Enter an 'Amount Last Provided to CHFA' value for '", C592, "' in cell ", D592, ".", CHAR(10))</f>
        <v xml:space="preserve">Enter an 'Amount Last Provided to CHFA' value for 'Other (Specify)' in cell E77.
</v>
      </c>
      <c r="G592" s="9" t="str">
        <f t="shared" ca="1" si="200"/>
        <v xml:space="preserve">The total of development budget in column B must be greater than zero.
</v>
      </c>
    </row>
    <row r="593" spans="1:7" ht="15" customHeight="1">
      <c r="A593" t="str">
        <f ca="1">IF(AND(E593, SUM(E591:E592) &gt; 0), F593, "")</f>
        <v/>
      </c>
      <c r="C593" t="str">
        <f ca="1">INDIRECT($F$292 &amp; ADDRESS(B591, 1,4  ))</f>
        <v>Other (Specify)</v>
      </c>
      <c r="D593" t="str">
        <f>ADDRESS(B591, 1,4  )</f>
        <v>A77</v>
      </c>
      <c r="E593" t="b">
        <f ca="1">INDIRECT($F$292 &amp; D593)="Other (specify)"</f>
        <v>1</v>
      </c>
      <c r="F593" t="str">
        <f ca="1">CONCATENATE("Please specify value for '", C593, "' in cell ", D593, ".", CHAR(10))</f>
        <v xml:space="preserve">Please specify value for 'Other (Specify)' in cell A77.
</v>
      </c>
      <c r="G593" s="9" t="str">
        <f t="shared" ca="1" si="200"/>
        <v xml:space="preserve">The total of development budget in column B must be greater than zero.
</v>
      </c>
    </row>
    <row r="594" spans="1:7" ht="15" customHeight="1">
      <c r="A594" t="str">
        <f ca="1">IF(E594="", F594, "")</f>
        <v/>
      </c>
      <c r="B594" s="52">
        <f>B591+1</f>
        <v>78</v>
      </c>
      <c r="C594" t="str">
        <f ca="1">INDIRECT($F$292 &amp; ADDRESS(B594, 1,4  ))</f>
        <v>Other (Specify)</v>
      </c>
      <c r="D594" t="str">
        <f>ADDRESS(B594, 2,4  )</f>
        <v>B78</v>
      </c>
      <c r="E594">
        <f ca="1">IF(ISBLANK( INDIRECT($F$292 &amp; D594)),"", INDIRECT($F$292 &amp; D594))</f>
        <v>0</v>
      </c>
      <c r="F594" t="str">
        <f ca="1">CONCATENATE("Enter a value for '", C594, "' in cell ", D594, ".", CHAR(10))</f>
        <v xml:space="preserve">Enter a value for 'Other (Specify)' in cell B78.
</v>
      </c>
      <c r="G594" s="9" t="str">
        <f t="shared" ca="1" si="200"/>
        <v xml:space="preserve">The total of development budget in column B must be greater than zero.
</v>
      </c>
    </row>
    <row r="595" spans="1:7" ht="15" customHeight="1">
      <c r="A595" t="str">
        <f ca="1">IF(AND(OR(Calculations!$B$3:$B$4), E595=""), F595, "")</f>
        <v/>
      </c>
      <c r="B595" t="s">
        <v>457</v>
      </c>
      <c r="C595" t="str">
        <f ca="1">INDIRECT($F$292 &amp; ADDRESS(B594, 1,4  ))</f>
        <v>Other (Specify)</v>
      </c>
      <c r="D595" t="str">
        <f>ADDRESS(B594, 5,4  )</f>
        <v>E78</v>
      </c>
      <c r="E595">
        <f ca="1">IF(ISBLANK( INDIRECT($F$292 &amp; D595)),"", INDIRECT($F$292 &amp; D595))</f>
        <v>0</v>
      </c>
      <c r="F595" t="str">
        <f ca="1">CONCATENATE("Enter an 'Amount Last Provided to CHFA' value for '", C595, "' in cell ", D595, ".", CHAR(10))</f>
        <v xml:space="preserve">Enter an 'Amount Last Provided to CHFA' value for 'Other (Specify)' in cell E78.
</v>
      </c>
      <c r="G595" s="9" t="str">
        <f t="shared" ca="1" si="200"/>
        <v xml:space="preserve">The total of development budget in column B must be greater than zero.
</v>
      </c>
    </row>
    <row r="596" spans="1:7" ht="15" customHeight="1">
      <c r="A596" t="str">
        <f ca="1">IF(AND(E596, SUM(E594:E595) &gt; 0), F596, "")</f>
        <v/>
      </c>
      <c r="C596" t="str">
        <f ca="1">INDIRECT($F$292 &amp; ADDRESS(B594, 1,4  ))</f>
        <v>Other (Specify)</v>
      </c>
      <c r="D596" t="str">
        <f>ADDRESS(B594, 1,4  )</f>
        <v>A78</v>
      </c>
      <c r="E596" t="b">
        <f ca="1">INDIRECT($F$292 &amp; D596)="Other (specify)"</f>
        <v>1</v>
      </c>
      <c r="F596" t="str">
        <f ca="1">CONCATENATE("Please specify value for '", C596, "' in cell ", D596, ".", CHAR(10))</f>
        <v xml:space="preserve">Please specify value for 'Other (Specify)' in cell A78.
</v>
      </c>
      <c r="G596" s="9" t="str">
        <f t="shared" ca="1" si="200"/>
        <v xml:space="preserve">The total of development budget in column B must be greater than zero.
</v>
      </c>
    </row>
    <row r="597" spans="1:7" ht="15" customHeight="1">
      <c r="A597" t="str">
        <f ca="1">IF(E597="", F597, "")</f>
        <v/>
      </c>
      <c r="B597">
        <f>ROW('Development Budget'!A81)</f>
        <v>81</v>
      </c>
      <c r="C597" t="str">
        <f ca="1">INDIRECT($F$292 &amp; ADDRESS(B597, 1,4  ))</f>
        <v>Marketing/Leasing Costs</v>
      </c>
      <c r="D597" t="str">
        <f>ADDRESS(B597, 2,4  )</f>
        <v>B81</v>
      </c>
      <c r="E597">
        <f t="shared" ref="E597:E628" ca="1" si="202">IF(ISBLANK( INDIRECT($F$292 &amp; D597)),"", INDIRECT($F$292 &amp; D597))</f>
        <v>0</v>
      </c>
      <c r="F597" t="str">
        <f ca="1">CONCATENATE("Enter a value for '", C597, "' in cell ", D597, ".", CHAR(10))</f>
        <v xml:space="preserve">Enter a value for 'Marketing/Leasing Costs' in cell B81.
</v>
      </c>
      <c r="G597" s="9" t="str">
        <f t="shared" ca="1" si="200"/>
        <v xml:space="preserve">The total of development budget in column B must be greater than zero.
</v>
      </c>
    </row>
    <row r="598" spans="1:7" ht="15" customHeight="1">
      <c r="A598" t="str">
        <f ca="1">IF(AND(OR(Calculations!$B$3:$B$4), E598=""), F598, "")</f>
        <v/>
      </c>
      <c r="B598" t="s">
        <v>457</v>
      </c>
      <c r="C598" t="str">
        <f ca="1">INDIRECT($F$292 &amp; ADDRESS(B597, 1,4  ))</f>
        <v>Marketing/Leasing Costs</v>
      </c>
      <c r="D598" t="str">
        <f>ADDRESS(B597, 5,4  )</f>
        <v>E81</v>
      </c>
      <c r="E598">
        <f t="shared" ca="1" si="202"/>
        <v>0</v>
      </c>
      <c r="F598" t="str">
        <f ca="1">CONCATENATE("Enter an 'Amount Last Provided to CHFA' value for '", C598, "' in cell ", D598, ".", CHAR(10))</f>
        <v xml:space="preserve">Enter an 'Amount Last Provided to CHFA' value for 'Marketing/Leasing Costs' in cell E81.
</v>
      </c>
      <c r="G598" s="9" t="str">
        <f t="shared" ca="1" si="200"/>
        <v xml:space="preserve">The total of development budget in column B must be greater than zero.
</v>
      </c>
    </row>
    <row r="599" spans="1:7" ht="15" customHeight="1">
      <c r="A599" t="str">
        <f ca="1">IF(E599="", F599, "")</f>
        <v/>
      </c>
      <c r="B599" s="52">
        <f>B597+1</f>
        <v>82</v>
      </c>
      <c r="C599" t="str">
        <f ca="1">INDIRECT($F$292 &amp; ADDRESS(B599, 1,4  ))</f>
        <v>Cost Estimating/Capital Needs Assessment</v>
      </c>
      <c r="D599" t="str">
        <f>ADDRESS(B599, 2,4  )</f>
        <v>B82</v>
      </c>
      <c r="E599">
        <f t="shared" ca="1" si="202"/>
        <v>0</v>
      </c>
      <c r="F599" t="str">
        <f ca="1">CONCATENATE("Enter a value for '", C599, "' in cell ", D599, ".", CHAR(10))</f>
        <v xml:space="preserve">Enter a value for 'Cost Estimating/Capital Needs Assessment' in cell B82.
</v>
      </c>
      <c r="G599" s="9" t="str">
        <f t="shared" ca="1" si="200"/>
        <v xml:space="preserve">The total of development budget in column B must be greater than zero.
</v>
      </c>
    </row>
    <row r="600" spans="1:7" ht="15" customHeight="1">
      <c r="A600" t="str">
        <f ca="1">IF(AND(Calculations!$B$5, E600=""), F600, "")</f>
        <v/>
      </c>
      <c r="B600" t="s">
        <v>457</v>
      </c>
      <c r="C600" t="str">
        <f ca="1">INDIRECT($F$292 &amp; ADDRESS(B599, 1,4  ))</f>
        <v>Cost Estimating/Capital Needs Assessment</v>
      </c>
      <c r="D600" t="str">
        <f>ADDRESS(B599, 3,4  )</f>
        <v>C82</v>
      </c>
      <c r="E600">
        <f t="shared" ca="1" si="202"/>
        <v>0</v>
      </c>
      <c r="F600" t="str">
        <f ca="1">CONCATENATE("Enter an '4% LIHTC Basis Calculation' value for '", C600, "' in cell ", D600, ".", CHAR(10))</f>
        <v xml:space="preserve">Enter an '4% LIHTC Basis Calculation' value for 'Cost Estimating/Capital Needs Assessment' in cell C82.
</v>
      </c>
      <c r="G600" s="9" t="str">
        <f t="shared" ca="1" si="200"/>
        <v xml:space="preserve">The total of development budget in column B must be greater than zero.
</v>
      </c>
    </row>
    <row r="601" spans="1:7" ht="15" customHeight="1">
      <c r="A601" t="str">
        <f ca="1">IF(AND(Calculations!$B$6, E601=""), F601, "")</f>
        <v/>
      </c>
      <c r="B601" t="s">
        <v>457</v>
      </c>
      <c r="C601" t="str">
        <f ca="1">INDIRECT($F$292 &amp; ADDRESS(B599, 1,4  ))</f>
        <v>Cost Estimating/Capital Needs Assessment</v>
      </c>
      <c r="D601" t="str">
        <f>ADDRESS(B599, 4,4  )</f>
        <v>D82</v>
      </c>
      <c r="E601">
        <f t="shared" ca="1" si="202"/>
        <v>0</v>
      </c>
      <c r="F601" t="str">
        <f ca="1">CONCATENATE("Enter an '9% LIHTC Basis Calculation' value for '", C601, "' in cell ", D601, ".", CHAR(10))</f>
        <v xml:space="preserve">Enter an '9% LIHTC Basis Calculation' value for 'Cost Estimating/Capital Needs Assessment' in cell D82.
</v>
      </c>
      <c r="G601" s="9" t="str">
        <f t="shared" ca="1" si="200"/>
        <v xml:space="preserve">The total of development budget in column B must be greater than zero.
</v>
      </c>
    </row>
    <row r="602" spans="1:7" ht="15" customHeight="1">
      <c r="A602" t="str">
        <f ca="1">IF(AND(OR(Calculations!$B$3:$B$4), E602=""), F602, "")</f>
        <v/>
      </c>
      <c r="B602" t="s">
        <v>457</v>
      </c>
      <c r="C602" t="str">
        <f ca="1">INDIRECT($F$292 &amp; ADDRESS(B599, 1,4  ))</f>
        <v>Cost Estimating/Capital Needs Assessment</v>
      </c>
      <c r="D602" t="str">
        <f>ADDRESS(B599, 5,4  )</f>
        <v>E82</v>
      </c>
      <c r="E602">
        <f t="shared" ca="1" si="202"/>
        <v>0</v>
      </c>
      <c r="F602" t="str">
        <f ca="1">CONCATENATE("Enter an 'Amount Last Provided to CHFA' value for '", C602, "' in cell ", D602, ".", CHAR(10))</f>
        <v xml:space="preserve">Enter an 'Amount Last Provided to CHFA' value for 'Cost Estimating/Capital Needs Assessment' in cell E82.
</v>
      </c>
      <c r="G602" s="9" t="str">
        <f t="shared" ca="1" si="200"/>
        <v xml:space="preserve">The total of development budget in column B must be greater than zero.
</v>
      </c>
    </row>
    <row r="603" spans="1:7" ht="15" customHeight="1">
      <c r="A603" t="str">
        <f ca="1">IF(AND(Calculations!$B$3, E603=""), F603, "")</f>
        <v/>
      </c>
      <c r="B603" t="s">
        <v>457</v>
      </c>
      <c r="C603" t="str">
        <f ca="1">INDIRECT($F$292 &amp; ADDRESS(B599, 1,4  ))</f>
        <v>Cost Estimating/Capital Needs Assessment</v>
      </c>
      <c r="D603" t="str">
        <f>ADDRESS(B599, 6,4  )</f>
        <v>F82</v>
      </c>
      <c r="E603">
        <f t="shared" ca="1" si="202"/>
        <v>0</v>
      </c>
      <c r="F603" t="str">
        <f ca="1">CONCATENATE("Enter a '10% Carryover Actual Incurred Costs' value for '", C603, "' in cell ", D603, ".", CHAR(10))</f>
        <v xml:space="preserve">Enter a '10% Carryover Actual Incurred Costs' value for 'Cost Estimating/Capital Needs Assessment' in cell F82.
</v>
      </c>
      <c r="G603" s="9" t="str">
        <f t="shared" ca="1" si="200"/>
        <v xml:space="preserve">The total of development budget in column B must be greater than zero.
</v>
      </c>
    </row>
    <row r="604" spans="1:7" ht="15" customHeight="1">
      <c r="A604" t="str">
        <f ca="1">IF(E604="", F604, "")</f>
        <v/>
      </c>
      <c r="B604" s="52">
        <f>B599+1</f>
        <v>83</v>
      </c>
      <c r="C604" t="str">
        <f ca="1">INDIRECT($F$292 &amp; ADDRESS(B604, 1,4  ))</f>
        <v>Geotechnical/Soils Study</v>
      </c>
      <c r="D604" t="str">
        <f>ADDRESS(B604, 2,4  )</f>
        <v>B83</v>
      </c>
      <c r="E604">
        <f t="shared" ca="1" si="202"/>
        <v>0</v>
      </c>
      <c r="F604" t="str">
        <f ca="1">CONCATENATE("Enter a value for '", C604, "' in cell ", D604, ".", CHAR(10))</f>
        <v xml:space="preserve">Enter a value for 'Geotechnical/Soils Study' in cell B83.
</v>
      </c>
      <c r="G604" s="9" t="str">
        <f t="shared" ca="1" si="200"/>
        <v xml:space="preserve">The total of development budget in column B must be greater than zero.
</v>
      </c>
    </row>
    <row r="605" spans="1:7" ht="15" customHeight="1">
      <c r="A605" t="str">
        <f ca="1">IF(AND(Calculations!$B$5, E605=""), F605, "")</f>
        <v/>
      </c>
      <c r="B605" t="s">
        <v>457</v>
      </c>
      <c r="C605" t="str">
        <f ca="1">INDIRECT($F$292 &amp; ADDRESS(B604, 1,4  ))</f>
        <v>Geotechnical/Soils Study</v>
      </c>
      <c r="D605" t="str">
        <f>ADDRESS(B604, 3,4  )</f>
        <v>C83</v>
      </c>
      <c r="E605">
        <f t="shared" ca="1" si="202"/>
        <v>0</v>
      </c>
      <c r="F605" t="str">
        <f ca="1">CONCATENATE("Enter an '4% LIHTC Basis Calculation' value for '", C605, "' in cell ", D605, ".", CHAR(10))</f>
        <v xml:space="preserve">Enter an '4% LIHTC Basis Calculation' value for 'Geotechnical/Soils Study' in cell C83.
</v>
      </c>
      <c r="G605" s="9" t="str">
        <f t="shared" ca="1" si="200"/>
        <v xml:space="preserve">The total of development budget in column B must be greater than zero.
</v>
      </c>
    </row>
    <row r="606" spans="1:7" ht="15" customHeight="1">
      <c r="A606" t="str">
        <f ca="1">IF(AND(Calculations!$B$6, E606=""), F606, "")</f>
        <v/>
      </c>
      <c r="B606" t="s">
        <v>457</v>
      </c>
      <c r="C606" t="str">
        <f ca="1">INDIRECT($F$292 &amp; ADDRESS(B604, 1,4  ))</f>
        <v>Geotechnical/Soils Study</v>
      </c>
      <c r="D606" t="str">
        <f>ADDRESS(B604, 4,4  )</f>
        <v>D83</v>
      </c>
      <c r="E606">
        <f t="shared" ca="1" si="202"/>
        <v>0</v>
      </c>
      <c r="F606" t="str">
        <f ca="1">CONCATENATE("Enter an '9% LIHTC Basis Calculation' value for '", C606, "' in cell ", D606, ".", CHAR(10))</f>
        <v xml:space="preserve">Enter an '9% LIHTC Basis Calculation' value for 'Geotechnical/Soils Study' in cell D83.
</v>
      </c>
      <c r="G606" s="9" t="str">
        <f t="shared" ca="1" si="200"/>
        <v xml:space="preserve">The total of development budget in column B must be greater than zero.
</v>
      </c>
    </row>
    <row r="607" spans="1:7" ht="15" customHeight="1">
      <c r="A607" t="str">
        <f ca="1">IF(AND(OR(Calculations!$B$3:$B$4), E607=""), F607, "")</f>
        <v/>
      </c>
      <c r="B607" t="s">
        <v>457</v>
      </c>
      <c r="C607" t="str">
        <f ca="1">INDIRECT($F$292 &amp; ADDRESS(B604, 1,4  ))</f>
        <v>Geotechnical/Soils Study</v>
      </c>
      <c r="D607" t="str">
        <f>ADDRESS(B604, 5,4  )</f>
        <v>E83</v>
      </c>
      <c r="E607">
        <f t="shared" ca="1" si="202"/>
        <v>0</v>
      </c>
      <c r="F607" t="str">
        <f ca="1">CONCATENATE("Enter an 'Amount Last Provided to CHFA' value for '", C607, "' in cell ", D607, ".", CHAR(10))</f>
        <v xml:space="preserve">Enter an 'Amount Last Provided to CHFA' value for 'Geotechnical/Soils Study' in cell E83.
</v>
      </c>
      <c r="G607" s="9" t="str">
        <f t="shared" ca="1" si="200"/>
        <v xml:space="preserve">The total of development budget in column B must be greater than zero.
</v>
      </c>
    </row>
    <row r="608" spans="1:7" ht="15" customHeight="1">
      <c r="A608" t="str">
        <f ca="1">IF(AND(Calculations!$B$3, E608=""), F608, "")</f>
        <v/>
      </c>
      <c r="B608" t="s">
        <v>457</v>
      </c>
      <c r="C608" t="str">
        <f ca="1">INDIRECT($F$292 &amp; ADDRESS(B604, 1,4  ))</f>
        <v>Geotechnical/Soils Study</v>
      </c>
      <c r="D608" t="str">
        <f>ADDRESS(B604, 6,4  )</f>
        <v>F83</v>
      </c>
      <c r="E608">
        <f t="shared" ca="1" si="202"/>
        <v>0</v>
      </c>
      <c r="F608" t="str">
        <f ca="1">CONCATENATE("Enter a '10% Carryover Actual Incurred Costs' value for '", C608, "' in cell ", D608, ".", CHAR(10))</f>
        <v xml:space="preserve">Enter a '10% Carryover Actual Incurred Costs' value for 'Geotechnical/Soils Study' in cell F83.
</v>
      </c>
      <c r="G608" s="9" t="str">
        <f t="shared" ca="1" si="200"/>
        <v xml:space="preserve">The total of development budget in column B must be greater than zero.
</v>
      </c>
    </row>
    <row r="609" spans="1:7" ht="15" customHeight="1">
      <c r="A609" t="str">
        <f ca="1">IF(E609="", F609, "")</f>
        <v/>
      </c>
      <c r="B609" s="52">
        <f>B604+1</f>
        <v>84</v>
      </c>
      <c r="C609" t="str">
        <f ca="1">INDIRECT($F$292 &amp; ADDRESS(B609, 1,4  ))</f>
        <v>Appraisal</v>
      </c>
      <c r="D609" t="str">
        <f>ADDRESS(B609, 2,4  )</f>
        <v>B84</v>
      </c>
      <c r="E609">
        <f t="shared" ca="1" si="202"/>
        <v>0</v>
      </c>
      <c r="F609" t="str">
        <f ca="1">CONCATENATE("Enter a value for '", C609, "' in cell ", D609, ".", CHAR(10))</f>
        <v xml:space="preserve">Enter a value for 'Appraisal' in cell B84.
</v>
      </c>
      <c r="G609" s="9" t="str">
        <f t="shared" ca="1" si="200"/>
        <v xml:space="preserve">The total of development budget in column B must be greater than zero.
</v>
      </c>
    </row>
    <row r="610" spans="1:7" ht="15" customHeight="1">
      <c r="A610" t="str">
        <f ca="1">IF(AND(Calculations!$B$5, E610=""), F610, "")</f>
        <v/>
      </c>
      <c r="B610" t="s">
        <v>457</v>
      </c>
      <c r="C610" t="str">
        <f ca="1">INDIRECT($F$292 &amp; ADDRESS(B609, 1,4  ))</f>
        <v>Appraisal</v>
      </c>
      <c r="D610" t="str">
        <f>ADDRESS(B609, 3,4  )</f>
        <v>C84</v>
      </c>
      <c r="E610">
        <f t="shared" ca="1" si="202"/>
        <v>0</v>
      </c>
      <c r="F610" t="str">
        <f ca="1">CONCATENATE("Enter an '4% LIHTC Basis Calculation' value for '", C610, "' in cell ", D610, ".", CHAR(10))</f>
        <v xml:space="preserve">Enter an '4% LIHTC Basis Calculation' value for 'Appraisal' in cell C84.
</v>
      </c>
      <c r="G610" s="9" t="str">
        <f t="shared" ca="1" si="200"/>
        <v xml:space="preserve">The total of development budget in column B must be greater than zero.
</v>
      </c>
    </row>
    <row r="611" spans="1:7" ht="15" customHeight="1">
      <c r="A611" t="str">
        <f ca="1">IF(AND(Calculations!$B$6, E611=""), F611, "")</f>
        <v/>
      </c>
      <c r="B611" t="s">
        <v>457</v>
      </c>
      <c r="C611" t="str">
        <f ca="1">INDIRECT($F$292 &amp; ADDRESS(B609, 1,4  ))</f>
        <v>Appraisal</v>
      </c>
      <c r="D611" t="str">
        <f>ADDRESS(B609, 4,4  )</f>
        <v>D84</v>
      </c>
      <c r="E611">
        <f t="shared" ca="1" si="202"/>
        <v>0</v>
      </c>
      <c r="F611" t="str">
        <f ca="1">CONCATENATE("Enter an '9% LIHTC Basis Calculation' value for '", C611, "' in cell ", D611, ".", CHAR(10))</f>
        <v xml:space="preserve">Enter an '9% LIHTC Basis Calculation' value for 'Appraisal' in cell D84.
</v>
      </c>
      <c r="G611" s="9" t="str">
        <f t="shared" ca="1" si="200"/>
        <v xml:space="preserve">The total of development budget in column B must be greater than zero.
</v>
      </c>
    </row>
    <row r="612" spans="1:7" ht="15" customHeight="1">
      <c r="A612" t="str">
        <f ca="1">IF(AND(OR(Calculations!$B$3:$B$4), E612=""), F612, "")</f>
        <v/>
      </c>
      <c r="B612" t="s">
        <v>457</v>
      </c>
      <c r="C612" t="str">
        <f ca="1">INDIRECT($F$292 &amp; ADDRESS(B609, 1,4  ))</f>
        <v>Appraisal</v>
      </c>
      <c r="D612" t="str">
        <f>ADDRESS(B609, 5,4  )</f>
        <v>E84</v>
      </c>
      <c r="E612">
        <f t="shared" ca="1" si="202"/>
        <v>0</v>
      </c>
      <c r="F612" t="str">
        <f ca="1">CONCATENATE("Enter an 'Amount Last Provided to CHFA' value for '", C612, "' in cell ", D612, ".", CHAR(10))</f>
        <v xml:space="preserve">Enter an 'Amount Last Provided to CHFA' value for 'Appraisal' in cell E84.
</v>
      </c>
      <c r="G612" s="9" t="str">
        <f t="shared" ca="1" si="200"/>
        <v xml:space="preserve">The total of development budget in column B must be greater than zero.
</v>
      </c>
    </row>
    <row r="613" spans="1:7" ht="15" customHeight="1">
      <c r="A613" t="str">
        <f ca="1">IF(AND(Calculations!$B$3, E613=""), F613, "")</f>
        <v/>
      </c>
      <c r="B613" t="s">
        <v>457</v>
      </c>
      <c r="C613" t="str">
        <f ca="1">INDIRECT($F$292 &amp; ADDRESS(B609, 1,4  ))</f>
        <v>Appraisal</v>
      </c>
      <c r="D613" t="str">
        <f>ADDRESS(B609, 6,4  )</f>
        <v>F84</v>
      </c>
      <c r="E613">
        <f t="shared" ca="1" si="202"/>
        <v>0</v>
      </c>
      <c r="F613" t="str">
        <f ca="1">CONCATENATE("Enter a '10% Carryover Actual Incurred Costs' value for '", C613, "' in cell ", D613, ".", CHAR(10))</f>
        <v xml:space="preserve">Enter a '10% Carryover Actual Incurred Costs' value for 'Appraisal' in cell F84.
</v>
      </c>
      <c r="G613" s="9" t="str">
        <f t="shared" ca="1" si="200"/>
        <v xml:space="preserve">The total of development budget in column B must be greater than zero.
</v>
      </c>
    </row>
    <row r="614" spans="1:7" ht="15" customHeight="1">
      <c r="A614" t="str">
        <f ca="1">IF(E614="", F614, "")</f>
        <v/>
      </c>
      <c r="B614" s="52">
        <f>B609+1</f>
        <v>85</v>
      </c>
      <c r="C614" t="str">
        <f ca="1">INDIRECT($F$292 &amp; ADDRESS(B614, 1,4  ))</f>
        <v>Market Study</v>
      </c>
      <c r="D614" t="str">
        <f>ADDRESS(B614, 2,4  )</f>
        <v>B85</v>
      </c>
      <c r="E614">
        <f t="shared" ca="1" si="202"/>
        <v>0</v>
      </c>
      <c r="F614" t="str">
        <f ca="1">CONCATENATE("Enter a value for '", C614, "' in cell ", D614, ".", CHAR(10))</f>
        <v xml:space="preserve">Enter a value for 'Market Study' in cell B85.
</v>
      </c>
      <c r="G614" s="9" t="str">
        <f t="shared" ca="1" si="200"/>
        <v xml:space="preserve">The total of development budget in column B must be greater than zero.
</v>
      </c>
    </row>
    <row r="615" spans="1:7" ht="15" customHeight="1">
      <c r="A615" t="str">
        <f ca="1">IF(AND(Calculations!$B$5, E615=""), F615, "")</f>
        <v/>
      </c>
      <c r="B615" t="s">
        <v>457</v>
      </c>
      <c r="C615" t="str">
        <f ca="1">INDIRECT($F$292 &amp; ADDRESS(B614, 1,4  ))</f>
        <v>Market Study</v>
      </c>
      <c r="D615" t="str">
        <f>ADDRESS(B614, 3,4  )</f>
        <v>C85</v>
      </c>
      <c r="E615">
        <f t="shared" ca="1" si="202"/>
        <v>0</v>
      </c>
      <c r="F615" t="str">
        <f ca="1">CONCATENATE("Enter an '4% LIHTC Basis Calculation' value for '", C615, "' in cell ", D615, ".", CHAR(10))</f>
        <v xml:space="preserve">Enter an '4% LIHTC Basis Calculation' value for 'Market Study' in cell C85.
</v>
      </c>
      <c r="G615" s="9" t="str">
        <f t="shared" ca="1" si="200"/>
        <v xml:space="preserve">The total of development budget in column B must be greater than zero.
</v>
      </c>
    </row>
    <row r="616" spans="1:7" ht="15" customHeight="1">
      <c r="A616" t="str">
        <f ca="1">IF(AND(Calculations!$B$6, E616=""), F616, "")</f>
        <v/>
      </c>
      <c r="B616" t="s">
        <v>457</v>
      </c>
      <c r="C616" t="str">
        <f ca="1">INDIRECT($F$292 &amp; ADDRESS(B614, 1,4  ))</f>
        <v>Market Study</v>
      </c>
      <c r="D616" t="str">
        <f>ADDRESS(B614, 4,4  )</f>
        <v>D85</v>
      </c>
      <c r="E616">
        <f t="shared" ca="1" si="202"/>
        <v>0</v>
      </c>
      <c r="F616" t="str">
        <f ca="1">CONCATENATE("Enter an '9% LIHTC Basis Calculation' value for '", C616, "' in cell ", D616, ".", CHAR(10))</f>
        <v xml:space="preserve">Enter an '9% LIHTC Basis Calculation' value for 'Market Study' in cell D85.
</v>
      </c>
      <c r="G616" s="9" t="str">
        <f t="shared" ca="1" si="200"/>
        <v xml:space="preserve">The total of development budget in column B must be greater than zero.
</v>
      </c>
    </row>
    <row r="617" spans="1:7" ht="15" customHeight="1">
      <c r="A617" t="str">
        <f ca="1">IF(AND(OR(Calculations!$B$3:$B$4), E617=""), F617, "")</f>
        <v/>
      </c>
      <c r="B617" t="s">
        <v>457</v>
      </c>
      <c r="C617" t="str">
        <f ca="1">INDIRECT($F$292 &amp; ADDRESS(B614, 1,4  ))</f>
        <v>Market Study</v>
      </c>
      <c r="D617" t="str">
        <f>ADDRESS(B614, 5,4  )</f>
        <v>E85</v>
      </c>
      <c r="E617">
        <f t="shared" ca="1" si="202"/>
        <v>0</v>
      </c>
      <c r="F617" t="str">
        <f ca="1">CONCATENATE("Enter an 'Amount Last Provided to CHFA' value for '", C617, "' in cell ", D617, ".", CHAR(10))</f>
        <v xml:space="preserve">Enter an 'Amount Last Provided to CHFA' value for 'Market Study' in cell E85.
</v>
      </c>
      <c r="G617" s="9" t="str">
        <f t="shared" ca="1" si="200"/>
        <v xml:space="preserve">The total of development budget in column B must be greater than zero.
</v>
      </c>
    </row>
    <row r="618" spans="1:7" ht="15" customHeight="1">
      <c r="A618" t="str">
        <f ca="1">IF(AND(Calculations!$B$3, E618=""), F618, "")</f>
        <v/>
      </c>
      <c r="B618" t="s">
        <v>457</v>
      </c>
      <c r="C618" t="str">
        <f ca="1">INDIRECT($F$292 &amp; ADDRESS(B614, 1,4  ))</f>
        <v>Market Study</v>
      </c>
      <c r="D618" t="str">
        <f>ADDRESS(B614, 6,4  )</f>
        <v>F85</v>
      </c>
      <c r="E618">
        <f t="shared" ca="1" si="202"/>
        <v>0</v>
      </c>
      <c r="F618" t="str">
        <f ca="1">CONCATENATE("Enter a '10% Carryover Actual Incurred Costs' value for '", C618, "' in cell ", D618, ".", CHAR(10))</f>
        <v xml:space="preserve">Enter a '10% Carryover Actual Incurred Costs' value for 'Market Study' in cell F85.
</v>
      </c>
      <c r="G618" s="9" t="str">
        <f t="shared" ref="G618:G680" ca="1" si="203">OFFSET(G618, -1, 0) &amp; A618</f>
        <v xml:space="preserve">The total of development budget in column B must be greater than zero.
</v>
      </c>
    </row>
    <row r="619" spans="1:7" ht="15" customHeight="1">
      <c r="A619" t="str">
        <f ca="1">IF(E619="", F619, "")</f>
        <v/>
      </c>
      <c r="B619" s="52">
        <f>B614+1</f>
        <v>86</v>
      </c>
      <c r="C619" t="str">
        <f ca="1">INDIRECT($F$292 &amp; ADDRESS(B619, 1,4  ))</f>
        <v>Environmental Study (Phase 1, Phase 2, Lead, Asbestos, etc.)</v>
      </c>
      <c r="D619" t="str">
        <f>ADDRESS(B619, 2,4  )</f>
        <v>B86</v>
      </c>
      <c r="E619">
        <f t="shared" ca="1" si="202"/>
        <v>0</v>
      </c>
      <c r="F619" t="str">
        <f ca="1">CONCATENATE("Enter a value for '", C619, "' in cell ", D619, ".", CHAR(10))</f>
        <v xml:space="preserve">Enter a value for 'Environmental Study (Phase 1, Phase 2, Lead, Asbestos, etc.)' in cell B86.
</v>
      </c>
      <c r="G619" s="9" t="str">
        <f t="shared" ca="1" si="203"/>
        <v xml:space="preserve">The total of development budget in column B must be greater than zero.
</v>
      </c>
    </row>
    <row r="620" spans="1:7" ht="15" customHeight="1">
      <c r="A620" t="str">
        <f ca="1">IF(AND(Calculations!$B$5, E620=""), F620, "")</f>
        <v/>
      </c>
      <c r="B620" t="s">
        <v>457</v>
      </c>
      <c r="C620" t="str">
        <f ca="1">INDIRECT($F$292 &amp; ADDRESS(B619, 1,4  ))</f>
        <v>Environmental Study (Phase 1, Phase 2, Lead, Asbestos, etc.)</v>
      </c>
      <c r="D620" t="str">
        <f>ADDRESS(B619, 3,4  )</f>
        <v>C86</v>
      </c>
      <c r="E620">
        <f t="shared" ca="1" si="202"/>
        <v>0</v>
      </c>
      <c r="F620" t="str">
        <f ca="1">CONCATENATE("Enter an '4% LIHTC Basis Calculation' value for '", C620, "' in cell ", D620, ".", CHAR(10))</f>
        <v xml:space="preserve">Enter an '4% LIHTC Basis Calculation' value for 'Environmental Study (Phase 1, Phase 2, Lead, Asbestos, etc.)' in cell C86.
</v>
      </c>
      <c r="G620" s="9" t="str">
        <f t="shared" ca="1" si="203"/>
        <v xml:space="preserve">The total of development budget in column B must be greater than zero.
</v>
      </c>
    </row>
    <row r="621" spans="1:7" ht="15" customHeight="1">
      <c r="A621" t="str">
        <f ca="1">IF(AND(Calculations!$B$6, E621=""), F621, "")</f>
        <v/>
      </c>
      <c r="B621" t="s">
        <v>457</v>
      </c>
      <c r="C621" t="str">
        <f ca="1">INDIRECT($F$292 &amp; ADDRESS(B619, 1,4  ))</f>
        <v>Environmental Study (Phase 1, Phase 2, Lead, Asbestos, etc.)</v>
      </c>
      <c r="D621" t="str">
        <f>ADDRESS(B619, 4,4  )</f>
        <v>D86</v>
      </c>
      <c r="E621">
        <f t="shared" ca="1" si="202"/>
        <v>0</v>
      </c>
      <c r="F621" t="str">
        <f ca="1">CONCATENATE("Enter an '9% LIHTC Basis Calculation' value for '", C621, "' in cell ", D621, ".", CHAR(10))</f>
        <v xml:space="preserve">Enter an '9% LIHTC Basis Calculation' value for 'Environmental Study (Phase 1, Phase 2, Lead, Asbestos, etc.)' in cell D86.
</v>
      </c>
      <c r="G621" s="9" t="str">
        <f t="shared" ca="1" si="203"/>
        <v xml:space="preserve">The total of development budget in column B must be greater than zero.
</v>
      </c>
    </row>
    <row r="622" spans="1:7" ht="15" customHeight="1">
      <c r="A622" t="str">
        <f ca="1">IF(AND(OR(Calculations!$B$3:$B$4), E622=""), F622, "")</f>
        <v/>
      </c>
      <c r="B622" t="s">
        <v>457</v>
      </c>
      <c r="C622" t="str">
        <f ca="1">INDIRECT($F$292 &amp; ADDRESS(B619, 1,4  ))</f>
        <v>Environmental Study (Phase 1, Phase 2, Lead, Asbestos, etc.)</v>
      </c>
      <c r="D622" t="str">
        <f>ADDRESS(B619, 5,4  )</f>
        <v>E86</v>
      </c>
      <c r="E622">
        <f t="shared" ca="1" si="202"/>
        <v>0</v>
      </c>
      <c r="F622" t="str">
        <f ca="1">CONCATENATE("Enter an 'Amount Last Provided to CHFA' value for '", C622, "' in cell ", D622, ".", CHAR(10))</f>
        <v xml:space="preserve">Enter an 'Amount Last Provided to CHFA' value for 'Environmental Study (Phase 1, Phase 2, Lead, Asbestos, etc.)' in cell E86.
</v>
      </c>
      <c r="G622" s="9" t="str">
        <f t="shared" ca="1" si="203"/>
        <v xml:space="preserve">The total of development budget in column B must be greater than zero.
</v>
      </c>
    </row>
    <row r="623" spans="1:7" ht="15" customHeight="1">
      <c r="A623" t="str">
        <f ca="1">IF(AND(Calculations!$B$3, E623=""), F623, "")</f>
        <v/>
      </c>
      <c r="B623" t="s">
        <v>457</v>
      </c>
      <c r="C623" t="str">
        <f ca="1">INDIRECT($F$292 &amp; ADDRESS(B619, 1,4  ))</f>
        <v>Environmental Study (Phase 1, Phase 2, Lead, Asbestos, etc.)</v>
      </c>
      <c r="D623" t="str">
        <f>ADDRESS(B619, 6,4  )</f>
        <v>F86</v>
      </c>
      <c r="E623">
        <f t="shared" ca="1" si="202"/>
        <v>0</v>
      </c>
      <c r="F623" t="str">
        <f ca="1">CONCATENATE("Enter a '10% Carryover Actual Incurred Costs' value for '", C623, "' in cell ", D623, ".", CHAR(10))</f>
        <v xml:space="preserve">Enter a '10% Carryover Actual Incurred Costs' value for 'Environmental Study (Phase 1, Phase 2, Lead, Asbestos, etc.)' in cell F86.
</v>
      </c>
      <c r="G623" s="9" t="str">
        <f t="shared" ca="1" si="203"/>
        <v xml:space="preserve">The total of development budget in column B must be greater than zero.
</v>
      </c>
    </row>
    <row r="624" spans="1:7" ht="15" customHeight="1">
      <c r="A624" t="str">
        <f ca="1">IF(E624="", F624, "")</f>
        <v/>
      </c>
      <c r="B624" s="52">
        <f>B619+1</f>
        <v>87</v>
      </c>
      <c r="C624" t="str">
        <f ca="1">INDIRECT($F$292 &amp; ADDRESS(B624, 1,4  ))</f>
        <v>Other Studies (traffic, wetlands, etc.)</v>
      </c>
      <c r="D624" t="str">
        <f>ADDRESS(B624, 2,4  )</f>
        <v>B87</v>
      </c>
      <c r="E624">
        <f t="shared" ca="1" si="202"/>
        <v>0</v>
      </c>
      <c r="F624" t="str">
        <f ca="1">CONCATENATE("Enter a value for '", C624, "' in cell ", D624, ".", CHAR(10))</f>
        <v xml:space="preserve">Enter a value for 'Other Studies (traffic, wetlands, etc.)' in cell B87.
</v>
      </c>
      <c r="G624" s="9" t="str">
        <f t="shared" ca="1" si="203"/>
        <v xml:space="preserve">The total of development budget in column B must be greater than zero.
</v>
      </c>
    </row>
    <row r="625" spans="1:7" ht="15" customHeight="1">
      <c r="A625" t="str">
        <f ca="1">IF(AND(Calculations!$B$5, E625=""), F625, "")</f>
        <v/>
      </c>
      <c r="B625" t="s">
        <v>457</v>
      </c>
      <c r="C625" t="str">
        <f ca="1">INDIRECT($F$292 &amp; ADDRESS(B624, 1,4  ))</f>
        <v>Other Studies (traffic, wetlands, etc.)</v>
      </c>
      <c r="D625" t="str">
        <f>ADDRESS(B624, 3,4  )</f>
        <v>C87</v>
      </c>
      <c r="E625">
        <f t="shared" ca="1" si="202"/>
        <v>0</v>
      </c>
      <c r="F625" t="str">
        <f ca="1">CONCATENATE("Enter an '4% LIHTC Basis Calculation' value for '", C625, "' in cell ", D625, ".", CHAR(10))</f>
        <v xml:space="preserve">Enter an '4% LIHTC Basis Calculation' value for 'Other Studies (traffic, wetlands, etc.)' in cell C87.
</v>
      </c>
      <c r="G625" s="9" t="str">
        <f t="shared" ca="1" si="203"/>
        <v xml:space="preserve">The total of development budget in column B must be greater than zero.
</v>
      </c>
    </row>
    <row r="626" spans="1:7" ht="15" customHeight="1">
      <c r="A626" t="str">
        <f ca="1">IF(AND(Calculations!$B$6, E626=""), F626, "")</f>
        <v/>
      </c>
      <c r="B626" t="s">
        <v>457</v>
      </c>
      <c r="C626" t="str">
        <f ca="1">INDIRECT($F$292 &amp; ADDRESS(B624, 1,4  ))</f>
        <v>Other Studies (traffic, wetlands, etc.)</v>
      </c>
      <c r="D626" t="str">
        <f>ADDRESS(B624, 4,4  )</f>
        <v>D87</v>
      </c>
      <c r="E626">
        <f t="shared" ca="1" si="202"/>
        <v>0</v>
      </c>
      <c r="F626" t="str">
        <f ca="1">CONCATENATE("Enter an '9% LIHTC Basis Calculation' value for '", C626, "' in cell ", D626, ".", CHAR(10))</f>
        <v xml:space="preserve">Enter an '9% LIHTC Basis Calculation' value for 'Other Studies (traffic, wetlands, etc.)' in cell D87.
</v>
      </c>
      <c r="G626" s="9" t="str">
        <f t="shared" ca="1" si="203"/>
        <v xml:space="preserve">The total of development budget in column B must be greater than zero.
</v>
      </c>
    </row>
    <row r="627" spans="1:7" ht="15" customHeight="1">
      <c r="A627" t="str">
        <f ca="1">IF(AND(OR(Calculations!$B$3:$B$4), E627=""), F627, "")</f>
        <v/>
      </c>
      <c r="B627" t="s">
        <v>457</v>
      </c>
      <c r="C627" t="str">
        <f ca="1">INDIRECT($F$292 &amp; ADDRESS(B624, 1,4  ))</f>
        <v>Other Studies (traffic, wetlands, etc.)</v>
      </c>
      <c r="D627" t="str">
        <f>ADDRESS(B624, 5,4  )</f>
        <v>E87</v>
      </c>
      <c r="E627">
        <f t="shared" ca="1" si="202"/>
        <v>0</v>
      </c>
      <c r="F627" t="str">
        <f ca="1">CONCATENATE("Enter an 'Amount Last Provided to CHFA' value for '", C627, "' in cell ", D627, ".", CHAR(10))</f>
        <v xml:space="preserve">Enter an 'Amount Last Provided to CHFA' value for 'Other Studies (traffic, wetlands, etc.)' in cell E87.
</v>
      </c>
      <c r="G627" s="9" t="str">
        <f t="shared" ca="1" si="203"/>
        <v xml:space="preserve">The total of development budget in column B must be greater than zero.
</v>
      </c>
    </row>
    <row r="628" spans="1:7" ht="15" customHeight="1">
      <c r="A628" t="str">
        <f ca="1">IF(AND(Calculations!$B$3, E628=""), F628, "")</f>
        <v/>
      </c>
      <c r="B628" t="s">
        <v>457</v>
      </c>
      <c r="C628" t="str">
        <f ca="1">INDIRECT($F$292 &amp; ADDRESS(B624, 1,4  ))</f>
        <v>Other Studies (traffic, wetlands, etc.)</v>
      </c>
      <c r="D628" t="str">
        <f>ADDRESS(B624, 6,4  )</f>
        <v>F87</v>
      </c>
      <c r="E628">
        <f t="shared" ca="1" si="202"/>
        <v>0</v>
      </c>
      <c r="F628" t="str">
        <f ca="1">CONCATENATE("Enter a '10% Carryover Actual Incurred Costs' value for '", C628, "' in cell ", D628, ".", CHAR(10))</f>
        <v xml:space="preserve">Enter a '10% Carryover Actual Incurred Costs' value for 'Other Studies (traffic, wetlands, etc.)' in cell F87.
</v>
      </c>
      <c r="G628" s="9" t="str">
        <f t="shared" ca="1" si="203"/>
        <v xml:space="preserve">The total of development budget in column B must be greater than zero.
</v>
      </c>
    </row>
    <row r="629" spans="1:7" ht="15" customHeight="1">
      <c r="A629" t="str">
        <f ca="1">IF(E629="", F629, "")</f>
        <v/>
      </c>
      <c r="B629" s="52">
        <f>B624+1</f>
        <v>88</v>
      </c>
      <c r="C629" t="str">
        <f ca="1">INDIRECT($F$292 &amp; ADDRESS(B629, 1,4  ))</f>
        <v>Tax Credit Fees</v>
      </c>
      <c r="D629" t="str">
        <f>ADDRESS(B629, 2,4  )</f>
        <v>B88</v>
      </c>
      <c r="E629">
        <f t="shared" ref="E629:E659" ca="1" si="204">IF(ISBLANK( INDIRECT($F$292 &amp; D629)),"", INDIRECT($F$292 &amp; D629))</f>
        <v>0</v>
      </c>
      <c r="F629" t="str">
        <f ca="1">CONCATENATE("Enter a value for '", C629, "' in cell ", D629, ".", CHAR(10))</f>
        <v xml:space="preserve">Enter a value for 'Tax Credit Fees' in cell B88.
</v>
      </c>
      <c r="G629" s="9" t="str">
        <f t="shared" ca="1" si="203"/>
        <v xml:space="preserve">The total of development budget in column B must be greater than zero.
</v>
      </c>
    </row>
    <row r="630" spans="1:7" ht="15" customHeight="1">
      <c r="A630" t="str">
        <f ca="1">IF(AND(OR(Calculations!$B$3:$B$4), E630=""), F630, "")</f>
        <v/>
      </c>
      <c r="B630" t="s">
        <v>457</v>
      </c>
      <c r="C630" t="str">
        <f ca="1">INDIRECT($F$292 &amp; ADDRESS(B629, 1,4  ))</f>
        <v>Tax Credit Fees</v>
      </c>
      <c r="D630" t="str">
        <f>ADDRESS(B629, 5,4  )</f>
        <v>E88</v>
      </c>
      <c r="E630">
        <f t="shared" ca="1" si="204"/>
        <v>0</v>
      </c>
      <c r="F630" t="str">
        <f ca="1">CONCATENATE("Enter an 'Amount Last Provided to CHFA' value for '", C630, "' in cell ", D630, ".", CHAR(10))</f>
        <v xml:space="preserve">Enter an 'Amount Last Provided to CHFA' value for 'Tax Credit Fees' in cell E88.
</v>
      </c>
      <c r="G630" s="9" t="str">
        <f t="shared" ca="1" si="203"/>
        <v xml:space="preserve">The total of development budget in column B must be greater than zero.
</v>
      </c>
    </row>
    <row r="631" spans="1:7" ht="15" customHeight="1">
      <c r="A631" t="str">
        <f ca="1">IF(AND(Calculations!$B$3, E631=""), F631, "")</f>
        <v/>
      </c>
      <c r="B631" t="s">
        <v>457</v>
      </c>
      <c r="C631" t="str">
        <f ca="1">INDIRECT($F$292 &amp; ADDRESS(B629, 1,4  ))</f>
        <v>Tax Credit Fees</v>
      </c>
      <c r="D631" t="str">
        <f>ADDRESS(B629, 6,4  )</f>
        <v>F88</v>
      </c>
      <c r="E631">
        <f t="shared" ca="1" si="204"/>
        <v>0</v>
      </c>
      <c r="F631" t="str">
        <f ca="1">CONCATENATE("Enter a '10% Carryover Actual Incurred Costs' value for '", C631, "' in cell ", D631, ".", CHAR(10))</f>
        <v xml:space="preserve">Enter a '10% Carryover Actual Incurred Costs' value for 'Tax Credit Fees' in cell F88.
</v>
      </c>
      <c r="G631" s="9" t="str">
        <f t="shared" ca="1" si="203"/>
        <v xml:space="preserve">The total of development budget in column B must be greater than zero.
</v>
      </c>
    </row>
    <row r="632" spans="1:7" ht="15" customHeight="1">
      <c r="A632" t="str">
        <f ca="1">IF(E632="", F632, "")</f>
        <v/>
      </c>
      <c r="B632" s="52">
        <f>B629+1</f>
        <v>89</v>
      </c>
      <c r="C632" t="str">
        <f ca="1">INDIRECT($F$292 &amp; ADDRESS(B632, 1,4  ))</f>
        <v>Compliance Fees</v>
      </c>
      <c r="D632" t="str">
        <f>ADDRESS(B632, 2,4  )</f>
        <v>B89</v>
      </c>
      <c r="E632">
        <f t="shared" ca="1" si="204"/>
        <v>0</v>
      </c>
      <c r="F632" t="str">
        <f ca="1">CONCATENATE("Enter a value for '", C632, "' in cell ", D632, ".", CHAR(10))</f>
        <v xml:space="preserve">Enter a value for 'Compliance Fees' in cell B89.
</v>
      </c>
      <c r="G632" s="9" t="str">
        <f t="shared" ca="1" si="203"/>
        <v xml:space="preserve">The total of development budget in column B must be greater than zero.
</v>
      </c>
    </row>
    <row r="633" spans="1:7" ht="15" customHeight="1">
      <c r="A633" t="str">
        <f ca="1">IF(AND(OR(Calculations!$B$3:$B$4), E633=""), F633, "")</f>
        <v/>
      </c>
      <c r="B633" t="s">
        <v>457</v>
      </c>
      <c r="C633" t="str">
        <f ca="1">INDIRECT($F$292 &amp; ADDRESS(B632, 1,4  ))</f>
        <v>Compliance Fees</v>
      </c>
      <c r="D633" t="str">
        <f>ADDRESS(B632, 5,4  )</f>
        <v>E89</v>
      </c>
      <c r="E633">
        <f t="shared" ca="1" si="204"/>
        <v>0</v>
      </c>
      <c r="F633" t="str">
        <f ca="1">CONCATENATE("Enter an 'Amount Last Provided to CHFA' value for '", C633, "' in cell ", D633, ".", CHAR(10))</f>
        <v xml:space="preserve">Enter an 'Amount Last Provided to CHFA' value for 'Compliance Fees' in cell E89.
</v>
      </c>
      <c r="G633" s="9" t="str">
        <f t="shared" ca="1" si="203"/>
        <v xml:space="preserve">The total of development budget in column B must be greater than zero.
</v>
      </c>
    </row>
    <row r="634" spans="1:7" ht="15" customHeight="1">
      <c r="A634" t="str">
        <f ca="1">IF(AND(Calculations!$B$3, E634=""), F634, "")</f>
        <v/>
      </c>
      <c r="B634" t="s">
        <v>457</v>
      </c>
      <c r="C634" t="str">
        <f ca="1">INDIRECT($F$292 &amp; ADDRESS(B632, 1,4  ))</f>
        <v>Compliance Fees</v>
      </c>
      <c r="D634" t="str">
        <f>ADDRESS(B632, 6,4  )</f>
        <v>F89</v>
      </c>
      <c r="E634">
        <f t="shared" ca="1" si="204"/>
        <v>0</v>
      </c>
      <c r="F634" t="str">
        <f ca="1">CONCATENATE("Enter a '10% Carryover Actual Incurred Costs' value for '", C634, "' in cell ", D634, ".", CHAR(10))</f>
        <v xml:space="preserve">Enter a '10% Carryover Actual Incurred Costs' value for 'Compliance Fees' in cell F89.
</v>
      </c>
      <c r="G634" s="9" t="str">
        <f t="shared" ca="1" si="203"/>
        <v xml:space="preserve">The total of development budget in column B must be greater than zero.
</v>
      </c>
    </row>
    <row r="635" spans="1:7" ht="15" customHeight="1">
      <c r="A635" t="str">
        <f ca="1">IF(E635="", F635, "")</f>
        <v/>
      </c>
      <c r="B635" s="52">
        <f>B632+1</f>
        <v>90</v>
      </c>
      <c r="C635" t="str">
        <f ca="1">INDIRECT($F$292 &amp; ADDRESS(B635, 1,4  ))</f>
        <v>Cost Certification</v>
      </c>
      <c r="D635" t="str">
        <f>ADDRESS(B635, 2,4  )</f>
        <v>B90</v>
      </c>
      <c r="E635">
        <f t="shared" ca="1" si="204"/>
        <v>0</v>
      </c>
      <c r="F635" t="str">
        <f ca="1">CONCATENATE("Enter a value for '", C635, "' in cell ", D635, ".", CHAR(10))</f>
        <v xml:space="preserve">Enter a value for 'Cost Certification' in cell B90.
</v>
      </c>
      <c r="G635" s="9" t="str">
        <f t="shared" ca="1" si="203"/>
        <v xml:space="preserve">The total of development budget in column B must be greater than zero.
</v>
      </c>
    </row>
    <row r="636" spans="1:7" ht="15" customHeight="1">
      <c r="A636" t="str">
        <f ca="1">IF(AND(Calculations!$B$5, E636=""), F636, "")</f>
        <v/>
      </c>
      <c r="B636" t="s">
        <v>457</v>
      </c>
      <c r="C636" t="str">
        <f ca="1">INDIRECT($F$292 &amp; ADDRESS(B635, 1,4  ))</f>
        <v>Cost Certification</v>
      </c>
      <c r="D636" t="str">
        <f>ADDRESS(B635, 3,4  )</f>
        <v>C90</v>
      </c>
      <c r="E636">
        <f t="shared" ca="1" si="204"/>
        <v>0</v>
      </c>
      <c r="F636" t="str">
        <f ca="1">CONCATENATE("Enter an '4% LIHTC Basis Calculation' value for '", C636, "' in cell ", D636, ".", CHAR(10))</f>
        <v xml:space="preserve">Enter an '4% LIHTC Basis Calculation' value for 'Cost Certification' in cell C90.
</v>
      </c>
      <c r="G636" s="9" t="str">
        <f t="shared" ca="1" si="203"/>
        <v xml:space="preserve">The total of development budget in column B must be greater than zero.
</v>
      </c>
    </row>
    <row r="637" spans="1:7" ht="15" customHeight="1">
      <c r="A637" t="str">
        <f ca="1">IF(AND(Calculations!$B$6, E637=""), F637, "")</f>
        <v/>
      </c>
      <c r="B637" t="s">
        <v>457</v>
      </c>
      <c r="C637" t="str">
        <f ca="1">INDIRECT($F$292 &amp; ADDRESS(B635, 1,4  ))</f>
        <v>Cost Certification</v>
      </c>
      <c r="D637" t="str">
        <f>ADDRESS(B635, 4,4  )</f>
        <v>D90</v>
      </c>
      <c r="E637">
        <f t="shared" ca="1" si="204"/>
        <v>0</v>
      </c>
      <c r="F637" t="str">
        <f ca="1">CONCATENATE("Enter an '9% LIHTC Basis Calculation' value for '", C637, "' in cell ", D637, ".", CHAR(10))</f>
        <v xml:space="preserve">Enter an '9% LIHTC Basis Calculation' value for 'Cost Certification' in cell D90.
</v>
      </c>
      <c r="G637" s="9" t="str">
        <f t="shared" ca="1" si="203"/>
        <v xml:space="preserve">The total of development budget in column B must be greater than zero.
</v>
      </c>
    </row>
    <row r="638" spans="1:7" ht="15" customHeight="1">
      <c r="A638" t="str">
        <f ca="1">IF(AND(OR(Calculations!$B$3:$B$4), E638=""), F638, "")</f>
        <v/>
      </c>
      <c r="B638" t="s">
        <v>457</v>
      </c>
      <c r="C638" t="str">
        <f ca="1">INDIRECT($F$292 &amp; ADDRESS(B635, 1,4  ))</f>
        <v>Cost Certification</v>
      </c>
      <c r="D638" t="str">
        <f>ADDRESS(B635, 5,4  )</f>
        <v>E90</v>
      </c>
      <c r="E638">
        <f t="shared" ca="1" si="204"/>
        <v>0</v>
      </c>
      <c r="F638" t="str">
        <f ca="1">CONCATENATE("Enter an 'Amount Last Provided to CHFA' value for '", C638, "' in cell ", D638, ".", CHAR(10))</f>
        <v xml:space="preserve">Enter an 'Amount Last Provided to CHFA' value for 'Cost Certification' in cell E90.
</v>
      </c>
      <c r="G638" s="9" t="str">
        <f t="shared" ca="1" si="203"/>
        <v xml:space="preserve">The total of development budget in column B must be greater than zero.
</v>
      </c>
    </row>
    <row r="639" spans="1:7" ht="15" customHeight="1">
      <c r="A639" t="str">
        <f ca="1">IF(AND(Calculations!$B$3, E639=""), F639, "")</f>
        <v/>
      </c>
      <c r="B639" t="s">
        <v>457</v>
      </c>
      <c r="C639" t="str">
        <f ca="1">INDIRECT($F$292 &amp; ADDRESS(B635, 1,4  ))</f>
        <v>Cost Certification</v>
      </c>
      <c r="D639" t="str">
        <f>ADDRESS(B635, 6,4  )</f>
        <v>F90</v>
      </c>
      <c r="E639">
        <f t="shared" ca="1" si="204"/>
        <v>0</v>
      </c>
      <c r="F639" t="str">
        <f ca="1">CONCATENATE("Enter a '10% Carryover Actual Incurred Costs' value for '", C639, "' in cell ", D639, ".", CHAR(10))</f>
        <v xml:space="preserve">Enter a '10% Carryover Actual Incurred Costs' value for 'Cost Certification' in cell F90.
</v>
      </c>
      <c r="G639" s="9" t="str">
        <f t="shared" ca="1" si="203"/>
        <v xml:space="preserve">The total of development budget in column B must be greater than zero.
</v>
      </c>
    </row>
    <row r="640" spans="1:7" ht="15" customHeight="1">
      <c r="A640" t="str">
        <f ca="1">IF(E640="", F640, "")</f>
        <v/>
      </c>
      <c r="B640" s="52">
        <f>B635+1</f>
        <v>91</v>
      </c>
      <c r="C640" t="str">
        <f ca="1">INDIRECT($F$292 &amp; ADDRESS(B640, 1,4  ))</f>
        <v>Green Certification Fees (LEED Certification, etc.)</v>
      </c>
      <c r="D640" t="str">
        <f>ADDRESS(B640, 2,4  )</f>
        <v>B91</v>
      </c>
      <c r="E640">
        <f t="shared" ca="1" si="204"/>
        <v>0</v>
      </c>
      <c r="F640" t="str">
        <f ca="1">CONCATENATE("Enter a value for '", C640, "' in cell ", D640, ".", CHAR(10))</f>
        <v xml:space="preserve">Enter a value for 'Green Certification Fees (LEED Certification, etc.)' in cell B91.
</v>
      </c>
      <c r="G640" s="9" t="str">
        <f t="shared" ca="1" si="203"/>
        <v xml:space="preserve">The total of development budget in column B must be greater than zero.
</v>
      </c>
    </row>
    <row r="641" spans="1:7" ht="15" customHeight="1">
      <c r="A641" t="str">
        <f ca="1">IF(AND(Calculations!$B$5, E641=""), F641, "")</f>
        <v/>
      </c>
      <c r="B641" t="s">
        <v>457</v>
      </c>
      <c r="C641" t="str">
        <f ca="1">INDIRECT($F$292 &amp; ADDRESS(B640, 1,4  ))</f>
        <v>Green Certification Fees (LEED Certification, etc.)</v>
      </c>
      <c r="D641" t="str">
        <f>ADDRESS(B640, 3,4  )</f>
        <v>C91</v>
      </c>
      <c r="E641">
        <f t="shared" ca="1" si="204"/>
        <v>0</v>
      </c>
      <c r="F641" t="str">
        <f ca="1">CONCATENATE("Enter an '4% LIHTC Basis Calculation' value for '", C641, "' in cell ", D641, ".", CHAR(10))</f>
        <v xml:space="preserve">Enter an '4% LIHTC Basis Calculation' value for 'Green Certification Fees (LEED Certification, etc.)' in cell C91.
</v>
      </c>
      <c r="G641" s="9" t="str">
        <f t="shared" ca="1" si="203"/>
        <v xml:space="preserve">The total of development budget in column B must be greater than zero.
</v>
      </c>
    </row>
    <row r="642" spans="1:7" ht="15" customHeight="1">
      <c r="A642" t="str">
        <f ca="1">IF(AND(Calculations!$B$6, E642=""), F642, "")</f>
        <v/>
      </c>
      <c r="B642" t="s">
        <v>457</v>
      </c>
      <c r="C642" t="str">
        <f ca="1">INDIRECT($F$292 &amp; ADDRESS(B640, 1,4  ))</f>
        <v>Green Certification Fees (LEED Certification, etc.)</v>
      </c>
      <c r="D642" t="str">
        <f>ADDRESS(B640, 4,4  )</f>
        <v>D91</v>
      </c>
      <c r="E642">
        <f t="shared" ca="1" si="204"/>
        <v>0</v>
      </c>
      <c r="F642" t="str">
        <f ca="1">CONCATENATE("Enter an '9% LIHTC Basis Calculation' value for '", C642, "' in cell ", D642, ".", CHAR(10))</f>
        <v xml:space="preserve">Enter an '9% LIHTC Basis Calculation' value for 'Green Certification Fees (LEED Certification, etc.)' in cell D91.
</v>
      </c>
      <c r="G642" s="9" t="str">
        <f t="shared" ca="1" si="203"/>
        <v xml:space="preserve">The total of development budget in column B must be greater than zero.
</v>
      </c>
    </row>
    <row r="643" spans="1:7" ht="15" customHeight="1">
      <c r="A643" t="str">
        <f ca="1">IF(AND(OR(Calculations!$B$3:$B$4), E643=""), F643, "")</f>
        <v/>
      </c>
      <c r="B643" t="s">
        <v>457</v>
      </c>
      <c r="C643" t="str">
        <f ca="1">INDIRECT($F$292 &amp; ADDRESS(B640, 1,4  ))</f>
        <v>Green Certification Fees (LEED Certification, etc.)</v>
      </c>
      <c r="D643" t="str">
        <f>ADDRESS(B640, 5,4  )</f>
        <v>E91</v>
      </c>
      <c r="E643">
        <f t="shared" ca="1" si="204"/>
        <v>0</v>
      </c>
      <c r="F643" t="str">
        <f ca="1">CONCATENATE("Enter an 'Amount Last Provided to CHFA' value for '", C643, "' in cell ", D643, ".", CHAR(10))</f>
        <v xml:space="preserve">Enter an 'Amount Last Provided to CHFA' value for 'Green Certification Fees (LEED Certification, etc.)' in cell E91.
</v>
      </c>
      <c r="G643" s="9" t="str">
        <f t="shared" ca="1" si="203"/>
        <v xml:space="preserve">The total of development budget in column B must be greater than zero.
</v>
      </c>
    </row>
    <row r="644" spans="1:7" ht="15" customHeight="1">
      <c r="A644" t="str">
        <f ca="1">IF(AND(Calculations!$B$3, E644=""), F644, "")</f>
        <v/>
      </c>
      <c r="B644" t="s">
        <v>457</v>
      </c>
      <c r="C644" t="str">
        <f ca="1">INDIRECT($F$292 &amp; ADDRESS(B640, 1,4  ))</f>
        <v>Green Certification Fees (LEED Certification, etc.)</v>
      </c>
      <c r="D644" t="str">
        <f>ADDRESS(B640, 6,4  )</f>
        <v>F91</v>
      </c>
      <c r="E644">
        <f t="shared" ca="1" si="204"/>
        <v>0</v>
      </c>
      <c r="F644" t="str">
        <f ca="1">CONCATENATE("Enter a '10% Carryover Actual Incurred Costs' value for '", C644, "' in cell ", D644, ".", CHAR(10))</f>
        <v xml:space="preserve">Enter a '10% Carryover Actual Incurred Costs' value for 'Green Certification Fees (LEED Certification, etc.)' in cell F91.
</v>
      </c>
      <c r="G644" s="9" t="str">
        <f t="shared" ca="1" si="203"/>
        <v xml:space="preserve">The total of development budget in column B must be greater than zero.
</v>
      </c>
    </row>
    <row r="645" spans="1:7" ht="15" customHeight="1">
      <c r="A645" t="str">
        <f ca="1">IF(E645="", F645, "")</f>
        <v/>
      </c>
      <c r="B645" s="52">
        <f>B640+1</f>
        <v>92</v>
      </c>
      <c r="C645" t="str">
        <f ca="1">INDIRECT($F$292 &amp; ADDRESS(B645, 1,4  ))</f>
        <v>Relocation - Temporary</v>
      </c>
      <c r="D645" t="str">
        <f>ADDRESS(B645, 2,4  )</f>
        <v>B92</v>
      </c>
      <c r="E645">
        <f t="shared" ca="1" si="204"/>
        <v>0</v>
      </c>
      <c r="F645" t="str">
        <f ca="1">CONCATENATE("Enter a value for '", C645, "' in cell ", D645, ".", CHAR(10))</f>
        <v xml:space="preserve">Enter a value for 'Relocation - Temporary' in cell B92.
</v>
      </c>
      <c r="G645" s="9" t="str">
        <f t="shared" ca="1" si="203"/>
        <v xml:space="preserve">The total of development budget in column B must be greater than zero.
</v>
      </c>
    </row>
    <row r="646" spans="1:7" ht="15" customHeight="1">
      <c r="A646" t="str">
        <f ca="1">IF(AND(Calculations!$B$5, E646=""), F646, "")</f>
        <v/>
      </c>
      <c r="B646" t="s">
        <v>457</v>
      </c>
      <c r="C646" t="str">
        <f ca="1">INDIRECT($F$292 &amp; ADDRESS(B645, 1,4  ))</f>
        <v>Relocation - Temporary</v>
      </c>
      <c r="D646" t="str">
        <f>ADDRESS(B645, 3,4  )</f>
        <v>C92</v>
      </c>
      <c r="E646">
        <f t="shared" ca="1" si="204"/>
        <v>0</v>
      </c>
      <c r="F646" t="str">
        <f ca="1">CONCATENATE("Enter an '4% LIHTC Basis Calculation' value for '", C646, "' in cell ", D646, ".", CHAR(10))</f>
        <v xml:space="preserve">Enter an '4% LIHTC Basis Calculation' value for 'Relocation - Temporary' in cell C92.
</v>
      </c>
      <c r="G646" s="9" t="str">
        <f t="shared" ca="1" si="203"/>
        <v xml:space="preserve">The total of development budget in column B must be greater than zero.
</v>
      </c>
    </row>
    <row r="647" spans="1:7" ht="15" customHeight="1">
      <c r="A647" t="str">
        <f ca="1">IF(AND(Calculations!$B$6, E647=""), F647, "")</f>
        <v/>
      </c>
      <c r="B647" t="s">
        <v>457</v>
      </c>
      <c r="C647" t="str">
        <f ca="1">INDIRECT($F$292 &amp; ADDRESS(B645, 1,4  ))</f>
        <v>Relocation - Temporary</v>
      </c>
      <c r="D647" t="str">
        <f>ADDRESS(B645, 4,4  )</f>
        <v>D92</v>
      </c>
      <c r="E647">
        <f t="shared" ca="1" si="204"/>
        <v>0</v>
      </c>
      <c r="F647" t="str">
        <f ca="1">CONCATENATE("Enter an '9% LIHTC Basis Calculation' value for '", C647, "' in cell ", D647, ".", CHAR(10))</f>
        <v xml:space="preserve">Enter an '9% LIHTC Basis Calculation' value for 'Relocation - Temporary' in cell D92.
</v>
      </c>
      <c r="G647" s="9" t="str">
        <f t="shared" ca="1" si="203"/>
        <v xml:space="preserve">The total of development budget in column B must be greater than zero.
</v>
      </c>
    </row>
    <row r="648" spans="1:7" ht="15" customHeight="1">
      <c r="A648" t="str">
        <f ca="1">IF(AND(OR(Calculations!$B$3:$B$4), E648=""), F648, "")</f>
        <v/>
      </c>
      <c r="B648" t="s">
        <v>457</v>
      </c>
      <c r="C648" t="str">
        <f ca="1">INDIRECT($F$292 &amp; ADDRESS(B645, 1,4  ))</f>
        <v>Relocation - Temporary</v>
      </c>
      <c r="D648" t="str">
        <f>ADDRESS(B645, 5,4  )</f>
        <v>E92</v>
      </c>
      <c r="E648">
        <f t="shared" ca="1" si="204"/>
        <v>0</v>
      </c>
      <c r="F648" t="str">
        <f ca="1">CONCATENATE("Enter an 'Amount Last Provided to CHFA' value for '", C648, "' in cell ", D648, ".", CHAR(10))</f>
        <v xml:space="preserve">Enter an 'Amount Last Provided to CHFA' value for 'Relocation - Temporary' in cell E92.
</v>
      </c>
      <c r="G648" s="9" t="str">
        <f t="shared" ca="1" si="203"/>
        <v xml:space="preserve">The total of development budget in column B must be greater than zero.
</v>
      </c>
    </row>
    <row r="649" spans="1:7" ht="15" customHeight="1">
      <c r="A649" t="str">
        <f ca="1">IF(AND(Calculations!$B$3, E649=""), F649, "")</f>
        <v/>
      </c>
      <c r="B649" t="s">
        <v>457</v>
      </c>
      <c r="C649" t="str">
        <f ca="1">INDIRECT($F$292 &amp; ADDRESS(B645, 1,4  ))</f>
        <v>Relocation - Temporary</v>
      </c>
      <c r="D649" t="str">
        <f>ADDRESS(B645, 6,4  )</f>
        <v>F92</v>
      </c>
      <c r="E649">
        <f t="shared" ca="1" si="204"/>
        <v>0</v>
      </c>
      <c r="F649" t="str">
        <f ca="1">CONCATENATE("Enter a '10% Carryover Actual Incurred Costs' value for '", C649, "' in cell ", D649, ".", CHAR(10))</f>
        <v xml:space="preserve">Enter a '10% Carryover Actual Incurred Costs' value for 'Relocation - Temporary' in cell F92.
</v>
      </c>
      <c r="G649" s="9" t="str">
        <f t="shared" ca="1" si="203"/>
        <v xml:space="preserve">The total of development budget in column B must be greater than zero.
</v>
      </c>
    </row>
    <row r="650" spans="1:7" ht="15" customHeight="1">
      <c r="A650" t="str">
        <f ca="1">IF(E650="", F650, "")</f>
        <v/>
      </c>
      <c r="B650" s="52">
        <f>B645+1</f>
        <v>93</v>
      </c>
      <c r="C650" t="str">
        <f ca="1">INDIRECT($F$292 &amp; ADDRESS(B650, 1,4  ))</f>
        <v>Relocation - Permanent</v>
      </c>
      <c r="D650" t="str">
        <f>ADDRESS(B650, 2,4  )</f>
        <v>B93</v>
      </c>
      <c r="E650">
        <f t="shared" ca="1" si="204"/>
        <v>0</v>
      </c>
      <c r="F650" t="str">
        <f ca="1">CONCATENATE("Enter a value for '", C650, "' in cell ", D650, ".", CHAR(10))</f>
        <v xml:space="preserve">Enter a value for 'Relocation - Permanent' in cell B93.
</v>
      </c>
      <c r="G650" s="9" t="str">
        <f t="shared" ca="1" si="203"/>
        <v xml:space="preserve">The total of development budget in column B must be greater than zero.
</v>
      </c>
    </row>
    <row r="651" spans="1:7" ht="15" customHeight="1">
      <c r="A651" t="str">
        <f ca="1">IF(AND(Calculations!$B$5, E651=""), F651, "")</f>
        <v/>
      </c>
      <c r="B651" t="s">
        <v>457</v>
      </c>
      <c r="C651" t="str">
        <f ca="1">INDIRECT($F$292 &amp; ADDRESS(B650, 1,4  ))</f>
        <v>Relocation - Permanent</v>
      </c>
      <c r="D651" t="str">
        <f>ADDRESS(B650, 3,4  )</f>
        <v>C93</v>
      </c>
      <c r="E651">
        <f t="shared" ca="1" si="204"/>
        <v>0</v>
      </c>
      <c r="F651" t="str">
        <f ca="1">CONCATENATE("Enter an '4% LIHTC Basis Calculation' value for '", C651, "' in cell ", D651, ".", CHAR(10))</f>
        <v xml:space="preserve">Enter an '4% LIHTC Basis Calculation' value for 'Relocation - Permanent' in cell C93.
</v>
      </c>
      <c r="G651" s="9" t="str">
        <f t="shared" ca="1" si="203"/>
        <v xml:space="preserve">The total of development budget in column B must be greater than zero.
</v>
      </c>
    </row>
    <row r="652" spans="1:7" ht="15" customHeight="1">
      <c r="A652" t="str">
        <f ca="1">IF(AND(Calculations!$B$6, E652=""), F652, "")</f>
        <v/>
      </c>
      <c r="B652" t="s">
        <v>457</v>
      </c>
      <c r="C652" t="str">
        <f ca="1">INDIRECT($F$292 &amp; ADDRESS(B650, 1,4  ))</f>
        <v>Relocation - Permanent</v>
      </c>
      <c r="D652" t="str">
        <f>ADDRESS(B650, 4,4  )</f>
        <v>D93</v>
      </c>
      <c r="E652">
        <f t="shared" ca="1" si="204"/>
        <v>0</v>
      </c>
      <c r="F652" t="str">
        <f ca="1">CONCATENATE("Enter an '9% LIHTC Basis Calculation' value for '", C652, "' in cell ", D652, ".", CHAR(10))</f>
        <v xml:space="preserve">Enter an '9% LIHTC Basis Calculation' value for 'Relocation - Permanent' in cell D93.
</v>
      </c>
      <c r="G652" s="9" t="str">
        <f t="shared" ca="1" si="203"/>
        <v xml:space="preserve">The total of development budget in column B must be greater than zero.
</v>
      </c>
    </row>
    <row r="653" spans="1:7" ht="15" customHeight="1">
      <c r="A653" t="str">
        <f ca="1">IF(AND(OR(Calculations!$B$3:$B$4), E653=""), F653, "")</f>
        <v/>
      </c>
      <c r="B653" t="s">
        <v>457</v>
      </c>
      <c r="C653" t="str">
        <f ca="1">INDIRECT($F$292 &amp; ADDRESS(B650, 1,4  ))</f>
        <v>Relocation - Permanent</v>
      </c>
      <c r="D653" t="str">
        <f>ADDRESS(B650, 5,4  )</f>
        <v>E93</v>
      </c>
      <c r="E653">
        <f t="shared" ca="1" si="204"/>
        <v>0</v>
      </c>
      <c r="F653" t="str">
        <f ca="1">CONCATENATE("Enter an 'Amount Last Provided to CHFA' value for '", C653, "' in cell ", D653, ".", CHAR(10))</f>
        <v xml:space="preserve">Enter an 'Amount Last Provided to CHFA' value for 'Relocation - Permanent' in cell E93.
</v>
      </c>
      <c r="G653" s="9" t="str">
        <f t="shared" ca="1" si="203"/>
        <v xml:space="preserve">The total of development budget in column B must be greater than zero.
</v>
      </c>
    </row>
    <row r="654" spans="1:7" ht="15" customHeight="1">
      <c r="A654" t="str">
        <f ca="1">IF(AND(Calculations!$B$3, E654=""), F654, "")</f>
        <v/>
      </c>
      <c r="B654" t="s">
        <v>457</v>
      </c>
      <c r="C654" t="str">
        <f ca="1">INDIRECT($F$292 &amp; ADDRESS(B650, 1,4  ))</f>
        <v>Relocation - Permanent</v>
      </c>
      <c r="D654" t="str">
        <f>ADDRESS(B650, 6,4  )</f>
        <v>F93</v>
      </c>
      <c r="E654">
        <f t="shared" ca="1" si="204"/>
        <v>0</v>
      </c>
      <c r="F654" t="str">
        <f ca="1">CONCATENATE("Enter a '10% Carryover Actual Incurred Costs' value for '", C654, "' in cell ", D654, ".", CHAR(10))</f>
        <v xml:space="preserve">Enter a '10% Carryover Actual Incurred Costs' value for 'Relocation - Permanent' in cell F93.
</v>
      </c>
      <c r="G654" s="9" t="str">
        <f t="shared" ca="1" si="203"/>
        <v xml:space="preserve">The total of development budget in column B must be greater than zero.
</v>
      </c>
    </row>
    <row r="655" spans="1:7" ht="15" customHeight="1">
      <c r="A655" t="str">
        <f ca="1">IF(E655="", F655, "")</f>
        <v/>
      </c>
      <c r="B655" s="52">
        <f>B650+1</f>
        <v>94</v>
      </c>
      <c r="C655" t="str">
        <f ca="1">INDIRECT($F$292 &amp; ADDRESS(B655, 1,4  ))</f>
        <v>Soft Cost Contingency</v>
      </c>
      <c r="D655" t="str">
        <f>ADDRESS(B655, 2,4  )</f>
        <v>B94</v>
      </c>
      <c r="E655">
        <f t="shared" ca="1" si="204"/>
        <v>0</v>
      </c>
      <c r="F655" t="str">
        <f ca="1">CONCATENATE("Enter a value for '", C655, "' in cell ", D655, ".", CHAR(10))</f>
        <v xml:space="preserve">Enter a value for 'Soft Cost Contingency' in cell B94.
</v>
      </c>
      <c r="G655" s="9" t="str">
        <f t="shared" ca="1" si="203"/>
        <v xml:space="preserve">The total of development budget in column B must be greater than zero.
</v>
      </c>
    </row>
    <row r="656" spans="1:7" ht="15" customHeight="1">
      <c r="A656" t="str">
        <f ca="1">IF(AND(Calculations!$B$5, E656=""), F656, "")</f>
        <v/>
      </c>
      <c r="B656" t="s">
        <v>457</v>
      </c>
      <c r="C656" t="str">
        <f ca="1">INDIRECT($F$292 &amp; ADDRESS(B655, 1,4  ))</f>
        <v>Soft Cost Contingency</v>
      </c>
      <c r="D656" t="str">
        <f>ADDRESS(B655, 3,4  )</f>
        <v>C94</v>
      </c>
      <c r="E656">
        <f t="shared" ca="1" si="204"/>
        <v>0</v>
      </c>
      <c r="F656" t="str">
        <f ca="1">CONCATENATE("Enter an '4% LIHTC Basis Calculation' value for '", C656, "' in cell ", D656, ".", CHAR(10))</f>
        <v xml:space="preserve">Enter an '4% LIHTC Basis Calculation' value for 'Soft Cost Contingency' in cell C94.
</v>
      </c>
      <c r="G656" s="9" t="str">
        <f t="shared" ca="1" si="203"/>
        <v xml:space="preserve">The total of development budget in column B must be greater than zero.
</v>
      </c>
    </row>
    <row r="657" spans="1:7" ht="15" customHeight="1">
      <c r="A657" t="str">
        <f ca="1">IF(AND(Calculations!$B$6, E657=""), F657, "")</f>
        <v/>
      </c>
      <c r="B657" t="s">
        <v>457</v>
      </c>
      <c r="C657" t="str">
        <f ca="1">INDIRECT($F$292 &amp; ADDRESS(B655, 1,4  ))</f>
        <v>Soft Cost Contingency</v>
      </c>
      <c r="D657" t="str">
        <f>ADDRESS(B655, 4,4  )</f>
        <v>D94</v>
      </c>
      <c r="E657">
        <f t="shared" ca="1" si="204"/>
        <v>0</v>
      </c>
      <c r="F657" t="str">
        <f ca="1">CONCATENATE("Enter an '9% LIHTC Basis Calculation' value for '", C657, "' in cell ", D657, ".", CHAR(10))</f>
        <v xml:space="preserve">Enter an '9% LIHTC Basis Calculation' value for 'Soft Cost Contingency' in cell D94.
</v>
      </c>
      <c r="G657" s="9" t="str">
        <f t="shared" ca="1" si="203"/>
        <v xml:space="preserve">The total of development budget in column B must be greater than zero.
</v>
      </c>
    </row>
    <row r="658" spans="1:7" ht="15" customHeight="1">
      <c r="A658" t="str">
        <f ca="1">IF(AND(OR(Calculations!$B$3:$B$4), E658=""), F658, "")</f>
        <v/>
      </c>
      <c r="B658" t="s">
        <v>457</v>
      </c>
      <c r="C658" t="str">
        <f ca="1">INDIRECT($F$292 &amp; ADDRESS(B655, 1,4  ))</f>
        <v>Soft Cost Contingency</v>
      </c>
      <c r="D658" t="str">
        <f>ADDRESS(B655, 5,4  )</f>
        <v>E94</v>
      </c>
      <c r="E658">
        <f t="shared" ca="1" si="204"/>
        <v>0</v>
      </c>
      <c r="F658" t="str">
        <f ca="1">CONCATENATE("Enter an 'Amount Last Provided to CHFA' value for '", C658, "' in cell ", D658, ".", CHAR(10))</f>
        <v xml:space="preserve">Enter an 'Amount Last Provided to CHFA' value for 'Soft Cost Contingency' in cell E94.
</v>
      </c>
      <c r="G658" s="9" t="str">
        <f t="shared" ca="1" si="203"/>
        <v xml:space="preserve">The total of development budget in column B must be greater than zero.
</v>
      </c>
    </row>
    <row r="659" spans="1:7" ht="15" customHeight="1">
      <c r="A659" t="str">
        <f ca="1">IF(AND(Calculations!$B$3, E659=""), F659, "")</f>
        <v/>
      </c>
      <c r="B659" t="s">
        <v>457</v>
      </c>
      <c r="C659" t="str">
        <f ca="1">INDIRECT($F$292 &amp; ADDRESS(B655, 1,4  ))</f>
        <v>Soft Cost Contingency</v>
      </c>
      <c r="D659" t="str">
        <f>ADDRESS(B655, 6,4  )</f>
        <v>F94</v>
      </c>
      <c r="E659">
        <f t="shared" ca="1" si="204"/>
        <v>0</v>
      </c>
      <c r="F659" t="str">
        <f ca="1">CONCATENATE("Enter a '10% Carryover Actual Incurred Costs' value for '", C659, "' in cell ", D659, ".", CHAR(10))</f>
        <v xml:space="preserve">Enter a '10% Carryover Actual Incurred Costs' value for 'Soft Cost Contingency' in cell F94.
</v>
      </c>
      <c r="G659" s="9" t="str">
        <f t="shared" ca="1" si="203"/>
        <v xml:space="preserve">The total of development budget in column B must be greater than zero.
</v>
      </c>
    </row>
    <row r="660" spans="1:7" ht="15" customHeight="1">
      <c r="A660" t="str">
        <f ca="1">IF(E660="", F660, "")</f>
        <v/>
      </c>
      <c r="B660" s="52">
        <f>B655+1</f>
        <v>95</v>
      </c>
      <c r="C660" t="str">
        <f ca="1">INDIRECT($F$292 &amp; ADDRESS(B660, 1,4  ))</f>
        <v>Other (Specify)</v>
      </c>
      <c r="D660" t="str">
        <f>ADDRESS(B660, 2,4  )</f>
        <v>B95</v>
      </c>
      <c r="E660">
        <f ca="1">IF(ISBLANK( INDIRECT($F$292 &amp; D660)),"", INDIRECT($F$292 &amp; D660))</f>
        <v>0</v>
      </c>
      <c r="F660" t="str">
        <f ca="1">CONCATENATE("Enter a value for '", C660, "' in cell ", D660, ".", CHAR(10))</f>
        <v xml:space="preserve">Enter a value for 'Other (Specify)' in cell B95.
</v>
      </c>
      <c r="G660" s="9" t="str">
        <f t="shared" ca="1" si="203"/>
        <v xml:space="preserve">The total of development budget in column B must be greater than zero.
</v>
      </c>
    </row>
    <row r="661" spans="1:7" ht="15" customHeight="1">
      <c r="A661" t="str">
        <f ca="1">IF(AND(Calculations!$B$5, E661=""), F661, "")</f>
        <v/>
      </c>
      <c r="B661" t="s">
        <v>457</v>
      </c>
      <c r="C661" t="str">
        <f ca="1">INDIRECT($F$292 &amp; ADDRESS(B660, 1,4  ))</f>
        <v>Other (Specify)</v>
      </c>
      <c r="D661" t="str">
        <f>ADDRESS(B660, 3,4  )</f>
        <v>C95</v>
      </c>
      <c r="E661">
        <f ca="1">IF(ISBLANK( INDIRECT($F$292 &amp; D661)),"", INDIRECT($F$292 &amp; D661))</f>
        <v>0</v>
      </c>
      <c r="F661" t="str">
        <f ca="1">CONCATENATE("Enter an '4% LIHTC Basis Calculation' value for '", C661, "' in cell ", D661, ".", CHAR(10))</f>
        <v xml:space="preserve">Enter an '4% LIHTC Basis Calculation' value for 'Other (Specify)' in cell C95.
</v>
      </c>
      <c r="G661" s="9" t="str">
        <f t="shared" ca="1" si="203"/>
        <v xml:space="preserve">The total of development budget in column B must be greater than zero.
</v>
      </c>
    </row>
    <row r="662" spans="1:7" ht="15" customHeight="1">
      <c r="A662" t="str">
        <f ca="1">IF(AND(Calculations!$B$6, E662=""), F662, "")</f>
        <v/>
      </c>
      <c r="B662" t="s">
        <v>457</v>
      </c>
      <c r="C662" t="str">
        <f ca="1">INDIRECT($F$292 &amp; ADDRESS(B660, 1,4  ))</f>
        <v>Other (Specify)</v>
      </c>
      <c r="D662" t="str">
        <f>ADDRESS(B660, 4,4  )</f>
        <v>D95</v>
      </c>
      <c r="E662">
        <f ca="1">IF(ISBLANK( INDIRECT($F$292 &amp; D662)),"", INDIRECT($F$292 &amp; D662))</f>
        <v>0</v>
      </c>
      <c r="F662" t="str">
        <f ca="1">CONCATENATE("Enter an '9% LIHTC Basis Calculation' value for '", C662, "' in cell ", D662, ".", CHAR(10))</f>
        <v xml:space="preserve">Enter an '9% LIHTC Basis Calculation' value for 'Other (Specify)' in cell D95.
</v>
      </c>
      <c r="G662" s="9" t="str">
        <f t="shared" ca="1" si="203"/>
        <v xml:space="preserve">The total of development budget in column B must be greater than zero.
</v>
      </c>
    </row>
    <row r="663" spans="1:7" ht="15" customHeight="1">
      <c r="A663" t="str">
        <f ca="1">IF(AND(OR(Calculations!$B$3:$B$4), E663=""), F663, "")</f>
        <v/>
      </c>
      <c r="B663" t="s">
        <v>457</v>
      </c>
      <c r="C663" t="str">
        <f ca="1">INDIRECT($F$292 &amp; ADDRESS(B660, 1,4  ))</f>
        <v>Other (Specify)</v>
      </c>
      <c r="D663" t="str">
        <f>ADDRESS(B660, 5,4  )</f>
        <v>E95</v>
      </c>
      <c r="E663">
        <f ca="1">IF(ISBLANK( INDIRECT($F$292 &amp; D663)),"", INDIRECT($F$292 &amp; D663))</f>
        <v>0</v>
      </c>
      <c r="F663" t="str">
        <f ca="1">CONCATENATE("Enter an 'Amount Last Provided to CHFA' value for '", C663, "' in cell ", D663, ".", CHAR(10))</f>
        <v xml:space="preserve">Enter an 'Amount Last Provided to CHFA' value for 'Other (Specify)' in cell E95.
</v>
      </c>
      <c r="G663" s="9" t="str">
        <f t="shared" ca="1" si="203"/>
        <v xml:space="preserve">The total of development budget in column B must be greater than zero.
</v>
      </c>
    </row>
    <row r="664" spans="1:7" ht="15" customHeight="1">
      <c r="A664" t="str">
        <f ca="1">IF(AND(Calculations!$B$3, E664=""), F664, "")</f>
        <v/>
      </c>
      <c r="B664" t="s">
        <v>457</v>
      </c>
      <c r="C664" t="str">
        <f ca="1">INDIRECT($F$292 &amp; ADDRESS(B660, 1,4  ))</f>
        <v>Other (Specify)</v>
      </c>
      <c r="D664" t="str">
        <f>ADDRESS(B660, 6,4  )</f>
        <v>F95</v>
      </c>
      <c r="E664">
        <f ca="1">IF(ISBLANK( INDIRECT($F$292 &amp; D664)),"", INDIRECT($F$292 &amp; D664))</f>
        <v>0</v>
      </c>
      <c r="F664" t="str">
        <f ca="1">CONCATENATE("Enter a '10% Carryover Actual Incurred Costs' value for '", C664, "' in cell ", D664, ".", CHAR(10))</f>
        <v xml:space="preserve">Enter a '10% Carryover Actual Incurred Costs' value for 'Other (Specify)' in cell F95.
</v>
      </c>
      <c r="G664" s="9" t="str">
        <f t="shared" ca="1" si="203"/>
        <v xml:space="preserve">The total of development budget in column B must be greater than zero.
</v>
      </c>
    </row>
    <row r="665" spans="1:7" ht="15" customHeight="1">
      <c r="A665" t="str">
        <f ca="1">IF(AND(E665, SUM(E660:E664) &gt; 0), F665, "")</f>
        <v/>
      </c>
      <c r="C665" t="str">
        <f ca="1">INDIRECT($F$292 &amp; ADDRESS(B660, 1,4  ))</f>
        <v>Other (Specify)</v>
      </c>
      <c r="D665" t="str">
        <f>ADDRESS(B660, 1,4  )</f>
        <v>A95</v>
      </c>
      <c r="E665" t="b">
        <f ca="1">INDIRECT($F$292 &amp; D665)="Other (specify)"</f>
        <v>1</v>
      </c>
      <c r="F665" t="str">
        <f ca="1">CONCATENATE("Please specify value for '", C665, "' in cell ", D665, ".", CHAR(10))</f>
        <v xml:space="preserve">Please specify value for 'Other (Specify)' in cell A95.
</v>
      </c>
      <c r="G665" s="9" t="str">
        <f t="shared" ca="1" si="203"/>
        <v xml:space="preserve">The total of development budget in column B must be greater than zero.
</v>
      </c>
    </row>
    <row r="666" spans="1:7" ht="15" customHeight="1">
      <c r="A666" t="str">
        <f ca="1">IF(E666="", F666, "")</f>
        <v/>
      </c>
      <c r="B666" s="52">
        <f>B660+1</f>
        <v>96</v>
      </c>
      <c r="C666" t="str">
        <f ca="1">INDIRECT($F$292 &amp; ADDRESS(B666, 1,4  ))</f>
        <v>Other (Specify)</v>
      </c>
      <c r="D666" t="str">
        <f>ADDRESS(B666, 2,4  )</f>
        <v>B96</v>
      </c>
      <c r="E666">
        <f ca="1">IF(ISBLANK( INDIRECT($F$292 &amp; D666)),"", INDIRECT($F$292 &amp; D666))</f>
        <v>0</v>
      </c>
      <c r="F666" t="str">
        <f ca="1">CONCATENATE("Enter a value for '", C666, "' in cell ", D666, ".", CHAR(10))</f>
        <v xml:space="preserve">Enter a value for 'Other (Specify)' in cell B96.
</v>
      </c>
      <c r="G666" s="9" t="str">
        <f t="shared" ca="1" si="203"/>
        <v xml:space="preserve">The total of development budget in column B must be greater than zero.
</v>
      </c>
    </row>
    <row r="667" spans="1:7" ht="15" customHeight="1">
      <c r="A667" t="str">
        <f ca="1">IF(AND(Calculations!$B$5, E667=""), F667, "")</f>
        <v/>
      </c>
      <c r="B667" t="s">
        <v>457</v>
      </c>
      <c r="C667" t="str">
        <f ca="1">INDIRECT($F$292 &amp; ADDRESS(B666, 1,4  ))</f>
        <v>Other (Specify)</v>
      </c>
      <c r="D667" t="str">
        <f>ADDRESS(B666, 3,4  )</f>
        <v>C96</v>
      </c>
      <c r="E667">
        <f ca="1">IF(ISBLANK( INDIRECT($F$292 &amp; D667)),"", INDIRECT($F$292 &amp; D667))</f>
        <v>0</v>
      </c>
      <c r="F667" t="str">
        <f ca="1">CONCATENATE("Enter an '4% LIHTC Basis Calculation' value for '", C667, "' in cell ", D667, ".", CHAR(10))</f>
        <v xml:space="preserve">Enter an '4% LIHTC Basis Calculation' value for 'Other (Specify)' in cell C96.
</v>
      </c>
      <c r="G667" s="9" t="str">
        <f t="shared" ca="1" si="203"/>
        <v xml:space="preserve">The total of development budget in column B must be greater than zero.
</v>
      </c>
    </row>
    <row r="668" spans="1:7" ht="15" customHeight="1">
      <c r="A668" t="str">
        <f ca="1">IF(AND(Calculations!$B$6, E668=""), F668, "")</f>
        <v/>
      </c>
      <c r="B668" t="s">
        <v>457</v>
      </c>
      <c r="C668" t="str">
        <f ca="1">INDIRECT($F$292 &amp; ADDRESS(B666, 1,4  ))</f>
        <v>Other (Specify)</v>
      </c>
      <c r="D668" t="str">
        <f>ADDRESS(B666, 4,4  )</f>
        <v>D96</v>
      </c>
      <c r="E668">
        <f ca="1">IF(ISBLANK( INDIRECT($F$292 &amp; D668)),"", INDIRECT($F$292 &amp; D668))</f>
        <v>0</v>
      </c>
      <c r="F668" t="str">
        <f ca="1">CONCATENATE("Enter an '9% LIHTC Basis Calculation' value for '", C668, "' in cell ", D668, ".", CHAR(10))</f>
        <v xml:space="preserve">Enter an '9% LIHTC Basis Calculation' value for 'Other (Specify)' in cell D96.
</v>
      </c>
      <c r="G668" s="9" t="str">
        <f t="shared" ca="1" si="203"/>
        <v xml:space="preserve">The total of development budget in column B must be greater than zero.
</v>
      </c>
    </row>
    <row r="669" spans="1:7" ht="15" customHeight="1">
      <c r="A669" t="str">
        <f ca="1">IF(AND(OR(Calculations!$B$3:$B$4), E669=""), F669, "")</f>
        <v/>
      </c>
      <c r="B669" t="s">
        <v>457</v>
      </c>
      <c r="C669" t="str">
        <f ca="1">INDIRECT($F$292 &amp; ADDRESS(B666, 1,4  ))</f>
        <v>Other (Specify)</v>
      </c>
      <c r="D669" t="str">
        <f>ADDRESS(B666, 5,4  )</f>
        <v>E96</v>
      </c>
      <c r="E669">
        <f ca="1">IF(ISBLANK( INDIRECT($F$292 &amp; D669)),"", INDIRECT($F$292 &amp; D669))</f>
        <v>0</v>
      </c>
      <c r="F669" t="str">
        <f ca="1">CONCATENATE("Enter an 'Amount Last Provided to CHFA' value for '", C669, "' in cell ", D669, ".", CHAR(10))</f>
        <v xml:space="preserve">Enter an 'Amount Last Provided to CHFA' value for 'Other (Specify)' in cell E96.
</v>
      </c>
      <c r="G669" s="9" t="str">
        <f t="shared" ca="1" si="203"/>
        <v xml:space="preserve">The total of development budget in column B must be greater than zero.
</v>
      </c>
    </row>
    <row r="670" spans="1:7" ht="15" customHeight="1">
      <c r="A670" t="str">
        <f ca="1">IF(AND(Calculations!$B$3, E670=""), F670, "")</f>
        <v/>
      </c>
      <c r="B670" t="s">
        <v>457</v>
      </c>
      <c r="C670" t="str">
        <f ca="1">INDIRECT($F$292 &amp; ADDRESS(B666, 1,4  ))</f>
        <v>Other (Specify)</v>
      </c>
      <c r="D670" t="str">
        <f>ADDRESS(B666, 6,4  )</f>
        <v>F96</v>
      </c>
      <c r="E670">
        <f ca="1">IF(ISBLANK( INDIRECT($F$292 &amp; D670)),"", INDIRECT($F$292 &amp; D670))</f>
        <v>0</v>
      </c>
      <c r="F670" t="str">
        <f ca="1">CONCATENATE("Enter a '10% Carryover Actual Incurred Costs' value for '", C670, "' in cell ", D670, ".", CHAR(10))</f>
        <v xml:space="preserve">Enter a '10% Carryover Actual Incurred Costs' value for 'Other (Specify)' in cell F96.
</v>
      </c>
      <c r="G670" s="9" t="str">
        <f t="shared" ca="1" si="203"/>
        <v xml:space="preserve">The total of development budget in column B must be greater than zero.
</v>
      </c>
    </row>
    <row r="671" spans="1:7" ht="15" customHeight="1">
      <c r="A671" t="str">
        <f ca="1">IF(AND(E671, SUM(E666:E670) &gt; 0), F671, "")</f>
        <v/>
      </c>
      <c r="C671" t="str">
        <f ca="1">INDIRECT($F$292 &amp; ADDRESS(B666, 1,4  ))</f>
        <v>Other (Specify)</v>
      </c>
      <c r="D671" t="str">
        <f>ADDRESS(B666, 1,4  )</f>
        <v>A96</v>
      </c>
      <c r="E671" t="b">
        <f ca="1">INDIRECT($F$292 &amp; D671)="Other (specify)"</f>
        <v>1</v>
      </c>
      <c r="F671" t="str">
        <f ca="1">CONCATENATE("Please specify value for '", C671, "' in cell ", D671, ".", CHAR(10))</f>
        <v xml:space="preserve">Please specify value for 'Other (Specify)' in cell A96.
</v>
      </c>
      <c r="G671" s="9" t="str">
        <f t="shared" ca="1" si="203"/>
        <v xml:space="preserve">The total of development budget in column B must be greater than zero.
</v>
      </c>
    </row>
    <row r="672" spans="1:7" ht="15" customHeight="1">
      <c r="A672" t="str">
        <f ca="1">IF(E672="", F672, "")</f>
        <v/>
      </c>
      <c r="B672" s="52">
        <f>B666+1</f>
        <v>97</v>
      </c>
      <c r="C672" t="str">
        <f ca="1">INDIRECT($F$292 &amp; ADDRESS(B672, 1,4  ))</f>
        <v>Other (Specify)</v>
      </c>
      <c r="D672" t="str">
        <f>ADDRESS(B672, 2,4  )</f>
        <v>B97</v>
      </c>
      <c r="E672">
        <f ca="1">IF(ISBLANK( INDIRECT($F$292 &amp; D672)),"", INDIRECT($F$292 &amp; D672))</f>
        <v>0</v>
      </c>
      <c r="F672" t="str">
        <f ca="1">CONCATENATE("Enter a value for '", C672, "' in cell ", D672, ".", CHAR(10))</f>
        <v xml:space="preserve">Enter a value for 'Other (Specify)' in cell B97.
</v>
      </c>
      <c r="G672" s="9" t="str">
        <f t="shared" ca="1" si="203"/>
        <v xml:space="preserve">The total of development budget in column B must be greater than zero.
</v>
      </c>
    </row>
    <row r="673" spans="1:7" ht="15" customHeight="1">
      <c r="A673" t="str">
        <f ca="1">IF(AND(Calculations!$B$5, E673=""), F673, "")</f>
        <v/>
      </c>
      <c r="B673" t="s">
        <v>457</v>
      </c>
      <c r="C673" t="str">
        <f ca="1">INDIRECT($F$292 &amp; ADDRESS(B672, 1,4  ))</f>
        <v>Other (Specify)</v>
      </c>
      <c r="D673" t="str">
        <f>ADDRESS(B672, 3,4  )</f>
        <v>C97</v>
      </c>
      <c r="E673">
        <f ca="1">IF(ISBLANK( INDIRECT($F$292 &amp; D673)),"", INDIRECT($F$292 &amp; D673))</f>
        <v>0</v>
      </c>
      <c r="F673" t="str">
        <f ca="1">CONCATENATE("Enter an '4% LIHTC Basis Calculation' value for '", C673, "' in cell ", D673, ".", CHAR(10))</f>
        <v xml:space="preserve">Enter an '4% LIHTC Basis Calculation' value for 'Other (Specify)' in cell C97.
</v>
      </c>
      <c r="G673" s="9" t="str">
        <f t="shared" ca="1" si="203"/>
        <v xml:space="preserve">The total of development budget in column B must be greater than zero.
</v>
      </c>
    </row>
    <row r="674" spans="1:7" ht="15" customHeight="1">
      <c r="A674" t="str">
        <f ca="1">IF(AND(Calculations!$B$6, E674=""), F674, "")</f>
        <v/>
      </c>
      <c r="B674" t="s">
        <v>457</v>
      </c>
      <c r="C674" t="str">
        <f ca="1">INDIRECT($F$292 &amp; ADDRESS(B672, 1,4  ))</f>
        <v>Other (Specify)</v>
      </c>
      <c r="D674" t="str">
        <f>ADDRESS(B672, 4,4  )</f>
        <v>D97</v>
      </c>
      <c r="E674">
        <f ca="1">IF(ISBLANK( INDIRECT($F$292 &amp; D674)),"", INDIRECT($F$292 &amp; D674))</f>
        <v>0</v>
      </c>
      <c r="F674" t="str">
        <f ca="1">CONCATENATE("Enter an '9% LIHTC Basis Calculation' value for '", C674, "' in cell ", D674, ".", CHAR(10))</f>
        <v xml:space="preserve">Enter an '9% LIHTC Basis Calculation' value for 'Other (Specify)' in cell D97.
</v>
      </c>
      <c r="G674" s="9" t="str">
        <f t="shared" ca="1" si="203"/>
        <v xml:space="preserve">The total of development budget in column B must be greater than zero.
</v>
      </c>
    </row>
    <row r="675" spans="1:7" ht="15" customHeight="1">
      <c r="A675" t="str">
        <f ca="1">IF(AND(OR(Calculations!$B$3:$B$4), E675=""), F675, "")</f>
        <v/>
      </c>
      <c r="B675" t="s">
        <v>457</v>
      </c>
      <c r="C675" t="str">
        <f ca="1">INDIRECT($F$292 &amp; ADDRESS(B672, 1,4  ))</f>
        <v>Other (Specify)</v>
      </c>
      <c r="D675" t="str">
        <f>ADDRESS(B672, 5,4  )</f>
        <v>E97</v>
      </c>
      <c r="E675">
        <f ca="1">IF(ISBLANK( INDIRECT($F$292 &amp; D675)),"", INDIRECT($F$292 &amp; D675))</f>
        <v>0</v>
      </c>
      <c r="F675" t="str">
        <f ca="1">CONCATENATE("Enter an 'Amount Last Provided to CHFA' value for '", C675, "' in cell ", D675, ".", CHAR(10))</f>
        <v xml:space="preserve">Enter an 'Amount Last Provided to CHFA' value for 'Other (Specify)' in cell E97.
</v>
      </c>
      <c r="G675" s="9" t="str">
        <f t="shared" ca="1" si="203"/>
        <v xml:space="preserve">The total of development budget in column B must be greater than zero.
</v>
      </c>
    </row>
    <row r="676" spans="1:7" ht="15" customHeight="1">
      <c r="A676" t="str">
        <f ca="1">IF(AND(Calculations!$B$3, E676=""), F676, "")</f>
        <v/>
      </c>
      <c r="B676" t="s">
        <v>457</v>
      </c>
      <c r="C676" t="str">
        <f ca="1">INDIRECT($F$292 &amp; ADDRESS(B672, 1,4  ))</f>
        <v>Other (Specify)</v>
      </c>
      <c r="D676" t="str">
        <f>ADDRESS(B672, 6,4  )</f>
        <v>F97</v>
      </c>
      <c r="E676">
        <f ca="1">IF(ISBLANK( INDIRECT($F$292 &amp; D676)),"", INDIRECT($F$292 &amp; D676))</f>
        <v>0</v>
      </c>
      <c r="F676" t="str">
        <f ca="1">CONCATENATE("Enter a '10% Carryover Actual Incurred Costs' value for '", C676, "' in cell ", D676, ".", CHAR(10))</f>
        <v xml:space="preserve">Enter a '10% Carryover Actual Incurred Costs' value for 'Other (Specify)' in cell F97.
</v>
      </c>
      <c r="G676" s="9" t="str">
        <f t="shared" ca="1" si="203"/>
        <v xml:space="preserve">The total of development budget in column B must be greater than zero.
</v>
      </c>
    </row>
    <row r="677" spans="1:7" ht="15" customHeight="1">
      <c r="A677" t="str">
        <f ca="1">IF(AND(E677, SUM(E672:E676) &gt; 0), F677, "")</f>
        <v/>
      </c>
      <c r="C677" t="str">
        <f ca="1">INDIRECT($F$292 &amp; ADDRESS(B672, 1,4  ))</f>
        <v>Other (Specify)</v>
      </c>
      <c r="D677" t="str">
        <f>ADDRESS(B672, 1,4  )</f>
        <v>A97</v>
      </c>
      <c r="E677" t="b">
        <f ca="1">INDIRECT($F$292 &amp; D677)="Other (specify)"</f>
        <v>1</v>
      </c>
      <c r="F677" t="str">
        <f ca="1">CONCATENATE("Please specify value for '", C677, "' in cell ", D677, ".", CHAR(10))</f>
        <v xml:space="preserve">Please specify value for 'Other (Specify)' in cell A97.
</v>
      </c>
      <c r="G677" s="9" t="str">
        <f t="shared" ca="1" si="203"/>
        <v xml:space="preserve">The total of development budget in column B must be greater than zero.
</v>
      </c>
    </row>
    <row r="678" spans="1:7" ht="15" customHeight="1">
      <c r="A678" t="str">
        <f ca="1">IF(E678="", F678, "")</f>
        <v/>
      </c>
      <c r="B678">
        <f>ROW('Development Budget'!A100)</f>
        <v>100</v>
      </c>
      <c r="C678" t="str">
        <f ca="1">INDIRECT($F$292 &amp; ADDRESS(B678, 1,4  ))</f>
        <v>Organization Costs</v>
      </c>
      <c r="D678" t="str">
        <f>ADDRESS(B678, 2,4  )</f>
        <v>B100</v>
      </c>
      <c r="E678">
        <f t="shared" ref="E678:E685" ca="1" si="205">IF(ISBLANK( INDIRECT($F$292 &amp; D678)),"", INDIRECT($F$292 &amp; D678))</f>
        <v>0</v>
      </c>
      <c r="F678" t="str">
        <f ca="1">CONCATENATE("Enter a value for '", C678, "' in cell ", D678, ".", CHAR(10))</f>
        <v xml:space="preserve">Enter a value for 'Organization Costs' in cell B100.
</v>
      </c>
      <c r="G678" s="9" t="str">
        <f t="shared" ca="1" si="203"/>
        <v xml:space="preserve">The total of development budget in column B must be greater than zero.
</v>
      </c>
    </row>
    <row r="679" spans="1:7" ht="15" customHeight="1">
      <c r="A679" t="str">
        <f ca="1">IF(AND(OR(Calculations!$B$3:$B$4), E679=""), F679, "")</f>
        <v/>
      </c>
      <c r="B679" t="s">
        <v>457</v>
      </c>
      <c r="C679" t="str">
        <f ca="1">INDIRECT($F$292 &amp; ADDRESS(B678, 1,4  ))</f>
        <v>Organization Costs</v>
      </c>
      <c r="D679" t="str">
        <f>ADDRESS(B678, 5,4  )</f>
        <v>E100</v>
      </c>
      <c r="E679" t="str">
        <f t="shared" ca="1" si="205"/>
        <v/>
      </c>
      <c r="F679" t="str">
        <f ca="1">CONCATENATE("Enter an 'Amount Last Provided to CHFA' value for '", C679, "' in cell ", D679, ".", CHAR(10))</f>
        <v xml:space="preserve">Enter an 'Amount Last Provided to CHFA' value for 'Organization Costs' in cell E100.
</v>
      </c>
      <c r="G679" s="9" t="str">
        <f t="shared" ca="1" si="203"/>
        <v xml:space="preserve">The total of development budget in column B must be greater than zero.
</v>
      </c>
    </row>
    <row r="680" spans="1:7" ht="15" customHeight="1">
      <c r="A680" t="str">
        <f ca="1">IF(E680="", F680, "")</f>
        <v/>
      </c>
      <c r="B680" s="52">
        <f>B678+1</f>
        <v>101</v>
      </c>
      <c r="C680" t="str">
        <f ca="1">INDIRECT($F$292 &amp; ADDRESS(B680, 1,4  ))</f>
        <v>Tax Opinion</v>
      </c>
      <c r="D680" t="str">
        <f>ADDRESS(B680, 2,4  )</f>
        <v>B101</v>
      </c>
      <c r="E680">
        <f t="shared" ca="1" si="205"/>
        <v>0</v>
      </c>
      <c r="F680" t="str">
        <f ca="1">CONCATENATE("Enter a value for '", C680, "' in cell ", D680, ".", CHAR(10))</f>
        <v xml:space="preserve">Enter a value for 'Tax Opinion' in cell B101.
</v>
      </c>
      <c r="G680" s="9" t="str">
        <f t="shared" ca="1" si="203"/>
        <v xml:space="preserve">The total of development budget in column B must be greater than zero.
</v>
      </c>
    </row>
    <row r="681" spans="1:7" ht="15" customHeight="1">
      <c r="A681" t="str">
        <f ca="1">IF(AND(OR(Calculations!$B$3:$B$4), E681=""), F681, "")</f>
        <v/>
      </c>
      <c r="B681" t="s">
        <v>457</v>
      </c>
      <c r="C681" t="str">
        <f ca="1">INDIRECT($F$292 &amp; ADDRESS(B680, 1,4  ))</f>
        <v>Tax Opinion</v>
      </c>
      <c r="D681" t="str">
        <f>ADDRESS(B680, 5,4  )</f>
        <v>E101</v>
      </c>
      <c r="E681">
        <f t="shared" ca="1" si="205"/>
        <v>0</v>
      </c>
      <c r="F681" t="str">
        <f ca="1">CONCATENATE("Enter an 'Amount Last Provided to CHFA' value for '", C681, "' in cell ", D681, ".", CHAR(10))</f>
        <v xml:space="preserve">Enter an 'Amount Last Provided to CHFA' value for 'Tax Opinion' in cell E101.
</v>
      </c>
      <c r="G681" s="9" t="str">
        <f t="shared" ref="G681:G738" ca="1" si="206">OFFSET(G681, -1, 0) &amp; A681</f>
        <v xml:space="preserve">The total of development budget in column B must be greater than zero.
</v>
      </c>
    </row>
    <row r="682" spans="1:7" ht="15" customHeight="1">
      <c r="A682" t="str">
        <f ca="1">IF(E682="", F682, "")</f>
        <v/>
      </c>
      <c r="B682" s="52">
        <f>B680+1</f>
        <v>102</v>
      </c>
      <c r="C682" t="str">
        <f ca="1">INDIRECT($F$292 &amp; ADDRESS(B682, 1,4  ))</f>
        <v>Syndication Legal Fees</v>
      </c>
      <c r="D682" t="str">
        <f>ADDRESS(B682, 2,4  )</f>
        <v>B102</v>
      </c>
      <c r="E682">
        <f t="shared" ca="1" si="205"/>
        <v>0</v>
      </c>
      <c r="F682" t="str">
        <f ca="1">CONCATENATE("Enter a value for '", C682, "' in cell ", D682, ".", CHAR(10))</f>
        <v xml:space="preserve">Enter a value for 'Syndication Legal Fees' in cell B102.
</v>
      </c>
      <c r="G682" s="9" t="str">
        <f t="shared" ca="1" si="206"/>
        <v xml:space="preserve">The total of development budget in column B must be greater than zero.
</v>
      </c>
    </row>
    <row r="683" spans="1:7" ht="15" customHeight="1">
      <c r="A683" t="str">
        <f ca="1">IF(AND(OR(Calculations!$B$3:$B$4), E683=""), F683, "")</f>
        <v/>
      </c>
      <c r="B683" t="s">
        <v>457</v>
      </c>
      <c r="C683" t="str">
        <f ca="1">INDIRECT($F$292 &amp; ADDRESS(B682, 1,4  ))</f>
        <v>Syndication Legal Fees</v>
      </c>
      <c r="D683" t="str">
        <f>ADDRESS(B682, 5,4  )</f>
        <v>E102</v>
      </c>
      <c r="E683">
        <f t="shared" ca="1" si="205"/>
        <v>0</v>
      </c>
      <c r="F683" t="str">
        <f ca="1">CONCATENATE("Enter an 'Amount Last Provided to CHFA' value for '", C683, "' in cell ", D683, ".", CHAR(10))</f>
        <v xml:space="preserve">Enter an 'Amount Last Provided to CHFA' value for 'Syndication Legal Fees' in cell E102.
</v>
      </c>
      <c r="G683" s="9" t="str">
        <f t="shared" ca="1" si="206"/>
        <v xml:space="preserve">The total of development budget in column B must be greater than zero.
</v>
      </c>
    </row>
    <row r="684" spans="1:7" ht="15" customHeight="1">
      <c r="A684" t="str">
        <f ca="1">IF(E684="", F684, "")</f>
        <v/>
      </c>
      <c r="B684" s="52">
        <f>B682+1</f>
        <v>103</v>
      </c>
      <c r="C684" t="str">
        <f ca="1">INDIRECT($F$292 &amp; ADDRESS(B684, 1,4  ))</f>
        <v>Other (Specify)</v>
      </c>
      <c r="D684" t="str">
        <f>ADDRESS(B684, 2,4  )</f>
        <v>B103</v>
      </c>
      <c r="E684">
        <f t="shared" ca="1" si="205"/>
        <v>0</v>
      </c>
      <c r="F684" t="str">
        <f ca="1">CONCATENATE("Enter a value for '", C684, "' in cell ", D684, ".", CHAR(10))</f>
        <v xml:space="preserve">Enter a value for 'Other (Specify)' in cell B103.
</v>
      </c>
      <c r="G684" s="9" t="str">
        <f t="shared" ca="1" si="206"/>
        <v xml:space="preserve">The total of development budget in column B must be greater than zero.
</v>
      </c>
    </row>
    <row r="685" spans="1:7" ht="15" customHeight="1">
      <c r="A685" t="str">
        <f ca="1">IF(AND(OR(Calculations!$B$3:$B$4), E685=""), F685, "")</f>
        <v/>
      </c>
      <c r="B685" t="s">
        <v>457</v>
      </c>
      <c r="C685" t="str">
        <f ca="1">INDIRECT($F$292 &amp; ADDRESS(B684, 1,4  ))</f>
        <v>Other (Specify)</v>
      </c>
      <c r="D685" t="str">
        <f>ADDRESS(B684, 5,4  )</f>
        <v>E103</v>
      </c>
      <c r="E685">
        <f t="shared" ca="1" si="205"/>
        <v>0</v>
      </c>
      <c r="F685" t="str">
        <f ca="1">CONCATENATE("Enter an 'Amount Last Provided to CHFA' value for '", C685, "' in cell ", D685, ".", CHAR(10))</f>
        <v xml:space="preserve">Enter an 'Amount Last Provided to CHFA' value for 'Other (Specify)' in cell E103.
</v>
      </c>
      <c r="G685" s="9" t="str">
        <f t="shared" ca="1" si="206"/>
        <v xml:space="preserve">The total of development budget in column B must be greater than zero.
</v>
      </c>
    </row>
    <row r="686" spans="1:7" ht="15" customHeight="1">
      <c r="A686" t="str">
        <f ca="1">IF(AND(E686, SUM(E684:E685) &gt; 0), F686, "")</f>
        <v/>
      </c>
      <c r="C686" t="str">
        <f ca="1">INDIRECT($F$292 &amp; ADDRESS(B684, 1,4  ))</f>
        <v>Other (Specify)</v>
      </c>
      <c r="D686" t="str">
        <f>ADDRESS(B684, 1,4  )</f>
        <v>A103</v>
      </c>
      <c r="E686" t="b">
        <f ca="1">INDIRECT($F$292 &amp; D686)="Other (specify)"</f>
        <v>1</v>
      </c>
      <c r="F686" t="str">
        <f ca="1">CONCATENATE("Please specify value for '", C686, "' in cell ", D686, ".", CHAR(10))</f>
        <v xml:space="preserve">Please specify value for 'Other (Specify)' in cell A103.
</v>
      </c>
      <c r="G686" s="9" t="str">
        <f t="shared" ca="1" si="206"/>
        <v xml:space="preserve">The total of development budget in column B must be greater than zero.
</v>
      </c>
    </row>
    <row r="687" spans="1:7" ht="15" customHeight="1">
      <c r="A687" t="str">
        <f ca="1">IF(E687="", F687, "")</f>
        <v/>
      </c>
      <c r="B687" s="52">
        <f>B684+1</f>
        <v>104</v>
      </c>
      <c r="C687" t="str">
        <f ca="1">INDIRECT($F$292 &amp; ADDRESS(B687, 1,4  ))</f>
        <v>Other (Specify)</v>
      </c>
      <c r="D687" t="str">
        <f>ADDRESS(B687, 2,4  )</f>
        <v>B104</v>
      </c>
      <c r="E687">
        <f ca="1">IF(ISBLANK( INDIRECT($F$292 &amp; D687)),"", INDIRECT($F$292 &amp; D687))</f>
        <v>0</v>
      </c>
      <c r="F687" t="str">
        <f ca="1">CONCATENATE("Enter a value for '", C687, "' in cell ", D687, ".", CHAR(10))</f>
        <v xml:space="preserve">Enter a value for 'Other (Specify)' in cell B104.
</v>
      </c>
      <c r="G687" s="9" t="str">
        <f t="shared" ca="1" si="206"/>
        <v xml:space="preserve">The total of development budget in column B must be greater than zero.
</v>
      </c>
    </row>
    <row r="688" spans="1:7" ht="15" customHeight="1">
      <c r="A688" t="str">
        <f ca="1">IF(AND(OR(Calculations!$B$3:$B$4), E688=""), F688, "")</f>
        <v/>
      </c>
      <c r="B688" t="s">
        <v>457</v>
      </c>
      <c r="C688" t="str">
        <f ca="1">INDIRECT($F$292 &amp; ADDRESS(B687, 1,4  ))</f>
        <v>Other (Specify)</v>
      </c>
      <c r="D688" t="str">
        <f>ADDRESS(B687, 5,4  )</f>
        <v>E104</v>
      </c>
      <c r="E688">
        <f ca="1">IF(ISBLANK( INDIRECT($F$292 &amp; D688)),"", INDIRECT($F$292 &amp; D688))</f>
        <v>0</v>
      </c>
      <c r="F688" t="str">
        <f ca="1">CONCATENATE("Enter an 'Amount Last Provided to CHFA' value for '", C688, "' in cell ", D688, ".", CHAR(10))</f>
        <v xml:space="preserve">Enter an 'Amount Last Provided to CHFA' value for 'Other (Specify)' in cell E104.
</v>
      </c>
      <c r="G688" s="9" t="str">
        <f t="shared" ca="1" si="206"/>
        <v xml:space="preserve">The total of development budget in column B must be greater than zero.
</v>
      </c>
    </row>
    <row r="689" spans="1:7" ht="15" customHeight="1">
      <c r="A689" t="str">
        <f ca="1">IF(AND(E689, SUM(E687:E688) &gt; 0), F689, "")</f>
        <v/>
      </c>
      <c r="C689" t="str">
        <f ca="1">INDIRECT($F$292 &amp; ADDRESS(B687, 1,4  ))</f>
        <v>Other (Specify)</v>
      </c>
      <c r="D689" t="str">
        <f>ADDRESS(B687, 1,4  )</f>
        <v>A104</v>
      </c>
      <c r="E689" t="b">
        <f ca="1">INDIRECT($F$292 &amp; D689)="Other (specify)"</f>
        <v>1</v>
      </c>
      <c r="F689" t="str">
        <f ca="1">CONCATENATE("Please specify value for '", C689, "' in cell ", D689, ".", CHAR(10))</f>
        <v xml:space="preserve">Please specify value for 'Other (Specify)' in cell A104.
</v>
      </c>
      <c r="G689" s="9" t="str">
        <f t="shared" ca="1" si="206"/>
        <v xml:space="preserve">The total of development budget in column B must be greater than zero.
</v>
      </c>
    </row>
    <row r="690" spans="1:7" ht="15" customHeight="1">
      <c r="A690" t="str">
        <f ca="1">IF(E690="", F690, "")</f>
        <v/>
      </c>
      <c r="B690" s="52">
        <f>B687+1</f>
        <v>105</v>
      </c>
      <c r="C690" t="str">
        <f ca="1">INDIRECT($F$292 &amp; ADDRESS(B690, 1,4  ))</f>
        <v>Other (Specify)</v>
      </c>
      <c r="D690" t="str">
        <f>ADDRESS(B690, 2,4  )</f>
        <v>B105</v>
      </c>
      <c r="E690">
        <f ca="1">IF(ISBLANK( INDIRECT($F$292 &amp; D690)),"", INDIRECT($F$292 &amp; D690))</f>
        <v>0</v>
      </c>
      <c r="F690" t="str">
        <f ca="1">CONCATENATE("Enter a value for '", C690, "' in cell ", D690, ".", CHAR(10))</f>
        <v xml:space="preserve">Enter a value for 'Other (Specify)' in cell B105.
</v>
      </c>
      <c r="G690" s="9" t="str">
        <f t="shared" ca="1" si="206"/>
        <v xml:space="preserve">The total of development budget in column B must be greater than zero.
</v>
      </c>
    </row>
    <row r="691" spans="1:7" ht="15" customHeight="1">
      <c r="A691" t="str">
        <f ca="1">IF(AND(OR(Calculations!$B$3:$B$4), E691=""), F691, "")</f>
        <v/>
      </c>
      <c r="B691" t="s">
        <v>457</v>
      </c>
      <c r="C691" t="str">
        <f ca="1">INDIRECT($F$292 &amp; ADDRESS(B690, 1,4  ))</f>
        <v>Other (Specify)</v>
      </c>
      <c r="D691" t="str">
        <f>ADDRESS(B690, 5,4  )</f>
        <v>E105</v>
      </c>
      <c r="E691">
        <f ca="1">IF(ISBLANK( INDIRECT($F$292 &amp; D691)),"", INDIRECT($F$292 &amp; D691))</f>
        <v>0</v>
      </c>
      <c r="F691" t="str">
        <f ca="1">CONCATENATE("Enter an 'Amount Last Provided to CHFA' value for '", C691, "' in cell ", D691, ".", CHAR(10))</f>
        <v xml:space="preserve">Enter an 'Amount Last Provided to CHFA' value for 'Other (Specify)' in cell E105.
</v>
      </c>
      <c r="G691" s="9" t="str">
        <f t="shared" ca="1" si="206"/>
        <v xml:space="preserve">The total of development budget in column B must be greater than zero.
</v>
      </c>
    </row>
    <row r="692" spans="1:7" ht="15" customHeight="1">
      <c r="A692" t="str">
        <f ca="1">IF(AND(E692, SUM(E690:E691) &gt; 0), F692, "")</f>
        <v/>
      </c>
      <c r="C692" t="str">
        <f ca="1">INDIRECT($F$292 &amp; ADDRESS(B690, 1,4  ))</f>
        <v>Other (Specify)</v>
      </c>
      <c r="D692" t="str">
        <f>ADDRESS(B690, 1,4  )</f>
        <v>A105</v>
      </c>
      <c r="E692" t="b">
        <f ca="1">INDIRECT($F$292 &amp; D692)="Other (specify)"</f>
        <v>1</v>
      </c>
      <c r="F692" t="str">
        <f ca="1">CONCATENATE("Please specify value for '", C692, "' in cell ", D692, ".", CHAR(10))</f>
        <v xml:space="preserve">Please specify value for 'Other (Specify)' in cell A105.
</v>
      </c>
      <c r="G692" s="9" t="str">
        <f t="shared" ca="1" si="206"/>
        <v xml:space="preserve">The total of development budget in column B must be greater than zero.
</v>
      </c>
    </row>
    <row r="693" spans="1:7" ht="15" customHeight="1">
      <c r="A693" t="str">
        <f ca="1">IF(E693="", F693, "")</f>
        <v/>
      </c>
      <c r="B693">
        <f>ROW('Development Budget'!A108)</f>
        <v>108</v>
      </c>
      <c r="C693" t="str">
        <f ca="1">INDIRECT($F$292 &amp; ADDRESS(B693, 1,4  ))</f>
        <v>Developer Fee</v>
      </c>
      <c r="D693" t="str">
        <f>ADDRESS(B693, 2,4  )</f>
        <v>B108</v>
      </c>
      <c r="E693">
        <f t="shared" ref="E693:E732" ca="1" si="207">IF(ISBLANK( INDIRECT($F$292 &amp; D693)),"", INDIRECT($F$292 &amp; D693))</f>
        <v>0</v>
      </c>
      <c r="F693" t="str">
        <f ca="1">CONCATENATE("Enter a value for '", C693, "' in cell ", D693, ".", CHAR(10))</f>
        <v xml:space="preserve">Enter a value for 'Developer Fee' in cell B108.
</v>
      </c>
      <c r="G693" s="9" t="str">
        <f t="shared" ca="1" si="206"/>
        <v xml:space="preserve">The total of development budget in column B must be greater than zero.
</v>
      </c>
    </row>
    <row r="694" spans="1:7" ht="15" customHeight="1">
      <c r="A694" t="str">
        <f ca="1">IF(AND(Calculations!$B$5, E694=""), F694, "")</f>
        <v/>
      </c>
      <c r="B694" t="s">
        <v>457</v>
      </c>
      <c r="C694" t="str">
        <f ca="1">INDIRECT($F$292 &amp; ADDRESS(B693, 1,4  ))</f>
        <v>Developer Fee</v>
      </c>
      <c r="D694" t="str">
        <f>ADDRESS(B693, 3,4  )</f>
        <v>C108</v>
      </c>
      <c r="E694">
        <f t="shared" ca="1" si="207"/>
        <v>0</v>
      </c>
      <c r="F694" t="str">
        <f ca="1">CONCATENATE("Enter an '4% LIHTC Basis Calculation' value for '", C694, "' in cell ", D694, ".", CHAR(10))</f>
        <v xml:space="preserve">Enter an '4% LIHTC Basis Calculation' value for 'Developer Fee' in cell C108.
</v>
      </c>
      <c r="G694" s="9" t="str">
        <f t="shared" ca="1" si="206"/>
        <v xml:space="preserve">The total of development budget in column B must be greater than zero.
</v>
      </c>
    </row>
    <row r="695" spans="1:7" ht="15" customHeight="1">
      <c r="A695" t="str">
        <f ca="1">IF(AND(Calculations!$B$6, E695=""), F695, "")</f>
        <v/>
      </c>
      <c r="B695" t="s">
        <v>457</v>
      </c>
      <c r="C695" t="str">
        <f ca="1">INDIRECT($F$292 &amp; ADDRESS(B693, 1,4  ))</f>
        <v>Developer Fee</v>
      </c>
      <c r="D695" t="str">
        <f>ADDRESS(B693, 4,4  )</f>
        <v>D108</v>
      </c>
      <c r="E695">
        <f t="shared" ca="1" si="207"/>
        <v>0</v>
      </c>
      <c r="F695" t="str">
        <f ca="1">CONCATENATE("Enter an '9% LIHTC Basis Calculation' value for '", C695, "' in cell ", D695, ".", CHAR(10))</f>
        <v xml:space="preserve">Enter an '9% LIHTC Basis Calculation' value for 'Developer Fee' in cell D108.
</v>
      </c>
      <c r="G695" s="9" t="str">
        <f t="shared" ca="1" si="206"/>
        <v xml:space="preserve">The total of development budget in column B must be greater than zero.
</v>
      </c>
    </row>
    <row r="696" spans="1:7" ht="15" customHeight="1">
      <c r="A696" t="str">
        <f ca="1">IF(AND(OR(Calculations!$B$3:$B$4), E696=""), F696, "")</f>
        <v/>
      </c>
      <c r="B696" t="s">
        <v>457</v>
      </c>
      <c r="C696" t="str">
        <f ca="1">INDIRECT($F$292 &amp; ADDRESS(B693, 1,4  ))</f>
        <v>Developer Fee</v>
      </c>
      <c r="D696" t="str">
        <f>ADDRESS(B693, 5,4  )</f>
        <v>E108</v>
      </c>
      <c r="E696">
        <f t="shared" ca="1" si="207"/>
        <v>0</v>
      </c>
      <c r="F696" t="str">
        <f ca="1">CONCATENATE("Enter an 'Amount Last Provided to CHFA' value for '", C696, "' in cell ", D696, ".", CHAR(10))</f>
        <v xml:space="preserve">Enter an 'Amount Last Provided to CHFA' value for 'Developer Fee' in cell E108.
</v>
      </c>
      <c r="G696" s="9" t="str">
        <f t="shared" ca="1" si="206"/>
        <v xml:space="preserve">The total of development budget in column B must be greater than zero.
</v>
      </c>
    </row>
    <row r="697" spans="1:7" ht="15" customHeight="1">
      <c r="A697" t="str">
        <f ca="1">IF(AND(Calculations!$B$3, E697=""), F697, "")</f>
        <v/>
      </c>
      <c r="B697" t="s">
        <v>457</v>
      </c>
      <c r="C697" t="str">
        <f ca="1">INDIRECT($F$292 &amp; ADDRESS(B693, 1,4  ))</f>
        <v>Developer Fee</v>
      </c>
      <c r="D697" t="str">
        <f>ADDRESS(B693, 6,4  )</f>
        <v>F108</v>
      </c>
      <c r="E697">
        <f t="shared" ca="1" si="207"/>
        <v>0</v>
      </c>
      <c r="F697" t="str">
        <f ca="1">CONCATENATE("Enter a '10% Carryover Actual Incurred Costs' value for '", C697, "' in cell ", D697, ".", CHAR(10))</f>
        <v xml:space="preserve">Enter a '10% Carryover Actual Incurred Costs' value for 'Developer Fee' in cell F108.
</v>
      </c>
      <c r="G697" s="9" t="str">
        <f t="shared" ca="1" si="206"/>
        <v xml:space="preserve">The total of development budget in column B must be greater than zero.
</v>
      </c>
    </row>
    <row r="698" spans="1:7" ht="15" customHeight="1">
      <c r="A698" t="str">
        <f ca="1">IF(E698="", F698, "")</f>
        <v/>
      </c>
      <c r="B698" s="52">
        <f>B693+1</f>
        <v>109</v>
      </c>
      <c r="C698" t="str">
        <f ca="1">INDIRECT($F$292 &amp; ADDRESS(B698, 1,4  ))</f>
        <v>Developer Overhead</v>
      </c>
      <c r="D698" t="str">
        <f>ADDRESS(B698, 2,4  )</f>
        <v>B109</v>
      </c>
      <c r="E698">
        <f t="shared" ca="1" si="207"/>
        <v>0</v>
      </c>
      <c r="F698" t="str">
        <f ca="1">CONCATENATE("Enter a value for '", C698, "' in cell ", D698, ".", CHAR(10))</f>
        <v xml:space="preserve">Enter a value for 'Developer Overhead' in cell B109.
</v>
      </c>
      <c r="G698" s="9" t="str">
        <f t="shared" ca="1" si="206"/>
        <v xml:space="preserve">The total of development budget in column B must be greater than zero.
</v>
      </c>
    </row>
    <row r="699" spans="1:7" ht="15" customHeight="1">
      <c r="A699" t="str">
        <f ca="1">IF(AND(Calculations!$B$5, E699=""), F699, "")</f>
        <v/>
      </c>
      <c r="B699" t="s">
        <v>457</v>
      </c>
      <c r="C699" t="str">
        <f ca="1">INDIRECT($F$292 &amp; ADDRESS(B698, 1,4  ))</f>
        <v>Developer Overhead</v>
      </c>
      <c r="D699" t="str">
        <f>ADDRESS(B698, 3,4  )</f>
        <v>C109</v>
      </c>
      <c r="E699">
        <f t="shared" ca="1" si="207"/>
        <v>0</v>
      </c>
      <c r="F699" t="str">
        <f ca="1">CONCATENATE("Enter an '4% LIHTC Basis Calculation' value for '", C699, "' in cell ", D699, ".", CHAR(10))</f>
        <v xml:space="preserve">Enter an '4% LIHTC Basis Calculation' value for 'Developer Overhead' in cell C109.
</v>
      </c>
      <c r="G699" s="9" t="str">
        <f t="shared" ca="1" si="206"/>
        <v xml:space="preserve">The total of development budget in column B must be greater than zero.
</v>
      </c>
    </row>
    <row r="700" spans="1:7" ht="15" customHeight="1">
      <c r="A700" t="str">
        <f ca="1">IF(AND(Calculations!$B$6, E700=""), F700, "")</f>
        <v/>
      </c>
      <c r="B700" t="s">
        <v>457</v>
      </c>
      <c r="C700" t="str">
        <f ca="1">INDIRECT($F$292 &amp; ADDRESS(B698, 1,4  ))</f>
        <v>Developer Overhead</v>
      </c>
      <c r="D700" t="str">
        <f>ADDRESS(B698, 4,4  )</f>
        <v>D109</v>
      </c>
      <c r="E700">
        <f t="shared" ca="1" si="207"/>
        <v>0</v>
      </c>
      <c r="F700" t="str">
        <f ca="1">CONCATENATE("Enter an '9% LIHTC Basis Calculation' value for '", C700, "' in cell ", D700, ".", CHAR(10))</f>
        <v xml:space="preserve">Enter an '9% LIHTC Basis Calculation' value for 'Developer Overhead' in cell D109.
</v>
      </c>
      <c r="G700" s="9" t="str">
        <f t="shared" ca="1" si="206"/>
        <v xml:space="preserve">The total of development budget in column B must be greater than zero.
</v>
      </c>
    </row>
    <row r="701" spans="1:7" ht="15" customHeight="1">
      <c r="A701" t="str">
        <f ca="1">IF(AND(OR(Calculations!$B$3:$B$4), E701=""), F701, "")</f>
        <v/>
      </c>
      <c r="B701" t="s">
        <v>457</v>
      </c>
      <c r="C701" t="str">
        <f ca="1">INDIRECT($F$292 &amp; ADDRESS(B698, 1,4  ))</f>
        <v>Developer Overhead</v>
      </c>
      <c r="D701" t="str">
        <f>ADDRESS(B698, 5,4  )</f>
        <v>E109</v>
      </c>
      <c r="E701">
        <f t="shared" ca="1" si="207"/>
        <v>0</v>
      </c>
      <c r="F701" t="str">
        <f ca="1">CONCATENATE("Enter an 'Amount Last Provided to CHFA' value for '", C701, "' in cell ", D701, ".", CHAR(10))</f>
        <v xml:space="preserve">Enter an 'Amount Last Provided to CHFA' value for 'Developer Overhead' in cell E109.
</v>
      </c>
      <c r="G701" s="9" t="str">
        <f t="shared" ca="1" si="206"/>
        <v xml:space="preserve">The total of development budget in column B must be greater than zero.
</v>
      </c>
    </row>
    <row r="702" spans="1:7" ht="15" customHeight="1">
      <c r="A702" t="str">
        <f ca="1">IF(AND(Calculations!$B$3, E702=""), F702, "")</f>
        <v/>
      </c>
      <c r="B702" t="s">
        <v>457</v>
      </c>
      <c r="C702" t="str">
        <f ca="1">INDIRECT($F$292 &amp; ADDRESS(B698, 1,4  ))</f>
        <v>Developer Overhead</v>
      </c>
      <c r="D702" t="str">
        <f>ADDRESS(B698, 6,4  )</f>
        <v>F109</v>
      </c>
      <c r="E702">
        <f t="shared" ca="1" si="207"/>
        <v>0</v>
      </c>
      <c r="F702" t="str">
        <f ca="1">CONCATENATE("Enter a '10% Carryover Actual Incurred Costs' value for '", C702, "' in cell ", D702, ".", CHAR(10))</f>
        <v xml:space="preserve">Enter a '10% Carryover Actual Incurred Costs' value for 'Developer Overhead' in cell F109.
</v>
      </c>
      <c r="G702" s="9" t="str">
        <f t="shared" ca="1" si="206"/>
        <v xml:space="preserve">The total of development budget in column B must be greater than zero.
</v>
      </c>
    </row>
    <row r="703" spans="1:7" ht="15" customHeight="1">
      <c r="A703" t="str">
        <f ca="1">IF(E703="", F703, "")</f>
        <v/>
      </c>
      <c r="B703" s="52">
        <f>B698+1</f>
        <v>110</v>
      </c>
      <c r="C703" t="str">
        <f ca="1">INDIRECT($F$292 &amp; ADDRESS(B703, 1,4  ))</f>
        <v>Developer Profit</v>
      </c>
      <c r="D703" t="str">
        <f>ADDRESS(B703, 2,4  )</f>
        <v>B110</v>
      </c>
      <c r="E703">
        <f t="shared" ca="1" si="207"/>
        <v>0</v>
      </c>
      <c r="F703" t="str">
        <f ca="1">CONCATENATE("Enter a value for '", C703, "' in cell ", D703, ".", CHAR(10))</f>
        <v xml:space="preserve">Enter a value for 'Developer Profit' in cell B110.
</v>
      </c>
      <c r="G703" s="9" t="str">
        <f t="shared" ca="1" si="206"/>
        <v xml:space="preserve">The total of development budget in column B must be greater than zero.
</v>
      </c>
    </row>
    <row r="704" spans="1:7" ht="15" customHeight="1">
      <c r="A704" t="str">
        <f ca="1">IF(AND(Calculations!$B$5, E704=""), F704, "")</f>
        <v/>
      </c>
      <c r="B704" t="s">
        <v>457</v>
      </c>
      <c r="C704" t="str">
        <f ca="1">INDIRECT($F$292 &amp; ADDRESS(B703, 1,4  ))</f>
        <v>Developer Profit</v>
      </c>
      <c r="D704" t="str">
        <f>ADDRESS(B703, 3,4  )</f>
        <v>C110</v>
      </c>
      <c r="E704">
        <f t="shared" ca="1" si="207"/>
        <v>0</v>
      </c>
      <c r="F704" t="str">
        <f ca="1">CONCATENATE("Enter an '4% LIHTC Basis Calculation' value for '", C704, "' in cell ", D704, ".", CHAR(10))</f>
        <v xml:space="preserve">Enter an '4% LIHTC Basis Calculation' value for 'Developer Profit' in cell C110.
</v>
      </c>
      <c r="G704" s="9" t="str">
        <f t="shared" ca="1" si="206"/>
        <v xml:space="preserve">The total of development budget in column B must be greater than zero.
</v>
      </c>
    </row>
    <row r="705" spans="1:7" ht="15" customHeight="1">
      <c r="A705" t="str">
        <f ca="1">IF(AND(Calculations!$B$6, E705=""), F705, "")</f>
        <v/>
      </c>
      <c r="B705" t="s">
        <v>457</v>
      </c>
      <c r="C705" t="str">
        <f ca="1">INDIRECT($F$292 &amp; ADDRESS(B703, 1,4  ))</f>
        <v>Developer Profit</v>
      </c>
      <c r="D705" t="str">
        <f>ADDRESS(B703, 4,4  )</f>
        <v>D110</v>
      </c>
      <c r="E705">
        <f t="shared" ca="1" si="207"/>
        <v>0</v>
      </c>
      <c r="F705" t="str">
        <f ca="1">CONCATENATE("Enter an '9% LIHTC Basis Calculation' value for '", C705, "' in cell ", D705, ".", CHAR(10))</f>
        <v xml:space="preserve">Enter an '9% LIHTC Basis Calculation' value for 'Developer Profit' in cell D110.
</v>
      </c>
      <c r="G705" s="9" t="str">
        <f t="shared" ca="1" si="206"/>
        <v xml:space="preserve">The total of development budget in column B must be greater than zero.
</v>
      </c>
    </row>
    <row r="706" spans="1:7" ht="15" customHeight="1">
      <c r="A706" t="str">
        <f ca="1">IF(AND(OR(Calculations!$B$3:$B$4), E706=""), F706, "")</f>
        <v/>
      </c>
      <c r="B706" t="s">
        <v>457</v>
      </c>
      <c r="C706" t="str">
        <f ca="1">INDIRECT($F$292 &amp; ADDRESS(B703, 1,4  ))</f>
        <v>Developer Profit</v>
      </c>
      <c r="D706" t="str">
        <f>ADDRESS(B703, 5,4  )</f>
        <v>E110</v>
      </c>
      <c r="E706">
        <f t="shared" ca="1" si="207"/>
        <v>0</v>
      </c>
      <c r="F706" t="str">
        <f ca="1">CONCATENATE("Enter an 'Amount Last Provided to CHFA' value for '", C706, "' in cell ", D706, ".", CHAR(10))</f>
        <v xml:space="preserve">Enter an 'Amount Last Provided to CHFA' value for 'Developer Profit' in cell E110.
</v>
      </c>
      <c r="G706" s="9" t="str">
        <f t="shared" ca="1" si="206"/>
        <v xml:space="preserve">The total of development budget in column B must be greater than zero.
</v>
      </c>
    </row>
    <row r="707" spans="1:7" ht="15" customHeight="1">
      <c r="A707" t="str">
        <f ca="1">IF(AND(Calculations!$B$3, E707=""), F707, "")</f>
        <v/>
      </c>
      <c r="B707" t="s">
        <v>457</v>
      </c>
      <c r="C707" t="str">
        <f ca="1">INDIRECT($F$292 &amp; ADDRESS(B703, 1,4  ))</f>
        <v>Developer Profit</v>
      </c>
      <c r="D707" t="str">
        <f>ADDRESS(B703, 6,4  )</f>
        <v>F110</v>
      </c>
      <c r="E707">
        <f t="shared" ca="1" si="207"/>
        <v>0</v>
      </c>
      <c r="F707" t="str">
        <f ca="1">CONCATENATE("Enter a '10% Carryover Actual Incurred Costs' value for '", C707, "' in cell ", D707, ".", CHAR(10))</f>
        <v xml:space="preserve">Enter a '10% Carryover Actual Incurred Costs' value for 'Developer Profit' in cell F110.
</v>
      </c>
      <c r="G707" s="9" t="str">
        <f t="shared" ca="1" si="206"/>
        <v xml:space="preserve">The total of development budget in column B must be greater than zero.
</v>
      </c>
    </row>
    <row r="708" spans="1:7" ht="15" customHeight="1">
      <c r="A708" t="str">
        <f ca="1">IF(E708="", F708, "")</f>
        <v/>
      </c>
      <c r="B708" s="52">
        <f>B703+1</f>
        <v>111</v>
      </c>
      <c r="C708" t="str">
        <f ca="1">INDIRECT($F$292 &amp; ADDRESS(B708, 1,4  ))</f>
        <v>PSH developer fee boost (up to 5%)</v>
      </c>
      <c r="D708" t="str">
        <f>ADDRESS(B708, 2,4  )</f>
        <v>B111</v>
      </c>
      <c r="E708">
        <f t="shared" ca="1" si="207"/>
        <v>0</v>
      </c>
      <c r="F708" t="str">
        <f ca="1">CONCATENATE("Enter a value for '", C708, "' in cell ", D708, ".", CHAR(10))</f>
        <v xml:space="preserve">Enter a value for 'PSH developer fee boost (up to 5%)' in cell B111.
</v>
      </c>
      <c r="G708" s="9" t="str">
        <f t="shared" ca="1" si="206"/>
        <v xml:space="preserve">The total of development budget in column B must be greater than zero.
</v>
      </c>
    </row>
    <row r="709" spans="1:7" ht="15" customHeight="1">
      <c r="A709" t="str">
        <f ca="1">IF(AND(Calculations!$B$5, E709=""), F709, "")</f>
        <v/>
      </c>
      <c r="B709" t="s">
        <v>457</v>
      </c>
      <c r="C709" t="str">
        <f ca="1">INDIRECT($F$292 &amp; ADDRESS(B708, 1,4  ))</f>
        <v>PSH developer fee boost (up to 5%)</v>
      </c>
      <c r="D709" t="str">
        <f>ADDRESS(B708, 3,4  )</f>
        <v>C111</v>
      </c>
      <c r="E709">
        <f t="shared" ca="1" si="207"/>
        <v>0</v>
      </c>
      <c r="F709" t="str">
        <f ca="1">CONCATENATE("Enter an '4% LIHTC Basis Calculation' value for '", C709, "' in cell ", D709, ".", CHAR(10))</f>
        <v xml:space="preserve">Enter an '4% LIHTC Basis Calculation' value for 'PSH developer fee boost (up to 5%)' in cell C111.
</v>
      </c>
      <c r="G709" s="9" t="str">
        <f t="shared" ca="1" si="206"/>
        <v xml:space="preserve">The total of development budget in column B must be greater than zero.
</v>
      </c>
    </row>
    <row r="710" spans="1:7" ht="15" customHeight="1">
      <c r="A710" t="str">
        <f ca="1">IF(AND(Calculations!$B$6, E710=""), F710, "")</f>
        <v/>
      </c>
      <c r="B710" t="s">
        <v>457</v>
      </c>
      <c r="C710" t="str">
        <f ca="1">INDIRECT($F$292 &amp; ADDRESS(B708, 1,4  ))</f>
        <v>PSH developer fee boost (up to 5%)</v>
      </c>
      <c r="D710" t="str">
        <f>ADDRESS(B708, 4,4  )</f>
        <v>D111</v>
      </c>
      <c r="E710">
        <f t="shared" ca="1" si="207"/>
        <v>0</v>
      </c>
      <c r="F710" t="str">
        <f ca="1">CONCATENATE("Enter an '9% LIHTC Basis Calculation' value for '", C710, "' in cell ", D710, ".", CHAR(10))</f>
        <v xml:space="preserve">Enter an '9% LIHTC Basis Calculation' value for 'PSH developer fee boost (up to 5%)' in cell D111.
</v>
      </c>
      <c r="G710" s="9" t="str">
        <f t="shared" ca="1" si="206"/>
        <v xml:space="preserve">The total of development budget in column B must be greater than zero.
</v>
      </c>
    </row>
    <row r="711" spans="1:7" ht="15" customHeight="1">
      <c r="A711" t="str">
        <f ca="1">IF(AND(OR(Calculations!$B$3:$B$4), E711=""), F711, "")</f>
        <v/>
      </c>
      <c r="B711" t="s">
        <v>457</v>
      </c>
      <c r="C711" t="str">
        <f ca="1">INDIRECT($F$292 &amp; ADDRESS(B708, 1,4  ))</f>
        <v>PSH developer fee boost (up to 5%)</v>
      </c>
      <c r="D711" t="str">
        <f>ADDRESS(B708, 5,4  )</f>
        <v>E111</v>
      </c>
      <c r="E711">
        <f t="shared" ca="1" si="207"/>
        <v>0</v>
      </c>
      <c r="F711" t="str">
        <f ca="1">CONCATENATE("Enter an 'Amount Last Provided to CHFA' value for '", C711, "' in cell ", D711, ".", CHAR(10))</f>
        <v xml:space="preserve">Enter an 'Amount Last Provided to CHFA' value for 'PSH developer fee boost (up to 5%)' in cell E111.
</v>
      </c>
      <c r="G711" s="9" t="str">
        <f t="shared" ca="1" si="206"/>
        <v xml:space="preserve">The total of development budget in column B must be greater than zero.
</v>
      </c>
    </row>
    <row r="712" spans="1:7" ht="15" customHeight="1">
      <c r="A712" t="str">
        <f ca="1">IF(AND(Calculations!$B$3, E712=""), F712, "")</f>
        <v/>
      </c>
      <c r="B712" t="s">
        <v>457</v>
      </c>
      <c r="C712" t="str">
        <f ca="1">INDIRECT($F$292 &amp; ADDRESS(B708, 1,4  ))</f>
        <v>PSH developer fee boost (up to 5%)</v>
      </c>
      <c r="D712" t="str">
        <f>ADDRESS(B708, 6,4  )</f>
        <v>F111</v>
      </c>
      <c r="E712">
        <f t="shared" ca="1" si="207"/>
        <v>0</v>
      </c>
      <c r="F712" t="str">
        <f ca="1">CONCATENATE("Enter a '10% Carryover Actual Incurred Costs' value for '", C712, "' in cell ", D712, ".", CHAR(10))</f>
        <v xml:space="preserve">Enter a '10% Carryover Actual Incurred Costs' value for 'PSH developer fee boost (up to 5%)' in cell F111.
</v>
      </c>
      <c r="G712" s="9" t="str">
        <f t="shared" ca="1" si="206"/>
        <v xml:space="preserve">The total of development budget in column B must be greater than zero.
</v>
      </c>
    </row>
    <row r="713" spans="1:7" ht="15" customHeight="1">
      <c r="A713" t="str">
        <f ca="1">IF(E713="", F713, "")</f>
        <v/>
      </c>
      <c r="B713" s="52">
        <f>B708+1</f>
        <v>112</v>
      </c>
      <c r="C713" t="str">
        <f ca="1">INDIRECT($F$292 &amp; ADDRESS(B713, 1,4  ))</f>
        <v>Third Party Development Management/Owner's Rep</v>
      </c>
      <c r="D713" t="str">
        <f>ADDRESS(B713, 2,4  )</f>
        <v>B112</v>
      </c>
      <c r="E713">
        <f t="shared" ca="1" si="207"/>
        <v>0</v>
      </c>
      <c r="F713" t="str">
        <f ca="1">CONCATENATE("Enter a value for '", C713, "' in cell ", D713, ".", CHAR(10))</f>
        <v xml:space="preserve">Enter a value for 'Third Party Development Management/Owner's Rep' in cell B112.
</v>
      </c>
      <c r="G713" s="9" t="str">
        <f t="shared" ca="1" si="206"/>
        <v xml:space="preserve">The total of development budget in column B must be greater than zero.
</v>
      </c>
    </row>
    <row r="714" spans="1:7" ht="15" customHeight="1">
      <c r="A714" t="str">
        <f ca="1">IF(AND(Calculations!$B$5, E714=""), F714, "")</f>
        <v/>
      </c>
      <c r="B714" t="s">
        <v>457</v>
      </c>
      <c r="C714" t="str">
        <f ca="1">INDIRECT($F$292 &amp; ADDRESS(B713, 1,4  ))</f>
        <v>Third Party Development Management/Owner's Rep</v>
      </c>
      <c r="D714" t="str">
        <f>ADDRESS(B713, 3,4  )</f>
        <v>C112</v>
      </c>
      <c r="E714">
        <f t="shared" ca="1" si="207"/>
        <v>0</v>
      </c>
      <c r="F714" t="str">
        <f ca="1">CONCATENATE("Enter an '4% LIHTC Basis Calculation' value for '", C714, "' in cell ", D714, ".", CHAR(10))</f>
        <v xml:space="preserve">Enter an '4% LIHTC Basis Calculation' value for 'Third Party Development Management/Owner's Rep' in cell C112.
</v>
      </c>
      <c r="G714" s="9" t="str">
        <f t="shared" ca="1" si="206"/>
        <v xml:space="preserve">The total of development budget in column B must be greater than zero.
</v>
      </c>
    </row>
    <row r="715" spans="1:7" ht="15" customHeight="1">
      <c r="A715" t="str">
        <f ca="1">IF(AND(Calculations!$B$6, E715=""), F715, "")</f>
        <v/>
      </c>
      <c r="B715" t="s">
        <v>457</v>
      </c>
      <c r="C715" t="str">
        <f ca="1">INDIRECT($F$292 &amp; ADDRESS(B713, 1,4  ))</f>
        <v>Third Party Development Management/Owner's Rep</v>
      </c>
      <c r="D715" t="str">
        <f>ADDRESS(B713, 4,4  )</f>
        <v>D112</v>
      </c>
      <c r="E715">
        <f t="shared" ca="1" si="207"/>
        <v>0</v>
      </c>
      <c r="F715" t="str">
        <f ca="1">CONCATENATE("Enter an '9% LIHTC Basis Calculation' value for '", C715, "' in cell ", D715, ".", CHAR(10))</f>
        <v xml:space="preserve">Enter an '9% LIHTC Basis Calculation' value for 'Third Party Development Management/Owner's Rep' in cell D112.
</v>
      </c>
      <c r="G715" s="9" t="str">
        <f t="shared" ca="1" si="206"/>
        <v xml:space="preserve">The total of development budget in column B must be greater than zero.
</v>
      </c>
    </row>
    <row r="716" spans="1:7" ht="15" customHeight="1">
      <c r="A716" t="str">
        <f ca="1">IF(AND(OR(Calculations!$B$3:$B$4), E716=""), F716, "")</f>
        <v/>
      </c>
      <c r="B716" t="s">
        <v>457</v>
      </c>
      <c r="C716" t="str">
        <f ca="1">INDIRECT($F$292 &amp; ADDRESS(B713, 1,4  ))</f>
        <v>Third Party Development Management/Owner's Rep</v>
      </c>
      <c r="D716" t="str">
        <f>ADDRESS(B713, 5,4  )</f>
        <v>E112</v>
      </c>
      <c r="E716">
        <f t="shared" ca="1" si="207"/>
        <v>0</v>
      </c>
      <c r="F716" t="str">
        <f ca="1">CONCATENATE("Enter an 'Amount Last Provided to CHFA' value for '", C716, "' in cell ", D716, ".", CHAR(10))</f>
        <v xml:space="preserve">Enter an 'Amount Last Provided to CHFA' value for 'Third Party Development Management/Owner's Rep' in cell E112.
</v>
      </c>
      <c r="G716" s="9" t="str">
        <f t="shared" ca="1" si="206"/>
        <v xml:space="preserve">The total of development budget in column B must be greater than zero.
</v>
      </c>
    </row>
    <row r="717" spans="1:7" ht="15" customHeight="1">
      <c r="A717" t="str">
        <f ca="1">IF(AND(Calculations!$B$3, E717=""), F717, "")</f>
        <v/>
      </c>
      <c r="B717" t="s">
        <v>457</v>
      </c>
      <c r="C717" t="str">
        <f ca="1">INDIRECT($F$292 &amp; ADDRESS(B713, 1,4  ))</f>
        <v>Third Party Development Management/Owner's Rep</v>
      </c>
      <c r="D717" t="str">
        <f>ADDRESS(B713, 6,4  )</f>
        <v>F112</v>
      </c>
      <c r="E717">
        <f t="shared" ca="1" si="207"/>
        <v>0</v>
      </c>
      <c r="F717" t="str">
        <f ca="1">CONCATENATE("Enter a '10% Carryover Actual Incurred Costs' value for '", C717, "' in cell ", D717, ".", CHAR(10))</f>
        <v xml:space="preserve">Enter a '10% Carryover Actual Incurred Costs' value for 'Third Party Development Management/Owner's Rep' in cell F112.
</v>
      </c>
      <c r="G717" s="9" t="str">
        <f t="shared" ca="1" si="206"/>
        <v xml:space="preserve">The total of development budget in column B must be greater than zero.
</v>
      </c>
    </row>
    <row r="718" spans="1:7" ht="15" customHeight="1">
      <c r="A718" t="str">
        <f ca="1">IF(E718="", F718, "")</f>
        <v/>
      </c>
      <c r="B718" s="52">
        <f>B713+1</f>
        <v>113</v>
      </c>
      <c r="C718" t="str">
        <f ca="1">INDIRECT($F$292 &amp; ADDRESS(B718, 1,4  ))</f>
        <v>Financial/Tax Credit Consultant, Application Preparation, etc.</v>
      </c>
      <c r="D718" t="str">
        <f>ADDRESS(B718, 2,4  )</f>
        <v>B113</v>
      </c>
      <c r="E718">
        <f t="shared" ca="1" si="207"/>
        <v>0</v>
      </c>
      <c r="F718" t="str">
        <f ca="1">CONCATENATE("Enter a value for '", C718, "' in cell ", D718, ".", CHAR(10))</f>
        <v xml:space="preserve">Enter a value for 'Financial/Tax Credit Consultant, Application Preparation, etc.' in cell B113.
</v>
      </c>
      <c r="G718" s="9" t="str">
        <f t="shared" ca="1" si="206"/>
        <v xml:space="preserve">The total of development budget in column B must be greater than zero.
</v>
      </c>
    </row>
    <row r="719" spans="1:7" ht="15" customHeight="1">
      <c r="A719" t="str">
        <f ca="1">IF(AND(Calculations!$B$5, E719=""), F719, "")</f>
        <v/>
      </c>
      <c r="B719" t="s">
        <v>457</v>
      </c>
      <c r="C719" t="str">
        <f ca="1">INDIRECT($F$292 &amp; ADDRESS(B718, 1,4  ))</f>
        <v>Financial/Tax Credit Consultant, Application Preparation, etc.</v>
      </c>
      <c r="D719" t="str">
        <f>ADDRESS(B718, 3,4  )</f>
        <v>C113</v>
      </c>
      <c r="E719">
        <f t="shared" ca="1" si="207"/>
        <v>0</v>
      </c>
      <c r="F719" t="str">
        <f ca="1">CONCATENATE("Enter an '4% LIHTC Basis Calculation' value for '", C719, "' in cell ", D719, ".", CHAR(10))</f>
        <v xml:space="preserve">Enter an '4% LIHTC Basis Calculation' value for 'Financial/Tax Credit Consultant, Application Preparation, etc.' in cell C113.
</v>
      </c>
      <c r="G719" s="9" t="str">
        <f t="shared" ca="1" si="206"/>
        <v xml:space="preserve">The total of development budget in column B must be greater than zero.
</v>
      </c>
    </row>
    <row r="720" spans="1:7" ht="15" customHeight="1">
      <c r="A720" t="str">
        <f ca="1">IF(AND(Calculations!$B$6, E720=""), F720, "")</f>
        <v/>
      </c>
      <c r="B720" t="s">
        <v>457</v>
      </c>
      <c r="C720" t="str">
        <f ca="1">INDIRECT($F$292 &amp; ADDRESS(B718, 1,4  ))</f>
        <v>Financial/Tax Credit Consultant, Application Preparation, etc.</v>
      </c>
      <c r="D720" t="str">
        <f>ADDRESS(B718, 4,4  )</f>
        <v>D113</v>
      </c>
      <c r="E720">
        <f t="shared" ca="1" si="207"/>
        <v>0</v>
      </c>
      <c r="F720" t="str">
        <f ca="1">CONCATENATE("Enter an '9% LIHTC Basis Calculation' value for '", C720, "' in cell ", D720, ".", CHAR(10))</f>
        <v xml:space="preserve">Enter an '9% LIHTC Basis Calculation' value for 'Financial/Tax Credit Consultant, Application Preparation, etc.' in cell D113.
</v>
      </c>
      <c r="G720" s="9" t="str">
        <f t="shared" ca="1" si="206"/>
        <v xml:space="preserve">The total of development budget in column B must be greater than zero.
</v>
      </c>
    </row>
    <row r="721" spans="1:7" ht="15" customHeight="1">
      <c r="A721" t="str">
        <f ca="1">IF(AND(OR(Calculations!$B$3:$B$4), E721=""), F721, "")</f>
        <v/>
      </c>
      <c r="B721" t="s">
        <v>457</v>
      </c>
      <c r="C721" t="str">
        <f ca="1">INDIRECT($F$292 &amp; ADDRESS(B718, 1,4  ))</f>
        <v>Financial/Tax Credit Consultant, Application Preparation, etc.</v>
      </c>
      <c r="D721" t="str">
        <f>ADDRESS(B718, 5,4  )</f>
        <v>E113</v>
      </c>
      <c r="E721">
        <f t="shared" ca="1" si="207"/>
        <v>0</v>
      </c>
      <c r="F721" t="str">
        <f ca="1">CONCATENATE("Enter an 'Amount Last Provided to CHFA' value for '", C721, "' in cell ", D721, ".", CHAR(10))</f>
        <v xml:space="preserve">Enter an 'Amount Last Provided to CHFA' value for 'Financial/Tax Credit Consultant, Application Preparation, etc.' in cell E113.
</v>
      </c>
      <c r="G721" s="9" t="str">
        <f t="shared" ca="1" si="206"/>
        <v xml:space="preserve">The total of development budget in column B must be greater than zero.
</v>
      </c>
    </row>
    <row r="722" spans="1:7" ht="15" customHeight="1">
      <c r="A722" t="str">
        <f ca="1">IF(AND(Calculations!$B$3, E722=""), F722, "")</f>
        <v/>
      </c>
      <c r="B722" t="s">
        <v>457</v>
      </c>
      <c r="C722" t="str">
        <f ca="1">INDIRECT($F$292 &amp; ADDRESS(B718, 1,4  ))</f>
        <v>Financial/Tax Credit Consultant, Application Preparation, etc.</v>
      </c>
      <c r="D722" t="str">
        <f>ADDRESS(B718, 6,4  )</f>
        <v>F113</v>
      </c>
      <c r="E722">
        <f t="shared" ca="1" si="207"/>
        <v>0</v>
      </c>
      <c r="F722" t="str">
        <f ca="1">CONCATENATE("Enter a '10% Carryover Actual Incurred Costs' value for '", C722, "' in cell ", D722, ".", CHAR(10))</f>
        <v xml:space="preserve">Enter a '10% Carryover Actual Incurred Costs' value for 'Financial/Tax Credit Consultant, Application Preparation, etc.' in cell F113.
</v>
      </c>
      <c r="G722" s="9" t="str">
        <f t="shared" ca="1" si="206"/>
        <v xml:space="preserve">The total of development budget in column B must be greater than zero.
</v>
      </c>
    </row>
    <row r="723" spans="1:7" ht="15" customHeight="1">
      <c r="A723" t="str">
        <f ca="1">IF(E723="", F723, "")</f>
        <v/>
      </c>
      <c r="B723">
        <f>ROW('Development Budget'!A117)</f>
        <v>117</v>
      </c>
      <c r="C723" t="str">
        <f ca="1">INDIRECT($F$292 &amp; ADDRESS(B723, 1,4  ))</f>
        <v>Rent-up Reserves</v>
      </c>
      <c r="D723" t="str">
        <f>ADDRESS(B723, 2,4  )</f>
        <v>B117</v>
      </c>
      <c r="E723">
        <f t="shared" ca="1" si="207"/>
        <v>0</v>
      </c>
      <c r="F723" t="str">
        <f ca="1">CONCATENATE("Enter a value for '", C723, "' in cell ", D723, ".", CHAR(10))</f>
        <v xml:space="preserve">Enter a value for 'Rent-up Reserves' in cell B117.
</v>
      </c>
      <c r="G723" s="9" t="str">
        <f t="shared" ca="1" si="206"/>
        <v xml:space="preserve">The total of development budget in column B must be greater than zero.
</v>
      </c>
    </row>
    <row r="724" spans="1:7" ht="15" customHeight="1">
      <c r="A724" t="str">
        <f ca="1">IF(AND(OR(Calculations!$B$3:$B$4), E724=""), F724, "")</f>
        <v/>
      </c>
      <c r="B724" t="s">
        <v>457</v>
      </c>
      <c r="C724" t="str">
        <f ca="1">INDIRECT($F$292 &amp; ADDRESS(B723, 1,4  ))</f>
        <v>Rent-up Reserves</v>
      </c>
      <c r="D724" t="str">
        <f>ADDRESS(B723, 5,4  )</f>
        <v>E117</v>
      </c>
      <c r="E724">
        <f t="shared" ca="1" si="207"/>
        <v>0</v>
      </c>
      <c r="F724" t="str">
        <f ca="1">CONCATENATE("Enter an 'Amount Last Provided to CHFA' value for '", C724, "' in cell ", D724, ".", CHAR(10))</f>
        <v xml:space="preserve">Enter an 'Amount Last Provided to CHFA' value for 'Rent-up Reserves' in cell E117.
</v>
      </c>
      <c r="G724" s="9" t="str">
        <f t="shared" ca="1" si="206"/>
        <v xml:space="preserve">The total of development budget in column B must be greater than zero.
</v>
      </c>
    </row>
    <row r="725" spans="1:7" ht="15" customHeight="1">
      <c r="A725" t="str">
        <f ca="1">IF(E725="", F725, "")</f>
        <v/>
      </c>
      <c r="B725" s="52">
        <f>B723+1</f>
        <v>118</v>
      </c>
      <c r="C725" t="str">
        <f ca="1">INDIRECT($F$292 &amp; ADDRESS(B725, 1,4  ))</f>
        <v>Operating Reserves</v>
      </c>
      <c r="D725" t="str">
        <f>ADDRESS(B725, 2,4  )</f>
        <v>B118</v>
      </c>
      <c r="E725">
        <f t="shared" ca="1" si="207"/>
        <v>0</v>
      </c>
      <c r="F725" t="str">
        <f ca="1">CONCATENATE("Enter a value for '", C725, "' in cell ", D725, ".", CHAR(10))</f>
        <v xml:space="preserve">Enter a value for 'Operating Reserves' in cell B118.
</v>
      </c>
      <c r="G725" s="9" t="str">
        <f t="shared" ca="1" si="206"/>
        <v xml:space="preserve">The total of development budget in column B must be greater than zero.
</v>
      </c>
    </row>
    <row r="726" spans="1:7" ht="15" customHeight="1">
      <c r="A726" t="str">
        <f ca="1">IF(AND(OR(Calculations!$B$3:$B$4), E726=""), F726, "")</f>
        <v/>
      </c>
      <c r="B726" t="s">
        <v>457</v>
      </c>
      <c r="C726" t="str">
        <f ca="1">INDIRECT($F$292 &amp; ADDRESS(B725, 1,4  ))</f>
        <v>Operating Reserves</v>
      </c>
      <c r="D726" t="str">
        <f>ADDRESS(B725, 5,4  )</f>
        <v>E118</v>
      </c>
      <c r="E726">
        <f t="shared" ca="1" si="207"/>
        <v>0</v>
      </c>
      <c r="F726" t="str">
        <f ca="1">CONCATENATE("Enter an 'Amount Last Provided to CHFA' value for '", C726, "' in cell ", D726, ".", CHAR(10))</f>
        <v xml:space="preserve">Enter an 'Amount Last Provided to CHFA' value for 'Operating Reserves' in cell E118.
</v>
      </c>
      <c r="G726" s="9" t="str">
        <f t="shared" ca="1" si="206"/>
        <v xml:space="preserve">The total of development budget in column B must be greater than zero.
</v>
      </c>
    </row>
    <row r="727" spans="1:7" ht="15" customHeight="1">
      <c r="A727" t="str">
        <f ca="1">IF(E727="", F727, "")</f>
        <v/>
      </c>
      <c r="B727" s="52">
        <f>B725+1</f>
        <v>119</v>
      </c>
      <c r="C727" t="str">
        <f ca="1">INDIRECT($F$292 &amp; ADDRESS(B727, 1,4  ))</f>
        <v>Replacement Reserves</v>
      </c>
      <c r="D727" t="str">
        <f>ADDRESS(B727, 2,4  )</f>
        <v>B119</v>
      </c>
      <c r="E727">
        <f t="shared" ca="1" si="207"/>
        <v>0</v>
      </c>
      <c r="F727" t="str">
        <f ca="1">CONCATENATE("Enter a value for '", C727, "' in cell ", D727, ".", CHAR(10))</f>
        <v xml:space="preserve">Enter a value for 'Replacement Reserves' in cell B119.
</v>
      </c>
      <c r="G727" s="9" t="str">
        <f t="shared" ca="1" si="206"/>
        <v xml:space="preserve">The total of development budget in column B must be greater than zero.
</v>
      </c>
    </row>
    <row r="728" spans="1:7" ht="15" customHeight="1">
      <c r="A728" t="str">
        <f ca="1">IF(AND(OR(Calculations!$B$3:$B$4), E728=""), F728, "")</f>
        <v/>
      </c>
      <c r="B728" t="s">
        <v>457</v>
      </c>
      <c r="C728" t="str">
        <f ca="1">INDIRECT($F$292 &amp; ADDRESS(B727, 1,4  ))</f>
        <v>Replacement Reserves</v>
      </c>
      <c r="D728" t="str">
        <f>ADDRESS(B727, 5,4  )</f>
        <v>E119</v>
      </c>
      <c r="E728">
        <f t="shared" ca="1" si="207"/>
        <v>0</v>
      </c>
      <c r="F728" t="str">
        <f ca="1">CONCATENATE("Enter an 'Amount Last Provided to CHFA' value for '", C728, "' in cell ", D728, ".", CHAR(10))</f>
        <v xml:space="preserve">Enter an 'Amount Last Provided to CHFA' value for 'Replacement Reserves' in cell E119.
</v>
      </c>
      <c r="G728" s="9" t="str">
        <f t="shared" ca="1" si="206"/>
        <v xml:space="preserve">The total of development budget in column B must be greater than zero.
</v>
      </c>
    </row>
    <row r="729" spans="1:7" ht="15" customHeight="1">
      <c r="A729" t="str">
        <f ca="1">IF(E729="", F729, "")</f>
        <v/>
      </c>
      <c r="B729" s="52">
        <f>B727+1</f>
        <v>120</v>
      </c>
      <c r="C729" t="str">
        <f ca="1">INDIRECT($F$292 &amp; ADDRESS(B729, 1,4  ))</f>
        <v>Debt Service Reserves</v>
      </c>
      <c r="D729" t="str">
        <f>ADDRESS(B729, 2,4  )</f>
        <v>B120</v>
      </c>
      <c r="E729">
        <f t="shared" ca="1" si="207"/>
        <v>0</v>
      </c>
      <c r="F729" t="str">
        <f ca="1">CONCATENATE("Enter a value for '", C729, "' in cell ", D729, ".", CHAR(10))</f>
        <v xml:space="preserve">Enter a value for 'Debt Service Reserves' in cell B120.
</v>
      </c>
      <c r="G729" s="9" t="str">
        <f t="shared" ca="1" si="206"/>
        <v xml:space="preserve">The total of development budget in column B must be greater than zero.
</v>
      </c>
    </row>
    <row r="730" spans="1:7" ht="15" customHeight="1">
      <c r="A730" t="str">
        <f ca="1">IF(AND(OR(Calculations!$B$3:$B$4), E730=""), F730, "")</f>
        <v/>
      </c>
      <c r="B730" t="s">
        <v>457</v>
      </c>
      <c r="C730" t="str">
        <f ca="1">INDIRECT($F$292 &amp; ADDRESS(B729, 1,4  ))</f>
        <v>Debt Service Reserves</v>
      </c>
      <c r="D730" t="str">
        <f>ADDRESS(B729, 5,4  )</f>
        <v>E120</v>
      </c>
      <c r="E730">
        <f t="shared" ca="1" si="207"/>
        <v>0</v>
      </c>
      <c r="F730" t="str">
        <f ca="1">CONCATENATE("Enter an 'Amount Last Provided to CHFA' value for '", C730, "' in cell ", D730, ".", CHAR(10))</f>
        <v xml:space="preserve">Enter an 'Amount Last Provided to CHFA' value for 'Debt Service Reserves' in cell E120.
</v>
      </c>
      <c r="G730" s="9" t="str">
        <f t="shared" ca="1" si="206"/>
        <v xml:space="preserve">The total of development budget in column B must be greater than zero.
</v>
      </c>
    </row>
    <row r="731" spans="1:7" ht="15" customHeight="1">
      <c r="A731" t="str">
        <f ca="1">IF(E731="", F731, "")</f>
        <v/>
      </c>
      <c r="B731" s="52">
        <f>B729+1</f>
        <v>121</v>
      </c>
      <c r="C731" t="str">
        <f ca="1">INDIRECT($F$292 &amp; ADDRESS(B731, 1,4  ))</f>
        <v>Other (Specify)</v>
      </c>
      <c r="D731" t="str">
        <f>ADDRESS(B731, 2,4  )</f>
        <v>B121</v>
      </c>
      <c r="E731">
        <f t="shared" ca="1" si="207"/>
        <v>0</v>
      </c>
      <c r="F731" t="str">
        <f ca="1">CONCATENATE("Enter a value for '", C731, "' in cell ", D731, ".", CHAR(10))</f>
        <v xml:space="preserve">Enter a value for 'Other (Specify)' in cell B121.
</v>
      </c>
      <c r="G731" s="9" t="str">
        <f t="shared" ca="1" si="206"/>
        <v xml:space="preserve">The total of development budget in column B must be greater than zero.
</v>
      </c>
    </row>
    <row r="732" spans="1:7" ht="15" customHeight="1">
      <c r="A732" t="str">
        <f ca="1">IF(AND(OR(Calculations!$B$3:$B$4), E732=""), F732, "")</f>
        <v/>
      </c>
      <c r="B732" t="s">
        <v>457</v>
      </c>
      <c r="C732" t="str">
        <f ca="1">INDIRECT($F$292 &amp; ADDRESS(B731, 1,4  ))</f>
        <v>Other (Specify)</v>
      </c>
      <c r="D732" t="str">
        <f>ADDRESS(B731, 5,4  )</f>
        <v>E121</v>
      </c>
      <c r="E732">
        <f t="shared" ca="1" si="207"/>
        <v>0</v>
      </c>
      <c r="F732" t="str">
        <f ca="1">CONCATENATE("Enter an 'Amount Last Provided to CHFA' value for '", C732, "' in cell ", D732, ".", CHAR(10))</f>
        <v xml:space="preserve">Enter an 'Amount Last Provided to CHFA' value for 'Other (Specify)' in cell E121.
</v>
      </c>
      <c r="G732" s="9" t="str">
        <f t="shared" ca="1" si="206"/>
        <v xml:space="preserve">The total of development budget in column B must be greater than zero.
</v>
      </c>
    </row>
    <row r="733" spans="1:7" ht="15" customHeight="1">
      <c r="A733" t="str">
        <f ca="1">IF(AND(E733, SUM(E731:E732) &gt; 0), F733, "")</f>
        <v/>
      </c>
      <c r="C733" t="str">
        <f ca="1">INDIRECT($F$292 &amp; ADDRESS(B731, 1,4  ))</f>
        <v>Other (Specify)</v>
      </c>
      <c r="D733" t="str">
        <f>ADDRESS(B731, 1,4  )</f>
        <v>A121</v>
      </c>
      <c r="E733" t="b">
        <f ca="1">INDIRECT($F$292 &amp; D733)="Other (specify)"</f>
        <v>1</v>
      </c>
      <c r="F733" t="str">
        <f ca="1">CONCATENATE("Please specify value for '", C733, "' in cell ", D733, ".", CHAR(10))</f>
        <v xml:space="preserve">Please specify value for 'Other (Specify)' in cell A121.
</v>
      </c>
      <c r="G733" s="9" t="str">
        <f t="shared" ca="1" si="206"/>
        <v xml:space="preserve">The total of development budget in column B must be greater than zero.
</v>
      </c>
    </row>
    <row r="734" spans="1:7" ht="15" customHeight="1">
      <c r="A734" t="str">
        <f ca="1">IF(E734="", F734, "")</f>
        <v/>
      </c>
      <c r="B734" s="52">
        <f>B731+1</f>
        <v>122</v>
      </c>
      <c r="C734" t="str">
        <f ca="1">INDIRECT($F$292 &amp; ADDRESS(B734, 1,4  ))</f>
        <v>Other (Specify)</v>
      </c>
      <c r="D734" t="str">
        <f>ADDRESS(B734, 2,4  )</f>
        <v>B122</v>
      </c>
      <c r="E734">
        <f ca="1">IF(ISBLANK( INDIRECT($F$292 &amp; D734)),"", INDIRECT($F$292 &amp; D734))</f>
        <v>0</v>
      </c>
      <c r="F734" t="str">
        <f ca="1">CONCATENATE("Enter a value for '", C734, "' in cell ", D734, ".", CHAR(10))</f>
        <v xml:space="preserve">Enter a value for 'Other (Specify)' in cell B122.
</v>
      </c>
      <c r="G734" s="9" t="str">
        <f t="shared" ca="1" si="206"/>
        <v xml:space="preserve">The total of development budget in column B must be greater than zero.
</v>
      </c>
    </row>
    <row r="735" spans="1:7" ht="15" customHeight="1">
      <c r="A735" t="str">
        <f ca="1">IF(AND(OR(Calculations!$B$3:$B$4), E735=""), F735, "")</f>
        <v/>
      </c>
      <c r="B735" t="s">
        <v>457</v>
      </c>
      <c r="C735" t="str">
        <f ca="1">INDIRECT($F$292 &amp; ADDRESS(B734, 1,4  ))</f>
        <v>Other (Specify)</v>
      </c>
      <c r="D735" t="str">
        <f>ADDRESS(B734, 5,4  )</f>
        <v>E122</v>
      </c>
      <c r="E735">
        <f ca="1">IF(ISBLANK( INDIRECT($F$292 &amp; D735)),"", INDIRECT($F$292 &amp; D735))</f>
        <v>0</v>
      </c>
      <c r="F735" t="str">
        <f ca="1">CONCATENATE("Enter an 'Amount Last Provided to CHFA' value for '", C735, "' in cell ", D735, ".", CHAR(10))</f>
        <v xml:space="preserve">Enter an 'Amount Last Provided to CHFA' value for 'Other (Specify)' in cell E122.
</v>
      </c>
      <c r="G735" s="9" t="str">
        <f t="shared" ca="1" si="206"/>
        <v xml:space="preserve">The total of development budget in column B must be greater than zero.
</v>
      </c>
    </row>
    <row r="736" spans="1:7" ht="15" customHeight="1">
      <c r="A736" t="str">
        <f ca="1">IF(AND(E736, SUM(E734:E735) &gt; 0), F736, "")</f>
        <v/>
      </c>
      <c r="C736" t="str">
        <f ca="1">INDIRECT($F$292 &amp; ADDRESS(B734, 1,4  ))</f>
        <v>Other (Specify)</v>
      </c>
      <c r="D736" t="str">
        <f>ADDRESS(B734, 1,4  )</f>
        <v>A122</v>
      </c>
      <c r="E736" t="b">
        <f ca="1">INDIRECT($F$292 &amp; D736)="Other (specify)"</f>
        <v>1</v>
      </c>
      <c r="F736" t="str">
        <f ca="1">CONCATENATE("Please specify value for '", C736, "' in cell ", D736, ".", CHAR(10))</f>
        <v xml:space="preserve">Please specify value for 'Other (Specify)' in cell A122.
</v>
      </c>
      <c r="G736" s="9" t="str">
        <f t="shared" ca="1" si="206"/>
        <v xml:space="preserve">The total of development budget in column B must be greater than zero.
</v>
      </c>
    </row>
    <row r="737" spans="1:17" ht="15" customHeight="1">
      <c r="G737" s="9" t="str">
        <f t="shared" ca="1" si="206"/>
        <v xml:space="preserve">The total of development budget in column B must be greater than zero.
</v>
      </c>
    </row>
    <row r="738" spans="1:17" ht="15" customHeight="1">
      <c r="G738" s="9" t="str">
        <f t="shared" ca="1" si="206"/>
        <v xml:space="preserve">The total of development budget in column B must be greater than zero.
</v>
      </c>
    </row>
    <row r="739" spans="1:17" ht="15" customHeight="1">
      <c r="A739" s="55" t="s">
        <v>3694</v>
      </c>
      <c r="B739" s="53"/>
      <c r="C739" s="53"/>
      <c r="D739" s="53"/>
      <c r="E739" s="53"/>
      <c r="F739" s="53"/>
      <c r="G739" s="56" t="str">
        <f ca="1">OFFSET(G739, -1, 0)</f>
        <v xml:space="preserve">The total of development budget in column B must be greater than zero.
</v>
      </c>
    </row>
    <row r="740" spans="1:17" ht="15" customHeight="1">
      <c r="A740" t="str">
        <f>IF(TRIM(Application!B34)="","The census tract number where the development is located must be entered in cell B24","")</f>
        <v>The census tract number where the development is located must be entered in cell B24</v>
      </c>
    </row>
    <row r="741" spans="1:17" ht="15" customHeight="1"/>
    <row r="742" spans="1:17" ht="15" customHeight="1">
      <c r="A742" s="22" t="s">
        <v>92</v>
      </c>
      <c r="F742" s="49" t="s">
        <v>3695</v>
      </c>
    </row>
    <row r="743" spans="1:17" ht="15" customHeight="1">
      <c r="A743" s="53" t="s">
        <v>3652</v>
      </c>
      <c r="B743" s="53" t="s">
        <v>3653</v>
      </c>
      <c r="C743" s="53" t="s">
        <v>3654</v>
      </c>
      <c r="D743" s="53" t="s">
        <v>3655</v>
      </c>
      <c r="E743" s="53" t="s">
        <v>3656</v>
      </c>
      <c r="F743" s="53" t="s">
        <v>3657</v>
      </c>
      <c r="G743" s="54" t="s">
        <v>3658</v>
      </c>
    </row>
    <row r="744" spans="1:17" ht="15" customHeight="1">
      <c r="A744" s="52" t="str">
        <f>IF(E744&gt;0, F744, "")</f>
        <v/>
      </c>
      <c r="B744" s="52" t="s">
        <v>3686</v>
      </c>
      <c r="C744" s="52"/>
      <c r="D744" s="52"/>
      <c r="E744" s="52">
        <f>IFERROR(SUM(H744:Q744), 0)</f>
        <v>0</v>
      </c>
      <c r="F744" s="52" t="str">
        <f>CONCATENATE("Formulas are not permitted in the Amount column (column B).", CHAR(10))</f>
        <v xml:space="preserve">Formulas are not permitted in the Amount column (column B).
</v>
      </c>
      <c r="G744" s="9" t="str">
        <f>A744</f>
        <v/>
      </c>
      <c r="H744">
        <f>SUMPRODUCT(--_xlfn.ISFORMULA('Commercial Budget'!B4:B6))</f>
        <v>0</v>
      </c>
      <c r="I744">
        <f>SUMPRODUCT(--_xlfn.ISFORMULA('Commercial Budget'!B9:B10))</f>
        <v>0</v>
      </c>
      <c r="J744">
        <f>SUMPRODUCT(--_xlfn.ISFORMULA('Commercial Budget'!B13:B23))</f>
        <v>0</v>
      </c>
      <c r="K744">
        <f>SUMPRODUCT(--_xlfn.ISFORMULA('Commercial Budget'!B26:B33))</f>
        <v>0</v>
      </c>
      <c r="L744">
        <f>SUMPRODUCT(--_xlfn.ISFORMULA('Commercial Budget'!B36:B50))</f>
        <v>0</v>
      </c>
      <c r="M744">
        <f>SUMPRODUCT(--_xlfn.ISFORMULA('Commercial Budget'!B53:B63))</f>
        <v>0</v>
      </c>
      <c r="N744">
        <f>SUMPRODUCT(--_xlfn.ISFORMULA('Commercial Budget'!B66:B75))</f>
        <v>0</v>
      </c>
      <c r="O744">
        <f>SUMPRODUCT(--_xlfn.ISFORMULA('Commercial Budget'!B78:B83))</f>
        <v>0</v>
      </c>
      <c r="P744">
        <f>SUMPRODUCT(--_xlfn.ISFORMULA('Commercial Budget'!B86:B89))</f>
        <v>0</v>
      </c>
      <c r="Q744">
        <f>SUMPRODUCT(--_xlfn.ISFORMULA('Commercial Budget'!B92:B96))</f>
        <v>0</v>
      </c>
    </row>
    <row r="745" spans="1:17" ht="15" customHeight="1">
      <c r="A745" s="52" t="str">
        <f>IF(E745&gt;0, F745, "")</f>
        <v/>
      </c>
      <c r="B745" s="52" t="s">
        <v>3689</v>
      </c>
      <c r="C745" s="52"/>
      <c r="D745" s="52"/>
      <c r="E745" s="52">
        <f>IFERROR(SUM(H745:Q745), 0)</f>
        <v>0</v>
      </c>
      <c r="F745" s="52" t="str">
        <f>CONCATENATE("Formulas are not permitted in the Amount Last Provided to CHFA column (column C).", CHAR(10))</f>
        <v xml:space="preserve">Formulas are not permitted in the Amount Last Provided to CHFA column (column C).
</v>
      </c>
      <c r="G745" s="9" t="str">
        <f t="shared" ref="G745:G776" ca="1" si="208">OFFSET(G745, -1, 0) &amp; A745</f>
        <v/>
      </c>
      <c r="H745">
        <f>SUMPRODUCT(--_xlfn.ISFORMULA('Commercial Budget'!C4:C6))</f>
        <v>0</v>
      </c>
      <c r="I745">
        <f>SUMPRODUCT(--_xlfn.ISFORMULA('Commercial Budget'!C9:C10))</f>
        <v>0</v>
      </c>
      <c r="J745">
        <f>SUMPRODUCT(--_xlfn.ISFORMULA('Commercial Budget'!C13:C23))</f>
        <v>0</v>
      </c>
      <c r="K745">
        <f>SUMPRODUCT(--_xlfn.ISFORMULA('Commercial Budget'!C26:C33))</f>
        <v>0</v>
      </c>
      <c r="L745">
        <f>SUMPRODUCT(--_xlfn.ISFORMULA('Commercial Budget'!C36:C50))</f>
        <v>0</v>
      </c>
      <c r="M745">
        <f>SUMPRODUCT(--_xlfn.ISFORMULA('Commercial Budget'!C53:C63))</f>
        <v>0</v>
      </c>
      <c r="N745">
        <f>SUMPRODUCT(--_xlfn.ISFORMULA('Commercial Budget'!C66:C75))</f>
        <v>0</v>
      </c>
      <c r="O745">
        <f>SUMPRODUCT(--_xlfn.ISFORMULA('Commercial Budget'!C78:C83))</f>
        <v>0</v>
      </c>
      <c r="P745">
        <f>SUMPRODUCT(--_xlfn.ISFORMULA('Commercial Budget'!C86:C89))</f>
        <v>0</v>
      </c>
      <c r="Q745">
        <f>SUMPRODUCT(--_xlfn.ISFORMULA('Commercial Budget'!C92:C96))</f>
        <v>0</v>
      </c>
    </row>
    <row r="746" spans="1:17" ht="15" customHeight="1">
      <c r="A746" s="52" t="str">
        <f>IF(AND(Calculations!B25, E746=0), F746, "")</f>
        <v/>
      </c>
      <c r="B746" s="52">
        <f>ROW('Commercial Budget'!A4)</f>
        <v>4</v>
      </c>
      <c r="C746" s="52"/>
      <c r="D746" s="52" t="str">
        <f>SUBSTITUTE(ADDRESS(B746, COLUMN('Development Budget'!B461),4), B746, "")</f>
        <v>B</v>
      </c>
      <c r="E746" s="52">
        <f>Calculations!B688</f>
        <v>0</v>
      </c>
      <c r="F746" s="52" t="str">
        <f>CONCATENATE("The total of commercial budget in column ", D746, " must be greater than zero.", CHAR(10))</f>
        <v xml:space="preserve">The total of commercial budget in column B must be greater than zero.
</v>
      </c>
      <c r="G746" s="9" t="str">
        <f t="shared" ca="1" si="208"/>
        <v/>
      </c>
    </row>
    <row r="747" spans="1:17" ht="15" customHeight="1">
      <c r="A747" t="str">
        <f ca="1">IF(E747="",F747, "")</f>
        <v/>
      </c>
      <c r="B747">
        <f>ROW('Commercial Budget'!A4)</f>
        <v>4</v>
      </c>
      <c r="C747" t="str">
        <f ca="1">INDIRECT($F$742 &amp; ADDRESS(B747, 1,4  ))</f>
        <v>Land</v>
      </c>
      <c r="D747" t="str">
        <f>ADDRESS(B747, 2,4  )</f>
        <v>B4</v>
      </c>
      <c r="E747">
        <f t="shared" ref="E747:E774" ca="1" si="209">IF(ISBLANK( INDIRECT($F$742 &amp; D747)),"", INDIRECT($F$742 &amp; D747))</f>
        <v>0</v>
      </c>
      <c r="F747" t="str">
        <f ca="1">CONCATENATE("Enter a value for '", C747, "' in cell ", D747, ".", CHAR(10))</f>
        <v xml:space="preserve">Enter a value for 'Land' in cell B4.
</v>
      </c>
      <c r="G747" s="9" t="str">
        <f t="shared" ca="1" si="208"/>
        <v/>
      </c>
    </row>
    <row r="748" spans="1:17" ht="15" customHeight="1">
      <c r="A748" t="str">
        <f ca="1">IF(AND(OR(Calculations!$B$3:$B$4), E748=""), F748, "")</f>
        <v/>
      </c>
      <c r="B748" t="s">
        <v>457</v>
      </c>
      <c r="C748" t="str">
        <f ca="1">INDIRECT($F$742 &amp; ADDRESS(B747, 1,4  ))</f>
        <v>Land</v>
      </c>
      <c r="D748" t="str">
        <f>ADDRESS(B747, 3,4  )</f>
        <v>C4</v>
      </c>
      <c r="E748">
        <f t="shared" ca="1" si="209"/>
        <v>0</v>
      </c>
      <c r="F748" t="str">
        <f ca="1">CONCATENATE("Enter an 'Amount Last Provided to CHFA' value for '", C748, "' in cell ", D748, ".", CHAR(10))</f>
        <v xml:space="preserve">Enter an 'Amount Last Provided to CHFA' value for 'Land' in cell C4.
</v>
      </c>
      <c r="G748" s="9" t="str">
        <f t="shared" ca="1" si="208"/>
        <v/>
      </c>
    </row>
    <row r="749" spans="1:17" ht="15" customHeight="1">
      <c r="A749" t="str">
        <f ca="1">IF(E749="",F749, "")</f>
        <v/>
      </c>
      <c r="B749" s="52">
        <f>B747+1</f>
        <v>5</v>
      </c>
      <c r="C749" t="str">
        <f ca="1">INDIRECT($F$742 &amp; ADDRESS(B749, 1,4  ))</f>
        <v>Existing Structures</v>
      </c>
      <c r="D749" t="str">
        <f>ADDRESS(B749, 2,4  )</f>
        <v>B5</v>
      </c>
      <c r="E749">
        <f t="shared" ca="1" si="209"/>
        <v>0</v>
      </c>
      <c r="F749" t="str">
        <f ca="1">CONCATENATE("Enter a value for '", C749, "' in cell ", D749, ".", CHAR(10))</f>
        <v xml:space="preserve">Enter a value for 'Existing Structures' in cell B5.
</v>
      </c>
      <c r="G749" s="9" t="str">
        <f t="shared" ca="1" si="208"/>
        <v/>
      </c>
    </row>
    <row r="750" spans="1:17" ht="15" customHeight="1">
      <c r="A750" t="str">
        <f ca="1">IF(AND(OR(Calculations!$B$3:$B$4), E750=""), F750, "")</f>
        <v/>
      </c>
      <c r="B750" t="s">
        <v>457</v>
      </c>
      <c r="C750" t="str">
        <f ca="1">INDIRECT($F$742 &amp; ADDRESS(B749, 1,4  ))</f>
        <v>Existing Structures</v>
      </c>
      <c r="D750" t="str">
        <f>ADDRESS(B749, 3,4  )</f>
        <v>C5</v>
      </c>
      <c r="E750">
        <f t="shared" ca="1" si="209"/>
        <v>0</v>
      </c>
      <c r="F750" t="str">
        <f ca="1">CONCATENATE("Enter an 'Amount Last Provided to CHFA' value for '", C750, "' in cell ", D750, ".", CHAR(10))</f>
        <v xml:space="preserve">Enter an 'Amount Last Provided to CHFA' value for 'Existing Structures' in cell C5.
</v>
      </c>
      <c r="G750" s="9" t="str">
        <f t="shared" ca="1" si="208"/>
        <v/>
      </c>
    </row>
    <row r="751" spans="1:17" ht="15" customHeight="1">
      <c r="A751" t="str">
        <f ca="1">IF(E751="",F751, "")</f>
        <v/>
      </c>
      <c r="B751" s="52">
        <f>B749+1</f>
        <v>6</v>
      </c>
      <c r="C751" t="str">
        <f ca="1">INDIRECT($F$742 &amp; ADDRESS(B751, 1,4  ))</f>
        <v>Demolition</v>
      </c>
      <c r="D751" t="str">
        <f>ADDRESS(B751, 2,4  )</f>
        <v>B6</v>
      </c>
      <c r="E751">
        <f t="shared" ca="1" si="209"/>
        <v>0</v>
      </c>
      <c r="F751" t="str">
        <f ca="1">CONCATENATE("Enter a value for '", C751, "' in cell ", D751, ".", CHAR(10))</f>
        <v xml:space="preserve">Enter a value for 'Demolition' in cell B6.
</v>
      </c>
      <c r="G751" s="9" t="str">
        <f t="shared" ca="1" si="208"/>
        <v/>
      </c>
    </row>
    <row r="752" spans="1:17" ht="15" customHeight="1">
      <c r="A752" t="str">
        <f ca="1">IF(AND(OR(Calculations!$B$3:$B$4), E752=""), F752, "")</f>
        <v/>
      </c>
      <c r="B752" t="s">
        <v>457</v>
      </c>
      <c r="C752" t="str">
        <f ca="1">INDIRECT($F$742 &amp; ADDRESS(B751, 1,4  ))</f>
        <v>Demolition</v>
      </c>
      <c r="D752" t="str">
        <f>ADDRESS(B751, 3,4  )</f>
        <v>C6</v>
      </c>
      <c r="E752">
        <f t="shared" ca="1" si="209"/>
        <v>0</v>
      </c>
      <c r="F752" t="str">
        <f ca="1">CONCATENATE("Enter an 'Amount Last Provided to CHFA' value for '", C752, "' in cell ", D752, ".", CHAR(10))</f>
        <v xml:space="preserve">Enter an 'Amount Last Provided to CHFA' value for 'Demolition' in cell C6.
</v>
      </c>
      <c r="G752" s="9" t="str">
        <f t="shared" ca="1" si="208"/>
        <v/>
      </c>
    </row>
    <row r="753" spans="1:7" ht="15" customHeight="1">
      <c r="A753" t="str">
        <f ca="1">IF(E753="",F753, "")</f>
        <v/>
      </c>
      <c r="B753">
        <f>ROW('Commercial Budget'!A9)</f>
        <v>9</v>
      </c>
      <c r="C753" t="str">
        <f ca="1">INDIRECT($F$742 &amp; ADDRESS(B753, 1,4  ))</f>
        <v>On Site Work</v>
      </c>
      <c r="D753" t="str">
        <f>ADDRESS(B753, 2,4  )</f>
        <v>B9</v>
      </c>
      <c r="E753">
        <f t="shared" ca="1" si="209"/>
        <v>0</v>
      </c>
      <c r="F753" t="str">
        <f ca="1">CONCATENATE("Enter a value for '", C753, "' in cell ", D753, ".", CHAR(10))</f>
        <v xml:space="preserve">Enter a value for 'On Site Work' in cell B9.
</v>
      </c>
      <c r="G753" s="9" t="str">
        <f t="shared" ca="1" si="208"/>
        <v/>
      </c>
    </row>
    <row r="754" spans="1:7" ht="15" customHeight="1">
      <c r="A754" t="str">
        <f ca="1">IF(AND(OR(Calculations!$B$3:$B$4), E754=""), F754, "")</f>
        <v/>
      </c>
      <c r="B754" t="s">
        <v>457</v>
      </c>
      <c r="C754" t="str">
        <f ca="1">INDIRECT($F$742 &amp; ADDRESS(B753, 1,4  ))</f>
        <v>On Site Work</v>
      </c>
      <c r="D754" t="str">
        <f>ADDRESS(B753, 3,4  )</f>
        <v>C9</v>
      </c>
      <c r="E754">
        <f t="shared" ca="1" si="209"/>
        <v>0</v>
      </c>
      <c r="F754" t="str">
        <f ca="1">CONCATENATE("Enter an 'Amount Last Provided to CHFA' value for '", C754, "' in cell ", D754, ".", CHAR(10))</f>
        <v xml:space="preserve">Enter an 'Amount Last Provided to CHFA' value for 'On Site Work' in cell C9.
</v>
      </c>
      <c r="G754" s="9" t="str">
        <f t="shared" ca="1" si="208"/>
        <v/>
      </c>
    </row>
    <row r="755" spans="1:7" ht="15" customHeight="1">
      <c r="A755" t="str">
        <f ca="1">IF(E755="",F755, "")</f>
        <v/>
      </c>
      <c r="B755" s="52">
        <f>B753+1</f>
        <v>10</v>
      </c>
      <c r="C755" t="str">
        <f ca="1">INDIRECT($F$742 &amp; ADDRESS(B755, 1,4  ))</f>
        <v>Off Site Work</v>
      </c>
      <c r="D755" t="str">
        <f>ADDRESS(B755, 2,4  )</f>
        <v>B10</v>
      </c>
      <c r="E755">
        <f t="shared" ca="1" si="209"/>
        <v>0</v>
      </c>
      <c r="F755" t="str">
        <f ca="1">CONCATENATE("Enter a value for '", C755, "' in cell ", D755, ".", CHAR(10))</f>
        <v xml:space="preserve">Enter a value for 'Off Site Work' in cell B10.
</v>
      </c>
      <c r="G755" s="9" t="str">
        <f t="shared" ca="1" si="208"/>
        <v/>
      </c>
    </row>
    <row r="756" spans="1:7" ht="15" customHeight="1">
      <c r="A756" t="str">
        <f ca="1">IF(AND(OR(Calculations!$B$3:$B$4), E756=""), F756, "")</f>
        <v/>
      </c>
      <c r="B756" t="s">
        <v>457</v>
      </c>
      <c r="C756" t="str">
        <f ca="1">INDIRECT($F$742 &amp; ADDRESS(B755, 1,4  ))</f>
        <v>Off Site Work</v>
      </c>
      <c r="D756" t="str">
        <f>ADDRESS(B755, 3,4  )</f>
        <v>C10</v>
      </c>
      <c r="E756">
        <f t="shared" ca="1" si="209"/>
        <v>0</v>
      </c>
      <c r="F756" t="str">
        <f ca="1">CONCATENATE("Enter an 'Amount Last Provided to CHFA' value for '", C756, "' in cell ", D756, ".", CHAR(10))</f>
        <v xml:space="preserve">Enter an 'Amount Last Provided to CHFA' value for 'Off Site Work' in cell C10.
</v>
      </c>
      <c r="G756" s="9" t="str">
        <f t="shared" ca="1" si="208"/>
        <v/>
      </c>
    </row>
    <row r="757" spans="1:7" ht="15" customHeight="1">
      <c r="A757" t="str">
        <f ca="1">IF(E757="",F757, "")</f>
        <v/>
      </c>
      <c r="B757">
        <f>ROW('Commercial Budget'!A13)</f>
        <v>13</v>
      </c>
      <c r="C757" t="str">
        <f ca="1">INDIRECT($F$742 &amp; ADDRESS(B757, 1,4  ))</f>
        <v>New Structures</v>
      </c>
      <c r="D757" t="str">
        <f>ADDRESS(B757, 2,4  )</f>
        <v>B13</v>
      </c>
      <c r="E757">
        <f t="shared" ca="1" si="209"/>
        <v>0</v>
      </c>
      <c r="F757" t="str">
        <f ca="1">CONCATENATE("Enter a value for '", C757, "' in cell ", D757, ".", CHAR(10))</f>
        <v xml:space="preserve">Enter a value for 'New Structures' in cell B13.
</v>
      </c>
      <c r="G757" s="9" t="str">
        <f t="shared" ca="1" si="208"/>
        <v/>
      </c>
    </row>
    <row r="758" spans="1:7" ht="15" customHeight="1">
      <c r="A758" t="str">
        <f ca="1">IF(AND(OR(Calculations!$B$3:$B$4), E758=""), F758, "")</f>
        <v/>
      </c>
      <c r="B758" t="s">
        <v>457</v>
      </c>
      <c r="C758" t="str">
        <f ca="1">INDIRECT($F$742 &amp; ADDRESS(B757, 1,4  ))</f>
        <v>New Structures</v>
      </c>
      <c r="D758" t="str">
        <f>ADDRESS(B757, 3,4  )</f>
        <v>C13</v>
      </c>
      <c r="E758">
        <f t="shared" ca="1" si="209"/>
        <v>0</v>
      </c>
      <c r="F758" t="str">
        <f ca="1">CONCATENATE("Enter an 'Amount Last Provided to CHFA' value for '", C758, "' in cell ", D758, ".", CHAR(10))</f>
        <v xml:space="preserve">Enter an 'Amount Last Provided to CHFA' value for 'New Structures' in cell C13.
</v>
      </c>
      <c r="G758" s="9" t="str">
        <f t="shared" ca="1" si="208"/>
        <v/>
      </c>
    </row>
    <row r="759" spans="1:7" ht="15" customHeight="1">
      <c r="A759" t="str">
        <f ca="1">IF(E759="",F759, "")</f>
        <v/>
      </c>
      <c r="B759" s="52">
        <f>B757+1</f>
        <v>14</v>
      </c>
      <c r="C759" t="str">
        <f ca="1">INDIRECT($F$742 &amp; ADDRESS(B759, 1,4  ))</f>
        <v>Rehabilitation</v>
      </c>
      <c r="D759" t="str">
        <f>ADDRESS(B759, 2,4  )</f>
        <v>B14</v>
      </c>
      <c r="E759">
        <f t="shared" ca="1" si="209"/>
        <v>0</v>
      </c>
      <c r="F759" t="str">
        <f ca="1">CONCATENATE("Enter a value for '", C759, "' in cell ", D759, ".", CHAR(10))</f>
        <v xml:space="preserve">Enter a value for 'Rehabilitation' in cell B14.
</v>
      </c>
      <c r="G759" s="9" t="str">
        <f t="shared" ca="1" si="208"/>
        <v/>
      </c>
    </row>
    <row r="760" spans="1:7" ht="15" customHeight="1">
      <c r="A760" t="str">
        <f ca="1">IF(AND(OR(Calculations!$B$3:$B$4), E760=""), F760, "")</f>
        <v/>
      </c>
      <c r="B760" t="s">
        <v>457</v>
      </c>
      <c r="C760" t="str">
        <f ca="1">INDIRECT($F$742 &amp; ADDRESS(B759, 1,4  ))</f>
        <v>Rehabilitation</v>
      </c>
      <c r="D760" t="str">
        <f>ADDRESS(B759, 3,4  )</f>
        <v>C14</v>
      </c>
      <c r="E760">
        <f t="shared" ca="1" si="209"/>
        <v>0</v>
      </c>
      <c r="F760" t="str">
        <f ca="1">CONCATENATE("Enter an 'Amount Last Provided to CHFA' value for '", C760, "' in cell ", D760, ".", CHAR(10))</f>
        <v xml:space="preserve">Enter an 'Amount Last Provided to CHFA' value for 'Rehabilitation' in cell C14.
</v>
      </c>
      <c r="G760" s="9" t="str">
        <f t="shared" ca="1" si="208"/>
        <v/>
      </c>
    </row>
    <row r="761" spans="1:7" ht="15" customHeight="1">
      <c r="A761" t="str">
        <f ca="1">IF(E761="",F761, "")</f>
        <v/>
      </c>
      <c r="B761" s="52">
        <f>B759+1</f>
        <v>15</v>
      </c>
      <c r="C761" t="str">
        <f ca="1">INDIRECT($F$742 &amp; ADDRESS(B761, 1,4  ))</f>
        <v>Accessory Structures</v>
      </c>
      <c r="D761" t="str">
        <f>ADDRESS(B761, 2,4  )</f>
        <v>B15</v>
      </c>
      <c r="E761">
        <f t="shared" ca="1" si="209"/>
        <v>0</v>
      </c>
      <c r="F761" t="str">
        <f ca="1">CONCATENATE("Enter a value for '", C761, "' in cell ", D761, ".", CHAR(10))</f>
        <v xml:space="preserve">Enter a value for 'Accessory Structures' in cell B15.
</v>
      </c>
      <c r="G761" s="9" t="str">
        <f t="shared" ca="1" si="208"/>
        <v/>
      </c>
    </row>
    <row r="762" spans="1:7" ht="15" customHeight="1">
      <c r="A762" t="str">
        <f ca="1">IF(AND(OR(Calculations!$B$3:$B$4), E762=""), F762, "")</f>
        <v/>
      </c>
      <c r="B762" t="s">
        <v>457</v>
      </c>
      <c r="C762" t="str">
        <f ca="1">INDIRECT($F$742 &amp; ADDRESS(B761, 1,4  ))</f>
        <v>Accessory Structures</v>
      </c>
      <c r="D762" t="str">
        <f>ADDRESS(B761, 3,4  )</f>
        <v>C15</v>
      </c>
      <c r="E762">
        <f t="shared" ca="1" si="209"/>
        <v>0</v>
      </c>
      <c r="F762" t="str">
        <f ca="1">CONCATENATE("Enter an 'Amount Last Provided to CHFA' value for '", C762, "' in cell ", D762, ".", CHAR(10))</f>
        <v xml:space="preserve">Enter an 'Amount Last Provided to CHFA' value for 'Accessory Structures' in cell C15.
</v>
      </c>
      <c r="G762" s="9" t="str">
        <f t="shared" ca="1" si="208"/>
        <v/>
      </c>
    </row>
    <row r="763" spans="1:7" ht="15" customHeight="1">
      <c r="A763" t="str">
        <f ca="1">IF(E763="",F763, "")</f>
        <v/>
      </c>
      <c r="B763" s="52">
        <f>B761+1</f>
        <v>16</v>
      </c>
      <c r="C763" t="str">
        <f ca="1">INDIRECT($F$742 &amp; ADDRESS(B763, 1,4  ))</f>
        <v>General Requirements</v>
      </c>
      <c r="D763" t="str">
        <f>ADDRESS(B763, 2,4  )</f>
        <v>B16</v>
      </c>
      <c r="E763">
        <f t="shared" ca="1" si="209"/>
        <v>0</v>
      </c>
      <c r="F763" t="str">
        <f ca="1">CONCATENATE("Enter a value for '", C763, "' in cell ", D763, ".", CHAR(10))</f>
        <v xml:space="preserve">Enter a value for 'General Requirements' in cell B16.
</v>
      </c>
      <c r="G763" s="9" t="str">
        <f t="shared" ca="1" si="208"/>
        <v/>
      </c>
    </row>
    <row r="764" spans="1:7" ht="15" customHeight="1">
      <c r="A764" t="str">
        <f ca="1">IF(AND(OR(Calculations!$B$3:$B$4), E764=""), F764, "")</f>
        <v/>
      </c>
      <c r="B764" t="s">
        <v>457</v>
      </c>
      <c r="C764" t="str">
        <f ca="1">INDIRECT($F$742 &amp; ADDRESS(B763, 1,4  ))</f>
        <v>General Requirements</v>
      </c>
      <c r="D764" t="str">
        <f>ADDRESS(B763, 3,4  )</f>
        <v>C16</v>
      </c>
      <c r="E764">
        <f t="shared" ca="1" si="209"/>
        <v>0</v>
      </c>
      <c r="F764" t="str">
        <f ca="1">CONCATENATE("Enter an 'Amount Last Provided to CHFA' value for '", C764, "' in cell ", D764, ".", CHAR(10))</f>
        <v xml:space="preserve">Enter an 'Amount Last Provided to CHFA' value for 'General Requirements' in cell C16.
</v>
      </c>
      <c r="G764" s="9" t="str">
        <f t="shared" ca="1" si="208"/>
        <v/>
      </c>
    </row>
    <row r="765" spans="1:7" ht="15" customHeight="1">
      <c r="A765" t="str">
        <f ca="1">IF(E765="",F765, "")</f>
        <v/>
      </c>
      <c r="B765" s="52">
        <f>B763+1</f>
        <v>17</v>
      </c>
      <c r="C765" t="str">
        <f ca="1">INDIRECT($F$742 &amp; ADDRESS(B765, 1,4  ))</f>
        <v>Contractor Overhead</v>
      </c>
      <c r="D765" t="str">
        <f>ADDRESS(B765, 2,4  )</f>
        <v>B17</v>
      </c>
      <c r="E765">
        <f t="shared" ca="1" si="209"/>
        <v>0</v>
      </c>
      <c r="F765" t="str">
        <f ca="1">CONCATENATE("Enter a value for '", C765, "' in cell ", D765, ".", CHAR(10))</f>
        <v xml:space="preserve">Enter a value for 'Contractor Overhead' in cell B17.
</v>
      </c>
      <c r="G765" s="9" t="str">
        <f t="shared" ca="1" si="208"/>
        <v/>
      </c>
    </row>
    <row r="766" spans="1:7" ht="15" customHeight="1">
      <c r="A766" t="str">
        <f ca="1">IF(AND(OR(Calculations!$B$3:$B$4), E766=""), F766, "")</f>
        <v/>
      </c>
      <c r="B766" t="s">
        <v>457</v>
      </c>
      <c r="C766" t="str">
        <f ca="1">INDIRECT($F$742 &amp; ADDRESS(B765, 1,4  ))</f>
        <v>Contractor Overhead</v>
      </c>
      <c r="D766" t="str">
        <f>ADDRESS(B765, 3,4  )</f>
        <v>C17</v>
      </c>
      <c r="E766">
        <f t="shared" ca="1" si="209"/>
        <v>0</v>
      </c>
      <c r="F766" t="str">
        <f ca="1">CONCATENATE("Enter an 'Amount Last Provided to CHFA' value for '", C766, "' in cell ", D766, ".", CHAR(10))</f>
        <v xml:space="preserve">Enter an 'Amount Last Provided to CHFA' value for 'Contractor Overhead' in cell C17.
</v>
      </c>
      <c r="G766" s="9" t="str">
        <f t="shared" ca="1" si="208"/>
        <v/>
      </c>
    </row>
    <row r="767" spans="1:7" ht="15" customHeight="1">
      <c r="A767" t="str">
        <f ca="1">IF(E767="",F767, "")</f>
        <v/>
      </c>
      <c r="B767" s="52">
        <f>B765+1</f>
        <v>18</v>
      </c>
      <c r="C767" t="str">
        <f ca="1">INDIRECT($F$742 &amp; ADDRESS(B767, 1,4  ))</f>
        <v>Contractor Profit</v>
      </c>
      <c r="D767" t="str">
        <f>ADDRESS(B767, 2,4  )</f>
        <v>B18</v>
      </c>
      <c r="E767">
        <f t="shared" ca="1" si="209"/>
        <v>0</v>
      </c>
      <c r="F767" t="str">
        <f ca="1">CONCATENATE("Enter a value for '", C767, "' in cell ", D767, ".", CHAR(10))</f>
        <v xml:space="preserve">Enter a value for 'Contractor Profit' in cell B18.
</v>
      </c>
      <c r="G767" s="9" t="str">
        <f t="shared" ca="1" si="208"/>
        <v/>
      </c>
    </row>
    <row r="768" spans="1:7" ht="15" customHeight="1">
      <c r="A768" t="str">
        <f ca="1">IF(AND(OR(Calculations!$B$3:$B$4), E768=""), F768, "")</f>
        <v/>
      </c>
      <c r="B768" t="s">
        <v>457</v>
      </c>
      <c r="C768" t="str">
        <f ca="1">INDIRECT($F$742 &amp; ADDRESS(B767, 1,4  ))</f>
        <v>Contractor Profit</v>
      </c>
      <c r="D768" t="str">
        <f>ADDRESS(B767, 3,4  )</f>
        <v>C18</v>
      </c>
      <c r="E768">
        <f t="shared" ca="1" si="209"/>
        <v>0</v>
      </c>
      <c r="F768" t="str">
        <f ca="1">CONCATENATE("Enter an 'Amount Last Provided to CHFA' value for '", C768, "' in cell ", D768, ".", CHAR(10))</f>
        <v xml:space="preserve">Enter an 'Amount Last Provided to CHFA' value for 'Contractor Profit' in cell C18.
</v>
      </c>
      <c r="G768" s="9" t="str">
        <f t="shared" ca="1" si="208"/>
        <v/>
      </c>
    </row>
    <row r="769" spans="1:7" ht="15" customHeight="1">
      <c r="A769" t="str">
        <f ca="1">IF(E769="",F769, "")</f>
        <v/>
      </c>
      <c r="B769" s="52">
        <f>B767+1</f>
        <v>19</v>
      </c>
      <c r="C769" t="str">
        <f ca="1">INDIRECT($F$742 &amp; ADDRESS(B769, 1,4  ))</f>
        <v>Construction Contingency</v>
      </c>
      <c r="D769" t="str">
        <f>ADDRESS(B769, 2,4  )</f>
        <v>B19</v>
      </c>
      <c r="E769">
        <f t="shared" ca="1" si="209"/>
        <v>0</v>
      </c>
      <c r="F769" t="str">
        <f ca="1">CONCATENATE("Enter a value for '", C769, "' in cell ", D769, ".", CHAR(10))</f>
        <v xml:space="preserve">Enter a value for 'Construction Contingency' in cell B19.
</v>
      </c>
      <c r="G769" s="9" t="str">
        <f t="shared" ca="1" si="208"/>
        <v/>
      </c>
    </row>
    <row r="770" spans="1:7" ht="15" customHeight="1">
      <c r="A770" t="str">
        <f ca="1">IF(AND(OR(Calculations!$B$3:$B$4), E770=""), F770, "")</f>
        <v/>
      </c>
      <c r="B770" t="s">
        <v>457</v>
      </c>
      <c r="C770" t="str">
        <f ca="1">INDIRECT($F$742 &amp; ADDRESS(B769, 1,4  ))</f>
        <v>Construction Contingency</v>
      </c>
      <c r="D770" t="str">
        <f>ADDRESS(B769, 3,4  )</f>
        <v>C19</v>
      </c>
      <c r="E770">
        <f t="shared" ca="1" si="209"/>
        <v>0</v>
      </c>
      <c r="F770" t="str">
        <f ca="1">CONCATENATE("Enter an 'Amount Last Provided to CHFA' value for '", C770, "' in cell ", D770, ".", CHAR(10))</f>
        <v xml:space="preserve">Enter an 'Amount Last Provided to CHFA' value for 'Construction Contingency' in cell C19.
</v>
      </c>
      <c r="G770" s="9" t="str">
        <f t="shared" ca="1" si="208"/>
        <v/>
      </c>
    </row>
    <row r="771" spans="1:7" ht="15" customHeight="1">
      <c r="A771" t="str">
        <f ca="1">IF(E771="",F771, "")</f>
        <v/>
      </c>
      <c r="B771" s="52">
        <f>B769+1</f>
        <v>20</v>
      </c>
      <c r="C771" t="str">
        <f ca="1">INDIRECT($F$742 &amp; ADDRESS(B771, 1,4  ))</f>
        <v>Building Permits</v>
      </c>
      <c r="D771" t="str">
        <f>ADDRESS(B771, 2,4  )</f>
        <v>B20</v>
      </c>
      <c r="E771">
        <f t="shared" ca="1" si="209"/>
        <v>0</v>
      </c>
      <c r="F771" t="str">
        <f ca="1">CONCATENATE("Enter a value for '", C771, "' in cell ", D771, ".", CHAR(10))</f>
        <v xml:space="preserve">Enter a value for 'Building Permits' in cell B20.
</v>
      </c>
      <c r="G771" s="9" t="str">
        <f t="shared" ca="1" si="208"/>
        <v/>
      </c>
    </row>
    <row r="772" spans="1:7" ht="15" customHeight="1">
      <c r="A772" t="str">
        <f ca="1">IF(AND(OR(Calculations!$B$3:$B$4), E772=""), F772, "")</f>
        <v/>
      </c>
      <c r="B772" t="s">
        <v>457</v>
      </c>
      <c r="C772" t="str">
        <f ca="1">INDIRECT($F$742 &amp; ADDRESS(B771, 1,4  ))</f>
        <v>Building Permits</v>
      </c>
      <c r="D772" t="str">
        <f>ADDRESS(B771, 3,4  )</f>
        <v>C20</v>
      </c>
      <c r="E772">
        <f t="shared" ca="1" si="209"/>
        <v>0</v>
      </c>
      <c r="F772" t="str">
        <f ca="1">CONCATENATE("Enter an 'Amount Last Provided to CHFA' value for '", C772, "' in cell ", D772, ".", CHAR(10))</f>
        <v xml:space="preserve">Enter an 'Amount Last Provided to CHFA' value for 'Building Permits' in cell C20.
</v>
      </c>
      <c r="G772" s="9" t="str">
        <f t="shared" ca="1" si="208"/>
        <v/>
      </c>
    </row>
    <row r="773" spans="1:7" ht="15" customHeight="1">
      <c r="A773" t="str">
        <f ca="1">IF(E773="",F773, "")</f>
        <v/>
      </c>
      <c r="B773" s="52">
        <f>B771+1</f>
        <v>21</v>
      </c>
      <c r="C773" t="str">
        <f ca="1">INDIRECT($F$742 &amp; ADDRESS(B773, 1,4  ))</f>
        <v>Other (Specify)</v>
      </c>
      <c r="D773" t="str">
        <f>ADDRESS(B773, 2,4  )</f>
        <v>B21</v>
      </c>
      <c r="E773">
        <f t="shared" ca="1" si="209"/>
        <v>0</v>
      </c>
      <c r="F773" t="str">
        <f ca="1">CONCATENATE("Enter a value for '", C773, "' in cell ", D773, ".", CHAR(10))</f>
        <v xml:space="preserve">Enter a value for 'Other (Specify)' in cell B21.
</v>
      </c>
      <c r="G773" s="9" t="str">
        <f t="shared" ca="1" si="208"/>
        <v/>
      </c>
    </row>
    <row r="774" spans="1:7" ht="15" customHeight="1">
      <c r="A774" t="str">
        <f ca="1">IF(AND(OR(Calculations!$B$3:$B$4), E774=""), F774, "")</f>
        <v/>
      </c>
      <c r="B774" t="s">
        <v>457</v>
      </c>
      <c r="C774" t="str">
        <f ca="1">INDIRECT($F$742 &amp; ADDRESS(B773, 1,4  ))</f>
        <v>Other (Specify)</v>
      </c>
      <c r="D774" t="str">
        <f>ADDRESS(B773, 3,4  )</f>
        <v>C21</v>
      </c>
      <c r="E774">
        <f t="shared" ca="1" si="209"/>
        <v>0</v>
      </c>
      <c r="F774" t="str">
        <f ca="1">CONCATENATE("Enter an 'Amount Last Provided to CHFA' value for '", C774, "' in cell ", D774, ".", CHAR(10))</f>
        <v xml:space="preserve">Enter an 'Amount Last Provided to CHFA' value for 'Other (Specify)' in cell C21.
</v>
      </c>
      <c r="G774" s="9" t="str">
        <f t="shared" ca="1" si="208"/>
        <v/>
      </c>
    </row>
    <row r="775" spans="1:7" ht="15" customHeight="1">
      <c r="A775" t="str">
        <f ca="1">IF(AND(E775, SUM(E773:E774) &gt; 0), F775, "")</f>
        <v/>
      </c>
      <c r="C775" t="str">
        <f ca="1">INDIRECT($F$742 &amp; ADDRESS(B773, 1,4  ))</f>
        <v>Other (Specify)</v>
      </c>
      <c r="D775" t="str">
        <f>ADDRESS(B773, 1,4  )</f>
        <v>A21</v>
      </c>
      <c r="E775" t="b">
        <f ca="1">INDIRECT($F$742 &amp; D775)="Other (specify)"</f>
        <v>1</v>
      </c>
      <c r="F775" t="str">
        <f ca="1">CONCATENATE("Please specify value for '", C775, "' in cell ", D775, ".", CHAR(10))</f>
        <v xml:space="preserve">Please specify value for 'Other (Specify)' in cell A21.
</v>
      </c>
      <c r="G775" s="9" t="str">
        <f t="shared" ca="1" si="208"/>
        <v/>
      </c>
    </row>
    <row r="776" spans="1:7" ht="15" customHeight="1">
      <c r="A776" t="str">
        <f ca="1">IF(E776="",F776, "")</f>
        <v/>
      </c>
      <c r="B776" s="52">
        <f>B773+1</f>
        <v>22</v>
      </c>
      <c r="C776" t="str">
        <f ca="1">INDIRECT($F$742 &amp; ADDRESS(B776, 1,4  ))</f>
        <v>Other (Specify)</v>
      </c>
      <c r="D776" t="str">
        <f>ADDRESS(B776, 2,4  )</f>
        <v>B22</v>
      </c>
      <c r="E776">
        <f ca="1">IF(ISBLANK( INDIRECT($F$742 &amp; D776)),"", INDIRECT($F$742 &amp; D776))</f>
        <v>0</v>
      </c>
      <c r="F776" t="str">
        <f ca="1">CONCATENATE("Enter a value for '", C776, "' in cell ", D776, ".", CHAR(10))</f>
        <v xml:space="preserve">Enter a value for 'Other (Specify)' in cell B22.
</v>
      </c>
      <c r="G776" s="9" t="str">
        <f t="shared" ca="1" si="208"/>
        <v/>
      </c>
    </row>
    <row r="777" spans="1:7" ht="15" customHeight="1">
      <c r="A777" t="str">
        <f ca="1">IF(AND(OR(Calculations!$B$3:$B$4), E777=""), F777, "")</f>
        <v/>
      </c>
      <c r="B777" t="s">
        <v>457</v>
      </c>
      <c r="C777" t="str">
        <f ca="1">INDIRECT($F$742 &amp; ADDRESS(B776, 1,4  ))</f>
        <v>Other (Specify)</v>
      </c>
      <c r="D777" t="str">
        <f>ADDRESS(B776, 3,4  )</f>
        <v>C22</v>
      </c>
      <c r="E777">
        <f ca="1">IF(ISBLANK( INDIRECT($F$742 &amp; D777)),"", INDIRECT($F$742 &amp; D777))</f>
        <v>0</v>
      </c>
      <c r="F777" t="str">
        <f ca="1">CONCATENATE("Enter an 'Amount Last Provided to CHFA' value for '", C777, "' in cell ", D777, ".", CHAR(10))</f>
        <v xml:space="preserve">Enter an 'Amount Last Provided to CHFA' value for 'Other (Specify)' in cell C22.
</v>
      </c>
      <c r="G777" s="9" t="str">
        <f t="shared" ref="G777:G808" ca="1" si="210">OFFSET(G777, -1, 0) &amp; A777</f>
        <v/>
      </c>
    </row>
    <row r="778" spans="1:7" ht="15" customHeight="1">
      <c r="A778" t="str">
        <f ca="1">IF(AND(E778, SUM(E776:E777) &gt; 0), F778, "")</f>
        <v/>
      </c>
      <c r="C778" t="str">
        <f ca="1">INDIRECT($F$742 &amp; ADDRESS(B776, 1,4  ))</f>
        <v>Other (Specify)</v>
      </c>
      <c r="D778" t="str">
        <f>ADDRESS(B776, 1,4  )</f>
        <v>A22</v>
      </c>
      <c r="E778" t="b">
        <f ca="1">INDIRECT($F$742 &amp; D778)="Other (specify)"</f>
        <v>1</v>
      </c>
      <c r="F778" t="str">
        <f ca="1">CONCATENATE("Please specify value for '", C778, "' in cell ", D778, ".", CHAR(10))</f>
        <v xml:space="preserve">Please specify value for 'Other (Specify)' in cell A22.
</v>
      </c>
      <c r="G778" s="9" t="str">
        <f t="shared" ca="1" si="210"/>
        <v/>
      </c>
    </row>
    <row r="779" spans="1:7" ht="15" customHeight="1">
      <c r="A779" t="str">
        <f ca="1">IF(E779="",F779, "")</f>
        <v/>
      </c>
      <c r="B779" s="52">
        <f>B776+1</f>
        <v>23</v>
      </c>
      <c r="C779" t="str">
        <f ca="1">INDIRECT($F$742 &amp; ADDRESS(B779, 1,4  ))</f>
        <v>Other (Specify)</v>
      </c>
      <c r="D779" t="str">
        <f>ADDRESS(B779, 2,4  )</f>
        <v>B23</v>
      </c>
      <c r="E779">
        <f ca="1">IF(ISBLANK( INDIRECT($F$742 &amp; D779)),"", INDIRECT($F$742 &amp; D779))</f>
        <v>0</v>
      </c>
      <c r="F779" t="str">
        <f ca="1">CONCATENATE("Enter a value for '", C779, "' in cell ", D779, ".", CHAR(10))</f>
        <v xml:space="preserve">Enter a value for 'Other (Specify)' in cell B23.
</v>
      </c>
      <c r="G779" s="9" t="str">
        <f t="shared" ca="1" si="210"/>
        <v/>
      </c>
    </row>
    <row r="780" spans="1:7" ht="15" customHeight="1">
      <c r="A780" t="str">
        <f ca="1">IF(AND(OR(Calculations!$B$3:$B$4), E780=""), F780, "")</f>
        <v/>
      </c>
      <c r="B780" t="s">
        <v>457</v>
      </c>
      <c r="C780" t="str">
        <f ca="1">INDIRECT($F$742 &amp; ADDRESS(B779, 1,4  ))</f>
        <v>Other (Specify)</v>
      </c>
      <c r="D780" t="str">
        <f>ADDRESS(B779, 3,4  )</f>
        <v>C23</v>
      </c>
      <c r="E780">
        <f ca="1">IF(ISBLANK( INDIRECT($F$742 &amp; D780)),"", INDIRECT($F$742 &amp; D780))</f>
        <v>0</v>
      </c>
      <c r="F780" t="str">
        <f ca="1">CONCATENATE("Enter an 'Amount Last Provided to CHFA' value for '", C780, "' in cell ", D780, ".", CHAR(10))</f>
        <v xml:space="preserve">Enter an 'Amount Last Provided to CHFA' value for 'Other (Specify)' in cell C23.
</v>
      </c>
      <c r="G780" s="9" t="str">
        <f t="shared" ca="1" si="210"/>
        <v/>
      </c>
    </row>
    <row r="781" spans="1:7" ht="15" customHeight="1">
      <c r="A781" t="str">
        <f ca="1">IF(AND(E781, SUM(E779:E780) &gt; 0), F781, "")</f>
        <v/>
      </c>
      <c r="C781" t="str">
        <f ca="1">INDIRECT($F$742 &amp; ADDRESS(B779, 1,4  ))</f>
        <v>Other (Specify)</v>
      </c>
      <c r="D781" t="str">
        <f>ADDRESS(B779, 1,4  )</f>
        <v>A23</v>
      </c>
      <c r="E781" t="b">
        <f ca="1">INDIRECT($F$742 &amp; D781)="Other (specify)"</f>
        <v>1</v>
      </c>
      <c r="F781" t="str">
        <f ca="1">CONCATENATE("Please specify value for '", C781, "' in cell ", D781, ".", CHAR(10))</f>
        <v xml:space="preserve">Please specify value for 'Other (Specify)' in cell A23.
</v>
      </c>
      <c r="G781" s="9" t="str">
        <f t="shared" ca="1" si="210"/>
        <v/>
      </c>
    </row>
    <row r="782" spans="1:7" ht="15" customHeight="1">
      <c r="A782" t="str">
        <f ca="1">IF(E782="",F782, "")</f>
        <v/>
      </c>
      <c r="B782">
        <f>ROW('Commercial Budget'!A26)</f>
        <v>26</v>
      </c>
      <c r="C782" t="str">
        <f ca="1">INDIRECT($F$742 &amp; ADDRESS(B782, 1,4  ))</f>
        <v>Architect, Design</v>
      </c>
      <c r="D782" t="str">
        <f>ADDRESS(B782, 2,4  )</f>
        <v>B26</v>
      </c>
      <c r="E782">
        <f t="shared" ref="E782:E793" ca="1" si="211">IF(ISBLANK( INDIRECT($F$742 &amp; D782)),"", INDIRECT($F$742 &amp; D782))</f>
        <v>0</v>
      </c>
      <c r="F782" t="str">
        <f ca="1">CONCATENATE("Enter a value for '", C782, "' in cell ", D782, ".", CHAR(10))</f>
        <v xml:space="preserve">Enter a value for 'Architect, Design' in cell B26.
</v>
      </c>
      <c r="G782" s="9" t="str">
        <f t="shared" ca="1" si="210"/>
        <v/>
      </c>
    </row>
    <row r="783" spans="1:7" ht="15" customHeight="1">
      <c r="A783" t="str">
        <f ca="1">IF(AND(OR(Calculations!$B$3:$B$4), E783=""), F783, "")</f>
        <v/>
      </c>
      <c r="B783" t="s">
        <v>457</v>
      </c>
      <c r="C783" t="str">
        <f ca="1">INDIRECT($F$742 &amp; ADDRESS(B782, 1,4  ))</f>
        <v>Architect, Design</v>
      </c>
      <c r="D783" t="str">
        <f>ADDRESS(B782, 3,4  )</f>
        <v>C26</v>
      </c>
      <c r="E783">
        <f t="shared" ca="1" si="211"/>
        <v>0</v>
      </c>
      <c r="F783" t="str">
        <f ca="1">CONCATENATE("Enter an 'Amount Last Provided to CHFA' value for '", C783, "' in cell ", D783, ".", CHAR(10))</f>
        <v xml:space="preserve">Enter an 'Amount Last Provided to CHFA' value for 'Architect, Design' in cell C26.
</v>
      </c>
      <c r="G783" s="9" t="str">
        <f t="shared" ca="1" si="210"/>
        <v/>
      </c>
    </row>
    <row r="784" spans="1:7" ht="15" customHeight="1">
      <c r="A784" t="str">
        <f ca="1">IF(E784="",F784, "")</f>
        <v/>
      </c>
      <c r="B784" s="52">
        <f>B782+1</f>
        <v>27</v>
      </c>
      <c r="C784" t="str">
        <f ca="1">INDIRECT($F$742 &amp; ADDRESS(B784, 1,4  ))</f>
        <v>Architect, Supervision</v>
      </c>
      <c r="D784" t="str">
        <f>ADDRESS(B784, 2,4  )</f>
        <v>B27</v>
      </c>
      <c r="E784">
        <f t="shared" ca="1" si="211"/>
        <v>0</v>
      </c>
      <c r="F784" t="str">
        <f ca="1">CONCATENATE("Enter a value for '", C784, "' in cell ", D784, ".", CHAR(10))</f>
        <v xml:space="preserve">Enter a value for 'Architect, Supervision' in cell B27.
</v>
      </c>
      <c r="G784" s="9" t="str">
        <f t="shared" ca="1" si="210"/>
        <v/>
      </c>
    </row>
    <row r="785" spans="1:7" ht="15" customHeight="1">
      <c r="A785" t="str">
        <f ca="1">IF(AND(OR(Calculations!$B$3:$B$4), E785=""), F785, "")</f>
        <v/>
      </c>
      <c r="B785" t="s">
        <v>457</v>
      </c>
      <c r="C785" t="str">
        <f ca="1">INDIRECT($F$742 &amp; ADDRESS(B784, 1,4  ))</f>
        <v>Architect, Supervision</v>
      </c>
      <c r="D785" t="str">
        <f>ADDRESS(B784, 3,4  )</f>
        <v>C27</v>
      </c>
      <c r="E785">
        <f t="shared" ca="1" si="211"/>
        <v>0</v>
      </c>
      <c r="F785" t="str">
        <f ca="1">CONCATENATE("Enter an 'Amount Last Provided to CHFA' value for '", C785, "' in cell ", D785, ".", CHAR(10))</f>
        <v xml:space="preserve">Enter an 'Amount Last Provided to CHFA' value for 'Architect, Supervision' in cell C27.
</v>
      </c>
      <c r="G785" s="9" t="str">
        <f t="shared" ca="1" si="210"/>
        <v/>
      </c>
    </row>
    <row r="786" spans="1:7" ht="15" customHeight="1">
      <c r="A786" t="str">
        <f ca="1">IF(E786="",F786, "")</f>
        <v/>
      </c>
      <c r="B786" s="52">
        <f>B784+1</f>
        <v>28</v>
      </c>
      <c r="C786" t="str">
        <f ca="1">INDIRECT($F$742 &amp; ADDRESS(B786, 1,4  ))</f>
        <v>Attorney, Real Estate</v>
      </c>
      <c r="D786" t="str">
        <f>ADDRESS(B786, 2,4  )</f>
        <v>B28</v>
      </c>
      <c r="E786">
        <f t="shared" ca="1" si="211"/>
        <v>0</v>
      </c>
      <c r="F786" t="str">
        <f ca="1">CONCATENATE("Enter a value for '", C786, "' in cell ", D786, ".", CHAR(10))</f>
        <v xml:space="preserve">Enter a value for 'Attorney, Real Estate' in cell B28.
</v>
      </c>
      <c r="G786" s="9" t="str">
        <f t="shared" ca="1" si="210"/>
        <v/>
      </c>
    </row>
    <row r="787" spans="1:7" ht="15" customHeight="1">
      <c r="A787" t="str">
        <f ca="1">IF(AND(OR(Calculations!$B$3:$B$4), E787=""), F787, "")</f>
        <v/>
      </c>
      <c r="B787" t="s">
        <v>457</v>
      </c>
      <c r="C787" t="str">
        <f ca="1">INDIRECT($F$742 &amp; ADDRESS(B786, 1,4  ))</f>
        <v>Attorney, Real Estate</v>
      </c>
      <c r="D787" t="str">
        <f>ADDRESS(B786, 3,4  )</f>
        <v>C28</v>
      </c>
      <c r="E787">
        <f t="shared" ca="1" si="211"/>
        <v>0</v>
      </c>
      <c r="F787" t="str">
        <f ca="1">CONCATENATE("Enter an 'Amount Last Provided to CHFA' value for '", C787, "' in cell ", D787, ".", CHAR(10))</f>
        <v xml:space="preserve">Enter an 'Amount Last Provided to CHFA' value for 'Attorney, Real Estate' in cell C28.
</v>
      </c>
      <c r="G787" s="9" t="str">
        <f t="shared" ca="1" si="210"/>
        <v/>
      </c>
    </row>
    <row r="788" spans="1:7" ht="15" customHeight="1">
      <c r="A788" t="str">
        <f ca="1">IF(E788="",F788, "")</f>
        <v/>
      </c>
      <c r="B788" s="52">
        <f>B786+1</f>
        <v>29</v>
      </c>
      <c r="C788" t="str">
        <f ca="1">INDIRECT($F$742 &amp; ADDRESS(B788, 1,4  ))</f>
        <v>Consultant/agent</v>
      </c>
      <c r="D788" t="str">
        <f>ADDRESS(B788, 2,4  )</f>
        <v>B29</v>
      </c>
      <c r="E788">
        <f t="shared" ca="1" si="211"/>
        <v>0</v>
      </c>
      <c r="F788" t="str">
        <f ca="1">CONCATENATE("Enter a value for '", C788, "' in cell ", D788, ".", CHAR(10))</f>
        <v xml:space="preserve">Enter a value for 'Consultant/agent' in cell B29.
</v>
      </c>
      <c r="G788" s="9" t="str">
        <f t="shared" ca="1" si="210"/>
        <v/>
      </c>
    </row>
    <row r="789" spans="1:7" ht="15" customHeight="1">
      <c r="A789" t="str">
        <f ca="1">IF(AND(OR(Calculations!$B$3:$B$4), E789=""), F789, "")</f>
        <v/>
      </c>
      <c r="B789" t="s">
        <v>457</v>
      </c>
      <c r="C789" t="str">
        <f ca="1">INDIRECT($F$742 &amp; ADDRESS(B788, 1,4  ))</f>
        <v>Consultant/agent</v>
      </c>
      <c r="D789" t="str">
        <f>ADDRESS(B788, 3,4  )</f>
        <v>C29</v>
      </c>
      <c r="E789">
        <f t="shared" ca="1" si="211"/>
        <v>0</v>
      </c>
      <c r="F789" t="str">
        <f ca="1">CONCATENATE("Enter an 'Amount Last Provided to CHFA' value for '", C789, "' in cell ", D789, ".", CHAR(10))</f>
        <v xml:space="preserve">Enter an 'Amount Last Provided to CHFA' value for 'Consultant/agent' in cell C29.
</v>
      </c>
      <c r="G789" s="9" t="str">
        <f t="shared" ca="1" si="210"/>
        <v/>
      </c>
    </row>
    <row r="790" spans="1:7" ht="15" customHeight="1">
      <c r="A790" t="str">
        <f ca="1">IF(E790="",F790, "")</f>
        <v/>
      </c>
      <c r="B790" s="52">
        <f>B788+1</f>
        <v>30</v>
      </c>
      <c r="C790" t="str">
        <f ca="1">INDIRECT($F$742 &amp; ADDRESS(B790, 1,4  ))</f>
        <v>Engineer/Surveyor</v>
      </c>
      <c r="D790" t="str">
        <f>ADDRESS(B790, 2,4  )</f>
        <v>B30</v>
      </c>
      <c r="E790">
        <f t="shared" ca="1" si="211"/>
        <v>0</v>
      </c>
      <c r="F790" t="str">
        <f ca="1">CONCATENATE("Enter a value for '", C790, "' in cell ", D790, ".", CHAR(10))</f>
        <v xml:space="preserve">Enter a value for 'Engineer/Surveyor' in cell B30.
</v>
      </c>
      <c r="G790" s="9" t="str">
        <f t="shared" ca="1" si="210"/>
        <v/>
      </c>
    </row>
    <row r="791" spans="1:7" ht="15" customHeight="1">
      <c r="A791" t="str">
        <f ca="1">IF(AND(OR(Calculations!$B$3:$B$4), E791=""), F791, "")</f>
        <v/>
      </c>
      <c r="B791" t="s">
        <v>457</v>
      </c>
      <c r="C791" t="str">
        <f ca="1">INDIRECT($F$742 &amp; ADDRESS(B790, 1,4  ))</f>
        <v>Engineer/Surveyor</v>
      </c>
      <c r="D791" t="str">
        <f>ADDRESS(B790, 3,4  )</f>
        <v>C30</v>
      </c>
      <c r="E791">
        <f t="shared" ca="1" si="211"/>
        <v>0</v>
      </c>
      <c r="F791" t="str">
        <f ca="1">CONCATENATE("Enter an 'Amount Last Provided to CHFA' value for '", C791, "' in cell ", D791, ".", CHAR(10))</f>
        <v xml:space="preserve">Enter an 'Amount Last Provided to CHFA' value for 'Engineer/Surveyor' in cell C30.
</v>
      </c>
      <c r="G791" s="9" t="str">
        <f t="shared" ca="1" si="210"/>
        <v/>
      </c>
    </row>
    <row r="792" spans="1:7" ht="15" customHeight="1">
      <c r="A792" t="str">
        <f ca="1">IF(E792="",F792, "")</f>
        <v/>
      </c>
      <c r="B792" s="52">
        <f>B790+1</f>
        <v>31</v>
      </c>
      <c r="C792" t="str">
        <f ca="1">INDIRECT($F$742 &amp; ADDRESS(B792, 1,4  ))</f>
        <v>Other (Specify)</v>
      </c>
      <c r="D792" t="str">
        <f>ADDRESS(B792, 2,4  )</f>
        <v>B31</v>
      </c>
      <c r="E792">
        <f t="shared" ca="1" si="211"/>
        <v>0</v>
      </c>
      <c r="F792" t="str">
        <f ca="1">CONCATENATE("Enter a value for '", C792, "' in cell ", D792, ".", CHAR(10))</f>
        <v xml:space="preserve">Enter a value for 'Other (Specify)' in cell B31.
</v>
      </c>
      <c r="G792" s="9" t="str">
        <f t="shared" ca="1" si="210"/>
        <v/>
      </c>
    </row>
    <row r="793" spans="1:7" ht="15" customHeight="1">
      <c r="A793" t="str">
        <f ca="1">IF(AND(OR(Calculations!$B$3:$B$4), E793=""), F793, "")</f>
        <v/>
      </c>
      <c r="B793" t="s">
        <v>457</v>
      </c>
      <c r="C793" t="str">
        <f ca="1">INDIRECT($F$742 &amp; ADDRESS(B792, 1,4  ))</f>
        <v>Other (Specify)</v>
      </c>
      <c r="D793" t="str">
        <f>ADDRESS(B792, 3,4  )</f>
        <v>C31</v>
      </c>
      <c r="E793">
        <f t="shared" ca="1" si="211"/>
        <v>0</v>
      </c>
      <c r="F793" t="str">
        <f ca="1">CONCATENATE("Enter an 'Amount Last Provided to CHFA' value for '", C793, "' in cell ", D793, ".", CHAR(10))</f>
        <v xml:space="preserve">Enter an 'Amount Last Provided to CHFA' value for 'Other (Specify)' in cell C31.
</v>
      </c>
      <c r="G793" s="9" t="str">
        <f t="shared" ca="1" si="210"/>
        <v/>
      </c>
    </row>
    <row r="794" spans="1:7" ht="15" customHeight="1">
      <c r="A794" t="str">
        <f ca="1">IF(AND(E794, SUM(E792:E793) &gt; 0), F794, "")</f>
        <v/>
      </c>
      <c r="C794" t="str">
        <f ca="1">INDIRECT($F$742 &amp; ADDRESS(B792, 1,4  ))</f>
        <v>Other (Specify)</v>
      </c>
      <c r="D794" t="str">
        <f>ADDRESS(B792, 1,4  )</f>
        <v>A31</v>
      </c>
      <c r="E794" t="b">
        <f ca="1">INDIRECT($F$742 &amp; D794)="Other (specify)"</f>
        <v>1</v>
      </c>
      <c r="F794" t="str">
        <f ca="1">CONCATENATE("Please specify value for '", C794, "' in cell ", D794, ".", CHAR(10))</f>
        <v xml:space="preserve">Please specify value for 'Other (Specify)' in cell A31.
</v>
      </c>
      <c r="G794" s="9" t="str">
        <f t="shared" ca="1" si="210"/>
        <v/>
      </c>
    </row>
    <row r="795" spans="1:7" ht="15" customHeight="1">
      <c r="A795" t="str">
        <f ca="1">IF(E795="",F795, "")</f>
        <v/>
      </c>
      <c r="B795" s="52">
        <f>B792+1</f>
        <v>32</v>
      </c>
      <c r="C795" t="str">
        <f ca="1">INDIRECT($F$742 &amp; ADDRESS(B795, 1,4  ))</f>
        <v>Other (Specify)</v>
      </c>
      <c r="D795" t="str">
        <f>ADDRESS(B795, 2,4  )</f>
        <v>B32</v>
      </c>
      <c r="E795">
        <f ca="1">IF(ISBLANK( INDIRECT($F$742 &amp; D795)),"", INDIRECT($F$742 &amp; D795))</f>
        <v>0</v>
      </c>
      <c r="F795" t="str">
        <f ca="1">CONCATENATE("Enter a value for '", C795, "' in cell ", D795, ".", CHAR(10))</f>
        <v xml:space="preserve">Enter a value for 'Other (Specify)' in cell B32.
</v>
      </c>
      <c r="G795" s="9" t="str">
        <f t="shared" ca="1" si="210"/>
        <v/>
      </c>
    </row>
    <row r="796" spans="1:7" ht="15" customHeight="1">
      <c r="A796" t="str">
        <f ca="1">IF(AND(OR(Calculations!$B$3:$B$4), E796=""), F796, "")</f>
        <v/>
      </c>
      <c r="B796" t="s">
        <v>457</v>
      </c>
      <c r="C796" t="str">
        <f ca="1">INDIRECT($F$742 &amp; ADDRESS(B795, 1,4  ))</f>
        <v>Other (Specify)</v>
      </c>
      <c r="D796" t="str">
        <f>ADDRESS(B795, 3,4  )</f>
        <v>C32</v>
      </c>
      <c r="E796">
        <f ca="1">IF(ISBLANK( INDIRECT($F$742 &amp; D796)),"", INDIRECT($F$742 &amp; D796))</f>
        <v>0</v>
      </c>
      <c r="F796" t="str">
        <f ca="1">CONCATENATE("Enter an 'Amount Last Provided to CHFA' value for '", C796, "' in cell ", D796, ".", CHAR(10))</f>
        <v xml:space="preserve">Enter an 'Amount Last Provided to CHFA' value for 'Other (Specify)' in cell C32.
</v>
      </c>
      <c r="G796" s="9" t="str">
        <f t="shared" ca="1" si="210"/>
        <v/>
      </c>
    </row>
    <row r="797" spans="1:7" ht="15" customHeight="1">
      <c r="A797" t="str">
        <f ca="1">IF(AND(E797, SUM(E795:E796) &gt; 0), F797, "")</f>
        <v/>
      </c>
      <c r="C797" t="str">
        <f ca="1">INDIRECT($F$742 &amp; ADDRESS(B795, 1,4  ))</f>
        <v>Other (Specify)</v>
      </c>
      <c r="D797" t="str">
        <f>ADDRESS(B795, 1,4  )</f>
        <v>A32</v>
      </c>
      <c r="E797" t="b">
        <f ca="1">INDIRECT($F$742 &amp; D797)="Other (specify)"</f>
        <v>1</v>
      </c>
      <c r="F797" t="str">
        <f ca="1">CONCATENATE("Please specify value for '", C797, "' in cell ", D797, ".", CHAR(10))</f>
        <v xml:space="preserve">Please specify value for 'Other (Specify)' in cell A32.
</v>
      </c>
      <c r="G797" s="9" t="str">
        <f t="shared" ca="1" si="210"/>
        <v/>
      </c>
    </row>
    <row r="798" spans="1:7" ht="15" customHeight="1">
      <c r="A798" t="str">
        <f ca="1">IF(E798="",F798, "")</f>
        <v/>
      </c>
      <c r="B798" s="52">
        <f>B795+1</f>
        <v>33</v>
      </c>
      <c r="C798" t="str">
        <f ca="1">INDIRECT($F$742 &amp; ADDRESS(B798, 1,4  ))</f>
        <v>Other-Accounting</v>
      </c>
      <c r="D798" t="str">
        <f>ADDRESS(B798, 2,4  )</f>
        <v>B33</v>
      </c>
      <c r="E798">
        <f t="shared" ref="E798:E825" ca="1" si="212">IF(ISBLANK( INDIRECT($F$742 &amp; D798)),"", INDIRECT($F$742 &amp; D798))</f>
        <v>0</v>
      </c>
      <c r="F798" t="str">
        <f ca="1">CONCATENATE("Enter a value for '", C798, "' in cell ", D798, ".", CHAR(10))</f>
        <v xml:space="preserve">Enter a value for 'Other-Accounting' in cell B33.
</v>
      </c>
      <c r="G798" s="9" t="str">
        <f t="shared" ca="1" si="210"/>
        <v/>
      </c>
    </row>
    <row r="799" spans="1:7" ht="15" customHeight="1">
      <c r="A799" t="str">
        <f ca="1">IF(AND(OR(Calculations!$B$3:$B$4), E799=""), F799, "")</f>
        <v/>
      </c>
      <c r="B799" t="s">
        <v>457</v>
      </c>
      <c r="C799" t="str">
        <f ca="1">INDIRECT($F$742 &amp; ADDRESS(B798, 1,4  ))</f>
        <v>Other-Accounting</v>
      </c>
      <c r="D799" t="str">
        <f>ADDRESS(B798, 3,4  )</f>
        <v>C33</v>
      </c>
      <c r="E799">
        <f t="shared" ca="1" si="212"/>
        <v>0</v>
      </c>
      <c r="F799" t="str">
        <f ca="1">CONCATENATE("Enter an 'Amount Last Provided to CHFA' value for '", C799, "' in cell ", D799, ".", CHAR(10))</f>
        <v xml:space="preserve">Enter an 'Amount Last Provided to CHFA' value for 'Other-Accounting' in cell C33.
</v>
      </c>
      <c r="G799" s="9" t="str">
        <f t="shared" ca="1" si="210"/>
        <v/>
      </c>
    </row>
    <row r="800" spans="1:7" ht="15" customHeight="1">
      <c r="A800" t="str">
        <f ca="1">IF(E800="",F800, "")</f>
        <v/>
      </c>
      <c r="B800">
        <f>ROW('Commercial Budget'!A36)</f>
        <v>36</v>
      </c>
      <c r="C800" t="str">
        <f ca="1">INDIRECT($F$742 &amp; ADDRESS(B800, 1,4  ))</f>
        <v>Hazard &amp; Liability Insurance</v>
      </c>
      <c r="D800" t="str">
        <f>ADDRESS(B800, 2,4  )</f>
        <v>B36</v>
      </c>
      <c r="E800">
        <f t="shared" ca="1" si="212"/>
        <v>0</v>
      </c>
      <c r="F800" t="str">
        <f ca="1">CONCATENATE("Enter a value for '", C800, "' in cell ", D800, ".", CHAR(10))</f>
        <v xml:space="preserve">Enter a value for 'Hazard &amp; Liability Insurance' in cell B36.
</v>
      </c>
      <c r="G800" s="9" t="str">
        <f t="shared" ca="1" si="210"/>
        <v/>
      </c>
    </row>
    <row r="801" spans="1:7" ht="15" customHeight="1">
      <c r="A801" t="str">
        <f ca="1">IF(AND(OR(Calculations!$B$3:$B$4), E801=""), F801, "")</f>
        <v/>
      </c>
      <c r="B801" t="s">
        <v>457</v>
      </c>
      <c r="C801" t="str">
        <f ca="1">INDIRECT($F$742 &amp; ADDRESS(B800, 1,4  ))</f>
        <v>Hazard &amp; Liability Insurance</v>
      </c>
      <c r="D801" t="str">
        <f>ADDRESS(B800, 3,4  )</f>
        <v>C36</v>
      </c>
      <c r="E801">
        <f t="shared" ca="1" si="212"/>
        <v>0</v>
      </c>
      <c r="F801" t="str">
        <f ca="1">CONCATENATE("Enter an 'Amount Last Provided to CHFA' value for '", C801, "' in cell ", D801, ".", CHAR(10))</f>
        <v xml:space="preserve">Enter an 'Amount Last Provided to CHFA' value for 'Hazard &amp; Liability Insurance' in cell C36.
</v>
      </c>
      <c r="G801" s="9" t="str">
        <f t="shared" ca="1" si="210"/>
        <v/>
      </c>
    </row>
    <row r="802" spans="1:7" ht="15" customHeight="1">
      <c r="A802" t="str">
        <f ca="1">IF(E802="",F802, "")</f>
        <v/>
      </c>
      <c r="B802" s="52">
        <f>B800+1</f>
        <v>37</v>
      </c>
      <c r="C802" t="str">
        <f ca="1">INDIRECT($F$742 &amp; ADDRESS(B802, 1,4  ))</f>
        <v>Builder's Risk Insurance</v>
      </c>
      <c r="D802" t="str">
        <f>ADDRESS(B802, 2,4  )</f>
        <v>B37</v>
      </c>
      <c r="E802">
        <f t="shared" ca="1" si="212"/>
        <v>0</v>
      </c>
      <c r="F802" t="str">
        <f ca="1">CONCATENATE("Enter a value for '", C802, "' in cell ", D802, ".", CHAR(10))</f>
        <v xml:space="preserve">Enter a value for 'Builder's Risk Insurance' in cell B37.
</v>
      </c>
      <c r="G802" s="9" t="str">
        <f t="shared" ca="1" si="210"/>
        <v/>
      </c>
    </row>
    <row r="803" spans="1:7" ht="15" customHeight="1">
      <c r="A803" t="str">
        <f ca="1">IF(AND(OR(Calculations!$B$3:$B$4), E803=""), F803, "")</f>
        <v/>
      </c>
      <c r="B803" t="s">
        <v>457</v>
      </c>
      <c r="C803" t="str">
        <f ca="1">INDIRECT($F$742 &amp; ADDRESS(B802, 1,4  ))</f>
        <v>Builder's Risk Insurance</v>
      </c>
      <c r="D803" t="str">
        <f>ADDRESS(B802, 3,4  )</f>
        <v>C37</v>
      </c>
      <c r="E803">
        <f t="shared" ca="1" si="212"/>
        <v>0</v>
      </c>
      <c r="F803" t="str">
        <f ca="1">CONCATENATE("Enter an 'Amount Last Provided to CHFA' value for '", C803, "' in cell ", D803, ".", CHAR(10))</f>
        <v xml:space="preserve">Enter an 'Amount Last Provided to CHFA' value for 'Builder's Risk Insurance' in cell C37.
</v>
      </c>
      <c r="G803" s="9" t="str">
        <f t="shared" ca="1" si="210"/>
        <v/>
      </c>
    </row>
    <row r="804" spans="1:7" ht="15" customHeight="1">
      <c r="A804" t="str">
        <f ca="1">IF(E804="",F804, "")</f>
        <v/>
      </c>
      <c r="B804" s="52">
        <f>B802+1</f>
        <v>38</v>
      </c>
      <c r="C804" t="str">
        <f ca="1">INDIRECT($F$742 &amp; ADDRESS(B804, 1,4  ))</f>
        <v>Perform. &amp; Pymt Bonds</v>
      </c>
      <c r="D804" t="str">
        <f>ADDRESS(B804, 2,4  )</f>
        <v>B38</v>
      </c>
      <c r="E804">
        <f t="shared" ca="1" si="212"/>
        <v>0</v>
      </c>
      <c r="F804" t="str">
        <f ca="1">CONCATENATE("Enter a value for '", C804, "' in cell ", D804, ".", CHAR(10))</f>
        <v xml:space="preserve">Enter a value for 'Perform. &amp; Pymt Bonds' in cell B38.
</v>
      </c>
      <c r="G804" s="9" t="str">
        <f t="shared" ca="1" si="210"/>
        <v/>
      </c>
    </row>
    <row r="805" spans="1:7" ht="15" customHeight="1">
      <c r="A805" t="str">
        <f ca="1">IF(AND(OR(Calculations!$B$3:$B$4), E805=""), F805, "")</f>
        <v/>
      </c>
      <c r="B805" t="s">
        <v>457</v>
      </c>
      <c r="C805" t="str">
        <f ca="1">INDIRECT($F$742 &amp; ADDRESS(B804, 1,4  ))</f>
        <v>Perform. &amp; Pymt Bonds</v>
      </c>
      <c r="D805" t="str">
        <f>ADDRESS(B804, 3,4  )</f>
        <v>C38</v>
      </c>
      <c r="E805">
        <f t="shared" ca="1" si="212"/>
        <v>0</v>
      </c>
      <c r="F805" t="str">
        <f ca="1">CONCATENATE("Enter an 'Amount Last Provided to CHFA' value for '", C805, "' in cell ", D805, ".", CHAR(10))</f>
        <v xml:space="preserve">Enter an 'Amount Last Provided to CHFA' value for 'Perform. &amp; Pymt Bonds' in cell C38.
</v>
      </c>
      <c r="G805" s="9" t="str">
        <f t="shared" ca="1" si="210"/>
        <v/>
      </c>
    </row>
    <row r="806" spans="1:7" ht="15" customHeight="1">
      <c r="A806" t="str">
        <f ca="1">IF(E806="",F806, "")</f>
        <v/>
      </c>
      <c r="B806" s="52">
        <f>B804+1</f>
        <v>39</v>
      </c>
      <c r="C806" t="str">
        <f ca="1">INDIRECT($F$742 &amp; ADDRESS(B806, 1,4  ))</f>
        <v>Credit Report</v>
      </c>
      <c r="D806" t="str">
        <f>ADDRESS(B806, 2,4  )</f>
        <v>B39</v>
      </c>
      <c r="E806">
        <f t="shared" ca="1" si="212"/>
        <v>0</v>
      </c>
      <c r="F806" t="str">
        <f ca="1">CONCATENATE("Enter a value for '", C806, "' in cell ", D806, ".", CHAR(10))</f>
        <v xml:space="preserve">Enter a value for 'Credit Report' in cell B39.
</v>
      </c>
      <c r="G806" s="9" t="str">
        <f t="shared" ca="1" si="210"/>
        <v/>
      </c>
    </row>
    <row r="807" spans="1:7" ht="15" customHeight="1">
      <c r="A807" t="str">
        <f ca="1">IF(AND(OR(Calculations!$B$3:$B$4), E807=""), F807, "")</f>
        <v/>
      </c>
      <c r="B807" t="s">
        <v>457</v>
      </c>
      <c r="C807" t="str">
        <f ca="1">INDIRECT($F$742 &amp; ADDRESS(B806, 1,4  ))</f>
        <v>Credit Report</v>
      </c>
      <c r="D807" t="str">
        <f>ADDRESS(B806, 3,4  )</f>
        <v>C39</v>
      </c>
      <c r="E807">
        <f t="shared" ca="1" si="212"/>
        <v>0</v>
      </c>
      <c r="F807" t="str">
        <f ca="1">CONCATENATE("Enter an 'Amount Last Provided to CHFA' value for '", C807, "' in cell ", D807, ".", CHAR(10))</f>
        <v xml:space="preserve">Enter an 'Amount Last Provided to CHFA' value for 'Credit Report' in cell C39.
</v>
      </c>
      <c r="G807" s="9" t="str">
        <f t="shared" ca="1" si="210"/>
        <v/>
      </c>
    </row>
    <row r="808" spans="1:7" ht="15" customHeight="1">
      <c r="A808" t="str">
        <f ca="1">IF(E808="",F808, "")</f>
        <v/>
      </c>
      <c r="B808" s="52">
        <f>B806+1</f>
        <v>40</v>
      </c>
      <c r="C808" t="str">
        <f ca="1">INDIRECT($F$742 &amp; ADDRESS(B808, 1,4  ))</f>
        <v>Construction Interest</v>
      </c>
      <c r="D808" t="str">
        <f>ADDRESS(B808, 2,4  )</f>
        <v>B40</v>
      </c>
      <c r="E808">
        <f t="shared" ca="1" si="212"/>
        <v>0</v>
      </c>
      <c r="F808" t="str">
        <f ca="1">CONCATENATE("Enter a value for '", C808, "' in cell ", D808, ".", CHAR(10))</f>
        <v xml:space="preserve">Enter a value for 'Construction Interest' in cell B40.
</v>
      </c>
      <c r="G808" s="9" t="str">
        <f t="shared" ca="1" si="210"/>
        <v/>
      </c>
    </row>
    <row r="809" spans="1:7" ht="15" customHeight="1">
      <c r="A809" t="str">
        <f ca="1">IF(AND(OR(Calculations!$B$3:$B$4), E809=""), F809, "")</f>
        <v/>
      </c>
      <c r="B809" t="s">
        <v>457</v>
      </c>
      <c r="C809" t="str">
        <f ca="1">INDIRECT($F$742 &amp; ADDRESS(B808, 1,4  ))</f>
        <v>Construction Interest</v>
      </c>
      <c r="D809" t="str">
        <f>ADDRESS(B808, 3,4  )</f>
        <v>C40</v>
      </c>
      <c r="E809">
        <f t="shared" ca="1" si="212"/>
        <v>0</v>
      </c>
      <c r="F809" t="str">
        <f ca="1">CONCATENATE("Enter an 'Amount Last Provided to CHFA' value for '", C809, "' in cell ", D809, ".", CHAR(10))</f>
        <v xml:space="preserve">Enter an 'Amount Last Provided to CHFA' value for 'Construction Interest' in cell C40.
</v>
      </c>
      <c r="G809" s="9" t="str">
        <f t="shared" ref="G809:G841" ca="1" si="213">OFFSET(G809, -1, 0) &amp; A809</f>
        <v/>
      </c>
    </row>
    <row r="810" spans="1:7" ht="15" customHeight="1">
      <c r="A810" t="str">
        <f ca="1">IF(E810="",F810, "")</f>
        <v/>
      </c>
      <c r="B810" s="52">
        <f>B808+1</f>
        <v>41</v>
      </c>
      <c r="C810" t="str">
        <f ca="1">INDIRECT($F$742 &amp; ADDRESS(B810, 1,4  ))</f>
        <v>Constr. Origination Fees</v>
      </c>
      <c r="D810" t="str">
        <f>ADDRESS(B810, 2,4  )</f>
        <v>B41</v>
      </c>
      <c r="E810">
        <f t="shared" ca="1" si="212"/>
        <v>0</v>
      </c>
      <c r="F810" t="str">
        <f ca="1">CONCATENATE("Enter a value for '", C810, "' in cell ", D810, ".", CHAR(10))</f>
        <v xml:space="preserve">Enter a value for 'Constr. Origination Fees' in cell B41.
</v>
      </c>
      <c r="G810" s="9" t="str">
        <f t="shared" ca="1" si="213"/>
        <v/>
      </c>
    </row>
    <row r="811" spans="1:7" ht="15" customHeight="1">
      <c r="A811" t="str">
        <f ca="1">IF(AND(OR(Calculations!$B$3:$B$4), E811=""), F811, "")</f>
        <v/>
      </c>
      <c r="B811" t="s">
        <v>457</v>
      </c>
      <c r="C811" t="str">
        <f ca="1">INDIRECT($F$742 &amp; ADDRESS(B810, 1,4  ))</f>
        <v>Constr. Origination Fees</v>
      </c>
      <c r="D811" t="str">
        <f>ADDRESS(B810, 3,4  )</f>
        <v>C41</v>
      </c>
      <c r="E811">
        <f t="shared" ca="1" si="212"/>
        <v>0</v>
      </c>
      <c r="F811" t="str">
        <f ca="1">CONCATENATE("Enter an 'Amount Last Provided to CHFA' value for '", C811, "' in cell ", D811, ".", CHAR(10))</f>
        <v xml:space="preserve">Enter an 'Amount Last Provided to CHFA' value for 'Constr. Origination Fees' in cell C41.
</v>
      </c>
      <c r="G811" s="9" t="str">
        <f t="shared" ca="1" si="213"/>
        <v/>
      </c>
    </row>
    <row r="812" spans="1:7" ht="15" customHeight="1">
      <c r="A812" t="str">
        <f ca="1">IF(E812="",F812, "")</f>
        <v/>
      </c>
      <c r="B812" s="52">
        <f>B810+1</f>
        <v>42</v>
      </c>
      <c r="C812" t="str">
        <f ca="1">INDIRECT($F$742 &amp; ADDRESS(B812, 1,4  ))</f>
        <v>Tap Fees (Water/Sewer)</v>
      </c>
      <c r="D812" t="str">
        <f>ADDRESS(B812, 2,4  )</f>
        <v>B42</v>
      </c>
      <c r="E812">
        <f t="shared" ca="1" si="212"/>
        <v>0</v>
      </c>
      <c r="F812" t="str">
        <f ca="1">CONCATENATE("Enter a value for '", C812, "' in cell ", D812, ".", CHAR(10))</f>
        <v xml:space="preserve">Enter a value for 'Tap Fees (Water/Sewer)' in cell B42.
</v>
      </c>
      <c r="G812" s="9" t="str">
        <f t="shared" ca="1" si="213"/>
        <v/>
      </c>
    </row>
    <row r="813" spans="1:7" ht="15" customHeight="1">
      <c r="A813" t="str">
        <f ca="1">IF(AND(OR(Calculations!$B$3:$B$4), E813=""), F813, "")</f>
        <v/>
      </c>
      <c r="B813" t="s">
        <v>457</v>
      </c>
      <c r="C813" t="str">
        <f ca="1">INDIRECT($F$742 &amp; ADDRESS(B812, 1,4  ))</f>
        <v>Tap Fees (Water/Sewer)</v>
      </c>
      <c r="D813" t="str">
        <f>ADDRESS(B812, 3,4  )</f>
        <v>C42</v>
      </c>
      <c r="E813">
        <f t="shared" ca="1" si="212"/>
        <v>0</v>
      </c>
      <c r="F813" t="str">
        <f ca="1">CONCATENATE("Enter an 'Amount Last Provided to CHFA' value for '", C813, "' in cell ", D813, ".", CHAR(10))</f>
        <v xml:space="preserve">Enter an 'Amount Last Provided to CHFA' value for 'Tap Fees (Water/Sewer)' in cell C42.
</v>
      </c>
      <c r="G813" s="9" t="str">
        <f t="shared" ca="1" si="213"/>
        <v/>
      </c>
    </row>
    <row r="814" spans="1:7" ht="15" customHeight="1">
      <c r="A814" t="str">
        <f ca="1">IF(E814="",F814, "")</f>
        <v/>
      </c>
      <c r="B814" s="52">
        <f>B812+1</f>
        <v>43</v>
      </c>
      <c r="C814" t="str">
        <f ca="1">INDIRECT($F$742 &amp; ADDRESS(B814, 1,4  ))</f>
        <v>Bond Cost of Issuance</v>
      </c>
      <c r="D814" t="str">
        <f>ADDRESS(B814, 2,4  )</f>
        <v>B43</v>
      </c>
      <c r="E814">
        <f t="shared" ca="1" si="212"/>
        <v>0</v>
      </c>
      <c r="F814" t="str">
        <f ca="1">CONCATENATE("Enter a value for '", C814, "' in cell ", D814, ".", CHAR(10))</f>
        <v xml:space="preserve">Enter a value for 'Bond Cost of Issuance' in cell B43.
</v>
      </c>
      <c r="G814" s="9" t="str">
        <f t="shared" ca="1" si="213"/>
        <v/>
      </c>
    </row>
    <row r="815" spans="1:7" ht="15" customHeight="1">
      <c r="A815" t="str">
        <f ca="1">IF(AND(OR(Calculations!$B$3:$B$4), E815=""), F815, "")</f>
        <v/>
      </c>
      <c r="B815" t="s">
        <v>457</v>
      </c>
      <c r="C815" t="str">
        <f ca="1">INDIRECT($F$742 &amp; ADDRESS(B814, 1,4  ))</f>
        <v>Bond Cost of Issuance</v>
      </c>
      <c r="D815" t="str">
        <f>ADDRESS(B814, 3,4  )</f>
        <v>C43</v>
      </c>
      <c r="E815">
        <f t="shared" ca="1" si="212"/>
        <v>0</v>
      </c>
      <c r="F815" t="str">
        <f ca="1">CONCATENATE("Enter an 'Amount Last Provided to CHFA' value for '", C815, "' in cell ", D815, ".", CHAR(10))</f>
        <v xml:space="preserve">Enter an 'Amount Last Provided to CHFA' value for 'Bond Cost of Issuance' in cell C43.
</v>
      </c>
      <c r="G815" s="9" t="str">
        <f t="shared" ca="1" si="213"/>
        <v/>
      </c>
    </row>
    <row r="816" spans="1:7" ht="15" customHeight="1">
      <c r="A816" t="str">
        <f ca="1">IF(E816="",F816, "")</f>
        <v/>
      </c>
      <c r="B816" s="52">
        <f>B814+1</f>
        <v>44</v>
      </c>
      <c r="C816" t="str">
        <f ca="1">INDIRECT($F$742 &amp; ADDRESS(B816, 1,4  ))</f>
        <v>Impact Fees</v>
      </c>
      <c r="D816" t="str">
        <f>ADDRESS(B816, 2,4  )</f>
        <v>B44</v>
      </c>
      <c r="E816">
        <f t="shared" ca="1" si="212"/>
        <v>0</v>
      </c>
      <c r="F816" t="str">
        <f ca="1">CONCATENATE("Enter a value for '", C816, "' in cell ", D816, ".", CHAR(10))</f>
        <v xml:space="preserve">Enter a value for 'Impact Fees' in cell B44.
</v>
      </c>
      <c r="G816" s="9" t="str">
        <f t="shared" ca="1" si="213"/>
        <v/>
      </c>
    </row>
    <row r="817" spans="1:7" ht="15" customHeight="1">
      <c r="A817" t="str">
        <f ca="1">IF(AND(OR(Calculations!$B$3:$B$4), E817=""), F817, "")</f>
        <v/>
      </c>
      <c r="B817" t="s">
        <v>457</v>
      </c>
      <c r="C817" t="str">
        <f ca="1">INDIRECT($F$742 &amp; ADDRESS(B816, 1,4  ))</f>
        <v>Impact Fees</v>
      </c>
      <c r="D817" t="str">
        <f>ADDRESS(B816, 3,4  )</f>
        <v>C44</v>
      </c>
      <c r="E817">
        <f t="shared" ca="1" si="212"/>
        <v>0</v>
      </c>
      <c r="F817" t="str">
        <f ca="1">CONCATENATE("Enter an 'Amount Last Provided to CHFA' value for '", C817, "' in cell ", D817, ".", CHAR(10))</f>
        <v xml:space="preserve">Enter an 'Amount Last Provided to CHFA' value for 'Impact Fees' in cell C44.
</v>
      </c>
      <c r="G817" s="9" t="str">
        <f t="shared" ca="1" si="213"/>
        <v/>
      </c>
    </row>
    <row r="818" spans="1:7" ht="15" customHeight="1">
      <c r="A818" t="str">
        <f ca="1">IF(E818="",F818, "")</f>
        <v/>
      </c>
      <c r="B818" s="52">
        <f>B816+1</f>
        <v>45</v>
      </c>
      <c r="C818" t="str">
        <f ca="1">INDIRECT($F$742 &amp; ADDRESS(B818, 1,4  ))</f>
        <v>Title &amp; Recording</v>
      </c>
      <c r="D818" t="str">
        <f>ADDRESS(B818, 2,4  )</f>
        <v>B45</v>
      </c>
      <c r="E818">
        <f t="shared" ca="1" si="212"/>
        <v>0</v>
      </c>
      <c r="F818" t="str">
        <f ca="1">CONCATENATE("Enter a value for '", C818, "' in cell ", D818, ".", CHAR(10))</f>
        <v xml:space="preserve">Enter a value for 'Title &amp; Recording' in cell B45.
</v>
      </c>
      <c r="G818" s="9" t="str">
        <f t="shared" ca="1" si="213"/>
        <v/>
      </c>
    </row>
    <row r="819" spans="1:7" ht="15" customHeight="1">
      <c r="A819" t="str">
        <f ca="1">IF(AND(OR(Calculations!$B$3:$B$4), E819=""), F819, "")</f>
        <v/>
      </c>
      <c r="B819" t="s">
        <v>457</v>
      </c>
      <c r="C819" t="str">
        <f ca="1">INDIRECT($F$742 &amp; ADDRESS(B818, 1,4  ))</f>
        <v>Title &amp; Recording</v>
      </c>
      <c r="D819" t="str">
        <f>ADDRESS(B818, 3,4  )</f>
        <v>C45</v>
      </c>
      <c r="E819">
        <f t="shared" ca="1" si="212"/>
        <v>0</v>
      </c>
      <c r="F819" t="str">
        <f ca="1">CONCATENATE("Enter an 'Amount Last Provided to CHFA' value for '", C819, "' in cell ", D819, ".", CHAR(10))</f>
        <v xml:space="preserve">Enter an 'Amount Last Provided to CHFA' value for 'Title &amp; Recording' in cell C45.
</v>
      </c>
      <c r="G819" s="9" t="str">
        <f t="shared" ca="1" si="213"/>
        <v/>
      </c>
    </row>
    <row r="820" spans="1:7" ht="15" customHeight="1">
      <c r="A820" t="str">
        <f ca="1">IF(E820="",F820, "")</f>
        <v/>
      </c>
      <c r="B820" s="52">
        <f>B818+1</f>
        <v>46</v>
      </c>
      <c r="C820" t="str">
        <f ca="1">INDIRECT($F$742 &amp; ADDRESS(B820, 1,4  ))</f>
        <v>Legal Fees</v>
      </c>
      <c r="D820" t="str">
        <f>ADDRESS(B820, 2,4  )</f>
        <v>B46</v>
      </c>
      <c r="E820">
        <f t="shared" ca="1" si="212"/>
        <v>0</v>
      </c>
      <c r="F820" t="str">
        <f ca="1">CONCATENATE("Enter a value for '", C820, "' in cell ", D820, ".", CHAR(10))</f>
        <v xml:space="preserve">Enter a value for 'Legal Fees' in cell B46.
</v>
      </c>
      <c r="G820" s="9" t="str">
        <f t="shared" ca="1" si="213"/>
        <v/>
      </c>
    </row>
    <row r="821" spans="1:7" ht="15" customHeight="1">
      <c r="A821" t="str">
        <f ca="1">IF(AND(OR(Calculations!$B$3:$B$4), E821=""), F821, "")</f>
        <v/>
      </c>
      <c r="B821" t="s">
        <v>457</v>
      </c>
      <c r="C821" t="str">
        <f ca="1">INDIRECT($F$742 &amp; ADDRESS(B820, 1,4  ))</f>
        <v>Legal Fees</v>
      </c>
      <c r="D821" t="str">
        <f>ADDRESS(B820, 3,4  )</f>
        <v>C46</v>
      </c>
      <c r="E821">
        <f t="shared" ca="1" si="212"/>
        <v>0</v>
      </c>
      <c r="F821" t="str">
        <f ca="1">CONCATENATE("Enter an 'Amount Last Provided to CHFA' value for '", C821, "' in cell ", D821, ".", CHAR(10))</f>
        <v xml:space="preserve">Enter an 'Amount Last Provided to CHFA' value for 'Legal Fees' in cell C46.
</v>
      </c>
      <c r="G821" s="9" t="str">
        <f t="shared" ca="1" si="213"/>
        <v/>
      </c>
    </row>
    <row r="822" spans="1:7" ht="15" customHeight="1">
      <c r="A822" t="str">
        <f ca="1">IF(E822="",F822, "")</f>
        <v/>
      </c>
      <c r="B822" s="52">
        <f>B820+1</f>
        <v>47</v>
      </c>
      <c r="C822" t="str">
        <f ca="1">INDIRECT($F$742 &amp; ADDRESS(B822, 1,4  ))</f>
        <v>Prop. Taxes during const</v>
      </c>
      <c r="D822" t="str">
        <f>ADDRESS(B822, 2,4  )</f>
        <v>B47</v>
      </c>
      <c r="E822">
        <f t="shared" ca="1" si="212"/>
        <v>0</v>
      </c>
      <c r="F822" t="str">
        <f ca="1">CONCATENATE("Enter a value for '", C822, "' in cell ", D822, ".", CHAR(10))</f>
        <v xml:space="preserve">Enter a value for 'Prop. Taxes during const' in cell B47.
</v>
      </c>
      <c r="G822" s="9" t="str">
        <f t="shared" ca="1" si="213"/>
        <v/>
      </c>
    </row>
    <row r="823" spans="1:7" ht="15" customHeight="1">
      <c r="A823" t="str">
        <f ca="1">IF(AND(OR(Calculations!$B$3:$B$4), E823=""), F823, "")</f>
        <v/>
      </c>
      <c r="B823" t="s">
        <v>457</v>
      </c>
      <c r="C823" t="str">
        <f ca="1">INDIRECT($F$742 &amp; ADDRESS(B822, 1,4  ))</f>
        <v>Prop. Taxes during const</v>
      </c>
      <c r="D823" t="str">
        <f>ADDRESS(B822, 3,4  )</f>
        <v>C47</v>
      </c>
      <c r="E823">
        <f t="shared" ca="1" si="212"/>
        <v>0</v>
      </c>
      <c r="F823" t="str">
        <f ca="1">CONCATENATE("Enter an 'Amount Last Provided to CHFA' value for '", C823, "' in cell ", D823, ".", CHAR(10))</f>
        <v xml:space="preserve">Enter an 'Amount Last Provided to CHFA' value for 'Prop. Taxes during const' in cell C47.
</v>
      </c>
      <c r="G823" s="9" t="str">
        <f t="shared" ca="1" si="213"/>
        <v/>
      </c>
    </row>
    <row r="824" spans="1:7" ht="15" customHeight="1">
      <c r="A824" t="str">
        <f ca="1">IF(E824="",F824, "")</f>
        <v/>
      </c>
      <c r="B824" s="52">
        <f>B822+1</f>
        <v>48</v>
      </c>
      <c r="C824" t="str">
        <f ca="1">INDIRECT($F$742 &amp; ADDRESS(B824, 1,4  ))</f>
        <v>Other (Specify)</v>
      </c>
      <c r="D824" t="str">
        <f>ADDRESS(B824, 2,4  )</f>
        <v>B48</v>
      </c>
      <c r="E824">
        <f t="shared" ca="1" si="212"/>
        <v>0</v>
      </c>
      <c r="F824" t="str">
        <f ca="1">CONCATENATE("Enter a value for '", C824, "' in cell ", D824, ".", CHAR(10))</f>
        <v xml:space="preserve">Enter a value for 'Other (Specify)' in cell B48.
</v>
      </c>
      <c r="G824" s="9" t="str">
        <f t="shared" ca="1" si="213"/>
        <v/>
      </c>
    </row>
    <row r="825" spans="1:7" ht="15" customHeight="1">
      <c r="A825" t="str">
        <f ca="1">IF(AND(OR(Calculations!$B$3:$B$4), E825=""), F825, "")</f>
        <v/>
      </c>
      <c r="B825" t="s">
        <v>457</v>
      </c>
      <c r="C825" t="str">
        <f ca="1">INDIRECT($F$742 &amp; ADDRESS(B824, 1,4  ))</f>
        <v>Other (Specify)</v>
      </c>
      <c r="D825" t="str">
        <f>ADDRESS(B824, 3,4  )</f>
        <v>C48</v>
      </c>
      <c r="E825">
        <f t="shared" ca="1" si="212"/>
        <v>0</v>
      </c>
      <c r="F825" t="str">
        <f ca="1">CONCATENATE("Enter an 'Amount Last Provided to CHFA' value for '", C825, "' in cell ", D825, ".", CHAR(10))</f>
        <v xml:space="preserve">Enter an 'Amount Last Provided to CHFA' value for 'Other (Specify)' in cell C48.
</v>
      </c>
      <c r="G825" s="9" t="str">
        <f t="shared" ca="1" si="213"/>
        <v/>
      </c>
    </row>
    <row r="826" spans="1:7" ht="15" customHeight="1">
      <c r="A826" t="str">
        <f ca="1">IF(AND(E826, SUM(E824:E825) &gt; 0), F826, "")</f>
        <v/>
      </c>
      <c r="C826" t="str">
        <f ca="1">INDIRECT($F$742 &amp; ADDRESS(B824, 1,4  ))</f>
        <v>Other (Specify)</v>
      </c>
      <c r="D826" t="str">
        <f>ADDRESS(B824, 1,4  )</f>
        <v>A48</v>
      </c>
      <c r="E826" t="b">
        <f ca="1">INDIRECT($F$742 &amp; D826)="Other (specify)"</f>
        <v>1</v>
      </c>
      <c r="F826" t="str">
        <f ca="1">CONCATENATE("Please specify value for '", C826, "' in cell ", D826, ".", CHAR(10))</f>
        <v xml:space="preserve">Please specify value for 'Other (Specify)' in cell A48.
</v>
      </c>
      <c r="G826" s="9" t="str">
        <f t="shared" ca="1" si="213"/>
        <v/>
      </c>
    </row>
    <row r="827" spans="1:7" ht="15" customHeight="1">
      <c r="A827" t="str">
        <f ca="1">IF(E827="",F827, "")</f>
        <v/>
      </c>
      <c r="B827" s="52">
        <f>B824+1</f>
        <v>49</v>
      </c>
      <c r="C827" t="str">
        <f ca="1">INDIRECT($F$742 &amp; ADDRESS(B827, 1,4  ))</f>
        <v>Other (Specify)</v>
      </c>
      <c r="D827" t="str">
        <f>ADDRESS(B827, 2,4  )</f>
        <v>B49</v>
      </c>
      <c r="E827">
        <f ca="1">IF(ISBLANK( INDIRECT($F$742 &amp; D827)),"", INDIRECT($F$742 &amp; D827))</f>
        <v>0</v>
      </c>
      <c r="F827" t="str">
        <f ca="1">CONCATENATE("Enter a value for '", C827, "' in cell ", D827, ".", CHAR(10))</f>
        <v xml:space="preserve">Enter a value for 'Other (Specify)' in cell B49.
</v>
      </c>
      <c r="G827" s="9" t="str">
        <f t="shared" ca="1" si="213"/>
        <v/>
      </c>
    </row>
    <row r="828" spans="1:7" ht="15" customHeight="1">
      <c r="A828" t="str">
        <f ca="1">IF(AND(OR(Calculations!$B$3:$B$4), E828=""), F828, "")</f>
        <v/>
      </c>
      <c r="B828" t="s">
        <v>457</v>
      </c>
      <c r="C828" t="str">
        <f ca="1">INDIRECT($F$742 &amp; ADDRESS(B827, 1,4  ))</f>
        <v>Other (Specify)</v>
      </c>
      <c r="D828" t="str">
        <f>ADDRESS(B827, 3,4  )</f>
        <v>C49</v>
      </c>
      <c r="E828">
        <f ca="1">IF(ISBLANK( INDIRECT($F$742 &amp; D828)),"", INDIRECT($F$742 &amp; D828))</f>
        <v>0</v>
      </c>
      <c r="F828" t="str">
        <f ca="1">CONCATENATE("Enter an 'Amount Last Provided to CHFA' value for '", C828, "' in cell ", D828, ".", CHAR(10))</f>
        <v xml:space="preserve">Enter an 'Amount Last Provided to CHFA' value for 'Other (Specify)' in cell C49.
</v>
      </c>
      <c r="G828" s="9" t="str">
        <f t="shared" ca="1" si="213"/>
        <v/>
      </c>
    </row>
    <row r="829" spans="1:7" ht="15" customHeight="1">
      <c r="A829" t="str">
        <f ca="1">IF(AND(E829, SUM(E827:E828) &gt; 0), F829, "")</f>
        <v/>
      </c>
      <c r="C829" t="str">
        <f ca="1">INDIRECT($F$742 &amp; ADDRESS(B827, 1,4  ))</f>
        <v>Other (Specify)</v>
      </c>
      <c r="D829" t="str">
        <f>ADDRESS(B827, 1,4  )</f>
        <v>A49</v>
      </c>
      <c r="E829" t="b">
        <f ca="1">INDIRECT($F$742 &amp; D829)="Other (specify)"</f>
        <v>1</v>
      </c>
      <c r="F829" t="str">
        <f ca="1">CONCATENATE("Please specify value for '", C829, "' in cell ", D829, ".", CHAR(10))</f>
        <v xml:space="preserve">Please specify value for 'Other (Specify)' in cell A49.
</v>
      </c>
      <c r="G829" s="9" t="str">
        <f t="shared" ca="1" si="213"/>
        <v/>
      </c>
    </row>
    <row r="830" spans="1:7" ht="15" customHeight="1">
      <c r="A830" t="str">
        <f ca="1">IF(E830="",F830, "")</f>
        <v/>
      </c>
      <c r="B830" s="52">
        <f>B827+1</f>
        <v>50</v>
      </c>
      <c r="C830" t="str">
        <f ca="1">INDIRECT($F$742 &amp; ADDRESS(B830, 1,4  ))</f>
        <v>Other (Specify)</v>
      </c>
      <c r="D830" t="str">
        <f>ADDRESS(B830, 2,4  )</f>
        <v>B50</v>
      </c>
      <c r="E830">
        <f t="shared" ref="E830:E850" ca="1" si="214">IF(ISBLANK( INDIRECT($F$742 &amp; D830)),"", INDIRECT($F$742 &amp; D830))</f>
        <v>0</v>
      </c>
      <c r="F830" t="str">
        <f ca="1">CONCATENATE("Enter a value for '", C830, "' in cell ", D830, ".", CHAR(10))</f>
        <v xml:space="preserve">Enter a value for 'Other (Specify)' in cell B50.
</v>
      </c>
      <c r="G830" s="9" t="str">
        <f t="shared" ca="1" si="213"/>
        <v/>
      </c>
    </row>
    <row r="831" spans="1:7" ht="15" customHeight="1">
      <c r="A831" t="str">
        <f ca="1">IF(AND(OR(Calculations!$B$3:$B$4), E831=""), F831, "")</f>
        <v/>
      </c>
      <c r="B831" t="s">
        <v>457</v>
      </c>
      <c r="C831" t="str">
        <f ca="1">INDIRECT($F$742 &amp; ADDRESS(B830, 1,4  ))</f>
        <v>Other (Specify)</v>
      </c>
      <c r="D831" t="str">
        <f>ADDRESS(B830, 3,4  )</f>
        <v>C50</v>
      </c>
      <c r="E831">
        <f t="shared" ca="1" si="214"/>
        <v>0</v>
      </c>
      <c r="F831" t="str">
        <f ca="1">CONCATENATE("Enter an 'Amount Last Provided to CHFA' value for '", C831, "' in cell ", D831, ".", CHAR(10))</f>
        <v xml:space="preserve">Enter an 'Amount Last Provided to CHFA' value for 'Other (Specify)' in cell C50.
</v>
      </c>
      <c r="G831" s="9" t="str">
        <f t="shared" ca="1" si="213"/>
        <v/>
      </c>
    </row>
    <row r="832" spans="1:7" ht="15" customHeight="1">
      <c r="A832" t="str">
        <f ca="1">IF(AND(E832, SUM(E830:E831) &gt; 0), F832, "")</f>
        <v/>
      </c>
      <c r="C832" t="str">
        <f ca="1">INDIRECT($F$742 &amp; ADDRESS(B830, 1,4  ))</f>
        <v>Other (Specify)</v>
      </c>
      <c r="D832" t="str">
        <f>ADDRESS(B830, 1,4  )</f>
        <v>A50</v>
      </c>
      <c r="E832" t="b">
        <f ca="1">INDIRECT($F$742 &amp; D832)="Other (specify)"</f>
        <v>1</v>
      </c>
      <c r="F832" t="str">
        <f ca="1">CONCATENATE("Please specify value for '", C832, "' in cell ", D832, ".", CHAR(10))</f>
        <v xml:space="preserve">Please specify value for 'Other (Specify)' in cell A50.
</v>
      </c>
      <c r="G832" s="9" t="str">
        <f t="shared" ca="1" si="213"/>
        <v/>
      </c>
    </row>
    <row r="833" spans="1:7" ht="15" customHeight="1">
      <c r="A833" t="str">
        <f ca="1">IF(E833="",F833, "")</f>
        <v/>
      </c>
      <c r="B833">
        <f>ROW('Commercial Budget'!A53)</f>
        <v>53</v>
      </c>
      <c r="C833" t="str">
        <f ca="1">INDIRECT($F$742 &amp; ADDRESS(B833, 1,4  ))</f>
        <v>Bond Premium</v>
      </c>
      <c r="D833" t="str">
        <f>ADDRESS(B833, 2,4  )</f>
        <v>B53</v>
      </c>
      <c r="E833">
        <f t="shared" ca="1" si="214"/>
        <v>0</v>
      </c>
      <c r="F833" t="str">
        <f ca="1">CONCATENATE("Enter a value for '", C833, "' in cell ", D833, ".", CHAR(10))</f>
        <v xml:space="preserve">Enter a value for 'Bond Premium' in cell B53.
</v>
      </c>
      <c r="G833" s="9" t="str">
        <f t="shared" ca="1" si="213"/>
        <v/>
      </c>
    </row>
    <row r="834" spans="1:7" ht="15" customHeight="1">
      <c r="A834" t="str">
        <f ca="1">IF(AND(OR(Calculations!$B$3:$B$4), E834=""), F834, "")</f>
        <v/>
      </c>
      <c r="B834" t="s">
        <v>457</v>
      </c>
      <c r="C834" t="str">
        <f ca="1">INDIRECT($F$742 &amp; ADDRESS(B833, 1,4  ))</f>
        <v>Bond Premium</v>
      </c>
      <c r="D834" t="str">
        <f>ADDRESS(B833, 3,4  )</f>
        <v>C53</v>
      </c>
      <c r="E834">
        <f t="shared" ca="1" si="214"/>
        <v>0</v>
      </c>
      <c r="F834" t="str">
        <f ca="1">CONCATENATE("Enter an 'Amount Last Provided to CHFA' value for '", C834, "' in cell ", D834, ".", CHAR(10))</f>
        <v xml:space="preserve">Enter an 'Amount Last Provided to CHFA' value for 'Bond Premium' in cell C53.
</v>
      </c>
      <c r="G834" s="9" t="str">
        <f t="shared" ca="1" si="213"/>
        <v/>
      </c>
    </row>
    <row r="835" spans="1:7" ht="15" customHeight="1">
      <c r="A835" t="str">
        <f ca="1">IF(E835="",F835, "")</f>
        <v/>
      </c>
      <c r="B835" s="52">
        <f>B833+1</f>
        <v>54</v>
      </c>
      <c r="C835" t="str">
        <f ca="1">INDIRECT($F$742 &amp; ADDRESS(B835, 1,4  ))</f>
        <v>Bond Issue 30-day lag reserve</v>
      </c>
      <c r="D835" t="str">
        <f>ADDRESS(B835, 2,4  )</f>
        <v>B54</v>
      </c>
      <c r="E835">
        <f t="shared" ca="1" si="214"/>
        <v>0</v>
      </c>
      <c r="F835" t="str">
        <f ca="1">CONCATENATE("Enter a value for '", C835, "' in cell ", D835, ".", CHAR(10))</f>
        <v xml:space="preserve">Enter a value for 'Bond Issue 30-day lag reserve' in cell B54.
</v>
      </c>
      <c r="G835" s="9" t="str">
        <f t="shared" ca="1" si="213"/>
        <v/>
      </c>
    </row>
    <row r="836" spans="1:7" ht="15" customHeight="1">
      <c r="A836" t="str">
        <f ca="1">IF(AND(OR(Calculations!$B$3:$B$4), E836=""), F836, "")</f>
        <v/>
      </c>
      <c r="B836" t="s">
        <v>457</v>
      </c>
      <c r="C836" t="str">
        <f ca="1">INDIRECT($F$742 &amp; ADDRESS(B835, 1,4  ))</f>
        <v>Bond Issue 30-day lag reserve</v>
      </c>
      <c r="D836" t="str">
        <f>ADDRESS(B835, 3,4  )</f>
        <v>C54</v>
      </c>
      <c r="E836">
        <f t="shared" ca="1" si="214"/>
        <v>0</v>
      </c>
      <c r="F836" t="str">
        <f ca="1">CONCATENATE("Enter an 'Amount Last Provided to CHFA' value for '", C836, "' in cell ", D836, ".", CHAR(10))</f>
        <v xml:space="preserve">Enter an 'Amount Last Provided to CHFA' value for 'Bond Issue 30-day lag reserve' in cell C54.
</v>
      </c>
      <c r="G836" s="9" t="str">
        <f t="shared" ca="1" si="213"/>
        <v/>
      </c>
    </row>
    <row r="837" spans="1:7" ht="15" customHeight="1">
      <c r="A837" t="str">
        <f ca="1">IF(E837="",F837, "")</f>
        <v/>
      </c>
      <c r="B837" s="52">
        <f>B835+1</f>
        <v>55</v>
      </c>
      <c r="C837" t="str">
        <f ca="1">INDIRECT($F$742 &amp; ADDRESS(B837, 1,4  ))</f>
        <v>Discount Points</v>
      </c>
      <c r="D837" t="str">
        <f>ADDRESS(B837, 2,4  )</f>
        <v>B55</v>
      </c>
      <c r="E837">
        <f t="shared" ca="1" si="214"/>
        <v>0</v>
      </c>
      <c r="F837" t="str">
        <f ca="1">CONCATENATE("Enter a value for '", C837, "' in cell ", D837, ".", CHAR(10))</f>
        <v xml:space="preserve">Enter a value for 'Discount Points' in cell B55.
</v>
      </c>
      <c r="G837" s="9" t="str">
        <f t="shared" ca="1" si="213"/>
        <v/>
      </c>
    </row>
    <row r="838" spans="1:7" ht="15" customHeight="1">
      <c r="A838" t="str">
        <f ca="1">IF(AND(OR(Calculations!$B$3:$B$4), E838=""), F838, "")</f>
        <v/>
      </c>
      <c r="B838" t="s">
        <v>457</v>
      </c>
      <c r="C838" t="str">
        <f ca="1">INDIRECT($F$742 &amp; ADDRESS(B837, 1,4  ))</f>
        <v>Discount Points</v>
      </c>
      <c r="D838" t="str">
        <f>ADDRESS(B837, 3,4  )</f>
        <v>C55</v>
      </c>
      <c r="E838">
        <f t="shared" ca="1" si="214"/>
        <v>0</v>
      </c>
      <c r="F838" t="str">
        <f ca="1">CONCATENATE("Enter an 'Amount Last Provided to CHFA' value for '", C838, "' in cell ", D838, ".", CHAR(10))</f>
        <v xml:space="preserve">Enter an 'Amount Last Provided to CHFA' value for 'Discount Points' in cell C55.
</v>
      </c>
      <c r="G838" s="9" t="str">
        <f t="shared" ca="1" si="213"/>
        <v/>
      </c>
    </row>
    <row r="839" spans="1:7" ht="15" customHeight="1">
      <c r="A839" t="str">
        <f ca="1">IF(E839="",F839, "")</f>
        <v/>
      </c>
      <c r="B839" s="52">
        <f>B837+1</f>
        <v>56</v>
      </c>
      <c r="C839" t="str">
        <f ca="1">INDIRECT($F$742 &amp; ADDRESS(B839, 1,4  ))</f>
        <v>Perm Loan Origination</v>
      </c>
      <c r="D839" t="str">
        <f>ADDRESS(B839, 2,4  )</f>
        <v>B56</v>
      </c>
      <c r="E839">
        <f t="shared" ca="1" si="214"/>
        <v>0</v>
      </c>
      <c r="F839" t="str">
        <f ca="1">CONCATENATE("Enter a value for '", C839, "' in cell ", D839, ".", CHAR(10))</f>
        <v xml:space="preserve">Enter a value for 'Perm Loan Origination' in cell B56.
</v>
      </c>
      <c r="G839" s="9" t="str">
        <f t="shared" ca="1" si="213"/>
        <v/>
      </c>
    </row>
    <row r="840" spans="1:7" ht="15" customHeight="1">
      <c r="A840" t="str">
        <f ca="1">IF(AND(OR(Calculations!$B$3:$B$4), E840=""), F840, "")</f>
        <v/>
      </c>
      <c r="B840" t="s">
        <v>457</v>
      </c>
      <c r="C840" t="str">
        <f ca="1">INDIRECT($F$742 &amp; ADDRESS(B839, 1,4  ))</f>
        <v>Perm Loan Origination</v>
      </c>
      <c r="D840" t="str">
        <f>ADDRESS(B839, 3,4  )</f>
        <v>C56</v>
      </c>
      <c r="E840">
        <f t="shared" ca="1" si="214"/>
        <v>0</v>
      </c>
      <c r="F840" t="str">
        <f ca="1">CONCATENATE("Enter an 'Amount Last Provided to CHFA' value for '", C840, "' in cell ", D840, ".", CHAR(10))</f>
        <v xml:space="preserve">Enter an 'Amount Last Provided to CHFA' value for 'Perm Loan Origination' in cell C56.
</v>
      </c>
      <c r="G840" s="9" t="str">
        <f t="shared" ca="1" si="213"/>
        <v/>
      </c>
    </row>
    <row r="841" spans="1:7" ht="15" customHeight="1">
      <c r="A841" t="str">
        <f ca="1">IF(E841="",F841, "")</f>
        <v/>
      </c>
      <c r="B841" s="52">
        <f>B839+1</f>
        <v>57</v>
      </c>
      <c r="C841" t="str">
        <f ca="1">INDIRECT($F$742 &amp; ADDRESS(B841, 1,4  ))</f>
        <v>Credit Enhancement</v>
      </c>
      <c r="D841" t="str">
        <f>ADDRESS(B841, 2,4  )</f>
        <v>B57</v>
      </c>
      <c r="E841">
        <f t="shared" ca="1" si="214"/>
        <v>0</v>
      </c>
      <c r="F841" t="str">
        <f ca="1">CONCATENATE("Enter a value for '", C841, "' in cell ", D841, ".", CHAR(10))</f>
        <v xml:space="preserve">Enter a value for 'Credit Enhancement' in cell B57.
</v>
      </c>
      <c r="G841" s="9" t="str">
        <f t="shared" ca="1" si="213"/>
        <v/>
      </c>
    </row>
    <row r="842" spans="1:7" ht="15" customHeight="1">
      <c r="A842" t="str">
        <f ca="1">IF(AND(OR(Calculations!$B$3:$B$4), E842=""), F842, "")</f>
        <v/>
      </c>
      <c r="B842" t="s">
        <v>457</v>
      </c>
      <c r="C842" t="str">
        <f ca="1">INDIRECT($F$742 &amp; ADDRESS(B841, 1,4  ))</f>
        <v>Credit Enhancement</v>
      </c>
      <c r="D842" t="str">
        <f>ADDRESS(B841, 3,4  )</f>
        <v>C57</v>
      </c>
      <c r="E842">
        <f t="shared" ca="1" si="214"/>
        <v>0</v>
      </c>
      <c r="F842" t="str">
        <f ca="1">CONCATENATE("Enter an 'Amount Last Provided to CHFA' value for '", C842, "' in cell ", D842, ".", CHAR(10))</f>
        <v xml:space="preserve">Enter an 'Amount Last Provided to CHFA' value for 'Credit Enhancement' in cell C57.
</v>
      </c>
      <c r="G842" s="9" t="str">
        <f t="shared" ref="G842:G874" ca="1" si="215">OFFSET(G842, -1, 0) &amp; A842</f>
        <v/>
      </c>
    </row>
    <row r="843" spans="1:7" ht="15" customHeight="1">
      <c r="A843" t="str">
        <f ca="1">IF(E843="",F843, "")</f>
        <v/>
      </c>
      <c r="B843" s="52">
        <f>B841+1</f>
        <v>58</v>
      </c>
      <c r="C843" t="str">
        <f ca="1">INDIRECT($F$742 &amp; ADDRESS(B843, 1,4  ))</f>
        <v>Title &amp; Recording</v>
      </c>
      <c r="D843" t="str">
        <f>ADDRESS(B843, 2,4  )</f>
        <v>B58</v>
      </c>
      <c r="E843">
        <f t="shared" ca="1" si="214"/>
        <v>0</v>
      </c>
      <c r="F843" t="str">
        <f ca="1">CONCATENATE("Enter a value for '", C843, "' in cell ", D843, ".", CHAR(10))</f>
        <v xml:space="preserve">Enter a value for 'Title &amp; Recording' in cell B58.
</v>
      </c>
      <c r="G843" s="9" t="str">
        <f t="shared" ca="1" si="215"/>
        <v/>
      </c>
    </row>
    <row r="844" spans="1:7" ht="15" customHeight="1">
      <c r="A844" t="str">
        <f ca="1">IF(AND(OR(Calculations!$B$3:$B$4), E844=""), F844, "")</f>
        <v/>
      </c>
      <c r="B844" t="s">
        <v>457</v>
      </c>
      <c r="C844" t="str">
        <f ca="1">INDIRECT($F$742 &amp; ADDRESS(B843, 1,4  ))</f>
        <v>Title &amp; Recording</v>
      </c>
      <c r="D844" t="str">
        <f>ADDRESS(B843, 3,4  )</f>
        <v>C58</v>
      </c>
      <c r="E844">
        <f t="shared" ca="1" si="214"/>
        <v>0</v>
      </c>
      <c r="F844" t="str">
        <f ca="1">CONCATENATE("Enter an 'Amount Last Provided to CHFA' value for '", C844, "' in cell ", D844, ".", CHAR(10))</f>
        <v xml:space="preserve">Enter an 'Amount Last Provided to CHFA' value for 'Title &amp; Recording' in cell C58.
</v>
      </c>
      <c r="G844" s="9" t="str">
        <f t="shared" ca="1" si="215"/>
        <v/>
      </c>
    </row>
    <row r="845" spans="1:7" ht="15" customHeight="1">
      <c r="A845" t="str">
        <f ca="1">IF(E845="",F845, "")</f>
        <v/>
      </c>
      <c r="B845" s="52">
        <f>B843+1</f>
        <v>59</v>
      </c>
      <c r="C845" t="str">
        <f ca="1">INDIRECT($F$742 &amp; ADDRESS(B845, 1,4  ))</f>
        <v>Legal Fees</v>
      </c>
      <c r="D845" t="str">
        <f>ADDRESS(B845, 2,4  )</f>
        <v>B59</v>
      </c>
      <c r="E845">
        <f t="shared" ca="1" si="214"/>
        <v>0</v>
      </c>
      <c r="F845" t="str">
        <f ca="1">CONCATENATE("Enter a value for '", C845, "' in cell ", D845, ".", CHAR(10))</f>
        <v xml:space="preserve">Enter a value for 'Legal Fees' in cell B59.
</v>
      </c>
      <c r="G845" s="9" t="str">
        <f t="shared" ca="1" si="215"/>
        <v/>
      </c>
    </row>
    <row r="846" spans="1:7" ht="15" customHeight="1">
      <c r="A846" t="str">
        <f ca="1">IF(AND(OR(Calculations!$B$3:$B$4), E846=""), F846, "")</f>
        <v/>
      </c>
      <c r="B846" t="s">
        <v>457</v>
      </c>
      <c r="C846" t="str">
        <f ca="1">INDIRECT($F$742 &amp; ADDRESS(B845, 1,4  ))</f>
        <v>Legal Fees</v>
      </c>
      <c r="D846" t="str">
        <f>ADDRESS(B845, 3,4  )</f>
        <v>C59</v>
      </c>
      <c r="E846">
        <f t="shared" ca="1" si="214"/>
        <v>0</v>
      </c>
      <c r="F846" t="str">
        <f ca="1">CONCATENATE("Enter an 'Amount Last Provided to CHFA' value for '", C846, "' in cell ", D846, ".", CHAR(10))</f>
        <v xml:space="preserve">Enter an 'Amount Last Provided to CHFA' value for 'Legal Fees' in cell C59.
</v>
      </c>
      <c r="G846" s="9" t="str">
        <f t="shared" ca="1" si="215"/>
        <v/>
      </c>
    </row>
    <row r="847" spans="1:7" ht="15" customHeight="1">
      <c r="A847" t="str">
        <f ca="1">IF(E847="",F847, "")</f>
        <v/>
      </c>
      <c r="B847" s="52">
        <f>B845+1</f>
        <v>60</v>
      </c>
      <c r="C847" t="str">
        <f ca="1">INDIRECT($F$742 &amp; ADDRESS(B847, 1,4  ))</f>
        <v>Prepaid MIP</v>
      </c>
      <c r="D847" t="str">
        <f>ADDRESS(B847, 2,4  )</f>
        <v>B60</v>
      </c>
      <c r="E847">
        <f t="shared" ca="1" si="214"/>
        <v>0</v>
      </c>
      <c r="F847" t="str">
        <f ca="1">CONCATENATE("Enter a value for '", C847, "' in cell ", D847, ".", CHAR(10))</f>
        <v xml:space="preserve">Enter a value for 'Prepaid MIP' in cell B60.
</v>
      </c>
      <c r="G847" s="9" t="str">
        <f t="shared" ca="1" si="215"/>
        <v/>
      </c>
    </row>
    <row r="848" spans="1:7" ht="15" customHeight="1">
      <c r="A848" t="str">
        <f ca="1">IF(AND(OR(Calculations!$B$3:$B$4), E848=""), F848, "")</f>
        <v/>
      </c>
      <c r="B848" t="s">
        <v>457</v>
      </c>
      <c r="C848" t="str">
        <f ca="1">INDIRECT($F$742 &amp; ADDRESS(B847, 1,4  ))</f>
        <v>Prepaid MIP</v>
      </c>
      <c r="D848" t="str">
        <f>ADDRESS(B847, 3,4  )</f>
        <v>C60</v>
      </c>
      <c r="E848">
        <f t="shared" ca="1" si="214"/>
        <v>0</v>
      </c>
      <c r="F848" t="str">
        <f ca="1">CONCATENATE("Enter an 'Amount Last Provided to CHFA' value for '", C848, "' in cell ", D848, ".", CHAR(10))</f>
        <v xml:space="preserve">Enter an 'Amount Last Provided to CHFA' value for 'Prepaid MIP' in cell C60.
</v>
      </c>
      <c r="G848" s="9" t="str">
        <f t="shared" ca="1" si="215"/>
        <v/>
      </c>
    </row>
    <row r="849" spans="1:7" ht="15" customHeight="1">
      <c r="A849" t="str">
        <f ca="1">IF(E849="",F849, "")</f>
        <v/>
      </c>
      <c r="B849" s="52">
        <f>B847+1</f>
        <v>61</v>
      </c>
      <c r="C849" t="str">
        <f ca="1">INDIRECT($F$742 &amp; ADDRESS(B849, 1,4  ))</f>
        <v>Other (Specify)</v>
      </c>
      <c r="D849" t="str">
        <f>ADDRESS(B849, 2,4  )</f>
        <v>B61</v>
      </c>
      <c r="E849">
        <f t="shared" ca="1" si="214"/>
        <v>0</v>
      </c>
      <c r="F849" t="str">
        <f ca="1">CONCATENATE("Enter a value for '", C849, "' in cell ", D849, ".", CHAR(10))</f>
        <v xml:space="preserve">Enter a value for 'Other (Specify)' in cell B61.
</v>
      </c>
      <c r="G849" s="9" t="str">
        <f t="shared" ca="1" si="215"/>
        <v/>
      </c>
    </row>
    <row r="850" spans="1:7" ht="15" customHeight="1">
      <c r="A850" t="str">
        <f ca="1">IF(AND(OR(Calculations!$B$3:$B$4), E850=""), F850, "")</f>
        <v/>
      </c>
      <c r="B850" t="s">
        <v>457</v>
      </c>
      <c r="C850" t="str">
        <f ca="1">INDIRECT($F$742 &amp; ADDRESS(B849, 1,4  ))</f>
        <v>Other (Specify)</v>
      </c>
      <c r="D850" t="str">
        <f>ADDRESS(B849, 3,4  )</f>
        <v>C61</v>
      </c>
      <c r="E850">
        <f t="shared" ca="1" si="214"/>
        <v>0</v>
      </c>
      <c r="F850" t="str">
        <f ca="1">CONCATENATE("Enter an 'Amount Last Provided to CHFA' value for '", C850, "' in cell ", D850, ".", CHAR(10))</f>
        <v xml:space="preserve">Enter an 'Amount Last Provided to CHFA' value for 'Other (Specify)' in cell C61.
</v>
      </c>
      <c r="G850" s="9" t="str">
        <f t="shared" ca="1" si="215"/>
        <v/>
      </c>
    </row>
    <row r="851" spans="1:7" ht="15" customHeight="1">
      <c r="A851" t="str">
        <f ca="1">IF(AND(E851, SUM(E849:E850) &gt; 0), F851, "")</f>
        <v/>
      </c>
      <c r="C851" t="str">
        <f ca="1">INDIRECT($F$742 &amp; ADDRESS(B849, 1,4  ))</f>
        <v>Other (Specify)</v>
      </c>
      <c r="D851" t="str">
        <f>ADDRESS(B849, 1,4  )</f>
        <v>A61</v>
      </c>
      <c r="E851" t="b">
        <f ca="1">INDIRECT($F$742 &amp; D851)="Other (specify)"</f>
        <v>1</v>
      </c>
      <c r="F851" t="str">
        <f ca="1">CONCATENATE("Please specify value for '", C851, "' in cell ", D851, ".", CHAR(10))</f>
        <v xml:space="preserve">Please specify value for 'Other (Specify)' in cell A61.
</v>
      </c>
      <c r="G851" s="9" t="str">
        <f t="shared" ca="1" si="215"/>
        <v/>
      </c>
    </row>
    <row r="852" spans="1:7" ht="15" customHeight="1">
      <c r="A852" t="str">
        <f ca="1">IF(E852="",F852, "")</f>
        <v/>
      </c>
      <c r="B852" s="52">
        <f>B849+1</f>
        <v>62</v>
      </c>
      <c r="C852" t="str">
        <f ca="1">INDIRECT($F$742 &amp; ADDRESS(B852, 1,4  ))</f>
        <v>Other (Specify)</v>
      </c>
      <c r="D852" t="str">
        <f>ADDRESS(B852, 2,4  )</f>
        <v>B62</v>
      </c>
      <c r="E852">
        <f ca="1">IF(ISBLANK( INDIRECT($F$742 &amp; D852)),"", INDIRECT($F$742 &amp; D852))</f>
        <v>0</v>
      </c>
      <c r="F852" t="str">
        <f ca="1">CONCATENATE("Enter a value for '", C852, "' in cell ", D852, ".", CHAR(10))</f>
        <v xml:space="preserve">Enter a value for 'Other (Specify)' in cell B62.
</v>
      </c>
      <c r="G852" s="9" t="str">
        <f t="shared" ca="1" si="215"/>
        <v/>
      </c>
    </row>
    <row r="853" spans="1:7" ht="15" customHeight="1">
      <c r="A853" t="str">
        <f ca="1">IF(AND(OR(Calculations!$B$3:$B$4), E853=""), F853, "")</f>
        <v/>
      </c>
      <c r="B853" t="s">
        <v>457</v>
      </c>
      <c r="C853" t="str">
        <f ca="1">INDIRECT($F$742 &amp; ADDRESS(B852, 1,4  ))</f>
        <v>Other (Specify)</v>
      </c>
      <c r="D853" t="str">
        <f>ADDRESS(B852, 3,4  )</f>
        <v>C62</v>
      </c>
      <c r="E853">
        <f ca="1">IF(ISBLANK( INDIRECT($F$742 &amp; D853)),"", INDIRECT($F$742 &amp; D853))</f>
        <v>0</v>
      </c>
      <c r="F853" t="str">
        <f ca="1">CONCATENATE("Enter an 'Amount Last Provided to CHFA' value for '", C853, "' in cell ", D853, ".", CHAR(10))</f>
        <v xml:space="preserve">Enter an 'Amount Last Provided to CHFA' value for 'Other (Specify)' in cell C62.
</v>
      </c>
      <c r="G853" s="9" t="str">
        <f t="shared" ca="1" si="215"/>
        <v/>
      </c>
    </row>
    <row r="854" spans="1:7" ht="15" customHeight="1">
      <c r="A854" t="str">
        <f ca="1">IF(AND(E854, SUM(E852:E853) &gt; 0), F854, "")</f>
        <v/>
      </c>
      <c r="C854" t="str">
        <f ca="1">INDIRECT($F$742 &amp; ADDRESS(B852, 1,4  ))</f>
        <v>Other (Specify)</v>
      </c>
      <c r="D854" t="str">
        <f>ADDRESS(B852, 1,4  )</f>
        <v>A62</v>
      </c>
      <c r="E854" t="b">
        <f ca="1">INDIRECT($F$742 &amp; D854)="Other (specify)"</f>
        <v>1</v>
      </c>
      <c r="F854" t="str">
        <f ca="1">CONCATENATE("Please specify value for '", C854, "' in cell ", D854, ".", CHAR(10))</f>
        <v xml:space="preserve">Please specify value for 'Other (Specify)' in cell A62.
</v>
      </c>
      <c r="G854" s="9" t="str">
        <f t="shared" ca="1" si="215"/>
        <v/>
      </c>
    </row>
    <row r="855" spans="1:7" ht="15" customHeight="1">
      <c r="A855" t="str">
        <f ca="1">IF(E855="",F855, "")</f>
        <v/>
      </c>
      <c r="B855" s="52">
        <f>B852+1</f>
        <v>63</v>
      </c>
      <c r="C855" t="str">
        <f ca="1">INDIRECT($F$742 &amp; ADDRESS(B855, 1,4  ))</f>
        <v>Other (Specify)</v>
      </c>
      <c r="D855" t="str">
        <f>ADDRESS(B855, 2,4  )</f>
        <v>B63</v>
      </c>
      <c r="E855">
        <f ca="1">IF(ISBLANK( INDIRECT($F$742 &amp; D855)),"", INDIRECT($F$742 &amp; D855))</f>
        <v>0</v>
      </c>
      <c r="F855" t="str">
        <f ca="1">CONCATENATE("Enter a value for '", C855, "' in cell ", D855, ".", CHAR(10))</f>
        <v xml:space="preserve">Enter a value for 'Other (Specify)' in cell B63.
</v>
      </c>
      <c r="G855" s="9" t="str">
        <f t="shared" ca="1" si="215"/>
        <v/>
      </c>
    </row>
    <row r="856" spans="1:7" ht="15" customHeight="1">
      <c r="A856" t="str">
        <f ca="1">IF(AND(OR(Calculations!$B$3:$B$4), E856=""), F856, "")</f>
        <v/>
      </c>
      <c r="B856" t="s">
        <v>457</v>
      </c>
      <c r="C856" t="str">
        <f ca="1">INDIRECT($F$742 &amp; ADDRESS(B855, 1,4  ))</f>
        <v>Other (Specify)</v>
      </c>
      <c r="D856" t="str">
        <f>ADDRESS(B855, 3,4  )</f>
        <v>C63</v>
      </c>
      <c r="E856">
        <f ca="1">IF(ISBLANK( INDIRECT($F$742 &amp; D856)),"", INDIRECT($F$742 &amp; D856))</f>
        <v>0</v>
      </c>
      <c r="F856" t="str">
        <f ca="1">CONCATENATE("Enter an 'Amount Last Provided to CHFA' value for '", C856, "' in cell ", D856, ".", CHAR(10))</f>
        <v xml:space="preserve">Enter an 'Amount Last Provided to CHFA' value for 'Other (Specify)' in cell C63.
</v>
      </c>
      <c r="G856" s="9" t="str">
        <f t="shared" ca="1" si="215"/>
        <v/>
      </c>
    </row>
    <row r="857" spans="1:7" ht="15" customHeight="1">
      <c r="A857" t="str">
        <f ca="1">IF(AND(E857, SUM(E855:E856) &gt; 0), F857, "")</f>
        <v/>
      </c>
      <c r="C857" t="str">
        <f ca="1">INDIRECT($F$742 &amp; ADDRESS(B855, 1,4  ))</f>
        <v>Other (Specify)</v>
      </c>
      <c r="D857" t="str">
        <f>ADDRESS(B855, 1,4  )</f>
        <v>A63</v>
      </c>
      <c r="E857" t="b">
        <f ca="1">INDIRECT($F$742 &amp; D857)="Other (specify)"</f>
        <v>1</v>
      </c>
      <c r="F857" t="str">
        <f ca="1">CONCATENATE("Please specify value for '", C857, "' in cell ", D857, ".", CHAR(10))</f>
        <v xml:space="preserve">Please specify value for 'Other (Specify)' in cell A63.
</v>
      </c>
      <c r="G857" s="9" t="str">
        <f t="shared" ca="1" si="215"/>
        <v/>
      </c>
    </row>
    <row r="858" spans="1:7" ht="15" customHeight="1">
      <c r="A858" t="str">
        <f ca="1">IF(E858="",F858, "")</f>
        <v/>
      </c>
      <c r="B858">
        <v>66</v>
      </c>
      <c r="C858" t="str">
        <f ca="1">INDIRECT($F$742 &amp; ADDRESS(B858, 1,4  ))</f>
        <v>Feasibility Study</v>
      </c>
      <c r="D858" t="str">
        <f>ADDRESS(B858, 2,4  )</f>
        <v>B66</v>
      </c>
      <c r="E858">
        <f t="shared" ref="E858:E876" ca="1" si="216">IF(ISBLANK( INDIRECT($F$742 &amp; D858)),"", INDIRECT($F$742 &amp; D858))</f>
        <v>0</v>
      </c>
      <c r="F858" t="str">
        <f ca="1">CONCATENATE("Enter a value for '", C858, "' in cell ", D858, ".", CHAR(10))</f>
        <v xml:space="preserve">Enter a value for 'Feasibility Study' in cell B66.
</v>
      </c>
      <c r="G858" s="9" t="str">
        <f t="shared" ca="1" si="215"/>
        <v/>
      </c>
    </row>
    <row r="859" spans="1:7" ht="15" customHeight="1">
      <c r="A859" t="str">
        <f ca="1">IF(AND(OR(Calculations!$B$3:$B$4), E859=""), F859, "")</f>
        <v/>
      </c>
      <c r="B859" t="s">
        <v>457</v>
      </c>
      <c r="C859" t="str">
        <f ca="1">INDIRECT($F$742 &amp; ADDRESS(B858, 1,4  ))</f>
        <v>Feasibility Study</v>
      </c>
      <c r="D859" t="str">
        <f>ADDRESS(B858, 3,4  )</f>
        <v>C66</v>
      </c>
      <c r="E859">
        <f t="shared" ca="1" si="216"/>
        <v>0</v>
      </c>
      <c r="F859" t="str">
        <f ca="1">CONCATENATE("Enter an 'Amount Last Provided to CHFA' value for '", C859, "' in cell ", D859, ".", CHAR(10))</f>
        <v xml:space="preserve">Enter an 'Amount Last Provided to CHFA' value for 'Feasibility Study' in cell C66.
</v>
      </c>
      <c r="G859" s="9" t="str">
        <f t="shared" ca="1" si="215"/>
        <v/>
      </c>
    </row>
    <row r="860" spans="1:7" ht="15" customHeight="1">
      <c r="A860" t="str">
        <f ca="1">IF(E860="",F860, "")</f>
        <v/>
      </c>
      <c r="B860" s="52">
        <f>B858+1</f>
        <v>67</v>
      </c>
      <c r="C860" t="str">
        <f ca="1">INDIRECT($F$742 &amp; ADDRESS(B860, 1,4  ))</f>
        <v>Market Study</v>
      </c>
      <c r="D860" t="str">
        <f>ADDRESS(B860, 2,4  )</f>
        <v>B67</v>
      </c>
      <c r="E860">
        <f t="shared" ca="1" si="216"/>
        <v>0</v>
      </c>
      <c r="F860" t="str">
        <f ca="1">CONCATENATE("Enter a value for '", C860, "' in cell ", D860, ".", CHAR(10))</f>
        <v xml:space="preserve">Enter a value for 'Market Study' in cell B67.
</v>
      </c>
      <c r="G860" s="9" t="str">
        <f t="shared" ca="1" si="215"/>
        <v/>
      </c>
    </row>
    <row r="861" spans="1:7" ht="15" customHeight="1">
      <c r="A861" t="str">
        <f ca="1">IF(AND(OR(Calculations!$B$3:$B$4), E861=""), F861, "")</f>
        <v/>
      </c>
      <c r="B861" t="s">
        <v>457</v>
      </c>
      <c r="C861" t="str">
        <f ca="1">INDIRECT($F$742 &amp; ADDRESS(B860, 1,4  ))</f>
        <v>Market Study</v>
      </c>
      <c r="D861" t="str">
        <f>ADDRESS(B860, 3,4  )</f>
        <v>C67</v>
      </c>
      <c r="E861">
        <f t="shared" ca="1" si="216"/>
        <v>0</v>
      </c>
      <c r="F861" t="str">
        <f ca="1">CONCATENATE("Enter an 'Amount Last Provided to CHFA' value for '", C861, "' in cell ", D861, ".", CHAR(10))</f>
        <v xml:space="preserve">Enter an 'Amount Last Provided to CHFA' value for 'Market Study' in cell C67.
</v>
      </c>
      <c r="G861" s="9" t="str">
        <f t="shared" ca="1" si="215"/>
        <v/>
      </c>
    </row>
    <row r="862" spans="1:7" ht="15" customHeight="1">
      <c r="A862" t="str">
        <f ca="1">IF(E862="",F862, "")</f>
        <v/>
      </c>
      <c r="B862" s="52">
        <f>B860+1</f>
        <v>68</v>
      </c>
      <c r="C862" t="str">
        <f ca="1">INDIRECT($F$742 &amp; ADDRESS(B862, 1,4  ))</f>
        <v>Environmental Study</v>
      </c>
      <c r="D862" t="str">
        <f>ADDRESS(B862, 2,4  )</f>
        <v>B68</v>
      </c>
      <c r="E862">
        <f t="shared" ca="1" si="216"/>
        <v>0</v>
      </c>
      <c r="F862" t="str">
        <f ca="1">CONCATENATE("Enter a value for '", C862, "' in cell ", D862, ".", CHAR(10))</f>
        <v xml:space="preserve">Enter a value for 'Environmental Study' in cell B68.
</v>
      </c>
      <c r="G862" s="9" t="str">
        <f t="shared" ca="1" si="215"/>
        <v/>
      </c>
    </row>
    <row r="863" spans="1:7" ht="15" customHeight="1">
      <c r="A863" t="str">
        <f ca="1">IF(AND(OR(Calculations!$B$3:$B$4), E863=""), F863, "")</f>
        <v/>
      </c>
      <c r="B863" t="s">
        <v>457</v>
      </c>
      <c r="C863" t="str">
        <f ca="1">INDIRECT($F$742 &amp; ADDRESS(B862, 1,4  ))</f>
        <v>Environmental Study</v>
      </c>
      <c r="D863" t="str">
        <f>ADDRESS(B862, 3,4  )</f>
        <v>C68</v>
      </c>
      <c r="E863">
        <f t="shared" ca="1" si="216"/>
        <v>0</v>
      </c>
      <c r="F863" t="str">
        <f ca="1">CONCATENATE("Enter an 'Amount Last Provided to CHFA' value for '", C863, "' in cell ", D863, ".", CHAR(10))</f>
        <v xml:space="preserve">Enter an 'Amount Last Provided to CHFA' value for 'Environmental Study' in cell C68.
</v>
      </c>
      <c r="G863" s="9" t="str">
        <f t="shared" ca="1" si="215"/>
        <v/>
      </c>
    </row>
    <row r="864" spans="1:7" ht="15" customHeight="1">
      <c r="A864" t="str">
        <f ca="1">IF(E864="",F864, "")</f>
        <v/>
      </c>
      <c r="B864" s="52">
        <f>B862+1</f>
        <v>69</v>
      </c>
      <c r="C864" t="str">
        <f ca="1">INDIRECT($F$742 &amp; ADDRESS(B864, 1,4  ))</f>
        <v>Tax Credit Fees</v>
      </c>
      <c r="D864" t="str">
        <f>ADDRESS(B864, 2,4  )</f>
        <v>B69</v>
      </c>
      <c r="E864">
        <f t="shared" ca="1" si="216"/>
        <v>0</v>
      </c>
      <c r="F864" t="str">
        <f ca="1">CONCATENATE("Enter a value for '", C864, "' in cell ", D864, ".", CHAR(10))</f>
        <v xml:space="preserve">Enter a value for 'Tax Credit Fees' in cell B69.
</v>
      </c>
      <c r="G864" s="9" t="str">
        <f t="shared" ca="1" si="215"/>
        <v/>
      </c>
    </row>
    <row r="865" spans="1:7" ht="15" customHeight="1">
      <c r="A865" t="str">
        <f ca="1">IF(AND(OR(Calculations!$B$3:$B$4), E865=""), F865, "")</f>
        <v/>
      </c>
      <c r="B865" t="s">
        <v>457</v>
      </c>
      <c r="C865" t="str">
        <f ca="1">INDIRECT($F$742 &amp; ADDRESS(B864, 1,4  ))</f>
        <v>Tax Credit Fees</v>
      </c>
      <c r="D865" t="str">
        <f>ADDRESS(B864, 3,4  )</f>
        <v>C69</v>
      </c>
      <c r="E865">
        <f t="shared" ca="1" si="216"/>
        <v>0</v>
      </c>
      <c r="F865" t="str">
        <f ca="1">CONCATENATE("Enter an 'Amount Last Provided to CHFA' value for '", C865, "' in cell ", D865, ".", CHAR(10))</f>
        <v xml:space="preserve">Enter an 'Amount Last Provided to CHFA' value for 'Tax Credit Fees' in cell C69.
</v>
      </c>
      <c r="G865" s="9" t="str">
        <f t="shared" ca="1" si="215"/>
        <v/>
      </c>
    </row>
    <row r="866" spans="1:7" ht="15" customHeight="1">
      <c r="A866" t="str">
        <f ca="1">IF(E866="",F866, "")</f>
        <v/>
      </c>
      <c r="B866" s="52">
        <f>B864+1</f>
        <v>70</v>
      </c>
      <c r="C866" t="str">
        <f ca="1">INDIRECT($F$742 &amp; ADDRESS(B866, 1,4  ))</f>
        <v>Compliance Fees</v>
      </c>
      <c r="D866" t="str">
        <f>ADDRESS(B866, 2,4  )</f>
        <v>B70</v>
      </c>
      <c r="E866">
        <f t="shared" ca="1" si="216"/>
        <v>0</v>
      </c>
      <c r="F866" t="str">
        <f ca="1">CONCATENATE("Enter a value for '", C866, "' in cell ", D866, ".", CHAR(10))</f>
        <v xml:space="preserve">Enter a value for 'Compliance Fees' in cell B70.
</v>
      </c>
      <c r="G866" s="9" t="str">
        <f t="shared" ca="1" si="215"/>
        <v/>
      </c>
    </row>
    <row r="867" spans="1:7" ht="15" customHeight="1">
      <c r="A867" t="str">
        <f ca="1">IF(AND(OR(Calculations!$B$3:$B$4), E867=""), F867, "")</f>
        <v/>
      </c>
      <c r="B867" t="s">
        <v>457</v>
      </c>
      <c r="C867" t="str">
        <f ca="1">INDIRECT($F$742 &amp; ADDRESS(B866, 1,4  ))</f>
        <v>Compliance Fees</v>
      </c>
      <c r="D867" t="str">
        <f>ADDRESS(B866, 3,4  )</f>
        <v>C70</v>
      </c>
      <c r="E867">
        <f t="shared" ca="1" si="216"/>
        <v>0</v>
      </c>
      <c r="F867" t="str">
        <f ca="1">CONCATENATE("Enter an 'Amount Last Provided to CHFA' value for '", C867, "' in cell ", D867, ".", CHAR(10))</f>
        <v xml:space="preserve">Enter an 'Amount Last Provided to CHFA' value for 'Compliance Fees' in cell C70.
</v>
      </c>
      <c r="G867" s="9" t="str">
        <f t="shared" ca="1" si="215"/>
        <v/>
      </c>
    </row>
    <row r="868" spans="1:7" ht="15" customHeight="1">
      <c r="A868" t="str">
        <f ca="1">IF(E868="",F868, "")</f>
        <v/>
      </c>
      <c r="B868" s="52">
        <f>B866+1</f>
        <v>71</v>
      </c>
      <c r="C868" t="str">
        <f ca="1">INDIRECT($F$742 &amp; ADDRESS(B868, 1,4  ))</f>
        <v>Appraisal</v>
      </c>
      <c r="D868" t="str">
        <f>ADDRESS(B868, 2,4  )</f>
        <v>B71</v>
      </c>
      <c r="E868">
        <f t="shared" ca="1" si="216"/>
        <v>0</v>
      </c>
      <c r="F868" t="str">
        <f ca="1">CONCATENATE("Enter a value for '", C868, "' in cell ", D868, ".", CHAR(10))</f>
        <v xml:space="preserve">Enter a value for 'Appraisal' in cell B71.
</v>
      </c>
      <c r="G868" s="9" t="str">
        <f t="shared" ca="1" si="215"/>
        <v/>
      </c>
    </row>
    <row r="869" spans="1:7" ht="15" customHeight="1">
      <c r="A869" t="str">
        <f ca="1">IF(AND(OR(Calculations!$B$3:$B$4), E869=""), F869, "")</f>
        <v/>
      </c>
      <c r="B869" t="s">
        <v>457</v>
      </c>
      <c r="C869" t="str">
        <f ca="1">INDIRECT($F$742 &amp; ADDRESS(B868, 1,4  ))</f>
        <v>Appraisal</v>
      </c>
      <c r="D869" t="str">
        <f>ADDRESS(B868, 3,4  )</f>
        <v>C71</v>
      </c>
      <c r="E869">
        <f t="shared" ca="1" si="216"/>
        <v>0</v>
      </c>
      <c r="F869" t="str">
        <f ca="1">CONCATENATE("Enter an 'Amount Last Provided to CHFA' value for '", C869, "' in cell ", D869, ".", CHAR(10))</f>
        <v xml:space="preserve">Enter an 'Amount Last Provided to CHFA' value for 'Appraisal' in cell C71.
</v>
      </c>
      <c r="G869" s="9" t="str">
        <f t="shared" ca="1" si="215"/>
        <v/>
      </c>
    </row>
    <row r="870" spans="1:7" ht="15" customHeight="1">
      <c r="A870" t="str">
        <f ca="1">IF(E870="",F870, "")</f>
        <v/>
      </c>
      <c r="B870" s="52">
        <f>B868+1</f>
        <v>72</v>
      </c>
      <c r="C870" t="str">
        <f ca="1">INDIRECT($F$742 &amp; ADDRESS(B870, 1,4  ))</f>
        <v>Cost Certification</v>
      </c>
      <c r="D870" t="str">
        <f>ADDRESS(B870, 2,4  )</f>
        <v>B72</v>
      </c>
      <c r="E870">
        <f t="shared" ca="1" si="216"/>
        <v>0</v>
      </c>
      <c r="F870" t="str">
        <f ca="1">CONCATENATE("Enter a value for '", C870, "' in cell ", D870, ".", CHAR(10))</f>
        <v xml:space="preserve">Enter a value for 'Cost Certification' in cell B72.
</v>
      </c>
      <c r="G870" s="9" t="str">
        <f t="shared" ca="1" si="215"/>
        <v/>
      </c>
    </row>
    <row r="871" spans="1:7" ht="15" customHeight="1">
      <c r="A871" t="str">
        <f ca="1">IF(AND(OR(Calculations!$B$3:$B$4), E871=""), F871, "")</f>
        <v/>
      </c>
      <c r="B871" t="s">
        <v>457</v>
      </c>
      <c r="C871" t="str">
        <f ca="1">INDIRECT($F$742 &amp; ADDRESS(B870, 1,4  ))</f>
        <v>Cost Certification</v>
      </c>
      <c r="D871" t="str">
        <f>ADDRESS(B870, 3,4  )</f>
        <v>C72</v>
      </c>
      <c r="E871">
        <f t="shared" ca="1" si="216"/>
        <v>0</v>
      </c>
      <c r="F871" t="str">
        <f ca="1">CONCATENATE("Enter an 'Amount Last Provided to CHFA' value for '", C871, "' in cell ", D871, ".", CHAR(10))</f>
        <v xml:space="preserve">Enter an 'Amount Last Provided to CHFA' value for 'Cost Certification' in cell C72.
</v>
      </c>
      <c r="G871" s="9" t="str">
        <f t="shared" ca="1" si="215"/>
        <v/>
      </c>
    </row>
    <row r="872" spans="1:7" ht="15" customHeight="1">
      <c r="A872" t="str">
        <f ca="1">IF(E872="",F872, "")</f>
        <v/>
      </c>
      <c r="B872" s="52">
        <f>B870+1</f>
        <v>73</v>
      </c>
      <c r="C872" t="str">
        <f ca="1">INDIRECT($F$742 &amp; ADDRESS(B872, 1,4  ))</f>
        <v>Other (Specify)</v>
      </c>
      <c r="D872" t="str">
        <f>ADDRESS(B872, 2,4  )</f>
        <v>B73</v>
      </c>
      <c r="E872">
        <f t="shared" ca="1" si="216"/>
        <v>0</v>
      </c>
      <c r="F872" t="str">
        <f ca="1">CONCATENATE("Enter a value for '", C872, "' in cell ", D872, ".", CHAR(10))</f>
        <v xml:space="preserve">Enter a value for 'Other (Specify)' in cell B73.
</v>
      </c>
      <c r="G872" s="9" t="str">
        <f t="shared" ca="1" si="215"/>
        <v/>
      </c>
    </row>
    <row r="873" spans="1:7" ht="15" customHeight="1">
      <c r="A873" t="str">
        <f ca="1">IF(AND(OR(Calculations!$B$3:$B$4), E873=""), F873, "")</f>
        <v/>
      </c>
      <c r="B873" t="s">
        <v>457</v>
      </c>
      <c r="C873" t="str">
        <f ca="1">INDIRECT($F$742 &amp; ADDRESS(B872, 1,4  ))</f>
        <v>Other (Specify)</v>
      </c>
      <c r="D873" t="str">
        <f>ADDRESS(B872, 3,4  )</f>
        <v>C73</v>
      </c>
      <c r="E873">
        <f t="shared" ca="1" si="216"/>
        <v>0</v>
      </c>
      <c r="F873" t="str">
        <f ca="1">CONCATENATE("Enter an 'Amount Last Provided to CHFA' value for '", C873, "' in cell ", D873, ".", CHAR(10))</f>
        <v xml:space="preserve">Enter an 'Amount Last Provided to CHFA' value for 'Other (Specify)' in cell C73.
</v>
      </c>
      <c r="G873" s="9" t="str">
        <f t="shared" ca="1" si="215"/>
        <v/>
      </c>
    </row>
    <row r="874" spans="1:7" ht="15" customHeight="1">
      <c r="A874" t="str">
        <f ca="1">IF(AND(E874, SUM(E872:E873) &gt; 0), F874, "")</f>
        <v/>
      </c>
      <c r="C874" t="str">
        <f ca="1">INDIRECT($F$742 &amp; ADDRESS(B872, 1,4  ))</f>
        <v>Other (Specify)</v>
      </c>
      <c r="D874" t="str">
        <f>ADDRESS(B872, 1,4  )</f>
        <v>A73</v>
      </c>
      <c r="E874" t="b">
        <f ca="1">INDIRECT($F$742 &amp; D874)="Other (specify)"</f>
        <v>1</v>
      </c>
      <c r="F874" t="str">
        <f ca="1">CONCATENATE("Please specify value for '", C874, "' in cell ", D874, ".", CHAR(10))</f>
        <v xml:space="preserve">Please specify value for 'Other (Specify)' in cell A73.
</v>
      </c>
      <c r="G874" s="9" t="str">
        <f t="shared" ca="1" si="215"/>
        <v/>
      </c>
    </row>
    <row r="875" spans="1:7" ht="15" customHeight="1">
      <c r="A875" t="str">
        <f ca="1">IF(E875="",F875, "")</f>
        <v/>
      </c>
      <c r="B875" s="52">
        <f>B872+1</f>
        <v>74</v>
      </c>
      <c r="C875" t="str">
        <f ca="1">INDIRECT($F$742 &amp; ADDRESS(B875, 1,4  ))</f>
        <v>Other (Specify)</v>
      </c>
      <c r="D875" t="str">
        <f>ADDRESS(B875, 2,4  )</f>
        <v>B74</v>
      </c>
      <c r="E875">
        <f t="shared" ca="1" si="216"/>
        <v>0</v>
      </c>
      <c r="F875" t="str">
        <f ca="1">CONCATENATE("Enter a value for '", C875, "' in cell ", D875, ".", CHAR(10))</f>
        <v xml:space="preserve">Enter a value for 'Other (Specify)' in cell B74.
</v>
      </c>
      <c r="G875" s="9" t="str">
        <f t="shared" ref="G875:G906" ca="1" si="217">OFFSET(G875, -1, 0) &amp; A875</f>
        <v/>
      </c>
    </row>
    <row r="876" spans="1:7" ht="15" customHeight="1">
      <c r="A876" t="str">
        <f ca="1">IF(AND(OR(Calculations!$B$3:$B$4), E876=""), F876, "")</f>
        <v/>
      </c>
      <c r="B876" t="s">
        <v>457</v>
      </c>
      <c r="C876" t="str">
        <f ca="1">INDIRECT($F$742 &amp; ADDRESS(B875, 1,4  ))</f>
        <v>Other (Specify)</v>
      </c>
      <c r="D876" t="str">
        <f>ADDRESS(B875, 3,4  )</f>
        <v>C74</v>
      </c>
      <c r="E876">
        <f t="shared" ca="1" si="216"/>
        <v>0</v>
      </c>
      <c r="F876" t="str">
        <f ca="1">CONCATENATE("Enter an 'Amount Last Provided to CHFA' value for '", C876, "' in cell ", D876, ".", CHAR(10))</f>
        <v xml:space="preserve">Enter an 'Amount Last Provided to CHFA' value for 'Other (Specify)' in cell C74.
</v>
      </c>
      <c r="G876" s="9" t="str">
        <f t="shared" ca="1" si="217"/>
        <v/>
      </c>
    </row>
    <row r="877" spans="1:7" ht="15" customHeight="1">
      <c r="A877" t="str">
        <f ca="1">IF(AND(E877, SUM(E875:E876) &gt; 0), F877, "")</f>
        <v/>
      </c>
      <c r="C877" t="str">
        <f ca="1">INDIRECT($F$742 &amp; ADDRESS(B875, 1,4  ))</f>
        <v>Other (Specify)</v>
      </c>
      <c r="D877" t="str">
        <f>ADDRESS(B875, 1,4  )</f>
        <v>A74</v>
      </c>
      <c r="E877" t="b">
        <f ca="1">INDIRECT($F$742 &amp; D877)="Other (specify)"</f>
        <v>1</v>
      </c>
      <c r="F877" t="str">
        <f ca="1">CONCATENATE("Please specify value for '", C877, "' in cell ", D877, ".", CHAR(10))</f>
        <v xml:space="preserve">Please specify value for 'Other (Specify)' in cell A74.
</v>
      </c>
      <c r="G877" s="9" t="str">
        <f t="shared" ca="1" si="217"/>
        <v/>
      </c>
    </row>
    <row r="878" spans="1:7" ht="15" customHeight="1">
      <c r="A878" t="str">
        <f ca="1">IF(E878="",F878, "")</f>
        <v/>
      </c>
      <c r="B878" s="52">
        <f>B875+1</f>
        <v>75</v>
      </c>
      <c r="C878" t="str">
        <f ca="1">INDIRECT($F$742 &amp; ADDRESS(B878, 1,4  ))</f>
        <v>Other (Specify)</v>
      </c>
      <c r="D878" t="str">
        <f>ADDRESS(B878, 2,4  )</f>
        <v>B75</v>
      </c>
      <c r="E878">
        <f ca="1">IF(ISBLANK( INDIRECT($F$742 &amp; D878)),"", INDIRECT($F$742 &amp; D878))</f>
        <v>0</v>
      </c>
      <c r="F878" t="str">
        <f ca="1">CONCATENATE("Enter a value for '", C878, "' in cell ", D878, ".", CHAR(10))</f>
        <v xml:space="preserve">Enter a value for 'Other (Specify)' in cell B75.
</v>
      </c>
      <c r="G878" s="9" t="str">
        <f t="shared" ca="1" si="217"/>
        <v/>
      </c>
    </row>
    <row r="879" spans="1:7" ht="15" customHeight="1">
      <c r="A879" t="str">
        <f ca="1">IF(AND(OR(Calculations!$B$3:$B$4), E879=""), F879, "")</f>
        <v/>
      </c>
      <c r="B879" t="s">
        <v>457</v>
      </c>
      <c r="C879" t="str">
        <f ca="1">INDIRECT($F$742 &amp; ADDRESS(B878, 1,4  ))</f>
        <v>Other (Specify)</v>
      </c>
      <c r="D879" t="str">
        <f>ADDRESS(B878, 3,4  )</f>
        <v>C75</v>
      </c>
      <c r="E879">
        <f ca="1">IF(ISBLANK( INDIRECT($F$742 &amp; D879)),"", INDIRECT($F$742 &amp; D879))</f>
        <v>0</v>
      </c>
      <c r="F879" t="str">
        <f ca="1">CONCATENATE("Enter an 'Amount Last Provided to CHFA' value for '", C879, "' in cell ", D879, ".", CHAR(10))</f>
        <v xml:space="preserve">Enter an 'Amount Last Provided to CHFA' value for 'Other (Specify)' in cell C75.
</v>
      </c>
      <c r="G879" s="9" t="str">
        <f t="shared" ca="1" si="217"/>
        <v/>
      </c>
    </row>
    <row r="880" spans="1:7" ht="15" customHeight="1">
      <c r="A880" t="str">
        <f ca="1">IF(AND(E880, SUM(E878:E879) &gt; 0), F880, "")</f>
        <v/>
      </c>
      <c r="C880" t="str">
        <f ca="1">INDIRECT($F$742 &amp; ADDRESS(B878, 1,4  ))</f>
        <v>Other (Specify)</v>
      </c>
      <c r="D880" t="str">
        <f>ADDRESS(B878, 1,4  )</f>
        <v>A75</v>
      </c>
      <c r="E880" t="b">
        <f ca="1">INDIRECT($F$742 &amp; D880)="Other (specify)"</f>
        <v>1</v>
      </c>
      <c r="F880" t="str">
        <f ca="1">CONCATENATE("Please specify value for '", C880, "' in cell ", D880, ".", CHAR(10))</f>
        <v xml:space="preserve">Please specify value for 'Other (Specify)' in cell A75.
</v>
      </c>
      <c r="G880" s="9" t="str">
        <f t="shared" ca="1" si="217"/>
        <v/>
      </c>
    </row>
    <row r="881" spans="1:7" ht="15" customHeight="1">
      <c r="A881" t="str">
        <f ca="1">IF(E881="",F881, "")</f>
        <v/>
      </c>
      <c r="B881">
        <f>ROW('Commercial Budget'!A78)</f>
        <v>78</v>
      </c>
      <c r="C881" t="str">
        <f ca="1">INDIRECT($F$742 &amp; ADDRESS(B881, 1,4  ))</f>
        <v>Organization Costs</v>
      </c>
      <c r="D881" t="str">
        <f>ADDRESS(B881, 2,4  )</f>
        <v>B78</v>
      </c>
      <c r="E881">
        <f t="shared" ref="E881:E888" ca="1" si="218">IF(ISBLANK( INDIRECT($F$742 &amp; D881)),"", INDIRECT($F$742 &amp; D881))</f>
        <v>0</v>
      </c>
      <c r="F881" t="str">
        <f ca="1">CONCATENATE("Enter a value for '", C881, "' in cell ", D881, ".", CHAR(10))</f>
        <v xml:space="preserve">Enter a value for 'Organization Costs' in cell B78.
</v>
      </c>
      <c r="G881" s="9" t="str">
        <f t="shared" ca="1" si="217"/>
        <v/>
      </c>
    </row>
    <row r="882" spans="1:7" ht="15" customHeight="1">
      <c r="A882" t="str">
        <f ca="1">IF(AND(OR(Calculations!$B$3:$B$4), E882=""), F882, "")</f>
        <v/>
      </c>
      <c r="B882" t="s">
        <v>457</v>
      </c>
      <c r="C882" t="str">
        <f ca="1">INDIRECT($F$742 &amp; ADDRESS(B881, 1,4  ))</f>
        <v>Organization Costs</v>
      </c>
      <c r="D882" t="str">
        <f>ADDRESS(B881, 3,4  )</f>
        <v>C78</v>
      </c>
      <c r="E882">
        <f t="shared" ca="1" si="218"/>
        <v>0</v>
      </c>
      <c r="F882" t="str">
        <f ca="1">CONCATENATE("Enter an 'Amount Last Provided to CHFA' value for '", C882, "' in cell ", D882, ".", CHAR(10))</f>
        <v xml:space="preserve">Enter an 'Amount Last Provided to CHFA' value for 'Organization Costs' in cell C78.
</v>
      </c>
      <c r="G882" s="9" t="str">
        <f t="shared" ca="1" si="217"/>
        <v/>
      </c>
    </row>
    <row r="883" spans="1:7" ht="15" customHeight="1">
      <c r="A883" t="str">
        <f ca="1">IF(E883="",F883, "")</f>
        <v/>
      </c>
      <c r="B883" s="52">
        <f>B881+1</f>
        <v>79</v>
      </c>
      <c r="C883" t="str">
        <f ca="1">INDIRECT($F$742 &amp; ADDRESS(B883, 1,4  ))</f>
        <v>Bridge Loan</v>
      </c>
      <c r="D883" t="str">
        <f>ADDRESS(B883, 2,4  )</f>
        <v>B79</v>
      </c>
      <c r="E883">
        <f t="shared" ca="1" si="218"/>
        <v>0</v>
      </c>
      <c r="F883" t="str">
        <f ca="1">CONCATENATE("Enter a value for '", C883, "' in cell ", D883, ".", CHAR(10))</f>
        <v xml:space="preserve">Enter a value for 'Bridge Loan' in cell B79.
</v>
      </c>
      <c r="G883" s="9" t="str">
        <f t="shared" ca="1" si="217"/>
        <v/>
      </c>
    </row>
    <row r="884" spans="1:7" ht="15" customHeight="1">
      <c r="A884" t="str">
        <f ca="1">IF(AND(OR(Calculations!$B$3:$B$4), E884=""), F884, "")</f>
        <v/>
      </c>
      <c r="B884" t="s">
        <v>457</v>
      </c>
      <c r="C884" t="str">
        <f ca="1">INDIRECT($F$742 &amp; ADDRESS(B883, 1,4  ))</f>
        <v>Bridge Loan</v>
      </c>
      <c r="D884" t="str">
        <f>ADDRESS(B883, 3,4  )</f>
        <v>C79</v>
      </c>
      <c r="E884">
        <f t="shared" ca="1" si="218"/>
        <v>0</v>
      </c>
      <c r="F884" t="str">
        <f ca="1">CONCATENATE("Enter an 'Amount Last Provided to CHFA' value for '", C884, "' in cell ", D884, ".", CHAR(10))</f>
        <v xml:space="preserve">Enter an 'Amount Last Provided to CHFA' value for 'Bridge Loan' in cell C79.
</v>
      </c>
      <c r="G884" s="9" t="str">
        <f t="shared" ca="1" si="217"/>
        <v/>
      </c>
    </row>
    <row r="885" spans="1:7" ht="15" customHeight="1">
      <c r="A885" t="str">
        <f ca="1">IF(E885="",F885, "")</f>
        <v/>
      </c>
      <c r="B885" s="52">
        <f>B883+1</f>
        <v>80</v>
      </c>
      <c r="C885" t="str">
        <f ca="1">INDIRECT($F$742 &amp; ADDRESS(B885, 1,4  ))</f>
        <v>Tax Opinion</v>
      </c>
      <c r="D885" t="str">
        <f>ADDRESS(B885, 2,4  )</f>
        <v>B80</v>
      </c>
      <c r="E885">
        <f t="shared" ca="1" si="218"/>
        <v>0</v>
      </c>
      <c r="F885" t="str">
        <f ca="1">CONCATENATE("Enter a value for '", C885, "' in cell ", D885, ".", CHAR(10))</f>
        <v xml:space="preserve">Enter a value for 'Tax Opinion' in cell B80.
</v>
      </c>
      <c r="G885" s="9" t="str">
        <f t="shared" ca="1" si="217"/>
        <v/>
      </c>
    </row>
    <row r="886" spans="1:7" ht="15" customHeight="1">
      <c r="A886" t="str">
        <f ca="1">IF(AND(OR(Calculations!$B$3:$B$4), E886=""), F886, "")</f>
        <v/>
      </c>
      <c r="B886" t="s">
        <v>457</v>
      </c>
      <c r="C886" t="str">
        <f ca="1">INDIRECT($F$742 &amp; ADDRESS(B885, 1,4  ))</f>
        <v>Tax Opinion</v>
      </c>
      <c r="D886" t="str">
        <f>ADDRESS(B885, 3,4  )</f>
        <v>C80</v>
      </c>
      <c r="E886">
        <f t="shared" ca="1" si="218"/>
        <v>0</v>
      </c>
      <c r="F886" t="str">
        <f ca="1">CONCATENATE("Enter an 'Amount Last Provided to CHFA' value for '", C886, "' in cell ", D886, ".", CHAR(10))</f>
        <v xml:space="preserve">Enter an 'Amount Last Provided to CHFA' value for 'Tax Opinion' in cell C80.
</v>
      </c>
      <c r="G886" s="9" t="str">
        <f t="shared" ca="1" si="217"/>
        <v/>
      </c>
    </row>
    <row r="887" spans="1:7" ht="15" customHeight="1">
      <c r="A887" t="str">
        <f ca="1">IF(E887="",F887, "")</f>
        <v/>
      </c>
      <c r="B887" s="52">
        <f>B885+1</f>
        <v>81</v>
      </c>
      <c r="C887" t="str">
        <f ca="1">INDIRECT($F$742 &amp; ADDRESS(B887, 1,4  ))</f>
        <v>Other (Specify)</v>
      </c>
      <c r="D887" t="str">
        <f>ADDRESS(B887, 2,4  )</f>
        <v>B81</v>
      </c>
      <c r="E887">
        <f t="shared" ca="1" si="218"/>
        <v>0</v>
      </c>
      <c r="F887" t="str">
        <f ca="1">CONCATENATE("Enter a value for '", C887, "' in cell ", D887, ".", CHAR(10))</f>
        <v xml:space="preserve">Enter a value for 'Other (Specify)' in cell B81.
</v>
      </c>
      <c r="G887" s="9" t="str">
        <f t="shared" ca="1" si="217"/>
        <v/>
      </c>
    </row>
    <row r="888" spans="1:7" ht="15" customHeight="1">
      <c r="A888" t="str">
        <f ca="1">IF(AND(OR(Calculations!$B$3:$B$4), E888=""), F888, "")</f>
        <v/>
      </c>
      <c r="B888" t="s">
        <v>457</v>
      </c>
      <c r="C888" t="str">
        <f ca="1">INDIRECT($F$742 &amp; ADDRESS(B887, 1,4  ))</f>
        <v>Other (Specify)</v>
      </c>
      <c r="D888" t="str">
        <f>ADDRESS(B887, 3,4  )</f>
        <v>C81</v>
      </c>
      <c r="E888">
        <f t="shared" ca="1" si="218"/>
        <v>0</v>
      </c>
      <c r="F888" t="str">
        <f ca="1">CONCATENATE("Enter an 'Amount Last Provided to CHFA' value for '", C888, "' in cell ", D888, ".", CHAR(10))</f>
        <v xml:space="preserve">Enter an 'Amount Last Provided to CHFA' value for 'Other (Specify)' in cell C81.
</v>
      </c>
      <c r="G888" s="9" t="str">
        <f t="shared" ca="1" si="217"/>
        <v/>
      </c>
    </row>
    <row r="889" spans="1:7" ht="15" customHeight="1">
      <c r="A889" t="str">
        <f ca="1">IF(AND(E889, SUM(E887:E888) &gt; 0), F889, "")</f>
        <v/>
      </c>
      <c r="C889" t="str">
        <f ca="1">INDIRECT($F$742 &amp; ADDRESS(B887, 1,4  ))</f>
        <v>Other (Specify)</v>
      </c>
      <c r="D889" t="str">
        <f>ADDRESS(B887, 1,4  )</f>
        <v>A81</v>
      </c>
      <c r="E889" t="b">
        <f ca="1">INDIRECT($F$742 &amp; D889)="Other (specify)"</f>
        <v>1</v>
      </c>
      <c r="F889" t="str">
        <f ca="1">CONCATENATE("Please specify value for '", C889, "' in cell ", D889, ".", CHAR(10))</f>
        <v xml:space="preserve">Please specify value for 'Other (Specify)' in cell A81.
</v>
      </c>
      <c r="G889" s="9" t="str">
        <f t="shared" ca="1" si="217"/>
        <v/>
      </c>
    </row>
    <row r="890" spans="1:7" ht="15" customHeight="1">
      <c r="A890" t="str">
        <f ca="1">IF(E890="",F890, "")</f>
        <v/>
      </c>
      <c r="B890" s="52">
        <f>B887+1</f>
        <v>82</v>
      </c>
      <c r="C890" t="str">
        <f ca="1">INDIRECT($F$742 &amp; ADDRESS(B890, 1,4  ))</f>
        <v>Other (Specify)</v>
      </c>
      <c r="D890" t="str">
        <f>ADDRESS(B890, 2,4  )</f>
        <v>B82</v>
      </c>
      <c r="E890">
        <f ca="1">IF(ISBLANK( INDIRECT($F$742 &amp; D890)),"", INDIRECT($F$742 &amp; D890))</f>
        <v>0</v>
      </c>
      <c r="F890" t="str">
        <f ca="1">CONCATENATE("Enter a value for '", C890, "' in cell ", D890, ".", CHAR(10))</f>
        <v xml:space="preserve">Enter a value for 'Other (Specify)' in cell B82.
</v>
      </c>
      <c r="G890" s="9" t="str">
        <f t="shared" ca="1" si="217"/>
        <v/>
      </c>
    </row>
    <row r="891" spans="1:7" ht="15" customHeight="1">
      <c r="A891" t="str">
        <f ca="1">IF(AND(OR(Calculations!$B$3:$B$4), E891=""), F891, "")</f>
        <v/>
      </c>
      <c r="B891" t="s">
        <v>457</v>
      </c>
      <c r="C891" t="str">
        <f ca="1">INDIRECT($F$742 &amp; ADDRESS(B890, 1,4  ))</f>
        <v>Other (Specify)</v>
      </c>
      <c r="D891" t="str">
        <f>ADDRESS(B890, 3,4  )</f>
        <v>C82</v>
      </c>
      <c r="E891">
        <f ca="1">IF(ISBLANK( INDIRECT($F$742 &amp; D891)),"", INDIRECT($F$742 &amp; D891))</f>
        <v>0</v>
      </c>
      <c r="F891" t="str">
        <f ca="1">CONCATENATE("Enter an 'Amount Last Provided to CHFA' value for '", C891, "' in cell ", D891, ".", CHAR(10))</f>
        <v xml:space="preserve">Enter an 'Amount Last Provided to CHFA' value for 'Other (Specify)' in cell C82.
</v>
      </c>
      <c r="G891" s="9" t="str">
        <f t="shared" ca="1" si="217"/>
        <v/>
      </c>
    </row>
    <row r="892" spans="1:7" ht="15" customHeight="1">
      <c r="A892" t="str">
        <f ca="1">IF(AND(E892, SUM(E890:E891) &gt; 0), F892, "")</f>
        <v/>
      </c>
      <c r="C892" t="str">
        <f ca="1">INDIRECT($F$742 &amp; ADDRESS(B890, 1,4  ))</f>
        <v>Other (Specify)</v>
      </c>
      <c r="D892" t="str">
        <f>ADDRESS(B890, 1,4  )</f>
        <v>A82</v>
      </c>
      <c r="E892" t="b">
        <f ca="1">INDIRECT($F$742 &amp; D892)="Other (specify)"</f>
        <v>1</v>
      </c>
      <c r="F892" t="str">
        <f ca="1">CONCATENATE("Please specify value for '", C892, "' in cell ", D892, ".", CHAR(10))</f>
        <v xml:space="preserve">Please specify value for 'Other (Specify)' in cell A82.
</v>
      </c>
      <c r="G892" s="9" t="str">
        <f t="shared" ca="1" si="217"/>
        <v/>
      </c>
    </row>
    <row r="893" spans="1:7" ht="15" customHeight="1">
      <c r="A893" t="str">
        <f ca="1">IF(E893="",F893, "")</f>
        <v/>
      </c>
      <c r="B893" s="52">
        <f>B890+1</f>
        <v>83</v>
      </c>
      <c r="C893" t="str">
        <f ca="1">INDIRECT($F$742 &amp; ADDRESS(B893, 1,4  ))</f>
        <v>Other - Accounting</v>
      </c>
      <c r="D893" t="str">
        <f>ADDRESS(B893, 2,4  )</f>
        <v>B83</v>
      </c>
      <c r="E893">
        <f t="shared" ref="E893:E902" ca="1" si="219">IF(ISBLANK( INDIRECT($F$742 &amp; D893)),"", INDIRECT($F$742 &amp; D893))</f>
        <v>0</v>
      </c>
      <c r="F893" t="str">
        <f ca="1">CONCATENATE("Enter a value for '", C893, "' in cell ", D893, ".", CHAR(10))</f>
        <v xml:space="preserve">Enter a value for 'Other - Accounting' in cell B83.
</v>
      </c>
      <c r="G893" s="9" t="str">
        <f t="shared" ca="1" si="217"/>
        <v/>
      </c>
    </row>
    <row r="894" spans="1:7" ht="15" customHeight="1">
      <c r="A894" t="str">
        <f ca="1">IF(AND(OR(Calculations!$B$3:$B$4), E894=""), F894, "")</f>
        <v/>
      </c>
      <c r="B894" t="s">
        <v>457</v>
      </c>
      <c r="C894" t="str">
        <f ca="1">INDIRECT($F$742 &amp; ADDRESS(B893, 1,4  ))</f>
        <v>Other - Accounting</v>
      </c>
      <c r="D894" t="str">
        <f>ADDRESS(B893, 3,4  )</f>
        <v>C83</v>
      </c>
      <c r="E894">
        <f t="shared" ca="1" si="219"/>
        <v>0</v>
      </c>
      <c r="F894" t="str">
        <f ca="1">CONCATENATE("Enter an 'Amount Last Provided to CHFA' value for '", C894, "' in cell ", D894, ".", CHAR(10))</f>
        <v xml:space="preserve">Enter an 'Amount Last Provided to CHFA' value for 'Other - Accounting' in cell C83.
</v>
      </c>
      <c r="G894" s="9" t="str">
        <f t="shared" ca="1" si="217"/>
        <v/>
      </c>
    </row>
    <row r="895" spans="1:7" ht="15" customHeight="1">
      <c r="A895" t="str">
        <f ca="1">IF(E895="",F895, "")</f>
        <v/>
      </c>
      <c r="B895">
        <f>ROW('Commercial Budget'!A86)</f>
        <v>86</v>
      </c>
      <c r="C895" t="str">
        <f ca="1">INDIRECT($F$742 &amp; ADDRESS(B895, 1,4  ))</f>
        <v>Developer Fee</v>
      </c>
      <c r="D895" t="str">
        <f>ADDRESS(B895, 2,4  )</f>
        <v>B86</v>
      </c>
      <c r="E895">
        <f t="shared" ca="1" si="219"/>
        <v>0</v>
      </c>
      <c r="F895" t="str">
        <f ca="1">CONCATENATE("Enter a value for '", C895, "' in cell ", D895, ".", CHAR(10))</f>
        <v xml:space="preserve">Enter a value for 'Developer Fee' in cell B86.
</v>
      </c>
      <c r="G895" s="9" t="str">
        <f t="shared" ca="1" si="217"/>
        <v/>
      </c>
    </row>
    <row r="896" spans="1:7" ht="15" customHeight="1">
      <c r="A896" t="str">
        <f ca="1">IF(AND(OR(Calculations!$B$3:$B$4), E896=""), F896, "")</f>
        <v/>
      </c>
      <c r="B896" t="s">
        <v>457</v>
      </c>
      <c r="C896" t="str">
        <f ca="1">INDIRECT($F$742 &amp; ADDRESS(B895, 1,4  ))</f>
        <v>Developer Fee</v>
      </c>
      <c r="D896" t="str">
        <f>ADDRESS(B895, 3,4  )</f>
        <v>C86</v>
      </c>
      <c r="E896">
        <f t="shared" ca="1" si="219"/>
        <v>0</v>
      </c>
      <c r="F896" t="str">
        <f ca="1">CONCATENATE("Enter an 'Amount Last Provided to CHFA' value for '", C896, "' in cell ", D896, ".", CHAR(10))</f>
        <v xml:space="preserve">Enter an 'Amount Last Provided to CHFA' value for 'Developer Fee' in cell C86.
</v>
      </c>
      <c r="G896" s="9" t="str">
        <f t="shared" ca="1" si="217"/>
        <v/>
      </c>
    </row>
    <row r="897" spans="1:7" ht="15" customHeight="1">
      <c r="A897" t="str">
        <f ca="1">IF(E897="",F897, "")</f>
        <v/>
      </c>
      <c r="B897" s="52">
        <f>B895+1</f>
        <v>87</v>
      </c>
      <c r="C897" t="str">
        <f ca="1">INDIRECT($F$742 &amp; ADDRESS(B897, 1,4  ))</f>
        <v>Developer Overhead</v>
      </c>
      <c r="D897" t="str">
        <f>ADDRESS(B897, 2,4  )</f>
        <v>B87</v>
      </c>
      <c r="E897">
        <f t="shared" ca="1" si="219"/>
        <v>0</v>
      </c>
      <c r="F897" t="str">
        <f ca="1">CONCATENATE("Enter a value for '", C897, "' in cell ", D897, ".", CHAR(10))</f>
        <v xml:space="preserve">Enter a value for 'Developer Overhead' in cell B87.
</v>
      </c>
      <c r="G897" s="9" t="str">
        <f t="shared" ca="1" si="217"/>
        <v/>
      </c>
    </row>
    <row r="898" spans="1:7" ht="15" customHeight="1">
      <c r="A898" t="str">
        <f ca="1">IF(AND(OR(Calculations!$B$3:$B$4), E898=""), F898, "")</f>
        <v/>
      </c>
      <c r="B898" t="s">
        <v>457</v>
      </c>
      <c r="C898" t="str">
        <f ca="1">INDIRECT($F$742 &amp; ADDRESS(B897, 1,4  ))</f>
        <v>Developer Overhead</v>
      </c>
      <c r="D898" t="str">
        <f>ADDRESS(B897, 3,4  )</f>
        <v>C87</v>
      </c>
      <c r="E898">
        <f t="shared" ca="1" si="219"/>
        <v>0</v>
      </c>
      <c r="F898" t="str">
        <f ca="1">CONCATENATE("Enter an 'Amount Last Provided to CHFA' value for '", C898, "' in cell ", D898, ".", CHAR(10))</f>
        <v xml:space="preserve">Enter an 'Amount Last Provided to CHFA' value for 'Developer Overhead' in cell C87.
</v>
      </c>
      <c r="G898" s="9" t="str">
        <f t="shared" ca="1" si="217"/>
        <v/>
      </c>
    </row>
    <row r="899" spans="1:7" ht="15" customHeight="1">
      <c r="A899" t="str">
        <f ca="1">IF(E899="",F899, "")</f>
        <v/>
      </c>
      <c r="B899" s="52">
        <f>B897+1</f>
        <v>88</v>
      </c>
      <c r="C899" t="str">
        <f ca="1">INDIRECT($F$742 &amp; ADDRESS(B899, 1,4  ))</f>
        <v>Developer Profit</v>
      </c>
      <c r="D899" t="str">
        <f>ADDRESS(B899, 2,4  )</f>
        <v>B88</v>
      </c>
      <c r="E899">
        <f t="shared" ca="1" si="219"/>
        <v>0</v>
      </c>
      <c r="F899" t="str">
        <f ca="1">CONCATENATE("Enter a value for '", C899, "' in cell ", D899, ".", CHAR(10))</f>
        <v xml:space="preserve">Enter a value for 'Developer Profit' in cell B88.
</v>
      </c>
      <c r="G899" s="9" t="str">
        <f t="shared" ca="1" si="217"/>
        <v/>
      </c>
    </row>
    <row r="900" spans="1:7" ht="15" customHeight="1">
      <c r="A900" t="str">
        <f ca="1">IF(AND(OR(Calculations!$B$3:$B$4), E900=""), F900, "")</f>
        <v/>
      </c>
      <c r="B900" t="s">
        <v>457</v>
      </c>
      <c r="C900" t="str">
        <f ca="1">INDIRECT($F$742 &amp; ADDRESS(B899, 1,4  ))</f>
        <v>Developer Profit</v>
      </c>
      <c r="D900" t="str">
        <f>ADDRESS(B899, 3,4  )</f>
        <v>C88</v>
      </c>
      <c r="E900">
        <f t="shared" ca="1" si="219"/>
        <v>0</v>
      </c>
      <c r="F900" t="str">
        <f ca="1">CONCATENATE("Enter an 'Amount Last Provided to CHFA' value for '", C900, "' in cell ", D900, ".", CHAR(10))</f>
        <v xml:space="preserve">Enter an 'Amount Last Provided to CHFA' value for 'Developer Profit' in cell C88.
</v>
      </c>
      <c r="G900" s="9" t="str">
        <f t="shared" ca="1" si="217"/>
        <v/>
      </c>
    </row>
    <row r="901" spans="1:7" ht="15" customHeight="1">
      <c r="A901" t="str">
        <f ca="1">IF(E901="",F901, "")</f>
        <v/>
      </c>
      <c r="B901" s="52">
        <f>B899+1</f>
        <v>89</v>
      </c>
      <c r="C901" t="str">
        <f ca="1">INDIRECT($F$742 &amp; ADDRESS(B901, 1,4  ))</f>
        <v>Other (Specify)</v>
      </c>
      <c r="D901" t="str">
        <f>ADDRESS(B901, 2,4  )</f>
        <v>B89</v>
      </c>
      <c r="E901">
        <f t="shared" ca="1" si="219"/>
        <v>0</v>
      </c>
      <c r="F901" t="str">
        <f ca="1">CONCATENATE("Enter a value for '", C901, "' in cell ", D901, ".", CHAR(10))</f>
        <v xml:space="preserve">Enter a value for 'Other (Specify)' in cell B89.
</v>
      </c>
      <c r="G901" s="9" t="str">
        <f t="shared" ca="1" si="217"/>
        <v/>
      </c>
    </row>
    <row r="902" spans="1:7" ht="15" customHeight="1">
      <c r="A902" t="str">
        <f ca="1">IF(AND(OR(Calculations!$B$3:$B$4), E902=""), F902, "")</f>
        <v/>
      </c>
      <c r="B902" t="s">
        <v>457</v>
      </c>
      <c r="C902" t="str">
        <f ca="1">INDIRECT($F$742 &amp; ADDRESS(B901, 1,4  ))</f>
        <v>Other (Specify)</v>
      </c>
      <c r="D902" t="str">
        <f>ADDRESS(B901, 3,4  )</f>
        <v>C89</v>
      </c>
      <c r="E902">
        <f t="shared" ca="1" si="219"/>
        <v>0</v>
      </c>
      <c r="F902" t="str">
        <f ca="1">CONCATENATE("Enter an 'Amount Last Provided to CHFA' value for '", C902, "' in cell ", D902, ".", CHAR(10))</f>
        <v xml:space="preserve">Enter an 'Amount Last Provided to CHFA' value for 'Other (Specify)' in cell C89.
</v>
      </c>
      <c r="G902" s="9" t="str">
        <f t="shared" ca="1" si="217"/>
        <v/>
      </c>
    </row>
    <row r="903" spans="1:7" ht="15" customHeight="1">
      <c r="A903" t="str">
        <f ca="1">IF(AND(E903, SUM(E901:E902) &gt; 0), F903, "")</f>
        <v/>
      </c>
      <c r="C903" t="str">
        <f ca="1">INDIRECT($F$742 &amp; ADDRESS(B901, 1,4  ))</f>
        <v>Other (Specify)</v>
      </c>
      <c r="D903" t="str">
        <f>ADDRESS(B901, 1,4  )</f>
        <v>A89</v>
      </c>
      <c r="E903" t="b">
        <f ca="1">INDIRECT($F$742 &amp; D903)="Other (specify)"</f>
        <v>1</v>
      </c>
      <c r="F903" t="str">
        <f ca="1">CONCATENATE("Please specify value for '", C903, "' in cell ", D903, ".", CHAR(10))</f>
        <v xml:space="preserve">Please specify value for 'Other (Specify)' in cell A89.
</v>
      </c>
      <c r="G903" s="9" t="str">
        <f t="shared" ca="1" si="217"/>
        <v/>
      </c>
    </row>
    <row r="904" spans="1:7" ht="15" customHeight="1">
      <c r="A904" t="str">
        <f ca="1">IF(E904="",F904, "")</f>
        <v/>
      </c>
      <c r="B904">
        <f>ROW('Commercial Budget'!A92)</f>
        <v>92</v>
      </c>
      <c r="C904" t="str">
        <f ca="1">INDIRECT($F$742 &amp; ADDRESS(B904, 1,4  ))</f>
        <v>Rent-up Reserves</v>
      </c>
      <c r="D904" t="str">
        <f>ADDRESS(B904, 2,4  )</f>
        <v>B92</v>
      </c>
      <c r="E904">
        <f t="shared" ref="E904:E913" ca="1" si="220">IF(ISBLANK( INDIRECT($F$742 &amp; D904)),"", INDIRECT($F$742 &amp; D904))</f>
        <v>0</v>
      </c>
      <c r="F904" t="str">
        <f ca="1">CONCATENATE("Enter a value for '", C904, "' in cell ", D904, ".", CHAR(10))</f>
        <v xml:space="preserve">Enter a value for 'Rent-up Reserves' in cell B92.
</v>
      </c>
      <c r="G904" s="9" t="str">
        <f t="shared" ca="1" si="217"/>
        <v/>
      </c>
    </row>
    <row r="905" spans="1:7" ht="15" customHeight="1">
      <c r="A905" t="str">
        <f ca="1">IF(AND(OR(Calculations!$B$3:$B$4), E905=""), F905, "")</f>
        <v/>
      </c>
      <c r="B905" t="s">
        <v>457</v>
      </c>
      <c r="C905" t="str">
        <f ca="1">INDIRECT($F$742 &amp; ADDRESS(B904, 1,4  ))</f>
        <v>Rent-up Reserves</v>
      </c>
      <c r="D905" t="str">
        <f>ADDRESS(B904, 3,4  )</f>
        <v>C92</v>
      </c>
      <c r="E905">
        <f t="shared" ca="1" si="220"/>
        <v>0</v>
      </c>
      <c r="F905" t="str">
        <f ca="1">CONCATENATE("Enter an 'Amount Last Provided to CHFA' value for '", C905, "' in cell ", D905, ".", CHAR(10))</f>
        <v xml:space="preserve">Enter an 'Amount Last Provided to CHFA' value for 'Rent-up Reserves' in cell C92.
</v>
      </c>
      <c r="G905" s="9" t="str">
        <f t="shared" ca="1" si="217"/>
        <v/>
      </c>
    </row>
    <row r="906" spans="1:7" ht="15" customHeight="1">
      <c r="A906" t="str">
        <f ca="1">IF(E906="",F906, "")</f>
        <v/>
      </c>
      <c r="B906" s="52">
        <f>B904+1</f>
        <v>93</v>
      </c>
      <c r="C906" t="str">
        <f ca="1">INDIRECT($F$742 &amp; ADDRESS(B906, 1,4  ))</f>
        <v>Operating Reserves</v>
      </c>
      <c r="D906" t="str">
        <f>ADDRESS(B906, 2,4  )</f>
        <v>B93</v>
      </c>
      <c r="E906">
        <f t="shared" ca="1" si="220"/>
        <v>0</v>
      </c>
      <c r="F906" t="str">
        <f ca="1">CONCATENATE("Enter a value for '", C906, "' in cell ", D906, ".", CHAR(10))</f>
        <v xml:space="preserve">Enter a value for 'Operating Reserves' in cell B93.
</v>
      </c>
      <c r="G906" s="9" t="str">
        <f t="shared" ca="1" si="217"/>
        <v/>
      </c>
    </row>
    <row r="907" spans="1:7" ht="15" customHeight="1">
      <c r="A907" t="str">
        <f ca="1">IF(AND(OR(Calculations!$B$3:$B$4), E907=""), F907, "")</f>
        <v/>
      </c>
      <c r="B907" t="s">
        <v>457</v>
      </c>
      <c r="C907" t="str">
        <f ca="1">INDIRECT($F$742 &amp; ADDRESS(B906, 1,4  ))</f>
        <v>Operating Reserves</v>
      </c>
      <c r="D907" t="str">
        <f>ADDRESS(B906, 3,4  )</f>
        <v>C93</v>
      </c>
      <c r="E907">
        <f t="shared" ca="1" si="220"/>
        <v>0</v>
      </c>
      <c r="F907" t="str">
        <f ca="1">CONCATENATE("Enter an 'Amount Last Provided to CHFA' value for '", C907, "' in cell ", D907, ".", CHAR(10))</f>
        <v xml:space="preserve">Enter an 'Amount Last Provided to CHFA' value for 'Operating Reserves' in cell C93.
</v>
      </c>
      <c r="G907" s="9" t="str">
        <f t="shared" ref="G907:G917" ca="1" si="221">OFFSET(G907, -1, 0) &amp; A907</f>
        <v/>
      </c>
    </row>
    <row r="908" spans="1:7" ht="15" customHeight="1">
      <c r="A908" t="str">
        <f ca="1">IF(E908="",F908, "")</f>
        <v/>
      </c>
      <c r="B908" s="52">
        <f>B906+1</f>
        <v>94</v>
      </c>
      <c r="C908" t="str">
        <f ca="1">INDIRECT($F$742 &amp; ADDRESS(B908, 1,4  ))</f>
        <v>Replacement Reserves</v>
      </c>
      <c r="D908" t="str">
        <f>ADDRESS(B908, 2,4  )</f>
        <v>B94</v>
      </c>
      <c r="E908">
        <f t="shared" ca="1" si="220"/>
        <v>0</v>
      </c>
      <c r="F908" t="str">
        <f ca="1">CONCATENATE("Enter a value for '", C908, "' in cell ", D908, ".", CHAR(10))</f>
        <v xml:space="preserve">Enter a value for 'Replacement Reserves' in cell B94.
</v>
      </c>
      <c r="G908" s="9" t="str">
        <f t="shared" ca="1" si="221"/>
        <v/>
      </c>
    </row>
    <row r="909" spans="1:7" ht="15" customHeight="1">
      <c r="A909" t="str">
        <f ca="1">IF(AND(OR(Calculations!$B$3:$B$4), E909=""), F909, "")</f>
        <v/>
      </c>
      <c r="B909" t="s">
        <v>457</v>
      </c>
      <c r="C909" t="str">
        <f ca="1">INDIRECT($F$742 &amp; ADDRESS(B908, 1,4  ))</f>
        <v>Replacement Reserves</v>
      </c>
      <c r="D909" t="str">
        <f>ADDRESS(B908, 3,4  )</f>
        <v>C94</v>
      </c>
      <c r="E909">
        <f t="shared" ca="1" si="220"/>
        <v>0</v>
      </c>
      <c r="F909" t="str">
        <f ca="1">CONCATENATE("Enter an 'Amount Last Provided to CHFA' value for '", C909, "' in cell ", D909, ".", CHAR(10))</f>
        <v xml:space="preserve">Enter an 'Amount Last Provided to CHFA' value for 'Replacement Reserves' in cell C94.
</v>
      </c>
      <c r="G909" s="9" t="str">
        <f t="shared" ca="1" si="221"/>
        <v/>
      </c>
    </row>
    <row r="910" spans="1:7" ht="15" customHeight="1">
      <c r="A910" t="str">
        <f ca="1">IF(E910="",F910, "")</f>
        <v/>
      </c>
      <c r="B910" s="52">
        <f>B908+1</f>
        <v>95</v>
      </c>
      <c r="C910" t="str">
        <f ca="1">INDIRECT($F$742 &amp; ADDRESS(B910, 1,4  ))</f>
        <v>Escrows</v>
      </c>
      <c r="D910" t="str">
        <f>ADDRESS(B910, 2,4  )</f>
        <v>B95</v>
      </c>
      <c r="E910">
        <f t="shared" ca="1" si="220"/>
        <v>0</v>
      </c>
      <c r="F910" t="str">
        <f ca="1">CONCATENATE("Enter a value for '", C910, "' in cell ", D910, ".", CHAR(10))</f>
        <v xml:space="preserve">Enter a value for 'Escrows' in cell B95.
</v>
      </c>
      <c r="G910" s="9" t="str">
        <f t="shared" ca="1" si="221"/>
        <v/>
      </c>
    </row>
    <row r="911" spans="1:7" ht="15" customHeight="1">
      <c r="A911" t="str">
        <f ca="1">IF(AND(OR(Calculations!$B$3:$B$4), E911=""), F911, "")</f>
        <v/>
      </c>
      <c r="B911" t="s">
        <v>457</v>
      </c>
      <c r="C911" t="str">
        <f ca="1">INDIRECT($F$742 &amp; ADDRESS(B910, 1,4  ))</f>
        <v>Escrows</v>
      </c>
      <c r="D911" t="str">
        <f>ADDRESS(B910, 3,4  )</f>
        <v>C95</v>
      </c>
      <c r="E911">
        <f t="shared" ca="1" si="220"/>
        <v>0</v>
      </c>
      <c r="F911" t="str">
        <f ca="1">CONCATENATE("Enter an 'Amount Last Provided to CHFA' value for '", C911, "' in cell ", D911, ".", CHAR(10))</f>
        <v xml:space="preserve">Enter an 'Amount Last Provided to CHFA' value for 'Escrows' in cell C95.
</v>
      </c>
      <c r="G911" s="9" t="str">
        <f t="shared" ca="1" si="221"/>
        <v/>
      </c>
    </row>
    <row r="912" spans="1:7" ht="15" customHeight="1">
      <c r="A912" t="str">
        <f ca="1">IF(E912="",F912, "")</f>
        <v/>
      </c>
      <c r="B912" s="52">
        <f>B910+1</f>
        <v>96</v>
      </c>
      <c r="C912" t="str">
        <f ca="1">INDIRECT($F$742 &amp; ADDRESS(B912, 1,4  ))</f>
        <v>Other (Specify)</v>
      </c>
      <c r="D912" t="str">
        <f>ADDRESS(B912, 2,4  )</f>
        <v>B96</v>
      </c>
      <c r="E912">
        <f t="shared" ca="1" si="220"/>
        <v>0</v>
      </c>
      <c r="F912" t="str">
        <f ca="1">CONCATENATE("Enter a value for '", C912, "' in cell ", D912, ".", CHAR(10))</f>
        <v xml:space="preserve">Enter a value for 'Other (Specify)' in cell B96.
</v>
      </c>
      <c r="G912" s="9" t="str">
        <f t="shared" ca="1" si="221"/>
        <v/>
      </c>
    </row>
    <row r="913" spans="1:12" ht="15" customHeight="1">
      <c r="A913" t="str">
        <f ca="1">IF(AND(OR(Calculations!$B$3:$B$4), E913=""), F913, "")</f>
        <v/>
      </c>
      <c r="B913" t="s">
        <v>457</v>
      </c>
      <c r="C913" t="str">
        <f ca="1">INDIRECT($F$742 &amp; ADDRESS(B912, 1,4  ))</f>
        <v>Other (Specify)</v>
      </c>
      <c r="D913" t="str">
        <f>ADDRESS(B912, 3,4  )</f>
        <v>C96</v>
      </c>
      <c r="E913">
        <f t="shared" ca="1" si="220"/>
        <v>0</v>
      </c>
      <c r="F913" t="str">
        <f ca="1">CONCATENATE("Enter an 'Amount Last Provided to CHFA' value for '", C913, "' in cell ", D913, ".", CHAR(10))</f>
        <v xml:space="preserve">Enter an 'Amount Last Provided to CHFA' value for 'Other (Specify)' in cell C96.
</v>
      </c>
      <c r="G913" s="9" t="str">
        <f t="shared" ca="1" si="221"/>
        <v/>
      </c>
    </row>
    <row r="914" spans="1:12" ht="15" customHeight="1">
      <c r="A914" t="str">
        <f ca="1">IF(AND(E914, SUM(E912:E913) &gt; 0), F914, "")</f>
        <v/>
      </c>
      <c r="C914" t="str">
        <f ca="1">INDIRECT($F$742 &amp; ADDRESS(B912, 1,4  ))</f>
        <v>Other (Specify)</v>
      </c>
      <c r="D914" t="str">
        <f>ADDRESS(B912, 1,4  )</f>
        <v>A96</v>
      </c>
      <c r="E914" t="b">
        <f ca="1">INDIRECT($F$742 &amp; D914)="Other (specify)"</f>
        <v>1</v>
      </c>
      <c r="F914" t="str">
        <f ca="1">CONCATENATE("Please specify value for '", C914, "' in cell ", D914, ".", CHAR(10))</f>
        <v xml:space="preserve">Please specify value for 'Other (Specify)' in cell A96.
</v>
      </c>
      <c r="G914" s="9" t="str">
        <f t="shared" ca="1" si="221"/>
        <v/>
      </c>
    </row>
    <row r="915" spans="1:12" ht="15" customHeight="1">
      <c r="G915" s="9" t="str">
        <f t="shared" ca="1" si="221"/>
        <v/>
      </c>
    </row>
    <row r="916" spans="1:12" ht="15" customHeight="1">
      <c r="G916" s="9" t="str">
        <f t="shared" ca="1" si="221"/>
        <v/>
      </c>
    </row>
    <row r="917" spans="1:12" ht="15" customHeight="1">
      <c r="G917" s="9" t="str">
        <f t="shared" ca="1" si="221"/>
        <v/>
      </c>
    </row>
    <row r="918" spans="1:12" ht="15" customHeight="1">
      <c r="A918" s="55" t="s">
        <v>3696</v>
      </c>
      <c r="B918" s="53"/>
      <c r="C918" s="53"/>
      <c r="D918" s="53"/>
      <c r="E918" s="53"/>
      <c r="F918" s="53"/>
      <c r="G918" s="56" t="str">
        <f ca="1">OFFSET(G918, -1, 0)</f>
        <v/>
      </c>
    </row>
    <row r="919" spans="1:12" ht="15" customHeight="1"/>
    <row r="920" spans="1:12" ht="15" customHeight="1"/>
    <row r="921" spans="1:12" ht="15" customHeight="1">
      <c r="A921" s="22" t="s">
        <v>93</v>
      </c>
      <c r="F921" s="49" t="s">
        <v>3697</v>
      </c>
    </row>
    <row r="922" spans="1:12" ht="15" customHeight="1">
      <c r="A922" s="53" t="s">
        <v>3652</v>
      </c>
      <c r="B922" s="53" t="s">
        <v>3653</v>
      </c>
      <c r="C922" s="53" t="s">
        <v>3654</v>
      </c>
      <c r="D922" s="53" t="s">
        <v>3655</v>
      </c>
      <c r="E922" s="53" t="s">
        <v>3656</v>
      </c>
      <c r="F922" s="53" t="s">
        <v>3657</v>
      </c>
      <c r="G922" s="54" t="s">
        <v>3658</v>
      </c>
    </row>
    <row r="923" spans="1:12" ht="15" customHeight="1">
      <c r="A923" t="str">
        <f t="shared" ref="A923:A952" ca="1" si="222">IF(E923="", F923, "")</f>
        <v/>
      </c>
      <c r="B923">
        <f>ROW('Proforma, Income &amp; Expense'!A4)</f>
        <v>4</v>
      </c>
      <c r="C923" t="str">
        <f t="shared" ref="C923:C952" ca="1" si="223">INDIRECT($F$921 &amp; ADDRESS(B923, 1,4  ))</f>
        <v>Partnership/Asset Mgt. Fees</v>
      </c>
      <c r="D923" t="str">
        <f>ADDRESS($B$923, 2,4  )</f>
        <v>B4</v>
      </c>
      <c r="E923">
        <f t="shared" ref="E923:E952" ca="1" si="224">IF(ISBLANK( INDIRECT($F$921 &amp; D923)),"", INDIRECT($F$921 &amp; D923))</f>
        <v>0</v>
      </c>
      <c r="F923" t="str">
        <f t="shared" ref="F923:F952" ca="1" si="225">CONCATENATE("Enter a '", H923,"' value for '", C923, "' in cell ", D923, ".", CHAR(10))</f>
        <v xml:space="preserve">Enter a 'Year 1' value for 'Partnership/Asset Mgt. Fees' in cell B4.
</v>
      </c>
      <c r="G923" s="9" t="str">
        <f ca="1">A923</f>
        <v/>
      </c>
      <c r="H923" s="52" t="str">
        <f t="shared" ref="H923:H937" ca="1" si="226">OFFSET(INDIRECT($F$921&amp;D923), -1, 0)</f>
        <v>Year 1</v>
      </c>
    </row>
    <row r="924" spans="1:12" ht="15" customHeight="1">
      <c r="A924" t="str">
        <f t="shared" ca="1" si="222"/>
        <v/>
      </c>
      <c r="B924" s="52">
        <f t="shared" ref="B924:B937" si="227">B923</f>
        <v>4</v>
      </c>
      <c r="C924" t="str">
        <f t="shared" ca="1" si="223"/>
        <v>Partnership/Asset Mgt. Fees</v>
      </c>
      <c r="D924" t="str">
        <f>ADDRESS($B$923, 3,4  )</f>
        <v>C4</v>
      </c>
      <c r="E924">
        <f t="shared" ca="1" si="224"/>
        <v>0</v>
      </c>
      <c r="F924" t="str">
        <f t="shared" ca="1" si="225"/>
        <v xml:space="preserve">Enter a 'Year 2' value for 'Partnership/Asset Mgt. Fees' in cell C4.
</v>
      </c>
      <c r="G924" s="9" t="str">
        <f t="shared" ref="G924:G937" ca="1" si="228">OFFSET(G924, -1, 0) &amp; A924</f>
        <v/>
      </c>
      <c r="H924" s="52" t="str">
        <f t="shared" ca="1" si="226"/>
        <v>Year 2</v>
      </c>
    </row>
    <row r="925" spans="1:12" ht="15" customHeight="1">
      <c r="A925" t="str">
        <f t="shared" ca="1" si="222"/>
        <v/>
      </c>
      <c r="B925" s="52">
        <f t="shared" si="227"/>
        <v>4</v>
      </c>
      <c r="C925" t="str">
        <f t="shared" ca="1" si="223"/>
        <v>Partnership/Asset Mgt. Fees</v>
      </c>
      <c r="D925" t="str">
        <f>ADDRESS($B$923, 4,4  )</f>
        <v>D4</v>
      </c>
      <c r="E925">
        <f t="shared" ca="1" si="224"/>
        <v>0</v>
      </c>
      <c r="F925" t="str">
        <f t="shared" ca="1" si="225"/>
        <v xml:space="preserve">Enter a 'Year 3' value for 'Partnership/Asset Mgt. Fees' in cell D4.
</v>
      </c>
      <c r="G925" s="9" t="str">
        <f t="shared" ca="1" si="228"/>
        <v/>
      </c>
      <c r="H925" s="52" t="str">
        <f t="shared" ca="1" si="226"/>
        <v>Year 3</v>
      </c>
    </row>
    <row r="926" spans="1:12" ht="15" customHeight="1">
      <c r="A926" t="str">
        <f t="shared" ca="1" si="222"/>
        <v/>
      </c>
      <c r="B926" s="52">
        <f t="shared" si="227"/>
        <v>4</v>
      </c>
      <c r="C926" t="str">
        <f t="shared" ca="1" si="223"/>
        <v>Partnership/Asset Mgt. Fees</v>
      </c>
      <c r="D926" t="str">
        <f>ADDRESS($B$923, 5,4  )</f>
        <v>E4</v>
      </c>
      <c r="E926">
        <f t="shared" ca="1" si="224"/>
        <v>0</v>
      </c>
      <c r="F926" t="str">
        <f t="shared" ca="1" si="225"/>
        <v xml:space="preserve">Enter a 'Year 4' value for 'Partnership/Asset Mgt. Fees' in cell E4.
</v>
      </c>
      <c r="G926" s="9" t="str">
        <f t="shared" ca="1" si="228"/>
        <v/>
      </c>
      <c r="H926" s="52" t="str">
        <f t="shared" ca="1" si="226"/>
        <v>Year 4</v>
      </c>
    </row>
    <row r="927" spans="1:12" ht="15" customHeight="1">
      <c r="A927" t="str">
        <f t="shared" ca="1" si="222"/>
        <v/>
      </c>
      <c r="B927" s="52">
        <f t="shared" si="227"/>
        <v>4</v>
      </c>
      <c r="C927" t="str">
        <f t="shared" ca="1" si="223"/>
        <v>Partnership/Asset Mgt. Fees</v>
      </c>
      <c r="D927" t="str">
        <f>ADDRESS($B$923, 6,4  )</f>
        <v>F4</v>
      </c>
      <c r="E927">
        <f t="shared" ca="1" si="224"/>
        <v>0</v>
      </c>
      <c r="F927" t="str">
        <f t="shared" ca="1" si="225"/>
        <v xml:space="preserve">Enter a 'Year 5' value for 'Partnership/Asset Mgt. Fees' in cell F4.
</v>
      </c>
      <c r="G927" s="9" t="str">
        <f t="shared" ca="1" si="228"/>
        <v/>
      </c>
      <c r="H927" s="52" t="str">
        <f t="shared" ca="1" si="226"/>
        <v>Year 5</v>
      </c>
      <c r="L927" s="49"/>
    </row>
    <row r="928" spans="1:12" ht="15" customHeight="1">
      <c r="A928" t="str">
        <f t="shared" ca="1" si="222"/>
        <v/>
      </c>
      <c r="B928" s="52">
        <f t="shared" si="227"/>
        <v>4</v>
      </c>
      <c r="C928" t="str">
        <f t="shared" ca="1" si="223"/>
        <v>Partnership/Asset Mgt. Fees</v>
      </c>
      <c r="D928" t="str">
        <f>ADDRESS($B$923, 7,4  )</f>
        <v>G4</v>
      </c>
      <c r="E928">
        <f t="shared" ca="1" si="224"/>
        <v>0</v>
      </c>
      <c r="F928" t="str">
        <f t="shared" ca="1" si="225"/>
        <v xml:space="preserve">Enter a 'Year 6' value for 'Partnership/Asset Mgt. Fees' in cell G4.
</v>
      </c>
      <c r="G928" s="9" t="str">
        <f t="shared" ca="1" si="228"/>
        <v/>
      </c>
      <c r="H928" s="52" t="str">
        <f t="shared" ca="1" si="226"/>
        <v>Year 6</v>
      </c>
    </row>
    <row r="929" spans="1:8" ht="15" customHeight="1">
      <c r="A929" t="str">
        <f t="shared" ca="1" si="222"/>
        <v/>
      </c>
      <c r="B929" s="52">
        <f t="shared" si="227"/>
        <v>4</v>
      </c>
      <c r="C929" t="str">
        <f t="shared" ca="1" si="223"/>
        <v>Partnership/Asset Mgt. Fees</v>
      </c>
      <c r="D929" t="str">
        <f>ADDRESS($B$923, 8,4  )</f>
        <v>H4</v>
      </c>
      <c r="E929">
        <f t="shared" ca="1" si="224"/>
        <v>0</v>
      </c>
      <c r="F929" t="str">
        <f t="shared" ca="1" si="225"/>
        <v xml:space="preserve">Enter a 'Year 7' value for 'Partnership/Asset Mgt. Fees' in cell H4.
</v>
      </c>
      <c r="G929" s="9" t="str">
        <f t="shared" ca="1" si="228"/>
        <v/>
      </c>
      <c r="H929" s="52" t="str">
        <f t="shared" ca="1" si="226"/>
        <v>Year 7</v>
      </c>
    </row>
    <row r="930" spans="1:8" ht="15" customHeight="1">
      <c r="A930" t="str">
        <f t="shared" ca="1" si="222"/>
        <v/>
      </c>
      <c r="B930" s="52">
        <f t="shared" si="227"/>
        <v>4</v>
      </c>
      <c r="C930" t="str">
        <f t="shared" ca="1" si="223"/>
        <v>Partnership/Asset Mgt. Fees</v>
      </c>
      <c r="D930" t="str">
        <f>ADDRESS($B$923, 9,4  )</f>
        <v>I4</v>
      </c>
      <c r="E930">
        <f t="shared" ca="1" si="224"/>
        <v>0</v>
      </c>
      <c r="F930" t="str">
        <f t="shared" ca="1" si="225"/>
        <v xml:space="preserve">Enter a 'Year 8' value for 'Partnership/Asset Mgt. Fees' in cell I4.
</v>
      </c>
      <c r="G930" s="9" t="str">
        <f t="shared" ca="1" si="228"/>
        <v/>
      </c>
      <c r="H930" s="52" t="str">
        <f t="shared" ca="1" si="226"/>
        <v>Year 8</v>
      </c>
    </row>
    <row r="931" spans="1:8" ht="15" customHeight="1">
      <c r="A931" t="str">
        <f t="shared" ca="1" si="222"/>
        <v/>
      </c>
      <c r="B931" s="52">
        <f t="shared" si="227"/>
        <v>4</v>
      </c>
      <c r="C931" t="str">
        <f t="shared" ca="1" si="223"/>
        <v>Partnership/Asset Mgt. Fees</v>
      </c>
      <c r="D931" t="str">
        <f>ADDRESS($B$923, 10,4  )</f>
        <v>J4</v>
      </c>
      <c r="E931">
        <f t="shared" ca="1" si="224"/>
        <v>0</v>
      </c>
      <c r="F931" t="str">
        <f t="shared" ca="1" si="225"/>
        <v xml:space="preserve">Enter a 'Year 9' value for 'Partnership/Asset Mgt. Fees' in cell J4.
</v>
      </c>
      <c r="G931" s="9" t="str">
        <f t="shared" ca="1" si="228"/>
        <v/>
      </c>
      <c r="H931" s="52" t="str">
        <f t="shared" ca="1" si="226"/>
        <v>Year 9</v>
      </c>
    </row>
    <row r="932" spans="1:8" ht="15" customHeight="1">
      <c r="A932" t="str">
        <f t="shared" ca="1" si="222"/>
        <v/>
      </c>
      <c r="B932" s="52">
        <f t="shared" si="227"/>
        <v>4</v>
      </c>
      <c r="C932" t="str">
        <f t="shared" ca="1" si="223"/>
        <v>Partnership/Asset Mgt. Fees</v>
      </c>
      <c r="D932" t="str">
        <f>ADDRESS($B$923,11,4  )</f>
        <v>K4</v>
      </c>
      <c r="E932">
        <f t="shared" ca="1" si="224"/>
        <v>0</v>
      </c>
      <c r="F932" t="str">
        <f t="shared" ca="1" si="225"/>
        <v xml:space="preserve">Enter a 'Year 10' value for 'Partnership/Asset Mgt. Fees' in cell K4.
</v>
      </c>
      <c r="G932" s="9" t="str">
        <f t="shared" ca="1" si="228"/>
        <v/>
      </c>
      <c r="H932" s="52" t="str">
        <f t="shared" ca="1" si="226"/>
        <v>Year 10</v>
      </c>
    </row>
    <row r="933" spans="1:8" ht="15" customHeight="1">
      <c r="A933" t="str">
        <f t="shared" ca="1" si="222"/>
        <v/>
      </c>
      <c r="B933" s="52">
        <f t="shared" si="227"/>
        <v>4</v>
      </c>
      <c r="C933" t="str">
        <f t="shared" ca="1" si="223"/>
        <v>Partnership/Asset Mgt. Fees</v>
      </c>
      <c r="D933" t="str">
        <f>ADDRESS($B$923,12,4  )</f>
        <v>L4</v>
      </c>
      <c r="E933">
        <f t="shared" ca="1" si="224"/>
        <v>0</v>
      </c>
      <c r="F933" t="str">
        <f t="shared" ca="1" si="225"/>
        <v xml:space="preserve">Enter a 'Year 11' value for 'Partnership/Asset Mgt. Fees' in cell L4.
</v>
      </c>
      <c r="G933" s="9" t="str">
        <f t="shared" ca="1" si="228"/>
        <v/>
      </c>
      <c r="H933" s="52" t="str">
        <f t="shared" ca="1" si="226"/>
        <v>Year 11</v>
      </c>
    </row>
    <row r="934" spans="1:8" ht="15" customHeight="1">
      <c r="A934" t="str">
        <f t="shared" ca="1" si="222"/>
        <v/>
      </c>
      <c r="B934" s="52">
        <f t="shared" si="227"/>
        <v>4</v>
      </c>
      <c r="C934" t="str">
        <f t="shared" ca="1" si="223"/>
        <v>Partnership/Asset Mgt. Fees</v>
      </c>
      <c r="D934" t="str">
        <f>ADDRESS($B$923,13,4  )</f>
        <v>M4</v>
      </c>
      <c r="E934">
        <f t="shared" ca="1" si="224"/>
        <v>0</v>
      </c>
      <c r="F934" t="str">
        <f t="shared" ca="1" si="225"/>
        <v xml:space="preserve">Enter a 'Year 12' value for 'Partnership/Asset Mgt. Fees' in cell M4.
</v>
      </c>
      <c r="G934" s="9" t="str">
        <f t="shared" ca="1" si="228"/>
        <v/>
      </c>
      <c r="H934" s="52" t="str">
        <f t="shared" ca="1" si="226"/>
        <v>Year 12</v>
      </c>
    </row>
    <row r="935" spans="1:8" ht="15" customHeight="1">
      <c r="A935" t="str">
        <f t="shared" ca="1" si="222"/>
        <v/>
      </c>
      <c r="B935" s="52">
        <f t="shared" si="227"/>
        <v>4</v>
      </c>
      <c r="C935" t="str">
        <f t="shared" ca="1" si="223"/>
        <v>Partnership/Asset Mgt. Fees</v>
      </c>
      <c r="D935" t="str">
        <f>ADDRESS($B$923,14,4  )</f>
        <v>N4</v>
      </c>
      <c r="E935">
        <f t="shared" ca="1" si="224"/>
        <v>0</v>
      </c>
      <c r="F935" t="str">
        <f t="shared" ca="1" si="225"/>
        <v xml:space="preserve">Enter a 'Year 13' value for 'Partnership/Asset Mgt. Fees' in cell N4.
</v>
      </c>
      <c r="G935" s="9" t="str">
        <f t="shared" ca="1" si="228"/>
        <v/>
      </c>
      <c r="H935" s="52" t="str">
        <f t="shared" ca="1" si="226"/>
        <v>Year 13</v>
      </c>
    </row>
    <row r="936" spans="1:8" ht="15" customHeight="1">
      <c r="A936" t="str">
        <f t="shared" ca="1" si="222"/>
        <v/>
      </c>
      <c r="B936" s="52">
        <f t="shared" si="227"/>
        <v>4</v>
      </c>
      <c r="C936" t="str">
        <f t="shared" ca="1" si="223"/>
        <v>Partnership/Asset Mgt. Fees</v>
      </c>
      <c r="D936" t="str">
        <f>ADDRESS($B$923,15,4  )</f>
        <v>O4</v>
      </c>
      <c r="E936">
        <f t="shared" ca="1" si="224"/>
        <v>0</v>
      </c>
      <c r="F936" t="str">
        <f t="shared" ca="1" si="225"/>
        <v xml:space="preserve">Enter a 'Year 14' value for 'Partnership/Asset Mgt. Fees' in cell O4.
</v>
      </c>
      <c r="G936" s="9" t="str">
        <f t="shared" ca="1" si="228"/>
        <v/>
      </c>
      <c r="H936" s="52" t="str">
        <f t="shared" ca="1" si="226"/>
        <v>Year 14</v>
      </c>
    </row>
    <row r="937" spans="1:8" ht="15" customHeight="1">
      <c r="A937" t="str">
        <f t="shared" ca="1" si="222"/>
        <v/>
      </c>
      <c r="B937" s="52">
        <f t="shared" si="227"/>
        <v>4</v>
      </c>
      <c r="C937" t="str">
        <f t="shared" ca="1" si="223"/>
        <v>Partnership/Asset Mgt. Fees</v>
      </c>
      <c r="D937" t="str">
        <f>ADDRESS($B$923,16,4  )</f>
        <v>P4</v>
      </c>
      <c r="E937">
        <f t="shared" ca="1" si="224"/>
        <v>0</v>
      </c>
      <c r="F937" t="str">
        <f t="shared" ca="1" si="225"/>
        <v xml:space="preserve">Enter a 'Year 15' value for 'Partnership/Asset Mgt. Fees' in cell P4.
</v>
      </c>
      <c r="G937" s="9" t="str">
        <f t="shared" ca="1" si="228"/>
        <v/>
      </c>
      <c r="H937" s="52" t="str">
        <f t="shared" ca="1" si="226"/>
        <v>Year 15</v>
      </c>
    </row>
    <row r="938" spans="1:8" ht="15" customHeight="1">
      <c r="A938" t="str">
        <f t="shared" ca="1" si="222"/>
        <v/>
      </c>
      <c r="B938">
        <f>ROW('Proforma, Income &amp; Expense'!A5)</f>
        <v>5</v>
      </c>
      <c r="C938" t="str">
        <f t="shared" ca="1" si="223"/>
        <v>Bond Fees (if applicable)</v>
      </c>
      <c r="D938" t="str">
        <f>ADDRESS($B$923, 2,4  )</f>
        <v>B4</v>
      </c>
      <c r="E938">
        <f t="shared" ca="1" si="224"/>
        <v>0</v>
      </c>
      <c r="F938" t="str">
        <f t="shared" ca="1" si="225"/>
        <v xml:space="preserve">Enter a '5' value for 'Bond Fees (if applicable)' in cell B4.
</v>
      </c>
      <c r="G938">
        <f t="shared" ref="G938:G952" si="229">IF(K938="", L938, "")</f>
        <v>0</v>
      </c>
      <c r="H938">
        <f>ROW('Proforma, Income &amp; Expense'!G5)</f>
        <v>5</v>
      </c>
    </row>
    <row r="939" spans="1:8" ht="15" customHeight="1">
      <c r="A939" t="str">
        <f t="shared" ca="1" si="222"/>
        <v/>
      </c>
      <c r="B939" s="52">
        <f t="shared" ref="B939:B967" si="230">B938</f>
        <v>5</v>
      </c>
      <c r="C939" t="str">
        <f t="shared" ca="1" si="223"/>
        <v>Bond Fees (if applicable)</v>
      </c>
      <c r="D939" t="str">
        <f>ADDRESS($B$923, 3,4  )</f>
        <v>C4</v>
      </c>
      <c r="E939">
        <f t="shared" ca="1" si="224"/>
        <v>0</v>
      </c>
      <c r="F939" t="str">
        <f t="shared" ca="1" si="225"/>
        <v xml:space="preserve">Enter a '5' value for 'Bond Fees (if applicable)' in cell C4.
</v>
      </c>
      <c r="G939">
        <f t="shared" si="229"/>
        <v>0</v>
      </c>
      <c r="H939" s="52">
        <f t="shared" ref="H939:H967" si="231">H938</f>
        <v>5</v>
      </c>
    </row>
    <row r="940" spans="1:8" ht="15" customHeight="1">
      <c r="A940" t="str">
        <f t="shared" ca="1" si="222"/>
        <v/>
      </c>
      <c r="B940" s="52">
        <f t="shared" si="230"/>
        <v>5</v>
      </c>
      <c r="C940" t="str">
        <f t="shared" ca="1" si="223"/>
        <v>Bond Fees (if applicable)</v>
      </c>
      <c r="D940" t="str">
        <f>ADDRESS($B$923, 4,4  )</f>
        <v>D4</v>
      </c>
      <c r="E940">
        <f t="shared" ca="1" si="224"/>
        <v>0</v>
      </c>
      <c r="F940" t="str">
        <f t="shared" ca="1" si="225"/>
        <v xml:space="preserve">Enter a '5' value for 'Bond Fees (if applicable)' in cell D4.
</v>
      </c>
      <c r="G940">
        <f t="shared" si="229"/>
        <v>0</v>
      </c>
      <c r="H940" s="52">
        <f t="shared" si="231"/>
        <v>5</v>
      </c>
    </row>
    <row r="941" spans="1:8" ht="15" customHeight="1">
      <c r="A941" t="str">
        <f t="shared" ca="1" si="222"/>
        <v/>
      </c>
      <c r="B941" s="52">
        <f t="shared" si="230"/>
        <v>5</v>
      </c>
      <c r="C941" t="str">
        <f t="shared" ca="1" si="223"/>
        <v>Bond Fees (if applicable)</v>
      </c>
      <c r="D941" t="str">
        <f>ADDRESS($B$923, 5,4  )</f>
        <v>E4</v>
      </c>
      <c r="E941">
        <f t="shared" ca="1" si="224"/>
        <v>0</v>
      </c>
      <c r="F941" t="str">
        <f t="shared" ca="1" si="225"/>
        <v xml:space="preserve">Enter a '5' value for 'Bond Fees (if applicable)' in cell E4.
</v>
      </c>
      <c r="G941">
        <f t="shared" si="229"/>
        <v>0</v>
      </c>
      <c r="H941" s="52">
        <f t="shared" si="231"/>
        <v>5</v>
      </c>
    </row>
    <row r="942" spans="1:8" ht="15" customHeight="1">
      <c r="A942" t="str">
        <f t="shared" ca="1" si="222"/>
        <v/>
      </c>
      <c r="B942" s="52">
        <f t="shared" si="230"/>
        <v>5</v>
      </c>
      <c r="C942" t="str">
        <f t="shared" ca="1" si="223"/>
        <v>Bond Fees (if applicable)</v>
      </c>
      <c r="D942" t="str">
        <f>ADDRESS($B$923, 6,4  )</f>
        <v>F4</v>
      </c>
      <c r="E942">
        <f t="shared" ca="1" si="224"/>
        <v>0</v>
      </c>
      <c r="F942" t="str">
        <f t="shared" ca="1" si="225"/>
        <v xml:space="preserve">Enter a '5' value for 'Bond Fees (if applicable)' in cell F4.
</v>
      </c>
      <c r="G942">
        <f t="shared" si="229"/>
        <v>0</v>
      </c>
      <c r="H942" s="52">
        <f t="shared" si="231"/>
        <v>5</v>
      </c>
    </row>
    <row r="943" spans="1:8" ht="15" customHeight="1">
      <c r="A943" t="str">
        <f t="shared" ca="1" si="222"/>
        <v/>
      </c>
      <c r="B943" s="52">
        <f t="shared" si="230"/>
        <v>5</v>
      </c>
      <c r="C943" t="str">
        <f t="shared" ca="1" si="223"/>
        <v>Bond Fees (if applicable)</v>
      </c>
      <c r="D943" t="str">
        <f>ADDRESS($B$923, 7,4  )</f>
        <v>G4</v>
      </c>
      <c r="E943">
        <f t="shared" ca="1" si="224"/>
        <v>0</v>
      </c>
      <c r="F943" t="str">
        <f t="shared" ca="1" si="225"/>
        <v xml:space="preserve">Enter a '5' value for 'Bond Fees (if applicable)' in cell G4.
</v>
      </c>
      <c r="G943">
        <f t="shared" si="229"/>
        <v>0</v>
      </c>
      <c r="H943" s="52">
        <f t="shared" si="231"/>
        <v>5</v>
      </c>
    </row>
    <row r="944" spans="1:8" ht="15" customHeight="1">
      <c r="A944" t="str">
        <f t="shared" ca="1" si="222"/>
        <v/>
      </c>
      <c r="B944" s="52">
        <f t="shared" si="230"/>
        <v>5</v>
      </c>
      <c r="C944" t="str">
        <f t="shared" ca="1" si="223"/>
        <v>Bond Fees (if applicable)</v>
      </c>
      <c r="D944" t="str">
        <f>ADDRESS($B$923, 8,4  )</f>
        <v>H4</v>
      </c>
      <c r="E944">
        <f t="shared" ca="1" si="224"/>
        <v>0</v>
      </c>
      <c r="F944" t="str">
        <f t="shared" ca="1" si="225"/>
        <v xml:space="preserve">Enter a '5' value for 'Bond Fees (if applicable)' in cell H4.
</v>
      </c>
      <c r="G944">
        <f t="shared" si="229"/>
        <v>0</v>
      </c>
      <c r="H944" s="52">
        <f t="shared" si="231"/>
        <v>5</v>
      </c>
    </row>
    <row r="945" spans="1:8" ht="15" customHeight="1">
      <c r="A945" t="str">
        <f t="shared" ca="1" si="222"/>
        <v/>
      </c>
      <c r="B945" s="52">
        <f t="shared" si="230"/>
        <v>5</v>
      </c>
      <c r="C945" t="str">
        <f t="shared" ca="1" si="223"/>
        <v>Bond Fees (if applicable)</v>
      </c>
      <c r="D945" t="str">
        <f>ADDRESS($B$923, 9,4  )</f>
        <v>I4</v>
      </c>
      <c r="E945">
        <f t="shared" ca="1" si="224"/>
        <v>0</v>
      </c>
      <c r="F945" t="str">
        <f t="shared" ca="1" si="225"/>
        <v xml:space="preserve">Enter a '5' value for 'Bond Fees (if applicable)' in cell I4.
</v>
      </c>
      <c r="G945">
        <f t="shared" si="229"/>
        <v>0</v>
      </c>
      <c r="H945" s="52">
        <f t="shared" si="231"/>
        <v>5</v>
      </c>
    </row>
    <row r="946" spans="1:8" ht="15" customHeight="1">
      <c r="A946" t="str">
        <f t="shared" ca="1" si="222"/>
        <v/>
      </c>
      <c r="B946" s="52">
        <f t="shared" si="230"/>
        <v>5</v>
      </c>
      <c r="C946" t="str">
        <f t="shared" ca="1" si="223"/>
        <v>Bond Fees (if applicable)</v>
      </c>
      <c r="D946" t="str">
        <f>ADDRESS($B$923, 10,4  )</f>
        <v>J4</v>
      </c>
      <c r="E946">
        <f t="shared" ca="1" si="224"/>
        <v>0</v>
      </c>
      <c r="F946" t="str">
        <f t="shared" ca="1" si="225"/>
        <v xml:space="preserve">Enter a '5' value for 'Bond Fees (if applicable)' in cell J4.
</v>
      </c>
      <c r="G946">
        <f t="shared" si="229"/>
        <v>0</v>
      </c>
      <c r="H946" s="52">
        <f t="shared" si="231"/>
        <v>5</v>
      </c>
    </row>
    <row r="947" spans="1:8" ht="15" customHeight="1">
      <c r="A947" t="str">
        <f t="shared" ca="1" si="222"/>
        <v/>
      </c>
      <c r="B947" s="52">
        <f t="shared" si="230"/>
        <v>5</v>
      </c>
      <c r="C947" t="str">
        <f t="shared" ca="1" si="223"/>
        <v>Bond Fees (if applicable)</v>
      </c>
      <c r="D947" t="str">
        <f>ADDRESS($B$923,11,4  )</f>
        <v>K4</v>
      </c>
      <c r="E947">
        <f t="shared" ca="1" si="224"/>
        <v>0</v>
      </c>
      <c r="F947" t="str">
        <f t="shared" ca="1" si="225"/>
        <v xml:space="preserve">Enter a '5' value for 'Bond Fees (if applicable)' in cell K4.
</v>
      </c>
      <c r="G947">
        <f t="shared" si="229"/>
        <v>0</v>
      </c>
      <c r="H947" s="52">
        <f t="shared" si="231"/>
        <v>5</v>
      </c>
    </row>
    <row r="948" spans="1:8" ht="15" customHeight="1">
      <c r="A948" t="str">
        <f t="shared" ca="1" si="222"/>
        <v/>
      </c>
      <c r="B948" s="52">
        <f t="shared" si="230"/>
        <v>5</v>
      </c>
      <c r="C948" t="str">
        <f t="shared" ca="1" si="223"/>
        <v>Bond Fees (if applicable)</v>
      </c>
      <c r="D948" t="str">
        <f>ADDRESS($B$923,12,4  )</f>
        <v>L4</v>
      </c>
      <c r="E948">
        <f t="shared" ca="1" si="224"/>
        <v>0</v>
      </c>
      <c r="F948" t="str">
        <f t="shared" ca="1" si="225"/>
        <v xml:space="preserve">Enter a '5' value for 'Bond Fees (if applicable)' in cell L4.
</v>
      </c>
      <c r="G948">
        <f t="shared" si="229"/>
        <v>0</v>
      </c>
      <c r="H948" s="52">
        <f t="shared" si="231"/>
        <v>5</v>
      </c>
    </row>
    <row r="949" spans="1:8" ht="15" customHeight="1">
      <c r="A949" t="str">
        <f t="shared" ca="1" si="222"/>
        <v/>
      </c>
      <c r="B949" s="52">
        <f t="shared" si="230"/>
        <v>5</v>
      </c>
      <c r="C949" t="str">
        <f t="shared" ca="1" si="223"/>
        <v>Bond Fees (if applicable)</v>
      </c>
      <c r="D949" t="str">
        <f>ADDRESS($B$923,13,4  )</f>
        <v>M4</v>
      </c>
      <c r="E949">
        <f t="shared" ca="1" si="224"/>
        <v>0</v>
      </c>
      <c r="F949" t="str">
        <f t="shared" ca="1" si="225"/>
        <v xml:space="preserve">Enter a '5' value for 'Bond Fees (if applicable)' in cell M4.
</v>
      </c>
      <c r="G949">
        <f t="shared" si="229"/>
        <v>0</v>
      </c>
      <c r="H949" s="52">
        <f t="shared" si="231"/>
        <v>5</v>
      </c>
    </row>
    <row r="950" spans="1:8" ht="15" customHeight="1">
      <c r="A950" t="str">
        <f t="shared" ca="1" si="222"/>
        <v/>
      </c>
      <c r="B950" s="52">
        <f t="shared" si="230"/>
        <v>5</v>
      </c>
      <c r="C950" t="str">
        <f t="shared" ca="1" si="223"/>
        <v>Bond Fees (if applicable)</v>
      </c>
      <c r="D950" t="str">
        <f>ADDRESS($B$923,14,4  )</f>
        <v>N4</v>
      </c>
      <c r="E950">
        <f t="shared" ca="1" si="224"/>
        <v>0</v>
      </c>
      <c r="F950" t="str">
        <f t="shared" ca="1" si="225"/>
        <v xml:space="preserve">Enter a '5' value for 'Bond Fees (if applicable)' in cell N4.
</v>
      </c>
      <c r="G950">
        <f t="shared" si="229"/>
        <v>0</v>
      </c>
      <c r="H950" s="52">
        <f t="shared" si="231"/>
        <v>5</v>
      </c>
    </row>
    <row r="951" spans="1:8" ht="15" customHeight="1">
      <c r="A951" t="str">
        <f t="shared" ca="1" si="222"/>
        <v/>
      </c>
      <c r="B951" s="52">
        <f t="shared" si="230"/>
        <v>5</v>
      </c>
      <c r="C951" t="str">
        <f t="shared" ca="1" si="223"/>
        <v>Bond Fees (if applicable)</v>
      </c>
      <c r="D951" t="str">
        <f>ADDRESS($B$923,15,4  )</f>
        <v>O4</v>
      </c>
      <c r="E951">
        <f t="shared" ca="1" si="224"/>
        <v>0</v>
      </c>
      <c r="F951" t="str">
        <f t="shared" ca="1" si="225"/>
        <v xml:space="preserve">Enter a '5' value for 'Bond Fees (if applicable)' in cell O4.
</v>
      </c>
      <c r="G951">
        <f t="shared" si="229"/>
        <v>0</v>
      </c>
      <c r="H951" s="52">
        <f t="shared" si="231"/>
        <v>5</v>
      </c>
    </row>
    <row r="952" spans="1:8" ht="15" customHeight="1">
      <c r="A952" t="str">
        <f t="shared" ca="1" si="222"/>
        <v/>
      </c>
      <c r="B952" s="52">
        <f t="shared" si="230"/>
        <v>5</v>
      </c>
      <c r="C952" t="str">
        <f t="shared" ca="1" si="223"/>
        <v>Bond Fees (if applicable)</v>
      </c>
      <c r="D952" t="str">
        <f>ADDRESS($B$923,16,4  )</f>
        <v>P4</v>
      </c>
      <c r="E952">
        <f t="shared" ca="1" si="224"/>
        <v>0</v>
      </c>
      <c r="F952" t="str">
        <f t="shared" ca="1" si="225"/>
        <v xml:space="preserve">Enter a '5' value for 'Bond Fees (if applicable)' in cell P4.
</v>
      </c>
      <c r="G952">
        <f t="shared" si="229"/>
        <v>0</v>
      </c>
      <c r="H952" s="52">
        <f t="shared" si="231"/>
        <v>5</v>
      </c>
    </row>
    <row r="953" spans="1:8" ht="15" customHeight="1">
      <c r="A953" t="str">
        <f t="shared" ref="A953:A967" ca="1" si="232">IF(E953="", F953, "")</f>
        <v/>
      </c>
      <c r="B953">
        <f>ROW('Proforma, Income &amp; Expense'!A6)</f>
        <v>6</v>
      </c>
      <c r="C953" t="str">
        <f t="shared" ref="C953:C967" ca="1" si="233">INDIRECT($F$921 &amp; ADDRESS(B953, 1,4  ))</f>
        <v>Deferred Developer Fee Repayment*</v>
      </c>
      <c r="D953" t="str">
        <f>ADDRESS($B$923, 2,4  )</f>
        <v>B4</v>
      </c>
      <c r="E953">
        <f t="shared" ref="E953:E967" ca="1" si="234">IF(ISBLANK( INDIRECT($F$921 &amp; D953)),"", INDIRECT($F$921 &amp; D953))</f>
        <v>0</v>
      </c>
      <c r="F953" t="str">
        <f t="shared" ref="F953:F967" ca="1" si="235">CONCATENATE("Enter a '", H953,"' value for '", C953, "' in cell ", D953, ".", CHAR(10))</f>
        <v xml:space="preserve">Enter a '20' value for 'Deferred Developer Fee Repayment*' in cell B4.
</v>
      </c>
      <c r="G953">
        <f t="shared" ref="G953:G967" si="236">IF(K953="", L953, "")</f>
        <v>0</v>
      </c>
      <c r="H953">
        <f>ROW('Proforma, Income &amp; Expense'!G20)</f>
        <v>20</v>
      </c>
    </row>
    <row r="954" spans="1:8" ht="15" customHeight="1">
      <c r="A954" t="str">
        <f t="shared" ca="1" si="232"/>
        <v/>
      </c>
      <c r="B954" s="52">
        <f t="shared" si="230"/>
        <v>6</v>
      </c>
      <c r="C954" t="str">
        <f t="shared" ca="1" si="233"/>
        <v>Deferred Developer Fee Repayment*</v>
      </c>
      <c r="D954" t="str">
        <f>ADDRESS($B$923, 3,4  )</f>
        <v>C4</v>
      </c>
      <c r="E954">
        <f t="shared" ca="1" si="234"/>
        <v>0</v>
      </c>
      <c r="F954" t="str">
        <f t="shared" ca="1" si="235"/>
        <v xml:space="preserve">Enter a '20' value for 'Deferred Developer Fee Repayment*' in cell C4.
</v>
      </c>
      <c r="G954">
        <f t="shared" si="236"/>
        <v>0</v>
      </c>
      <c r="H954" s="52">
        <f t="shared" si="231"/>
        <v>20</v>
      </c>
    </row>
    <row r="955" spans="1:8" ht="15" customHeight="1">
      <c r="A955" t="str">
        <f t="shared" ca="1" si="232"/>
        <v/>
      </c>
      <c r="B955" s="52">
        <f t="shared" si="230"/>
        <v>6</v>
      </c>
      <c r="C955" t="str">
        <f t="shared" ca="1" si="233"/>
        <v>Deferred Developer Fee Repayment*</v>
      </c>
      <c r="D955" t="str">
        <f>ADDRESS($B$923, 4,4  )</f>
        <v>D4</v>
      </c>
      <c r="E955">
        <f t="shared" ca="1" si="234"/>
        <v>0</v>
      </c>
      <c r="F955" t="str">
        <f t="shared" ca="1" si="235"/>
        <v xml:space="preserve">Enter a '20' value for 'Deferred Developer Fee Repayment*' in cell D4.
</v>
      </c>
      <c r="G955">
        <f t="shared" si="236"/>
        <v>0</v>
      </c>
      <c r="H955" s="52">
        <f t="shared" si="231"/>
        <v>20</v>
      </c>
    </row>
    <row r="956" spans="1:8" ht="15" customHeight="1">
      <c r="A956" t="str">
        <f t="shared" ca="1" si="232"/>
        <v/>
      </c>
      <c r="B956" s="52">
        <f t="shared" si="230"/>
        <v>6</v>
      </c>
      <c r="C956" t="str">
        <f t="shared" ca="1" si="233"/>
        <v>Deferred Developer Fee Repayment*</v>
      </c>
      <c r="D956" t="str">
        <f>ADDRESS($B$923, 5,4  )</f>
        <v>E4</v>
      </c>
      <c r="E956">
        <f t="shared" ca="1" si="234"/>
        <v>0</v>
      </c>
      <c r="F956" t="str">
        <f t="shared" ca="1" si="235"/>
        <v xml:space="preserve">Enter a '20' value for 'Deferred Developer Fee Repayment*' in cell E4.
</v>
      </c>
      <c r="G956">
        <f t="shared" si="236"/>
        <v>0</v>
      </c>
      <c r="H956" s="52">
        <f t="shared" si="231"/>
        <v>20</v>
      </c>
    </row>
    <row r="957" spans="1:8" ht="15" customHeight="1">
      <c r="A957" t="str">
        <f t="shared" ca="1" si="232"/>
        <v/>
      </c>
      <c r="B957" s="52">
        <f t="shared" si="230"/>
        <v>6</v>
      </c>
      <c r="C957" t="str">
        <f t="shared" ca="1" si="233"/>
        <v>Deferred Developer Fee Repayment*</v>
      </c>
      <c r="D957" t="str">
        <f>ADDRESS($B$923, 6,4  )</f>
        <v>F4</v>
      </c>
      <c r="E957">
        <f t="shared" ca="1" si="234"/>
        <v>0</v>
      </c>
      <c r="F957" t="str">
        <f t="shared" ca="1" si="235"/>
        <v xml:space="preserve">Enter a '20' value for 'Deferred Developer Fee Repayment*' in cell F4.
</v>
      </c>
      <c r="G957">
        <f t="shared" si="236"/>
        <v>0</v>
      </c>
      <c r="H957" s="52">
        <f t="shared" si="231"/>
        <v>20</v>
      </c>
    </row>
    <row r="958" spans="1:8" ht="15" customHeight="1">
      <c r="A958" t="str">
        <f t="shared" ca="1" si="232"/>
        <v/>
      </c>
      <c r="B958" s="52">
        <f t="shared" si="230"/>
        <v>6</v>
      </c>
      <c r="C958" t="str">
        <f t="shared" ca="1" si="233"/>
        <v>Deferred Developer Fee Repayment*</v>
      </c>
      <c r="D958" t="str">
        <f>ADDRESS($B$923, 7,4  )</f>
        <v>G4</v>
      </c>
      <c r="E958">
        <f t="shared" ca="1" si="234"/>
        <v>0</v>
      </c>
      <c r="F958" t="str">
        <f t="shared" ca="1" si="235"/>
        <v xml:space="preserve">Enter a '20' value for 'Deferred Developer Fee Repayment*' in cell G4.
</v>
      </c>
      <c r="G958">
        <f t="shared" si="236"/>
        <v>0</v>
      </c>
      <c r="H958" s="52">
        <f t="shared" si="231"/>
        <v>20</v>
      </c>
    </row>
    <row r="959" spans="1:8" ht="15" customHeight="1">
      <c r="A959" t="str">
        <f t="shared" ca="1" si="232"/>
        <v/>
      </c>
      <c r="B959" s="52">
        <f t="shared" si="230"/>
        <v>6</v>
      </c>
      <c r="C959" t="str">
        <f t="shared" ca="1" si="233"/>
        <v>Deferred Developer Fee Repayment*</v>
      </c>
      <c r="D959" t="str">
        <f>ADDRESS($B$923, 8,4  )</f>
        <v>H4</v>
      </c>
      <c r="E959">
        <f t="shared" ca="1" si="234"/>
        <v>0</v>
      </c>
      <c r="F959" t="str">
        <f t="shared" ca="1" si="235"/>
        <v xml:space="preserve">Enter a '20' value for 'Deferred Developer Fee Repayment*' in cell H4.
</v>
      </c>
      <c r="G959">
        <f t="shared" si="236"/>
        <v>0</v>
      </c>
      <c r="H959" s="52">
        <f t="shared" si="231"/>
        <v>20</v>
      </c>
    </row>
    <row r="960" spans="1:8" ht="15" customHeight="1">
      <c r="A960" t="str">
        <f t="shared" ca="1" si="232"/>
        <v/>
      </c>
      <c r="B960" s="52">
        <f t="shared" si="230"/>
        <v>6</v>
      </c>
      <c r="C960" t="str">
        <f t="shared" ca="1" si="233"/>
        <v>Deferred Developer Fee Repayment*</v>
      </c>
      <c r="D960" t="str">
        <f>ADDRESS($B$923, 9,4  )</f>
        <v>I4</v>
      </c>
      <c r="E960">
        <f t="shared" ca="1" si="234"/>
        <v>0</v>
      </c>
      <c r="F960" t="str">
        <f t="shared" ca="1" si="235"/>
        <v xml:space="preserve">Enter a '20' value for 'Deferred Developer Fee Repayment*' in cell I4.
</v>
      </c>
      <c r="G960">
        <f t="shared" si="236"/>
        <v>0</v>
      </c>
      <c r="H960" s="52">
        <f t="shared" si="231"/>
        <v>20</v>
      </c>
    </row>
    <row r="961" spans="1:8" ht="15" customHeight="1">
      <c r="A961" t="str">
        <f t="shared" ca="1" si="232"/>
        <v/>
      </c>
      <c r="B961" s="52">
        <f t="shared" si="230"/>
        <v>6</v>
      </c>
      <c r="C961" t="str">
        <f t="shared" ca="1" si="233"/>
        <v>Deferred Developer Fee Repayment*</v>
      </c>
      <c r="D961" t="str">
        <f>ADDRESS($B$923, 10,4  )</f>
        <v>J4</v>
      </c>
      <c r="E961">
        <f t="shared" ca="1" si="234"/>
        <v>0</v>
      </c>
      <c r="F961" t="str">
        <f t="shared" ca="1" si="235"/>
        <v xml:space="preserve">Enter a '20' value for 'Deferred Developer Fee Repayment*' in cell J4.
</v>
      </c>
      <c r="G961">
        <f t="shared" si="236"/>
        <v>0</v>
      </c>
      <c r="H961" s="52">
        <f t="shared" si="231"/>
        <v>20</v>
      </c>
    </row>
    <row r="962" spans="1:8" ht="15" customHeight="1">
      <c r="A962" t="str">
        <f t="shared" ca="1" si="232"/>
        <v/>
      </c>
      <c r="B962" s="52">
        <f t="shared" si="230"/>
        <v>6</v>
      </c>
      <c r="C962" t="str">
        <f t="shared" ca="1" si="233"/>
        <v>Deferred Developer Fee Repayment*</v>
      </c>
      <c r="D962" t="str">
        <f>ADDRESS($B$923,11,4  )</f>
        <v>K4</v>
      </c>
      <c r="E962">
        <f t="shared" ca="1" si="234"/>
        <v>0</v>
      </c>
      <c r="F962" t="str">
        <f t="shared" ca="1" si="235"/>
        <v xml:space="preserve">Enter a '20' value for 'Deferred Developer Fee Repayment*' in cell K4.
</v>
      </c>
      <c r="G962">
        <f t="shared" si="236"/>
        <v>0</v>
      </c>
      <c r="H962" s="52">
        <f t="shared" si="231"/>
        <v>20</v>
      </c>
    </row>
    <row r="963" spans="1:8" ht="15" customHeight="1">
      <c r="A963" t="str">
        <f t="shared" ca="1" si="232"/>
        <v/>
      </c>
      <c r="B963" s="52">
        <f t="shared" si="230"/>
        <v>6</v>
      </c>
      <c r="C963" t="str">
        <f t="shared" ca="1" si="233"/>
        <v>Deferred Developer Fee Repayment*</v>
      </c>
      <c r="D963" t="str">
        <f>ADDRESS($B$923,12,4  )</f>
        <v>L4</v>
      </c>
      <c r="E963">
        <f t="shared" ca="1" si="234"/>
        <v>0</v>
      </c>
      <c r="F963" t="str">
        <f t="shared" ca="1" si="235"/>
        <v xml:space="preserve">Enter a '20' value for 'Deferred Developer Fee Repayment*' in cell L4.
</v>
      </c>
      <c r="G963">
        <f t="shared" si="236"/>
        <v>0</v>
      </c>
      <c r="H963" s="52">
        <f t="shared" si="231"/>
        <v>20</v>
      </c>
    </row>
    <row r="964" spans="1:8" ht="15" customHeight="1">
      <c r="A964" t="str">
        <f t="shared" ca="1" si="232"/>
        <v/>
      </c>
      <c r="B964" s="52">
        <f t="shared" si="230"/>
        <v>6</v>
      </c>
      <c r="C964" t="str">
        <f t="shared" ca="1" si="233"/>
        <v>Deferred Developer Fee Repayment*</v>
      </c>
      <c r="D964" t="str">
        <f>ADDRESS($B$923,13,4  )</f>
        <v>M4</v>
      </c>
      <c r="E964">
        <f t="shared" ca="1" si="234"/>
        <v>0</v>
      </c>
      <c r="F964" t="str">
        <f t="shared" ca="1" si="235"/>
        <v xml:space="preserve">Enter a '20' value for 'Deferred Developer Fee Repayment*' in cell M4.
</v>
      </c>
      <c r="G964">
        <f t="shared" si="236"/>
        <v>0</v>
      </c>
      <c r="H964" s="52">
        <f t="shared" si="231"/>
        <v>20</v>
      </c>
    </row>
    <row r="965" spans="1:8" ht="15" customHeight="1">
      <c r="A965" t="str">
        <f t="shared" ca="1" si="232"/>
        <v/>
      </c>
      <c r="B965" s="52">
        <f t="shared" si="230"/>
        <v>6</v>
      </c>
      <c r="C965" t="str">
        <f t="shared" ca="1" si="233"/>
        <v>Deferred Developer Fee Repayment*</v>
      </c>
      <c r="D965" t="str">
        <f>ADDRESS($B$923,14,4  )</f>
        <v>N4</v>
      </c>
      <c r="E965">
        <f t="shared" ca="1" si="234"/>
        <v>0</v>
      </c>
      <c r="F965" t="str">
        <f t="shared" ca="1" si="235"/>
        <v xml:space="preserve">Enter a '20' value for 'Deferred Developer Fee Repayment*' in cell N4.
</v>
      </c>
      <c r="G965">
        <f t="shared" si="236"/>
        <v>0</v>
      </c>
      <c r="H965" s="52">
        <f t="shared" si="231"/>
        <v>20</v>
      </c>
    </row>
    <row r="966" spans="1:8" ht="15" customHeight="1">
      <c r="A966" t="str">
        <f t="shared" ca="1" si="232"/>
        <v/>
      </c>
      <c r="B966" s="52">
        <f t="shared" si="230"/>
        <v>6</v>
      </c>
      <c r="C966" t="str">
        <f t="shared" ca="1" si="233"/>
        <v>Deferred Developer Fee Repayment*</v>
      </c>
      <c r="D966" t="str">
        <f>ADDRESS($B$923,15,4  )</f>
        <v>O4</v>
      </c>
      <c r="E966">
        <f t="shared" ca="1" si="234"/>
        <v>0</v>
      </c>
      <c r="F966" t="str">
        <f t="shared" ca="1" si="235"/>
        <v xml:space="preserve">Enter a '20' value for 'Deferred Developer Fee Repayment*' in cell O4.
</v>
      </c>
      <c r="G966">
        <f t="shared" si="236"/>
        <v>0</v>
      </c>
      <c r="H966" s="52">
        <f t="shared" si="231"/>
        <v>20</v>
      </c>
    </row>
    <row r="967" spans="1:8" ht="15" customHeight="1">
      <c r="A967" t="str">
        <f t="shared" ca="1" si="232"/>
        <v/>
      </c>
      <c r="B967" s="52">
        <f t="shared" si="230"/>
        <v>6</v>
      </c>
      <c r="C967" t="str">
        <f t="shared" ca="1" si="233"/>
        <v>Deferred Developer Fee Repayment*</v>
      </c>
      <c r="D967" t="str">
        <f>ADDRESS($B$923,16,4  )</f>
        <v>P4</v>
      </c>
      <c r="E967">
        <f t="shared" ca="1" si="234"/>
        <v>0</v>
      </c>
      <c r="F967" t="str">
        <f t="shared" ca="1" si="235"/>
        <v xml:space="preserve">Enter a '20' value for 'Deferred Developer Fee Repayment*' in cell P4.
</v>
      </c>
      <c r="G967">
        <f t="shared" si="236"/>
        <v>0</v>
      </c>
      <c r="H967" s="52">
        <f t="shared" si="231"/>
        <v>20</v>
      </c>
    </row>
    <row r="968" spans="1:8" ht="15" customHeight="1">
      <c r="A968" t="str">
        <f t="shared" ref="A968:A982" ca="1" si="237">IF(E968="", F968, "")</f>
        <v/>
      </c>
      <c r="B968">
        <f>ROW('Proforma, Income &amp; Expense'!A7)</f>
        <v>7</v>
      </c>
      <c r="C968" t="str">
        <f t="shared" ref="C968:C986" ca="1" si="238">INDIRECT($F$921 &amp; ADDRESS(B968, 1,4  ))</f>
        <v>Other (Specify)</v>
      </c>
      <c r="D968" t="str">
        <f>ADDRESS($B$923, 2,4  )</f>
        <v>B4</v>
      </c>
      <c r="E968">
        <f t="shared" ref="E968:E986" ca="1" si="239">IF(ISBLANK( INDIRECT($F$921 &amp; D968)),"", INDIRECT($F$921 &amp; D968))</f>
        <v>0</v>
      </c>
      <c r="F968" t="str">
        <f t="shared" ref="F968:F982" ca="1" si="240">CONCATENATE("Enter a '", H968,"' value for '", C968, "' in cell ", D968, ".", CHAR(10))</f>
        <v xml:space="preserve">Enter a 'Year 1' value for 'Other (Specify)' in cell B4.
</v>
      </c>
      <c r="G968" s="9" t="str">
        <f t="shared" ref="G968:G987" ca="1" si="241">OFFSET(G968, -1, 0) &amp; A968</f>
        <v>0</v>
      </c>
      <c r="H968" s="52" t="str">
        <f t="shared" ref="H968:H982" ca="1" si="242">OFFSET(INDIRECT($F$921&amp;D968), -1, 0)</f>
        <v>Year 1</v>
      </c>
    </row>
    <row r="969" spans="1:8" ht="15" customHeight="1">
      <c r="A969" t="str">
        <f t="shared" ca="1" si="237"/>
        <v/>
      </c>
      <c r="B969" s="52">
        <f t="shared" ref="B969:B982" si="243">B968</f>
        <v>7</v>
      </c>
      <c r="C969" t="str">
        <f t="shared" ca="1" si="238"/>
        <v>Other (Specify)</v>
      </c>
      <c r="D969" t="str">
        <f>ADDRESS($B$923, 3,4  )</f>
        <v>C4</v>
      </c>
      <c r="E969">
        <f t="shared" ca="1" si="239"/>
        <v>0</v>
      </c>
      <c r="F969" t="str">
        <f t="shared" ca="1" si="240"/>
        <v xml:space="preserve">Enter a 'Year 2' value for 'Other (Specify)' in cell C4.
</v>
      </c>
      <c r="G969" s="9" t="str">
        <f t="shared" ca="1" si="241"/>
        <v>0</v>
      </c>
      <c r="H969" s="52" t="str">
        <f t="shared" ca="1" si="242"/>
        <v>Year 2</v>
      </c>
    </row>
    <row r="970" spans="1:8" ht="15" customHeight="1">
      <c r="A970" t="str">
        <f t="shared" ca="1" si="237"/>
        <v/>
      </c>
      <c r="B970" s="52">
        <f t="shared" si="243"/>
        <v>7</v>
      </c>
      <c r="C970" t="str">
        <f t="shared" ca="1" si="238"/>
        <v>Other (Specify)</v>
      </c>
      <c r="D970" t="str">
        <f>ADDRESS($B$923, 4,4  )</f>
        <v>D4</v>
      </c>
      <c r="E970">
        <f t="shared" ca="1" si="239"/>
        <v>0</v>
      </c>
      <c r="F970" t="str">
        <f t="shared" ca="1" si="240"/>
        <v xml:space="preserve">Enter a 'Year 3' value for 'Other (Specify)' in cell D4.
</v>
      </c>
      <c r="G970" s="9" t="str">
        <f t="shared" ca="1" si="241"/>
        <v>0</v>
      </c>
      <c r="H970" s="52" t="str">
        <f t="shared" ca="1" si="242"/>
        <v>Year 3</v>
      </c>
    </row>
    <row r="971" spans="1:8" ht="15" customHeight="1">
      <c r="A971" t="str">
        <f t="shared" ca="1" si="237"/>
        <v/>
      </c>
      <c r="B971" s="52">
        <f t="shared" si="243"/>
        <v>7</v>
      </c>
      <c r="C971" t="str">
        <f t="shared" ca="1" si="238"/>
        <v>Other (Specify)</v>
      </c>
      <c r="D971" t="str">
        <f>ADDRESS($B$923, 5,4  )</f>
        <v>E4</v>
      </c>
      <c r="E971">
        <f t="shared" ca="1" si="239"/>
        <v>0</v>
      </c>
      <c r="F971" t="str">
        <f t="shared" ca="1" si="240"/>
        <v xml:space="preserve">Enter a 'Year 4' value for 'Other (Specify)' in cell E4.
</v>
      </c>
      <c r="G971" s="9" t="str">
        <f t="shared" ca="1" si="241"/>
        <v>0</v>
      </c>
      <c r="H971" s="52" t="str">
        <f t="shared" ca="1" si="242"/>
        <v>Year 4</v>
      </c>
    </row>
    <row r="972" spans="1:8" ht="15" customHeight="1">
      <c r="A972" t="str">
        <f t="shared" ca="1" si="237"/>
        <v/>
      </c>
      <c r="B972" s="52">
        <f t="shared" si="243"/>
        <v>7</v>
      </c>
      <c r="C972" t="str">
        <f t="shared" ca="1" si="238"/>
        <v>Other (Specify)</v>
      </c>
      <c r="D972" t="str">
        <f>ADDRESS($B$923, 6,4  )</f>
        <v>F4</v>
      </c>
      <c r="E972">
        <f t="shared" ca="1" si="239"/>
        <v>0</v>
      </c>
      <c r="F972" t="str">
        <f t="shared" ca="1" si="240"/>
        <v xml:space="preserve">Enter a 'Year 5' value for 'Other (Specify)' in cell F4.
</v>
      </c>
      <c r="G972" s="9" t="str">
        <f t="shared" ca="1" si="241"/>
        <v>0</v>
      </c>
      <c r="H972" s="52" t="str">
        <f t="shared" ca="1" si="242"/>
        <v>Year 5</v>
      </c>
    </row>
    <row r="973" spans="1:8" ht="15" customHeight="1">
      <c r="A973" t="str">
        <f t="shared" ca="1" si="237"/>
        <v/>
      </c>
      <c r="B973" s="52">
        <f t="shared" si="243"/>
        <v>7</v>
      </c>
      <c r="C973" t="str">
        <f t="shared" ca="1" si="238"/>
        <v>Other (Specify)</v>
      </c>
      <c r="D973" t="str">
        <f>ADDRESS($B$923, 7,4  )</f>
        <v>G4</v>
      </c>
      <c r="E973">
        <f t="shared" ca="1" si="239"/>
        <v>0</v>
      </c>
      <c r="F973" t="str">
        <f t="shared" ca="1" si="240"/>
        <v xml:space="preserve">Enter a 'Year 6' value for 'Other (Specify)' in cell G4.
</v>
      </c>
      <c r="G973" s="9" t="str">
        <f t="shared" ca="1" si="241"/>
        <v>0</v>
      </c>
      <c r="H973" s="52" t="str">
        <f t="shared" ca="1" si="242"/>
        <v>Year 6</v>
      </c>
    </row>
    <row r="974" spans="1:8" ht="15" customHeight="1">
      <c r="A974" t="str">
        <f t="shared" ca="1" si="237"/>
        <v/>
      </c>
      <c r="B974" s="52">
        <f t="shared" si="243"/>
        <v>7</v>
      </c>
      <c r="C974" t="str">
        <f t="shared" ca="1" si="238"/>
        <v>Other (Specify)</v>
      </c>
      <c r="D974" t="str">
        <f>ADDRESS($B$923, 8,4  )</f>
        <v>H4</v>
      </c>
      <c r="E974">
        <f t="shared" ca="1" si="239"/>
        <v>0</v>
      </c>
      <c r="F974" t="str">
        <f t="shared" ca="1" si="240"/>
        <v xml:space="preserve">Enter a 'Year 7' value for 'Other (Specify)' in cell H4.
</v>
      </c>
      <c r="G974" s="9" t="str">
        <f t="shared" ca="1" si="241"/>
        <v>0</v>
      </c>
      <c r="H974" s="52" t="str">
        <f t="shared" ca="1" si="242"/>
        <v>Year 7</v>
      </c>
    </row>
    <row r="975" spans="1:8" ht="15" customHeight="1">
      <c r="A975" t="str">
        <f t="shared" ca="1" si="237"/>
        <v/>
      </c>
      <c r="B975" s="52">
        <f t="shared" si="243"/>
        <v>7</v>
      </c>
      <c r="C975" t="str">
        <f t="shared" ca="1" si="238"/>
        <v>Other (Specify)</v>
      </c>
      <c r="D975" t="str">
        <f>ADDRESS($B$923, 9,4  )</f>
        <v>I4</v>
      </c>
      <c r="E975">
        <f t="shared" ca="1" si="239"/>
        <v>0</v>
      </c>
      <c r="F975" t="str">
        <f t="shared" ca="1" si="240"/>
        <v xml:space="preserve">Enter a 'Year 8' value for 'Other (Specify)' in cell I4.
</v>
      </c>
      <c r="G975" s="9" t="str">
        <f t="shared" ca="1" si="241"/>
        <v>0</v>
      </c>
      <c r="H975" s="52" t="str">
        <f t="shared" ca="1" si="242"/>
        <v>Year 8</v>
      </c>
    </row>
    <row r="976" spans="1:8" ht="15" customHeight="1">
      <c r="A976" t="str">
        <f t="shared" ca="1" si="237"/>
        <v/>
      </c>
      <c r="B976" s="52">
        <f t="shared" si="243"/>
        <v>7</v>
      </c>
      <c r="C976" t="str">
        <f t="shared" ca="1" si="238"/>
        <v>Other (Specify)</v>
      </c>
      <c r="D976" t="str">
        <f>ADDRESS($B$923, 10,4  )</f>
        <v>J4</v>
      </c>
      <c r="E976">
        <f t="shared" ca="1" si="239"/>
        <v>0</v>
      </c>
      <c r="F976" t="str">
        <f t="shared" ca="1" si="240"/>
        <v xml:space="preserve">Enter a 'Year 9' value for 'Other (Specify)' in cell J4.
</v>
      </c>
      <c r="G976" s="9" t="str">
        <f t="shared" ca="1" si="241"/>
        <v>0</v>
      </c>
      <c r="H976" s="52" t="str">
        <f t="shared" ca="1" si="242"/>
        <v>Year 9</v>
      </c>
    </row>
    <row r="977" spans="1:8" ht="15" customHeight="1">
      <c r="A977" t="str">
        <f t="shared" ca="1" si="237"/>
        <v/>
      </c>
      <c r="B977" s="52">
        <f t="shared" si="243"/>
        <v>7</v>
      </c>
      <c r="C977" t="str">
        <f t="shared" ca="1" si="238"/>
        <v>Other (Specify)</v>
      </c>
      <c r="D977" t="str">
        <f>ADDRESS($B$923,11,4  )</f>
        <v>K4</v>
      </c>
      <c r="E977">
        <f t="shared" ca="1" si="239"/>
        <v>0</v>
      </c>
      <c r="F977" t="str">
        <f t="shared" ca="1" si="240"/>
        <v xml:space="preserve">Enter a 'Year 10' value for 'Other (Specify)' in cell K4.
</v>
      </c>
      <c r="G977" s="9" t="str">
        <f t="shared" ca="1" si="241"/>
        <v>0</v>
      </c>
      <c r="H977" s="52" t="str">
        <f t="shared" ca="1" si="242"/>
        <v>Year 10</v>
      </c>
    </row>
    <row r="978" spans="1:8" ht="15" customHeight="1">
      <c r="A978" t="str">
        <f t="shared" ca="1" si="237"/>
        <v/>
      </c>
      <c r="B978" s="52">
        <f t="shared" si="243"/>
        <v>7</v>
      </c>
      <c r="C978" t="str">
        <f t="shared" ca="1" si="238"/>
        <v>Other (Specify)</v>
      </c>
      <c r="D978" t="str">
        <f>ADDRESS($B$923,12,4  )</f>
        <v>L4</v>
      </c>
      <c r="E978">
        <f t="shared" ca="1" si="239"/>
        <v>0</v>
      </c>
      <c r="F978" t="str">
        <f t="shared" ca="1" si="240"/>
        <v xml:space="preserve">Enter a 'Year 11' value for 'Other (Specify)' in cell L4.
</v>
      </c>
      <c r="G978" s="9" t="str">
        <f t="shared" ca="1" si="241"/>
        <v>0</v>
      </c>
      <c r="H978" s="52" t="str">
        <f t="shared" ca="1" si="242"/>
        <v>Year 11</v>
      </c>
    </row>
    <row r="979" spans="1:8" ht="15" customHeight="1">
      <c r="A979" t="str">
        <f t="shared" ca="1" si="237"/>
        <v/>
      </c>
      <c r="B979" s="52">
        <f t="shared" si="243"/>
        <v>7</v>
      </c>
      <c r="C979" t="str">
        <f t="shared" ca="1" si="238"/>
        <v>Other (Specify)</v>
      </c>
      <c r="D979" t="str">
        <f>ADDRESS($B$923,13,4  )</f>
        <v>M4</v>
      </c>
      <c r="E979">
        <f t="shared" ca="1" si="239"/>
        <v>0</v>
      </c>
      <c r="F979" t="str">
        <f t="shared" ca="1" si="240"/>
        <v xml:space="preserve">Enter a 'Year 12' value for 'Other (Specify)' in cell M4.
</v>
      </c>
      <c r="G979" s="9" t="str">
        <f t="shared" ca="1" si="241"/>
        <v>0</v>
      </c>
      <c r="H979" s="52" t="str">
        <f t="shared" ca="1" si="242"/>
        <v>Year 12</v>
      </c>
    </row>
    <row r="980" spans="1:8" ht="15" customHeight="1">
      <c r="A980" t="str">
        <f t="shared" ca="1" si="237"/>
        <v/>
      </c>
      <c r="B980" s="52">
        <f t="shared" si="243"/>
        <v>7</v>
      </c>
      <c r="C980" t="str">
        <f t="shared" ca="1" si="238"/>
        <v>Other (Specify)</v>
      </c>
      <c r="D980" t="str">
        <f>ADDRESS($B$923,14,4  )</f>
        <v>N4</v>
      </c>
      <c r="E980">
        <f t="shared" ca="1" si="239"/>
        <v>0</v>
      </c>
      <c r="F980" t="str">
        <f t="shared" ca="1" si="240"/>
        <v xml:space="preserve">Enter a 'Year 13' value for 'Other (Specify)' in cell N4.
</v>
      </c>
      <c r="G980" s="9" t="str">
        <f t="shared" ca="1" si="241"/>
        <v>0</v>
      </c>
      <c r="H980" s="52" t="str">
        <f t="shared" ca="1" si="242"/>
        <v>Year 13</v>
      </c>
    </row>
    <row r="981" spans="1:8" ht="15" customHeight="1">
      <c r="A981" t="str">
        <f t="shared" ca="1" si="237"/>
        <v/>
      </c>
      <c r="B981" s="52">
        <f t="shared" si="243"/>
        <v>7</v>
      </c>
      <c r="C981" t="str">
        <f t="shared" ca="1" si="238"/>
        <v>Other (Specify)</v>
      </c>
      <c r="D981" t="str">
        <f>ADDRESS($B$923,15,4  )</f>
        <v>O4</v>
      </c>
      <c r="E981">
        <f t="shared" ca="1" si="239"/>
        <v>0</v>
      </c>
      <c r="F981" t="str">
        <f t="shared" ca="1" si="240"/>
        <v xml:space="preserve">Enter a 'Year 14' value for 'Other (Specify)' in cell O4.
</v>
      </c>
      <c r="G981" s="9" t="str">
        <f t="shared" ca="1" si="241"/>
        <v>0</v>
      </c>
      <c r="H981" s="52" t="str">
        <f t="shared" ca="1" si="242"/>
        <v>Year 14</v>
      </c>
    </row>
    <row r="982" spans="1:8" ht="15" customHeight="1">
      <c r="A982" t="str">
        <f t="shared" ca="1" si="237"/>
        <v/>
      </c>
      <c r="B982" s="52">
        <f t="shared" si="243"/>
        <v>7</v>
      </c>
      <c r="C982" t="str">
        <f t="shared" ca="1" si="238"/>
        <v>Other (Specify)</v>
      </c>
      <c r="D982" t="str">
        <f>ADDRESS($B$923,16,4  )</f>
        <v>P4</v>
      </c>
      <c r="E982">
        <f t="shared" ca="1" si="239"/>
        <v>0</v>
      </c>
      <c r="F982" t="str">
        <f t="shared" ca="1" si="240"/>
        <v xml:space="preserve">Enter a 'Year 15' value for 'Other (Specify)' in cell P4.
</v>
      </c>
      <c r="G982" s="9" t="str">
        <f t="shared" ca="1" si="241"/>
        <v>0</v>
      </c>
      <c r="H982" s="52" t="str">
        <f t="shared" ca="1" si="242"/>
        <v>Year 15</v>
      </c>
    </row>
    <row r="983" spans="1:8" ht="15" customHeight="1">
      <c r="A983" t="str">
        <f ca="1">IF(E983="",F983, "")</f>
        <v/>
      </c>
      <c r="B983">
        <f>ROW('Proforma, Income &amp; Expense'!B12)</f>
        <v>12</v>
      </c>
      <c r="C983" t="str">
        <f t="shared" ca="1" si="238"/>
        <v>Laundry Revenue</v>
      </c>
      <c r="D983" t="str">
        <f>ADDRESS(B983, 2,4  )</f>
        <v>B12</v>
      </c>
      <c r="E983">
        <f t="shared" ca="1" si="239"/>
        <v>0</v>
      </c>
      <c r="F983" t="str">
        <f ca="1">CONCATENATE("Enter a value for '", C983, "' in cell ", D983, ".", CHAR(10))</f>
        <v xml:space="preserve">Enter a value for 'Laundry Revenue' in cell B12.
</v>
      </c>
      <c r="G983" s="9" t="str">
        <f t="shared" ca="1" si="241"/>
        <v>0</v>
      </c>
    </row>
    <row r="984" spans="1:8" ht="15" customHeight="1">
      <c r="A984" t="str">
        <f ca="1">IF(AND(OR(Calculations!$B$3:$B$4), E984=""), F984, "")</f>
        <v/>
      </c>
      <c r="B984" s="52">
        <f>B983</f>
        <v>12</v>
      </c>
      <c r="C984" t="str">
        <f t="shared" ca="1" si="238"/>
        <v>Laundry Revenue</v>
      </c>
      <c r="D984" t="str">
        <f>ADDRESS(B983, 3,4  )</f>
        <v>C12</v>
      </c>
      <c r="E984">
        <f t="shared" ca="1" si="239"/>
        <v>0</v>
      </c>
      <c r="F984" t="str">
        <f ca="1">CONCATENATE("Enter an 'Amount Last Provided to CHFA' value for '", C984, "' in cell ", D984, ".", CHAR(10))</f>
        <v xml:space="preserve">Enter an 'Amount Last Provided to CHFA' value for 'Laundry Revenue' in cell C12.
</v>
      </c>
      <c r="G984" s="9" t="str">
        <f t="shared" ca="1" si="241"/>
        <v>0</v>
      </c>
    </row>
    <row r="985" spans="1:8" ht="15" customHeight="1">
      <c r="A985" t="str">
        <f ca="1">IF(E985="",F985, "")</f>
        <v/>
      </c>
      <c r="B985">
        <f>ROW('Proforma, Income &amp; Expense'!B13)</f>
        <v>13</v>
      </c>
      <c r="C985" t="str">
        <f t="shared" ca="1" si="238"/>
        <v>Parking Revenue</v>
      </c>
      <c r="D985" t="str">
        <f>ADDRESS(B985, 2,4  )</f>
        <v>B13</v>
      </c>
      <c r="E985">
        <f t="shared" ca="1" si="239"/>
        <v>0</v>
      </c>
      <c r="F985" t="str">
        <f ca="1">CONCATENATE("Enter a value for '", C985, "' in cell ", D985, ".", CHAR(10))</f>
        <v xml:space="preserve">Enter a value for 'Parking Revenue' in cell B13.
</v>
      </c>
      <c r="G985" s="9" t="str">
        <f t="shared" ca="1" si="241"/>
        <v>0</v>
      </c>
    </row>
    <row r="986" spans="1:8" ht="15" customHeight="1">
      <c r="A986" t="str">
        <f ca="1">IF(AND(OR(Calculations!$B$3:$B$4), E986=""), F986, "")</f>
        <v/>
      </c>
      <c r="B986" s="52">
        <f>B985</f>
        <v>13</v>
      </c>
      <c r="C986" t="str">
        <f t="shared" ca="1" si="238"/>
        <v>Parking Revenue</v>
      </c>
      <c r="D986" t="str">
        <f>ADDRESS(B985, 3,4  )</f>
        <v>C13</v>
      </c>
      <c r="E986">
        <f t="shared" ca="1" si="239"/>
        <v>0</v>
      </c>
      <c r="F986" t="str">
        <f ca="1">CONCATENATE("Enter an 'Amount Last Provided to CHFA' value for '", C986, "' in cell ", D986, ".", CHAR(10))</f>
        <v xml:space="preserve">Enter an 'Amount Last Provided to CHFA' value for 'Parking Revenue' in cell C13.
</v>
      </c>
      <c r="G986" s="9" t="str">
        <f t="shared" ca="1" si="241"/>
        <v>0</v>
      </c>
    </row>
    <row r="987" spans="1:8" ht="15" customHeight="1">
      <c r="A987" t="str">
        <f ca="1">IF(E987="",F987, "")</f>
        <v/>
      </c>
      <c r="B987">
        <f>ROW('Proforma, Income &amp; Expense'!B14)</f>
        <v>14</v>
      </c>
      <c r="C987" t="str">
        <f t="shared" ref="C987:C988" ca="1" si="244">INDIRECT($F$921 &amp; ADDRESS(B987, 1,4  ))</f>
        <v>Other (Specify)</v>
      </c>
      <c r="D987" t="str">
        <f>ADDRESS(B987, 2,4  )</f>
        <v>B14</v>
      </c>
      <c r="E987">
        <f t="shared" ref="E987:E988" ca="1" si="245">IF(ISBLANK( INDIRECT($F$921 &amp; D987)),"", INDIRECT($F$921 &amp; D987))</f>
        <v>0</v>
      </c>
      <c r="F987" t="str">
        <f ca="1">CONCATENATE("Enter a value for '", C987, "' in cell ", D987, ".", CHAR(10))</f>
        <v xml:space="preserve">Enter a value for 'Other (Specify)' in cell B14.
</v>
      </c>
      <c r="G987" s="9" t="str">
        <f t="shared" ca="1" si="241"/>
        <v>0</v>
      </c>
    </row>
    <row r="988" spans="1:8" ht="15" customHeight="1">
      <c r="A988" t="str">
        <f ca="1">IF(AND(OR(Calculations!$B$3:$B$4), E988=""), F988, "")</f>
        <v/>
      </c>
      <c r="B988" s="52">
        <f>B987</f>
        <v>14</v>
      </c>
      <c r="C988" t="str">
        <f t="shared" ca="1" si="244"/>
        <v>Other (Specify)</v>
      </c>
      <c r="D988" t="str">
        <f>ADDRESS(B987, 3,4  )</f>
        <v>C14</v>
      </c>
      <c r="E988">
        <f t="shared" ca="1" si="245"/>
        <v>0</v>
      </c>
      <c r="F988" t="str">
        <f ca="1">CONCATENATE("Enter an 'Amount Last Provided to CHFA' value for '", C988, "' in cell ", D988, ".", CHAR(10))</f>
        <v xml:space="preserve">Enter an 'Amount Last Provided to CHFA' value for 'Other (Specify)' in cell C14.
</v>
      </c>
      <c r="G988" s="9" t="str">
        <f t="shared" ref="G988:G1019" ca="1" si="246">OFFSET(G988, -1, 0) &amp; A988</f>
        <v>0</v>
      </c>
    </row>
    <row r="989" spans="1:8" ht="15" customHeight="1">
      <c r="A989" t="str">
        <f ca="1">IF(AND(E989, SUM(E987:E988) &gt; 0), F989, "")</f>
        <v/>
      </c>
      <c r="C989" t="str">
        <f ca="1">INDIRECT($F$921 &amp; ADDRESS(B987, 1,4  ))</f>
        <v>Other (Specify)</v>
      </c>
      <c r="D989" t="str">
        <f>ADDRESS(B987, 1,4  )</f>
        <v>A14</v>
      </c>
      <c r="E989" t="b">
        <f ca="1">INDIRECT($F$921 &amp; D989)="Other (specify)"</f>
        <v>1</v>
      </c>
      <c r="F989" t="str">
        <f ca="1">CONCATENATE("Please specify value for '", C989, "' in cell ", D989, ".", CHAR(10))</f>
        <v xml:space="preserve">Please specify value for 'Other (Specify)' in cell A14.
</v>
      </c>
      <c r="G989" s="9" t="str">
        <f t="shared" ca="1" si="246"/>
        <v>0</v>
      </c>
    </row>
    <row r="990" spans="1:8" ht="15" customHeight="1">
      <c r="A990" t="str">
        <f ca="1">IF(E990="",F990, "")</f>
        <v/>
      </c>
      <c r="B990">
        <f>ROW('Proforma, Income &amp; Expense'!B15)</f>
        <v>15</v>
      </c>
      <c r="C990" t="str">
        <f ca="1">INDIRECT($F$921 &amp; ADDRESS(B990, 1,4  ))</f>
        <v>Other (Specify)</v>
      </c>
      <c r="D990" t="str">
        <f>ADDRESS(B990, 2,4  )</f>
        <v>B15</v>
      </c>
      <c r="E990">
        <f ca="1">IF(ISBLANK( INDIRECT($F$921 &amp; D990)),"", INDIRECT($F$921 &amp; D990))</f>
        <v>0</v>
      </c>
      <c r="F990" t="str">
        <f ca="1">CONCATENATE("Enter a value for '", C990, "' in cell ", D990, ".", CHAR(10))</f>
        <v xml:space="preserve">Enter a value for 'Other (Specify)' in cell B15.
</v>
      </c>
      <c r="G990" s="9" t="str">
        <f t="shared" ca="1" si="246"/>
        <v>0</v>
      </c>
    </row>
    <row r="991" spans="1:8" ht="15" customHeight="1">
      <c r="A991" t="str">
        <f ca="1">IF(AND(OR(Calculations!$B$3:$B$4), E991=""), F991, "")</f>
        <v/>
      </c>
      <c r="B991" s="52">
        <f>B990</f>
        <v>15</v>
      </c>
      <c r="C991" t="str">
        <f ca="1">INDIRECT($F$921 &amp; ADDRESS(B991, 1,4  ))</f>
        <v>Other (Specify)</v>
      </c>
      <c r="D991" t="str">
        <f>ADDRESS(B990, 3,4  )</f>
        <v>C15</v>
      </c>
      <c r="E991">
        <f ca="1">IF(ISBLANK( INDIRECT($F$921 &amp; D991)),"", INDIRECT($F$921 &amp; D991))</f>
        <v>0</v>
      </c>
      <c r="F991" t="str">
        <f ca="1">CONCATENATE("Enter an 'Amount Last Provided to CHFA' value for '", C991, "' in cell ", D991, ".", CHAR(10))</f>
        <v xml:space="preserve">Enter an 'Amount Last Provided to CHFA' value for 'Other (Specify)' in cell C15.
</v>
      </c>
      <c r="G991" s="9" t="str">
        <f t="shared" ca="1" si="246"/>
        <v>0</v>
      </c>
    </row>
    <row r="992" spans="1:8" ht="15" customHeight="1">
      <c r="A992" t="str">
        <f ca="1">IF(AND(E992, SUM(E990:E991) &gt; 0), F992, "")</f>
        <v/>
      </c>
      <c r="C992" t="str">
        <f ca="1">INDIRECT($F$921 &amp; ADDRESS(B990, 1,4  ))</f>
        <v>Other (Specify)</v>
      </c>
      <c r="D992" t="str">
        <f>ADDRESS(B990, 1,4  )</f>
        <v>A15</v>
      </c>
      <c r="E992" t="b">
        <f ca="1">INDIRECT($F$921 &amp; D992)="Other (specify)"</f>
        <v>1</v>
      </c>
      <c r="F992" t="str">
        <f ca="1">CONCATENATE("Please specify value for '", C992, "' in cell ", D992, ".", CHAR(10))</f>
        <v xml:space="preserve">Please specify value for 'Other (Specify)' in cell A15.
</v>
      </c>
      <c r="G992" s="9" t="str">
        <f t="shared" ca="1" si="246"/>
        <v>0</v>
      </c>
    </row>
    <row r="993" spans="1:7" ht="15" customHeight="1">
      <c r="A993" t="str">
        <f ca="1">IF(AND(Calculations!$B$25, E993=""),F993, "")</f>
        <v/>
      </c>
      <c r="B993">
        <f>ROW('Proforma, Income &amp; Expense'!B18)</f>
        <v>18</v>
      </c>
      <c r="C993" t="str">
        <f t="shared" ref="C993:C1015" ca="1" si="247">INDIRECT($F$921 &amp; ADDRESS(B993, 1,4  ))</f>
        <v>Total Annual Retail/Commercial Income</v>
      </c>
      <c r="D993" t="str">
        <f>ADDRESS(B993, 2,4  )</f>
        <v>B18</v>
      </c>
      <c r="E993">
        <f t="shared" ref="E993:E1015" ca="1" si="248">IF(ISBLANK( INDIRECT($F$921 &amp; D993)),"", INDIRECT($F$921 &amp; D993))</f>
        <v>0</v>
      </c>
      <c r="F993" t="str">
        <f ca="1">CONCATENATE("Enter a value for '", C993, "' in cell ", D993, ".", CHAR(10))</f>
        <v xml:space="preserve">Enter a value for 'Total Annual Retail/Commercial Income' in cell B18.
</v>
      </c>
      <c r="G993" s="9" t="str">
        <f t="shared" ca="1" si="246"/>
        <v>0</v>
      </c>
    </row>
    <row r="994" spans="1:7" ht="15" customHeight="1">
      <c r="A994" t="str">
        <f ca="1">IF(E994="",F994, "")</f>
        <v/>
      </c>
      <c r="B994">
        <f>ROW('Proforma, Income &amp; Expense'!B22)</f>
        <v>22</v>
      </c>
      <c r="C994" t="str">
        <f t="shared" ca="1" si="247"/>
        <v>Accounting</v>
      </c>
      <c r="D994" t="str">
        <f>ADDRESS(B994, 2,4  )</f>
        <v>B22</v>
      </c>
      <c r="E994">
        <f t="shared" ca="1" si="248"/>
        <v>0</v>
      </c>
      <c r="F994" t="str">
        <f ca="1">CONCATENATE("Enter a residential value for '", C994, "' in cell ", D994, ".", CHAR(10))</f>
        <v xml:space="preserve">Enter a residential value for 'Accounting' in cell B22.
</v>
      </c>
      <c r="G994" s="9" t="str">
        <f t="shared" ca="1" si="246"/>
        <v>0</v>
      </c>
    </row>
    <row r="995" spans="1:7" ht="15" customHeight="1">
      <c r="A995" t="str">
        <f ca="1">IF(AND(OR(Calculations!$B$3:$B$4), E995=""), F995, "")</f>
        <v/>
      </c>
      <c r="B995" s="52">
        <f>B994</f>
        <v>22</v>
      </c>
      <c r="C995" t="str">
        <f t="shared" ca="1" si="247"/>
        <v>Accounting</v>
      </c>
      <c r="D995" t="str">
        <f>ADDRESS(B994, 3,4  )</f>
        <v>C22</v>
      </c>
      <c r="E995">
        <f t="shared" ca="1" si="248"/>
        <v>0</v>
      </c>
      <c r="F995" t="str">
        <f ca="1">CONCATENATE("Enter a residential 'Amount Last Provided to CHFA' value for '", C995, "' in cell ", D995, ".", CHAR(10))</f>
        <v xml:space="preserve">Enter a residential 'Amount Last Provided to CHFA' value for 'Accounting' in cell C22.
</v>
      </c>
      <c r="G995" s="9" t="str">
        <f t="shared" ca="1" si="246"/>
        <v>0</v>
      </c>
    </row>
    <row r="996" spans="1:7" ht="15" customHeight="1">
      <c r="A996" t="str">
        <f ca="1">IF(E996="",F996, "")</f>
        <v/>
      </c>
      <c r="B996">
        <f>ROW('Proforma, Income &amp; Expense'!B23)</f>
        <v>23</v>
      </c>
      <c r="C996" t="str">
        <f t="shared" ca="1" si="247"/>
        <v>Advertising</v>
      </c>
      <c r="D996" t="str">
        <f>ADDRESS(B996, 2,4  )</f>
        <v>B23</v>
      </c>
      <c r="E996">
        <f t="shared" ca="1" si="248"/>
        <v>0</v>
      </c>
      <c r="F996" t="str">
        <f ca="1">CONCATENATE("Enter a residential value for '", C996, "' in cell ", D996, ".", CHAR(10))</f>
        <v xml:space="preserve">Enter a residential value for 'Advertising' in cell B23.
</v>
      </c>
      <c r="G996" s="9" t="str">
        <f t="shared" ca="1" si="246"/>
        <v>0</v>
      </c>
    </row>
    <row r="997" spans="1:7" ht="15" customHeight="1">
      <c r="A997" t="str">
        <f ca="1">IF(AND(OR(Calculations!$B$3:$B$4), E997=""), F997, "")</f>
        <v/>
      </c>
      <c r="B997" s="52">
        <f>B996</f>
        <v>23</v>
      </c>
      <c r="C997" t="str">
        <f t="shared" ca="1" si="247"/>
        <v>Advertising</v>
      </c>
      <c r="D997" t="str">
        <f>ADDRESS(B996, 3,4  )</f>
        <v>C23</v>
      </c>
      <c r="E997">
        <f t="shared" ca="1" si="248"/>
        <v>0</v>
      </c>
      <c r="F997" t="str">
        <f ca="1">CONCATENATE("Enter a residential 'Amount Last Provided to CHFA' value for '", C997, "' in cell ", D997, ".", CHAR(10))</f>
        <v xml:space="preserve">Enter a residential 'Amount Last Provided to CHFA' value for 'Advertising' in cell C23.
</v>
      </c>
      <c r="G997" s="9" t="str">
        <f t="shared" ca="1" si="246"/>
        <v>0</v>
      </c>
    </row>
    <row r="998" spans="1:7" ht="15" customHeight="1">
      <c r="A998" t="str">
        <f ca="1">IF(E998="",F998, "")</f>
        <v/>
      </c>
      <c r="B998">
        <f>ROW('Proforma, Income &amp; Expense'!B24)</f>
        <v>24</v>
      </c>
      <c r="C998" t="str">
        <f t="shared" ca="1" si="247"/>
        <v>Legal</v>
      </c>
      <c r="D998" t="str">
        <f>ADDRESS(B998, 2,4  )</f>
        <v>B24</v>
      </c>
      <c r="E998">
        <f t="shared" ca="1" si="248"/>
        <v>0</v>
      </c>
      <c r="F998" t="str">
        <f ca="1">CONCATENATE("Enter a residential value for '", C998, "' in cell ", D998, ".", CHAR(10))</f>
        <v xml:space="preserve">Enter a residential value for 'Legal' in cell B24.
</v>
      </c>
      <c r="G998" s="9" t="str">
        <f t="shared" ca="1" si="246"/>
        <v>0</v>
      </c>
    </row>
    <row r="999" spans="1:7" ht="15" customHeight="1">
      <c r="A999" t="str">
        <f ca="1">IF(AND(OR(Calculations!$B$3:$B$4), E999=""), F999, "")</f>
        <v/>
      </c>
      <c r="B999" s="52">
        <f>B998</f>
        <v>24</v>
      </c>
      <c r="C999" t="str">
        <f t="shared" ca="1" si="247"/>
        <v>Legal</v>
      </c>
      <c r="D999" t="str">
        <f>ADDRESS(B998, 3,4  )</f>
        <v>C24</v>
      </c>
      <c r="E999">
        <f t="shared" ca="1" si="248"/>
        <v>0</v>
      </c>
      <c r="F999" t="str">
        <f ca="1">CONCATENATE("Enter a residential 'Amount Last Provided to CHFA' value for '", C999, "' in cell ", D999, ".", CHAR(10))</f>
        <v xml:space="preserve">Enter a residential 'Amount Last Provided to CHFA' value for 'Legal' in cell C24.
</v>
      </c>
      <c r="G999" s="9" t="str">
        <f t="shared" ca="1" si="246"/>
        <v>0</v>
      </c>
    </row>
    <row r="1000" spans="1:7" ht="15" customHeight="1">
      <c r="A1000" t="str">
        <f ca="1">IF(E1000="",F1000, "")</f>
        <v/>
      </c>
      <c r="B1000">
        <f>ROW('Proforma, Income &amp; Expense'!B25)</f>
        <v>25</v>
      </c>
      <c r="C1000" t="str">
        <f t="shared" ca="1" si="247"/>
        <v>Leased Equipment</v>
      </c>
      <c r="D1000" t="str">
        <f>ADDRESS(B1000, 2,4  )</f>
        <v>B25</v>
      </c>
      <c r="E1000">
        <f t="shared" ca="1" si="248"/>
        <v>0</v>
      </c>
      <c r="F1000" t="str">
        <f ca="1">CONCATENATE("Enter a residential value for '", C1000, "' in cell ", D1000, ".", CHAR(10))</f>
        <v xml:space="preserve">Enter a residential value for 'Leased Equipment' in cell B25.
</v>
      </c>
      <c r="G1000" s="9" t="str">
        <f t="shared" ca="1" si="246"/>
        <v>0</v>
      </c>
    </row>
    <row r="1001" spans="1:7" ht="15" customHeight="1">
      <c r="A1001" t="str">
        <f ca="1">IF(AND(OR(Calculations!$B$3:$B$4), E1001=""), F1001, "")</f>
        <v/>
      </c>
      <c r="B1001" s="52">
        <f>B1000</f>
        <v>25</v>
      </c>
      <c r="C1001" t="str">
        <f t="shared" ca="1" si="247"/>
        <v>Leased Equipment</v>
      </c>
      <c r="D1001" t="str">
        <f>ADDRESS(B1000, 3,4  )</f>
        <v>C25</v>
      </c>
      <c r="E1001">
        <f t="shared" ca="1" si="248"/>
        <v>0</v>
      </c>
      <c r="F1001" t="str">
        <f ca="1">CONCATENATE("Enter a residential 'Amount Last Provided to CHFA' value for '", C1001, "' in cell ", D1001, ".", CHAR(10))</f>
        <v xml:space="preserve">Enter a residential 'Amount Last Provided to CHFA' value for 'Leased Equipment' in cell C25.
</v>
      </c>
      <c r="G1001" s="9" t="str">
        <f t="shared" ca="1" si="246"/>
        <v>0</v>
      </c>
    </row>
    <row r="1002" spans="1:7" ht="15" customHeight="1">
      <c r="A1002" t="str">
        <f ca="1">IF(E1002="",F1002, "")</f>
        <v/>
      </c>
      <c r="B1002">
        <f>ROW('Proforma, Income &amp; Expense'!B26)</f>
        <v>26</v>
      </c>
      <c r="C1002" t="str">
        <f t="shared" ca="1" si="247"/>
        <v>Management Fees</v>
      </c>
      <c r="D1002" t="str">
        <f>ADDRESS(B1002, 2,4  )</f>
        <v>B26</v>
      </c>
      <c r="E1002">
        <f t="shared" ca="1" si="248"/>
        <v>0</v>
      </c>
      <c r="F1002" t="str">
        <f ca="1">CONCATENATE("Enter a residential value for '", C1002, "' in cell ", D1002, ".", CHAR(10))</f>
        <v xml:space="preserve">Enter a residential value for 'Management Fees' in cell B26.
</v>
      </c>
      <c r="G1002" s="9" t="str">
        <f t="shared" ca="1" si="246"/>
        <v>0</v>
      </c>
    </row>
    <row r="1003" spans="1:7" ht="15" customHeight="1">
      <c r="A1003" t="str">
        <f ca="1">IF(AND(OR(Calculations!$B$3:$B$4), E1003=""), F1003, "")</f>
        <v/>
      </c>
      <c r="B1003" s="52">
        <f>B1002</f>
        <v>26</v>
      </c>
      <c r="C1003" t="str">
        <f t="shared" ca="1" si="247"/>
        <v>Management Fees</v>
      </c>
      <c r="D1003" t="str">
        <f>ADDRESS(B1002, 3,4  )</f>
        <v>C26</v>
      </c>
      <c r="E1003">
        <f t="shared" ca="1" si="248"/>
        <v>0</v>
      </c>
      <c r="F1003" t="str">
        <f ca="1">CONCATENATE("Enter a residential 'Amount Last Provided to CHFA' value for '", C1003, "' in cell ", D1003, ".", CHAR(10))</f>
        <v xml:space="preserve">Enter a residential 'Amount Last Provided to CHFA' value for 'Management Fees' in cell C26.
</v>
      </c>
      <c r="G1003" s="9" t="str">
        <f t="shared" ca="1" si="246"/>
        <v>0</v>
      </c>
    </row>
    <row r="1004" spans="1:7" ht="15" customHeight="1">
      <c r="A1004" t="str">
        <f ca="1">IF(E1004="",F1004, "")</f>
        <v/>
      </c>
      <c r="B1004">
        <f>ROW('Proforma, Income &amp; Expense'!B27)</f>
        <v>27</v>
      </c>
      <c r="C1004" t="str">
        <f t="shared" ca="1" si="247"/>
        <v>Management Salaries</v>
      </c>
      <c r="D1004" t="str">
        <f>ADDRESS(B1004, 2,4  )</f>
        <v>B27</v>
      </c>
      <c r="E1004">
        <f t="shared" ca="1" si="248"/>
        <v>0</v>
      </c>
      <c r="F1004" t="str">
        <f ca="1">CONCATENATE("Enter a residential value for '", C1004, "' in cell ", D1004, ".", CHAR(10))</f>
        <v xml:space="preserve">Enter a residential value for 'Management Salaries' in cell B27.
</v>
      </c>
      <c r="G1004" s="9" t="str">
        <f t="shared" ca="1" si="246"/>
        <v>0</v>
      </c>
    </row>
    <row r="1005" spans="1:7" ht="15" customHeight="1">
      <c r="A1005" t="str">
        <f ca="1">IF(AND(OR(Calculations!$B$3:$B$4), E1005=""), F1005, "")</f>
        <v/>
      </c>
      <c r="B1005" s="52">
        <f>B1004</f>
        <v>27</v>
      </c>
      <c r="C1005" t="str">
        <f t="shared" ca="1" si="247"/>
        <v>Management Salaries</v>
      </c>
      <c r="D1005" t="str">
        <f>ADDRESS(B1004, 3,4  )</f>
        <v>C27</v>
      </c>
      <c r="E1005">
        <f t="shared" ca="1" si="248"/>
        <v>0</v>
      </c>
      <c r="F1005" t="str">
        <f ca="1">CONCATENATE("Enter a residential 'Amount Last Provided to CHFA' value for '", C1005, "' in cell ", D1005, ".", CHAR(10))</f>
        <v xml:space="preserve">Enter a residential 'Amount Last Provided to CHFA' value for 'Management Salaries' in cell C27.
</v>
      </c>
      <c r="G1005" s="9" t="str">
        <f t="shared" ca="1" si="246"/>
        <v>0</v>
      </c>
    </row>
    <row r="1006" spans="1:7" ht="15" customHeight="1">
      <c r="A1006" t="str">
        <f ca="1">IF(E1006="",F1006, "")</f>
        <v/>
      </c>
      <c r="B1006">
        <f>ROW('Proforma, Income &amp; Expense'!B28)</f>
        <v>28</v>
      </c>
      <c r="C1006" t="str">
        <f t="shared" ca="1" si="247"/>
        <v>Management Payroll Tax</v>
      </c>
      <c r="D1006" t="str">
        <f>ADDRESS(B1006, 2,4  )</f>
        <v>B28</v>
      </c>
      <c r="E1006">
        <f t="shared" ca="1" si="248"/>
        <v>0</v>
      </c>
      <c r="F1006" t="str">
        <f ca="1">CONCATENATE("Enter a residential value for '", C1006, "' in cell ", D1006, ".", CHAR(10))</f>
        <v xml:space="preserve">Enter a residential value for 'Management Payroll Tax' in cell B28.
</v>
      </c>
      <c r="G1006" s="9" t="str">
        <f t="shared" ca="1" si="246"/>
        <v>0</v>
      </c>
    </row>
    <row r="1007" spans="1:7" ht="15" customHeight="1">
      <c r="A1007" t="str">
        <f ca="1">IF(AND(OR(Calculations!$B$3:$B$4), E1007=""), F1007, "")</f>
        <v/>
      </c>
      <c r="B1007" s="52">
        <f>B1006</f>
        <v>28</v>
      </c>
      <c r="C1007" t="str">
        <f t="shared" ca="1" si="247"/>
        <v>Management Payroll Tax</v>
      </c>
      <c r="D1007" t="str">
        <f>ADDRESS(B1006, 3,4  )</f>
        <v>C28</v>
      </c>
      <c r="E1007">
        <f t="shared" ca="1" si="248"/>
        <v>0</v>
      </c>
      <c r="F1007" t="str">
        <f ca="1">CONCATENATE("Enter a residential 'Amount Last Provided to CHFA' value for '", C1007, "' in cell ", D1007, ".", CHAR(10))</f>
        <v xml:space="preserve">Enter a residential 'Amount Last Provided to CHFA' value for 'Management Payroll Tax' in cell C28.
</v>
      </c>
      <c r="G1007" s="9" t="str">
        <f t="shared" ca="1" si="246"/>
        <v>0</v>
      </c>
    </row>
    <row r="1008" spans="1:7" ht="15" customHeight="1">
      <c r="A1008" t="str">
        <f ca="1">IF(E1008="",F1008, "")</f>
        <v/>
      </c>
      <c r="B1008">
        <f>ROW('Proforma, Income &amp; Expense'!B29)</f>
        <v>29</v>
      </c>
      <c r="C1008" t="str">
        <f t="shared" ca="1" si="247"/>
        <v>Model Apartment</v>
      </c>
      <c r="D1008" t="str">
        <f>ADDRESS(B1008, 2,4  )</f>
        <v>B29</v>
      </c>
      <c r="E1008">
        <f t="shared" ca="1" si="248"/>
        <v>0</v>
      </c>
      <c r="F1008" t="str">
        <f ca="1">CONCATENATE("Enter a residential value for '", C1008, "' in cell ", D1008, ".", CHAR(10))</f>
        <v xml:space="preserve">Enter a residential value for 'Model Apartment' in cell B29.
</v>
      </c>
      <c r="G1008" s="9" t="str">
        <f t="shared" ca="1" si="246"/>
        <v>0</v>
      </c>
    </row>
    <row r="1009" spans="1:7" ht="15" customHeight="1">
      <c r="A1009" t="str">
        <f ca="1">IF(AND(OR(Calculations!$B$3:$B$4), E1009=""), F1009, "")</f>
        <v/>
      </c>
      <c r="B1009" s="52">
        <f>B1008</f>
        <v>29</v>
      </c>
      <c r="C1009" t="str">
        <f t="shared" ca="1" si="247"/>
        <v>Model Apartment</v>
      </c>
      <c r="D1009" t="str">
        <f>ADDRESS(B1008, 3,4  )</f>
        <v>C29</v>
      </c>
      <c r="E1009">
        <f t="shared" ca="1" si="248"/>
        <v>0</v>
      </c>
      <c r="F1009" t="str">
        <f ca="1">CONCATENATE("Enter a residential 'Amount Last Provided to CHFA' value for '", C1009, "' in cell ", D1009, ".", CHAR(10))</f>
        <v xml:space="preserve">Enter a residential 'Amount Last Provided to CHFA' value for 'Model Apartment' in cell C29.
</v>
      </c>
      <c r="G1009" s="9" t="str">
        <f t="shared" ca="1" si="246"/>
        <v>0</v>
      </c>
    </row>
    <row r="1010" spans="1:7" ht="15" customHeight="1">
      <c r="A1010" t="str">
        <f ca="1">IF(E1010="",F1010, "")</f>
        <v/>
      </c>
      <c r="B1010">
        <f>ROW('Proforma, Income &amp; Expense'!B30)</f>
        <v>30</v>
      </c>
      <c r="C1010" t="str">
        <f t="shared" ca="1" si="247"/>
        <v>Office Supplies</v>
      </c>
      <c r="D1010" t="str">
        <f>ADDRESS(B1010, 2,4  )</f>
        <v>B30</v>
      </c>
      <c r="E1010">
        <f t="shared" ca="1" si="248"/>
        <v>0</v>
      </c>
      <c r="F1010" t="str">
        <f ca="1">CONCATENATE("Enter a residential value for '", C1010, "' in cell ", D1010, ".", CHAR(10))</f>
        <v xml:space="preserve">Enter a residential value for 'Office Supplies' in cell B30.
</v>
      </c>
      <c r="G1010" s="9" t="str">
        <f t="shared" ca="1" si="246"/>
        <v>0</v>
      </c>
    </row>
    <row r="1011" spans="1:7" ht="15" customHeight="1">
      <c r="A1011" t="str">
        <f ca="1">IF(AND(OR(Calculations!$B$3:$B$4), E1011=""), F1011, "")</f>
        <v/>
      </c>
      <c r="B1011" s="52">
        <f>B1010</f>
        <v>30</v>
      </c>
      <c r="C1011" t="str">
        <f t="shared" ca="1" si="247"/>
        <v>Office Supplies</v>
      </c>
      <c r="D1011" t="str">
        <f>ADDRESS(B1010, 3,4  )</f>
        <v>C30</v>
      </c>
      <c r="E1011">
        <f t="shared" ca="1" si="248"/>
        <v>0</v>
      </c>
      <c r="F1011" t="str">
        <f ca="1">CONCATENATE("Enter a residential 'Amount Last Provided to CHFA' value for '", C1011, "' in cell ", D1011, ".", CHAR(10))</f>
        <v xml:space="preserve">Enter a residential 'Amount Last Provided to CHFA' value for 'Office Supplies' in cell C30.
</v>
      </c>
      <c r="G1011" s="9" t="str">
        <f t="shared" ca="1" si="246"/>
        <v>0</v>
      </c>
    </row>
    <row r="1012" spans="1:7" ht="15" customHeight="1">
      <c r="A1012" t="str">
        <f ca="1">IF(E1012="",F1012, "")</f>
        <v/>
      </c>
      <c r="B1012">
        <f>ROW('Proforma, Income &amp; Expense'!B31)</f>
        <v>31</v>
      </c>
      <c r="C1012" t="str">
        <f t="shared" ca="1" si="247"/>
        <v>Telephone</v>
      </c>
      <c r="D1012" t="str">
        <f>ADDRESS(B1012, 2,4  )</f>
        <v>B31</v>
      </c>
      <c r="E1012">
        <f t="shared" ca="1" si="248"/>
        <v>0</v>
      </c>
      <c r="F1012" t="str">
        <f ca="1">CONCATENATE("Enter a residential value for '", C1012, "' in cell ", D1012, ".", CHAR(10))</f>
        <v xml:space="preserve">Enter a residential value for 'Telephone' in cell B31.
</v>
      </c>
      <c r="G1012" s="9" t="str">
        <f t="shared" ca="1" si="246"/>
        <v>0</v>
      </c>
    </row>
    <row r="1013" spans="1:7" ht="15" customHeight="1">
      <c r="A1013" t="str">
        <f ca="1">IF(AND(OR(Calculations!$B$3:$B$4), E1013=""), F1013, "")</f>
        <v/>
      </c>
      <c r="B1013" s="52">
        <f>B1012</f>
        <v>31</v>
      </c>
      <c r="C1013" t="str">
        <f t="shared" ca="1" si="247"/>
        <v>Telephone</v>
      </c>
      <c r="D1013" t="str">
        <f>ADDRESS(B1012, 3,4  )</f>
        <v>C31</v>
      </c>
      <c r="E1013">
        <f t="shared" ca="1" si="248"/>
        <v>0</v>
      </c>
      <c r="F1013" t="str">
        <f ca="1">CONCATENATE("Enter a residential 'Amount Last Provided to CHFA' value for '", C1013, "' in cell ", D1013, ".", CHAR(10))</f>
        <v xml:space="preserve">Enter a residential 'Amount Last Provided to CHFA' value for 'Telephone' in cell C31.
</v>
      </c>
      <c r="G1013" s="9" t="str">
        <f t="shared" ca="1" si="246"/>
        <v>0</v>
      </c>
    </row>
    <row r="1014" spans="1:7" ht="15" customHeight="1">
      <c r="A1014" t="str">
        <f ca="1">IF(E1014="",F1014, "")</f>
        <v/>
      </c>
      <c r="B1014">
        <f>ROW('Proforma, Income &amp; Expense'!B32)</f>
        <v>32</v>
      </c>
      <c r="C1014" t="str">
        <f t="shared" ca="1" si="247"/>
        <v>Other (Specify)</v>
      </c>
      <c r="D1014" t="str">
        <f>ADDRESS(B1014, 2,4  )</f>
        <v>B32</v>
      </c>
      <c r="E1014">
        <f t="shared" ca="1" si="248"/>
        <v>0</v>
      </c>
      <c r="F1014" t="str">
        <f ca="1">CONCATENATE("Enter a residential value for '", C1014, "' in cell ", D1014, ".", CHAR(10))</f>
        <v xml:space="preserve">Enter a residential value for 'Other (Specify)' in cell B32.
</v>
      </c>
      <c r="G1014" s="9" t="str">
        <f t="shared" ca="1" si="246"/>
        <v>0</v>
      </c>
    </row>
    <row r="1015" spans="1:7" ht="15" customHeight="1">
      <c r="A1015" t="str">
        <f ca="1">IF(AND(OR(Calculations!$B$3:$B$4), E1015=""), F1015, "")</f>
        <v/>
      </c>
      <c r="B1015" s="52">
        <f>B1014</f>
        <v>32</v>
      </c>
      <c r="C1015" t="str">
        <f t="shared" ca="1" si="247"/>
        <v>Other (Specify)</v>
      </c>
      <c r="D1015" t="str">
        <f>ADDRESS(B1014, 3,4  )</f>
        <v>C32</v>
      </c>
      <c r="E1015">
        <f t="shared" ca="1" si="248"/>
        <v>0</v>
      </c>
      <c r="F1015" t="str">
        <f ca="1">CONCATENATE("Enter a residential 'Amount Last Provided to CHFA' value for '", C1015, "' in cell ", D1015, ".", CHAR(10))</f>
        <v xml:space="preserve">Enter a residential 'Amount Last Provided to CHFA' value for 'Other (Specify)' in cell C32.
</v>
      </c>
      <c r="G1015" s="9" t="str">
        <f t="shared" ca="1" si="246"/>
        <v>0</v>
      </c>
    </row>
    <row r="1016" spans="1:7" ht="15" customHeight="1">
      <c r="A1016" t="str">
        <f ca="1">IF(AND(E1016, SUM(E1014:E1015) &gt; 0), F1016, "")</f>
        <v/>
      </c>
      <c r="C1016" t="str">
        <f ca="1">INDIRECT($F$921 &amp; ADDRESS(B1015, 1,4  ))</f>
        <v>Other (Specify)</v>
      </c>
      <c r="D1016" t="str">
        <f>ADDRESS(B1015, 1,4  )</f>
        <v>A32</v>
      </c>
      <c r="E1016" t="b">
        <f ca="1">INDIRECT($F$921 &amp; D1016)="Other (specify)"</f>
        <v>1</v>
      </c>
      <c r="F1016" t="str">
        <f ca="1">CONCATENATE("Please specify value for '", C1016, "' in cell ", D1016, ".", CHAR(10))</f>
        <v xml:space="preserve">Please specify value for 'Other (Specify)' in cell A32.
</v>
      </c>
      <c r="G1016" s="9" t="str">
        <f t="shared" ca="1" si="246"/>
        <v>0</v>
      </c>
    </row>
    <row r="1017" spans="1:7" ht="15" customHeight="1">
      <c r="A1017" t="str">
        <f ca="1">IF(E1017="",F1017, "")</f>
        <v/>
      </c>
      <c r="B1017">
        <f>ROW('Proforma, Income &amp; Expense'!B33)</f>
        <v>33</v>
      </c>
      <c r="C1017" t="str">
        <f ca="1">INDIRECT($F$921 &amp; ADDRESS(B1017, 1,4  ))</f>
        <v>Other (Specify)</v>
      </c>
      <c r="D1017" t="str">
        <f>ADDRESS(B1017, 2,4  )</f>
        <v>B33</v>
      </c>
      <c r="E1017">
        <f ca="1">IF(ISBLANK( INDIRECT($F$921 &amp; D1017)),"", INDIRECT($F$921 &amp; D1017))</f>
        <v>0</v>
      </c>
      <c r="F1017" t="str">
        <f ca="1">CONCATENATE("Enter a residential value for '", C1017, "' in cell ", D1017, ".", CHAR(10))</f>
        <v xml:space="preserve">Enter a residential value for 'Other (Specify)' in cell B33.
</v>
      </c>
      <c r="G1017" s="9" t="str">
        <f t="shared" ca="1" si="246"/>
        <v>0</v>
      </c>
    </row>
    <row r="1018" spans="1:7" ht="15" customHeight="1">
      <c r="A1018" t="str">
        <f ca="1">IF(AND(OR(Calculations!$B$3:$B$4), E1018=""), F1018, "")</f>
        <v/>
      </c>
      <c r="B1018" s="52">
        <f>B1017</f>
        <v>33</v>
      </c>
      <c r="C1018" t="str">
        <f ca="1">INDIRECT($F$921 &amp; ADDRESS(B1018, 1,4  ))</f>
        <v>Other (Specify)</v>
      </c>
      <c r="D1018" t="str">
        <f>ADDRESS(B1017, 3,4  )</f>
        <v>C33</v>
      </c>
      <c r="E1018">
        <f ca="1">IF(ISBLANK( INDIRECT($F$921 &amp; D1018)),"", INDIRECT($F$921 &amp; D1018))</f>
        <v>0</v>
      </c>
      <c r="F1018" t="str">
        <f ca="1">CONCATENATE("Enter a residential 'Amount Last Provided to CHFA' value for '", C1018, "' in cell ", D1018, ".", CHAR(10))</f>
        <v xml:space="preserve">Enter a residential 'Amount Last Provided to CHFA' value for 'Other (Specify)' in cell C33.
</v>
      </c>
      <c r="G1018" s="9" t="str">
        <f t="shared" ca="1" si="246"/>
        <v>0</v>
      </c>
    </row>
    <row r="1019" spans="1:7" ht="15" customHeight="1">
      <c r="A1019" t="str">
        <f ca="1">IF(AND(E1019, SUM(E1017:E1018) &gt; 0), F1019, "")</f>
        <v/>
      </c>
      <c r="C1019" t="str">
        <f ca="1">INDIRECT($F$921 &amp; ADDRESS(B1018, 1,4  ))</f>
        <v>Other (Specify)</v>
      </c>
      <c r="D1019" t="str">
        <f>ADDRESS(B1018, 1,4  )</f>
        <v>A33</v>
      </c>
      <c r="E1019" t="b">
        <f ca="1">INDIRECT($F$921 &amp; D1019)="Other (specify)"</f>
        <v>1</v>
      </c>
      <c r="F1019" t="str">
        <f ca="1">CONCATENATE("Please specify value for '", C1019, "' in cell ", D1019, ".", CHAR(10))</f>
        <v xml:space="preserve">Please specify value for 'Other (Specify)' in cell A33.
</v>
      </c>
      <c r="G1019" s="9" t="str">
        <f t="shared" ca="1" si="246"/>
        <v>0</v>
      </c>
    </row>
    <row r="1020" spans="1:7" ht="15" customHeight="1">
      <c r="A1020" t="str">
        <f ca="1">IF(E1020="",F1020, "")</f>
        <v/>
      </c>
      <c r="B1020">
        <f>ROW('Proforma, Income &amp; Expense'!B34)</f>
        <v>34</v>
      </c>
      <c r="C1020" t="str">
        <f ca="1">INDIRECT($F$921 &amp; ADDRESS(B1020, 1,4  ))</f>
        <v>Other (Specify)</v>
      </c>
      <c r="D1020" t="str">
        <f>ADDRESS(B1020, 2,4  )</f>
        <v>B34</v>
      </c>
      <c r="E1020">
        <f ca="1">IF(ISBLANK( INDIRECT($F$921 &amp; D1020)),"", INDIRECT($F$921 &amp; D1020))</f>
        <v>0</v>
      </c>
      <c r="F1020" t="str">
        <f ca="1">CONCATENATE("Enter a residential value for '", C1020, "' in cell ", D1020, ".", CHAR(10))</f>
        <v xml:space="preserve">Enter a residential value for 'Other (Specify)' in cell B34.
</v>
      </c>
      <c r="G1020" s="9" t="str">
        <f t="shared" ref="G1020:G1051" ca="1" si="249">OFFSET(G1020, -1, 0) &amp; A1020</f>
        <v>0</v>
      </c>
    </row>
    <row r="1021" spans="1:7" ht="15" customHeight="1">
      <c r="A1021" t="str">
        <f ca="1">IF(AND(OR(Calculations!$B$3:$B$4), E1021=""), F1021, "")</f>
        <v/>
      </c>
      <c r="B1021" s="52">
        <f>B1020</f>
        <v>34</v>
      </c>
      <c r="C1021" t="str">
        <f ca="1">INDIRECT($F$921 &amp; ADDRESS(B1021, 1,4  ))</f>
        <v>Other (Specify)</v>
      </c>
      <c r="D1021" t="str">
        <f>ADDRESS(B1020, 3,4  )</f>
        <v>C34</v>
      </c>
      <c r="E1021">
        <f ca="1">IF(ISBLANK( INDIRECT($F$921 &amp; D1021)),"", INDIRECT($F$921 &amp; D1021))</f>
        <v>0</v>
      </c>
      <c r="F1021" t="str">
        <f ca="1">CONCATENATE("Enter a residential 'Amount Last Provided to CHFA' value for '", C1021, "' in cell ", D1021, ".", CHAR(10))</f>
        <v xml:space="preserve">Enter a residential 'Amount Last Provided to CHFA' value for 'Other (Specify)' in cell C34.
</v>
      </c>
      <c r="G1021" s="9" t="str">
        <f t="shared" ca="1" si="249"/>
        <v>0</v>
      </c>
    </row>
    <row r="1022" spans="1:7" ht="15" customHeight="1">
      <c r="A1022" t="str">
        <f ca="1">IF(AND(E1022, SUM(E1020:E1021) &gt; 0), F1022, "")</f>
        <v/>
      </c>
      <c r="C1022" t="str">
        <f ca="1">INDIRECT($F$921 &amp; ADDRESS(B1021, 1,4  ))</f>
        <v>Other (Specify)</v>
      </c>
      <c r="D1022" t="str">
        <f>ADDRESS(B1021, 1,4  )</f>
        <v>A34</v>
      </c>
      <c r="E1022" t="b">
        <f ca="1">INDIRECT($F$921 &amp; D1022)="Other (specify)"</f>
        <v>1</v>
      </c>
      <c r="F1022" t="str">
        <f ca="1">CONCATENATE("Please specify value for '", C1022, "' in cell ", D1022, ".", CHAR(10))</f>
        <v xml:space="preserve">Please specify value for 'Other (Specify)' in cell A34.
</v>
      </c>
      <c r="G1022" s="9" t="str">
        <f t="shared" ca="1" si="249"/>
        <v>0</v>
      </c>
    </row>
    <row r="1023" spans="1:7" ht="15" customHeight="1">
      <c r="A1023" t="str">
        <f ca="1">IF(E1023="",F1023, "")</f>
        <v/>
      </c>
      <c r="B1023">
        <f>ROW('Proforma, Income &amp; Expense'!B37)</f>
        <v>37</v>
      </c>
      <c r="C1023" t="str">
        <f t="shared" ref="C1023:C1040" ca="1" si="250">INDIRECT($F$921 &amp; ADDRESS(B1023, 1,4  ))</f>
        <v>Fuel (Heat/Water)</v>
      </c>
      <c r="D1023" t="str">
        <f>ADDRESS(B1023, 2,4  )</f>
        <v>B37</v>
      </c>
      <c r="E1023">
        <f t="shared" ref="E1023:E1040" ca="1" si="251">IF(ISBLANK( INDIRECT($F$921 &amp; D1023)),"", INDIRECT($F$921 &amp; D1023))</f>
        <v>0</v>
      </c>
      <c r="F1023" t="str">
        <f ca="1">CONCATENATE("Enter a residential value for '", C1023, "' in cell ", D1023, ".", CHAR(10))</f>
        <v xml:space="preserve">Enter a residential value for 'Fuel (Heat/Water)' in cell B37.
</v>
      </c>
      <c r="G1023" s="9" t="str">
        <f t="shared" ca="1" si="249"/>
        <v>0</v>
      </c>
    </row>
    <row r="1024" spans="1:7" ht="15" customHeight="1">
      <c r="A1024" t="str">
        <f ca="1">IF(AND(OR(Calculations!$B$3:$B$4), E1024=""), F1024, "")</f>
        <v/>
      </c>
      <c r="B1024" s="52">
        <f>B1023</f>
        <v>37</v>
      </c>
      <c r="C1024" t="str">
        <f t="shared" ca="1" si="250"/>
        <v>Fuel (Heat/Water)</v>
      </c>
      <c r="D1024" t="str">
        <f>ADDRESS(B1023, 3,4  )</f>
        <v>C37</v>
      </c>
      <c r="E1024">
        <f t="shared" ca="1" si="251"/>
        <v>0</v>
      </c>
      <c r="F1024" t="str">
        <f ca="1">CONCATENATE("Enter a residential 'Amount Last Provided to CHFA' value for '", C1024, "' in cell ", D1024, ".", CHAR(10))</f>
        <v xml:space="preserve">Enter a residential 'Amount Last Provided to CHFA' value for 'Fuel (Heat/Water)' in cell C37.
</v>
      </c>
      <c r="G1024" s="9" t="str">
        <f t="shared" ca="1" si="249"/>
        <v>0</v>
      </c>
    </row>
    <row r="1025" spans="1:7" ht="15" customHeight="1">
      <c r="A1025" t="str">
        <f ca="1">IF(E1025="",F1025, "")</f>
        <v/>
      </c>
      <c r="B1025">
        <f>ROW('Proforma, Income &amp; Expense'!B38)</f>
        <v>38</v>
      </c>
      <c r="C1025" t="str">
        <f t="shared" ca="1" si="250"/>
        <v>Electricity</v>
      </c>
      <c r="D1025" t="str">
        <f>ADDRESS(B1025, 2,4  )</f>
        <v>B38</v>
      </c>
      <c r="E1025">
        <f t="shared" ca="1" si="251"/>
        <v>0</v>
      </c>
      <c r="F1025" t="str">
        <f ca="1">CONCATENATE("Enter a residential value for '", C1025, "' in cell ", D1025, ".", CHAR(10))</f>
        <v xml:space="preserve">Enter a residential value for 'Electricity' in cell B38.
</v>
      </c>
      <c r="G1025" s="9" t="str">
        <f t="shared" ca="1" si="249"/>
        <v>0</v>
      </c>
    </row>
    <row r="1026" spans="1:7" ht="15" customHeight="1">
      <c r="A1026" t="str">
        <f ca="1">IF(AND(OR(Calculations!$B$3:$B$4), E1026=""), F1026, "")</f>
        <v/>
      </c>
      <c r="B1026" s="52">
        <f>B1025</f>
        <v>38</v>
      </c>
      <c r="C1026" t="str">
        <f t="shared" ca="1" si="250"/>
        <v>Electricity</v>
      </c>
      <c r="D1026" t="str">
        <f>ADDRESS(B1025, 3,4  )</f>
        <v>C38</v>
      </c>
      <c r="E1026">
        <f t="shared" ca="1" si="251"/>
        <v>0</v>
      </c>
      <c r="F1026" t="str">
        <f ca="1">CONCATENATE("Enter a residential 'Amount Last Provided to CHFA' value for '", C1026, "' in cell ", D1026, ".", CHAR(10))</f>
        <v xml:space="preserve">Enter a residential 'Amount Last Provided to CHFA' value for 'Electricity' in cell C38.
</v>
      </c>
      <c r="G1026" s="9" t="str">
        <f t="shared" ca="1" si="249"/>
        <v>0</v>
      </c>
    </row>
    <row r="1027" spans="1:7" ht="15" customHeight="1">
      <c r="A1027" t="str">
        <f ca="1">IF(E1027="",F1027, "")</f>
        <v/>
      </c>
      <c r="B1027">
        <f>ROW('Proforma, Income &amp; Expense'!B39)</f>
        <v>39</v>
      </c>
      <c r="C1027" t="str">
        <f t="shared" ca="1" si="250"/>
        <v>Water</v>
      </c>
      <c r="D1027" t="str">
        <f>ADDRESS(B1027, 2,4  )</f>
        <v>B39</v>
      </c>
      <c r="E1027">
        <f t="shared" ca="1" si="251"/>
        <v>0</v>
      </c>
      <c r="F1027" t="str">
        <f ca="1">CONCATENATE("Enter a residential value for '", C1027, "' in cell ", D1027, ".", CHAR(10))</f>
        <v xml:space="preserve">Enter a residential value for 'Water' in cell B39.
</v>
      </c>
      <c r="G1027" s="9" t="str">
        <f t="shared" ca="1" si="249"/>
        <v>0</v>
      </c>
    </row>
    <row r="1028" spans="1:7" ht="15" customHeight="1">
      <c r="A1028" t="str">
        <f ca="1">IF(AND(OR(Calculations!$B$3:$B$4), E1028=""), F1028, "")</f>
        <v/>
      </c>
      <c r="B1028" s="52">
        <f>B1027</f>
        <v>39</v>
      </c>
      <c r="C1028" t="str">
        <f t="shared" ca="1" si="250"/>
        <v>Water</v>
      </c>
      <c r="D1028" t="str">
        <f>ADDRESS(B1027, 3,4  )</f>
        <v>C39</v>
      </c>
      <c r="E1028">
        <f t="shared" ca="1" si="251"/>
        <v>0</v>
      </c>
      <c r="F1028" t="str">
        <f ca="1">CONCATENATE("Enter a residential 'Amount Last Provided to CHFA' value for '", C1028, "' in cell ", D1028, ".", CHAR(10))</f>
        <v xml:space="preserve">Enter a residential 'Amount Last Provided to CHFA' value for 'Water' in cell C39.
</v>
      </c>
      <c r="G1028" s="9" t="str">
        <f t="shared" ca="1" si="249"/>
        <v>0</v>
      </c>
    </row>
    <row r="1029" spans="1:7" ht="15" customHeight="1">
      <c r="A1029" t="str">
        <f ca="1">IF(E1029="",F1029, "")</f>
        <v/>
      </c>
      <c r="B1029">
        <f>ROW('Proforma, Income &amp; Expense'!B40)</f>
        <v>40</v>
      </c>
      <c r="C1029" t="str">
        <f t="shared" ca="1" si="250"/>
        <v>Sewer</v>
      </c>
      <c r="D1029" t="str">
        <f>ADDRESS(B1029, 2,4  )</f>
        <v>B40</v>
      </c>
      <c r="E1029">
        <f t="shared" ca="1" si="251"/>
        <v>0</v>
      </c>
      <c r="F1029" t="str">
        <f ca="1">CONCATENATE("Enter a residential value for '", C1029, "' in cell ", D1029, ".", CHAR(10))</f>
        <v xml:space="preserve">Enter a residential value for 'Sewer' in cell B40.
</v>
      </c>
      <c r="G1029" s="9" t="str">
        <f t="shared" ca="1" si="249"/>
        <v>0</v>
      </c>
    </row>
    <row r="1030" spans="1:7" ht="15" customHeight="1">
      <c r="A1030" t="str">
        <f ca="1">IF(AND(OR(Calculations!$B$3:$B$4), E1030=""), F1030, "")</f>
        <v/>
      </c>
      <c r="B1030" s="52">
        <f>B1029</f>
        <v>40</v>
      </c>
      <c r="C1030" t="str">
        <f t="shared" ca="1" si="250"/>
        <v>Sewer</v>
      </c>
      <c r="D1030" t="str">
        <f>ADDRESS(B1029, 3,4  )</f>
        <v>C40</v>
      </c>
      <c r="E1030">
        <f t="shared" ca="1" si="251"/>
        <v>0</v>
      </c>
      <c r="F1030" t="str">
        <f ca="1">CONCATENATE("Enter a residential 'Amount Last Provided to CHFA' value for '", C1030, "' in cell ", D1030, ".", CHAR(10))</f>
        <v xml:space="preserve">Enter a residential 'Amount Last Provided to CHFA' value for 'Sewer' in cell C40.
</v>
      </c>
      <c r="G1030" s="9" t="str">
        <f t="shared" ca="1" si="249"/>
        <v>0</v>
      </c>
    </row>
    <row r="1031" spans="1:7" ht="15" customHeight="1">
      <c r="A1031" t="str">
        <f ca="1">IF(E1031="",F1031, "")</f>
        <v/>
      </c>
      <c r="B1031">
        <f>ROW('Proforma, Income &amp; Expense'!B41)</f>
        <v>41</v>
      </c>
      <c r="C1031" t="str">
        <f t="shared" ca="1" si="250"/>
        <v>Gas</v>
      </c>
      <c r="D1031" t="str">
        <f>ADDRESS(B1031, 2,4  )</f>
        <v>B41</v>
      </c>
      <c r="E1031">
        <f t="shared" ca="1" si="251"/>
        <v>0</v>
      </c>
      <c r="F1031" t="str">
        <f ca="1">CONCATENATE("Enter a residential value for '", C1031, "' in cell ", D1031, ".", CHAR(10))</f>
        <v xml:space="preserve">Enter a residential value for 'Gas' in cell B41.
</v>
      </c>
      <c r="G1031" s="9" t="str">
        <f t="shared" ca="1" si="249"/>
        <v>0</v>
      </c>
    </row>
    <row r="1032" spans="1:7" ht="15" customHeight="1">
      <c r="A1032" t="str">
        <f ca="1">IF(AND(OR(Calculations!$B$3:$B$4), E1032=""), F1032, "")</f>
        <v/>
      </c>
      <c r="B1032" s="52">
        <f>B1031</f>
        <v>41</v>
      </c>
      <c r="C1032" t="str">
        <f t="shared" ca="1" si="250"/>
        <v>Gas</v>
      </c>
      <c r="D1032" t="str">
        <f>ADDRESS(B1031, 3,4  )</f>
        <v>C41</v>
      </c>
      <c r="E1032">
        <f t="shared" ca="1" si="251"/>
        <v>0</v>
      </c>
      <c r="F1032" t="str">
        <f ca="1">CONCATENATE("Enter a residential 'Amount Last Provided to CHFA' value for '", C1032, "' in cell ", D1032, ".", CHAR(10))</f>
        <v xml:space="preserve">Enter a residential 'Amount Last Provided to CHFA' value for 'Gas' in cell C41.
</v>
      </c>
      <c r="G1032" s="9" t="str">
        <f t="shared" ca="1" si="249"/>
        <v>0</v>
      </c>
    </row>
    <row r="1033" spans="1:7" ht="15" customHeight="1">
      <c r="A1033" t="str">
        <f ca="1">IF(E1033="",F1033, "")</f>
        <v/>
      </c>
      <c r="B1033">
        <f>ROW('Proforma, Income &amp; Expense'!B42)</f>
        <v>42</v>
      </c>
      <c r="C1033" t="str">
        <f t="shared" ca="1" si="250"/>
        <v>Trash</v>
      </c>
      <c r="D1033" t="str">
        <f>ADDRESS(B1033, 2,4  )</f>
        <v>B42</v>
      </c>
      <c r="E1033">
        <f t="shared" ca="1" si="251"/>
        <v>0</v>
      </c>
      <c r="F1033" t="str">
        <f ca="1">CONCATENATE("Enter a residential value for '", C1033, "' in cell ", D1033, ".", CHAR(10))</f>
        <v xml:space="preserve">Enter a residential value for 'Trash' in cell B42.
</v>
      </c>
      <c r="G1033" s="9" t="str">
        <f t="shared" ca="1" si="249"/>
        <v>0</v>
      </c>
    </row>
    <row r="1034" spans="1:7" ht="15" customHeight="1">
      <c r="A1034" t="str">
        <f ca="1">IF(AND(OR(Calculations!$B$3:$B$4), E1034=""), F1034, "")</f>
        <v/>
      </c>
      <c r="B1034" s="52">
        <f>B1033</f>
        <v>42</v>
      </c>
      <c r="C1034" t="str">
        <f t="shared" ca="1" si="250"/>
        <v>Trash</v>
      </c>
      <c r="D1034" t="str">
        <f>ADDRESS(B1033, 3,4  )</f>
        <v>C42</v>
      </c>
      <c r="E1034">
        <f t="shared" ca="1" si="251"/>
        <v>0</v>
      </c>
      <c r="F1034" t="str">
        <f ca="1">CONCATENATE("Enter a residential 'Amount Last Provided to CHFA' value for '", C1034, "' in cell ", D1034, ".", CHAR(10))</f>
        <v xml:space="preserve">Enter a residential 'Amount Last Provided to CHFA' value for 'Trash' in cell C42.
</v>
      </c>
      <c r="G1034" s="9" t="str">
        <f t="shared" ca="1" si="249"/>
        <v>0</v>
      </c>
    </row>
    <row r="1035" spans="1:7" ht="15" customHeight="1">
      <c r="A1035" t="str">
        <f ca="1">IF(E1035="",F1035, "")</f>
        <v/>
      </c>
      <c r="B1035">
        <f>ROW('Proforma, Income &amp; Expense'!B43)</f>
        <v>43</v>
      </c>
      <c r="C1035" t="str">
        <f t="shared" ca="1" si="250"/>
        <v>Security</v>
      </c>
      <c r="D1035" t="str">
        <f>ADDRESS(B1035, 2,4  )</f>
        <v>B43</v>
      </c>
      <c r="E1035">
        <f t="shared" ca="1" si="251"/>
        <v>0</v>
      </c>
      <c r="F1035" t="str">
        <f ca="1">CONCATENATE("Enter a residential value for '", C1035, "' in cell ", D1035, ".", CHAR(10))</f>
        <v xml:space="preserve">Enter a residential value for 'Security' in cell B43.
</v>
      </c>
      <c r="G1035" s="9" t="str">
        <f t="shared" ca="1" si="249"/>
        <v>0</v>
      </c>
    </row>
    <row r="1036" spans="1:7" ht="15" customHeight="1">
      <c r="A1036" t="str">
        <f ca="1">IF(AND(OR(Calculations!$B$3:$B$4), E1036=""), F1036, "")</f>
        <v/>
      </c>
      <c r="B1036" s="52">
        <f>B1035</f>
        <v>43</v>
      </c>
      <c r="C1036" t="str">
        <f t="shared" ca="1" si="250"/>
        <v>Security</v>
      </c>
      <c r="D1036" t="str">
        <f>ADDRESS(B1035, 3,4  )</f>
        <v>C43</v>
      </c>
      <c r="E1036">
        <f t="shared" ca="1" si="251"/>
        <v>0</v>
      </c>
      <c r="F1036" t="str">
        <f ca="1">CONCATENATE("Enter a residential 'Amount Last Provided to CHFA' value for '", C1036, "' in cell ", D1036, ".", CHAR(10))</f>
        <v xml:space="preserve">Enter a residential 'Amount Last Provided to CHFA' value for 'Security' in cell C43.
</v>
      </c>
      <c r="G1036" s="9" t="str">
        <f t="shared" ca="1" si="249"/>
        <v>0</v>
      </c>
    </row>
    <row r="1037" spans="1:7" ht="15" customHeight="1">
      <c r="A1037" t="str">
        <f ca="1">IF(E1037="",F1037, "")</f>
        <v/>
      </c>
      <c r="B1037">
        <f>ROW('Proforma, Income &amp; Expense'!B44)</f>
        <v>44</v>
      </c>
      <c r="C1037" t="str">
        <f t="shared" ca="1" si="250"/>
        <v>Cable</v>
      </c>
      <c r="D1037" t="str">
        <f>ADDRESS(B1037, 2,4  )</f>
        <v>B44</v>
      </c>
      <c r="E1037">
        <f t="shared" ca="1" si="251"/>
        <v>0</v>
      </c>
      <c r="F1037" t="str">
        <f ca="1">CONCATENATE("Enter a residential value for '", C1037, "' in cell ", D1037, ".", CHAR(10))</f>
        <v xml:space="preserve">Enter a residential value for 'Cable' in cell B44.
</v>
      </c>
      <c r="G1037" s="9" t="str">
        <f t="shared" ca="1" si="249"/>
        <v>0</v>
      </c>
    </row>
    <row r="1038" spans="1:7" ht="15" customHeight="1">
      <c r="A1038" t="str">
        <f ca="1">IF(AND(OR(Calculations!$B$3:$B$4), E1038=""), F1038, "")</f>
        <v/>
      </c>
      <c r="B1038" s="52">
        <f>B1037</f>
        <v>44</v>
      </c>
      <c r="C1038" t="str">
        <f t="shared" ca="1" si="250"/>
        <v>Cable</v>
      </c>
      <c r="D1038" t="str">
        <f>ADDRESS(B1037, 3,4  )</f>
        <v>C44</v>
      </c>
      <c r="E1038">
        <f t="shared" ca="1" si="251"/>
        <v>0</v>
      </c>
      <c r="F1038" t="str">
        <f ca="1">CONCATENATE("Enter a residential 'Amount Last Provided to CHFA' value for '", C1038, "' in cell ", D1038, ".", CHAR(10))</f>
        <v xml:space="preserve">Enter a residential 'Amount Last Provided to CHFA' value for 'Cable' in cell C44.
</v>
      </c>
      <c r="G1038" s="9" t="str">
        <f t="shared" ca="1" si="249"/>
        <v>0</v>
      </c>
    </row>
    <row r="1039" spans="1:7" ht="15" customHeight="1">
      <c r="A1039" t="str">
        <f ca="1">IF(E1039="",F1039, "")</f>
        <v/>
      </c>
      <c r="B1039">
        <f>ROW('Proforma, Income &amp; Expense'!B45)</f>
        <v>45</v>
      </c>
      <c r="C1039" t="str">
        <f t="shared" ca="1" si="250"/>
        <v>Other (Specify)</v>
      </c>
      <c r="D1039" t="str">
        <f>ADDRESS(B1039, 2,4  )</f>
        <v>B45</v>
      </c>
      <c r="E1039">
        <f t="shared" ca="1" si="251"/>
        <v>0</v>
      </c>
      <c r="F1039" t="str">
        <f ca="1">CONCATENATE("Enter a residential value for '", C1039, "' in cell ", D1039, ".", CHAR(10))</f>
        <v xml:space="preserve">Enter a residential value for 'Other (Specify)' in cell B45.
</v>
      </c>
      <c r="G1039" s="9" t="str">
        <f t="shared" ca="1" si="249"/>
        <v>0</v>
      </c>
    </row>
    <row r="1040" spans="1:7" ht="15" customHeight="1">
      <c r="A1040" t="str">
        <f ca="1">IF(AND(OR(Calculations!$B$3:$B$4), E1040=""), F1040, "")</f>
        <v/>
      </c>
      <c r="B1040" s="52">
        <f>B1039</f>
        <v>45</v>
      </c>
      <c r="C1040" t="str">
        <f t="shared" ca="1" si="250"/>
        <v>Other (Specify)</v>
      </c>
      <c r="D1040" t="str">
        <f>ADDRESS(B1039, 3,4  )</f>
        <v>C45</v>
      </c>
      <c r="E1040">
        <f t="shared" ca="1" si="251"/>
        <v>0</v>
      </c>
      <c r="F1040" t="str">
        <f ca="1">CONCATENATE("Enter a residential 'Amount Last Provided to CHFA' value for '", C1040, "' in cell ", D1040, ".", CHAR(10))</f>
        <v xml:space="preserve">Enter a residential 'Amount Last Provided to CHFA' value for 'Other (Specify)' in cell C45.
</v>
      </c>
      <c r="G1040" s="9" t="str">
        <f t="shared" ca="1" si="249"/>
        <v>0</v>
      </c>
    </row>
    <row r="1041" spans="1:7" ht="15" customHeight="1">
      <c r="A1041" t="str">
        <f ca="1">IF(AND(E1041, SUM(E1039:E1040) &gt; 0), F1041, "")</f>
        <v/>
      </c>
      <c r="C1041" t="str">
        <f ca="1">INDIRECT($F$921 &amp; ADDRESS(B1040, 1,4  ))</f>
        <v>Other (Specify)</v>
      </c>
      <c r="D1041" t="str">
        <f>ADDRESS(B1040, 1,4  )</f>
        <v>A45</v>
      </c>
      <c r="E1041" t="b">
        <f ca="1">INDIRECT($F$921 &amp; D1041)="Other (specify)"</f>
        <v>1</v>
      </c>
      <c r="F1041" t="str">
        <f ca="1">CONCATENATE("Please specify value for '", C1041, "' in cell ", D1041, ".", CHAR(10))</f>
        <v xml:space="preserve">Please specify value for 'Other (Specify)' in cell A45.
</v>
      </c>
      <c r="G1041" s="9" t="str">
        <f t="shared" ca="1" si="249"/>
        <v>0</v>
      </c>
    </row>
    <row r="1042" spans="1:7" ht="15" customHeight="1">
      <c r="A1042" t="str">
        <f ca="1">IF(E1042="",F1042, "")</f>
        <v/>
      </c>
      <c r="B1042">
        <f>ROW('Proforma, Income &amp; Expense'!B46)</f>
        <v>46</v>
      </c>
      <c r="C1042" t="str">
        <f ca="1">INDIRECT($F$921 &amp; ADDRESS(B1042, 1,4  ))</f>
        <v>Other (Specify)</v>
      </c>
      <c r="D1042" t="str">
        <f>ADDRESS(B1042, 2,4  )</f>
        <v>B46</v>
      </c>
      <c r="E1042">
        <f ca="1">IF(ISBLANK( INDIRECT($F$921 &amp; D1042)),"", INDIRECT($F$921 &amp; D1042))</f>
        <v>0</v>
      </c>
      <c r="F1042" t="str">
        <f ca="1">CONCATENATE("Enter a residential value for '", C1042, "' in cell ", D1042, ".", CHAR(10))</f>
        <v xml:space="preserve">Enter a residential value for 'Other (Specify)' in cell B46.
</v>
      </c>
      <c r="G1042" s="9" t="str">
        <f t="shared" ca="1" si="249"/>
        <v>0</v>
      </c>
    </row>
    <row r="1043" spans="1:7" ht="15" customHeight="1">
      <c r="A1043" t="str">
        <f ca="1">IF(AND(OR(Calculations!$B$3:$B$4), E1043=""), F1043, "")</f>
        <v/>
      </c>
      <c r="B1043" s="52">
        <f>B1042</f>
        <v>46</v>
      </c>
      <c r="C1043" t="str">
        <f ca="1">INDIRECT($F$921 &amp; ADDRESS(B1043, 1,4  ))</f>
        <v>Other (Specify)</v>
      </c>
      <c r="D1043" t="str">
        <f>ADDRESS(B1042, 3,4  )</f>
        <v>C46</v>
      </c>
      <c r="E1043">
        <f ca="1">IF(ISBLANK( INDIRECT($F$921 &amp; D1043)),"", INDIRECT($F$921 &amp; D1043))</f>
        <v>0</v>
      </c>
      <c r="F1043" t="str">
        <f ca="1">CONCATENATE("Enter a residential 'Amount Last Provided to CHFA' value for '", C1043, "' in cell ", D1043, ".", CHAR(10))</f>
        <v xml:space="preserve">Enter a residential 'Amount Last Provided to CHFA' value for 'Other (Specify)' in cell C46.
</v>
      </c>
      <c r="G1043" s="9" t="str">
        <f t="shared" ca="1" si="249"/>
        <v>0</v>
      </c>
    </row>
    <row r="1044" spans="1:7" ht="15" customHeight="1">
      <c r="A1044" t="str">
        <f ca="1">IF(AND(E1044, SUM(E1042:E1043) &gt; 0), F1044, "")</f>
        <v/>
      </c>
      <c r="C1044" t="str">
        <f ca="1">INDIRECT($F$921 &amp; ADDRESS(B1043, 1,4  ))</f>
        <v>Other (Specify)</v>
      </c>
      <c r="D1044" t="str">
        <f>ADDRESS(B1043, 1,4  )</f>
        <v>A46</v>
      </c>
      <c r="E1044" t="b">
        <f ca="1">INDIRECT($F$921 &amp; D1044)="Other (specify)"</f>
        <v>1</v>
      </c>
      <c r="F1044" t="str">
        <f ca="1">CONCATENATE("Please specify value for '", C1044, "' in cell ", D1044, ".", CHAR(10))</f>
        <v xml:space="preserve">Please specify value for 'Other (Specify)' in cell A46.
</v>
      </c>
      <c r="G1044" s="9" t="str">
        <f t="shared" ca="1" si="249"/>
        <v>0</v>
      </c>
    </row>
    <row r="1045" spans="1:7" ht="15" customHeight="1">
      <c r="A1045" t="str">
        <f ca="1">IF(E1045="",F1045, "")</f>
        <v/>
      </c>
      <c r="B1045">
        <f>ROW('Proforma, Income &amp; Expense'!B47)</f>
        <v>47</v>
      </c>
      <c r="C1045" t="str">
        <f ca="1">INDIRECT($F$921 &amp; ADDRESS(B1045, 1,4  ))</f>
        <v>Other (Specify)</v>
      </c>
      <c r="D1045" t="str">
        <f>ADDRESS(B1045, 2,4  )</f>
        <v>B47</v>
      </c>
      <c r="E1045">
        <f ca="1">IF(ISBLANK( INDIRECT($F$921 &amp; D1045)),"", INDIRECT($F$921 &amp; D1045))</f>
        <v>0</v>
      </c>
      <c r="F1045" t="str">
        <f ca="1">CONCATENATE("Enter a residential value for '", C1045, "' in cell ", D1045, ".", CHAR(10))</f>
        <v xml:space="preserve">Enter a residential value for 'Other (Specify)' in cell B47.
</v>
      </c>
      <c r="G1045" s="9" t="str">
        <f t="shared" ca="1" si="249"/>
        <v>0</v>
      </c>
    </row>
    <row r="1046" spans="1:7" ht="15" customHeight="1">
      <c r="A1046" t="str">
        <f ca="1">IF(AND(OR(Calculations!$B$3:$B$4), E1046=""), F1046, "")</f>
        <v/>
      </c>
      <c r="B1046" s="52">
        <f>B1045</f>
        <v>47</v>
      </c>
      <c r="C1046" t="str">
        <f ca="1">INDIRECT($F$921 &amp; ADDRESS(B1046, 1,4  ))</f>
        <v>Other (Specify)</v>
      </c>
      <c r="D1046" t="str">
        <f>ADDRESS(B1045, 3,4  )</f>
        <v>C47</v>
      </c>
      <c r="E1046">
        <f ca="1">IF(ISBLANK( INDIRECT($F$921 &amp; D1046)),"", INDIRECT($F$921 &amp; D1046))</f>
        <v>0</v>
      </c>
      <c r="F1046" t="str">
        <f ca="1">CONCATENATE("Enter a residential 'Amount Last Provided to CHFA' value for '", C1046, "' in cell ", D1046, ".", CHAR(10))</f>
        <v xml:space="preserve">Enter a residential 'Amount Last Provided to CHFA' value for 'Other (Specify)' in cell C47.
</v>
      </c>
      <c r="G1046" s="9" t="str">
        <f t="shared" ca="1" si="249"/>
        <v>0</v>
      </c>
    </row>
    <row r="1047" spans="1:7" ht="15" customHeight="1">
      <c r="A1047" t="str">
        <f ca="1">IF(AND(E1047, SUM(E1045:E1046) &gt; 0), F1047, "")</f>
        <v/>
      </c>
      <c r="C1047" t="str">
        <f ca="1">INDIRECT($F$921 &amp; ADDRESS(B1046, 1,4  ))</f>
        <v>Other (Specify)</v>
      </c>
      <c r="D1047" t="str">
        <f>ADDRESS(B1046, 1,4  )</f>
        <v>A47</v>
      </c>
      <c r="E1047" t="b">
        <f ca="1">INDIRECT($F$921 &amp; D1047)="Other (specify)"</f>
        <v>1</v>
      </c>
      <c r="F1047" t="str">
        <f ca="1">CONCATENATE("Please specify value for '", C1047, "' in cell ", D1047, ".", CHAR(10))</f>
        <v xml:space="preserve">Please specify value for 'Other (Specify)' in cell A47.
</v>
      </c>
      <c r="G1047" s="9" t="str">
        <f t="shared" ca="1" si="249"/>
        <v>0</v>
      </c>
    </row>
    <row r="1048" spans="1:7" ht="15" customHeight="1">
      <c r="A1048" t="str">
        <f ca="1">IF(E1048="",F1048, "")</f>
        <v/>
      </c>
      <c r="B1048">
        <f>ROW('Proforma, Income &amp; Expense'!B48)</f>
        <v>48</v>
      </c>
      <c r="C1048" t="str">
        <f ca="1">INDIRECT($F$921 &amp; ADDRESS(B1048, 1,4  ))</f>
        <v>Other (Specify)</v>
      </c>
      <c r="D1048" t="str">
        <f>ADDRESS(B1048, 2,4  )</f>
        <v>B48</v>
      </c>
      <c r="E1048">
        <f ca="1">IF(ISBLANK( INDIRECT($F$921 &amp; D1048)),"", INDIRECT($F$921 &amp; D1048))</f>
        <v>0</v>
      </c>
      <c r="F1048" t="str">
        <f ca="1">CONCATENATE("Enter a residential value for '", C1048, "' in cell ", D1048, ".", CHAR(10))</f>
        <v xml:space="preserve">Enter a residential value for 'Other (Specify)' in cell B48.
</v>
      </c>
      <c r="G1048" s="9" t="str">
        <f t="shared" ca="1" si="249"/>
        <v>0</v>
      </c>
    </row>
    <row r="1049" spans="1:7" ht="15" customHeight="1">
      <c r="A1049" t="str">
        <f ca="1">IF(AND(OR(Calculations!$B$3:$B$4), E1049=""), F1049, "")</f>
        <v/>
      </c>
      <c r="B1049" s="52">
        <f>B1048</f>
        <v>48</v>
      </c>
      <c r="C1049" t="str">
        <f ca="1">INDIRECT($F$921 &amp; ADDRESS(B1049, 1,4  ))</f>
        <v>Other (Specify)</v>
      </c>
      <c r="D1049" t="str">
        <f>ADDRESS(B1048, 3,4  )</f>
        <v>C48</v>
      </c>
      <c r="E1049">
        <f ca="1">IF(ISBLANK( INDIRECT($F$921 &amp; D1049)),"", INDIRECT($F$921 &amp; D1049))</f>
        <v>0</v>
      </c>
      <c r="F1049" t="str">
        <f ca="1">CONCATENATE("Enter a residential 'Amount Last Provided to CHFA' value for '", C1049, "' in cell ", D1049, ".", CHAR(10))</f>
        <v xml:space="preserve">Enter a residential 'Amount Last Provided to CHFA' value for 'Other (Specify)' in cell C48.
</v>
      </c>
      <c r="G1049" s="9" t="str">
        <f t="shared" ca="1" si="249"/>
        <v>0</v>
      </c>
    </row>
    <row r="1050" spans="1:7" ht="15" customHeight="1">
      <c r="A1050" t="str">
        <f ca="1">IF(AND(E1050, SUM(E1048:E1049) &gt; 0), F1050, "")</f>
        <v/>
      </c>
      <c r="C1050" t="str">
        <f ca="1">INDIRECT($F$921 &amp; ADDRESS(B1049, 1,4  ))</f>
        <v>Other (Specify)</v>
      </c>
      <c r="D1050" t="str">
        <f>ADDRESS(B1049, 1,4  )</f>
        <v>A48</v>
      </c>
      <c r="E1050" t="b">
        <f ca="1">INDIRECT($F$921 &amp; D1050)="Other (specify)"</f>
        <v>1</v>
      </c>
      <c r="F1050" t="str">
        <f ca="1">CONCATENATE("Please specify value for '", C1050, "' in cell ", D1050, ".", CHAR(10))</f>
        <v xml:space="preserve">Please specify value for 'Other (Specify)' in cell A48.
</v>
      </c>
      <c r="G1050" s="9" t="str">
        <f t="shared" ca="1" si="249"/>
        <v>0</v>
      </c>
    </row>
    <row r="1051" spans="1:7" ht="15" customHeight="1">
      <c r="A1051" t="str">
        <f ca="1">IF(E1051="",F1051, "")</f>
        <v/>
      </c>
      <c r="B1051">
        <f>ROW('Proforma, Income &amp; Expense'!B51)</f>
        <v>51</v>
      </c>
      <c r="C1051" t="str">
        <f t="shared" ref="C1051:C1070" ca="1" si="252">INDIRECT($F$921 &amp; ADDRESS(B1051, 1,4  ))</f>
        <v>Elevator</v>
      </c>
      <c r="D1051" t="str">
        <f>ADDRESS(B1051, 2,4  )</f>
        <v>B51</v>
      </c>
      <c r="E1051">
        <f t="shared" ref="E1051:E1070" ca="1" si="253">IF(ISBLANK( INDIRECT($F$921 &amp; D1051)),"", INDIRECT($F$921 &amp; D1051))</f>
        <v>0</v>
      </c>
      <c r="F1051" t="str">
        <f ca="1">CONCATENATE("Enter a residential value for '", C1051, "' in cell ", D1051, ".", CHAR(10))</f>
        <v xml:space="preserve">Enter a residential value for 'Elevator' in cell B51.
</v>
      </c>
      <c r="G1051" s="9" t="str">
        <f t="shared" ca="1" si="249"/>
        <v>0</v>
      </c>
    </row>
    <row r="1052" spans="1:7" ht="15" customHeight="1">
      <c r="A1052" t="str">
        <f ca="1">IF(AND(OR(Calculations!$B$3:$B$4), E1052=""), F1052, "")</f>
        <v/>
      </c>
      <c r="B1052" s="52">
        <f>B1051</f>
        <v>51</v>
      </c>
      <c r="C1052" t="str">
        <f t="shared" ca="1" si="252"/>
        <v>Elevator</v>
      </c>
      <c r="D1052" t="str">
        <f>ADDRESS(B1051, 3,4  )</f>
        <v>C51</v>
      </c>
      <c r="E1052">
        <f t="shared" ca="1" si="253"/>
        <v>0</v>
      </c>
      <c r="F1052" t="str">
        <f ca="1">CONCATENATE("Enter a residential 'Amount Last Provided to CHFA' value for '", C1052, "' in cell ", D1052, ".", CHAR(10))</f>
        <v xml:space="preserve">Enter a residential 'Amount Last Provided to CHFA' value for 'Elevator' in cell C51.
</v>
      </c>
      <c r="G1052" s="9" t="str">
        <f t="shared" ref="G1052:G1083" ca="1" si="254">OFFSET(G1052, -1, 0) &amp; A1052</f>
        <v>0</v>
      </c>
    </row>
    <row r="1053" spans="1:7" ht="15" customHeight="1">
      <c r="A1053" t="str">
        <f ca="1">IF(E1053="",F1053, "")</f>
        <v/>
      </c>
      <c r="B1053">
        <f>ROW('Proforma, Income &amp; Expense'!B52)</f>
        <v>52</v>
      </c>
      <c r="C1053" t="str">
        <f t="shared" ca="1" si="252"/>
        <v>Extermination</v>
      </c>
      <c r="D1053" t="str">
        <f>ADDRESS(B1053, 2,4  )</f>
        <v>B52</v>
      </c>
      <c r="E1053">
        <f t="shared" ca="1" si="253"/>
        <v>0</v>
      </c>
      <c r="F1053" t="str">
        <f ca="1">CONCATENATE("Enter a residential value for '", C1053, "' in cell ", D1053, ".", CHAR(10))</f>
        <v xml:space="preserve">Enter a residential value for 'Extermination' in cell B52.
</v>
      </c>
      <c r="G1053" s="9" t="str">
        <f t="shared" ca="1" si="254"/>
        <v>0</v>
      </c>
    </row>
    <row r="1054" spans="1:7" ht="15" customHeight="1">
      <c r="A1054" t="str">
        <f ca="1">IF(AND(OR(Calculations!$B$3:$B$4), E1054=""), F1054, "")</f>
        <v/>
      </c>
      <c r="B1054" s="52">
        <f>B1053</f>
        <v>52</v>
      </c>
      <c r="C1054" t="str">
        <f t="shared" ca="1" si="252"/>
        <v>Extermination</v>
      </c>
      <c r="D1054" t="str">
        <f>ADDRESS(B1053, 3,4  )</f>
        <v>C52</v>
      </c>
      <c r="E1054">
        <f t="shared" ca="1" si="253"/>
        <v>0</v>
      </c>
      <c r="F1054" t="str">
        <f ca="1">CONCATENATE("Enter a residential 'Amount Last Provided to CHFA' value for '", C1054, "' in cell ", D1054, ".", CHAR(10))</f>
        <v xml:space="preserve">Enter a residential 'Amount Last Provided to CHFA' value for 'Extermination' in cell C52.
</v>
      </c>
      <c r="G1054" s="9" t="str">
        <f t="shared" ca="1" si="254"/>
        <v>0</v>
      </c>
    </row>
    <row r="1055" spans="1:7" ht="15" customHeight="1">
      <c r="A1055" t="str">
        <f ca="1">IF(E1055="",F1055, "")</f>
        <v/>
      </c>
      <c r="B1055">
        <f>ROW('Proforma, Income &amp; Expense'!B53)</f>
        <v>53</v>
      </c>
      <c r="C1055" t="str">
        <f t="shared" ca="1" si="252"/>
        <v>Grounds</v>
      </c>
      <c r="D1055" t="str">
        <f>ADDRESS(B1055, 2,4  )</f>
        <v>B53</v>
      </c>
      <c r="E1055">
        <f t="shared" ca="1" si="253"/>
        <v>0</v>
      </c>
      <c r="F1055" t="str">
        <f ca="1">CONCATENATE("Enter a residential value for '", C1055, "' in cell ", D1055, ".", CHAR(10))</f>
        <v xml:space="preserve">Enter a residential value for 'Grounds' in cell B53.
</v>
      </c>
      <c r="G1055" s="9" t="str">
        <f t="shared" ca="1" si="254"/>
        <v>0</v>
      </c>
    </row>
    <row r="1056" spans="1:7" ht="15" customHeight="1">
      <c r="A1056" t="str">
        <f ca="1">IF(AND(OR(Calculations!$B$3:$B$4), E1056=""), F1056, "")</f>
        <v/>
      </c>
      <c r="B1056" s="52">
        <f>B1055</f>
        <v>53</v>
      </c>
      <c r="C1056" t="str">
        <f t="shared" ca="1" si="252"/>
        <v>Grounds</v>
      </c>
      <c r="D1056" t="str">
        <f>ADDRESS(B1055, 3,4  )</f>
        <v>C53</v>
      </c>
      <c r="E1056">
        <f t="shared" ca="1" si="253"/>
        <v>0</v>
      </c>
      <c r="F1056" t="str">
        <f ca="1">CONCATENATE("Enter a residential 'Amount Last Provided to CHFA' value for '", C1056, "' in cell ", D1056, ".", CHAR(10))</f>
        <v xml:space="preserve">Enter a residential 'Amount Last Provided to CHFA' value for 'Grounds' in cell C53.
</v>
      </c>
      <c r="G1056" s="9" t="str">
        <f t="shared" ca="1" si="254"/>
        <v>0</v>
      </c>
    </row>
    <row r="1057" spans="1:7" ht="15" customHeight="1">
      <c r="A1057" t="str">
        <f ca="1">IF(E1057="",F1057, "")</f>
        <v/>
      </c>
      <c r="B1057">
        <f>ROW('Proforma, Income &amp; Expense'!B54)</f>
        <v>54</v>
      </c>
      <c r="C1057" t="str">
        <f t="shared" ca="1" si="252"/>
        <v>Repairs</v>
      </c>
      <c r="D1057" t="str">
        <f>ADDRESS(B1057, 2,4  )</f>
        <v>B54</v>
      </c>
      <c r="E1057">
        <f t="shared" ca="1" si="253"/>
        <v>0</v>
      </c>
      <c r="F1057" t="str">
        <f ca="1">CONCATENATE("Enter a residential value for '", C1057, "' in cell ", D1057, ".", CHAR(10))</f>
        <v xml:space="preserve">Enter a residential value for 'Repairs' in cell B54.
</v>
      </c>
      <c r="G1057" s="9" t="str">
        <f t="shared" ca="1" si="254"/>
        <v>0</v>
      </c>
    </row>
    <row r="1058" spans="1:7" ht="15" customHeight="1">
      <c r="A1058" t="str">
        <f ca="1">IF(AND(OR(Calculations!$B$3:$B$4), E1058=""), F1058, "")</f>
        <v/>
      </c>
      <c r="B1058" s="52">
        <f>B1057</f>
        <v>54</v>
      </c>
      <c r="C1058" t="str">
        <f t="shared" ca="1" si="252"/>
        <v>Repairs</v>
      </c>
      <c r="D1058" t="str">
        <f>ADDRESS(B1057, 3,4  )</f>
        <v>C54</v>
      </c>
      <c r="E1058">
        <f t="shared" ca="1" si="253"/>
        <v>0</v>
      </c>
      <c r="F1058" t="str">
        <f ca="1">CONCATENATE("Enter a residential 'Amount Last Provided to CHFA' value for '", C1058, "' in cell ", D1058, ".", CHAR(10))</f>
        <v xml:space="preserve">Enter a residential 'Amount Last Provided to CHFA' value for 'Repairs' in cell C54.
</v>
      </c>
      <c r="G1058" s="9" t="str">
        <f t="shared" ca="1" si="254"/>
        <v>0</v>
      </c>
    </row>
    <row r="1059" spans="1:7" ht="15" customHeight="1">
      <c r="A1059" t="str">
        <f ca="1">IF(E1059="",F1059, "")</f>
        <v/>
      </c>
      <c r="B1059">
        <f>ROW('Proforma, Income &amp; Expense'!B55)</f>
        <v>55</v>
      </c>
      <c r="C1059" t="str">
        <f t="shared" ca="1" si="252"/>
        <v>Maintenance Salaries</v>
      </c>
      <c r="D1059" t="str">
        <f>ADDRESS(B1059, 2,4  )</f>
        <v>B55</v>
      </c>
      <c r="E1059">
        <f t="shared" ca="1" si="253"/>
        <v>0</v>
      </c>
      <c r="F1059" t="str">
        <f ca="1">CONCATENATE("Enter a residential value for '", C1059, "' in cell ", D1059, ".", CHAR(10))</f>
        <v xml:space="preserve">Enter a residential value for 'Maintenance Salaries' in cell B55.
</v>
      </c>
      <c r="G1059" s="9" t="str">
        <f t="shared" ca="1" si="254"/>
        <v>0</v>
      </c>
    </row>
    <row r="1060" spans="1:7" ht="15" customHeight="1">
      <c r="A1060" t="str">
        <f ca="1">IF(AND(OR(Calculations!$B$3:$B$4), E1060=""), F1060, "")</f>
        <v/>
      </c>
      <c r="B1060" s="52">
        <f>B1059</f>
        <v>55</v>
      </c>
      <c r="C1060" t="str">
        <f t="shared" ca="1" si="252"/>
        <v>Maintenance Salaries</v>
      </c>
      <c r="D1060" t="str">
        <f>ADDRESS(B1059, 3,4  )</f>
        <v>C55</v>
      </c>
      <c r="E1060">
        <f t="shared" ca="1" si="253"/>
        <v>0</v>
      </c>
      <c r="F1060" t="str">
        <f ca="1">CONCATENATE("Enter a residential 'Amount Last Provided to CHFA' value for '", C1060, "' in cell ", D1060, ".", CHAR(10))</f>
        <v xml:space="preserve">Enter a residential 'Amount Last Provided to CHFA' value for 'Maintenance Salaries' in cell C55.
</v>
      </c>
      <c r="G1060" s="9" t="str">
        <f t="shared" ca="1" si="254"/>
        <v>0</v>
      </c>
    </row>
    <row r="1061" spans="1:7" ht="15" customHeight="1">
      <c r="A1061" t="str">
        <f ca="1">IF(E1061="",F1061, "")</f>
        <v/>
      </c>
      <c r="B1061">
        <f>ROW('Proforma, Income &amp; Expense'!B56)</f>
        <v>56</v>
      </c>
      <c r="C1061" t="str">
        <f t="shared" ca="1" si="252"/>
        <v>Maintenance Supplies</v>
      </c>
      <c r="D1061" t="str">
        <f>ADDRESS(B1061, 2,4  )</f>
        <v>B56</v>
      </c>
      <c r="E1061">
        <f t="shared" ca="1" si="253"/>
        <v>0</v>
      </c>
      <c r="F1061" t="str">
        <f ca="1">CONCATENATE("Enter a residential value for '", C1061, "' in cell ", D1061, ".", CHAR(10))</f>
        <v xml:space="preserve">Enter a residential value for 'Maintenance Supplies' in cell B56.
</v>
      </c>
      <c r="G1061" s="9" t="str">
        <f t="shared" ca="1" si="254"/>
        <v>0</v>
      </c>
    </row>
    <row r="1062" spans="1:7" ht="15" customHeight="1">
      <c r="A1062" t="str">
        <f ca="1">IF(AND(OR(Calculations!$B$3:$B$4), E1062=""), F1062, "")</f>
        <v/>
      </c>
      <c r="B1062" s="52">
        <f>B1061</f>
        <v>56</v>
      </c>
      <c r="C1062" t="str">
        <f t="shared" ca="1" si="252"/>
        <v>Maintenance Supplies</v>
      </c>
      <c r="D1062" t="str">
        <f>ADDRESS(B1061, 3,4  )</f>
        <v>C56</v>
      </c>
      <c r="E1062">
        <f t="shared" ca="1" si="253"/>
        <v>0</v>
      </c>
      <c r="F1062" t="str">
        <f ca="1">CONCATENATE("Enter a residential 'Amount Last Provided to CHFA' value for '", C1062, "' in cell ", D1062, ".", CHAR(10))</f>
        <v xml:space="preserve">Enter a residential 'Amount Last Provided to CHFA' value for 'Maintenance Supplies' in cell C56.
</v>
      </c>
      <c r="G1062" s="9" t="str">
        <f t="shared" ca="1" si="254"/>
        <v>0</v>
      </c>
    </row>
    <row r="1063" spans="1:7" ht="15" customHeight="1">
      <c r="A1063" t="str">
        <f ca="1">IF(E1063="",F1063, "")</f>
        <v/>
      </c>
      <c r="B1063">
        <f>ROW('Proforma, Income &amp; Expense'!B57)</f>
        <v>57</v>
      </c>
      <c r="C1063" t="str">
        <f t="shared" ca="1" si="252"/>
        <v>Contracts</v>
      </c>
      <c r="D1063" t="str">
        <f>ADDRESS(B1063, 2,4  )</f>
        <v>B57</v>
      </c>
      <c r="E1063">
        <f t="shared" ca="1" si="253"/>
        <v>0</v>
      </c>
      <c r="F1063" t="str">
        <f ca="1">CONCATENATE("Enter a residential value for '", C1063, "' in cell ", D1063, ".", CHAR(10))</f>
        <v xml:space="preserve">Enter a residential value for 'Contracts' in cell B57.
</v>
      </c>
      <c r="G1063" s="9" t="str">
        <f t="shared" ca="1" si="254"/>
        <v>0</v>
      </c>
    </row>
    <row r="1064" spans="1:7" ht="15" customHeight="1">
      <c r="A1064" t="str">
        <f ca="1">IF(AND(OR(Calculations!$B$3:$B$4), E1064=""), F1064, "")</f>
        <v/>
      </c>
      <c r="B1064" s="52">
        <f>B1063</f>
        <v>57</v>
      </c>
      <c r="C1064" t="str">
        <f t="shared" ca="1" si="252"/>
        <v>Contracts</v>
      </c>
      <c r="D1064" t="str">
        <f>ADDRESS(B1063, 3,4  )</f>
        <v>C57</v>
      </c>
      <c r="E1064">
        <f t="shared" ca="1" si="253"/>
        <v>0</v>
      </c>
      <c r="F1064" t="str">
        <f ca="1">CONCATENATE("Enter a residential 'Amount Last Provided to CHFA' value for '", C1064, "' in cell ", D1064, ".", CHAR(10))</f>
        <v xml:space="preserve">Enter a residential 'Amount Last Provided to CHFA' value for 'Contracts' in cell C57.
</v>
      </c>
      <c r="G1064" s="9" t="str">
        <f t="shared" ca="1" si="254"/>
        <v>0</v>
      </c>
    </row>
    <row r="1065" spans="1:7" ht="15" customHeight="1">
      <c r="A1065" t="str">
        <f ca="1">IF(E1065="",F1065, "")</f>
        <v/>
      </c>
      <c r="B1065">
        <f>ROW('Proforma, Income &amp; Expense'!B58)</f>
        <v>58</v>
      </c>
      <c r="C1065" t="str">
        <f t="shared" ca="1" si="252"/>
        <v>Decorating</v>
      </c>
      <c r="D1065" t="str">
        <f>ADDRESS(B1065, 2,4  )</f>
        <v>B58</v>
      </c>
      <c r="E1065">
        <f t="shared" ca="1" si="253"/>
        <v>0</v>
      </c>
      <c r="F1065" t="str">
        <f ca="1">CONCATENATE("Enter a residential value for '", C1065, "' in cell ", D1065, ".", CHAR(10))</f>
        <v xml:space="preserve">Enter a residential value for 'Decorating' in cell B58.
</v>
      </c>
      <c r="G1065" s="9" t="str">
        <f t="shared" ca="1" si="254"/>
        <v>0</v>
      </c>
    </row>
    <row r="1066" spans="1:7" ht="15" customHeight="1">
      <c r="A1066" t="str">
        <f ca="1">IF(AND(OR(Calculations!$B$3:$B$4), E1066=""), F1066, "")</f>
        <v/>
      </c>
      <c r="B1066" s="52">
        <f>B1065</f>
        <v>58</v>
      </c>
      <c r="C1066" t="str">
        <f t="shared" ca="1" si="252"/>
        <v>Decorating</v>
      </c>
      <c r="D1066" t="str">
        <f>ADDRESS(B1065, 3,4  )</f>
        <v>C58</v>
      </c>
      <c r="E1066">
        <f t="shared" ca="1" si="253"/>
        <v>0</v>
      </c>
      <c r="F1066" t="str">
        <f ca="1">CONCATENATE("Enter a residential 'Amount Last Provided to CHFA' value for '", C1066, "' in cell ", D1066, ".", CHAR(10))</f>
        <v xml:space="preserve">Enter a residential 'Amount Last Provided to CHFA' value for 'Decorating' in cell C58.
</v>
      </c>
      <c r="G1066" s="9" t="str">
        <f t="shared" ca="1" si="254"/>
        <v>0</v>
      </c>
    </row>
    <row r="1067" spans="1:7" ht="15" customHeight="1">
      <c r="A1067" t="str">
        <f ca="1">IF(E1067="",F1067, "")</f>
        <v/>
      </c>
      <c r="B1067">
        <f>ROW('Proforma, Income &amp; Expense'!B59)</f>
        <v>59</v>
      </c>
      <c r="C1067" t="str">
        <f t="shared" ca="1" si="252"/>
        <v>Snow Removal</v>
      </c>
      <c r="D1067" t="str">
        <f>ADDRESS(B1067, 2,4  )</f>
        <v>B59</v>
      </c>
      <c r="E1067">
        <f t="shared" ca="1" si="253"/>
        <v>0</v>
      </c>
      <c r="F1067" t="str">
        <f ca="1">CONCATENATE("Enter a residential value for '", C1067, "' in cell ", D1067, ".", CHAR(10))</f>
        <v xml:space="preserve">Enter a residential value for 'Snow Removal' in cell B59.
</v>
      </c>
      <c r="G1067" s="9" t="str">
        <f t="shared" ca="1" si="254"/>
        <v>0</v>
      </c>
    </row>
    <row r="1068" spans="1:7" ht="15" customHeight="1">
      <c r="A1068" t="str">
        <f ca="1">IF(AND(OR(Calculations!$B$3:$B$4), E1068=""), F1068, "")</f>
        <v/>
      </c>
      <c r="B1068" s="52">
        <f>B1067</f>
        <v>59</v>
      </c>
      <c r="C1068" t="str">
        <f t="shared" ca="1" si="252"/>
        <v>Snow Removal</v>
      </c>
      <c r="D1068" t="str">
        <f>ADDRESS(B1067, 3,4  )</f>
        <v>C59</v>
      </c>
      <c r="E1068">
        <f t="shared" ca="1" si="253"/>
        <v>0</v>
      </c>
      <c r="F1068" t="str">
        <f ca="1">CONCATENATE("Enter a residential 'Amount Last Provided to CHFA' value for '", C1068, "' in cell ", D1068, ".", CHAR(10))</f>
        <v xml:space="preserve">Enter a residential 'Amount Last Provided to CHFA' value for 'Snow Removal' in cell C59.
</v>
      </c>
      <c r="G1068" s="9" t="str">
        <f t="shared" ca="1" si="254"/>
        <v>0</v>
      </c>
    </row>
    <row r="1069" spans="1:7" ht="15" customHeight="1">
      <c r="A1069" t="str">
        <f ca="1">IF(E1069="",F1069, "")</f>
        <v/>
      </c>
      <c r="B1069">
        <f>ROW('Proforma, Income &amp; Expense'!B60)</f>
        <v>60</v>
      </c>
      <c r="C1069" t="str">
        <f t="shared" ca="1" si="252"/>
        <v>Other (Specify)</v>
      </c>
      <c r="D1069" t="str">
        <f>ADDRESS(B1069, 2,4  )</f>
        <v>B60</v>
      </c>
      <c r="E1069">
        <f t="shared" ca="1" si="253"/>
        <v>0</v>
      </c>
      <c r="F1069" t="str">
        <f ca="1">CONCATENATE("Enter a residential value for '", C1069, "' in cell ", D1069, ".", CHAR(10))</f>
        <v xml:space="preserve">Enter a residential value for 'Other (Specify)' in cell B60.
</v>
      </c>
      <c r="G1069" s="9" t="str">
        <f t="shared" ca="1" si="254"/>
        <v>0</v>
      </c>
    </row>
    <row r="1070" spans="1:7" ht="15" customHeight="1">
      <c r="A1070" t="str">
        <f ca="1">IF(AND(OR(Calculations!$B$3:$B$4), E1070=""), F1070, "")</f>
        <v/>
      </c>
      <c r="B1070" s="52">
        <f>B1069</f>
        <v>60</v>
      </c>
      <c r="C1070" t="str">
        <f t="shared" ca="1" si="252"/>
        <v>Other (Specify)</v>
      </c>
      <c r="D1070" t="str">
        <f>ADDRESS(B1069, 3,4  )</f>
        <v>C60</v>
      </c>
      <c r="E1070">
        <f t="shared" ca="1" si="253"/>
        <v>0</v>
      </c>
      <c r="F1070" t="str">
        <f ca="1">CONCATENATE("Enter a residential 'Amount Last Provided to CHFA' value for '", C1070, "' in cell ", D1070, ".", CHAR(10))</f>
        <v xml:space="preserve">Enter a residential 'Amount Last Provided to CHFA' value for 'Other (Specify)' in cell C60.
</v>
      </c>
      <c r="G1070" s="9" t="str">
        <f t="shared" ca="1" si="254"/>
        <v>0</v>
      </c>
    </row>
    <row r="1071" spans="1:7" ht="15" customHeight="1">
      <c r="A1071" t="str">
        <f ca="1">IF(AND(E1071, SUM(E1069:E1070) &gt; 0), F1071, "")</f>
        <v/>
      </c>
      <c r="C1071" t="str">
        <f ca="1">INDIRECT($F$921 &amp; ADDRESS(B1070, 1,4  ))</f>
        <v>Other (Specify)</v>
      </c>
      <c r="D1071" t="str">
        <f>ADDRESS(B1070, 1,4  )</f>
        <v>A60</v>
      </c>
      <c r="E1071" t="b">
        <f ca="1">INDIRECT($F$921 &amp; D1071)="Other (specify)"</f>
        <v>1</v>
      </c>
      <c r="F1071" t="str">
        <f ca="1">CONCATENATE("Please specify value for '", C1071, "' in cell ", D1071, ".", CHAR(10))</f>
        <v xml:space="preserve">Please specify value for 'Other (Specify)' in cell A60.
</v>
      </c>
      <c r="G1071" s="9" t="str">
        <f t="shared" ca="1" si="254"/>
        <v>0</v>
      </c>
    </row>
    <row r="1072" spans="1:7" ht="15" customHeight="1">
      <c r="A1072" t="str">
        <f ca="1">IF(E1072="",F1072, "")</f>
        <v/>
      </c>
      <c r="B1072">
        <f>ROW('Proforma, Income &amp; Expense'!B61)</f>
        <v>61</v>
      </c>
      <c r="C1072" t="str">
        <f ca="1">INDIRECT($F$921 &amp; ADDRESS(B1072, 1,4  ))</f>
        <v>Other (Specify)</v>
      </c>
      <c r="D1072" t="str">
        <f>ADDRESS(B1072, 2,4  )</f>
        <v>B61</v>
      </c>
      <c r="E1072">
        <f ca="1">IF(ISBLANK( INDIRECT($F$921 &amp; D1072)),"", INDIRECT($F$921 &amp; D1072))</f>
        <v>0</v>
      </c>
      <c r="F1072" t="str">
        <f ca="1">CONCATENATE("Enter a residential value for '", C1072, "' in cell ", D1072, ".", CHAR(10))</f>
        <v xml:space="preserve">Enter a residential value for 'Other (Specify)' in cell B61.
</v>
      </c>
      <c r="G1072" s="9" t="str">
        <f t="shared" ca="1" si="254"/>
        <v>0</v>
      </c>
    </row>
    <row r="1073" spans="1:7" ht="15" customHeight="1">
      <c r="A1073" t="str">
        <f ca="1">IF(AND(OR(Calculations!$B$3:$B$4), E1073=""), F1073, "")</f>
        <v/>
      </c>
      <c r="B1073" s="52">
        <f>B1072</f>
        <v>61</v>
      </c>
      <c r="C1073" t="str">
        <f ca="1">INDIRECT($F$921 &amp; ADDRESS(B1073, 1,4  ))</f>
        <v>Other (Specify)</v>
      </c>
      <c r="D1073" t="str">
        <f>ADDRESS(B1072, 3,4  )</f>
        <v>C61</v>
      </c>
      <c r="E1073">
        <f ca="1">IF(ISBLANK( INDIRECT($F$921 &amp; D1073)),"", INDIRECT($F$921 &amp; D1073))</f>
        <v>0</v>
      </c>
      <c r="F1073" t="str">
        <f ca="1">CONCATENATE("Enter a residential 'Amount Last Provided to CHFA' value for '", C1073, "' in cell ", D1073, ".", CHAR(10))</f>
        <v xml:space="preserve">Enter a residential 'Amount Last Provided to CHFA' value for 'Other (Specify)' in cell C61.
</v>
      </c>
      <c r="G1073" s="9" t="str">
        <f t="shared" ca="1" si="254"/>
        <v>0</v>
      </c>
    </row>
    <row r="1074" spans="1:7" ht="15" customHeight="1">
      <c r="A1074" t="str">
        <f ca="1">IF(AND(E1074, SUM(E1072:E1073) &gt; 0), F1074, "")</f>
        <v/>
      </c>
      <c r="C1074" t="str">
        <f ca="1">INDIRECT($F$921 &amp; ADDRESS(B1073, 1,4  ))</f>
        <v>Other (Specify)</v>
      </c>
      <c r="D1074" t="str">
        <f>ADDRESS(B1073, 1,4  )</f>
        <v>A61</v>
      </c>
      <c r="E1074" t="b">
        <f ca="1">INDIRECT($F$921 &amp; D1074)="Other (specify)"</f>
        <v>1</v>
      </c>
      <c r="F1074" t="str">
        <f ca="1">CONCATENATE("Please specify value for '", C1074, "' in cell ", D1074, ".", CHAR(10))</f>
        <v xml:space="preserve">Please specify value for 'Other (Specify)' in cell A61.
</v>
      </c>
      <c r="G1074" s="9" t="str">
        <f t="shared" ca="1" si="254"/>
        <v>0</v>
      </c>
    </row>
    <row r="1075" spans="1:7" ht="15" customHeight="1">
      <c r="A1075" t="str">
        <f ca="1">IF(E1075="",F1075, "")</f>
        <v/>
      </c>
      <c r="B1075">
        <f>ROW('Proforma, Income &amp; Expense'!B62)</f>
        <v>62</v>
      </c>
      <c r="C1075" t="str">
        <f ca="1">INDIRECT($F$921 &amp; ADDRESS(B1075, 1,4  ))</f>
        <v>Other (Specify)</v>
      </c>
      <c r="D1075" t="str">
        <f>ADDRESS(B1075, 2,4  )</f>
        <v>B62</v>
      </c>
      <c r="E1075">
        <f ca="1">IF(ISBLANK( INDIRECT($F$921 &amp; D1075)),"", INDIRECT($F$921 &amp; D1075))</f>
        <v>0</v>
      </c>
      <c r="F1075" t="str">
        <f ca="1">CONCATENATE("Enter a residential value for '", C1075, "' in cell ", D1075, ".", CHAR(10))</f>
        <v xml:space="preserve">Enter a residential value for 'Other (Specify)' in cell B62.
</v>
      </c>
      <c r="G1075" s="9" t="str">
        <f t="shared" ca="1" si="254"/>
        <v>0</v>
      </c>
    </row>
    <row r="1076" spans="1:7" ht="15" customHeight="1">
      <c r="A1076" t="str">
        <f ca="1">IF(AND(OR(Calculations!$B$3:$B$4), E1076=""), F1076, "")</f>
        <v/>
      </c>
      <c r="B1076" s="52">
        <f>B1075</f>
        <v>62</v>
      </c>
      <c r="C1076" t="str">
        <f ca="1">INDIRECT($F$921 &amp; ADDRESS(B1076, 1,4  ))</f>
        <v>Other (Specify)</v>
      </c>
      <c r="D1076" t="str">
        <f>ADDRESS(B1075, 3,4  )</f>
        <v>C62</v>
      </c>
      <c r="E1076">
        <f ca="1">IF(ISBLANK( INDIRECT($F$921 &amp; D1076)),"", INDIRECT($F$921 &amp; D1076))</f>
        <v>0</v>
      </c>
      <c r="F1076" t="str">
        <f ca="1">CONCATENATE("Enter a residential 'Amount Last Provided to CHFA' value for '", C1076, "' in cell ", D1076, ".", CHAR(10))</f>
        <v xml:space="preserve">Enter a residential 'Amount Last Provided to CHFA' value for 'Other (Specify)' in cell C62.
</v>
      </c>
      <c r="G1076" s="9" t="str">
        <f t="shared" ca="1" si="254"/>
        <v>0</v>
      </c>
    </row>
    <row r="1077" spans="1:7" ht="15" customHeight="1">
      <c r="A1077" t="str">
        <f ca="1">IF(AND(E1077, SUM(E1075:E1076) &gt; 0), F1077, "")</f>
        <v/>
      </c>
      <c r="C1077" t="str">
        <f ca="1">INDIRECT($F$921 &amp; ADDRESS(B1076, 1,4  ))</f>
        <v>Other (Specify)</v>
      </c>
      <c r="D1077" t="str">
        <f>ADDRESS(B1076, 1,4  )</f>
        <v>A62</v>
      </c>
      <c r="E1077" t="b">
        <f ca="1">INDIRECT($F$921 &amp; D1077)="Other (specify)"</f>
        <v>1</v>
      </c>
      <c r="F1077" t="str">
        <f ca="1">CONCATENATE("Please specify value for '", C1077, "' in cell ", D1077, ".", CHAR(10))</f>
        <v xml:space="preserve">Please specify value for 'Other (Specify)' in cell A62.
</v>
      </c>
      <c r="G1077" s="9" t="str">
        <f t="shared" ca="1" si="254"/>
        <v>0</v>
      </c>
    </row>
    <row r="1078" spans="1:7" ht="15" customHeight="1">
      <c r="A1078" t="str">
        <f ca="1">IF(E1078="",F1078, "")</f>
        <v/>
      </c>
      <c r="B1078">
        <f>ROW('Proforma, Income &amp; Expense'!B65)</f>
        <v>65</v>
      </c>
      <c r="C1078" t="str">
        <f t="shared" ref="C1078:C1089" ca="1" si="255">INDIRECT($F$921 &amp; ADDRESS(B1078, 1,4  ))</f>
        <v>Real Estate Taxes</v>
      </c>
      <c r="D1078" t="str">
        <f>ADDRESS(B1078, 2,4  )</f>
        <v>B65</v>
      </c>
      <c r="E1078">
        <f t="shared" ref="E1078:E1089" ca="1" si="256">IF(ISBLANK( INDIRECT($F$921 &amp; D1078)),"", INDIRECT($F$921 &amp; D1078))</f>
        <v>0</v>
      </c>
      <c r="F1078" t="str">
        <f ca="1">CONCATENATE("Enter a residential value for '", C1078, "' in cell ", D1078, ".", CHAR(10))</f>
        <v xml:space="preserve">Enter a residential value for 'Real Estate Taxes' in cell B65.
</v>
      </c>
      <c r="G1078" s="9" t="str">
        <f t="shared" ca="1" si="254"/>
        <v>0</v>
      </c>
    </row>
    <row r="1079" spans="1:7" ht="15" customHeight="1">
      <c r="A1079" t="str">
        <f ca="1">IF(AND(OR(Calculations!$B$3:$B$4), E1079=""), F1079, "")</f>
        <v/>
      </c>
      <c r="B1079" s="52">
        <f>B1078</f>
        <v>65</v>
      </c>
      <c r="C1079" t="str">
        <f t="shared" ca="1" si="255"/>
        <v>Real Estate Taxes</v>
      </c>
      <c r="D1079" t="str">
        <f>ADDRESS(B1078, 3,4  )</f>
        <v>C65</v>
      </c>
      <c r="E1079">
        <f t="shared" ca="1" si="256"/>
        <v>0</v>
      </c>
      <c r="F1079" t="str">
        <f ca="1">CONCATENATE("Enter a residential 'Amount Last Provided to CHFA' value for '", C1079, "' in cell ", D1079, ".", CHAR(10))</f>
        <v xml:space="preserve">Enter a residential 'Amount Last Provided to CHFA' value for 'Real Estate Taxes' in cell C65.
</v>
      </c>
      <c r="G1079" s="9" t="str">
        <f t="shared" ca="1" si="254"/>
        <v>0</v>
      </c>
    </row>
    <row r="1080" spans="1:7" ht="15" customHeight="1">
      <c r="A1080" t="str">
        <f ca="1">IF(E1080="",F1080, "")</f>
        <v/>
      </c>
      <c r="B1080">
        <f>ROW('Proforma, Income &amp; Expense'!B66)</f>
        <v>66</v>
      </c>
      <c r="C1080" t="str">
        <f t="shared" ca="1" si="255"/>
        <v>Payment in Lieu of Taxes</v>
      </c>
      <c r="D1080" t="str">
        <f>ADDRESS(B1080, 2,4  )</f>
        <v>B66</v>
      </c>
      <c r="E1080">
        <f t="shared" ca="1" si="256"/>
        <v>0</v>
      </c>
      <c r="F1080" t="str">
        <f ca="1">CONCATENATE("Enter a residential value for '", C1080, "' in cell ", D1080, ".", CHAR(10))</f>
        <v xml:space="preserve">Enter a residential value for 'Payment in Lieu of Taxes' in cell B66.
</v>
      </c>
      <c r="G1080" s="9" t="str">
        <f t="shared" ca="1" si="254"/>
        <v>0</v>
      </c>
    </row>
    <row r="1081" spans="1:7" ht="15" customHeight="1">
      <c r="A1081" t="str">
        <f ca="1">IF(AND(OR(Calculations!$B$3:$B$4), E1081=""), F1081, "")</f>
        <v/>
      </c>
      <c r="B1081" s="52">
        <f>B1080</f>
        <v>66</v>
      </c>
      <c r="C1081" t="str">
        <f t="shared" ca="1" si="255"/>
        <v>Payment in Lieu of Taxes</v>
      </c>
      <c r="D1081" t="str">
        <f>ADDRESS(B1080, 3,4  )</f>
        <v>C66</v>
      </c>
      <c r="E1081">
        <f t="shared" ca="1" si="256"/>
        <v>0</v>
      </c>
      <c r="F1081" t="str">
        <f ca="1">CONCATENATE("Enter a residential 'Amount Last Provided to CHFA' value for '", C1081, "' in cell ", D1081, ".", CHAR(10))</f>
        <v xml:space="preserve">Enter a residential 'Amount Last Provided to CHFA' value for 'Payment in Lieu of Taxes' in cell C66.
</v>
      </c>
      <c r="G1081" s="9" t="str">
        <f t="shared" ca="1" si="254"/>
        <v>0</v>
      </c>
    </row>
    <row r="1082" spans="1:7" ht="15" customHeight="1">
      <c r="A1082" t="str">
        <f ca="1">IF(E1082="",F1082, "")</f>
        <v/>
      </c>
      <c r="B1082">
        <f>ROW('Proforma, Income &amp; Expense'!B67)</f>
        <v>67</v>
      </c>
      <c r="C1082" t="str">
        <f t="shared" ca="1" si="255"/>
        <v>Other Tax Assessments</v>
      </c>
      <c r="D1082" t="str">
        <f>ADDRESS(B1082, 2,4  )</f>
        <v>B67</v>
      </c>
      <c r="E1082">
        <f t="shared" ca="1" si="256"/>
        <v>0</v>
      </c>
      <c r="F1082" t="str">
        <f ca="1">CONCATENATE("Enter a residential value for '", C1082, "' in cell ", D1082, ".", CHAR(10))</f>
        <v xml:space="preserve">Enter a residential value for 'Other Tax Assessments' in cell B67.
</v>
      </c>
      <c r="G1082" s="9" t="str">
        <f t="shared" ca="1" si="254"/>
        <v>0</v>
      </c>
    </row>
    <row r="1083" spans="1:7" ht="15" customHeight="1">
      <c r="A1083" t="str">
        <f ca="1">IF(AND(OR(Calculations!$B$3:$B$4), E1083=""), F1083, "")</f>
        <v/>
      </c>
      <c r="B1083" s="52">
        <f>B1082</f>
        <v>67</v>
      </c>
      <c r="C1083" t="str">
        <f t="shared" ca="1" si="255"/>
        <v>Other Tax Assessments</v>
      </c>
      <c r="D1083" t="str">
        <f>ADDRESS(B1082, 3,4  )</f>
        <v>C67</v>
      </c>
      <c r="E1083">
        <f t="shared" ca="1" si="256"/>
        <v>0</v>
      </c>
      <c r="F1083" t="str">
        <f ca="1">CONCATENATE("Enter a residential 'Amount Last Provided to CHFA' value for '", C1083, "' in cell ", D1083, ".", CHAR(10))</f>
        <v xml:space="preserve">Enter a residential 'Amount Last Provided to CHFA' value for 'Other Tax Assessments' in cell C67.
</v>
      </c>
      <c r="G1083" s="9" t="str">
        <f t="shared" ca="1" si="254"/>
        <v>0</v>
      </c>
    </row>
    <row r="1084" spans="1:7" ht="15" customHeight="1">
      <c r="A1084" t="str">
        <f ca="1">IF(E1084="",F1084, "")</f>
        <v/>
      </c>
      <c r="B1084">
        <f>ROW('Proforma, Income &amp; Expense'!B68)</f>
        <v>68</v>
      </c>
      <c r="C1084" t="str">
        <f t="shared" ca="1" si="255"/>
        <v>Insurance</v>
      </c>
      <c r="D1084" t="str">
        <f>ADDRESS(B1084, 2,4  )</f>
        <v>B68</v>
      </c>
      <c r="E1084">
        <f t="shared" ca="1" si="256"/>
        <v>0</v>
      </c>
      <c r="F1084" t="str">
        <f ca="1">CONCATENATE("Enter a residential value for '", C1084, "' in cell ", D1084, ".", CHAR(10))</f>
        <v xml:space="preserve">Enter a residential value for 'Insurance' in cell B68.
</v>
      </c>
      <c r="G1084" s="9" t="str">
        <f t="shared" ref="G1084:G1094" ca="1" si="257">OFFSET(G1084, -1, 0) &amp; A1084</f>
        <v>0</v>
      </c>
    </row>
    <row r="1085" spans="1:7" ht="15" customHeight="1">
      <c r="A1085" t="str">
        <f ca="1">IF(AND(OR(Calculations!$B$3:$B$4), E1085=""), F1085, "")</f>
        <v/>
      </c>
      <c r="B1085" s="52">
        <f>B1084</f>
        <v>68</v>
      </c>
      <c r="C1085" t="str">
        <f t="shared" ca="1" si="255"/>
        <v>Insurance</v>
      </c>
      <c r="D1085" t="str">
        <f>ADDRESS(B1084, 3,4  )</f>
        <v>C68</v>
      </c>
      <c r="E1085">
        <f t="shared" ca="1" si="256"/>
        <v>0</v>
      </c>
      <c r="F1085" t="str">
        <f ca="1">CONCATENATE("Enter a residential 'Amount Last Provided to CHFA' value for '", C1085, "' in cell ", D1085, ".", CHAR(10))</f>
        <v xml:space="preserve">Enter a residential 'Amount Last Provided to CHFA' value for 'Insurance' in cell C68.
</v>
      </c>
      <c r="G1085" s="9" t="str">
        <f t="shared" ca="1" si="257"/>
        <v>0</v>
      </c>
    </row>
    <row r="1086" spans="1:7" ht="15" customHeight="1">
      <c r="A1086" t="str">
        <f ca="1">IF(E1086="",F1086, "")</f>
        <v/>
      </c>
      <c r="B1086">
        <f>ROW('Proforma, Income &amp; Expense'!B69)</f>
        <v>69</v>
      </c>
      <c r="C1086" t="str">
        <f t="shared" ca="1" si="255"/>
        <v>Payroll Tax</v>
      </c>
      <c r="D1086" t="str">
        <f>ADDRESS(B1086, 2,4  )</f>
        <v>B69</v>
      </c>
      <c r="E1086">
        <f t="shared" ca="1" si="256"/>
        <v>0</v>
      </c>
      <c r="F1086" t="str">
        <f ca="1">CONCATENATE("Enter a residential value for '", C1086, "' in cell ", D1086, ".", CHAR(10))</f>
        <v xml:space="preserve">Enter a residential value for 'Payroll Tax' in cell B69.
</v>
      </c>
      <c r="G1086" s="9" t="str">
        <f t="shared" ca="1" si="257"/>
        <v>0</v>
      </c>
    </row>
    <row r="1087" spans="1:7" ht="15" customHeight="1">
      <c r="A1087" t="str">
        <f ca="1">IF(AND(OR(Calculations!$B$3:$B$4), E1087=""), F1087, "")</f>
        <v/>
      </c>
      <c r="B1087" s="52">
        <f>B1086</f>
        <v>69</v>
      </c>
      <c r="C1087" t="str">
        <f t="shared" ca="1" si="255"/>
        <v>Payroll Tax</v>
      </c>
      <c r="D1087" t="str">
        <f>ADDRESS(B1086, 3,4  )</f>
        <v>C69</v>
      </c>
      <c r="E1087">
        <f t="shared" ca="1" si="256"/>
        <v>0</v>
      </c>
      <c r="F1087" t="str">
        <f ca="1">CONCATENATE("Enter a residential 'Amount Last Provided to CHFA' value for '", C1087, "' in cell ", D1087, ".", CHAR(10))</f>
        <v xml:space="preserve">Enter a residential 'Amount Last Provided to CHFA' value for 'Payroll Tax' in cell C69.
</v>
      </c>
      <c r="G1087" s="9" t="str">
        <f t="shared" ca="1" si="257"/>
        <v>0</v>
      </c>
    </row>
    <row r="1088" spans="1:7" ht="15" customHeight="1">
      <c r="A1088" t="str">
        <f ca="1">IF(E1088="",F1088, "")</f>
        <v/>
      </c>
      <c r="B1088">
        <f>ROW('Proforma, Income &amp; Expense'!B70)</f>
        <v>70</v>
      </c>
      <c r="C1088" t="str">
        <f t="shared" ca="1" si="255"/>
        <v>Other (Specify)</v>
      </c>
      <c r="D1088" t="str">
        <f>ADDRESS(B1088, 2,4  )</f>
        <v>B70</v>
      </c>
      <c r="E1088">
        <f t="shared" ca="1" si="256"/>
        <v>0</v>
      </c>
      <c r="F1088" t="str">
        <f ca="1">CONCATENATE("Enter a residential value for '", C1088, "' in cell ", D1088, ".", CHAR(10))</f>
        <v xml:space="preserve">Enter a residential value for 'Other (Specify)' in cell B70.
</v>
      </c>
      <c r="G1088" s="9" t="str">
        <f t="shared" ca="1" si="257"/>
        <v>0</v>
      </c>
    </row>
    <row r="1089" spans="1:19" ht="15" customHeight="1">
      <c r="A1089" t="str">
        <f ca="1">IF(AND(OR(Calculations!$B$3:$B$4), E1089=""), F1089, "")</f>
        <v/>
      </c>
      <c r="B1089" s="52">
        <f>B1088</f>
        <v>70</v>
      </c>
      <c r="C1089" t="str">
        <f t="shared" ca="1" si="255"/>
        <v>Other (Specify)</v>
      </c>
      <c r="D1089" t="str">
        <f>ADDRESS(B1088, 3,4  )</f>
        <v>C70</v>
      </c>
      <c r="E1089">
        <f t="shared" ca="1" si="256"/>
        <v>0</v>
      </c>
      <c r="F1089" t="str">
        <f ca="1">CONCATENATE("Enter a residential 'Amount Last Provided to CHFA' value for '", C1089, "' in cell ", D1089, ".", CHAR(10))</f>
        <v xml:space="preserve">Enter a residential 'Amount Last Provided to CHFA' value for 'Other (Specify)' in cell C70.
</v>
      </c>
      <c r="G1089" s="9" t="str">
        <f t="shared" ca="1" si="257"/>
        <v>0</v>
      </c>
    </row>
    <row r="1090" spans="1:19" ht="15" customHeight="1">
      <c r="A1090" t="str">
        <f ca="1">IF(AND(E1090, SUM(E1088:E1089) &gt; 0), F1090, "")</f>
        <v/>
      </c>
      <c r="C1090" t="str">
        <f ca="1">INDIRECT($F$921 &amp; ADDRESS(B1089, 1,4  ))</f>
        <v>Other (Specify)</v>
      </c>
      <c r="D1090" t="str">
        <f>ADDRESS(B1089, 1,4  )</f>
        <v>A70</v>
      </c>
      <c r="E1090" t="b">
        <f ca="1">INDIRECT($F$921 &amp; D1090)="Other (specify)"</f>
        <v>1</v>
      </c>
      <c r="F1090" t="str">
        <f ca="1">CONCATENATE("Please specify value for '", C1090, "' in cell ", D1090, ".", CHAR(10))</f>
        <v xml:space="preserve">Please specify value for 'Other (Specify)' in cell A70.
</v>
      </c>
      <c r="G1090" s="9" t="str">
        <f t="shared" ca="1" si="257"/>
        <v>0</v>
      </c>
    </row>
    <row r="1091" spans="1:19" ht="15" customHeight="1">
      <c r="A1091" t="str">
        <f ca="1">IF(E1091="",F1091, "")</f>
        <v/>
      </c>
      <c r="B1091">
        <f>ROW('Proforma, Income &amp; Expense'!B71)</f>
        <v>71</v>
      </c>
      <c r="C1091" t="str">
        <f ca="1">INDIRECT($F$921 &amp; ADDRESS(B1091, 1,4  ))</f>
        <v>Other (Specify)</v>
      </c>
      <c r="D1091" t="str">
        <f>ADDRESS(B1091, 2,4  )</f>
        <v>B71</v>
      </c>
      <c r="E1091">
        <f ca="1">IF(ISBLANK( INDIRECT($F$921 &amp; D1091)),"", INDIRECT($F$921 &amp; D1091))</f>
        <v>0</v>
      </c>
      <c r="F1091" t="str">
        <f ca="1">CONCATENATE("Enter a residential value for '", C1091, "' in cell ", D1091, ".", CHAR(10))</f>
        <v xml:space="preserve">Enter a residential value for 'Other (Specify)' in cell B71.
</v>
      </c>
      <c r="G1091" s="9" t="str">
        <f t="shared" ca="1" si="257"/>
        <v>0</v>
      </c>
    </row>
    <row r="1092" spans="1:19" ht="15" customHeight="1">
      <c r="A1092" t="str">
        <f ca="1">IF(AND(OR(Calculations!$B$3:$B$4), E1092=""), F1092, "")</f>
        <v/>
      </c>
      <c r="B1092" s="52">
        <f>B1091</f>
        <v>71</v>
      </c>
      <c r="C1092" t="str">
        <f ca="1">INDIRECT($F$921 &amp; ADDRESS(B1092, 1,4  ))</f>
        <v>Other (Specify)</v>
      </c>
      <c r="D1092" t="str">
        <f>ADDRESS(B1091, 3,4  )</f>
        <v>C71</v>
      </c>
      <c r="E1092">
        <f ca="1">IF(ISBLANK( INDIRECT($F$921 &amp; D1092)),"", INDIRECT($F$921 &amp; D1092))</f>
        <v>0</v>
      </c>
      <c r="F1092" t="str">
        <f ca="1">CONCATENATE("Enter a residential 'Amount Last Provided to CHFA' value for '", C1092, "' in cell ", D1092, ".", CHAR(10))</f>
        <v xml:space="preserve">Enter a residential 'Amount Last Provided to CHFA' value for 'Other (Specify)' in cell C71.
</v>
      </c>
      <c r="G1092" s="9" t="str">
        <f t="shared" ca="1" si="257"/>
        <v>0</v>
      </c>
    </row>
    <row r="1093" spans="1:19" ht="15" customHeight="1">
      <c r="A1093" t="str">
        <f ca="1">IF(AND(E1093, SUM(E1091:E1092) &gt; 0), F1093, "")</f>
        <v/>
      </c>
      <c r="C1093" t="str">
        <f ca="1">INDIRECT($F$921 &amp; ADDRESS(B1092, 1,4  ))</f>
        <v>Other (Specify)</v>
      </c>
      <c r="D1093" t="str">
        <f>ADDRESS(B1092, 1,4  )</f>
        <v>A71</v>
      </c>
      <c r="E1093" t="b">
        <f ca="1">INDIRECT($F$921 &amp; D1093)="Other (specify)"</f>
        <v>1</v>
      </c>
      <c r="F1093" t="str">
        <f ca="1">CONCATENATE("Please specify value for '", C1093, "' in cell ", D1093, ".", CHAR(10))</f>
        <v xml:space="preserve">Please specify value for 'Other (Specify)' in cell A71.
</v>
      </c>
      <c r="G1093" s="9" t="str">
        <f t="shared" ca="1" si="257"/>
        <v>0</v>
      </c>
    </row>
    <row r="1094" spans="1:19" ht="15" customHeight="1">
      <c r="A1094" t="str">
        <f ca="1">IF(E1094="",F1094, "")</f>
        <v xml:space="preserve">Enter a value for 'Total Per Unit Annual Replacement Reserves' in cell B76.
</v>
      </c>
      <c r="B1094">
        <f>ROW('Proforma, Income &amp; Expense'!B76)</f>
        <v>76</v>
      </c>
      <c r="C1094" t="str">
        <f ca="1">INDIRECT($F$921 &amp; ADDRESS(B1094, 1,4  ))</f>
        <v>Total Per Unit Annual Replacement Reserves</v>
      </c>
      <c r="D1094" t="str">
        <f>ADDRESS(B1094, 2,4  )</f>
        <v>B76</v>
      </c>
      <c r="E1094" t="str">
        <f ca="1">IF(ISBLANK( INDIRECT($F$921 &amp; D1094)),"", INDIRECT($F$921 &amp; D1094))</f>
        <v/>
      </c>
      <c r="F1094" t="str">
        <f ca="1">CONCATENATE("Enter a value for '", C1094, "' in cell ", D1094, ".", CHAR(10))</f>
        <v xml:space="preserve">Enter a value for 'Total Per Unit Annual Replacement Reserves' in cell B76.
</v>
      </c>
      <c r="G1094" s="9" t="str">
        <f t="shared" ca="1" si="257"/>
        <v xml:space="preserve">0Enter a value for 'Total Per Unit Annual Replacement Reserves' in cell B76.
</v>
      </c>
    </row>
    <row r="1095" spans="1:19" ht="15" customHeight="1">
      <c r="A1095" t="str">
        <f t="shared" ref="A1095" ca="1" si="258">IF(E1095="",F1095, "")</f>
        <v/>
      </c>
      <c r="B1095">
        <f>ROW('Proforma, Income &amp; Expense'!B77)</f>
        <v>77</v>
      </c>
      <c r="C1095" t="str">
        <f t="shared" ref="C1095" ca="1" si="259">INDIRECT($F$921 &amp; ADDRESS(B1095, 1,4  ))</f>
        <v>Indicate if requesting waiver of Minimum PUPA Requirement.</v>
      </c>
      <c r="D1095" t="str">
        <f t="shared" ref="D1095" si="260">ADDRESS(B1095, 2,4  )</f>
        <v>B77</v>
      </c>
      <c r="E1095" t="str">
        <f t="shared" ref="E1095" ca="1" si="261">IF(ISBLANK( INDIRECT($F$921 &amp; D1095)),"", INDIRECT($F$921 &amp; D1095))</f>
        <v>No</v>
      </c>
      <c r="F1095" t="str">
        <f t="shared" ref="F1095" ca="1" si="262">CONCATENATE("Enter a value for '", C1095, "' in cell ", D1095, ".", CHAR(10))</f>
        <v xml:space="preserve">Enter a value for 'Indicate if requesting waiver of Minimum PUPA Requirement.' in cell B77.
</v>
      </c>
      <c r="G1095" s="9" t="str">
        <f t="shared" ref="G1095" ca="1" si="263">OFFSET(G1095, -1, 0) &amp; A1095</f>
        <v xml:space="preserve">0Enter a value for 'Total Per Unit Annual Replacement Reserves' in cell B76.
</v>
      </c>
    </row>
    <row r="1096" spans="1:19" ht="15" customHeight="1">
      <c r="G1096" s="9"/>
    </row>
    <row r="1097" spans="1:19" ht="15" customHeight="1">
      <c r="G1097" s="9"/>
    </row>
    <row r="1098" spans="1:19" ht="15" customHeight="1">
      <c r="A1098" s="55" t="s">
        <v>3698</v>
      </c>
      <c r="B1098" s="53"/>
      <c r="C1098" s="53"/>
      <c r="D1098" s="53"/>
      <c r="E1098" s="53"/>
      <c r="F1098" s="53"/>
      <c r="G1098" s="629">
        <f ca="1">OFFSET(G1098,-1,0)</f>
        <v>0</v>
      </c>
    </row>
    <row r="1099" spans="1:19" ht="15" customHeight="1"/>
    <row r="1100" spans="1:19" ht="15" customHeight="1"/>
    <row r="1101" spans="1:19" ht="15" customHeight="1">
      <c r="A1101" s="22" t="s">
        <v>87</v>
      </c>
      <c r="F1101" s="49" t="s">
        <v>3699</v>
      </c>
    </row>
    <row r="1102" spans="1:19" ht="15" customHeight="1">
      <c r="A1102" s="53" t="s">
        <v>3652</v>
      </c>
      <c r="B1102" s="53" t="s">
        <v>3653</v>
      </c>
      <c r="C1102" s="53" t="s">
        <v>3654</v>
      </c>
      <c r="D1102" s="53" t="s">
        <v>3655</v>
      </c>
      <c r="E1102" s="53" t="s">
        <v>3656</v>
      </c>
      <c r="F1102" s="53" t="s">
        <v>3657</v>
      </c>
      <c r="G1102" s="54" t="s">
        <v>3658</v>
      </c>
      <c r="H1102" s="53" t="s">
        <v>3700</v>
      </c>
      <c r="I1102" s="53" t="s">
        <v>3701</v>
      </c>
    </row>
    <row r="1103" spans="1:19" ht="15" customHeight="1">
      <c r="A1103" t="str">
        <f t="shared" ref="A1103:A1109" ca="1" si="264">IF(AND(E1103, H1103), F1103, "")</f>
        <v xml:space="preserve">Enter all information for Applicant to be Published on Reports.
</v>
      </c>
      <c r="B1103">
        <f>ROW('Contact Information'!B6)</f>
        <v>6</v>
      </c>
      <c r="C1103" t="str">
        <f ca="1">INDIRECT($F$1101 &amp; ADDRESS(B1103-1, 1,4  ))</f>
        <v>Applicant to be Published on Reports</v>
      </c>
      <c r="D1103" t="str">
        <f t="shared" ref="D1103:D1137" si="265">CONCATENATE(ADDRESS(B1103, 2, 4), ":", ADDRESS(B1103+I1103-1, 2,4))</f>
        <v>B6:B10</v>
      </c>
      <c r="E1103" t="b">
        <f t="shared" ref="E1103:E1137" ca="1" si="266">(J1103+K1103) - I1103 &lt;&gt; 0</f>
        <v>1</v>
      </c>
      <c r="F1103" t="str">
        <f t="shared" ref="F1103:F1137" ca="1" si="267">CONCATENATE("Enter all information for " &amp; C1103 &amp; ".", CHAR(10))</f>
        <v xml:space="preserve">Enter all information for Applicant to be Published on Reports.
</v>
      </c>
      <c r="G1103" t="str">
        <f ca="1">A1103</f>
        <v xml:space="preserve">Enter all information for Applicant to be Published on Reports.
</v>
      </c>
      <c r="H1103" t="b">
        <f>TRUE</f>
        <v>1</v>
      </c>
      <c r="I1103">
        <v>5</v>
      </c>
      <c r="J1103" s="52">
        <f ca="1">SUMPRODUCT(--ISTEXT(INDIRECT(L1103)))</f>
        <v>0</v>
      </c>
      <c r="K1103" s="52">
        <f ca="1">SUMPRODUCT(--ISNUMBER(INDIRECT(L1103)))</f>
        <v>0</v>
      </c>
      <c r="L1103" s="52" t="str">
        <f t="shared" ref="L1103:L1137" si="268">$F$1101 &amp; D1103</f>
        <v>'Contact Information'!B6:B10</v>
      </c>
      <c r="S1103" t="s">
        <v>3702</v>
      </c>
    </row>
    <row r="1104" spans="1:19" ht="15" customHeight="1">
      <c r="A1104" t="str">
        <f t="shared" ca="1" si="264"/>
        <v xml:space="preserve">Enter all information for Applicant Contact for Application Questions .
</v>
      </c>
      <c r="B1104">
        <f>ROW('Contact Information'!B13)</f>
        <v>13</v>
      </c>
      <c r="C1104" t="str">
        <f t="shared" ref="C1104:C1137" ca="1" si="269">INDIRECT($F$1101 &amp; ADDRESS(B1104-1, 1,4  ))</f>
        <v xml:space="preserve">Applicant Contact for Application Questions </v>
      </c>
      <c r="D1104" t="str">
        <f t="shared" si="265"/>
        <v>B13:B21</v>
      </c>
      <c r="E1104" t="b">
        <f t="shared" ca="1" si="266"/>
        <v>1</v>
      </c>
      <c r="F1104" t="str">
        <f t="shared" ca="1" si="267"/>
        <v xml:space="preserve">Enter all information for Applicant Contact for Application Questions .
</v>
      </c>
      <c r="G1104" s="9" t="str">
        <f t="shared" ref="G1104:G1105" ca="1" si="270">OFFSET(G1104, -1, 0) &amp; A1104</f>
        <v xml:space="preserve">Enter all information for Applicant to be Published on Reports.
Enter all information for Applicant Contact for Application Questions .
</v>
      </c>
      <c r="H1104" t="b">
        <f>TRUE</f>
        <v>1</v>
      </c>
      <c r="I1104" s="9">
        <v>9</v>
      </c>
      <c r="J1104" s="52">
        <f ca="1">SUMPRODUCT(--ISTEXT(INDIRECT(L1104)))</f>
        <v>0</v>
      </c>
      <c r="K1104" s="52">
        <f ca="1">SUMPRODUCT(--ISNUMBER(INDIRECT(L1104)))</f>
        <v>0</v>
      </c>
      <c r="L1104" s="52" t="str">
        <f t="shared" si="268"/>
        <v>'Contact Information'!B13:B21</v>
      </c>
      <c r="S1104" t="s">
        <v>3703</v>
      </c>
    </row>
    <row r="1105" spans="1:16" ht="15" customHeight="1">
      <c r="A1105" t="str">
        <f t="shared" ca="1" si="264"/>
        <v xml:space="preserve">Enter all information for Developer Contact .
</v>
      </c>
      <c r="B1105">
        <f>ROW('Contact Information'!B66)</f>
        <v>66</v>
      </c>
      <c r="C1105" t="str">
        <f t="shared" ca="1" si="269"/>
        <v xml:space="preserve">Developer Contact </v>
      </c>
      <c r="D1105" t="str">
        <f t="shared" si="265"/>
        <v>B66:B74</v>
      </c>
      <c r="E1105" t="b">
        <f t="shared" ca="1" si="266"/>
        <v>1</v>
      </c>
      <c r="F1105" t="str">
        <f t="shared" ca="1" si="267"/>
        <v xml:space="preserve">Enter all information for Developer Contact .
</v>
      </c>
      <c r="G1105" s="9" t="str">
        <f t="shared" ca="1" si="270"/>
        <v xml:space="preserve">Enter all information for Applicant to be Published on Reports.
Enter all information for Applicant Contact for Application Questions .
Enter all information for Developer Contact .
</v>
      </c>
      <c r="H1105" t="b">
        <f>TRUE</f>
        <v>1</v>
      </c>
      <c r="I1105" s="9">
        <v>9</v>
      </c>
      <c r="J1105" s="52">
        <f t="shared" ref="J1105" ca="1" si="271">SUMPRODUCT(--ISTEXT(INDIRECT(L1105)))</f>
        <v>0</v>
      </c>
      <c r="K1105" s="52">
        <f t="shared" ref="K1105:K1136" ca="1" si="272">SUMPRODUCT(--ISNUMBER(INDIRECT(L1105)))</f>
        <v>0</v>
      </c>
      <c r="L1105" s="52" t="str">
        <f t="shared" si="268"/>
        <v>'Contact Information'!B66:B74</v>
      </c>
    </row>
    <row r="1106" spans="1:16" ht="15" customHeight="1">
      <c r="A1106" t="str">
        <f ca="1">IF(AND(E1106, H1106), F1106, "")</f>
        <v xml:space="preserve">Enter all information for Syndicator/Investor .
</v>
      </c>
      <c r="B1106">
        <f>ROW('Contact Information'!B80)</f>
        <v>80</v>
      </c>
      <c r="C1106" t="str">
        <f t="shared" ca="1" si="269"/>
        <v xml:space="preserve">Syndicator/Investor </v>
      </c>
      <c r="D1106" t="str">
        <f t="shared" si="265"/>
        <v>B80:B88</v>
      </c>
      <c r="E1106" t="b">
        <f t="shared" ca="1" si="266"/>
        <v>1</v>
      </c>
      <c r="F1106" t="str">
        <f t="shared" ca="1" si="267"/>
        <v xml:space="preserve">Enter all information for Syndicator/Investor .
</v>
      </c>
      <c r="G1106" s="9" t="str">
        <f t="shared" ref="G1106:G1124" ca="1" si="273">OFFSET(G1106, -1, 0) &amp; A1106</f>
        <v xml:space="preserve">Enter all information for Applicant to be Published on Reports.
Enter all information for Applicant Contact for Application Questions .
Enter all information for Developer Contact .
Enter all information for Syndicator/Investor .
</v>
      </c>
      <c r="H1106" t="b">
        <f>TRUE</f>
        <v>1</v>
      </c>
      <c r="I1106" s="9">
        <v>9</v>
      </c>
      <c r="J1106" s="52">
        <f t="shared" ref="J1106:J1114" ca="1" si="274">SUMPRODUCT(--ISTEXT(INDIRECT(L1106)))</f>
        <v>0</v>
      </c>
      <c r="K1106" s="52">
        <f t="shared" ca="1" si="272"/>
        <v>0</v>
      </c>
      <c r="L1106" s="52" t="str">
        <f t="shared" si="268"/>
        <v>'Contact Information'!B80:B88</v>
      </c>
    </row>
    <row r="1107" spans="1:16" ht="15" customHeight="1">
      <c r="A1107" t="str">
        <f t="shared" ca="1" si="264"/>
        <v xml:space="preserve">Enter all information for State TC Syndicator/Investor.
</v>
      </c>
      <c r="B1107">
        <f>ROW('Contact Information'!B91)</f>
        <v>91</v>
      </c>
      <c r="C1107" t="str">
        <f t="shared" ca="1" si="269"/>
        <v>State TC Syndicator/Investor</v>
      </c>
      <c r="D1107" t="str">
        <f t="shared" si="265"/>
        <v>B91:B99</v>
      </c>
      <c r="E1107" t="b">
        <f t="shared" ca="1" si="266"/>
        <v>1</v>
      </c>
      <c r="F1107" t="str">
        <f t="shared" ca="1" si="267"/>
        <v xml:space="preserve">Enter all information for State TC Syndicator/Investor.
</v>
      </c>
      <c r="G1107"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v>
      </c>
      <c r="H1107" t="b">
        <f>TRUE</f>
        <v>1</v>
      </c>
      <c r="I1107" s="9">
        <v>9</v>
      </c>
      <c r="J1107" s="52">
        <f t="shared" ca="1" si="274"/>
        <v>0</v>
      </c>
      <c r="K1107" s="52">
        <f t="shared" ca="1" si="272"/>
        <v>0</v>
      </c>
      <c r="L1107" s="52" t="str">
        <f t="shared" si="268"/>
        <v>'Contact Information'!B91:B99</v>
      </c>
    </row>
    <row r="1108" spans="1:16" ht="15" customHeight="1">
      <c r="A1108" t="str">
        <f t="shared" ca="1" si="264"/>
        <v xml:space="preserve">Enter all information for Ownership Entity (if formed, required for Carryover, PIS/Final and CHFA Loan).
</v>
      </c>
      <c r="B1108">
        <f>ROW('Contact Information'!B102)</f>
        <v>102</v>
      </c>
      <c r="C1108" t="str">
        <f t="shared" ca="1" si="269"/>
        <v>Ownership Entity (if formed, required for Carryover, PIS/Final and CHFA Loan)</v>
      </c>
      <c r="D1108" t="str">
        <f t="shared" si="265"/>
        <v>B102:B112</v>
      </c>
      <c r="E1108" t="b">
        <f t="shared" ca="1" si="266"/>
        <v>1</v>
      </c>
      <c r="F1108" t="str">
        <f t="shared" ca="1" si="267"/>
        <v xml:space="preserve">Enter all information for Ownership Entity (if formed, required for Carryover, PIS/Final and CHFA Loan).
</v>
      </c>
      <c r="G1108"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v>
      </c>
      <c r="H1108" t="b">
        <f>TRUE</f>
        <v>1</v>
      </c>
      <c r="I1108" s="9">
        <v>11</v>
      </c>
      <c r="J1108" s="52">
        <f t="shared" ca="1" si="274"/>
        <v>0</v>
      </c>
      <c r="K1108" s="52">
        <f t="shared" ca="1" si="272"/>
        <v>0</v>
      </c>
      <c r="L1108" s="52" t="str">
        <f t="shared" si="268"/>
        <v>'Contact Information'!B102:B112</v>
      </c>
    </row>
    <row r="1109" spans="1:16" ht="15" customHeight="1">
      <c r="A1109" t="str">
        <f t="shared" ca="1" si="264"/>
        <v xml:space="preserve">Enter all information for Participating Nonprofit or PHA.
</v>
      </c>
      <c r="B1109">
        <f>ROW('Contact Information'!B117)</f>
        <v>117</v>
      </c>
      <c r="C1109" t="str">
        <f t="shared" ca="1" si="269"/>
        <v>Participating Nonprofit or PHA</v>
      </c>
      <c r="D1109" t="str">
        <f t="shared" si="265"/>
        <v>B117:B127</v>
      </c>
      <c r="E1109" t="b">
        <f t="shared" ca="1" si="266"/>
        <v>1</v>
      </c>
      <c r="F1109" t="str">
        <f t="shared" ca="1" si="267"/>
        <v xml:space="preserve">Enter all information for Participating Nonprofit or PHA.
</v>
      </c>
      <c r="G1109"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v>
      </c>
      <c r="H1109" t="b">
        <f>TRUE</f>
        <v>1</v>
      </c>
      <c r="I1109" s="9">
        <v>11</v>
      </c>
      <c r="J1109" s="52">
        <f t="shared" ca="1" si="274"/>
        <v>0</v>
      </c>
      <c r="K1109" s="52">
        <f t="shared" ca="1" si="272"/>
        <v>0</v>
      </c>
      <c r="L1109" s="52" t="str">
        <f t="shared" si="268"/>
        <v>'Contact Information'!B117:B127</v>
      </c>
      <c r="P1109" t="s">
        <v>3704</v>
      </c>
    </row>
    <row r="1110" spans="1:16" ht="15" customHeight="1">
      <c r="A1110" t="str">
        <f t="shared" ref="A1110:A1137" ca="1" si="275">IF(AND(E1110, H1110), F1110, "")</f>
        <v/>
      </c>
      <c r="B1110">
        <f>ROW('Contact Information'!B147)</f>
        <v>147</v>
      </c>
      <c r="C1110" t="str">
        <f t="shared" ca="1" si="269"/>
        <v>3rd Party Estimator</v>
      </c>
      <c r="D1110" t="str">
        <f t="shared" si="265"/>
        <v>B147:B155</v>
      </c>
      <c r="E1110" t="b">
        <f t="shared" ca="1" si="266"/>
        <v>1</v>
      </c>
      <c r="F1110" t="str">
        <f t="shared" ca="1" si="267"/>
        <v xml:space="preserve">Enter all information for 3rd Party Estimator.
</v>
      </c>
      <c r="G1110"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v>
      </c>
      <c r="H1110" t="b">
        <f>Calculations!$B$2</f>
        <v>0</v>
      </c>
      <c r="I1110" s="9">
        <v>9</v>
      </c>
      <c r="J1110" s="52">
        <f t="shared" ca="1" si="274"/>
        <v>0</v>
      </c>
      <c r="K1110" s="52">
        <f t="shared" ca="1" si="272"/>
        <v>0</v>
      </c>
      <c r="L1110" s="52" t="str">
        <f t="shared" si="268"/>
        <v>'Contact Information'!B147:B155</v>
      </c>
    </row>
    <row r="1111" spans="1:16" ht="15" customHeight="1">
      <c r="A1111" t="str">
        <f t="shared" ca="1" si="275"/>
        <v xml:space="preserve">Enter all information for General Partner.
</v>
      </c>
      <c r="B1111">
        <f>ROW('Contact Information'!B158)</f>
        <v>158</v>
      </c>
      <c r="C1111" t="str">
        <f t="shared" ca="1" si="269"/>
        <v>General Partner</v>
      </c>
      <c r="D1111" t="str">
        <f t="shared" si="265"/>
        <v>B158:B166</v>
      </c>
      <c r="E1111" t="b">
        <f t="shared" ca="1" si="266"/>
        <v>1</v>
      </c>
      <c r="F1111" t="str">
        <f t="shared" ca="1" si="267"/>
        <v xml:space="preserve">Enter all information for General Partner.
</v>
      </c>
      <c r="G1111"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v>
      </c>
      <c r="H1111" t="b">
        <f>TRUE</f>
        <v>1</v>
      </c>
      <c r="I1111" s="9">
        <v>9</v>
      </c>
      <c r="J1111" s="52">
        <f t="shared" ca="1" si="274"/>
        <v>0</v>
      </c>
      <c r="K1111" s="52">
        <f t="shared" ca="1" si="272"/>
        <v>0</v>
      </c>
      <c r="L1111" s="52" t="str">
        <f t="shared" si="268"/>
        <v>'Contact Information'!B158:B166</v>
      </c>
    </row>
    <row r="1112" spans="1:16" ht="15" customHeight="1">
      <c r="A1112" t="str">
        <f t="shared" ca="1" si="275"/>
        <v xml:space="preserve">Enter all information for General Contractor.
</v>
      </c>
      <c r="B1112">
        <f>ROW('Contact Information'!B172)</f>
        <v>172</v>
      </c>
      <c r="C1112" t="str">
        <f t="shared" ca="1" si="269"/>
        <v>General Contractor</v>
      </c>
      <c r="D1112" t="str">
        <f t="shared" si="265"/>
        <v>B172:B180</v>
      </c>
      <c r="E1112" t="b">
        <f t="shared" ca="1" si="266"/>
        <v>1</v>
      </c>
      <c r="F1112" t="str">
        <f t="shared" ca="1" si="267"/>
        <v xml:space="preserve">Enter all information for General Contractor.
</v>
      </c>
      <c r="G1112"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v>
      </c>
      <c r="H1112" t="b">
        <f>TRUE</f>
        <v>1</v>
      </c>
      <c r="I1112" s="9">
        <v>9</v>
      </c>
      <c r="J1112" s="52">
        <f t="shared" ca="1" si="274"/>
        <v>0</v>
      </c>
      <c r="K1112" s="52">
        <f t="shared" ca="1" si="272"/>
        <v>0</v>
      </c>
      <c r="L1112" s="52" t="str">
        <f t="shared" si="268"/>
        <v>'Contact Information'!B172:B180</v>
      </c>
    </row>
    <row r="1113" spans="1:16" ht="15" customHeight="1">
      <c r="A1113" t="str">
        <f t="shared" ca="1" si="275"/>
        <v xml:space="preserve">Enter all information for Management Company.
</v>
      </c>
      <c r="B1113">
        <f>ROW('Contact Information'!B186)</f>
        <v>186</v>
      </c>
      <c r="C1113" t="str">
        <f t="shared" ca="1" si="269"/>
        <v>Management Company</v>
      </c>
      <c r="D1113" t="str">
        <f t="shared" si="265"/>
        <v>B186:B194</v>
      </c>
      <c r="E1113" t="b">
        <f t="shared" ca="1" si="266"/>
        <v>1</v>
      </c>
      <c r="F1113" t="str">
        <f t="shared" ca="1" si="267"/>
        <v xml:space="preserve">Enter all information for Management Company.
</v>
      </c>
      <c r="G1113"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v>
      </c>
      <c r="H1113" t="b">
        <f>TRUE</f>
        <v>1</v>
      </c>
      <c r="I1113" s="9">
        <v>9</v>
      </c>
      <c r="J1113" s="52">
        <f t="shared" ca="1" si="274"/>
        <v>0</v>
      </c>
      <c r="K1113" s="52">
        <f t="shared" ca="1" si="272"/>
        <v>0</v>
      </c>
      <c r="L1113" s="52" t="str">
        <f t="shared" si="268"/>
        <v>'Contact Information'!B186:B194</v>
      </c>
    </row>
    <row r="1114" spans="1:16" ht="15" customHeight="1">
      <c r="A1114" t="str">
        <f t="shared" ca="1" si="275"/>
        <v/>
      </c>
      <c r="B1114">
        <f>ROW('Contact Information'!B200)</f>
        <v>200</v>
      </c>
      <c r="C1114" t="str">
        <f t="shared" ca="1" si="269"/>
        <v>Fee/Turnkey Developer</v>
      </c>
      <c r="D1114" t="str">
        <f t="shared" si="265"/>
        <v>B200:B208</v>
      </c>
      <c r="E1114" t="b">
        <f t="shared" ca="1" si="266"/>
        <v>1</v>
      </c>
      <c r="F1114" t="str">
        <f t="shared" ca="1" si="267"/>
        <v xml:space="preserve">Enter all information for Fee/Turnkey Developer.
</v>
      </c>
      <c r="G1114" s="9" t="str">
        <f t="shared" ref="G1114" ca="1" si="276">OFFSET(G1114, -1, 0) &amp; A1114</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v>
      </c>
      <c r="H1114" t="b">
        <f>Calculations!$B$2</f>
        <v>0</v>
      </c>
      <c r="I1114" s="9">
        <v>9</v>
      </c>
      <c r="J1114" s="52">
        <f t="shared" ca="1" si="274"/>
        <v>0</v>
      </c>
      <c r="K1114" s="52">
        <f t="shared" ref="K1114" ca="1" si="277">SUMPRODUCT(--ISNUMBER(INDIRECT(L1114)))</f>
        <v>0</v>
      </c>
      <c r="L1114" s="52" t="str">
        <f t="shared" si="268"/>
        <v>'Contact Information'!B200:B208</v>
      </c>
      <c r="P1114" t="s">
        <v>3704</v>
      </c>
    </row>
    <row r="1115" spans="1:16" ht="15" customHeight="1">
      <c r="A1115" t="str">
        <f t="shared" ca="1" si="275"/>
        <v xml:space="preserve">Enter all information for Consultant (specify).
</v>
      </c>
      <c r="B1115">
        <f>ROW('Contact Information'!B214)</f>
        <v>214</v>
      </c>
      <c r="C1115" t="str">
        <f t="shared" ca="1" si="269"/>
        <v>Consultant (specify)</v>
      </c>
      <c r="D1115" t="str">
        <f t="shared" si="265"/>
        <v>B214:B222</v>
      </c>
      <c r="E1115" t="b">
        <f t="shared" ca="1" si="266"/>
        <v>1</v>
      </c>
      <c r="F1115" t="str">
        <f t="shared" ca="1" si="267"/>
        <v xml:space="preserve">Enter all information for Consultant (specify).
</v>
      </c>
      <c r="G1115"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v>
      </c>
      <c r="H1115" t="b">
        <f>TRUE</f>
        <v>1</v>
      </c>
      <c r="I1115" s="9">
        <v>9</v>
      </c>
      <c r="J1115" s="52">
        <f t="shared" ref="J1115:J1128" ca="1" si="278">SUMPRODUCT(--ISTEXT(INDIRECT(L1115)))</f>
        <v>0</v>
      </c>
      <c r="K1115" s="52">
        <f t="shared" ca="1" si="272"/>
        <v>0</v>
      </c>
      <c r="L1115" s="52" t="str">
        <f t="shared" si="268"/>
        <v>'Contact Information'!B214:B222</v>
      </c>
      <c r="P1115" t="s">
        <v>3704</v>
      </c>
    </row>
    <row r="1116" spans="1:16" ht="15" customHeight="1">
      <c r="A1116" t="str">
        <f t="shared" ca="1" si="275"/>
        <v/>
      </c>
      <c r="B1116">
        <f>ROW('Contact Information'!B226)</f>
        <v>226</v>
      </c>
      <c r="C1116" t="str">
        <f t="shared" ca="1" si="269"/>
        <v>Consultant (specify)</v>
      </c>
      <c r="D1116" t="str">
        <f t="shared" si="265"/>
        <v>B226:B234</v>
      </c>
      <c r="E1116" t="b">
        <f t="shared" ca="1" si="266"/>
        <v>1</v>
      </c>
      <c r="F1116" t="str">
        <f t="shared" ca="1" si="267"/>
        <v xml:space="preserve">Enter all information for Consultant (specify).
</v>
      </c>
      <c r="G1116"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v>
      </c>
      <c r="H1116" t="b">
        <f>Calculations!$B$2</f>
        <v>0</v>
      </c>
      <c r="I1116" s="9">
        <v>9</v>
      </c>
      <c r="J1116" s="52">
        <f t="shared" ca="1" si="278"/>
        <v>0</v>
      </c>
      <c r="K1116" s="52">
        <f t="shared" ca="1" si="272"/>
        <v>0</v>
      </c>
      <c r="L1116" s="52" t="str">
        <f t="shared" si="268"/>
        <v>'Contact Information'!B226:B234</v>
      </c>
      <c r="P1116" t="s">
        <v>3704</v>
      </c>
    </row>
    <row r="1117" spans="1:16" ht="15" customHeight="1">
      <c r="A1117" t="str">
        <f t="shared" ca="1" si="275"/>
        <v/>
      </c>
      <c r="B1117">
        <f>ROW('Contact Information'!B238)</f>
        <v>238</v>
      </c>
      <c r="C1117" t="str">
        <f t="shared" ca="1" si="269"/>
        <v>Consultant (specify)</v>
      </c>
      <c r="D1117" t="str">
        <f t="shared" si="265"/>
        <v>B238:B246</v>
      </c>
      <c r="E1117" t="b">
        <f t="shared" ca="1" si="266"/>
        <v>1</v>
      </c>
      <c r="F1117" t="str">
        <f t="shared" ca="1" si="267"/>
        <v xml:space="preserve">Enter all information for Consultant (specify).
</v>
      </c>
      <c r="G1117"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v>
      </c>
      <c r="H1117" t="b">
        <f>Calculations!$B$2</f>
        <v>0</v>
      </c>
      <c r="I1117" s="9">
        <v>9</v>
      </c>
      <c r="J1117" s="52">
        <f t="shared" ca="1" si="278"/>
        <v>0</v>
      </c>
      <c r="K1117" s="52">
        <f t="shared" ca="1" si="272"/>
        <v>0</v>
      </c>
      <c r="L1117" s="52" t="str">
        <f t="shared" si="268"/>
        <v>'Contact Information'!B238:B246</v>
      </c>
    </row>
    <row r="1118" spans="1:16" ht="15" customHeight="1">
      <c r="A1118" t="str">
        <f t="shared" ca="1" si="275"/>
        <v xml:space="preserve">Enter all information for Tax Attorney Firm.
</v>
      </c>
      <c r="B1118">
        <f>ROW('Contact Information'!B250)</f>
        <v>250</v>
      </c>
      <c r="C1118" t="str">
        <f t="shared" ca="1" si="269"/>
        <v>Tax Attorney Firm</v>
      </c>
      <c r="D1118" t="str">
        <f t="shared" si="265"/>
        <v>B250:B258</v>
      </c>
      <c r="E1118" t="b">
        <f t="shared" ca="1" si="266"/>
        <v>1</v>
      </c>
      <c r="F1118" t="str">
        <f t="shared" ca="1" si="267"/>
        <v xml:space="preserve">Enter all information for Tax Attorney Firm.
</v>
      </c>
      <c r="G1118"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v>
      </c>
      <c r="H1118" t="b">
        <f>TRUE</f>
        <v>1</v>
      </c>
      <c r="I1118" s="9">
        <v>9</v>
      </c>
      <c r="J1118" s="52">
        <f t="shared" ca="1" si="278"/>
        <v>0</v>
      </c>
      <c r="K1118" s="52">
        <f t="shared" ca="1" si="272"/>
        <v>0</v>
      </c>
      <c r="L1118" s="52" t="str">
        <f t="shared" si="268"/>
        <v>'Contact Information'!B250:B258</v>
      </c>
    </row>
    <row r="1119" spans="1:16" ht="15" customHeight="1">
      <c r="A1119" t="str">
        <f t="shared" ca="1" si="275"/>
        <v xml:space="preserve">Enter all information for CPA Firm.
</v>
      </c>
      <c r="B1119">
        <f>ROW('Contact Information'!B261)</f>
        <v>261</v>
      </c>
      <c r="C1119" t="str">
        <f t="shared" ca="1" si="269"/>
        <v>CPA Firm</v>
      </c>
      <c r="D1119" t="str">
        <f t="shared" si="265"/>
        <v>B261:B269</v>
      </c>
      <c r="E1119" t="b">
        <f t="shared" ca="1" si="266"/>
        <v>1</v>
      </c>
      <c r="F1119" t="str">
        <f t="shared" ca="1" si="267"/>
        <v xml:space="preserve">Enter all information for CPA Firm.
</v>
      </c>
      <c r="G1119"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v>
      </c>
      <c r="H1119" t="b">
        <f>TRUE</f>
        <v>1</v>
      </c>
      <c r="I1119" s="9">
        <v>9</v>
      </c>
      <c r="J1119" s="52">
        <f t="shared" ca="1" si="278"/>
        <v>0</v>
      </c>
      <c r="K1119" s="52">
        <f t="shared" ca="1" si="272"/>
        <v>0</v>
      </c>
      <c r="L1119" s="52" t="str">
        <f t="shared" si="268"/>
        <v>'Contact Information'!B261:B269</v>
      </c>
    </row>
    <row r="1120" spans="1:16" ht="15" customHeight="1">
      <c r="A1120" t="str">
        <f t="shared" ca="1" si="275"/>
        <v xml:space="preserve">Enter all information for Architect Firm.
</v>
      </c>
      <c r="B1120">
        <f>ROW('Contact Information'!B272)</f>
        <v>272</v>
      </c>
      <c r="C1120" t="str">
        <f t="shared" ca="1" si="269"/>
        <v>Architect Firm</v>
      </c>
      <c r="D1120" t="str">
        <f t="shared" si="265"/>
        <v>B272:B280</v>
      </c>
      <c r="E1120" t="b">
        <f t="shared" ca="1" si="266"/>
        <v>1</v>
      </c>
      <c r="F1120" t="str">
        <f t="shared" ca="1" si="267"/>
        <v xml:space="preserve">Enter all information for Architect Firm.
</v>
      </c>
      <c r="G1120"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v>
      </c>
      <c r="H1120" t="b">
        <f>TRUE</f>
        <v>1</v>
      </c>
      <c r="I1120" s="9">
        <v>9</v>
      </c>
      <c r="J1120" s="52">
        <f t="shared" ca="1" si="278"/>
        <v>0</v>
      </c>
      <c r="K1120" s="52">
        <f t="shared" ca="1" si="272"/>
        <v>0</v>
      </c>
      <c r="L1120" s="52" t="str">
        <f t="shared" si="268"/>
        <v>'Contact Information'!B272:B280</v>
      </c>
    </row>
    <row r="1121" spans="1:19" ht="15" customHeight="1">
      <c r="A1121" t="str">
        <f t="shared" ca="1" si="275"/>
        <v xml:space="preserve">Enter all information for Permanent Lender.
</v>
      </c>
      <c r="B1121">
        <f>ROW('Contact Information'!B283)</f>
        <v>283</v>
      </c>
      <c r="C1121" t="str">
        <f t="shared" ca="1" si="269"/>
        <v>Permanent Lender</v>
      </c>
      <c r="D1121" t="str">
        <f t="shared" si="265"/>
        <v>B283:B291</v>
      </c>
      <c r="E1121" t="b">
        <f t="shared" ca="1" si="266"/>
        <v>1</v>
      </c>
      <c r="F1121" t="str">
        <f t="shared" ca="1" si="267"/>
        <v xml:space="preserve">Enter all information for Permanent Lender.
</v>
      </c>
      <c r="G1121"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v>
      </c>
      <c r="H1121" t="b">
        <f>TRUE</f>
        <v>1</v>
      </c>
      <c r="I1121" s="9">
        <v>9</v>
      </c>
      <c r="J1121" s="52">
        <f t="shared" ca="1" si="278"/>
        <v>0</v>
      </c>
      <c r="K1121" s="52">
        <f t="shared" ca="1" si="272"/>
        <v>0</v>
      </c>
      <c r="L1121" s="52" t="str">
        <f t="shared" si="268"/>
        <v>'Contact Information'!B283:B291</v>
      </c>
      <c r="P1121" t="s">
        <v>3704</v>
      </c>
    </row>
    <row r="1122" spans="1:19" ht="15" customHeight="1">
      <c r="A1122" t="str">
        <f t="shared" ca="1" si="275"/>
        <v xml:space="preserve">Enter all information for Commercial Lender.
</v>
      </c>
      <c r="B1122">
        <f>ROW('Contact Information'!B294)</f>
        <v>294</v>
      </c>
      <c r="C1122" t="str">
        <f t="shared" ca="1" si="269"/>
        <v>Commercial Lender</v>
      </c>
      <c r="D1122" t="str">
        <f t="shared" si="265"/>
        <v>B294:B302</v>
      </c>
      <c r="E1122" t="b">
        <f t="shared" ca="1" si="266"/>
        <v>1</v>
      </c>
      <c r="F1122" t="str">
        <f t="shared" ca="1" si="267"/>
        <v xml:space="preserve">Enter all information for Commercial Lender.
</v>
      </c>
      <c r="G1122"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v>
      </c>
      <c r="H1122" t="b">
        <f>TRUE</f>
        <v>1</v>
      </c>
      <c r="I1122" s="9">
        <v>9</v>
      </c>
      <c r="J1122" s="52">
        <f t="shared" ca="1" si="278"/>
        <v>0</v>
      </c>
      <c r="K1122" s="52">
        <f t="shared" ca="1" si="272"/>
        <v>0</v>
      </c>
      <c r="L1122" s="52" t="str">
        <f t="shared" si="268"/>
        <v>'Contact Information'!B294:B302</v>
      </c>
    </row>
    <row r="1123" spans="1:19" ht="15" customHeight="1">
      <c r="A1123" t="str">
        <f t="shared" ca="1" si="275"/>
        <v xml:space="preserve">Enter all information for Construction Lender.
</v>
      </c>
      <c r="B1123">
        <f>ROW('Contact Information'!B305)</f>
        <v>305</v>
      </c>
      <c r="C1123" t="str">
        <f t="shared" ca="1" si="269"/>
        <v>Construction Lender</v>
      </c>
      <c r="D1123" t="str">
        <f t="shared" si="265"/>
        <v>B305:B313</v>
      </c>
      <c r="E1123" t="b">
        <f t="shared" ca="1" si="266"/>
        <v>1</v>
      </c>
      <c r="F1123" t="str">
        <f t="shared" ca="1" si="267"/>
        <v xml:space="preserve">Enter all information for Construction Lender.
</v>
      </c>
      <c r="G1123"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v>
      </c>
      <c r="H1123" t="b">
        <f>TRUE</f>
        <v>1</v>
      </c>
      <c r="I1123" s="9">
        <v>9</v>
      </c>
      <c r="J1123" s="52">
        <f t="shared" ca="1" si="278"/>
        <v>0</v>
      </c>
      <c r="K1123" s="52">
        <f t="shared" ca="1" si="272"/>
        <v>0</v>
      </c>
      <c r="L1123" s="52" t="str">
        <f t="shared" si="268"/>
        <v>'Contact Information'!B305:B313</v>
      </c>
    </row>
    <row r="1124" spans="1:19" ht="15" customHeight="1">
      <c r="A1124" t="str">
        <f t="shared" ca="1" si="275"/>
        <v/>
      </c>
      <c r="B1124">
        <f>ROW('Contact Information'!B316)</f>
        <v>316</v>
      </c>
      <c r="C1124" t="str">
        <f t="shared" ca="1" si="269"/>
        <v>Environmental Phase I Preparer</v>
      </c>
      <c r="D1124" t="str">
        <f t="shared" si="265"/>
        <v>B316:B324</v>
      </c>
      <c r="E1124" t="b">
        <f t="shared" ca="1" si="266"/>
        <v>1</v>
      </c>
      <c r="F1124" t="str">
        <f t="shared" ca="1" si="267"/>
        <v xml:space="preserve">Enter all information for Environmental Phase I Preparer.
</v>
      </c>
      <c r="G1124"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v>
      </c>
      <c r="H1124" t="b">
        <f>Calculations!$B$2</f>
        <v>0</v>
      </c>
      <c r="I1124" s="9">
        <v>9</v>
      </c>
      <c r="J1124" s="52">
        <f t="shared" ca="1" si="278"/>
        <v>0</v>
      </c>
      <c r="K1124" s="52">
        <f t="shared" ca="1" si="272"/>
        <v>0</v>
      </c>
      <c r="L1124" s="52" t="str">
        <f t="shared" si="268"/>
        <v>'Contact Information'!B316:B324</v>
      </c>
      <c r="P1124" t="s">
        <v>3704</v>
      </c>
    </row>
    <row r="1125" spans="1:19" ht="15" customHeight="1">
      <c r="A1125" t="str">
        <f t="shared" ca="1" si="275"/>
        <v/>
      </c>
      <c r="B1125">
        <f>ROW('Contact Information'!B327)</f>
        <v>327</v>
      </c>
      <c r="C1125" t="str">
        <f t="shared" ca="1" si="269"/>
        <v>Capital Needs Report Preparer</v>
      </c>
      <c r="D1125" t="str">
        <f t="shared" si="265"/>
        <v>B327:B335</v>
      </c>
      <c r="E1125" t="b">
        <f t="shared" ca="1" si="266"/>
        <v>1</v>
      </c>
      <c r="F1125" t="str">
        <f t="shared" ca="1" si="267"/>
        <v xml:space="preserve">Enter all information for Capital Needs Report Preparer.
</v>
      </c>
      <c r="G1125" s="9" t="str">
        <f t="shared" ref="G1125:G1138" ca="1" si="279">OFFSET(G1125, -1, 0) &amp; A1125</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v>
      </c>
      <c r="H1125" t="b">
        <f>Calculations!$B$2</f>
        <v>0</v>
      </c>
      <c r="I1125" s="9">
        <v>9</v>
      </c>
      <c r="J1125" s="52">
        <f t="shared" ca="1" si="278"/>
        <v>0</v>
      </c>
      <c r="K1125" s="52">
        <f t="shared" ca="1" si="272"/>
        <v>0</v>
      </c>
      <c r="L1125" s="52" t="str">
        <f t="shared" si="268"/>
        <v>'Contact Information'!B327:B335</v>
      </c>
      <c r="P1125" t="s">
        <v>3704</v>
      </c>
    </row>
    <row r="1126" spans="1:19" ht="15" customHeight="1">
      <c r="A1126" t="str">
        <f t="shared" ca="1" si="275"/>
        <v/>
      </c>
      <c r="B1126">
        <f>ROW('Contact Information'!B338)</f>
        <v>338</v>
      </c>
      <c r="C1126" t="str">
        <f t="shared" ca="1" si="269"/>
        <v>Green Consultant</v>
      </c>
      <c r="D1126" t="str">
        <f t="shared" si="265"/>
        <v>B338:B346</v>
      </c>
      <c r="E1126" t="b">
        <f t="shared" ca="1" si="266"/>
        <v>1</v>
      </c>
      <c r="F1126" t="str">
        <f t="shared" ca="1" si="267"/>
        <v xml:space="preserve">Enter all information for Green Consultant.
</v>
      </c>
      <c r="G1126" s="9" t="str">
        <f t="shared" ca="1" si="2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v>
      </c>
      <c r="H1126" t="b">
        <f>Calculations!$B$2</f>
        <v>0</v>
      </c>
      <c r="I1126" s="9">
        <v>9</v>
      </c>
      <c r="J1126" s="52">
        <f t="shared" ca="1" si="278"/>
        <v>0</v>
      </c>
      <c r="K1126" s="52">
        <f t="shared" ca="1" si="272"/>
        <v>0</v>
      </c>
      <c r="L1126" s="52" t="str">
        <f t="shared" si="268"/>
        <v>'Contact Information'!B338:B346</v>
      </c>
      <c r="P1126" t="s">
        <v>3705</v>
      </c>
    </row>
    <row r="1127" spans="1:19" ht="15" customHeight="1">
      <c r="A1127" t="str">
        <f t="shared" ca="1" si="275"/>
        <v xml:space="preserve">Enter all information for Bond Purchaser.
</v>
      </c>
      <c r="B1127">
        <f>ROW('Contact Information'!B349)</f>
        <v>349</v>
      </c>
      <c r="C1127" t="str">
        <f t="shared" ca="1" si="269"/>
        <v>Bond Purchaser</v>
      </c>
      <c r="D1127" t="str">
        <f t="shared" si="265"/>
        <v>B349:B357</v>
      </c>
      <c r="E1127" t="b">
        <f t="shared" ca="1" si="266"/>
        <v>1</v>
      </c>
      <c r="F1127" t="str">
        <f t="shared" ca="1" si="267"/>
        <v xml:space="preserve">Enter all information for Bond Purchaser.
</v>
      </c>
      <c r="G1127" s="9" t="str">
        <f t="shared" ca="1" si="2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v>
      </c>
      <c r="H1127" t="b">
        <f>TRUE</f>
        <v>1</v>
      </c>
      <c r="I1127" s="9">
        <v>9</v>
      </c>
      <c r="J1127" s="52">
        <f t="shared" ca="1" si="278"/>
        <v>0</v>
      </c>
      <c r="K1127" s="52">
        <f t="shared" ca="1" si="272"/>
        <v>0</v>
      </c>
      <c r="L1127" s="52" t="str">
        <f t="shared" si="268"/>
        <v>'Contact Information'!B349:B357</v>
      </c>
      <c r="P1127" t="s">
        <v>3705</v>
      </c>
      <c r="S1127" s="1" t="s">
        <v>3706</v>
      </c>
    </row>
    <row r="1128" spans="1:19" ht="15" customHeight="1">
      <c r="A1128" t="str">
        <f t="shared" ca="1" si="275"/>
        <v xml:space="preserve">Enter all information for Bond Issuer (if not CHFA).
</v>
      </c>
      <c r="B1128">
        <f>ROW('Contact Information'!B361)</f>
        <v>361</v>
      </c>
      <c r="C1128" t="str">
        <f t="shared" ca="1" si="269"/>
        <v>Bond Issuer (if not CHFA)</v>
      </c>
      <c r="D1128" t="str">
        <f t="shared" si="265"/>
        <v>B361:B369</v>
      </c>
      <c r="E1128" t="b">
        <f t="shared" ca="1" si="266"/>
        <v>1</v>
      </c>
      <c r="F1128" t="str">
        <f t="shared" ca="1" si="267"/>
        <v xml:space="preserve">Enter all information for Bond Issuer (if not CHFA).
</v>
      </c>
      <c r="G1128" s="9" t="str">
        <f t="shared" ca="1" si="2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v>
      </c>
      <c r="H1128" t="b">
        <f>TRUE</f>
        <v>1</v>
      </c>
      <c r="I1128" s="9">
        <v>9</v>
      </c>
      <c r="J1128" s="52">
        <f t="shared" ca="1" si="278"/>
        <v>0</v>
      </c>
      <c r="K1128" s="52">
        <f t="shared" ca="1" si="272"/>
        <v>0</v>
      </c>
      <c r="L1128" s="52" t="str">
        <f t="shared" si="268"/>
        <v>'Contact Information'!B361:B369</v>
      </c>
      <c r="P1128" t="s">
        <v>3705</v>
      </c>
      <c r="S1128" s="1" t="b">
        <f>AND(Calculations!B5, NOT(Calculations!B6))</f>
        <v>0</v>
      </c>
    </row>
    <row r="1129" spans="1:19" ht="15" customHeight="1">
      <c r="A1129" t="str">
        <f t="shared" ca="1" si="275"/>
        <v/>
      </c>
      <c r="B1129">
        <f>ROW('Contact Information'!B372)</f>
        <v>372</v>
      </c>
      <c r="C1129" t="str">
        <f t="shared" ca="1" si="269"/>
        <v>Bond Counsel (if not CHFA)</v>
      </c>
      <c r="D1129" t="str">
        <f t="shared" si="265"/>
        <v>B372:B380</v>
      </c>
      <c r="E1129" t="b">
        <f t="shared" ca="1" si="266"/>
        <v>1</v>
      </c>
      <c r="F1129" t="str">
        <f t="shared" ca="1" si="267"/>
        <v xml:space="preserve">Enter all information for Bond Counsel (if not CHFA).
</v>
      </c>
      <c r="G1129" s="9" t="str">
        <f t="shared" ca="1" si="2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v>
      </c>
      <c r="H1129" t="b">
        <f>Calculations!$B$2</f>
        <v>0</v>
      </c>
      <c r="I1129" s="9">
        <v>9</v>
      </c>
      <c r="J1129" s="52">
        <f t="shared" ref="J1129:J1136" ca="1" si="280">SUMPRODUCT(--ISTEXT(INDIRECT(L1129)))</f>
        <v>0</v>
      </c>
      <c r="K1129" s="52">
        <f t="shared" ca="1" si="272"/>
        <v>0</v>
      </c>
      <c r="L1129" s="52" t="str">
        <f t="shared" si="268"/>
        <v>'Contact Information'!B372:B380</v>
      </c>
    </row>
    <row r="1130" spans="1:19" ht="15" customHeight="1">
      <c r="A1130" t="str">
        <f t="shared" ca="1" si="275"/>
        <v/>
      </c>
      <c r="B1130">
        <f>ROW('Contact Information'!B383)</f>
        <v>383</v>
      </c>
      <c r="C1130" t="str">
        <f t="shared" ca="1" si="269"/>
        <v>Mayor/Elected Official/Jurisdiction</v>
      </c>
      <c r="D1130" t="str">
        <f t="shared" si="265"/>
        <v>B383:B391</v>
      </c>
      <c r="E1130" t="b">
        <f t="shared" ca="1" si="266"/>
        <v>1</v>
      </c>
      <c r="F1130" t="str">
        <f t="shared" ca="1" si="267"/>
        <v xml:space="preserve">Enter all information for Mayor/Elected Official/Jurisdiction.
</v>
      </c>
      <c r="G1130" s="9" t="str">
        <f t="shared" ca="1" si="2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v>
      </c>
      <c r="H1130" t="b">
        <f>Calculations!$B$2</f>
        <v>0</v>
      </c>
      <c r="I1130" s="9">
        <v>9</v>
      </c>
      <c r="J1130" s="52">
        <f t="shared" ca="1" si="280"/>
        <v>0</v>
      </c>
      <c r="K1130" s="52">
        <f t="shared" ca="1" si="272"/>
        <v>0</v>
      </c>
      <c r="L1130" s="52" t="str">
        <f t="shared" si="268"/>
        <v>'Contact Information'!B383:B391</v>
      </c>
    </row>
    <row r="1131" spans="1:19" ht="15" customHeight="1">
      <c r="A1131" t="str">
        <f t="shared" ca="1" si="275"/>
        <v/>
      </c>
      <c r="B1131">
        <f>ROW('Contact Information'!B395)</f>
        <v>395</v>
      </c>
      <c r="C1131" t="str">
        <f t="shared" ca="1" si="269"/>
        <v>Council Member</v>
      </c>
      <c r="D1131" t="str">
        <f t="shared" si="265"/>
        <v>B395:B403</v>
      </c>
      <c r="E1131" t="b">
        <f t="shared" ca="1" si="266"/>
        <v>1</v>
      </c>
      <c r="F1131" t="str">
        <f t="shared" ca="1" si="267"/>
        <v xml:space="preserve">Enter all information for Council Member.
</v>
      </c>
      <c r="G1131" s="9" t="str">
        <f t="shared" ca="1" si="2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v>
      </c>
      <c r="H1131" t="b">
        <f>Calculations!$B$2</f>
        <v>0</v>
      </c>
      <c r="I1131" s="9">
        <v>9</v>
      </c>
      <c r="J1131" s="52">
        <f t="shared" ca="1" si="280"/>
        <v>0</v>
      </c>
      <c r="K1131" s="52">
        <f t="shared" ca="1" si="272"/>
        <v>0</v>
      </c>
      <c r="L1131" s="52" t="str">
        <f t="shared" si="268"/>
        <v>'Contact Information'!B395:B403</v>
      </c>
    </row>
    <row r="1132" spans="1:19" ht="15" customHeight="1">
      <c r="A1132" t="str">
        <f t="shared" ca="1" si="275"/>
        <v/>
      </c>
      <c r="B1132">
        <f>ROW('Contact Information'!B418)</f>
        <v>418</v>
      </c>
      <c r="C1132" t="str">
        <f t="shared" ca="1" si="269"/>
        <v>City Planner</v>
      </c>
      <c r="D1132" t="str">
        <f t="shared" si="265"/>
        <v>B418:B426</v>
      </c>
      <c r="E1132" t="b">
        <f t="shared" ca="1" si="266"/>
        <v>1</v>
      </c>
      <c r="F1132" t="str">
        <f t="shared" ca="1" si="267"/>
        <v xml:space="preserve">Enter all information for City Planner.
</v>
      </c>
      <c r="G1132" s="9" t="str">
        <f t="shared" ca="1" si="2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v>
      </c>
      <c r="H1132" t="b">
        <f>Calculations!$B$2</f>
        <v>0</v>
      </c>
      <c r="I1132" s="9">
        <v>9</v>
      </c>
      <c r="J1132" s="52">
        <f t="shared" ca="1" si="280"/>
        <v>0</v>
      </c>
      <c r="K1132" s="52">
        <f t="shared" ca="1" si="272"/>
        <v>0</v>
      </c>
      <c r="L1132" s="52" t="str">
        <f t="shared" si="268"/>
        <v>'Contact Information'!B418:B426</v>
      </c>
    </row>
    <row r="1133" spans="1:19" ht="15" customHeight="1">
      <c r="A1133" t="str">
        <f t="shared" ca="1" si="275"/>
        <v xml:space="preserve">Enter all information for Local Housing Authortity.
</v>
      </c>
      <c r="B1133">
        <f>ROW('Contact Information'!B429)</f>
        <v>429</v>
      </c>
      <c r="C1133" t="str">
        <f t="shared" ca="1" si="269"/>
        <v>Local Housing Authortity</v>
      </c>
      <c r="D1133" t="str">
        <f t="shared" si="265"/>
        <v>B429:B437</v>
      </c>
      <c r="E1133" t="b">
        <f t="shared" ca="1" si="266"/>
        <v>1</v>
      </c>
      <c r="F1133" t="str">
        <f t="shared" ca="1" si="267"/>
        <v xml:space="preserve">Enter all information for Local Housing Authortity.
</v>
      </c>
      <c r="G1133" s="9" t="str">
        <f t="shared" ca="1" si="2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33" t="b">
        <f>TRUE</f>
        <v>1</v>
      </c>
      <c r="I1133" s="9">
        <v>9</v>
      </c>
      <c r="J1133" s="52">
        <f t="shared" ca="1" si="280"/>
        <v>0</v>
      </c>
      <c r="K1133" s="52">
        <f t="shared" ca="1" si="272"/>
        <v>0</v>
      </c>
      <c r="L1133" s="52" t="str">
        <f t="shared" si="268"/>
        <v>'Contact Information'!B429:B437</v>
      </c>
      <c r="P1133" t="s">
        <v>3704</v>
      </c>
    </row>
    <row r="1134" spans="1:19" ht="15" customHeight="1">
      <c r="A1134" t="str">
        <f t="shared" ca="1" si="275"/>
        <v/>
      </c>
      <c r="B1134">
        <f>ROW('Contact Information'!B441)</f>
        <v>441</v>
      </c>
      <c r="C1134" t="str">
        <f t="shared" ca="1" si="269"/>
        <v>Construction/Completion Guarantee</v>
      </c>
      <c r="D1134" t="str">
        <f t="shared" si="265"/>
        <v>B441:B449</v>
      </c>
      <c r="E1134" t="b">
        <f t="shared" ca="1" si="266"/>
        <v>1</v>
      </c>
      <c r="F1134" t="str">
        <f t="shared" ca="1" si="267"/>
        <v xml:space="preserve">Enter all information for Construction/Completion Guarantee.
</v>
      </c>
      <c r="G1134" s="9" t="str">
        <f t="shared" ca="1" si="2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34" t="b">
        <f>Calculations!$B$2</f>
        <v>0</v>
      </c>
      <c r="I1134" s="9">
        <v>9</v>
      </c>
      <c r="J1134" s="52">
        <f t="shared" ca="1" si="280"/>
        <v>0</v>
      </c>
      <c r="K1134" s="52">
        <f t="shared" ca="1" si="272"/>
        <v>0</v>
      </c>
      <c r="L1134" s="52" t="str">
        <f t="shared" si="268"/>
        <v>'Contact Information'!B441:B449</v>
      </c>
      <c r="P1134" t="s">
        <v>3704</v>
      </c>
    </row>
    <row r="1135" spans="1:19" ht="15" customHeight="1">
      <c r="A1135" t="str">
        <f t="shared" ca="1" si="275"/>
        <v/>
      </c>
      <c r="B1135">
        <f>ROW('Contact Information'!B452)</f>
        <v>452</v>
      </c>
      <c r="C1135" t="str">
        <f t="shared" ca="1" si="269"/>
        <v>Lease Up Guarantee</v>
      </c>
      <c r="D1135" t="str">
        <f t="shared" si="265"/>
        <v>B452:B460</v>
      </c>
      <c r="E1135" t="b">
        <f t="shared" ca="1" si="266"/>
        <v>1</v>
      </c>
      <c r="F1135" t="str">
        <f t="shared" ca="1" si="267"/>
        <v xml:space="preserve">Enter all information for Lease Up Guarantee.
</v>
      </c>
      <c r="G1135" s="9" t="str">
        <f t="shared" ca="1" si="2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35" t="b">
        <f>Calculations!$B$2</f>
        <v>0</v>
      </c>
      <c r="I1135" s="9">
        <v>9</v>
      </c>
      <c r="J1135" s="52">
        <f t="shared" ca="1" si="280"/>
        <v>0</v>
      </c>
      <c r="K1135" s="52">
        <f t="shared" ca="1" si="272"/>
        <v>0</v>
      </c>
      <c r="L1135" s="52" t="str">
        <f t="shared" si="268"/>
        <v>'Contact Information'!B452:B460</v>
      </c>
      <c r="P1135" t="s">
        <v>3704</v>
      </c>
    </row>
    <row r="1136" spans="1:19" ht="15" customHeight="1">
      <c r="A1136" t="str">
        <f t="shared" ca="1" si="275"/>
        <v/>
      </c>
      <c r="B1136">
        <f>ROW('Contact Information'!B463)</f>
        <v>463</v>
      </c>
      <c r="C1136" t="str">
        <f t="shared" ca="1" si="269"/>
        <v xml:space="preserve">Operating Deficit Guarantee </v>
      </c>
      <c r="D1136" t="str">
        <f t="shared" si="265"/>
        <v>B463:B471</v>
      </c>
      <c r="E1136" t="b">
        <f t="shared" ca="1" si="266"/>
        <v>1</v>
      </c>
      <c r="F1136" t="str">
        <f t="shared" ca="1" si="267"/>
        <v xml:space="preserve">Enter all information for Operating Deficit Guarantee .
</v>
      </c>
      <c r="G1136" s="9" t="str">
        <f t="shared" ca="1" si="2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36" t="b">
        <f>Calculations!$B$2</f>
        <v>0</v>
      </c>
      <c r="I1136" s="9">
        <v>9</v>
      </c>
      <c r="J1136" s="52">
        <f t="shared" ca="1" si="280"/>
        <v>0</v>
      </c>
      <c r="K1136" s="52">
        <f t="shared" ca="1" si="272"/>
        <v>0</v>
      </c>
      <c r="L1136" s="52" t="str">
        <f t="shared" si="268"/>
        <v>'Contact Information'!B463:B471</v>
      </c>
      <c r="P1136" t="s">
        <v>3704</v>
      </c>
    </row>
    <row r="1137" spans="1:16" ht="15" customHeight="1">
      <c r="A1137" t="str">
        <f t="shared" ca="1" si="275"/>
        <v/>
      </c>
      <c r="B1137">
        <f>ROW('Contact Information'!B474)</f>
        <v>474</v>
      </c>
      <c r="C1137" t="str">
        <f t="shared" ca="1" si="269"/>
        <v xml:space="preserve">Compliance Guarantee </v>
      </c>
      <c r="D1137" t="str">
        <f t="shared" si="265"/>
        <v>B474:B482</v>
      </c>
      <c r="E1137" t="b">
        <f t="shared" ca="1" si="266"/>
        <v>1</v>
      </c>
      <c r="F1137" t="str">
        <f t="shared" ca="1" si="267"/>
        <v xml:space="preserve">Enter all information for Compliance Guarantee .
</v>
      </c>
      <c r="G1137" s="9" t="str">
        <f t="shared" ref="G1137" ca="1" si="281">OFFSET(G1137, -1, 0) &amp; A1137</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37" t="b">
        <f>Calculations!$B$2</f>
        <v>0</v>
      </c>
      <c r="I1137" s="9">
        <v>9</v>
      </c>
      <c r="J1137" s="52">
        <f t="shared" ref="J1137" ca="1" si="282">SUMPRODUCT(--ISTEXT(INDIRECT(L1137)))</f>
        <v>0</v>
      </c>
      <c r="K1137" s="52">
        <f t="shared" ref="K1137" ca="1" si="283">SUMPRODUCT(--ISNUMBER(INDIRECT(L1137)))</f>
        <v>0</v>
      </c>
      <c r="L1137" s="52" t="str">
        <f t="shared" si="268"/>
        <v>'Contact Information'!B474:B482</v>
      </c>
      <c r="P1137" t="s">
        <v>3704</v>
      </c>
    </row>
    <row r="1138" spans="1:16" ht="15" customHeight="1">
      <c r="A1138" t="str">
        <f ca="1">IF(AND(H1138, NOT($E$1104), E1138=""),F1138, "")</f>
        <v/>
      </c>
      <c r="B1138">
        <f>ROW('Contact Information'!B5)</f>
        <v>5</v>
      </c>
      <c r="C1138" t="str">
        <f t="shared" ref="C1138:C1142" ca="1" si="284">INDIRECT($F$1101 &amp; ADDRESS(B1138, 1,4  ))</f>
        <v>Applicant to be Published on Reports</v>
      </c>
      <c r="D1138" t="str">
        <f t="shared" ref="D1138:D1201" si="285">ADDRESS(B1138+K1138, 2,4  )</f>
        <v>B6</v>
      </c>
      <c r="E1138" t="str">
        <f t="shared" ref="E1138:E1150" ca="1" si="286">IF(ISBLANK( INDIRECT($F$1101 &amp; D1138)),"", INDIRECT($F$1101 &amp; D1138))</f>
        <v/>
      </c>
      <c r="F1138" t="str">
        <f ca="1">CONCATENATE("Enter a "&amp; J1138 &amp;" for '", C1138, "' in cell ", D1138, ".", CHAR(10))</f>
        <v xml:space="preserve">Enter a Organization for 'Applicant to be Published on Reports' in cell B6.
</v>
      </c>
      <c r="G1138" s="9" t="str">
        <f t="shared" ca="1" si="2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38" t="b">
        <f>TRUE</f>
        <v>1</v>
      </c>
      <c r="I1138" s="9"/>
      <c r="J1138" s="52" t="str">
        <f t="shared" ref="J1138:J1201" ca="1" si="287">INDIRECT($F$1101 &amp; ADDRESS(B1138+K1138, 1,4))</f>
        <v>Organization</v>
      </c>
      <c r="K1138" s="52">
        <v>1</v>
      </c>
    </row>
    <row r="1139" spans="1:16" ht="15" customHeight="1">
      <c r="A1139" t="str">
        <f t="shared" ref="A1139:A1202" ca="1" si="288">IF(AND(H1139, NOT($E$1104), E1139=""),F1139, "")</f>
        <v/>
      </c>
      <c r="B1139" s="52">
        <f t="shared" ref="B1139:B1142" si="289">B1138</f>
        <v>5</v>
      </c>
      <c r="C1139" t="str">
        <f t="shared" ca="1" si="284"/>
        <v>Applicant to be Published on Reports</v>
      </c>
      <c r="D1139" t="str">
        <f t="shared" si="285"/>
        <v>B7</v>
      </c>
      <c r="E1139" t="str">
        <f t="shared" ca="1" si="286"/>
        <v/>
      </c>
      <c r="F1139" t="str">
        <f ca="1">CONCATENATE("Enter an "&amp; J1139 &amp;" for '", C1139, "' in cell ", D1139, ".", CHAR(10))</f>
        <v xml:space="preserve">Enter an Contact First Name for 'Applicant to be Published on Reports' in cell B7.
</v>
      </c>
      <c r="G1139" s="9" t="str">
        <f t="shared" ref="G1139:G1142" ca="1" si="290">OFFSET(G1139, -1, 0) &amp; A1139</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39" t="b">
        <f>TRUE</f>
        <v>1</v>
      </c>
      <c r="I1139" s="9"/>
      <c r="J1139" s="52" t="str">
        <f t="shared" ca="1" si="287"/>
        <v>Contact First Name</v>
      </c>
      <c r="K1139" s="52">
        <v>2</v>
      </c>
      <c r="L1139" s="52"/>
    </row>
    <row r="1140" spans="1:16" ht="15" customHeight="1">
      <c r="A1140" t="str">
        <f t="shared" ca="1" si="288"/>
        <v/>
      </c>
      <c r="B1140" s="52">
        <f t="shared" si="289"/>
        <v>5</v>
      </c>
      <c r="C1140" t="str">
        <f t="shared" ca="1" si="284"/>
        <v>Applicant to be Published on Reports</v>
      </c>
      <c r="D1140" t="str">
        <f t="shared" si="285"/>
        <v>B8</v>
      </c>
      <c r="E1140" t="str">
        <f t="shared" ca="1" si="286"/>
        <v/>
      </c>
      <c r="F1140" t="str">
        <f ca="1">CONCATENATE("Enter a "&amp; J1140 &amp;" for '", C1140, "' in cell ", D1140, ".", CHAR(10))</f>
        <v xml:space="preserve">Enter a Contact Last Name for 'Applicant to be Published on Reports' in cell B8.
</v>
      </c>
      <c r="G1140" s="9" t="str">
        <f t="shared" ca="1" si="29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0" t="b">
        <f>TRUE</f>
        <v>1</v>
      </c>
      <c r="I1140" s="9"/>
      <c r="J1140" s="52" t="str">
        <f t="shared" ca="1" si="287"/>
        <v>Contact Last Name</v>
      </c>
      <c r="K1140" s="52">
        <v>3</v>
      </c>
      <c r="L1140" s="52"/>
    </row>
    <row r="1141" spans="1:16" ht="15" customHeight="1">
      <c r="A1141" t="str">
        <f t="shared" ca="1" si="288"/>
        <v/>
      </c>
      <c r="B1141" s="52">
        <f t="shared" si="289"/>
        <v>5</v>
      </c>
      <c r="C1141" t="str">
        <f t="shared" ca="1" si="284"/>
        <v>Applicant to be Published on Reports</v>
      </c>
      <c r="D1141" t="str">
        <f t="shared" si="285"/>
        <v>B9</v>
      </c>
      <c r="E1141" t="str">
        <f t="shared" ca="1" si="286"/>
        <v/>
      </c>
      <c r="F1141" t="str">
        <f ca="1">CONCATENATE("Enter a "&amp; J1141 &amp;" for '", C1141, "' in cell ", D1141, ".", CHAR(10))</f>
        <v xml:space="preserve">Enter a Phone (10 #'s only) for 'Applicant to be Published on Reports' in cell B9.
</v>
      </c>
      <c r="G1141" s="9" t="str">
        <f t="shared" ca="1" si="29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1" t="b">
        <f>TRUE</f>
        <v>1</v>
      </c>
      <c r="I1141" s="9"/>
      <c r="J1141" s="52" t="str">
        <f t="shared" ca="1" si="287"/>
        <v>Phone (10 #'s only)</v>
      </c>
      <c r="K1141" s="52">
        <v>4</v>
      </c>
      <c r="L1141" s="52"/>
    </row>
    <row r="1142" spans="1:16" ht="15" customHeight="1">
      <c r="A1142" t="str">
        <f t="shared" ca="1" si="288"/>
        <v/>
      </c>
      <c r="B1142" s="52">
        <f t="shared" si="289"/>
        <v>5</v>
      </c>
      <c r="C1142" t="str">
        <f t="shared" ca="1" si="284"/>
        <v>Applicant to be Published on Reports</v>
      </c>
      <c r="D1142" t="str">
        <f t="shared" si="285"/>
        <v>B10</v>
      </c>
      <c r="E1142" t="str">
        <f t="shared" ca="1" si="286"/>
        <v/>
      </c>
      <c r="F1142" t="str">
        <f ca="1">CONCATENATE("Enter a "&amp; J1142 &amp;" for '", C1142, "' in cell ", D1142, ".", CHAR(10))</f>
        <v xml:space="preserve">Enter a Email for 'Applicant to be Published on Reports' in cell B10.
</v>
      </c>
      <c r="G1142" s="9" t="str">
        <f t="shared" ca="1" si="29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2" t="b">
        <f>TRUE</f>
        <v>1</v>
      </c>
      <c r="I1142" s="9"/>
      <c r="J1142" s="52" t="str">
        <f t="shared" ca="1" si="287"/>
        <v>Email</v>
      </c>
      <c r="K1142" s="52">
        <v>5</v>
      </c>
      <c r="L1142" s="52"/>
    </row>
    <row r="1143" spans="1:16" ht="15" customHeight="1">
      <c r="A1143" t="str">
        <f t="shared" ca="1" si="288"/>
        <v/>
      </c>
      <c r="B1143">
        <f>ROW('Contact Information'!B12)</f>
        <v>12</v>
      </c>
      <c r="C1143" t="str">
        <f t="shared" ref="C1143:C1150" ca="1" si="291">INDIRECT($F$1101 &amp; ADDRESS(B1143, 1,4  ))</f>
        <v xml:space="preserve">Applicant Contact for Application Questions </v>
      </c>
      <c r="D1143" t="str">
        <f t="shared" si="285"/>
        <v>B13</v>
      </c>
      <c r="E1143" t="str">
        <f t="shared" ca="1" si="286"/>
        <v/>
      </c>
      <c r="F1143" t="str">
        <f ca="1">CONCATENATE("Enter a "&amp; J1143 &amp;" for '", C1143, "' in cell ", D1143, ".", CHAR(10))</f>
        <v xml:space="preserve">Enter a Organization for 'Applicant Contact for Application Questions ' in cell B13.
</v>
      </c>
      <c r="G1143" s="9" t="str">
        <f t="shared" ref="G1143:G1153" ca="1" si="292">OFFSET(G1143, -1, 0) &amp; A1143</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3" t="b">
        <f>TRUE</f>
        <v>1</v>
      </c>
      <c r="I1143" s="9"/>
      <c r="J1143" s="52" t="str">
        <f t="shared" ca="1" si="287"/>
        <v>Organization</v>
      </c>
      <c r="K1143" s="52">
        <v>1</v>
      </c>
    </row>
    <row r="1144" spans="1:16" ht="15" customHeight="1">
      <c r="A1144" t="str">
        <f t="shared" ca="1" si="288"/>
        <v/>
      </c>
      <c r="B1144" s="52">
        <f t="shared" ref="B1144:B1151" si="293">B1143</f>
        <v>12</v>
      </c>
      <c r="C1144" t="str">
        <f t="shared" ca="1" si="291"/>
        <v xml:space="preserve">Applicant Contact for Application Questions </v>
      </c>
      <c r="D1144" t="str">
        <f t="shared" si="285"/>
        <v>B14</v>
      </c>
      <c r="E1144" t="str">
        <f t="shared" ca="1" si="286"/>
        <v/>
      </c>
      <c r="F1144" t="str">
        <f ca="1">CONCATENATE("Enter an "&amp; J1144 &amp;" for '", C1144, "' in cell ", D1144, ".", CHAR(10))</f>
        <v xml:space="preserve">Enter an Address for 'Applicant Contact for Application Questions ' in cell B14.
</v>
      </c>
      <c r="G1144"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4" t="b">
        <f>TRUE</f>
        <v>1</v>
      </c>
      <c r="I1144" s="9"/>
      <c r="J1144" s="52" t="str">
        <f t="shared" ca="1" si="287"/>
        <v>Address</v>
      </c>
      <c r="K1144" s="52">
        <v>2</v>
      </c>
    </row>
    <row r="1145" spans="1:16" ht="15" customHeight="1">
      <c r="A1145" t="str">
        <f t="shared" ca="1" si="288"/>
        <v/>
      </c>
      <c r="B1145" s="52">
        <f t="shared" si="293"/>
        <v>12</v>
      </c>
      <c r="C1145" t="str">
        <f t="shared" ca="1" si="291"/>
        <v xml:space="preserve">Applicant Contact for Application Questions </v>
      </c>
      <c r="D1145" t="str">
        <f t="shared" si="285"/>
        <v>B15</v>
      </c>
      <c r="E1145" t="str">
        <f t="shared" ca="1" si="286"/>
        <v/>
      </c>
      <c r="F1145" t="str">
        <f t="shared" ref="F1145:F1176" ca="1" si="294">CONCATENATE("Enter a "&amp; J1145 &amp;" for '", C1145, "' in cell ", D1145, ".", CHAR(10))</f>
        <v xml:space="preserve">Enter a City  for 'Applicant Contact for Application Questions ' in cell B15.
</v>
      </c>
      <c r="G1145"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5" t="b">
        <f>TRUE</f>
        <v>1</v>
      </c>
      <c r="I1145" s="9"/>
      <c r="J1145" s="52" t="str">
        <f t="shared" ca="1" si="287"/>
        <v xml:space="preserve">City </v>
      </c>
      <c r="K1145" s="52">
        <v>3</v>
      </c>
    </row>
    <row r="1146" spans="1:16" ht="15" customHeight="1">
      <c r="A1146" t="str">
        <f t="shared" ca="1" si="288"/>
        <v/>
      </c>
      <c r="B1146" s="52">
        <f t="shared" si="293"/>
        <v>12</v>
      </c>
      <c r="C1146" t="str">
        <f t="shared" ca="1" si="291"/>
        <v xml:space="preserve">Applicant Contact for Application Questions </v>
      </c>
      <c r="D1146" t="str">
        <f t="shared" si="285"/>
        <v>B16</v>
      </c>
      <c r="E1146" t="str">
        <f t="shared" ca="1" si="286"/>
        <v/>
      </c>
      <c r="F1146" t="str">
        <f t="shared" ca="1" si="294"/>
        <v xml:space="preserve">Enter a State for 'Applicant Contact for Application Questions ' in cell B16.
</v>
      </c>
      <c r="G1146"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6" t="b">
        <f>TRUE</f>
        <v>1</v>
      </c>
      <c r="I1146" s="9"/>
      <c r="J1146" s="52" t="str">
        <f t="shared" ca="1" si="287"/>
        <v>State</v>
      </c>
      <c r="K1146" s="52">
        <v>4</v>
      </c>
    </row>
    <row r="1147" spans="1:16" ht="15" customHeight="1">
      <c r="A1147" t="str">
        <f t="shared" ca="1" si="288"/>
        <v/>
      </c>
      <c r="B1147" s="52">
        <f t="shared" si="293"/>
        <v>12</v>
      </c>
      <c r="C1147" t="str">
        <f t="shared" ca="1" si="291"/>
        <v xml:space="preserve">Applicant Contact for Application Questions </v>
      </c>
      <c r="D1147" t="str">
        <f t="shared" si="285"/>
        <v>B17</v>
      </c>
      <c r="E1147" t="str">
        <f t="shared" ca="1" si="286"/>
        <v/>
      </c>
      <c r="F1147" t="str">
        <f t="shared" ca="1" si="294"/>
        <v xml:space="preserve">Enter a Zip (first five #'s only) for 'Applicant Contact for Application Questions ' in cell B17.
</v>
      </c>
      <c r="G1147"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7" t="b">
        <f>TRUE</f>
        <v>1</v>
      </c>
      <c r="I1147" s="9"/>
      <c r="J1147" s="52" t="str">
        <f t="shared" ca="1" si="287"/>
        <v>Zip (first five #'s only)</v>
      </c>
      <c r="K1147" s="52">
        <v>5</v>
      </c>
    </row>
    <row r="1148" spans="1:16" ht="15" customHeight="1">
      <c r="A1148" t="str">
        <f t="shared" ca="1" si="288"/>
        <v/>
      </c>
      <c r="B1148" s="52">
        <f t="shared" si="293"/>
        <v>12</v>
      </c>
      <c r="C1148" t="str">
        <f t="shared" ca="1" si="291"/>
        <v xml:space="preserve">Applicant Contact for Application Questions </v>
      </c>
      <c r="D1148" t="str">
        <f t="shared" si="285"/>
        <v>B18</v>
      </c>
      <c r="E1148" t="str">
        <f t="shared" ca="1" si="286"/>
        <v/>
      </c>
      <c r="F1148" t="str">
        <f t="shared" ca="1" si="294"/>
        <v xml:space="preserve">Enter a Contact First Name for 'Applicant Contact for Application Questions ' in cell B18.
</v>
      </c>
      <c r="G1148"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8" t="b">
        <f>TRUE</f>
        <v>1</v>
      </c>
      <c r="I1148" s="9"/>
      <c r="J1148" s="52" t="str">
        <f t="shared" ca="1" si="287"/>
        <v>Contact First Name</v>
      </c>
      <c r="K1148" s="52">
        <v>6</v>
      </c>
    </row>
    <row r="1149" spans="1:16" ht="15" customHeight="1">
      <c r="A1149" t="str">
        <f t="shared" ca="1" si="288"/>
        <v/>
      </c>
      <c r="B1149" s="52">
        <f t="shared" si="293"/>
        <v>12</v>
      </c>
      <c r="C1149" t="str">
        <f t="shared" ca="1" si="291"/>
        <v xml:space="preserve">Applicant Contact for Application Questions </v>
      </c>
      <c r="D1149" t="str">
        <f t="shared" si="285"/>
        <v>B19</v>
      </c>
      <c r="E1149" t="str">
        <f t="shared" ca="1" si="286"/>
        <v/>
      </c>
      <c r="F1149" t="str">
        <f t="shared" ca="1" si="294"/>
        <v xml:space="preserve">Enter a Contact Last Name for 'Applicant Contact for Application Questions ' in cell B19.
</v>
      </c>
      <c r="G1149"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9" t="b">
        <f>TRUE</f>
        <v>1</v>
      </c>
      <c r="I1149" s="9"/>
      <c r="J1149" s="52" t="str">
        <f t="shared" ca="1" si="287"/>
        <v>Contact Last Name</v>
      </c>
      <c r="K1149" s="52">
        <v>7</v>
      </c>
    </row>
    <row r="1150" spans="1:16" ht="15" customHeight="1">
      <c r="A1150" t="str">
        <f t="shared" ca="1" si="288"/>
        <v/>
      </c>
      <c r="B1150" s="52">
        <f t="shared" si="293"/>
        <v>12</v>
      </c>
      <c r="C1150" t="str">
        <f t="shared" ca="1" si="291"/>
        <v xml:space="preserve">Applicant Contact for Application Questions </v>
      </c>
      <c r="D1150" t="str">
        <f t="shared" si="285"/>
        <v>B20</v>
      </c>
      <c r="E1150" t="str">
        <f t="shared" ca="1" si="286"/>
        <v/>
      </c>
      <c r="F1150" t="str">
        <f t="shared" ca="1" si="294"/>
        <v xml:space="preserve">Enter a Phone (#'s only) for 'Applicant Contact for Application Questions ' in cell B20.
</v>
      </c>
      <c r="G1150"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0" t="b">
        <f>TRUE</f>
        <v>1</v>
      </c>
      <c r="I1150" s="9"/>
      <c r="J1150" s="52" t="str">
        <f t="shared" ca="1" si="287"/>
        <v>Phone (#'s only)</v>
      </c>
      <c r="K1150" s="52">
        <v>8</v>
      </c>
    </row>
    <row r="1151" spans="1:16" ht="15" customHeight="1">
      <c r="A1151" t="str">
        <f t="shared" ca="1" si="288"/>
        <v/>
      </c>
      <c r="B1151" s="52">
        <f t="shared" si="293"/>
        <v>12</v>
      </c>
      <c r="C1151" t="str">
        <f t="shared" ref="C1151" ca="1" si="295">INDIRECT($F$1101 &amp; ADDRESS(B1151, 1,4  ))</f>
        <v xml:space="preserve">Applicant Contact for Application Questions </v>
      </c>
      <c r="D1151" t="str">
        <f t="shared" si="285"/>
        <v>B21</v>
      </c>
      <c r="E1151" t="str">
        <f t="shared" ref="E1151" ca="1" si="296">IF(ISBLANK( INDIRECT($F$1101 &amp; D1151)),"", INDIRECT($F$1101 &amp; D1151))</f>
        <v/>
      </c>
      <c r="F1151" t="str">
        <f t="shared" ca="1" si="294"/>
        <v xml:space="preserve">Enter a Email for 'Applicant Contact for Application Questions ' in cell B21.
</v>
      </c>
      <c r="G1151" s="9" t="str">
        <f t="shared" ref="G1151" ca="1" si="297">OFFSET(G1151, -1, 0) &amp; A1151</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1" t="b">
        <f>TRUE</f>
        <v>1</v>
      </c>
      <c r="I1151" s="9"/>
      <c r="J1151" s="52" t="str">
        <f t="shared" ca="1" si="287"/>
        <v>Email</v>
      </c>
      <c r="K1151" s="52">
        <v>9</v>
      </c>
    </row>
    <row r="1152" spans="1:16" ht="15" customHeight="1">
      <c r="A1152" t="str">
        <f t="shared" ca="1" si="288"/>
        <v/>
      </c>
      <c r="B1152">
        <f>ROW('Contact Information'!B65)</f>
        <v>65</v>
      </c>
      <c r="C1152" t="str">
        <f t="shared" ref="C1152:C1169" ca="1" si="298">INDIRECT($F$1101 &amp; ADDRESS(B1152, 1,4  ))</f>
        <v xml:space="preserve">Developer Contact </v>
      </c>
      <c r="D1152" t="str">
        <f t="shared" si="285"/>
        <v>B66</v>
      </c>
      <c r="E1152" t="str">
        <f t="shared" ref="E1152:E1169" ca="1" si="299">IF(ISBLANK( INDIRECT($F$1101 &amp; D1152)),"", INDIRECT($F$1101 &amp; D1152))</f>
        <v/>
      </c>
      <c r="F1152" t="str">
        <f t="shared" ca="1" si="294"/>
        <v xml:space="preserve">Enter a Organization (Common Name) for 'Developer Contact ' in cell B66.
</v>
      </c>
      <c r="G1152"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2" t="b">
        <f>TRUE</f>
        <v>1</v>
      </c>
      <c r="I1152" s="9"/>
      <c r="J1152" s="52" t="str">
        <f t="shared" ca="1" si="287"/>
        <v>Organization (Common Name)</v>
      </c>
      <c r="K1152" s="52">
        <v>1</v>
      </c>
    </row>
    <row r="1153" spans="1:11" ht="15" customHeight="1">
      <c r="A1153" t="str">
        <f t="shared" ca="1" si="288"/>
        <v/>
      </c>
      <c r="B1153" s="52">
        <f t="shared" ref="B1153:B1160" si="300">B1152</f>
        <v>65</v>
      </c>
      <c r="C1153" t="str">
        <f t="shared" ca="1" si="298"/>
        <v xml:space="preserve">Developer Contact </v>
      </c>
      <c r="D1153" t="str">
        <f t="shared" si="285"/>
        <v>B67</v>
      </c>
      <c r="E1153" t="str">
        <f t="shared" ca="1" si="299"/>
        <v/>
      </c>
      <c r="F1153" t="str">
        <f t="shared" ca="1" si="294"/>
        <v xml:space="preserve">Enter a Address for 'Developer Contact ' in cell B67.
</v>
      </c>
      <c r="G1153"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3" t="b">
        <f>TRUE</f>
        <v>1</v>
      </c>
      <c r="I1153" s="9"/>
      <c r="J1153" s="52" t="str">
        <f t="shared" ca="1" si="287"/>
        <v>Address</v>
      </c>
      <c r="K1153" s="52">
        <v>2</v>
      </c>
    </row>
    <row r="1154" spans="1:11" ht="15" customHeight="1">
      <c r="A1154" t="str">
        <f t="shared" ca="1" si="288"/>
        <v/>
      </c>
      <c r="B1154" s="52">
        <f t="shared" si="300"/>
        <v>65</v>
      </c>
      <c r="C1154" t="str">
        <f t="shared" ca="1" si="298"/>
        <v xml:space="preserve">Developer Contact </v>
      </c>
      <c r="D1154" t="str">
        <f t="shared" si="285"/>
        <v>B68</v>
      </c>
      <c r="E1154" t="str">
        <f t="shared" ca="1" si="299"/>
        <v/>
      </c>
      <c r="F1154" t="str">
        <f t="shared" ca="1" si="294"/>
        <v xml:space="preserve">Enter a City  for 'Developer Contact ' in cell B68.
</v>
      </c>
      <c r="G1154" s="9" t="str">
        <f t="shared" ref="G1154:G1207" ca="1" si="301">OFFSET(G1154, -1, 0) &amp; A1154</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4" t="b">
        <f>TRUE</f>
        <v>1</v>
      </c>
      <c r="I1154" s="9"/>
      <c r="J1154" s="52" t="str">
        <f t="shared" ca="1" si="287"/>
        <v xml:space="preserve">City </v>
      </c>
      <c r="K1154" s="52">
        <v>3</v>
      </c>
    </row>
    <row r="1155" spans="1:11" ht="15" customHeight="1">
      <c r="A1155" t="str">
        <f t="shared" ca="1" si="288"/>
        <v/>
      </c>
      <c r="B1155" s="52">
        <f t="shared" si="300"/>
        <v>65</v>
      </c>
      <c r="C1155" t="str">
        <f t="shared" ca="1" si="298"/>
        <v xml:space="preserve">Developer Contact </v>
      </c>
      <c r="D1155" t="str">
        <f t="shared" si="285"/>
        <v>B69</v>
      </c>
      <c r="E1155" t="str">
        <f t="shared" ca="1" si="299"/>
        <v/>
      </c>
      <c r="F1155" t="str">
        <f t="shared" ca="1" si="294"/>
        <v xml:space="preserve">Enter a State for 'Developer Contact ' in cell B69.
</v>
      </c>
      <c r="G1155"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5" t="b">
        <f>TRUE</f>
        <v>1</v>
      </c>
      <c r="I1155" s="9"/>
      <c r="J1155" s="52" t="str">
        <f t="shared" ca="1" si="287"/>
        <v>State</v>
      </c>
      <c r="K1155" s="52">
        <v>4</v>
      </c>
    </row>
    <row r="1156" spans="1:11" ht="15" customHeight="1">
      <c r="A1156" t="str">
        <f t="shared" ca="1" si="288"/>
        <v/>
      </c>
      <c r="B1156" s="52">
        <f t="shared" si="300"/>
        <v>65</v>
      </c>
      <c r="C1156" t="str">
        <f t="shared" ca="1" si="298"/>
        <v xml:space="preserve">Developer Contact </v>
      </c>
      <c r="D1156" t="str">
        <f t="shared" si="285"/>
        <v>B70</v>
      </c>
      <c r="E1156" t="str">
        <f t="shared" ca="1" si="299"/>
        <v/>
      </c>
      <c r="F1156" t="str">
        <f t="shared" ca="1" si="294"/>
        <v xml:space="preserve">Enter a Zip (first five #'s only) for 'Developer Contact ' in cell B70.
</v>
      </c>
      <c r="G1156"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6" t="b">
        <f>TRUE</f>
        <v>1</v>
      </c>
      <c r="I1156" s="9"/>
      <c r="J1156" s="52" t="str">
        <f t="shared" ca="1" si="287"/>
        <v>Zip (first five #'s only)</v>
      </c>
      <c r="K1156" s="52">
        <v>5</v>
      </c>
    </row>
    <row r="1157" spans="1:11" ht="15" customHeight="1">
      <c r="A1157" t="str">
        <f t="shared" ca="1" si="288"/>
        <v/>
      </c>
      <c r="B1157" s="52">
        <f t="shared" si="300"/>
        <v>65</v>
      </c>
      <c r="C1157" t="str">
        <f t="shared" ca="1" si="298"/>
        <v xml:space="preserve">Developer Contact </v>
      </c>
      <c r="D1157" t="str">
        <f t="shared" si="285"/>
        <v>B71</v>
      </c>
      <c r="E1157" t="str">
        <f t="shared" ca="1" si="299"/>
        <v/>
      </c>
      <c r="F1157" t="str">
        <f t="shared" ca="1" si="294"/>
        <v xml:space="preserve">Enter a Contact First Name for 'Developer Contact ' in cell B71.
</v>
      </c>
      <c r="G1157"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7" t="b">
        <f>TRUE</f>
        <v>1</v>
      </c>
      <c r="I1157" s="9"/>
      <c r="J1157" s="52" t="str">
        <f t="shared" ca="1" si="287"/>
        <v>Contact First Name</v>
      </c>
      <c r="K1157" s="52">
        <v>6</v>
      </c>
    </row>
    <row r="1158" spans="1:11" ht="15" customHeight="1">
      <c r="A1158" t="str">
        <f t="shared" ca="1" si="288"/>
        <v/>
      </c>
      <c r="B1158" s="52">
        <f t="shared" si="300"/>
        <v>65</v>
      </c>
      <c r="C1158" t="str">
        <f t="shared" ca="1" si="298"/>
        <v xml:space="preserve">Developer Contact </v>
      </c>
      <c r="D1158" t="str">
        <f t="shared" si="285"/>
        <v>B72</v>
      </c>
      <c r="E1158" t="str">
        <f t="shared" ca="1" si="299"/>
        <v/>
      </c>
      <c r="F1158" t="str">
        <f t="shared" ca="1" si="294"/>
        <v xml:space="preserve">Enter a Contact Last Name for 'Developer Contact ' in cell B72.
</v>
      </c>
      <c r="G1158"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8" t="b">
        <f>TRUE</f>
        <v>1</v>
      </c>
      <c r="I1158" s="9"/>
      <c r="J1158" s="52" t="str">
        <f t="shared" ca="1" si="287"/>
        <v>Contact Last Name</v>
      </c>
      <c r="K1158" s="52">
        <v>7</v>
      </c>
    </row>
    <row r="1159" spans="1:11" ht="15" customHeight="1">
      <c r="A1159" t="str">
        <f t="shared" ca="1" si="288"/>
        <v/>
      </c>
      <c r="B1159" s="52">
        <f t="shared" si="300"/>
        <v>65</v>
      </c>
      <c r="C1159" t="str">
        <f t="shared" ca="1" si="298"/>
        <v xml:space="preserve">Developer Contact </v>
      </c>
      <c r="D1159" t="str">
        <f t="shared" si="285"/>
        <v>B73</v>
      </c>
      <c r="E1159" t="str">
        <f t="shared" ca="1" si="299"/>
        <v/>
      </c>
      <c r="F1159" t="str">
        <f t="shared" ca="1" si="294"/>
        <v xml:space="preserve">Enter a Phone (#'s only) for 'Developer Contact ' in cell B73.
</v>
      </c>
      <c r="G1159"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9" t="b">
        <f>TRUE</f>
        <v>1</v>
      </c>
      <c r="I1159" s="9"/>
      <c r="J1159" s="52" t="str">
        <f t="shared" ca="1" si="287"/>
        <v>Phone (#'s only)</v>
      </c>
      <c r="K1159" s="52">
        <v>8</v>
      </c>
    </row>
    <row r="1160" spans="1:11" ht="15" customHeight="1">
      <c r="A1160" t="str">
        <f t="shared" ca="1" si="288"/>
        <v/>
      </c>
      <c r="B1160" s="52">
        <f t="shared" si="300"/>
        <v>65</v>
      </c>
      <c r="C1160" t="str">
        <f t="shared" ca="1" si="298"/>
        <v xml:space="preserve">Developer Contact </v>
      </c>
      <c r="D1160" t="str">
        <f t="shared" si="285"/>
        <v>B74</v>
      </c>
      <c r="E1160" t="str">
        <f t="shared" ca="1" si="299"/>
        <v/>
      </c>
      <c r="F1160" t="str">
        <f t="shared" ca="1" si="294"/>
        <v xml:space="preserve">Enter a Email for 'Developer Contact ' in cell B74.
</v>
      </c>
      <c r="G1160"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0" t="b">
        <f>TRUE</f>
        <v>1</v>
      </c>
      <c r="I1160" s="9"/>
      <c r="J1160" s="52" t="str">
        <f t="shared" ca="1" si="287"/>
        <v>Email</v>
      </c>
      <c r="K1160" s="52">
        <v>9</v>
      </c>
    </row>
    <row r="1161" spans="1:11" ht="15" customHeight="1">
      <c r="A1161" t="str">
        <f t="shared" ca="1" si="288"/>
        <v/>
      </c>
      <c r="B1161">
        <f>ROW('Contact Information'!B79)</f>
        <v>79</v>
      </c>
      <c r="C1161" t="str">
        <f t="shared" ca="1" si="298"/>
        <v xml:space="preserve">Syndicator/Investor </v>
      </c>
      <c r="D1161" t="str">
        <f t="shared" si="285"/>
        <v>B80</v>
      </c>
      <c r="E1161" t="str">
        <f t="shared" ca="1" si="299"/>
        <v/>
      </c>
      <c r="F1161" t="str">
        <f t="shared" ca="1" si="294"/>
        <v xml:space="preserve">Enter a Organization for 'Syndicator/Investor ' in cell B80.
</v>
      </c>
      <c r="G1161"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1" t="b">
        <f>TRUE</f>
        <v>1</v>
      </c>
      <c r="I1161" s="9"/>
      <c r="J1161" s="52" t="str">
        <f t="shared" ca="1" si="287"/>
        <v>Organization</v>
      </c>
      <c r="K1161" s="52">
        <v>1</v>
      </c>
    </row>
    <row r="1162" spans="1:11" ht="15" customHeight="1">
      <c r="A1162" t="str">
        <f t="shared" ca="1" si="288"/>
        <v/>
      </c>
      <c r="B1162" s="52">
        <f t="shared" ref="B1162:B1169" si="302">B1161</f>
        <v>79</v>
      </c>
      <c r="C1162" t="str">
        <f t="shared" ca="1" si="298"/>
        <v xml:space="preserve">Syndicator/Investor </v>
      </c>
      <c r="D1162" t="str">
        <f t="shared" si="285"/>
        <v>B81</v>
      </c>
      <c r="E1162" t="str">
        <f t="shared" ca="1" si="299"/>
        <v/>
      </c>
      <c r="F1162" t="str">
        <f t="shared" ca="1" si="294"/>
        <v xml:space="preserve">Enter a Address for 'Syndicator/Investor ' in cell B81.
</v>
      </c>
      <c r="G1162"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2" t="b">
        <f>TRUE</f>
        <v>1</v>
      </c>
      <c r="I1162" s="9"/>
      <c r="J1162" s="52" t="str">
        <f t="shared" ca="1" si="287"/>
        <v>Address</v>
      </c>
      <c r="K1162" s="52">
        <v>2</v>
      </c>
    </row>
    <row r="1163" spans="1:11" ht="15" customHeight="1">
      <c r="A1163" t="str">
        <f t="shared" ca="1" si="288"/>
        <v/>
      </c>
      <c r="B1163" s="52">
        <f t="shared" si="302"/>
        <v>79</v>
      </c>
      <c r="C1163" t="str">
        <f t="shared" ca="1" si="298"/>
        <v xml:space="preserve">Syndicator/Investor </v>
      </c>
      <c r="D1163" t="str">
        <f t="shared" si="285"/>
        <v>B82</v>
      </c>
      <c r="E1163" t="str">
        <f t="shared" ca="1" si="299"/>
        <v/>
      </c>
      <c r="F1163" t="str">
        <f t="shared" ca="1" si="294"/>
        <v xml:space="preserve">Enter a City  for 'Syndicator/Investor ' in cell B82.
</v>
      </c>
      <c r="G1163"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3" t="b">
        <f>TRUE</f>
        <v>1</v>
      </c>
      <c r="I1163" s="9"/>
      <c r="J1163" s="52" t="str">
        <f t="shared" ca="1" si="287"/>
        <v xml:space="preserve">City </v>
      </c>
      <c r="K1163" s="52">
        <v>3</v>
      </c>
    </row>
    <row r="1164" spans="1:11" ht="15" customHeight="1">
      <c r="A1164" t="str">
        <f t="shared" ca="1" si="288"/>
        <v/>
      </c>
      <c r="B1164" s="52">
        <f t="shared" si="302"/>
        <v>79</v>
      </c>
      <c r="C1164" t="str">
        <f t="shared" ca="1" si="298"/>
        <v xml:space="preserve">Syndicator/Investor </v>
      </c>
      <c r="D1164" t="str">
        <f t="shared" si="285"/>
        <v>B83</v>
      </c>
      <c r="E1164" t="str">
        <f t="shared" ca="1" si="299"/>
        <v/>
      </c>
      <c r="F1164" t="str">
        <f t="shared" ca="1" si="294"/>
        <v xml:space="preserve">Enter a State for 'Syndicator/Investor ' in cell B83.
</v>
      </c>
      <c r="G1164"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4" t="b">
        <f>TRUE</f>
        <v>1</v>
      </c>
      <c r="I1164" s="9"/>
      <c r="J1164" s="52" t="str">
        <f t="shared" ca="1" si="287"/>
        <v>State</v>
      </c>
      <c r="K1164" s="52">
        <v>4</v>
      </c>
    </row>
    <row r="1165" spans="1:11" ht="15" customHeight="1">
      <c r="A1165" t="str">
        <f t="shared" ca="1" si="288"/>
        <v/>
      </c>
      <c r="B1165" s="52">
        <f t="shared" si="302"/>
        <v>79</v>
      </c>
      <c r="C1165" t="str">
        <f t="shared" ca="1" si="298"/>
        <v xml:space="preserve">Syndicator/Investor </v>
      </c>
      <c r="D1165" t="str">
        <f t="shared" si="285"/>
        <v>B84</v>
      </c>
      <c r="E1165" t="str">
        <f t="shared" ca="1" si="299"/>
        <v/>
      </c>
      <c r="F1165" t="str">
        <f t="shared" ca="1" si="294"/>
        <v xml:space="preserve">Enter a Zip (first five #'s only) for 'Syndicator/Investor ' in cell B84.
</v>
      </c>
      <c r="G1165"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5" t="b">
        <f>TRUE</f>
        <v>1</v>
      </c>
      <c r="I1165" s="9"/>
      <c r="J1165" s="52" t="str">
        <f t="shared" ca="1" si="287"/>
        <v>Zip (first five #'s only)</v>
      </c>
      <c r="K1165" s="52">
        <v>5</v>
      </c>
    </row>
    <row r="1166" spans="1:11" ht="15" customHeight="1">
      <c r="A1166" t="str">
        <f t="shared" ca="1" si="288"/>
        <v/>
      </c>
      <c r="B1166" s="52">
        <f t="shared" si="302"/>
        <v>79</v>
      </c>
      <c r="C1166" t="str">
        <f t="shared" ca="1" si="298"/>
        <v xml:space="preserve">Syndicator/Investor </v>
      </c>
      <c r="D1166" t="str">
        <f t="shared" si="285"/>
        <v>B85</v>
      </c>
      <c r="E1166" t="str">
        <f t="shared" ca="1" si="299"/>
        <v/>
      </c>
      <c r="F1166" t="str">
        <f t="shared" ca="1" si="294"/>
        <v xml:space="preserve">Enter a Contact First Name for 'Syndicator/Investor ' in cell B85.
</v>
      </c>
      <c r="G1166"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6" t="b">
        <f>TRUE</f>
        <v>1</v>
      </c>
      <c r="I1166" s="9"/>
      <c r="J1166" s="52" t="str">
        <f t="shared" ca="1" si="287"/>
        <v>Contact First Name</v>
      </c>
      <c r="K1166" s="52">
        <v>6</v>
      </c>
    </row>
    <row r="1167" spans="1:11" ht="15" customHeight="1">
      <c r="A1167" t="str">
        <f t="shared" ca="1" si="288"/>
        <v/>
      </c>
      <c r="B1167" s="52">
        <f t="shared" si="302"/>
        <v>79</v>
      </c>
      <c r="C1167" t="str">
        <f t="shared" ca="1" si="298"/>
        <v xml:space="preserve">Syndicator/Investor </v>
      </c>
      <c r="D1167" t="str">
        <f t="shared" si="285"/>
        <v>B86</v>
      </c>
      <c r="E1167" t="str">
        <f t="shared" ca="1" si="299"/>
        <v/>
      </c>
      <c r="F1167" t="str">
        <f t="shared" ca="1" si="294"/>
        <v xml:space="preserve">Enter a Contact Last Name for 'Syndicator/Investor ' in cell B86.
</v>
      </c>
      <c r="G1167"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7" t="b">
        <f>TRUE</f>
        <v>1</v>
      </c>
      <c r="I1167" s="9"/>
      <c r="J1167" s="52" t="str">
        <f t="shared" ca="1" si="287"/>
        <v>Contact Last Name</v>
      </c>
      <c r="K1167" s="52">
        <v>7</v>
      </c>
    </row>
    <row r="1168" spans="1:11" ht="15" customHeight="1">
      <c r="A1168" t="str">
        <f t="shared" ca="1" si="288"/>
        <v/>
      </c>
      <c r="B1168" s="52">
        <f t="shared" si="302"/>
        <v>79</v>
      </c>
      <c r="C1168" t="str">
        <f t="shared" ca="1" si="298"/>
        <v xml:space="preserve">Syndicator/Investor </v>
      </c>
      <c r="D1168" t="str">
        <f t="shared" si="285"/>
        <v>B87</v>
      </c>
      <c r="E1168" t="str">
        <f t="shared" ca="1" si="299"/>
        <v/>
      </c>
      <c r="F1168" t="str">
        <f t="shared" ca="1" si="294"/>
        <v xml:space="preserve">Enter a Phone (#'s only) for 'Syndicator/Investor ' in cell B87.
</v>
      </c>
      <c r="G1168"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8" t="b">
        <f>TRUE</f>
        <v>1</v>
      </c>
      <c r="I1168" s="9"/>
      <c r="J1168" s="52" t="str">
        <f t="shared" ca="1" si="287"/>
        <v>Phone (#'s only)</v>
      </c>
      <c r="K1168" s="52">
        <v>8</v>
      </c>
    </row>
    <row r="1169" spans="1:11" ht="15" customHeight="1">
      <c r="A1169" t="str">
        <f t="shared" ca="1" si="288"/>
        <v/>
      </c>
      <c r="B1169" s="52">
        <f t="shared" si="302"/>
        <v>79</v>
      </c>
      <c r="C1169" t="str">
        <f t="shared" ca="1" si="298"/>
        <v xml:space="preserve">Syndicator/Investor </v>
      </c>
      <c r="D1169" t="str">
        <f t="shared" si="285"/>
        <v>B88</v>
      </c>
      <c r="E1169" t="str">
        <f t="shared" ca="1" si="299"/>
        <v/>
      </c>
      <c r="F1169" t="str">
        <f t="shared" ca="1" si="294"/>
        <v xml:space="preserve">Enter a Email for 'Syndicator/Investor ' in cell B88.
</v>
      </c>
      <c r="G1169"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9" t="b">
        <f>TRUE</f>
        <v>1</v>
      </c>
      <c r="I1169" s="9"/>
      <c r="J1169" s="52" t="str">
        <f t="shared" ca="1" si="287"/>
        <v>Email</v>
      </c>
      <c r="K1169" s="52">
        <v>9</v>
      </c>
    </row>
    <row r="1170" spans="1:11" ht="15" customHeight="1">
      <c r="A1170" t="str">
        <f t="shared" ca="1" si="288"/>
        <v/>
      </c>
      <c r="B1170">
        <f>ROW('Contact Information'!B90)</f>
        <v>90</v>
      </c>
      <c r="C1170" t="str">
        <f t="shared" ref="C1170:C1206" ca="1" si="303">INDIRECT($F$1101 &amp; ADDRESS(B1170, 1,4  ))</f>
        <v>State TC Syndicator/Investor</v>
      </c>
      <c r="D1170" t="str">
        <f t="shared" si="285"/>
        <v>B91</v>
      </c>
      <c r="E1170" t="str">
        <f t="shared" ref="E1170:E1206" ca="1" si="304">IF(ISBLANK( INDIRECT($F$1101 &amp; D1170)),"", INDIRECT($F$1101 &amp; D1170))</f>
        <v/>
      </c>
      <c r="F1170" t="str">
        <f t="shared" ca="1" si="294"/>
        <v xml:space="preserve">Enter a Organization for 'State TC Syndicator/Investor' in cell B91.
</v>
      </c>
      <c r="G1170"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0" t="b">
        <f>TRUE</f>
        <v>1</v>
      </c>
      <c r="I1170" s="9"/>
      <c r="J1170" s="52" t="str">
        <f t="shared" ca="1" si="287"/>
        <v>Organization</v>
      </c>
      <c r="K1170" s="52">
        <v>1</v>
      </c>
    </row>
    <row r="1171" spans="1:11" ht="15" customHeight="1">
      <c r="A1171" t="str">
        <f t="shared" ca="1" si="288"/>
        <v/>
      </c>
      <c r="B1171" s="52">
        <f t="shared" ref="B1171:B1189" si="305">B1170</f>
        <v>90</v>
      </c>
      <c r="C1171" t="str">
        <f t="shared" ca="1" si="303"/>
        <v>State TC Syndicator/Investor</v>
      </c>
      <c r="D1171" t="str">
        <f t="shared" si="285"/>
        <v>B92</v>
      </c>
      <c r="E1171" t="str">
        <f t="shared" ca="1" si="304"/>
        <v/>
      </c>
      <c r="F1171" t="str">
        <f t="shared" ca="1" si="294"/>
        <v xml:space="preserve">Enter a Address for 'State TC Syndicator/Investor' in cell B92.
</v>
      </c>
      <c r="G1171"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1" t="b">
        <f>TRUE</f>
        <v>1</v>
      </c>
      <c r="I1171" s="9"/>
      <c r="J1171" s="52" t="str">
        <f t="shared" ca="1" si="287"/>
        <v>Address</v>
      </c>
      <c r="K1171" s="52">
        <v>2</v>
      </c>
    </row>
    <row r="1172" spans="1:11" ht="15" customHeight="1">
      <c r="A1172" t="str">
        <f t="shared" ca="1" si="288"/>
        <v/>
      </c>
      <c r="B1172" s="52">
        <f t="shared" si="305"/>
        <v>90</v>
      </c>
      <c r="C1172" t="str">
        <f t="shared" ca="1" si="303"/>
        <v>State TC Syndicator/Investor</v>
      </c>
      <c r="D1172" t="str">
        <f t="shared" si="285"/>
        <v>B93</v>
      </c>
      <c r="E1172" t="str">
        <f t="shared" ca="1" si="304"/>
        <v/>
      </c>
      <c r="F1172" t="str">
        <f t="shared" ca="1" si="294"/>
        <v xml:space="preserve">Enter a City  for 'State TC Syndicator/Investor' in cell B93.
</v>
      </c>
      <c r="G1172"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2" t="b">
        <f>TRUE</f>
        <v>1</v>
      </c>
      <c r="I1172" s="9"/>
      <c r="J1172" s="52" t="str">
        <f t="shared" ca="1" si="287"/>
        <v xml:space="preserve">City </v>
      </c>
      <c r="K1172" s="52">
        <v>3</v>
      </c>
    </row>
    <row r="1173" spans="1:11" ht="15" customHeight="1">
      <c r="A1173" t="str">
        <f t="shared" ca="1" si="288"/>
        <v/>
      </c>
      <c r="B1173" s="52">
        <f t="shared" si="305"/>
        <v>90</v>
      </c>
      <c r="C1173" t="str">
        <f t="shared" ca="1" si="303"/>
        <v>State TC Syndicator/Investor</v>
      </c>
      <c r="D1173" t="str">
        <f t="shared" si="285"/>
        <v>B94</v>
      </c>
      <c r="E1173" t="str">
        <f t="shared" ca="1" si="304"/>
        <v/>
      </c>
      <c r="F1173" t="str">
        <f t="shared" ca="1" si="294"/>
        <v xml:space="preserve">Enter a State for 'State TC Syndicator/Investor' in cell B94.
</v>
      </c>
      <c r="G1173"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3" t="b">
        <f>TRUE</f>
        <v>1</v>
      </c>
      <c r="I1173" s="9"/>
      <c r="J1173" s="52" t="str">
        <f t="shared" ca="1" si="287"/>
        <v>State</v>
      </c>
      <c r="K1173" s="52">
        <v>4</v>
      </c>
    </row>
    <row r="1174" spans="1:11" ht="15" customHeight="1">
      <c r="A1174" t="str">
        <f t="shared" ca="1" si="288"/>
        <v/>
      </c>
      <c r="B1174" s="52">
        <f t="shared" si="305"/>
        <v>90</v>
      </c>
      <c r="C1174" t="str">
        <f t="shared" ca="1" si="303"/>
        <v>State TC Syndicator/Investor</v>
      </c>
      <c r="D1174" t="str">
        <f t="shared" si="285"/>
        <v>B95</v>
      </c>
      <c r="E1174" t="str">
        <f t="shared" ca="1" si="304"/>
        <v/>
      </c>
      <c r="F1174" t="str">
        <f t="shared" ca="1" si="294"/>
        <v xml:space="preserve">Enter a Zip (first five #'s only) for 'State TC Syndicator/Investor' in cell B95.
</v>
      </c>
      <c r="G1174"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4" t="b">
        <f>TRUE</f>
        <v>1</v>
      </c>
      <c r="I1174" s="9"/>
      <c r="J1174" s="52" t="str">
        <f t="shared" ca="1" si="287"/>
        <v>Zip (first five #'s only)</v>
      </c>
      <c r="K1174" s="52">
        <v>5</v>
      </c>
    </row>
    <row r="1175" spans="1:11" ht="15" customHeight="1">
      <c r="A1175" t="str">
        <f t="shared" ca="1" si="288"/>
        <v/>
      </c>
      <c r="B1175" s="52">
        <f t="shared" si="305"/>
        <v>90</v>
      </c>
      <c r="C1175" t="str">
        <f t="shared" ca="1" si="303"/>
        <v>State TC Syndicator/Investor</v>
      </c>
      <c r="D1175" t="str">
        <f t="shared" si="285"/>
        <v>B96</v>
      </c>
      <c r="E1175" t="str">
        <f t="shared" ca="1" si="304"/>
        <v/>
      </c>
      <c r="F1175" t="str">
        <f t="shared" ca="1" si="294"/>
        <v xml:space="preserve">Enter a Contact First Name for 'State TC Syndicator/Investor' in cell B96.
</v>
      </c>
      <c r="G1175"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5" t="b">
        <f>TRUE</f>
        <v>1</v>
      </c>
      <c r="I1175" s="9"/>
      <c r="J1175" s="52" t="str">
        <f t="shared" ca="1" si="287"/>
        <v>Contact First Name</v>
      </c>
      <c r="K1175" s="52">
        <v>6</v>
      </c>
    </row>
    <row r="1176" spans="1:11" ht="15" customHeight="1">
      <c r="A1176" t="str">
        <f t="shared" ca="1" si="288"/>
        <v/>
      </c>
      <c r="B1176" s="52">
        <f t="shared" si="305"/>
        <v>90</v>
      </c>
      <c r="C1176" t="str">
        <f t="shared" ca="1" si="303"/>
        <v>State TC Syndicator/Investor</v>
      </c>
      <c r="D1176" t="str">
        <f t="shared" si="285"/>
        <v>B97</v>
      </c>
      <c r="E1176" t="str">
        <f t="shared" ca="1" si="304"/>
        <v/>
      </c>
      <c r="F1176" t="str">
        <f t="shared" ca="1" si="294"/>
        <v xml:space="preserve">Enter a Contact Last Name for 'State TC Syndicator/Investor' in cell B97.
</v>
      </c>
      <c r="G1176"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6" t="b">
        <f>TRUE</f>
        <v>1</v>
      </c>
      <c r="I1176" s="9"/>
      <c r="J1176" s="52" t="str">
        <f t="shared" ca="1" si="287"/>
        <v>Contact Last Name</v>
      </c>
      <c r="K1176" s="52">
        <v>7</v>
      </c>
    </row>
    <row r="1177" spans="1:11" ht="15" customHeight="1">
      <c r="A1177" t="str">
        <f t="shared" ca="1" si="288"/>
        <v/>
      </c>
      <c r="B1177" s="52">
        <f t="shared" si="305"/>
        <v>90</v>
      </c>
      <c r="C1177" t="str">
        <f t="shared" ca="1" si="303"/>
        <v>State TC Syndicator/Investor</v>
      </c>
      <c r="D1177" t="str">
        <f t="shared" si="285"/>
        <v>B98</v>
      </c>
      <c r="E1177" t="str">
        <f t="shared" ca="1" si="304"/>
        <v/>
      </c>
      <c r="F1177" t="str">
        <f ca="1">CONCATENATE("Enter an "&amp; J1177 &amp;" for '", C1177, "' in cell ", D1177, ".", CHAR(10))</f>
        <v xml:space="preserve">Enter an Phone (#'s only) for 'State TC Syndicator/Investor' in cell B98.
</v>
      </c>
      <c r="G1177"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7" t="b">
        <f>TRUE</f>
        <v>1</v>
      </c>
      <c r="I1177" s="9"/>
      <c r="J1177" s="52" t="str">
        <f t="shared" ca="1" si="287"/>
        <v>Phone (#'s only)</v>
      </c>
      <c r="K1177" s="52">
        <v>8</v>
      </c>
    </row>
    <row r="1178" spans="1:11" ht="15" customHeight="1">
      <c r="A1178" t="str">
        <f t="shared" ca="1" si="288"/>
        <v/>
      </c>
      <c r="B1178" s="52">
        <f t="shared" si="305"/>
        <v>90</v>
      </c>
      <c r="C1178" t="str">
        <f t="shared" ref="C1178" ca="1" si="306">INDIRECT($F$1101 &amp; ADDRESS(B1178, 1,4  ))</f>
        <v>State TC Syndicator/Investor</v>
      </c>
      <c r="D1178" t="str">
        <f t="shared" si="285"/>
        <v>B99</v>
      </c>
      <c r="E1178" t="str">
        <f t="shared" ref="E1178" ca="1" si="307">IF(ISBLANK( INDIRECT($F$1101 &amp; D1178)),"", INDIRECT($F$1101 &amp; D1178))</f>
        <v/>
      </c>
      <c r="F1178" t="str">
        <f t="shared" ref="F1178:F1189" ca="1" si="308">CONCATENATE("Enter "&amp; J1178 &amp;" for '", C1178, "' in cell ", D1178, ".", CHAR(10))</f>
        <v xml:space="preserve">Enter Email for 'State TC Syndicator/Investor' in cell B99.
</v>
      </c>
      <c r="G1178" s="9" t="str">
        <f t="shared" ref="G1178" ca="1" si="309">OFFSET(G1178, -1, 0) &amp; A1178</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8" t="b">
        <f>TRUE</f>
        <v>1</v>
      </c>
      <c r="I1178" s="9"/>
      <c r="J1178" s="52" t="str">
        <f t="shared" ca="1" si="287"/>
        <v>Email</v>
      </c>
      <c r="K1178" s="52">
        <v>9</v>
      </c>
    </row>
    <row r="1179" spans="1:11" ht="15" customHeight="1">
      <c r="A1179" t="str">
        <f t="shared" ca="1" si="288"/>
        <v/>
      </c>
      <c r="B1179">
        <f>ROW('Contact Information'!B101)</f>
        <v>101</v>
      </c>
      <c r="C1179" t="str">
        <f t="shared" ref="C1179:C1186" ca="1" si="310">INDIRECT($F$1101 &amp; ADDRESS(B1179, 1,4  ))</f>
        <v>Ownership Entity (if formed, required for Carryover, PIS/Final and CHFA Loan)</v>
      </c>
      <c r="D1179" t="str">
        <f t="shared" si="285"/>
        <v>B102</v>
      </c>
      <c r="E1179" t="str">
        <f t="shared" ref="E1179:E1186" ca="1" si="311">IF(ISBLANK( INDIRECT($F$1101 &amp; D1179)),"", INDIRECT($F$1101 &amp; D1179))</f>
        <v/>
      </c>
      <c r="F1179" t="str">
        <f t="shared" ca="1" si="308"/>
        <v xml:space="preserve">Enter Organization for 'Ownership Entity (if formed, required for Carryover, PIS/Final and CHFA Loan)' in cell B102.
</v>
      </c>
      <c r="G1179" s="9" t="str">
        <f t="shared" ref="G1179:G1186" ca="1" si="312">OFFSET(G1179, -1, 0) &amp; A1179</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9" t="b">
        <f>TRUE</f>
        <v>1</v>
      </c>
      <c r="I1179" s="9"/>
      <c r="J1179" s="52" t="str">
        <f t="shared" ca="1" si="287"/>
        <v>Organization</v>
      </c>
      <c r="K1179" s="52">
        <v>1</v>
      </c>
    </row>
    <row r="1180" spans="1:11" ht="15" customHeight="1">
      <c r="A1180" t="str">
        <f t="shared" ca="1" si="288"/>
        <v/>
      </c>
      <c r="B1180" s="52">
        <f t="shared" si="305"/>
        <v>101</v>
      </c>
      <c r="C1180" t="str">
        <f t="shared" ca="1" si="310"/>
        <v>Ownership Entity (if formed, required for Carryover, PIS/Final and CHFA Loan)</v>
      </c>
      <c r="D1180" t="str">
        <f t="shared" si="285"/>
        <v>B103</v>
      </c>
      <c r="E1180" t="str">
        <f t="shared" ca="1" si="311"/>
        <v/>
      </c>
      <c r="F1180" t="str">
        <f t="shared" ca="1" si="308"/>
        <v xml:space="preserve">Enter Address for 'Ownership Entity (if formed, required for Carryover, PIS/Final and CHFA Loan)' in cell B103.
</v>
      </c>
      <c r="G1180" s="9" t="str">
        <f t="shared" ca="1" si="31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0" t="b">
        <f>TRUE</f>
        <v>1</v>
      </c>
      <c r="I1180" s="9"/>
      <c r="J1180" s="52" t="str">
        <f t="shared" ca="1" si="287"/>
        <v>Address</v>
      </c>
      <c r="K1180" s="52">
        <v>2</v>
      </c>
    </row>
    <row r="1181" spans="1:11" ht="15" customHeight="1">
      <c r="A1181" t="str">
        <f t="shared" ca="1" si="288"/>
        <v/>
      </c>
      <c r="B1181" s="52">
        <f t="shared" si="305"/>
        <v>101</v>
      </c>
      <c r="C1181" t="str">
        <f t="shared" ca="1" si="310"/>
        <v>Ownership Entity (if formed, required for Carryover, PIS/Final and CHFA Loan)</v>
      </c>
      <c r="D1181" t="str">
        <f t="shared" si="285"/>
        <v>B104</v>
      </c>
      <c r="E1181" t="str">
        <f t="shared" ca="1" si="311"/>
        <v/>
      </c>
      <c r="F1181" t="str">
        <f t="shared" ca="1" si="308"/>
        <v xml:space="preserve">Enter City  for 'Ownership Entity (if formed, required for Carryover, PIS/Final and CHFA Loan)' in cell B104.
</v>
      </c>
      <c r="G1181" s="9" t="str">
        <f t="shared" ca="1" si="31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1" t="b">
        <f>TRUE</f>
        <v>1</v>
      </c>
      <c r="I1181" s="9"/>
      <c r="J1181" s="52" t="str">
        <f t="shared" ca="1" si="287"/>
        <v xml:space="preserve">City </v>
      </c>
      <c r="K1181" s="52">
        <v>3</v>
      </c>
    </row>
    <row r="1182" spans="1:11" ht="15" customHeight="1">
      <c r="A1182" t="str">
        <f t="shared" ca="1" si="288"/>
        <v/>
      </c>
      <c r="B1182" s="52">
        <f t="shared" si="305"/>
        <v>101</v>
      </c>
      <c r="C1182" t="str">
        <f t="shared" ca="1" si="310"/>
        <v>Ownership Entity (if formed, required for Carryover, PIS/Final and CHFA Loan)</v>
      </c>
      <c r="D1182" t="str">
        <f t="shared" si="285"/>
        <v>B105</v>
      </c>
      <c r="E1182" t="str">
        <f t="shared" ca="1" si="311"/>
        <v/>
      </c>
      <c r="F1182" t="str">
        <f t="shared" ca="1" si="308"/>
        <v xml:space="preserve">Enter State for 'Ownership Entity (if formed, required for Carryover, PIS/Final and CHFA Loan)' in cell B105.
</v>
      </c>
      <c r="G1182" s="9" t="str">
        <f t="shared" ca="1" si="31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2" t="b">
        <f>TRUE</f>
        <v>1</v>
      </c>
      <c r="I1182" s="9"/>
      <c r="J1182" s="52" t="str">
        <f t="shared" ca="1" si="287"/>
        <v>State</v>
      </c>
      <c r="K1182" s="52">
        <v>4</v>
      </c>
    </row>
    <row r="1183" spans="1:11" ht="15" customHeight="1">
      <c r="A1183" t="str">
        <f t="shared" ca="1" si="288"/>
        <v/>
      </c>
      <c r="B1183" s="52">
        <f t="shared" si="305"/>
        <v>101</v>
      </c>
      <c r="C1183" t="str">
        <f t="shared" ca="1" si="310"/>
        <v>Ownership Entity (if formed, required for Carryover, PIS/Final and CHFA Loan)</v>
      </c>
      <c r="D1183" t="str">
        <f t="shared" si="285"/>
        <v>B106</v>
      </c>
      <c r="E1183" t="str">
        <f t="shared" ca="1" si="311"/>
        <v/>
      </c>
      <c r="F1183" t="str">
        <f t="shared" ca="1" si="308"/>
        <v xml:space="preserve">Enter Zip (first five #'s only) for 'Ownership Entity (if formed, required for Carryover, PIS/Final and CHFA Loan)' in cell B106.
</v>
      </c>
      <c r="G1183" s="9" t="str">
        <f t="shared" ca="1" si="31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3" t="b">
        <f>TRUE</f>
        <v>1</v>
      </c>
      <c r="I1183" s="9"/>
      <c r="J1183" s="52" t="str">
        <f t="shared" ca="1" si="287"/>
        <v>Zip (first five #'s only)</v>
      </c>
      <c r="K1183" s="52">
        <v>5</v>
      </c>
    </row>
    <row r="1184" spans="1:11" ht="15" customHeight="1">
      <c r="A1184" t="str">
        <f t="shared" ca="1" si="288"/>
        <v/>
      </c>
      <c r="B1184" s="52">
        <f t="shared" si="305"/>
        <v>101</v>
      </c>
      <c r="C1184" t="str">
        <f t="shared" ca="1" si="310"/>
        <v>Ownership Entity (if formed, required for Carryover, PIS/Final and CHFA Loan)</v>
      </c>
      <c r="D1184" t="str">
        <f t="shared" si="285"/>
        <v>B107</v>
      </c>
      <c r="E1184" t="str">
        <f t="shared" ca="1" si="311"/>
        <v/>
      </c>
      <c r="F1184" t="str">
        <f t="shared" ca="1" si="308"/>
        <v xml:space="preserve">Enter Contact First Name for 'Ownership Entity (if formed, required for Carryover, PIS/Final and CHFA Loan)' in cell B107.
</v>
      </c>
      <c r="G1184" s="9" t="str">
        <f t="shared" ca="1" si="31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4" t="b">
        <f>TRUE</f>
        <v>1</v>
      </c>
      <c r="I1184" s="9"/>
      <c r="J1184" s="52" t="str">
        <f t="shared" ca="1" si="287"/>
        <v>Contact First Name</v>
      </c>
      <c r="K1184" s="52">
        <v>6</v>
      </c>
    </row>
    <row r="1185" spans="1:11" ht="15" customHeight="1">
      <c r="A1185" t="str">
        <f t="shared" ca="1" si="288"/>
        <v/>
      </c>
      <c r="B1185" s="52">
        <f t="shared" si="305"/>
        <v>101</v>
      </c>
      <c r="C1185" t="str">
        <f t="shared" ca="1" si="310"/>
        <v>Ownership Entity (if formed, required for Carryover, PIS/Final and CHFA Loan)</v>
      </c>
      <c r="D1185" t="str">
        <f t="shared" si="285"/>
        <v>B108</v>
      </c>
      <c r="E1185" t="str">
        <f t="shared" ca="1" si="311"/>
        <v/>
      </c>
      <c r="F1185" t="str">
        <f t="shared" ca="1" si="308"/>
        <v xml:space="preserve">Enter Contact Last Name for 'Ownership Entity (if formed, required for Carryover, PIS/Final and CHFA Loan)' in cell B108.
</v>
      </c>
      <c r="G1185" s="9" t="str">
        <f t="shared" ca="1" si="31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5" t="b">
        <f>TRUE</f>
        <v>1</v>
      </c>
      <c r="I1185" s="9"/>
      <c r="J1185" s="52" t="str">
        <f t="shared" ca="1" si="287"/>
        <v>Contact Last Name</v>
      </c>
      <c r="K1185" s="52">
        <v>7</v>
      </c>
    </row>
    <row r="1186" spans="1:11" ht="15" customHeight="1">
      <c r="A1186" t="str">
        <f t="shared" ca="1" si="288"/>
        <v/>
      </c>
      <c r="B1186" s="52">
        <f t="shared" si="305"/>
        <v>101</v>
      </c>
      <c r="C1186" t="str">
        <f t="shared" ca="1" si="310"/>
        <v>Ownership Entity (if formed, required for Carryover, PIS/Final and CHFA Loan)</v>
      </c>
      <c r="D1186" t="str">
        <f t="shared" si="285"/>
        <v>B109</v>
      </c>
      <c r="E1186" t="str">
        <f t="shared" ca="1" si="311"/>
        <v/>
      </c>
      <c r="F1186" t="str">
        <f t="shared" ca="1" si="308"/>
        <v xml:space="preserve">Enter Phone (#'s only) for 'Ownership Entity (if formed, required for Carryover, PIS/Final and CHFA Loan)' in cell B109.
</v>
      </c>
      <c r="G1186" s="9" t="str">
        <f t="shared" ca="1" si="31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6" t="b">
        <f>TRUE</f>
        <v>1</v>
      </c>
      <c r="I1186" s="9"/>
      <c r="J1186" s="52" t="str">
        <f t="shared" ca="1" si="287"/>
        <v>Phone (#'s only)</v>
      </c>
      <c r="K1186" s="52">
        <v>8</v>
      </c>
    </row>
    <row r="1187" spans="1:11" ht="15" customHeight="1">
      <c r="A1187" t="str">
        <f t="shared" ca="1" si="288"/>
        <v/>
      </c>
      <c r="B1187" s="52">
        <f t="shared" si="305"/>
        <v>101</v>
      </c>
      <c r="C1187" t="str">
        <f t="shared" ref="C1187" ca="1" si="313">INDIRECT($F$1101 &amp; ADDRESS(B1187, 1,4  ))</f>
        <v>Ownership Entity (if formed, required for Carryover, PIS/Final and CHFA Loan)</v>
      </c>
      <c r="D1187" t="str">
        <f t="shared" si="285"/>
        <v>B110</v>
      </c>
      <c r="E1187" t="str">
        <f t="shared" ref="E1187" ca="1" si="314">IF(ISBLANK( INDIRECT($F$1101 &amp; D1187)),"", INDIRECT($F$1101 &amp; D1187))</f>
        <v/>
      </c>
      <c r="F1187" t="str">
        <f t="shared" ca="1" si="308"/>
        <v xml:space="preserve">Enter Email for 'Ownership Entity (if formed, required for Carryover, PIS/Final and CHFA Loan)' in cell B110.
</v>
      </c>
      <c r="G1187" s="9" t="str">
        <f t="shared" ref="G1187" ca="1" si="315">OFFSET(G1187, -1, 0) &amp; A1187</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7" t="b">
        <f>TRUE</f>
        <v>1</v>
      </c>
      <c r="I1187" s="9"/>
      <c r="J1187" s="52" t="str">
        <f t="shared" ca="1" si="287"/>
        <v>Email</v>
      </c>
      <c r="K1187" s="52">
        <v>9</v>
      </c>
    </row>
    <row r="1188" spans="1:11" ht="15" customHeight="1">
      <c r="A1188" t="str">
        <f t="shared" ca="1" si="288"/>
        <v/>
      </c>
      <c r="B1188" s="52">
        <f t="shared" si="305"/>
        <v>101</v>
      </c>
      <c r="C1188" t="str">
        <f t="shared" ref="C1188" ca="1" si="316">INDIRECT($F$1101 &amp; ADDRESS(B1188, 1,4  ))</f>
        <v>Ownership Entity (if formed, required for Carryover, PIS/Final and CHFA Loan)</v>
      </c>
      <c r="D1188" t="str">
        <f t="shared" si="285"/>
        <v>B111</v>
      </c>
      <c r="E1188" t="str">
        <f t="shared" ref="E1188" ca="1" si="317">IF(ISBLANK( INDIRECT($F$1101 &amp; D1188)),"", INDIRECT($F$1101 &amp; D1188))</f>
        <v/>
      </c>
      <c r="F1188" t="str">
        <f t="shared" ca="1" si="308"/>
        <v xml:space="preserve">Enter Name(s) and State(s) of previous LIHTC properties for 'Ownership Entity (if formed, required for Carryover, PIS/Final and CHFA Loan)' in cell B111.
</v>
      </c>
      <c r="G1188" s="9" t="str">
        <f t="shared" ref="G1188" ca="1" si="318">OFFSET(G1188, -1, 0) &amp; A1188</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8" t="b">
        <f>TRUE</f>
        <v>1</v>
      </c>
      <c r="I1188" s="9"/>
      <c r="J1188" s="52" t="str">
        <f t="shared" ca="1" si="287"/>
        <v>Name(s) and State(s) of previous LIHTC properties</v>
      </c>
      <c r="K1188" s="52">
        <v>10</v>
      </c>
    </row>
    <row r="1189" spans="1:11" ht="15" customHeight="1">
      <c r="A1189" t="str">
        <f t="shared" ca="1" si="288"/>
        <v/>
      </c>
      <c r="B1189" s="52">
        <f t="shared" si="305"/>
        <v>101</v>
      </c>
      <c r="C1189" t="str">
        <f t="shared" ref="C1189" ca="1" si="319">INDIRECT($F$1101 &amp; ADDRESS(B1189, 1,4  ))</f>
        <v>Ownership Entity (if formed, required for Carryover, PIS/Final and CHFA Loan)</v>
      </c>
      <c r="D1189" t="str">
        <f t="shared" si="285"/>
        <v>B112</v>
      </c>
      <c r="E1189" t="str">
        <f t="shared" ref="E1189" ca="1" si="320">IF(ISBLANK( INDIRECT($F$1101 &amp; D1189)),"", INDIRECT($F$1101 &amp; D1189))</f>
        <v/>
      </c>
      <c r="F1189" t="str">
        <f t="shared" ca="1" si="308"/>
        <v xml:space="preserve">Enter Legal Status for 'Ownership Entity (if formed, required for Carryover, PIS/Final and CHFA Loan)' in cell B112.
</v>
      </c>
      <c r="G1189" s="9" t="str">
        <f t="shared" ref="G1189" ca="1" si="321">OFFSET(G1189, -1, 0) &amp; A1189</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9" t="b">
        <f>TRUE</f>
        <v>1</v>
      </c>
      <c r="I1189" s="9"/>
      <c r="J1189" s="52" t="str">
        <f t="shared" ca="1" si="287"/>
        <v>Legal Status</v>
      </c>
      <c r="K1189" s="52">
        <v>11</v>
      </c>
    </row>
    <row r="1190" spans="1:11" ht="15" customHeight="1">
      <c r="A1190" t="str">
        <f t="shared" ca="1" si="288"/>
        <v/>
      </c>
      <c r="B1190">
        <f>ROW('Contact Information'!B116)</f>
        <v>116</v>
      </c>
      <c r="C1190" t="str">
        <f t="shared" ca="1" si="303"/>
        <v>Participating Nonprofit or PHA</v>
      </c>
      <c r="D1190" t="str">
        <f t="shared" si="285"/>
        <v>B117</v>
      </c>
      <c r="E1190" t="str">
        <f t="shared" ca="1" si="304"/>
        <v/>
      </c>
      <c r="F1190" t="str">
        <f ca="1">CONCATENATE("Enter a "&amp; J1190 &amp;" for '", C1190, "' in cell ", D1190, ".", CHAR(10))</f>
        <v xml:space="preserve">Enter a Organization for 'Participating Nonprofit or PHA' in cell B117.
</v>
      </c>
      <c r="G1190"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0" t="b">
        <f>TRUE</f>
        <v>1</v>
      </c>
      <c r="I1190" s="9"/>
      <c r="J1190" s="52" t="str">
        <f t="shared" ca="1" si="287"/>
        <v>Organization</v>
      </c>
      <c r="K1190" s="52">
        <v>1</v>
      </c>
    </row>
    <row r="1191" spans="1:11" ht="15" customHeight="1">
      <c r="A1191" t="str">
        <f t="shared" ca="1" si="288"/>
        <v/>
      </c>
      <c r="B1191" s="52">
        <f t="shared" ref="B1191:B1200" si="322">B1190</f>
        <v>116</v>
      </c>
      <c r="C1191" t="str">
        <f t="shared" ca="1" si="303"/>
        <v>Participating Nonprofit or PHA</v>
      </c>
      <c r="D1191" t="str">
        <f t="shared" si="285"/>
        <v>B118</v>
      </c>
      <c r="E1191" t="str">
        <f t="shared" ca="1" si="304"/>
        <v/>
      </c>
      <c r="F1191" t="str">
        <f ca="1">CONCATENATE("Enter an "&amp; J1191 &amp;" for '", C1191, "' in cell ", D1191, ".", CHAR(10))</f>
        <v xml:space="preserve">Enter an Address for 'Participating Nonprofit or PHA' in cell B118.
</v>
      </c>
      <c r="G1191"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1" t="b">
        <f>TRUE</f>
        <v>1</v>
      </c>
      <c r="I1191" s="9"/>
      <c r="J1191" s="52" t="str">
        <f t="shared" ca="1" si="287"/>
        <v>Address</v>
      </c>
      <c r="K1191" s="52">
        <v>2</v>
      </c>
    </row>
    <row r="1192" spans="1:11" ht="15" customHeight="1">
      <c r="A1192" t="str">
        <f t="shared" ca="1" si="288"/>
        <v/>
      </c>
      <c r="B1192" s="52">
        <f t="shared" si="322"/>
        <v>116</v>
      </c>
      <c r="C1192" t="str">
        <f t="shared" ca="1" si="303"/>
        <v>Participating Nonprofit or PHA</v>
      </c>
      <c r="D1192" t="str">
        <f t="shared" si="285"/>
        <v>B119</v>
      </c>
      <c r="E1192" t="str">
        <f t="shared" ca="1" si="304"/>
        <v/>
      </c>
      <c r="F1192" t="str">
        <f t="shared" ref="F1192:F1197" ca="1" si="323">CONCATENATE("Enter a "&amp; J1192 &amp;" for '", C1192, "' in cell ", D1192, ".", CHAR(10))</f>
        <v xml:space="preserve">Enter a City  for 'Participating Nonprofit or PHA' in cell B119.
</v>
      </c>
      <c r="G1192"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2" t="b">
        <f>TRUE</f>
        <v>1</v>
      </c>
      <c r="I1192" s="9"/>
      <c r="J1192" s="52" t="str">
        <f t="shared" ca="1" si="287"/>
        <v xml:space="preserve">City </v>
      </c>
      <c r="K1192" s="52">
        <v>3</v>
      </c>
    </row>
    <row r="1193" spans="1:11" ht="15" customHeight="1">
      <c r="A1193" t="str">
        <f t="shared" ca="1" si="288"/>
        <v/>
      </c>
      <c r="B1193" s="52">
        <f t="shared" si="322"/>
        <v>116</v>
      </c>
      <c r="C1193" t="str">
        <f t="shared" ca="1" si="303"/>
        <v>Participating Nonprofit or PHA</v>
      </c>
      <c r="D1193" t="str">
        <f t="shared" si="285"/>
        <v>B120</v>
      </c>
      <c r="E1193" t="str">
        <f t="shared" ca="1" si="304"/>
        <v/>
      </c>
      <c r="F1193" t="str">
        <f t="shared" ca="1" si="323"/>
        <v xml:space="preserve">Enter a State for 'Participating Nonprofit or PHA' in cell B120.
</v>
      </c>
      <c r="G1193"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3" t="b">
        <f>TRUE</f>
        <v>1</v>
      </c>
      <c r="I1193" s="9"/>
      <c r="J1193" s="52" t="str">
        <f t="shared" ca="1" si="287"/>
        <v>State</v>
      </c>
      <c r="K1193" s="52">
        <v>4</v>
      </c>
    </row>
    <row r="1194" spans="1:11" ht="15" customHeight="1">
      <c r="A1194" t="str">
        <f t="shared" ca="1" si="288"/>
        <v/>
      </c>
      <c r="B1194" s="52">
        <f t="shared" si="322"/>
        <v>116</v>
      </c>
      <c r="C1194" t="str">
        <f t="shared" ca="1" si="303"/>
        <v>Participating Nonprofit or PHA</v>
      </c>
      <c r="D1194" t="str">
        <f t="shared" si="285"/>
        <v>B121</v>
      </c>
      <c r="E1194" t="str">
        <f t="shared" ca="1" si="304"/>
        <v/>
      </c>
      <c r="F1194" t="str">
        <f t="shared" ca="1" si="323"/>
        <v xml:space="preserve">Enter a Zip (first five #'s only) for 'Participating Nonprofit or PHA' in cell B121.
</v>
      </c>
      <c r="G1194"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4" t="b">
        <f>TRUE</f>
        <v>1</v>
      </c>
      <c r="I1194" s="9"/>
      <c r="J1194" s="52" t="str">
        <f t="shared" ca="1" si="287"/>
        <v>Zip (first five #'s only)</v>
      </c>
      <c r="K1194" s="52">
        <v>5</v>
      </c>
    </row>
    <row r="1195" spans="1:11" ht="15" customHeight="1">
      <c r="A1195" t="str">
        <f t="shared" ca="1" si="288"/>
        <v/>
      </c>
      <c r="B1195" s="52">
        <f t="shared" si="322"/>
        <v>116</v>
      </c>
      <c r="C1195" t="str">
        <f t="shared" ca="1" si="303"/>
        <v>Participating Nonprofit or PHA</v>
      </c>
      <c r="D1195" t="str">
        <f t="shared" si="285"/>
        <v>B122</v>
      </c>
      <c r="E1195" t="str">
        <f t="shared" ca="1" si="304"/>
        <v/>
      </c>
      <c r="F1195" t="str">
        <f t="shared" ca="1" si="323"/>
        <v xml:space="preserve">Enter a Contact First Name for 'Participating Nonprofit or PHA' in cell B122.
</v>
      </c>
      <c r="G1195"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5" t="b">
        <f>TRUE</f>
        <v>1</v>
      </c>
      <c r="I1195" s="9"/>
      <c r="J1195" s="52" t="str">
        <f t="shared" ca="1" si="287"/>
        <v>Contact First Name</v>
      </c>
      <c r="K1195" s="52">
        <v>6</v>
      </c>
    </row>
    <row r="1196" spans="1:11" ht="15" customHeight="1">
      <c r="A1196" t="str">
        <f t="shared" ca="1" si="288"/>
        <v/>
      </c>
      <c r="B1196" s="52">
        <f t="shared" si="322"/>
        <v>116</v>
      </c>
      <c r="C1196" t="str">
        <f t="shared" ca="1" si="303"/>
        <v>Participating Nonprofit or PHA</v>
      </c>
      <c r="D1196" t="str">
        <f t="shared" si="285"/>
        <v>B123</v>
      </c>
      <c r="E1196" t="str">
        <f t="shared" ca="1" si="304"/>
        <v/>
      </c>
      <c r="F1196" t="str">
        <f t="shared" ca="1" si="323"/>
        <v xml:space="preserve">Enter a Contact Last Name for 'Participating Nonprofit or PHA' in cell B123.
</v>
      </c>
      <c r="G1196"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6" t="b">
        <f>TRUE</f>
        <v>1</v>
      </c>
      <c r="I1196" s="9"/>
      <c r="J1196" s="52" t="str">
        <f t="shared" ca="1" si="287"/>
        <v>Contact Last Name</v>
      </c>
      <c r="K1196" s="52">
        <v>7</v>
      </c>
    </row>
    <row r="1197" spans="1:11" ht="15" customHeight="1">
      <c r="A1197" t="str">
        <f t="shared" ca="1" si="288"/>
        <v/>
      </c>
      <c r="B1197" s="52">
        <f t="shared" si="322"/>
        <v>116</v>
      </c>
      <c r="C1197" t="str">
        <f t="shared" ca="1" si="303"/>
        <v>Participating Nonprofit or PHA</v>
      </c>
      <c r="D1197" t="str">
        <f t="shared" si="285"/>
        <v>B124</v>
      </c>
      <c r="E1197" t="str">
        <f t="shared" ca="1" si="304"/>
        <v/>
      </c>
      <c r="F1197" t="str">
        <f t="shared" ca="1" si="323"/>
        <v xml:space="preserve">Enter a Phone (#'s only) for 'Participating Nonprofit or PHA' in cell B124.
</v>
      </c>
      <c r="G1197"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7" t="b">
        <f>TRUE</f>
        <v>1</v>
      </c>
      <c r="I1197" s="9"/>
      <c r="J1197" s="52" t="str">
        <f t="shared" ca="1" si="287"/>
        <v>Phone (#'s only)</v>
      </c>
      <c r="K1197" s="52">
        <v>8</v>
      </c>
    </row>
    <row r="1198" spans="1:11" ht="15" customHeight="1">
      <c r="A1198" t="str">
        <f t="shared" ca="1" si="288"/>
        <v/>
      </c>
      <c r="B1198" s="52">
        <f t="shared" si="322"/>
        <v>116</v>
      </c>
      <c r="C1198" t="str">
        <f t="shared" ca="1" si="303"/>
        <v>Participating Nonprofit or PHA</v>
      </c>
      <c r="D1198" t="str">
        <f t="shared" si="285"/>
        <v>B125</v>
      </c>
      <c r="E1198" t="str">
        <f t="shared" ca="1" si="304"/>
        <v/>
      </c>
      <c r="F1198" t="str">
        <f ca="1">CONCATENATE("Enter an "&amp; J1198 &amp;" for '", C1198, "' in cell ", D1198, ".", CHAR(10))</f>
        <v xml:space="preserve">Enter an Email for 'Participating Nonprofit or PHA' in cell B125.
</v>
      </c>
      <c r="G1198"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8" t="b">
        <f>TRUE</f>
        <v>1</v>
      </c>
      <c r="I1198" s="9"/>
      <c r="J1198" s="52" t="str">
        <f t="shared" ca="1" si="287"/>
        <v>Email</v>
      </c>
      <c r="K1198" s="52">
        <v>9</v>
      </c>
    </row>
    <row r="1199" spans="1:11" ht="15" customHeight="1">
      <c r="A1199" t="str">
        <f t="shared" ca="1" si="288"/>
        <v/>
      </c>
      <c r="B1199" s="52">
        <f t="shared" si="322"/>
        <v>116</v>
      </c>
      <c r="C1199" t="str">
        <f t="shared" ref="C1199:C1200" ca="1" si="324">INDIRECT($F$1101 &amp; ADDRESS(B1199, 1,4  ))</f>
        <v>Participating Nonprofit or PHA</v>
      </c>
      <c r="D1199" t="str">
        <f t="shared" si="285"/>
        <v>B126</v>
      </c>
      <c r="E1199" t="str">
        <f t="shared" ref="E1199:E1200" ca="1" si="325">IF(ISBLANK( INDIRECT($F$1101 &amp; D1199)),"", INDIRECT($F$1101 &amp; D1199))</f>
        <v/>
      </c>
      <c r="F1199" t="str">
        <f ca="1">CONCATENATE("Enter an "&amp; J1199 &amp;" for '", C1199, "' in cell ", D1199, ".", CHAR(10))</f>
        <v xml:space="preserve">Enter an Legal Status for 'Participating Nonprofit or PHA' in cell B126.
</v>
      </c>
      <c r="G1199" s="9" t="str">
        <f t="shared" ref="G1199:G1200" ca="1" si="326">OFFSET(G1199, -1, 0) &amp; A1199</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9" t="b">
        <f>TRUE</f>
        <v>1</v>
      </c>
      <c r="I1199" s="9"/>
      <c r="J1199" s="52" t="str">
        <f t="shared" ca="1" si="287"/>
        <v>Legal Status</v>
      </c>
      <c r="K1199" s="52">
        <v>10</v>
      </c>
    </row>
    <row r="1200" spans="1:11" ht="15" customHeight="1">
      <c r="A1200" t="str">
        <f t="shared" ca="1" si="288"/>
        <v/>
      </c>
      <c r="B1200" s="52">
        <f t="shared" si="322"/>
        <v>116</v>
      </c>
      <c r="C1200" t="str">
        <f t="shared" ca="1" si="324"/>
        <v>Participating Nonprofit or PHA</v>
      </c>
      <c r="D1200" t="str">
        <f t="shared" si="285"/>
        <v>B127</v>
      </c>
      <c r="E1200" t="str">
        <f t="shared" ca="1" si="325"/>
        <v/>
      </c>
      <c r="F1200" t="str">
        <f ca="1">CONCATENATE("Enter an "&amp; J1200 &amp;" for '", C1200, "' in cell ", D1200, ".", CHAR(10))</f>
        <v xml:space="preserve">Enter an Tax ID Number for 'Participating Nonprofit or PHA' in cell B127.
</v>
      </c>
      <c r="G1200" s="9" t="str">
        <f t="shared" ca="1" si="32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0" t="b">
        <f>TRUE</f>
        <v>1</v>
      </c>
      <c r="I1200" s="9"/>
      <c r="J1200" s="52" t="str">
        <f t="shared" ca="1" si="287"/>
        <v>Tax ID Number</v>
      </c>
      <c r="K1200" s="52">
        <v>11</v>
      </c>
    </row>
    <row r="1201" spans="1:11" ht="15" customHeight="1">
      <c r="A1201" t="str">
        <f t="shared" ca="1" si="288"/>
        <v/>
      </c>
      <c r="B1201">
        <f>ROW('Contact Information'!B146)</f>
        <v>146</v>
      </c>
      <c r="C1201" t="str">
        <f t="shared" ca="1" si="303"/>
        <v>3rd Party Estimator</v>
      </c>
      <c r="D1201" t="str">
        <f t="shared" si="285"/>
        <v>B147</v>
      </c>
      <c r="E1201" t="str">
        <f t="shared" ca="1" si="304"/>
        <v/>
      </c>
      <c r="F1201" t="str">
        <f ca="1">CONCATENATE("Enter a "&amp; J1201 &amp;" for '", C1201, "' in cell ", D1201, ".", CHAR(10))</f>
        <v xml:space="preserve">Enter a Organization for '3rd Party Estimator' in cell B147.
</v>
      </c>
      <c r="G1201"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1" s="9" t="b">
        <f>Calculations!$B$2</f>
        <v>0</v>
      </c>
      <c r="I1201" s="9"/>
      <c r="J1201" s="52" t="str">
        <f t="shared" ca="1" si="287"/>
        <v>Organization</v>
      </c>
      <c r="K1201" s="52">
        <v>1</v>
      </c>
    </row>
    <row r="1202" spans="1:11" ht="15" customHeight="1">
      <c r="A1202" t="str">
        <f t="shared" ca="1" si="288"/>
        <v/>
      </c>
      <c r="B1202" s="52">
        <f t="shared" ref="B1202:B1209" si="327">B1201</f>
        <v>146</v>
      </c>
      <c r="C1202" t="str">
        <f t="shared" ca="1" si="303"/>
        <v>3rd Party Estimator</v>
      </c>
      <c r="D1202" t="str">
        <f t="shared" ref="D1202:D1265" si="328">ADDRESS(B1202+K1202, 2,4  )</f>
        <v>B148</v>
      </c>
      <c r="E1202" t="str">
        <f t="shared" ca="1" si="304"/>
        <v/>
      </c>
      <c r="F1202" t="str">
        <f ca="1">CONCATENATE("Enter an "&amp; J1202 &amp;" for '", C1202, "' in cell ", D1202, ".", CHAR(10))</f>
        <v xml:space="preserve">Enter an Address for '3rd Party Estimator' in cell B148.
</v>
      </c>
      <c r="G1202"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2" s="9" t="b">
        <f>Calculations!$B$2</f>
        <v>0</v>
      </c>
      <c r="I1202" s="9"/>
      <c r="J1202" s="52" t="str">
        <f t="shared" ref="J1202:J1265" ca="1" si="329">INDIRECT($F$1101 &amp; ADDRESS(B1202+K1202, 1,4))</f>
        <v>Address</v>
      </c>
      <c r="K1202" s="52">
        <v>2</v>
      </c>
    </row>
    <row r="1203" spans="1:11" ht="15" customHeight="1">
      <c r="A1203" t="str">
        <f t="shared" ref="A1203:A1266" ca="1" si="330">IF(AND(H1203, NOT($E$1104), E1203=""),F1203, "")</f>
        <v/>
      </c>
      <c r="B1203" s="52">
        <f t="shared" si="327"/>
        <v>146</v>
      </c>
      <c r="C1203" t="str">
        <f t="shared" ca="1" si="303"/>
        <v>3rd Party Estimator</v>
      </c>
      <c r="D1203" t="str">
        <f t="shared" si="328"/>
        <v>B149</v>
      </c>
      <c r="E1203" t="str">
        <f t="shared" ca="1" si="304"/>
        <v/>
      </c>
      <c r="F1203" t="str">
        <f t="shared" ref="F1203:F1208" ca="1" si="331">CONCATENATE("Enter a "&amp; J1203 &amp;" for '", C1203, "' in cell ", D1203, ".", CHAR(10))</f>
        <v xml:space="preserve">Enter a City  for '3rd Party Estimator' in cell B149.
</v>
      </c>
      <c r="G1203"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3" s="9" t="b">
        <f>Calculations!$B$2</f>
        <v>0</v>
      </c>
      <c r="I1203" s="9"/>
      <c r="J1203" s="52" t="str">
        <f t="shared" ca="1" si="329"/>
        <v xml:space="preserve">City </v>
      </c>
      <c r="K1203" s="52">
        <v>3</v>
      </c>
    </row>
    <row r="1204" spans="1:11" ht="15" customHeight="1">
      <c r="A1204" t="str">
        <f t="shared" ca="1" si="330"/>
        <v/>
      </c>
      <c r="B1204" s="52">
        <f t="shared" si="327"/>
        <v>146</v>
      </c>
      <c r="C1204" t="str">
        <f t="shared" ca="1" si="303"/>
        <v>3rd Party Estimator</v>
      </c>
      <c r="D1204" t="str">
        <f t="shared" si="328"/>
        <v>B150</v>
      </c>
      <c r="E1204" t="str">
        <f t="shared" ca="1" si="304"/>
        <v/>
      </c>
      <c r="F1204" t="str">
        <f t="shared" ca="1" si="331"/>
        <v xml:space="preserve">Enter a State for '3rd Party Estimator' in cell B150.
</v>
      </c>
      <c r="G1204"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4" s="9" t="b">
        <f>Calculations!$B$2</f>
        <v>0</v>
      </c>
      <c r="I1204" s="9"/>
      <c r="J1204" s="52" t="str">
        <f t="shared" ca="1" si="329"/>
        <v>State</v>
      </c>
      <c r="K1204" s="52">
        <v>4</v>
      </c>
    </row>
    <row r="1205" spans="1:11" ht="15" customHeight="1">
      <c r="A1205" t="str">
        <f t="shared" ca="1" si="330"/>
        <v/>
      </c>
      <c r="B1205" s="52">
        <f t="shared" si="327"/>
        <v>146</v>
      </c>
      <c r="C1205" t="str">
        <f t="shared" ca="1" si="303"/>
        <v>3rd Party Estimator</v>
      </c>
      <c r="D1205" t="str">
        <f t="shared" si="328"/>
        <v>B151</v>
      </c>
      <c r="E1205" t="str">
        <f t="shared" ca="1" si="304"/>
        <v/>
      </c>
      <c r="F1205" t="str">
        <f t="shared" ca="1" si="331"/>
        <v xml:space="preserve">Enter a Zip (first five #'s only) for '3rd Party Estimator' in cell B151.
</v>
      </c>
      <c r="G1205"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5" s="9" t="b">
        <f>Calculations!$B$2</f>
        <v>0</v>
      </c>
      <c r="I1205" s="9"/>
      <c r="J1205" s="52" t="str">
        <f t="shared" ca="1" si="329"/>
        <v>Zip (first five #'s only)</v>
      </c>
      <c r="K1205" s="52">
        <v>5</v>
      </c>
    </row>
    <row r="1206" spans="1:11" ht="15" customHeight="1">
      <c r="A1206" t="str">
        <f t="shared" ca="1" si="330"/>
        <v/>
      </c>
      <c r="B1206" s="52">
        <f t="shared" si="327"/>
        <v>146</v>
      </c>
      <c r="C1206" t="str">
        <f t="shared" ca="1" si="303"/>
        <v>3rd Party Estimator</v>
      </c>
      <c r="D1206" t="str">
        <f t="shared" si="328"/>
        <v>B152</v>
      </c>
      <c r="E1206" t="str">
        <f t="shared" ca="1" si="304"/>
        <v/>
      </c>
      <c r="F1206" t="str">
        <f t="shared" ca="1" si="331"/>
        <v xml:space="preserve">Enter a Contact First Name for '3rd Party Estimator' in cell B152.
</v>
      </c>
      <c r="G1206"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6" s="9" t="b">
        <f>Calculations!$B$2</f>
        <v>0</v>
      </c>
      <c r="I1206" s="9"/>
      <c r="J1206" s="52" t="str">
        <f t="shared" ca="1" si="329"/>
        <v>Contact First Name</v>
      </c>
      <c r="K1206" s="52">
        <v>6</v>
      </c>
    </row>
    <row r="1207" spans="1:11" ht="15" customHeight="1">
      <c r="A1207" t="str">
        <f t="shared" ca="1" si="330"/>
        <v/>
      </c>
      <c r="B1207" s="52">
        <f t="shared" si="327"/>
        <v>146</v>
      </c>
      <c r="C1207" t="str">
        <f t="shared" ref="C1207:C1283" ca="1" si="332">INDIRECT($F$1101 &amp; ADDRESS(B1207, 1,4  ))</f>
        <v>3rd Party Estimator</v>
      </c>
      <c r="D1207" t="str">
        <f t="shared" si="328"/>
        <v>B153</v>
      </c>
      <c r="E1207" t="str">
        <f t="shared" ref="E1207:E1283" ca="1" si="333">IF(ISBLANK( INDIRECT($F$1101 &amp; D1207)),"", INDIRECT($F$1101 &amp; D1207))</f>
        <v/>
      </c>
      <c r="F1207" t="str">
        <f t="shared" ca="1" si="331"/>
        <v xml:space="preserve">Enter a Contact Last Name for '3rd Party Estimator' in cell B153.
</v>
      </c>
      <c r="G1207"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7" s="9" t="b">
        <f>Calculations!$B$2</f>
        <v>0</v>
      </c>
      <c r="I1207" s="9"/>
      <c r="J1207" s="52" t="str">
        <f t="shared" ca="1" si="329"/>
        <v>Contact Last Name</v>
      </c>
      <c r="K1207" s="52">
        <v>7</v>
      </c>
    </row>
    <row r="1208" spans="1:11" ht="15" customHeight="1">
      <c r="A1208" t="str">
        <f t="shared" ca="1" si="330"/>
        <v/>
      </c>
      <c r="B1208" s="52">
        <f t="shared" si="327"/>
        <v>146</v>
      </c>
      <c r="C1208" t="str">
        <f t="shared" ca="1" si="332"/>
        <v>3rd Party Estimator</v>
      </c>
      <c r="D1208" t="str">
        <f t="shared" si="328"/>
        <v>B154</v>
      </c>
      <c r="E1208" t="str">
        <f t="shared" ca="1" si="333"/>
        <v/>
      </c>
      <c r="F1208" t="str">
        <f t="shared" ca="1" si="331"/>
        <v xml:space="preserve">Enter a Phone (#'s only) for '3rd Party Estimator' in cell B154.
</v>
      </c>
      <c r="G1208" s="9" t="str">
        <f t="shared" ref="G1208:G1371" ca="1" si="334">OFFSET(G1208, -1, 0) &amp; A1208</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8" s="9" t="b">
        <f>Calculations!$B$2</f>
        <v>0</v>
      </c>
      <c r="I1208" s="9"/>
      <c r="J1208" s="52" t="str">
        <f t="shared" ca="1" si="329"/>
        <v>Phone (#'s only)</v>
      </c>
      <c r="K1208" s="52">
        <v>8</v>
      </c>
    </row>
    <row r="1209" spans="1:11" ht="15" customHeight="1">
      <c r="A1209" t="str">
        <f t="shared" ca="1" si="330"/>
        <v/>
      </c>
      <c r="B1209" s="52">
        <f t="shared" si="327"/>
        <v>146</v>
      </c>
      <c r="C1209" t="str">
        <f t="shared" ca="1" si="332"/>
        <v>3rd Party Estimator</v>
      </c>
      <c r="D1209" t="str">
        <f t="shared" si="328"/>
        <v>B155</v>
      </c>
      <c r="E1209" t="str">
        <f t="shared" ca="1" si="333"/>
        <v/>
      </c>
      <c r="F1209" t="str">
        <f ca="1">CONCATENATE("Enter an "&amp; J1209 &amp;" for '", C1209, "' in cell ", D1209, ".", CHAR(10))</f>
        <v xml:space="preserve">Enter an Email for '3rd Party Estimator' in cell B155.
</v>
      </c>
      <c r="G1209"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9" s="9" t="b">
        <f>Calculations!$B$2</f>
        <v>0</v>
      </c>
      <c r="I1209" s="9"/>
      <c r="J1209" s="52" t="str">
        <f t="shared" ca="1" si="329"/>
        <v>Email</v>
      </c>
      <c r="K1209" s="52">
        <v>9</v>
      </c>
    </row>
    <row r="1210" spans="1:11" ht="15" customHeight="1">
      <c r="A1210" t="str">
        <f t="shared" ca="1" si="330"/>
        <v/>
      </c>
      <c r="B1210">
        <f>ROW('Contact Information'!B157)</f>
        <v>157</v>
      </c>
      <c r="C1210" t="str">
        <f t="shared" ca="1" si="332"/>
        <v>General Partner</v>
      </c>
      <c r="D1210" t="str">
        <f t="shared" si="328"/>
        <v>B158</v>
      </c>
      <c r="E1210" t="str">
        <f t="shared" ca="1" si="333"/>
        <v/>
      </c>
      <c r="F1210" t="str">
        <f ca="1">CONCATENATE("Enter a "&amp; J1210 &amp;" for '", C1210, "' in cell ", D1210, ".", CHAR(10))</f>
        <v xml:space="preserve">Enter a Organization for 'General Partner' in cell B158.
</v>
      </c>
      <c r="G1210"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0" t="b">
        <f>TRUE</f>
        <v>1</v>
      </c>
      <c r="I1210" s="9"/>
      <c r="J1210" s="52" t="str">
        <f t="shared" ca="1" si="329"/>
        <v>Organization</v>
      </c>
      <c r="K1210" s="52">
        <v>1</v>
      </c>
    </row>
    <row r="1211" spans="1:11" ht="15" customHeight="1">
      <c r="A1211" t="str">
        <f t="shared" ca="1" si="330"/>
        <v/>
      </c>
      <c r="B1211" s="52">
        <f t="shared" ref="B1211:B1218" si="335">B1210</f>
        <v>157</v>
      </c>
      <c r="C1211" t="str">
        <f t="shared" ca="1" si="332"/>
        <v>General Partner</v>
      </c>
      <c r="D1211" t="str">
        <f t="shared" si="328"/>
        <v>B159</v>
      </c>
      <c r="E1211" t="str">
        <f t="shared" ca="1" si="333"/>
        <v/>
      </c>
      <c r="F1211" t="str">
        <f ca="1">CONCATENATE("Enter an "&amp; J1211 &amp;" for '", C1211, "' in cell ", D1211, ".", CHAR(10))</f>
        <v xml:space="preserve">Enter an Address for 'General Partner' in cell B159.
</v>
      </c>
      <c r="G1211"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1" t="b">
        <f>TRUE</f>
        <v>1</v>
      </c>
      <c r="I1211" s="9"/>
      <c r="J1211" s="52" t="str">
        <f t="shared" ca="1" si="329"/>
        <v>Address</v>
      </c>
      <c r="K1211" s="52">
        <v>2</v>
      </c>
    </row>
    <row r="1212" spans="1:11" ht="15" customHeight="1">
      <c r="A1212" t="str">
        <f t="shared" ca="1" si="330"/>
        <v/>
      </c>
      <c r="B1212" s="52">
        <f t="shared" si="335"/>
        <v>157</v>
      </c>
      <c r="C1212" t="str">
        <f t="shared" ca="1" si="332"/>
        <v>General Partner</v>
      </c>
      <c r="D1212" t="str">
        <f t="shared" si="328"/>
        <v>B160</v>
      </c>
      <c r="E1212" t="str">
        <f t="shared" ca="1" si="333"/>
        <v/>
      </c>
      <c r="F1212" t="str">
        <f t="shared" ref="F1212:F1217" ca="1" si="336">CONCATENATE("Enter a "&amp; J1212 &amp;" for '", C1212, "' in cell ", D1212, ".", CHAR(10))</f>
        <v xml:space="preserve">Enter a City  for 'General Partner' in cell B160.
</v>
      </c>
      <c r="G1212"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2" t="b">
        <f>TRUE</f>
        <v>1</v>
      </c>
      <c r="I1212" s="9"/>
      <c r="J1212" s="52" t="str">
        <f t="shared" ca="1" si="329"/>
        <v xml:space="preserve">City </v>
      </c>
      <c r="K1212" s="52">
        <v>3</v>
      </c>
    </row>
    <row r="1213" spans="1:11" ht="15" customHeight="1">
      <c r="A1213" t="str">
        <f t="shared" ca="1" si="330"/>
        <v/>
      </c>
      <c r="B1213" s="52">
        <f t="shared" si="335"/>
        <v>157</v>
      </c>
      <c r="C1213" t="str">
        <f t="shared" ca="1" si="332"/>
        <v>General Partner</v>
      </c>
      <c r="D1213" t="str">
        <f t="shared" si="328"/>
        <v>B161</v>
      </c>
      <c r="E1213" t="str">
        <f t="shared" ca="1" si="333"/>
        <v/>
      </c>
      <c r="F1213" t="str">
        <f t="shared" ca="1" si="336"/>
        <v xml:space="preserve">Enter a State for 'General Partner' in cell B161.
</v>
      </c>
      <c r="G1213"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3" t="b">
        <f>TRUE</f>
        <v>1</v>
      </c>
      <c r="I1213" s="9"/>
      <c r="J1213" s="52" t="str">
        <f t="shared" ca="1" si="329"/>
        <v>State</v>
      </c>
      <c r="K1213" s="52">
        <v>4</v>
      </c>
    </row>
    <row r="1214" spans="1:11" ht="15" customHeight="1">
      <c r="A1214" t="str">
        <f t="shared" ca="1" si="330"/>
        <v/>
      </c>
      <c r="B1214" s="52">
        <f t="shared" si="335"/>
        <v>157</v>
      </c>
      <c r="C1214" t="str">
        <f t="shared" ca="1" si="332"/>
        <v>General Partner</v>
      </c>
      <c r="D1214" t="str">
        <f t="shared" si="328"/>
        <v>B162</v>
      </c>
      <c r="E1214" t="str">
        <f t="shared" ca="1" si="333"/>
        <v/>
      </c>
      <c r="F1214" t="str">
        <f t="shared" ca="1" si="336"/>
        <v xml:space="preserve">Enter a Zip for 'General Partner' in cell B162.
</v>
      </c>
      <c r="G1214"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4" t="b">
        <f>TRUE</f>
        <v>1</v>
      </c>
      <c r="I1214" s="9"/>
      <c r="J1214" s="52" t="str">
        <f t="shared" ca="1" si="329"/>
        <v>Zip</v>
      </c>
      <c r="K1214" s="52">
        <v>5</v>
      </c>
    </row>
    <row r="1215" spans="1:11" ht="15" customHeight="1">
      <c r="A1215" t="str">
        <f t="shared" ca="1" si="330"/>
        <v/>
      </c>
      <c r="B1215" s="52">
        <f t="shared" si="335"/>
        <v>157</v>
      </c>
      <c r="C1215" t="str">
        <f t="shared" ca="1" si="332"/>
        <v>General Partner</v>
      </c>
      <c r="D1215" t="str">
        <f t="shared" si="328"/>
        <v>B163</v>
      </c>
      <c r="E1215" t="str">
        <f t="shared" ca="1" si="333"/>
        <v/>
      </c>
      <c r="F1215" t="str">
        <f t="shared" ca="1" si="336"/>
        <v xml:space="preserve">Enter a Contact First Name for 'General Partner' in cell B163.
</v>
      </c>
      <c r="G1215"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5" t="b">
        <f>TRUE</f>
        <v>1</v>
      </c>
      <c r="I1215" s="9"/>
      <c r="J1215" s="52" t="str">
        <f t="shared" ca="1" si="329"/>
        <v>Contact First Name</v>
      </c>
      <c r="K1215" s="52">
        <v>6</v>
      </c>
    </row>
    <row r="1216" spans="1:11" ht="15" customHeight="1">
      <c r="A1216" t="str">
        <f t="shared" ca="1" si="330"/>
        <v/>
      </c>
      <c r="B1216" s="52">
        <f t="shared" si="335"/>
        <v>157</v>
      </c>
      <c r="C1216" t="str">
        <f t="shared" ca="1" si="332"/>
        <v>General Partner</v>
      </c>
      <c r="D1216" t="str">
        <f t="shared" si="328"/>
        <v>B164</v>
      </c>
      <c r="E1216" t="str">
        <f t="shared" ca="1" si="333"/>
        <v/>
      </c>
      <c r="F1216" t="str">
        <f t="shared" ca="1" si="336"/>
        <v xml:space="preserve">Enter a Contact Last Name for 'General Partner' in cell B164.
</v>
      </c>
      <c r="G1216"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6" t="b">
        <f>TRUE</f>
        <v>1</v>
      </c>
      <c r="I1216" s="9"/>
      <c r="J1216" s="52" t="str">
        <f t="shared" ca="1" si="329"/>
        <v>Contact Last Name</v>
      </c>
      <c r="K1216" s="52">
        <v>7</v>
      </c>
    </row>
    <row r="1217" spans="1:11" ht="15" customHeight="1">
      <c r="A1217" t="str">
        <f t="shared" ca="1" si="330"/>
        <v/>
      </c>
      <c r="B1217" s="52">
        <f t="shared" si="335"/>
        <v>157</v>
      </c>
      <c r="C1217" t="str">
        <f t="shared" ca="1" si="332"/>
        <v>General Partner</v>
      </c>
      <c r="D1217" t="str">
        <f t="shared" si="328"/>
        <v>B165</v>
      </c>
      <c r="E1217" t="str">
        <f t="shared" ca="1" si="333"/>
        <v/>
      </c>
      <c r="F1217" t="str">
        <f t="shared" ca="1" si="336"/>
        <v xml:space="preserve">Enter a Phone (#'s only) for 'General Partner' in cell B165.
</v>
      </c>
      <c r="G1217"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7" t="b">
        <f>TRUE</f>
        <v>1</v>
      </c>
      <c r="I1217" s="9"/>
      <c r="J1217" s="52" t="str">
        <f t="shared" ca="1" si="329"/>
        <v>Phone (#'s only)</v>
      </c>
      <c r="K1217" s="52">
        <v>8</v>
      </c>
    </row>
    <row r="1218" spans="1:11" ht="15" customHeight="1">
      <c r="A1218" t="str">
        <f t="shared" ca="1" si="330"/>
        <v/>
      </c>
      <c r="B1218" s="52">
        <f t="shared" si="335"/>
        <v>157</v>
      </c>
      <c r="C1218" t="str">
        <f t="shared" ca="1" si="332"/>
        <v>General Partner</v>
      </c>
      <c r="D1218" t="str">
        <f t="shared" si="328"/>
        <v>B166</v>
      </c>
      <c r="E1218" t="str">
        <f t="shared" ca="1" si="333"/>
        <v/>
      </c>
      <c r="F1218" t="str">
        <f ca="1">CONCATENATE("Enter an "&amp; J1218 &amp;" for '", C1218, "' in cell ", D1218, ".", CHAR(10))</f>
        <v xml:space="preserve">Enter an Email for 'General Partner' in cell B166.
</v>
      </c>
      <c r="G1218"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8" t="b">
        <f>TRUE</f>
        <v>1</v>
      </c>
      <c r="I1218" s="9"/>
      <c r="J1218" s="52" t="str">
        <f t="shared" ca="1" si="329"/>
        <v>Email</v>
      </c>
      <c r="K1218" s="52">
        <v>9</v>
      </c>
    </row>
    <row r="1219" spans="1:11" ht="15" customHeight="1">
      <c r="A1219" t="str">
        <f t="shared" ca="1" si="330"/>
        <v/>
      </c>
      <c r="B1219">
        <f>ROW('Contact Information'!B171)</f>
        <v>171</v>
      </c>
      <c r="C1219" t="str">
        <f t="shared" ref="C1219:C1227" ca="1" si="337">INDIRECT($F$1101 &amp; ADDRESS(B1219, 1,4  ))</f>
        <v>General Contractor</v>
      </c>
      <c r="D1219" t="str">
        <f t="shared" si="328"/>
        <v>B172</v>
      </c>
      <c r="E1219" t="str">
        <f t="shared" ref="E1219:E1227" ca="1" si="338">IF(ISBLANK( INDIRECT($F$1101 &amp; D1219)),"", INDIRECT($F$1101 &amp; D1219))</f>
        <v/>
      </c>
      <c r="F1219" t="str">
        <f ca="1">CONCATENATE("Enter a "&amp; J1219 &amp;" for '", C1219, "' in cell ", D1219, ".", CHAR(10))</f>
        <v xml:space="preserve">Enter a Organization for 'General Contractor' in cell B172.
</v>
      </c>
      <c r="G1219" s="9" t="str">
        <f t="shared" ref="G1219:G1227" ca="1" si="339">OFFSET(G1219, -1, 0) &amp; A1219</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9" t="b">
        <f>TRUE</f>
        <v>1</v>
      </c>
      <c r="I1219" s="9"/>
      <c r="J1219" s="52" t="str">
        <f t="shared" ca="1" si="329"/>
        <v>Organization</v>
      </c>
      <c r="K1219" s="52">
        <v>1</v>
      </c>
    </row>
    <row r="1220" spans="1:11" ht="15" customHeight="1">
      <c r="A1220" t="str">
        <f t="shared" ca="1" si="330"/>
        <v/>
      </c>
      <c r="B1220" s="52">
        <f t="shared" ref="B1220:B1254" si="340">B1219</f>
        <v>171</v>
      </c>
      <c r="C1220" t="str">
        <f t="shared" ca="1" si="337"/>
        <v>General Contractor</v>
      </c>
      <c r="D1220" t="str">
        <f t="shared" si="328"/>
        <v>B173</v>
      </c>
      <c r="E1220" t="str">
        <f t="shared" ca="1" si="338"/>
        <v/>
      </c>
      <c r="F1220" t="str">
        <f ca="1">CONCATENATE("Enter an "&amp; J1220 &amp;" for '", C1220, "' in cell ", D1220, ".", CHAR(10))</f>
        <v xml:space="preserve">Enter an Address for 'General Contractor' in cell B173.
</v>
      </c>
      <c r="G1220" s="9" t="str">
        <f t="shared" ca="1" si="33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0" t="b">
        <f>TRUE</f>
        <v>1</v>
      </c>
      <c r="I1220" s="9"/>
      <c r="J1220" s="52" t="str">
        <f t="shared" ca="1" si="329"/>
        <v>Address</v>
      </c>
      <c r="K1220" s="52">
        <v>2</v>
      </c>
    </row>
    <row r="1221" spans="1:11" ht="15" customHeight="1">
      <c r="A1221" t="str">
        <f t="shared" ca="1" si="330"/>
        <v/>
      </c>
      <c r="B1221" s="52">
        <f t="shared" si="340"/>
        <v>171</v>
      </c>
      <c r="C1221" t="str">
        <f t="shared" ca="1" si="337"/>
        <v>General Contractor</v>
      </c>
      <c r="D1221" t="str">
        <f t="shared" si="328"/>
        <v>B174</v>
      </c>
      <c r="E1221" t="str">
        <f t="shared" ca="1" si="338"/>
        <v/>
      </c>
      <c r="F1221" t="str">
        <f t="shared" ref="F1221:F1226" ca="1" si="341">CONCATENATE("Enter a "&amp; J1221 &amp;" for '", C1221, "' in cell ", D1221, ".", CHAR(10))</f>
        <v xml:space="preserve">Enter a City  for 'General Contractor' in cell B174.
</v>
      </c>
      <c r="G1221" s="9" t="str">
        <f t="shared" ca="1" si="33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1" t="b">
        <f>TRUE</f>
        <v>1</v>
      </c>
      <c r="I1221" s="9"/>
      <c r="J1221" s="52" t="str">
        <f t="shared" ca="1" si="329"/>
        <v xml:space="preserve">City </v>
      </c>
      <c r="K1221" s="52">
        <v>3</v>
      </c>
    </row>
    <row r="1222" spans="1:11" ht="15" customHeight="1">
      <c r="A1222" t="str">
        <f t="shared" ca="1" si="330"/>
        <v/>
      </c>
      <c r="B1222" s="52">
        <f t="shared" si="340"/>
        <v>171</v>
      </c>
      <c r="C1222" t="str">
        <f t="shared" ca="1" si="337"/>
        <v>General Contractor</v>
      </c>
      <c r="D1222" t="str">
        <f t="shared" si="328"/>
        <v>B175</v>
      </c>
      <c r="E1222" t="str">
        <f t="shared" ca="1" si="338"/>
        <v/>
      </c>
      <c r="F1222" t="str">
        <f t="shared" ca="1" si="341"/>
        <v xml:space="preserve">Enter a State for 'General Contractor' in cell B175.
</v>
      </c>
      <c r="G1222" s="9" t="str">
        <f t="shared" ca="1" si="33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2" t="b">
        <f>TRUE</f>
        <v>1</v>
      </c>
      <c r="I1222" s="9"/>
      <c r="J1222" s="52" t="str">
        <f t="shared" ca="1" si="329"/>
        <v>State</v>
      </c>
      <c r="K1222" s="52">
        <v>4</v>
      </c>
    </row>
    <row r="1223" spans="1:11" ht="15" customHeight="1">
      <c r="A1223" t="str">
        <f t="shared" ca="1" si="330"/>
        <v/>
      </c>
      <c r="B1223" s="52">
        <f t="shared" si="340"/>
        <v>171</v>
      </c>
      <c r="C1223" t="str">
        <f t="shared" ca="1" si="337"/>
        <v>General Contractor</v>
      </c>
      <c r="D1223" t="str">
        <f t="shared" si="328"/>
        <v>B176</v>
      </c>
      <c r="E1223" t="str">
        <f t="shared" ca="1" si="338"/>
        <v/>
      </c>
      <c r="F1223" t="str">
        <f t="shared" ca="1" si="341"/>
        <v xml:space="preserve">Enter a Zip (first five #'s only) for 'General Contractor' in cell B176.
</v>
      </c>
      <c r="G1223" s="9" t="str">
        <f t="shared" ca="1" si="33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3" t="b">
        <f>TRUE</f>
        <v>1</v>
      </c>
      <c r="I1223" s="9"/>
      <c r="J1223" s="52" t="str">
        <f t="shared" ca="1" si="329"/>
        <v>Zip (first five #'s only)</v>
      </c>
      <c r="K1223" s="52">
        <v>5</v>
      </c>
    </row>
    <row r="1224" spans="1:11" ht="15" customHeight="1">
      <c r="A1224" t="str">
        <f t="shared" ca="1" si="330"/>
        <v/>
      </c>
      <c r="B1224" s="52">
        <f t="shared" si="340"/>
        <v>171</v>
      </c>
      <c r="C1224" t="str">
        <f t="shared" ca="1" si="337"/>
        <v>General Contractor</v>
      </c>
      <c r="D1224" t="str">
        <f t="shared" si="328"/>
        <v>B177</v>
      </c>
      <c r="E1224" t="str">
        <f t="shared" ca="1" si="338"/>
        <v/>
      </c>
      <c r="F1224" t="str">
        <f t="shared" ca="1" si="341"/>
        <v xml:space="preserve">Enter a Contact First Name for 'General Contractor' in cell B177.
</v>
      </c>
      <c r="G1224" s="9" t="str">
        <f t="shared" ca="1" si="33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4" t="b">
        <f>TRUE</f>
        <v>1</v>
      </c>
      <c r="I1224" s="9"/>
      <c r="J1224" s="52" t="str">
        <f t="shared" ca="1" si="329"/>
        <v>Contact First Name</v>
      </c>
      <c r="K1224" s="52">
        <v>6</v>
      </c>
    </row>
    <row r="1225" spans="1:11" ht="15" customHeight="1">
      <c r="A1225" t="str">
        <f t="shared" ca="1" si="330"/>
        <v/>
      </c>
      <c r="B1225" s="52">
        <f t="shared" si="340"/>
        <v>171</v>
      </c>
      <c r="C1225" t="str">
        <f t="shared" ca="1" si="337"/>
        <v>General Contractor</v>
      </c>
      <c r="D1225" t="str">
        <f t="shared" si="328"/>
        <v>B178</v>
      </c>
      <c r="E1225" t="str">
        <f t="shared" ca="1" si="338"/>
        <v/>
      </c>
      <c r="F1225" t="str">
        <f t="shared" ca="1" si="341"/>
        <v xml:space="preserve">Enter a Contact Last Name for 'General Contractor' in cell B178.
</v>
      </c>
      <c r="G1225" s="9" t="str">
        <f t="shared" ca="1" si="33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5" t="b">
        <f>TRUE</f>
        <v>1</v>
      </c>
      <c r="I1225" s="9"/>
      <c r="J1225" s="52" t="str">
        <f t="shared" ca="1" si="329"/>
        <v>Contact Last Name</v>
      </c>
      <c r="K1225" s="52">
        <v>7</v>
      </c>
    </row>
    <row r="1226" spans="1:11" ht="15" customHeight="1">
      <c r="A1226" t="str">
        <f t="shared" ca="1" si="330"/>
        <v/>
      </c>
      <c r="B1226" s="52">
        <f t="shared" si="340"/>
        <v>171</v>
      </c>
      <c r="C1226" t="str">
        <f t="shared" ca="1" si="337"/>
        <v>General Contractor</v>
      </c>
      <c r="D1226" t="str">
        <f t="shared" si="328"/>
        <v>B179</v>
      </c>
      <c r="E1226" t="str">
        <f t="shared" ca="1" si="338"/>
        <v/>
      </c>
      <c r="F1226" t="str">
        <f t="shared" ca="1" si="341"/>
        <v xml:space="preserve">Enter a Phone (#'s only) for 'General Contractor' in cell B179.
</v>
      </c>
      <c r="G1226" s="9" t="str">
        <f t="shared" ca="1" si="33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6" t="b">
        <f>TRUE</f>
        <v>1</v>
      </c>
      <c r="I1226" s="9"/>
      <c r="J1226" s="52" t="str">
        <f t="shared" ca="1" si="329"/>
        <v>Phone (#'s only)</v>
      </c>
      <c r="K1226" s="52">
        <v>8</v>
      </c>
    </row>
    <row r="1227" spans="1:11" ht="15" customHeight="1">
      <c r="A1227" t="str">
        <f t="shared" ca="1" si="330"/>
        <v/>
      </c>
      <c r="B1227" s="52">
        <f t="shared" si="340"/>
        <v>171</v>
      </c>
      <c r="C1227" t="str">
        <f t="shared" ca="1" si="337"/>
        <v>General Contractor</v>
      </c>
      <c r="D1227" t="str">
        <f t="shared" si="328"/>
        <v>B180</v>
      </c>
      <c r="E1227" t="str">
        <f t="shared" ca="1" si="338"/>
        <v/>
      </c>
      <c r="F1227" t="str">
        <f ca="1">CONCATENATE("Enter an "&amp; J1227 &amp;" for '", C1227, "' in cell ", D1227, ".", CHAR(10))</f>
        <v xml:space="preserve">Enter an Email for 'General Contractor' in cell B180.
</v>
      </c>
      <c r="G1227" s="9" t="str">
        <f t="shared" ca="1" si="33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7" t="b">
        <f>TRUE</f>
        <v>1</v>
      </c>
      <c r="I1227" s="9"/>
      <c r="J1227" s="52" t="str">
        <f t="shared" ca="1" si="329"/>
        <v>Email</v>
      </c>
      <c r="K1227" s="52">
        <v>9</v>
      </c>
    </row>
    <row r="1228" spans="1:11" ht="15" customHeight="1">
      <c r="A1228" t="str">
        <f t="shared" ca="1" si="330"/>
        <v/>
      </c>
      <c r="B1228">
        <f>ROW('Contact Information'!B185)</f>
        <v>185</v>
      </c>
      <c r="C1228" t="str">
        <f t="shared" ref="C1228:C1236" ca="1" si="342">INDIRECT($F$1101 &amp; ADDRESS(B1228, 1,4  ))</f>
        <v>Management Company</v>
      </c>
      <c r="D1228" t="str">
        <f t="shared" si="328"/>
        <v>B186</v>
      </c>
      <c r="E1228" t="str">
        <f t="shared" ref="E1228:E1236" ca="1" si="343">IF(ISBLANK( INDIRECT($F$1101 &amp; D1228)),"", INDIRECT($F$1101 &amp; D1228))</f>
        <v/>
      </c>
      <c r="F1228" t="str">
        <f ca="1">CONCATENATE("Enter a "&amp; J1228 &amp;" for '", C1228, "' in cell ", D1228, ".", CHAR(10))</f>
        <v xml:space="preserve">Enter a Organization for 'Management Company' in cell B186.
</v>
      </c>
      <c r="G1228" s="9" t="str">
        <f t="shared" ref="G1228:G1236" ca="1" si="344">OFFSET(G1228, -1, 0) &amp; A1228</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8" t="b">
        <f>TRUE</f>
        <v>1</v>
      </c>
      <c r="I1228" s="9"/>
      <c r="J1228" s="52" t="str">
        <f t="shared" ca="1" si="329"/>
        <v>Organization</v>
      </c>
      <c r="K1228" s="52">
        <v>1</v>
      </c>
    </row>
    <row r="1229" spans="1:11" ht="15" customHeight="1">
      <c r="A1229" t="str">
        <f t="shared" ca="1" si="330"/>
        <v/>
      </c>
      <c r="B1229" s="52">
        <f t="shared" si="340"/>
        <v>185</v>
      </c>
      <c r="C1229" t="str">
        <f t="shared" ca="1" si="342"/>
        <v>Management Company</v>
      </c>
      <c r="D1229" t="str">
        <f t="shared" si="328"/>
        <v>B187</v>
      </c>
      <c r="E1229" t="str">
        <f t="shared" ca="1" si="343"/>
        <v/>
      </c>
      <c r="F1229" t="str">
        <f ca="1">CONCATENATE("Enter an "&amp; J1229 &amp;" for '", C1229, "' in cell ", D1229, ".", CHAR(10))</f>
        <v xml:space="preserve">Enter an Address for 'Management Company' in cell B187.
</v>
      </c>
      <c r="G1229" s="9" t="str">
        <f t="shared" ca="1" si="34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9" t="b">
        <f>TRUE</f>
        <v>1</v>
      </c>
      <c r="I1229" s="9"/>
      <c r="J1229" s="52" t="str">
        <f t="shared" ca="1" si="329"/>
        <v>Address</v>
      </c>
      <c r="K1229" s="52">
        <v>2</v>
      </c>
    </row>
    <row r="1230" spans="1:11" ht="15" customHeight="1">
      <c r="A1230" t="str">
        <f t="shared" ca="1" si="330"/>
        <v/>
      </c>
      <c r="B1230" s="52">
        <f t="shared" si="340"/>
        <v>185</v>
      </c>
      <c r="C1230" t="str">
        <f t="shared" ca="1" si="342"/>
        <v>Management Company</v>
      </c>
      <c r="D1230" t="str">
        <f t="shared" si="328"/>
        <v>B188</v>
      </c>
      <c r="E1230" t="str">
        <f t="shared" ca="1" si="343"/>
        <v/>
      </c>
      <c r="F1230" t="str">
        <f t="shared" ref="F1230:F1235" ca="1" si="345">CONCATENATE("Enter a "&amp; J1230 &amp;" for '", C1230, "' in cell ", D1230, ".", CHAR(10))</f>
        <v xml:space="preserve">Enter a City  for 'Management Company' in cell B188.
</v>
      </c>
      <c r="G1230" s="9" t="str">
        <f t="shared" ca="1" si="34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0" t="b">
        <f>TRUE</f>
        <v>1</v>
      </c>
      <c r="I1230" s="9"/>
      <c r="J1230" s="52" t="str">
        <f t="shared" ca="1" si="329"/>
        <v xml:space="preserve">City </v>
      </c>
      <c r="K1230" s="52">
        <v>3</v>
      </c>
    </row>
    <row r="1231" spans="1:11" ht="15" customHeight="1">
      <c r="A1231" t="str">
        <f t="shared" ca="1" si="330"/>
        <v/>
      </c>
      <c r="B1231" s="52">
        <f t="shared" si="340"/>
        <v>185</v>
      </c>
      <c r="C1231" t="str">
        <f t="shared" ca="1" si="342"/>
        <v>Management Company</v>
      </c>
      <c r="D1231" t="str">
        <f t="shared" si="328"/>
        <v>B189</v>
      </c>
      <c r="E1231" t="str">
        <f t="shared" ca="1" si="343"/>
        <v/>
      </c>
      <c r="F1231" t="str">
        <f t="shared" ca="1" si="345"/>
        <v xml:space="preserve">Enter a State for 'Management Company' in cell B189.
</v>
      </c>
      <c r="G1231" s="9" t="str">
        <f t="shared" ca="1" si="34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1" t="b">
        <f>TRUE</f>
        <v>1</v>
      </c>
      <c r="I1231" s="9"/>
      <c r="J1231" s="52" t="str">
        <f t="shared" ca="1" si="329"/>
        <v>State</v>
      </c>
      <c r="K1231" s="52">
        <v>4</v>
      </c>
    </row>
    <row r="1232" spans="1:11" ht="15" customHeight="1">
      <c r="A1232" t="str">
        <f t="shared" ca="1" si="330"/>
        <v/>
      </c>
      <c r="B1232" s="52">
        <f t="shared" si="340"/>
        <v>185</v>
      </c>
      <c r="C1232" t="str">
        <f t="shared" ca="1" si="342"/>
        <v>Management Company</v>
      </c>
      <c r="D1232" t="str">
        <f t="shared" si="328"/>
        <v>B190</v>
      </c>
      <c r="E1232" t="str">
        <f t="shared" ca="1" si="343"/>
        <v/>
      </c>
      <c r="F1232" t="str">
        <f t="shared" ca="1" si="345"/>
        <v xml:space="preserve">Enter a Zip (first five #'s only) for 'Management Company' in cell B190.
</v>
      </c>
      <c r="G1232" s="9" t="str">
        <f t="shared" ca="1" si="34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2" t="b">
        <f>TRUE</f>
        <v>1</v>
      </c>
      <c r="I1232" s="9"/>
      <c r="J1232" s="52" t="str">
        <f t="shared" ca="1" si="329"/>
        <v>Zip (first five #'s only)</v>
      </c>
      <c r="K1232" s="52">
        <v>5</v>
      </c>
    </row>
    <row r="1233" spans="1:11" ht="15" customHeight="1">
      <c r="A1233" t="str">
        <f t="shared" ca="1" si="330"/>
        <v/>
      </c>
      <c r="B1233" s="52">
        <f t="shared" si="340"/>
        <v>185</v>
      </c>
      <c r="C1233" t="str">
        <f t="shared" ca="1" si="342"/>
        <v>Management Company</v>
      </c>
      <c r="D1233" t="str">
        <f t="shared" si="328"/>
        <v>B191</v>
      </c>
      <c r="E1233" t="str">
        <f t="shared" ca="1" si="343"/>
        <v/>
      </c>
      <c r="F1233" t="str">
        <f t="shared" ca="1" si="345"/>
        <v xml:space="preserve">Enter a Contact First Name for 'Management Company' in cell B191.
</v>
      </c>
      <c r="G1233" s="9" t="str">
        <f t="shared" ca="1" si="34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3" t="b">
        <f>TRUE</f>
        <v>1</v>
      </c>
      <c r="I1233" s="9"/>
      <c r="J1233" s="52" t="str">
        <f t="shared" ca="1" si="329"/>
        <v>Contact First Name</v>
      </c>
      <c r="K1233" s="52">
        <v>6</v>
      </c>
    </row>
    <row r="1234" spans="1:11" ht="15" customHeight="1">
      <c r="A1234" t="str">
        <f t="shared" ca="1" si="330"/>
        <v/>
      </c>
      <c r="B1234" s="52">
        <f t="shared" si="340"/>
        <v>185</v>
      </c>
      <c r="C1234" t="str">
        <f t="shared" ca="1" si="342"/>
        <v>Management Company</v>
      </c>
      <c r="D1234" t="str">
        <f t="shared" si="328"/>
        <v>B192</v>
      </c>
      <c r="E1234" t="str">
        <f t="shared" ca="1" si="343"/>
        <v/>
      </c>
      <c r="F1234" t="str">
        <f t="shared" ca="1" si="345"/>
        <v xml:space="preserve">Enter a Contact Last Name for 'Management Company' in cell B192.
</v>
      </c>
      <c r="G1234" s="9" t="str">
        <f t="shared" ca="1" si="34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4" t="b">
        <f>TRUE</f>
        <v>1</v>
      </c>
      <c r="I1234" s="9"/>
      <c r="J1234" s="52" t="str">
        <f t="shared" ca="1" si="329"/>
        <v>Contact Last Name</v>
      </c>
      <c r="K1234" s="52">
        <v>7</v>
      </c>
    </row>
    <row r="1235" spans="1:11" ht="15" customHeight="1">
      <c r="A1235" t="str">
        <f t="shared" ca="1" si="330"/>
        <v/>
      </c>
      <c r="B1235" s="52">
        <f t="shared" si="340"/>
        <v>185</v>
      </c>
      <c r="C1235" t="str">
        <f t="shared" ca="1" si="342"/>
        <v>Management Company</v>
      </c>
      <c r="D1235" t="str">
        <f t="shared" si="328"/>
        <v>B193</v>
      </c>
      <c r="E1235" t="str">
        <f t="shared" ca="1" si="343"/>
        <v/>
      </c>
      <c r="F1235" t="str">
        <f t="shared" ca="1" si="345"/>
        <v xml:space="preserve">Enter a Phone (#'s only) for 'Management Company' in cell B193.
</v>
      </c>
      <c r="G1235" s="9" t="str">
        <f t="shared" ca="1" si="34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5" t="b">
        <f>TRUE</f>
        <v>1</v>
      </c>
      <c r="I1235" s="9"/>
      <c r="J1235" s="52" t="str">
        <f t="shared" ca="1" si="329"/>
        <v>Phone (#'s only)</v>
      </c>
      <c r="K1235" s="52">
        <v>8</v>
      </c>
    </row>
    <row r="1236" spans="1:11" ht="15" customHeight="1">
      <c r="A1236" t="str">
        <f t="shared" ca="1" si="330"/>
        <v/>
      </c>
      <c r="B1236" s="52">
        <f t="shared" si="340"/>
        <v>185</v>
      </c>
      <c r="C1236" t="str">
        <f t="shared" ca="1" si="342"/>
        <v>Management Company</v>
      </c>
      <c r="D1236" t="str">
        <f t="shared" si="328"/>
        <v>B194</v>
      </c>
      <c r="E1236" t="str">
        <f t="shared" ca="1" si="343"/>
        <v/>
      </c>
      <c r="F1236" t="str">
        <f ca="1">CONCATENATE("Enter an "&amp; J1236 &amp;" for '", C1236, "' in cell ", D1236, ".", CHAR(10))</f>
        <v xml:space="preserve">Enter an Email for 'Management Company' in cell B194.
</v>
      </c>
      <c r="G1236" s="9" t="str">
        <f t="shared" ca="1" si="34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6" t="b">
        <f>TRUE</f>
        <v>1</v>
      </c>
      <c r="I1236" s="9"/>
      <c r="J1236" s="52" t="str">
        <f t="shared" ca="1" si="329"/>
        <v>Email</v>
      </c>
      <c r="K1236" s="52">
        <v>9</v>
      </c>
    </row>
    <row r="1237" spans="1:11" ht="15" customHeight="1">
      <c r="A1237" t="str">
        <f t="shared" ca="1" si="330"/>
        <v/>
      </c>
      <c r="B1237">
        <f>ROW('Contact Information'!B199)</f>
        <v>199</v>
      </c>
      <c r="C1237" t="str">
        <f t="shared" ref="C1237:C1245" ca="1" si="346">INDIRECT($F$1101 &amp; ADDRESS(B1237, 1,4  ))</f>
        <v>Fee/Turnkey Developer</v>
      </c>
      <c r="D1237" t="str">
        <f t="shared" si="328"/>
        <v>B200</v>
      </c>
      <c r="E1237" t="str">
        <f t="shared" ref="E1237:E1245" ca="1" si="347">IF(ISBLANK( INDIRECT($F$1101 &amp; D1237)),"", INDIRECT($F$1101 &amp; D1237))</f>
        <v/>
      </c>
      <c r="F1237" t="str">
        <f ca="1">CONCATENATE("Enter a "&amp; J1237 &amp;" for '", C1237, "' in cell ", D1237, ".", CHAR(10))</f>
        <v xml:space="preserve">Enter a Organization for 'Fee/Turnkey Developer' in cell B200.
</v>
      </c>
      <c r="G1237" s="9" t="str">
        <f t="shared" ref="G1237:G1245" ca="1" si="348">OFFSET(G1237, -1, 0) &amp; A1237</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7" t="b">
        <f>Calculations!$B$2</f>
        <v>0</v>
      </c>
      <c r="I1237" s="9"/>
      <c r="J1237" s="52" t="str">
        <f t="shared" ca="1" si="329"/>
        <v>Organization</v>
      </c>
      <c r="K1237" s="52">
        <v>1</v>
      </c>
    </row>
    <row r="1238" spans="1:11" ht="15" customHeight="1">
      <c r="A1238" t="str">
        <f t="shared" ca="1" si="330"/>
        <v/>
      </c>
      <c r="B1238" s="52">
        <f t="shared" si="340"/>
        <v>199</v>
      </c>
      <c r="C1238" t="str">
        <f t="shared" ca="1" si="346"/>
        <v>Fee/Turnkey Developer</v>
      </c>
      <c r="D1238" t="str">
        <f t="shared" si="328"/>
        <v>B201</v>
      </c>
      <c r="E1238" t="str">
        <f t="shared" ca="1" si="347"/>
        <v/>
      </c>
      <c r="F1238" t="str">
        <f ca="1">CONCATENATE("Enter an "&amp; J1238 &amp;" for '", C1238, "' in cell ", D1238, ".", CHAR(10))</f>
        <v xml:space="preserve">Enter an Address for 'Fee/Turnkey Developer' in cell B201.
</v>
      </c>
      <c r="G1238" s="9" t="str">
        <f t="shared" ca="1" si="34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8" t="b">
        <f>Calculations!$B$2</f>
        <v>0</v>
      </c>
      <c r="I1238" s="9"/>
      <c r="J1238" s="52" t="str">
        <f t="shared" ca="1" si="329"/>
        <v>Address</v>
      </c>
      <c r="K1238" s="52">
        <v>2</v>
      </c>
    </row>
    <row r="1239" spans="1:11" ht="15" customHeight="1">
      <c r="A1239" t="str">
        <f t="shared" ca="1" si="330"/>
        <v/>
      </c>
      <c r="B1239" s="52">
        <f t="shared" si="340"/>
        <v>199</v>
      </c>
      <c r="C1239" t="str">
        <f t="shared" ca="1" si="346"/>
        <v>Fee/Turnkey Developer</v>
      </c>
      <c r="D1239" t="str">
        <f t="shared" si="328"/>
        <v>B202</v>
      </c>
      <c r="E1239" t="str">
        <f t="shared" ca="1" si="347"/>
        <v/>
      </c>
      <c r="F1239" t="str">
        <f t="shared" ref="F1239:F1244" ca="1" si="349">CONCATENATE("Enter a "&amp; J1239 &amp;" for '", C1239, "' in cell ", D1239, ".", CHAR(10))</f>
        <v xml:space="preserve">Enter a City  for 'Fee/Turnkey Developer' in cell B202.
</v>
      </c>
      <c r="G1239" s="9" t="str">
        <f t="shared" ca="1" si="34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9" t="b">
        <f>Calculations!$B$2</f>
        <v>0</v>
      </c>
      <c r="I1239" s="9"/>
      <c r="J1239" s="52" t="str">
        <f t="shared" ca="1" si="329"/>
        <v xml:space="preserve">City </v>
      </c>
      <c r="K1239" s="52">
        <v>3</v>
      </c>
    </row>
    <row r="1240" spans="1:11" ht="15" customHeight="1">
      <c r="A1240" t="str">
        <f t="shared" ca="1" si="330"/>
        <v/>
      </c>
      <c r="B1240" s="52">
        <f t="shared" si="340"/>
        <v>199</v>
      </c>
      <c r="C1240" t="str">
        <f t="shared" ca="1" si="346"/>
        <v>Fee/Turnkey Developer</v>
      </c>
      <c r="D1240" t="str">
        <f t="shared" si="328"/>
        <v>B203</v>
      </c>
      <c r="E1240" t="str">
        <f t="shared" ca="1" si="347"/>
        <v/>
      </c>
      <c r="F1240" t="str">
        <f t="shared" ca="1" si="349"/>
        <v xml:space="preserve">Enter a State for 'Fee/Turnkey Developer' in cell B203.
</v>
      </c>
      <c r="G1240" s="9" t="str">
        <f t="shared" ca="1" si="34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0" t="b">
        <f>Calculations!$B$2</f>
        <v>0</v>
      </c>
      <c r="I1240" s="9"/>
      <c r="J1240" s="52" t="str">
        <f t="shared" ca="1" si="329"/>
        <v>State</v>
      </c>
      <c r="K1240" s="52">
        <v>4</v>
      </c>
    </row>
    <row r="1241" spans="1:11" ht="15" customHeight="1">
      <c r="A1241" t="str">
        <f t="shared" ca="1" si="330"/>
        <v/>
      </c>
      <c r="B1241" s="52">
        <f t="shared" si="340"/>
        <v>199</v>
      </c>
      <c r="C1241" t="str">
        <f t="shared" ca="1" si="346"/>
        <v>Fee/Turnkey Developer</v>
      </c>
      <c r="D1241" t="str">
        <f t="shared" si="328"/>
        <v>B204</v>
      </c>
      <c r="E1241" t="str">
        <f t="shared" ca="1" si="347"/>
        <v/>
      </c>
      <c r="F1241" t="str">
        <f t="shared" ca="1" si="349"/>
        <v xml:space="preserve">Enter a Zip (first five #'s only) for 'Fee/Turnkey Developer' in cell B204.
</v>
      </c>
      <c r="G1241" s="9" t="str">
        <f t="shared" ca="1" si="34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1" t="b">
        <f>Calculations!$B$2</f>
        <v>0</v>
      </c>
      <c r="I1241" s="9"/>
      <c r="J1241" s="52" t="str">
        <f t="shared" ca="1" si="329"/>
        <v>Zip (first five #'s only)</v>
      </c>
      <c r="K1241" s="52">
        <v>5</v>
      </c>
    </row>
    <row r="1242" spans="1:11" ht="15" customHeight="1">
      <c r="A1242" t="str">
        <f t="shared" ca="1" si="330"/>
        <v/>
      </c>
      <c r="B1242" s="52">
        <f t="shared" si="340"/>
        <v>199</v>
      </c>
      <c r="C1242" t="str">
        <f t="shared" ca="1" si="346"/>
        <v>Fee/Turnkey Developer</v>
      </c>
      <c r="D1242" t="str">
        <f t="shared" si="328"/>
        <v>B205</v>
      </c>
      <c r="E1242" t="str">
        <f t="shared" ca="1" si="347"/>
        <v/>
      </c>
      <c r="F1242" t="str">
        <f t="shared" ca="1" si="349"/>
        <v xml:space="preserve">Enter a Contact First Name for 'Fee/Turnkey Developer' in cell B205.
</v>
      </c>
      <c r="G1242" s="9" t="str">
        <f t="shared" ca="1" si="34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2" t="b">
        <f>Calculations!$B$2</f>
        <v>0</v>
      </c>
      <c r="I1242" s="9"/>
      <c r="J1242" s="52" t="str">
        <f t="shared" ca="1" si="329"/>
        <v>Contact First Name</v>
      </c>
      <c r="K1242" s="52">
        <v>6</v>
      </c>
    </row>
    <row r="1243" spans="1:11" ht="15" customHeight="1">
      <c r="A1243" t="str">
        <f t="shared" ca="1" si="330"/>
        <v/>
      </c>
      <c r="B1243" s="52">
        <f t="shared" si="340"/>
        <v>199</v>
      </c>
      <c r="C1243" t="str">
        <f t="shared" ca="1" si="346"/>
        <v>Fee/Turnkey Developer</v>
      </c>
      <c r="D1243" t="str">
        <f t="shared" si="328"/>
        <v>B206</v>
      </c>
      <c r="E1243" t="str">
        <f t="shared" ca="1" si="347"/>
        <v/>
      </c>
      <c r="F1243" t="str">
        <f t="shared" ca="1" si="349"/>
        <v xml:space="preserve">Enter a Contact Last Name for 'Fee/Turnkey Developer' in cell B206.
</v>
      </c>
      <c r="G1243" s="9" t="str">
        <f t="shared" ca="1" si="34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3" t="b">
        <f>Calculations!$B$2</f>
        <v>0</v>
      </c>
      <c r="I1243" s="9"/>
      <c r="J1243" s="52" t="str">
        <f t="shared" ca="1" si="329"/>
        <v>Contact Last Name</v>
      </c>
      <c r="K1243" s="52">
        <v>7</v>
      </c>
    </row>
    <row r="1244" spans="1:11" ht="15" customHeight="1">
      <c r="A1244" t="str">
        <f t="shared" ca="1" si="330"/>
        <v/>
      </c>
      <c r="B1244" s="52">
        <f t="shared" si="340"/>
        <v>199</v>
      </c>
      <c r="C1244" t="str">
        <f t="shared" ca="1" si="346"/>
        <v>Fee/Turnkey Developer</v>
      </c>
      <c r="D1244" t="str">
        <f t="shared" si="328"/>
        <v>B207</v>
      </c>
      <c r="E1244" t="str">
        <f t="shared" ca="1" si="347"/>
        <v/>
      </c>
      <c r="F1244" t="str">
        <f t="shared" ca="1" si="349"/>
        <v xml:space="preserve">Enter a Phone (#'s only) for 'Fee/Turnkey Developer' in cell B207.
</v>
      </c>
      <c r="G1244" s="9" t="str">
        <f t="shared" ca="1" si="34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4" t="b">
        <f>Calculations!$B$2</f>
        <v>0</v>
      </c>
      <c r="I1244" s="9"/>
      <c r="J1244" s="52" t="str">
        <f t="shared" ca="1" si="329"/>
        <v>Phone (#'s only)</v>
      </c>
      <c r="K1244" s="52">
        <v>8</v>
      </c>
    </row>
    <row r="1245" spans="1:11" ht="15" customHeight="1">
      <c r="A1245" t="str">
        <f t="shared" ca="1" si="330"/>
        <v/>
      </c>
      <c r="B1245" s="52">
        <f t="shared" si="340"/>
        <v>199</v>
      </c>
      <c r="C1245" t="str">
        <f t="shared" ca="1" si="346"/>
        <v>Fee/Turnkey Developer</v>
      </c>
      <c r="D1245" t="str">
        <f t="shared" si="328"/>
        <v>B208</v>
      </c>
      <c r="E1245" t="str">
        <f t="shared" ca="1" si="347"/>
        <v/>
      </c>
      <c r="F1245" t="str">
        <f ca="1">CONCATENATE("Enter an "&amp; J1245 &amp;" for '", C1245, "' in cell ", D1245, ".", CHAR(10))</f>
        <v xml:space="preserve">Enter an Email for 'Fee/Turnkey Developer' in cell B208.
</v>
      </c>
      <c r="G1245" s="9" t="str">
        <f t="shared" ca="1" si="34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5" t="b">
        <f>Calculations!$B$2</f>
        <v>0</v>
      </c>
      <c r="I1245" s="9"/>
      <c r="J1245" s="52" t="str">
        <f t="shared" ca="1" si="329"/>
        <v>Email</v>
      </c>
      <c r="K1245" s="52">
        <v>9</v>
      </c>
    </row>
    <row r="1246" spans="1:11" ht="15" customHeight="1">
      <c r="A1246" t="str">
        <f t="shared" ca="1" si="330"/>
        <v/>
      </c>
      <c r="B1246">
        <f>ROW('Contact Information'!B213)</f>
        <v>213</v>
      </c>
      <c r="C1246" t="str">
        <f t="shared" ref="C1246:C1254" ca="1" si="350">INDIRECT($F$1101 &amp; ADDRESS(B1246, 1,4  ))</f>
        <v>Consultant (specify)</v>
      </c>
      <c r="D1246" t="str">
        <f t="shared" si="328"/>
        <v>B214</v>
      </c>
      <c r="E1246" t="str">
        <f t="shared" ref="E1246:E1254" ca="1" si="351">IF(ISBLANK( INDIRECT($F$1101 &amp; D1246)),"", INDIRECT($F$1101 &amp; D1246))</f>
        <v/>
      </c>
      <c r="F1246" t="str">
        <f ca="1">CONCATENATE("Enter a "&amp; J1246 &amp;" for '", C1246, "' in cell ", D1246, ".", CHAR(10))</f>
        <v xml:space="preserve">Enter a Organization for 'Consultant (specify)' in cell B214.
</v>
      </c>
      <c r="G1246" s="9" t="str">
        <f t="shared" ref="G1246:G1254" ca="1" si="352">OFFSET(G1246, -1, 0) &amp; A1246</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6" t="b">
        <f>TRUE</f>
        <v>1</v>
      </c>
      <c r="I1246" s="9"/>
      <c r="J1246" s="52" t="str">
        <f t="shared" ca="1" si="329"/>
        <v>Organization</v>
      </c>
      <c r="K1246" s="52">
        <v>1</v>
      </c>
    </row>
    <row r="1247" spans="1:11" ht="15" customHeight="1">
      <c r="A1247" t="str">
        <f t="shared" ca="1" si="330"/>
        <v/>
      </c>
      <c r="B1247" s="52">
        <f t="shared" si="340"/>
        <v>213</v>
      </c>
      <c r="C1247" t="str">
        <f t="shared" ca="1" si="350"/>
        <v>Consultant (specify)</v>
      </c>
      <c r="D1247" t="str">
        <f t="shared" si="328"/>
        <v>B215</v>
      </c>
      <c r="E1247" t="str">
        <f t="shared" ca="1" si="351"/>
        <v/>
      </c>
      <c r="F1247" t="str">
        <f ca="1">CONCATENATE("Enter an "&amp; J1247 &amp;" for '", C1247, "' in cell ", D1247, ".", CHAR(10))</f>
        <v xml:space="preserve">Enter an Type of Consultant for 'Consultant (specify)' in cell B215.
</v>
      </c>
      <c r="G1247" s="9" t="str">
        <f t="shared" ca="1" si="35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7" t="b">
        <f>TRUE</f>
        <v>1</v>
      </c>
      <c r="I1247" s="9"/>
      <c r="J1247" s="52" t="str">
        <f t="shared" ca="1" si="329"/>
        <v>Type of Consultant</v>
      </c>
      <c r="K1247" s="52">
        <v>2</v>
      </c>
    </row>
    <row r="1248" spans="1:11" ht="15" customHeight="1">
      <c r="A1248" t="str">
        <f t="shared" ca="1" si="330"/>
        <v/>
      </c>
      <c r="B1248" s="52">
        <f t="shared" si="340"/>
        <v>213</v>
      </c>
      <c r="C1248" t="str">
        <f t="shared" ca="1" si="350"/>
        <v>Consultant (specify)</v>
      </c>
      <c r="D1248" t="str">
        <f t="shared" si="328"/>
        <v>B216</v>
      </c>
      <c r="E1248" t="str">
        <f t="shared" ca="1" si="351"/>
        <v/>
      </c>
      <c r="F1248" t="str">
        <f t="shared" ref="F1248:F1253" ca="1" si="353">CONCATENATE("Enter a "&amp; J1248 &amp;" for '", C1248, "' in cell ", D1248, ".", CHAR(10))</f>
        <v xml:space="preserve">Enter a Address for 'Consultant (specify)' in cell B216.
</v>
      </c>
      <c r="G1248" s="9" t="str">
        <f t="shared" ca="1" si="35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8" t="b">
        <f>TRUE</f>
        <v>1</v>
      </c>
      <c r="I1248" s="9"/>
      <c r="J1248" s="52" t="str">
        <f t="shared" ca="1" si="329"/>
        <v>Address</v>
      </c>
      <c r="K1248" s="52">
        <v>3</v>
      </c>
    </row>
    <row r="1249" spans="1:11" ht="15" customHeight="1">
      <c r="A1249" t="str">
        <f t="shared" ca="1" si="330"/>
        <v/>
      </c>
      <c r="B1249" s="52">
        <f t="shared" si="340"/>
        <v>213</v>
      </c>
      <c r="C1249" t="str">
        <f t="shared" ca="1" si="350"/>
        <v>Consultant (specify)</v>
      </c>
      <c r="D1249" t="str">
        <f t="shared" si="328"/>
        <v>B217</v>
      </c>
      <c r="E1249" t="str">
        <f t="shared" ca="1" si="351"/>
        <v/>
      </c>
      <c r="F1249" t="str">
        <f t="shared" ca="1" si="353"/>
        <v xml:space="preserve">Enter a City  for 'Consultant (specify)' in cell B217.
</v>
      </c>
      <c r="G1249" s="9" t="str">
        <f t="shared" ca="1" si="35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9" t="b">
        <f>TRUE</f>
        <v>1</v>
      </c>
      <c r="I1249" s="9"/>
      <c r="J1249" s="52" t="str">
        <f t="shared" ca="1" si="329"/>
        <v xml:space="preserve">City </v>
      </c>
      <c r="K1249" s="52">
        <v>4</v>
      </c>
    </row>
    <row r="1250" spans="1:11" ht="15" customHeight="1">
      <c r="A1250" t="str">
        <f t="shared" ca="1" si="330"/>
        <v/>
      </c>
      <c r="B1250" s="52">
        <f t="shared" si="340"/>
        <v>213</v>
      </c>
      <c r="C1250" t="str">
        <f t="shared" ca="1" si="350"/>
        <v>Consultant (specify)</v>
      </c>
      <c r="D1250" t="str">
        <f t="shared" si="328"/>
        <v>B218</v>
      </c>
      <c r="E1250" t="str">
        <f t="shared" ca="1" si="351"/>
        <v/>
      </c>
      <c r="F1250" t="str">
        <f t="shared" ca="1" si="353"/>
        <v xml:space="preserve">Enter a State for 'Consultant (specify)' in cell B218.
</v>
      </c>
      <c r="G1250" s="9" t="str">
        <f t="shared" ca="1" si="35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0" t="b">
        <f>TRUE</f>
        <v>1</v>
      </c>
      <c r="I1250" s="9"/>
      <c r="J1250" s="52" t="str">
        <f t="shared" ca="1" si="329"/>
        <v>State</v>
      </c>
      <c r="K1250" s="52">
        <v>5</v>
      </c>
    </row>
    <row r="1251" spans="1:11" ht="15" customHeight="1">
      <c r="A1251" t="str">
        <f t="shared" ca="1" si="330"/>
        <v/>
      </c>
      <c r="B1251" s="52">
        <f t="shared" si="340"/>
        <v>213</v>
      </c>
      <c r="C1251" t="str">
        <f t="shared" ca="1" si="350"/>
        <v>Consultant (specify)</v>
      </c>
      <c r="D1251" t="str">
        <f t="shared" si="328"/>
        <v>B219</v>
      </c>
      <c r="E1251" t="str">
        <f t="shared" ca="1" si="351"/>
        <v/>
      </c>
      <c r="F1251" t="str">
        <f t="shared" ca="1" si="353"/>
        <v xml:space="preserve">Enter a Zip (first five #'s only) for 'Consultant (specify)' in cell B219.
</v>
      </c>
      <c r="G1251" s="9" t="str">
        <f t="shared" ca="1" si="35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1" t="b">
        <f>TRUE</f>
        <v>1</v>
      </c>
      <c r="I1251" s="9"/>
      <c r="J1251" s="52" t="str">
        <f t="shared" ca="1" si="329"/>
        <v>Zip (first five #'s only)</v>
      </c>
      <c r="K1251" s="52">
        <v>6</v>
      </c>
    </row>
    <row r="1252" spans="1:11" ht="15" customHeight="1">
      <c r="A1252" t="str">
        <f t="shared" ca="1" si="330"/>
        <v/>
      </c>
      <c r="B1252" s="52">
        <f t="shared" si="340"/>
        <v>213</v>
      </c>
      <c r="C1252" t="str">
        <f t="shared" ca="1" si="350"/>
        <v>Consultant (specify)</v>
      </c>
      <c r="D1252" t="str">
        <f t="shared" si="328"/>
        <v>B220</v>
      </c>
      <c r="E1252" t="str">
        <f t="shared" ca="1" si="351"/>
        <v/>
      </c>
      <c r="F1252" t="str">
        <f t="shared" ca="1" si="353"/>
        <v xml:space="preserve">Enter a Contact First Name for 'Consultant (specify)' in cell B220.
</v>
      </c>
      <c r="G1252" s="9" t="str">
        <f t="shared" ca="1" si="35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2" t="b">
        <f>TRUE</f>
        <v>1</v>
      </c>
      <c r="I1252" s="9"/>
      <c r="J1252" s="52" t="str">
        <f t="shared" ca="1" si="329"/>
        <v>Contact First Name</v>
      </c>
      <c r="K1252" s="52">
        <v>7</v>
      </c>
    </row>
    <row r="1253" spans="1:11" ht="15" customHeight="1">
      <c r="A1253" t="str">
        <f t="shared" ca="1" si="330"/>
        <v/>
      </c>
      <c r="B1253" s="52">
        <f t="shared" si="340"/>
        <v>213</v>
      </c>
      <c r="C1253" t="str">
        <f t="shared" ca="1" si="350"/>
        <v>Consultant (specify)</v>
      </c>
      <c r="D1253" t="str">
        <f t="shared" si="328"/>
        <v>B221</v>
      </c>
      <c r="E1253" t="str">
        <f t="shared" ca="1" si="351"/>
        <v/>
      </c>
      <c r="F1253" t="str">
        <f t="shared" ca="1" si="353"/>
        <v xml:space="preserve">Enter a Contact Last Name for 'Consultant (specify)' in cell B221.
</v>
      </c>
      <c r="G1253" s="9" t="str">
        <f t="shared" ca="1" si="35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3" t="b">
        <f>TRUE</f>
        <v>1</v>
      </c>
      <c r="I1253" s="9"/>
      <c r="J1253" s="52" t="str">
        <f t="shared" ca="1" si="329"/>
        <v>Contact Last Name</v>
      </c>
      <c r="K1253" s="52">
        <v>8</v>
      </c>
    </row>
    <row r="1254" spans="1:11" ht="15" customHeight="1">
      <c r="A1254" t="str">
        <f t="shared" ca="1" si="330"/>
        <v/>
      </c>
      <c r="B1254" s="52">
        <f t="shared" si="340"/>
        <v>213</v>
      </c>
      <c r="C1254" t="str">
        <f t="shared" ca="1" si="350"/>
        <v>Consultant (specify)</v>
      </c>
      <c r="D1254" t="str">
        <f t="shared" si="328"/>
        <v>B222</v>
      </c>
      <c r="E1254" t="str">
        <f t="shared" ca="1" si="351"/>
        <v/>
      </c>
      <c r="F1254" t="str">
        <f ca="1">CONCATENATE("Enter an "&amp; J1254 &amp;" for '", C1254, "' in cell ", D1254, ".", CHAR(10))</f>
        <v xml:space="preserve">Enter an Phone (#'s only) for 'Consultant (specify)' in cell B222.
</v>
      </c>
      <c r="G1254" s="9" t="str">
        <f t="shared" ca="1" si="35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4" t="b">
        <f>TRUE</f>
        <v>1</v>
      </c>
      <c r="I1254" s="9"/>
      <c r="J1254" s="52" t="str">
        <f t="shared" ca="1" si="329"/>
        <v>Phone (#'s only)</v>
      </c>
      <c r="K1254" s="52">
        <v>9</v>
      </c>
    </row>
    <row r="1255" spans="1:11" ht="15" customHeight="1">
      <c r="A1255" t="str">
        <f t="shared" ca="1" si="330"/>
        <v/>
      </c>
      <c r="B1255">
        <f>ROW('Contact Information'!B225)</f>
        <v>225</v>
      </c>
      <c r="C1255" t="str">
        <f t="shared" ca="1" si="332"/>
        <v>Consultant (specify)</v>
      </c>
      <c r="D1255" t="str">
        <f t="shared" si="328"/>
        <v>B226</v>
      </c>
      <c r="E1255" t="str">
        <f t="shared" ca="1" si="333"/>
        <v/>
      </c>
      <c r="F1255" t="str">
        <f ca="1">CONCATENATE("Enter a "&amp; J1255 &amp;" for '", C1255, "' in cell ", D1255, ".", CHAR(10))</f>
        <v xml:space="preserve">Enter a Organization for 'Consultant (specify)' in cell B226.
</v>
      </c>
      <c r="G1255"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5" t="b">
        <f>Calculations!$B$2</f>
        <v>0</v>
      </c>
      <c r="I1255" s="9"/>
      <c r="J1255" s="52" t="str">
        <f t="shared" ca="1" si="329"/>
        <v>Organization</v>
      </c>
      <c r="K1255" s="52">
        <v>1</v>
      </c>
    </row>
    <row r="1256" spans="1:11" ht="15" customHeight="1">
      <c r="A1256" t="str">
        <f t="shared" ca="1" si="330"/>
        <v/>
      </c>
      <c r="B1256" s="52">
        <f t="shared" ref="B1256:B1263" si="354">B1255</f>
        <v>225</v>
      </c>
      <c r="C1256" t="str">
        <f t="shared" ca="1" si="332"/>
        <v>Consultant (specify)</v>
      </c>
      <c r="D1256" t="str">
        <f t="shared" si="328"/>
        <v>B227</v>
      </c>
      <c r="E1256" t="str">
        <f t="shared" ca="1" si="333"/>
        <v/>
      </c>
      <c r="F1256" t="str">
        <f ca="1">CONCATENATE("Enter an "&amp; J1256 &amp;" for '", C1256, "' in cell ", D1256, ".", CHAR(10))</f>
        <v xml:space="preserve">Enter an Type of Consultant for 'Consultant (specify)' in cell B227.
</v>
      </c>
      <c r="G1256"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6" t="b">
        <f>Calculations!$B$2</f>
        <v>0</v>
      </c>
      <c r="I1256" s="9"/>
      <c r="J1256" s="52" t="str">
        <f t="shared" ca="1" si="329"/>
        <v>Type of Consultant</v>
      </c>
      <c r="K1256" s="52">
        <v>2</v>
      </c>
    </row>
    <row r="1257" spans="1:11" ht="15" customHeight="1">
      <c r="A1257" t="str">
        <f t="shared" ca="1" si="330"/>
        <v/>
      </c>
      <c r="B1257" s="52">
        <f t="shared" si="354"/>
        <v>225</v>
      </c>
      <c r="C1257" t="str">
        <f t="shared" ca="1" si="332"/>
        <v>Consultant (specify)</v>
      </c>
      <c r="D1257" t="str">
        <f t="shared" si="328"/>
        <v>B228</v>
      </c>
      <c r="E1257" t="str">
        <f t="shared" ca="1" si="333"/>
        <v/>
      </c>
      <c r="F1257" t="str">
        <f t="shared" ref="F1257:F1262" ca="1" si="355">CONCATENATE("Enter a "&amp; J1257 &amp;" for '", C1257, "' in cell ", D1257, ".", CHAR(10))</f>
        <v xml:space="preserve">Enter a Address for 'Consultant (specify)' in cell B228.
</v>
      </c>
      <c r="G1257"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7" t="b">
        <f>Calculations!$B$2</f>
        <v>0</v>
      </c>
      <c r="I1257" s="9"/>
      <c r="J1257" s="52" t="str">
        <f t="shared" ca="1" si="329"/>
        <v>Address</v>
      </c>
      <c r="K1257" s="52">
        <v>3</v>
      </c>
    </row>
    <row r="1258" spans="1:11" ht="15" customHeight="1">
      <c r="A1258" t="str">
        <f t="shared" ca="1" si="330"/>
        <v/>
      </c>
      <c r="B1258" s="52">
        <f t="shared" si="354"/>
        <v>225</v>
      </c>
      <c r="C1258" t="str">
        <f t="shared" ca="1" si="332"/>
        <v>Consultant (specify)</v>
      </c>
      <c r="D1258" t="str">
        <f t="shared" si="328"/>
        <v>B229</v>
      </c>
      <c r="E1258" t="str">
        <f t="shared" ca="1" si="333"/>
        <v/>
      </c>
      <c r="F1258" t="str">
        <f t="shared" ca="1" si="355"/>
        <v xml:space="preserve">Enter a City  for 'Consultant (specify)' in cell B229.
</v>
      </c>
      <c r="G1258"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8" t="b">
        <f>Calculations!$B$2</f>
        <v>0</v>
      </c>
      <c r="I1258" s="9"/>
      <c r="J1258" s="52" t="str">
        <f t="shared" ca="1" si="329"/>
        <v xml:space="preserve">City </v>
      </c>
      <c r="K1258" s="52">
        <v>4</v>
      </c>
    </row>
    <row r="1259" spans="1:11" ht="15" customHeight="1">
      <c r="A1259" t="str">
        <f t="shared" ca="1" si="330"/>
        <v/>
      </c>
      <c r="B1259" s="52">
        <f t="shared" si="354"/>
        <v>225</v>
      </c>
      <c r="C1259" t="str">
        <f t="shared" ca="1" si="332"/>
        <v>Consultant (specify)</v>
      </c>
      <c r="D1259" t="str">
        <f t="shared" si="328"/>
        <v>B230</v>
      </c>
      <c r="E1259" t="str">
        <f t="shared" ca="1" si="333"/>
        <v/>
      </c>
      <c r="F1259" t="str">
        <f t="shared" ca="1" si="355"/>
        <v xml:space="preserve">Enter a State for 'Consultant (specify)' in cell B230.
</v>
      </c>
      <c r="G1259"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9" t="b">
        <f>Calculations!$B$2</f>
        <v>0</v>
      </c>
      <c r="I1259" s="9"/>
      <c r="J1259" s="52" t="str">
        <f t="shared" ca="1" si="329"/>
        <v>State</v>
      </c>
      <c r="K1259" s="52">
        <v>5</v>
      </c>
    </row>
    <row r="1260" spans="1:11" ht="15" customHeight="1">
      <c r="A1260" t="str">
        <f t="shared" ca="1" si="330"/>
        <v/>
      </c>
      <c r="B1260" s="52">
        <f t="shared" si="354"/>
        <v>225</v>
      </c>
      <c r="C1260" t="str">
        <f t="shared" ca="1" si="332"/>
        <v>Consultant (specify)</v>
      </c>
      <c r="D1260" t="str">
        <f t="shared" si="328"/>
        <v>B231</v>
      </c>
      <c r="E1260" t="str">
        <f t="shared" ca="1" si="333"/>
        <v/>
      </c>
      <c r="F1260" t="str">
        <f t="shared" ca="1" si="355"/>
        <v xml:space="preserve">Enter a Zip (first five #'s only) for 'Consultant (specify)' in cell B231.
</v>
      </c>
      <c r="G1260"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0" t="b">
        <f>Calculations!$B$2</f>
        <v>0</v>
      </c>
      <c r="I1260" s="9"/>
      <c r="J1260" s="52" t="str">
        <f t="shared" ca="1" si="329"/>
        <v>Zip (first five #'s only)</v>
      </c>
      <c r="K1260" s="52">
        <v>6</v>
      </c>
    </row>
    <row r="1261" spans="1:11" ht="15" customHeight="1">
      <c r="A1261" t="str">
        <f t="shared" ca="1" si="330"/>
        <v/>
      </c>
      <c r="B1261" s="52">
        <f t="shared" si="354"/>
        <v>225</v>
      </c>
      <c r="C1261" t="str">
        <f t="shared" ca="1" si="332"/>
        <v>Consultant (specify)</v>
      </c>
      <c r="D1261" t="str">
        <f t="shared" si="328"/>
        <v>B232</v>
      </c>
      <c r="E1261" t="str">
        <f t="shared" ca="1" si="333"/>
        <v/>
      </c>
      <c r="F1261" t="str">
        <f t="shared" ca="1" si="355"/>
        <v xml:space="preserve">Enter a Contact First Name for 'Consultant (specify)' in cell B232.
</v>
      </c>
      <c r="G1261"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1" t="b">
        <f>Calculations!$B$2</f>
        <v>0</v>
      </c>
      <c r="I1261" s="9"/>
      <c r="J1261" s="52" t="str">
        <f t="shared" ca="1" si="329"/>
        <v>Contact First Name</v>
      </c>
      <c r="K1261" s="52">
        <v>7</v>
      </c>
    </row>
    <row r="1262" spans="1:11" ht="15" customHeight="1">
      <c r="A1262" t="str">
        <f t="shared" ca="1" si="330"/>
        <v/>
      </c>
      <c r="B1262" s="52">
        <f t="shared" si="354"/>
        <v>225</v>
      </c>
      <c r="C1262" t="str">
        <f t="shared" ca="1" si="332"/>
        <v>Consultant (specify)</v>
      </c>
      <c r="D1262" t="str">
        <f t="shared" si="328"/>
        <v>B233</v>
      </c>
      <c r="E1262" t="str">
        <f t="shared" ca="1" si="333"/>
        <v/>
      </c>
      <c r="F1262" t="str">
        <f t="shared" ca="1" si="355"/>
        <v xml:space="preserve">Enter a Contact Last Name for 'Consultant (specify)' in cell B233.
</v>
      </c>
      <c r="G1262"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2" t="b">
        <f>Calculations!$B$2</f>
        <v>0</v>
      </c>
      <c r="I1262" s="9"/>
      <c r="J1262" s="52" t="str">
        <f t="shared" ca="1" si="329"/>
        <v>Contact Last Name</v>
      </c>
      <c r="K1262" s="52">
        <v>8</v>
      </c>
    </row>
    <row r="1263" spans="1:11" ht="15" customHeight="1">
      <c r="A1263" t="str">
        <f t="shared" ca="1" si="330"/>
        <v/>
      </c>
      <c r="B1263" s="52">
        <f t="shared" si="354"/>
        <v>225</v>
      </c>
      <c r="C1263" t="str">
        <f t="shared" ca="1" si="332"/>
        <v>Consultant (specify)</v>
      </c>
      <c r="D1263" t="str">
        <f t="shared" si="328"/>
        <v>B234</v>
      </c>
      <c r="E1263" t="str">
        <f t="shared" ca="1" si="333"/>
        <v/>
      </c>
      <c r="F1263" t="str">
        <f ca="1">CONCATENATE("Enter an "&amp; J1263 &amp;" for '", C1263, "' in cell ", D1263, ".", CHAR(10))</f>
        <v xml:space="preserve">Enter an Phone (#'s only) for 'Consultant (specify)' in cell B234.
</v>
      </c>
      <c r="G1263"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3" t="b">
        <f>Calculations!$B$2</f>
        <v>0</v>
      </c>
      <c r="I1263" s="9"/>
      <c r="J1263" s="52" t="str">
        <f t="shared" ca="1" si="329"/>
        <v>Phone (#'s only)</v>
      </c>
      <c r="K1263" s="52">
        <v>9</v>
      </c>
    </row>
    <row r="1264" spans="1:11" ht="15" customHeight="1">
      <c r="A1264" t="str">
        <f t="shared" ca="1" si="330"/>
        <v/>
      </c>
      <c r="B1264">
        <f>ROW('Contact Information'!B237)</f>
        <v>237</v>
      </c>
      <c r="C1264" t="str">
        <f t="shared" ca="1" si="332"/>
        <v>Consultant (specify)</v>
      </c>
      <c r="D1264" t="str">
        <f t="shared" si="328"/>
        <v>B238</v>
      </c>
      <c r="E1264" t="str">
        <f t="shared" ca="1" si="333"/>
        <v/>
      </c>
      <c r="F1264" t="str">
        <f ca="1">CONCATENATE("Enter a "&amp; J1264 &amp;" for '", C1264, "' in cell ", D1264, ".", CHAR(10))</f>
        <v xml:space="preserve">Enter a Organization for 'Consultant (specify)' in cell B238.
</v>
      </c>
      <c r="G1264"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4" t="b">
        <f>Calculations!$B$2</f>
        <v>0</v>
      </c>
      <c r="I1264" s="9"/>
      <c r="J1264" s="52" t="str">
        <f t="shared" ca="1" si="329"/>
        <v>Organization</v>
      </c>
      <c r="K1264" s="52">
        <v>1</v>
      </c>
    </row>
    <row r="1265" spans="1:11" ht="15" customHeight="1">
      <c r="A1265" t="str">
        <f t="shared" ca="1" si="330"/>
        <v/>
      </c>
      <c r="B1265" s="52">
        <f t="shared" ref="B1265:B1281" si="356">B1264</f>
        <v>237</v>
      </c>
      <c r="C1265" t="str">
        <f t="shared" ca="1" si="332"/>
        <v>Consultant (specify)</v>
      </c>
      <c r="D1265" t="str">
        <f t="shared" si="328"/>
        <v>B239</v>
      </c>
      <c r="E1265" t="str">
        <f t="shared" ca="1" si="333"/>
        <v/>
      </c>
      <c r="F1265" t="str">
        <f ca="1">CONCATENATE("Enter an "&amp; J1265 &amp;" for '", C1265, "' in cell ", D1265, ".", CHAR(10))</f>
        <v xml:space="preserve">Enter an Type of Consultant for 'Consultant (specify)' in cell B239.
</v>
      </c>
      <c r="G1265"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5" t="b">
        <f>Calculations!$B$2</f>
        <v>0</v>
      </c>
      <c r="I1265" s="9"/>
      <c r="J1265" s="52" t="str">
        <f t="shared" ca="1" si="329"/>
        <v>Type of Consultant</v>
      </c>
      <c r="K1265" s="52">
        <v>2</v>
      </c>
    </row>
    <row r="1266" spans="1:11" ht="15" customHeight="1">
      <c r="A1266" t="str">
        <f t="shared" ca="1" si="330"/>
        <v/>
      </c>
      <c r="B1266" s="52">
        <f t="shared" si="356"/>
        <v>237</v>
      </c>
      <c r="C1266" t="str">
        <f t="shared" ca="1" si="332"/>
        <v>Consultant (specify)</v>
      </c>
      <c r="D1266" t="str">
        <f t="shared" ref="D1266:D1329" si="357">ADDRESS(B1266+K1266, 2,4  )</f>
        <v>B240</v>
      </c>
      <c r="E1266" t="str">
        <f t="shared" ca="1" si="333"/>
        <v/>
      </c>
      <c r="F1266" t="str">
        <f t="shared" ref="F1266:F1271" ca="1" si="358">CONCATENATE("Enter a "&amp; J1266 &amp;" for '", C1266, "' in cell ", D1266, ".", CHAR(10))</f>
        <v xml:space="preserve">Enter a Address for 'Consultant (specify)' in cell B240.
</v>
      </c>
      <c r="G1266"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6" t="b">
        <f>Calculations!$B$2</f>
        <v>0</v>
      </c>
      <c r="I1266" s="9"/>
      <c r="J1266" s="52" t="str">
        <f t="shared" ref="J1266:J1329" ca="1" si="359">INDIRECT($F$1101 &amp; ADDRESS(B1266+K1266, 1,4))</f>
        <v>Address</v>
      </c>
      <c r="K1266" s="52">
        <v>3</v>
      </c>
    </row>
    <row r="1267" spans="1:11" ht="15" customHeight="1">
      <c r="A1267" t="str">
        <f t="shared" ref="A1267:A1330" ca="1" si="360">IF(AND(H1267, NOT($E$1104), E1267=""),F1267, "")</f>
        <v/>
      </c>
      <c r="B1267" s="52">
        <f t="shared" si="356"/>
        <v>237</v>
      </c>
      <c r="C1267" t="str">
        <f t="shared" ca="1" si="332"/>
        <v>Consultant (specify)</v>
      </c>
      <c r="D1267" t="str">
        <f t="shared" si="357"/>
        <v>B241</v>
      </c>
      <c r="E1267" t="str">
        <f t="shared" ca="1" si="333"/>
        <v/>
      </c>
      <c r="F1267" t="str">
        <f t="shared" ca="1" si="358"/>
        <v xml:space="preserve">Enter a City  for 'Consultant (specify)' in cell B241.
</v>
      </c>
      <c r="G1267"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7" t="b">
        <f>Calculations!$B$2</f>
        <v>0</v>
      </c>
      <c r="I1267" s="9"/>
      <c r="J1267" s="52" t="str">
        <f t="shared" ca="1" si="359"/>
        <v xml:space="preserve">City </v>
      </c>
      <c r="K1267" s="52">
        <v>4</v>
      </c>
    </row>
    <row r="1268" spans="1:11" ht="15" customHeight="1">
      <c r="A1268" t="str">
        <f t="shared" ca="1" si="360"/>
        <v/>
      </c>
      <c r="B1268" s="52">
        <f t="shared" si="356"/>
        <v>237</v>
      </c>
      <c r="C1268" t="str">
        <f t="shared" ca="1" si="332"/>
        <v>Consultant (specify)</v>
      </c>
      <c r="D1268" t="str">
        <f t="shared" si="357"/>
        <v>B242</v>
      </c>
      <c r="E1268" t="str">
        <f t="shared" ca="1" si="333"/>
        <v/>
      </c>
      <c r="F1268" t="str">
        <f t="shared" ca="1" si="358"/>
        <v xml:space="preserve">Enter a State for 'Consultant (specify)' in cell B242.
</v>
      </c>
      <c r="G1268"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8" t="b">
        <f>Calculations!$B$2</f>
        <v>0</v>
      </c>
      <c r="I1268" s="9"/>
      <c r="J1268" s="52" t="str">
        <f t="shared" ca="1" si="359"/>
        <v>State</v>
      </c>
      <c r="K1268" s="52">
        <v>5</v>
      </c>
    </row>
    <row r="1269" spans="1:11" ht="15" customHeight="1">
      <c r="A1269" t="str">
        <f t="shared" ca="1" si="360"/>
        <v/>
      </c>
      <c r="B1269" s="52">
        <f t="shared" si="356"/>
        <v>237</v>
      </c>
      <c r="C1269" t="str">
        <f t="shared" ca="1" si="332"/>
        <v>Consultant (specify)</v>
      </c>
      <c r="D1269" t="str">
        <f t="shared" si="357"/>
        <v>B243</v>
      </c>
      <c r="E1269" t="str">
        <f t="shared" ca="1" si="333"/>
        <v/>
      </c>
      <c r="F1269" t="str">
        <f t="shared" ca="1" si="358"/>
        <v xml:space="preserve">Enter a Zip (first five #'s only) for 'Consultant (specify)' in cell B243.
</v>
      </c>
      <c r="G1269"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9" t="b">
        <f>Calculations!$B$2</f>
        <v>0</v>
      </c>
      <c r="I1269" s="9"/>
      <c r="J1269" s="52" t="str">
        <f t="shared" ca="1" si="359"/>
        <v>Zip (first five #'s only)</v>
      </c>
      <c r="K1269" s="52">
        <v>6</v>
      </c>
    </row>
    <row r="1270" spans="1:11" ht="15" customHeight="1">
      <c r="A1270" t="str">
        <f t="shared" ca="1" si="360"/>
        <v/>
      </c>
      <c r="B1270" s="52">
        <f t="shared" si="356"/>
        <v>237</v>
      </c>
      <c r="C1270" t="str">
        <f t="shared" ca="1" si="332"/>
        <v>Consultant (specify)</v>
      </c>
      <c r="D1270" t="str">
        <f t="shared" si="357"/>
        <v>B244</v>
      </c>
      <c r="E1270" t="str">
        <f t="shared" ca="1" si="333"/>
        <v/>
      </c>
      <c r="F1270" t="str">
        <f t="shared" ca="1" si="358"/>
        <v xml:space="preserve">Enter a Contact First Name for 'Consultant (specify)' in cell B244.
</v>
      </c>
      <c r="G1270"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0" t="b">
        <f>Calculations!$B$2</f>
        <v>0</v>
      </c>
      <c r="I1270" s="9"/>
      <c r="J1270" s="52" t="str">
        <f t="shared" ca="1" si="359"/>
        <v>Contact First Name</v>
      </c>
      <c r="K1270" s="52">
        <v>7</v>
      </c>
    </row>
    <row r="1271" spans="1:11" ht="15" customHeight="1">
      <c r="A1271" t="str">
        <f t="shared" ca="1" si="360"/>
        <v/>
      </c>
      <c r="B1271" s="52">
        <f t="shared" si="356"/>
        <v>237</v>
      </c>
      <c r="C1271" t="str">
        <f t="shared" ca="1" si="332"/>
        <v>Consultant (specify)</v>
      </c>
      <c r="D1271" t="str">
        <f t="shared" si="357"/>
        <v>B245</v>
      </c>
      <c r="E1271" t="str">
        <f t="shared" ca="1" si="333"/>
        <v/>
      </c>
      <c r="F1271" t="str">
        <f t="shared" ca="1" si="358"/>
        <v xml:space="preserve">Enter a Contact Last Name for 'Consultant (specify)' in cell B245.
</v>
      </c>
      <c r="G1271"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1" t="b">
        <f>Calculations!$B$2</f>
        <v>0</v>
      </c>
      <c r="I1271" s="9"/>
      <c r="J1271" s="52" t="str">
        <f t="shared" ca="1" si="359"/>
        <v>Contact Last Name</v>
      </c>
      <c r="K1271" s="52">
        <v>8</v>
      </c>
    </row>
    <row r="1272" spans="1:11" ht="15" customHeight="1">
      <c r="A1272" t="str">
        <f t="shared" ca="1" si="360"/>
        <v/>
      </c>
      <c r="B1272" s="52">
        <f t="shared" si="356"/>
        <v>237</v>
      </c>
      <c r="C1272" t="str">
        <f t="shared" ca="1" si="332"/>
        <v>Consultant (specify)</v>
      </c>
      <c r="D1272" t="str">
        <f t="shared" si="357"/>
        <v>B246</v>
      </c>
      <c r="E1272" t="str">
        <f t="shared" ca="1" si="333"/>
        <v/>
      </c>
      <c r="F1272" t="str">
        <f t="shared" ref="F1272:F1281" ca="1" si="361">CONCATENATE("Enter an "&amp; J1272 &amp;" for '", C1272, "' in cell ", D1272, ".", CHAR(10))</f>
        <v xml:space="preserve">Enter an Phone (#'s only) for 'Consultant (specify)' in cell B246.
</v>
      </c>
      <c r="G1272"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2" t="b">
        <f>Calculations!$B$2</f>
        <v>0</v>
      </c>
      <c r="I1272" s="9"/>
      <c r="J1272" s="52" t="str">
        <f t="shared" ca="1" si="359"/>
        <v>Phone (#'s only)</v>
      </c>
      <c r="K1272" s="52">
        <v>9</v>
      </c>
    </row>
    <row r="1273" spans="1:11" ht="15" customHeight="1">
      <c r="A1273" t="str">
        <f t="shared" ca="1" si="360"/>
        <v/>
      </c>
      <c r="B1273">
        <f>ROW('Contact Information'!B249)</f>
        <v>249</v>
      </c>
      <c r="C1273" t="str">
        <f t="shared" ref="C1273:C1281" ca="1" si="362">INDIRECT($F$1101 &amp; ADDRESS(B1273, 1,4  ))</f>
        <v>Tax Attorney Firm</v>
      </c>
      <c r="D1273" t="str">
        <f t="shared" si="357"/>
        <v>B250</v>
      </c>
      <c r="E1273" t="str">
        <f t="shared" ref="E1273:E1281" ca="1" si="363">IF(ISBLANK( INDIRECT($F$1101 &amp; D1273)),"", INDIRECT($F$1101 &amp; D1273))</f>
        <v/>
      </c>
      <c r="F1273" t="str">
        <f t="shared" ca="1" si="361"/>
        <v xml:space="preserve">Enter an Organization for 'Tax Attorney Firm' in cell B250.
</v>
      </c>
      <c r="G1273" s="9" t="str">
        <f t="shared" ref="G1273:G1281" ca="1" si="364">OFFSET(G1273, -1, 0) &amp; A1273</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3" t="b">
        <f>TRUE</f>
        <v>1</v>
      </c>
      <c r="I1273" s="9"/>
      <c r="J1273" s="52" t="str">
        <f t="shared" ca="1" si="359"/>
        <v>Organization</v>
      </c>
      <c r="K1273" s="52">
        <v>1</v>
      </c>
    </row>
    <row r="1274" spans="1:11" ht="15" customHeight="1">
      <c r="A1274" t="str">
        <f t="shared" ca="1" si="360"/>
        <v/>
      </c>
      <c r="B1274" s="52">
        <f t="shared" si="356"/>
        <v>249</v>
      </c>
      <c r="C1274" t="str">
        <f t="shared" ca="1" si="362"/>
        <v>Tax Attorney Firm</v>
      </c>
      <c r="D1274" t="str">
        <f t="shared" si="357"/>
        <v>B251</v>
      </c>
      <c r="E1274" t="str">
        <f t="shared" ca="1" si="363"/>
        <v/>
      </c>
      <c r="F1274" t="str">
        <f t="shared" ca="1" si="361"/>
        <v xml:space="preserve">Enter an Address for 'Tax Attorney Firm' in cell B251.
</v>
      </c>
      <c r="G1274" s="9" t="str">
        <f t="shared" ca="1" si="3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4" t="b">
        <f>TRUE</f>
        <v>1</v>
      </c>
      <c r="I1274" s="9"/>
      <c r="J1274" s="52" t="str">
        <f t="shared" ca="1" si="359"/>
        <v>Address</v>
      </c>
      <c r="K1274" s="52">
        <v>2</v>
      </c>
    </row>
    <row r="1275" spans="1:11" ht="15" customHeight="1">
      <c r="A1275" t="str">
        <f t="shared" ca="1" si="360"/>
        <v/>
      </c>
      <c r="B1275" s="52">
        <f t="shared" si="356"/>
        <v>249</v>
      </c>
      <c r="C1275" t="str">
        <f t="shared" ca="1" si="362"/>
        <v>Tax Attorney Firm</v>
      </c>
      <c r="D1275" t="str">
        <f t="shared" si="357"/>
        <v>B252</v>
      </c>
      <c r="E1275" t="str">
        <f t="shared" ca="1" si="363"/>
        <v/>
      </c>
      <c r="F1275" t="str">
        <f t="shared" ca="1" si="361"/>
        <v xml:space="preserve">Enter an City  for 'Tax Attorney Firm' in cell B252.
</v>
      </c>
      <c r="G1275" s="9" t="str">
        <f t="shared" ca="1" si="3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5" t="b">
        <f>TRUE</f>
        <v>1</v>
      </c>
      <c r="I1275" s="9"/>
      <c r="J1275" s="52" t="str">
        <f t="shared" ca="1" si="359"/>
        <v xml:space="preserve">City </v>
      </c>
      <c r="K1275" s="52">
        <v>3</v>
      </c>
    </row>
    <row r="1276" spans="1:11" ht="15" customHeight="1">
      <c r="A1276" t="str">
        <f t="shared" ca="1" si="360"/>
        <v/>
      </c>
      <c r="B1276" s="52">
        <f t="shared" si="356"/>
        <v>249</v>
      </c>
      <c r="C1276" t="str">
        <f t="shared" ca="1" si="362"/>
        <v>Tax Attorney Firm</v>
      </c>
      <c r="D1276" t="str">
        <f t="shared" si="357"/>
        <v>B253</v>
      </c>
      <c r="E1276" t="str">
        <f t="shared" ca="1" si="363"/>
        <v/>
      </c>
      <c r="F1276" t="str">
        <f t="shared" ca="1" si="361"/>
        <v xml:space="preserve">Enter an State for 'Tax Attorney Firm' in cell B253.
</v>
      </c>
      <c r="G1276" s="9" t="str">
        <f t="shared" ca="1" si="3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6" t="b">
        <f>TRUE</f>
        <v>1</v>
      </c>
      <c r="I1276" s="9"/>
      <c r="J1276" s="52" t="str">
        <f t="shared" ca="1" si="359"/>
        <v>State</v>
      </c>
      <c r="K1276" s="52">
        <v>4</v>
      </c>
    </row>
    <row r="1277" spans="1:11" ht="15" customHeight="1">
      <c r="A1277" t="str">
        <f t="shared" ca="1" si="360"/>
        <v/>
      </c>
      <c r="B1277" s="52">
        <f t="shared" si="356"/>
        <v>249</v>
      </c>
      <c r="C1277" t="str">
        <f t="shared" ca="1" si="362"/>
        <v>Tax Attorney Firm</v>
      </c>
      <c r="D1277" t="str">
        <f t="shared" si="357"/>
        <v>B254</v>
      </c>
      <c r="E1277" t="str">
        <f t="shared" ca="1" si="363"/>
        <v/>
      </c>
      <c r="F1277" t="str">
        <f t="shared" ca="1" si="361"/>
        <v xml:space="preserve">Enter an Zip (first five #'s only) for 'Tax Attorney Firm' in cell B254.
</v>
      </c>
      <c r="G1277" s="9" t="str">
        <f t="shared" ca="1" si="3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7" t="b">
        <f>TRUE</f>
        <v>1</v>
      </c>
      <c r="I1277" s="9"/>
      <c r="J1277" s="52" t="str">
        <f t="shared" ca="1" si="359"/>
        <v>Zip (first five #'s only)</v>
      </c>
      <c r="K1277" s="52">
        <v>5</v>
      </c>
    </row>
    <row r="1278" spans="1:11" ht="15" customHeight="1">
      <c r="A1278" t="str">
        <f t="shared" ca="1" si="360"/>
        <v/>
      </c>
      <c r="B1278" s="52">
        <f t="shared" si="356"/>
        <v>249</v>
      </c>
      <c r="C1278" t="str">
        <f t="shared" ca="1" si="362"/>
        <v>Tax Attorney Firm</v>
      </c>
      <c r="D1278" t="str">
        <f t="shared" si="357"/>
        <v>B255</v>
      </c>
      <c r="E1278" t="str">
        <f t="shared" ca="1" si="363"/>
        <v/>
      </c>
      <c r="F1278" t="str">
        <f t="shared" ca="1" si="361"/>
        <v xml:space="preserve">Enter an Contact First Name for 'Tax Attorney Firm' in cell B255.
</v>
      </c>
      <c r="G1278" s="9" t="str">
        <f t="shared" ca="1" si="3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8" t="b">
        <f>TRUE</f>
        <v>1</v>
      </c>
      <c r="I1278" s="9"/>
      <c r="J1278" s="52" t="str">
        <f t="shared" ca="1" si="359"/>
        <v>Contact First Name</v>
      </c>
      <c r="K1278" s="52">
        <v>6</v>
      </c>
    </row>
    <row r="1279" spans="1:11" ht="15" customHeight="1">
      <c r="A1279" t="str">
        <f t="shared" ca="1" si="360"/>
        <v/>
      </c>
      <c r="B1279" s="52">
        <f t="shared" si="356"/>
        <v>249</v>
      </c>
      <c r="C1279" t="str">
        <f t="shared" ca="1" si="362"/>
        <v>Tax Attorney Firm</v>
      </c>
      <c r="D1279" t="str">
        <f t="shared" si="357"/>
        <v>B256</v>
      </c>
      <c r="E1279" t="str">
        <f t="shared" ca="1" si="363"/>
        <v/>
      </c>
      <c r="F1279" t="str">
        <f t="shared" ca="1" si="361"/>
        <v xml:space="preserve">Enter an Contact Last Name for 'Tax Attorney Firm' in cell B256.
</v>
      </c>
      <c r="G1279" s="9" t="str">
        <f t="shared" ca="1" si="3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9" t="b">
        <f>TRUE</f>
        <v>1</v>
      </c>
      <c r="I1279" s="9"/>
      <c r="J1279" s="52" t="str">
        <f t="shared" ca="1" si="359"/>
        <v>Contact Last Name</v>
      </c>
      <c r="K1279" s="52">
        <v>7</v>
      </c>
    </row>
    <row r="1280" spans="1:11" ht="15" customHeight="1">
      <c r="A1280" t="str">
        <f t="shared" ca="1" si="360"/>
        <v/>
      </c>
      <c r="B1280" s="52">
        <f t="shared" si="356"/>
        <v>249</v>
      </c>
      <c r="C1280" t="str">
        <f t="shared" ca="1" si="362"/>
        <v>Tax Attorney Firm</v>
      </c>
      <c r="D1280" t="str">
        <f t="shared" si="357"/>
        <v>B257</v>
      </c>
      <c r="E1280" t="str">
        <f t="shared" ca="1" si="363"/>
        <v/>
      </c>
      <c r="F1280" t="str">
        <f t="shared" ca="1" si="361"/>
        <v xml:space="preserve">Enter an Phone (#'s only) for 'Tax Attorney Firm' in cell B257.
</v>
      </c>
      <c r="G1280" s="9" t="str">
        <f t="shared" ca="1" si="3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0" t="b">
        <f>TRUE</f>
        <v>1</v>
      </c>
      <c r="I1280" s="9"/>
      <c r="J1280" s="52" t="str">
        <f t="shared" ca="1" si="359"/>
        <v>Phone (#'s only)</v>
      </c>
      <c r="K1280" s="52">
        <v>8</v>
      </c>
    </row>
    <row r="1281" spans="1:11" ht="15" customHeight="1">
      <c r="A1281" t="str">
        <f t="shared" ca="1" si="360"/>
        <v/>
      </c>
      <c r="B1281" s="52">
        <f t="shared" si="356"/>
        <v>249</v>
      </c>
      <c r="C1281" t="str">
        <f t="shared" ca="1" si="362"/>
        <v>Tax Attorney Firm</v>
      </c>
      <c r="D1281" t="str">
        <f t="shared" si="357"/>
        <v>B258</v>
      </c>
      <c r="E1281" t="str">
        <f t="shared" ca="1" si="363"/>
        <v/>
      </c>
      <c r="F1281" t="str">
        <f t="shared" ca="1" si="361"/>
        <v xml:space="preserve">Enter an Email for 'Tax Attorney Firm' in cell B258.
</v>
      </c>
      <c r="G1281" s="9" t="str">
        <f t="shared" ca="1" si="3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1" t="b">
        <f>TRUE</f>
        <v>1</v>
      </c>
      <c r="I1281" s="9"/>
      <c r="J1281" s="52" t="str">
        <f t="shared" ca="1" si="359"/>
        <v>Email</v>
      </c>
      <c r="K1281" s="52">
        <v>9</v>
      </c>
    </row>
    <row r="1282" spans="1:11" ht="15" customHeight="1">
      <c r="A1282" t="str">
        <f t="shared" ca="1" si="360"/>
        <v/>
      </c>
      <c r="B1282">
        <f>ROW('Contact Information'!B260)</f>
        <v>260</v>
      </c>
      <c r="C1282" t="str">
        <f t="shared" ca="1" si="332"/>
        <v>CPA Firm</v>
      </c>
      <c r="D1282" t="str">
        <f t="shared" si="357"/>
        <v>B261</v>
      </c>
      <c r="E1282" t="str">
        <f t="shared" ca="1" si="333"/>
        <v/>
      </c>
      <c r="F1282" t="str">
        <f ca="1">CONCATENATE("Enter a "&amp; J1282 &amp;" for '", C1282, "' in cell ", D1282, ".", CHAR(10))</f>
        <v xml:space="preserve">Enter a Organization for 'CPA Firm' in cell B261.
</v>
      </c>
      <c r="G1282"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2" t="b">
        <f>TRUE</f>
        <v>1</v>
      </c>
      <c r="I1282" s="9"/>
      <c r="J1282" s="52" t="str">
        <f t="shared" ca="1" si="359"/>
        <v>Organization</v>
      </c>
      <c r="K1282" s="52">
        <v>1</v>
      </c>
    </row>
    <row r="1283" spans="1:11" ht="15" customHeight="1">
      <c r="A1283" t="str">
        <f t="shared" ca="1" si="360"/>
        <v/>
      </c>
      <c r="B1283" s="52">
        <f t="shared" ref="B1283:B1299" si="365">B1282</f>
        <v>260</v>
      </c>
      <c r="C1283" t="str">
        <f t="shared" ca="1" si="332"/>
        <v>CPA Firm</v>
      </c>
      <c r="D1283" t="str">
        <f t="shared" si="357"/>
        <v>B262</v>
      </c>
      <c r="E1283" t="str">
        <f t="shared" ca="1" si="333"/>
        <v/>
      </c>
      <c r="F1283" t="str">
        <f ca="1">CONCATENATE("Enter an "&amp; J1283 &amp;" for '", C1283, "' in cell ", D1283, ".", CHAR(10))</f>
        <v xml:space="preserve">Enter an Address for 'CPA Firm' in cell B262.
</v>
      </c>
      <c r="G1283"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3" t="b">
        <f>TRUE</f>
        <v>1</v>
      </c>
      <c r="I1283" s="9"/>
      <c r="J1283" s="52" t="str">
        <f t="shared" ca="1" si="359"/>
        <v>Address</v>
      </c>
      <c r="K1283" s="52">
        <v>2</v>
      </c>
    </row>
    <row r="1284" spans="1:11" ht="15" customHeight="1">
      <c r="A1284" t="str">
        <f t="shared" ca="1" si="360"/>
        <v/>
      </c>
      <c r="B1284" s="52">
        <f t="shared" si="365"/>
        <v>260</v>
      </c>
      <c r="C1284" t="str">
        <f t="shared" ref="C1284:C1370" ca="1" si="366">INDIRECT($F$1101 &amp; ADDRESS(B1284, 1,4  ))</f>
        <v>CPA Firm</v>
      </c>
      <c r="D1284" t="str">
        <f t="shared" si="357"/>
        <v>B263</v>
      </c>
      <c r="E1284" t="str">
        <f t="shared" ref="E1284:E1370" ca="1" si="367">IF(ISBLANK( INDIRECT($F$1101 &amp; D1284)),"", INDIRECT($F$1101 &amp; D1284))</f>
        <v/>
      </c>
      <c r="F1284" t="str">
        <f t="shared" ref="F1284:F1289" ca="1" si="368">CONCATENATE("Enter a "&amp; J1284 &amp;" for '", C1284, "' in cell ", D1284, ".", CHAR(10))</f>
        <v xml:space="preserve">Enter a City  for 'CPA Firm' in cell B263.
</v>
      </c>
      <c r="G1284"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4" t="b">
        <f>TRUE</f>
        <v>1</v>
      </c>
      <c r="I1284" s="9"/>
      <c r="J1284" s="52" t="str">
        <f t="shared" ca="1" si="359"/>
        <v xml:space="preserve">City </v>
      </c>
      <c r="K1284" s="52">
        <v>3</v>
      </c>
    </row>
    <row r="1285" spans="1:11" ht="15" customHeight="1">
      <c r="A1285" t="str">
        <f t="shared" ca="1" si="360"/>
        <v/>
      </c>
      <c r="B1285" s="52">
        <f t="shared" si="365"/>
        <v>260</v>
      </c>
      <c r="C1285" t="str">
        <f t="shared" ca="1" si="366"/>
        <v>CPA Firm</v>
      </c>
      <c r="D1285" t="str">
        <f t="shared" si="357"/>
        <v>B264</v>
      </c>
      <c r="E1285" t="str">
        <f t="shared" ca="1" si="367"/>
        <v/>
      </c>
      <c r="F1285" t="str">
        <f t="shared" ca="1" si="368"/>
        <v xml:space="preserve">Enter a State for 'CPA Firm' in cell B264.
</v>
      </c>
      <c r="G1285"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5" t="b">
        <f>TRUE</f>
        <v>1</v>
      </c>
      <c r="I1285" s="9"/>
      <c r="J1285" s="52" t="str">
        <f t="shared" ca="1" si="359"/>
        <v>State</v>
      </c>
      <c r="K1285" s="52">
        <v>4</v>
      </c>
    </row>
    <row r="1286" spans="1:11" ht="15" customHeight="1">
      <c r="A1286" t="str">
        <f t="shared" ca="1" si="360"/>
        <v/>
      </c>
      <c r="B1286" s="52">
        <f t="shared" si="365"/>
        <v>260</v>
      </c>
      <c r="C1286" t="str">
        <f t="shared" ca="1" si="366"/>
        <v>CPA Firm</v>
      </c>
      <c r="D1286" t="str">
        <f t="shared" si="357"/>
        <v>B265</v>
      </c>
      <c r="E1286" t="str">
        <f t="shared" ca="1" si="367"/>
        <v/>
      </c>
      <c r="F1286" t="str">
        <f t="shared" ca="1" si="368"/>
        <v xml:space="preserve">Enter a Zip (first five #'s only) for 'CPA Firm' in cell B265.
</v>
      </c>
      <c r="G1286"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6" t="b">
        <f>TRUE</f>
        <v>1</v>
      </c>
      <c r="I1286" s="9"/>
      <c r="J1286" s="52" t="str">
        <f t="shared" ca="1" si="359"/>
        <v>Zip (first five #'s only)</v>
      </c>
      <c r="K1286" s="52">
        <v>5</v>
      </c>
    </row>
    <row r="1287" spans="1:11" ht="15" customHeight="1">
      <c r="A1287" t="str">
        <f t="shared" ca="1" si="360"/>
        <v/>
      </c>
      <c r="B1287" s="52">
        <f t="shared" si="365"/>
        <v>260</v>
      </c>
      <c r="C1287" t="str">
        <f t="shared" ca="1" si="366"/>
        <v>CPA Firm</v>
      </c>
      <c r="D1287" t="str">
        <f t="shared" si="357"/>
        <v>B266</v>
      </c>
      <c r="E1287" t="str">
        <f t="shared" ca="1" si="367"/>
        <v/>
      </c>
      <c r="F1287" t="str">
        <f t="shared" ca="1" si="368"/>
        <v xml:space="preserve">Enter a Contact First Name for 'CPA Firm' in cell B266.
</v>
      </c>
      <c r="G1287"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7" t="b">
        <f>TRUE</f>
        <v>1</v>
      </c>
      <c r="I1287" s="9"/>
      <c r="J1287" s="52" t="str">
        <f t="shared" ca="1" si="359"/>
        <v>Contact First Name</v>
      </c>
      <c r="K1287" s="52">
        <v>6</v>
      </c>
    </row>
    <row r="1288" spans="1:11" ht="15" customHeight="1">
      <c r="A1288" t="str">
        <f t="shared" ca="1" si="360"/>
        <v/>
      </c>
      <c r="B1288" s="52">
        <f t="shared" si="365"/>
        <v>260</v>
      </c>
      <c r="C1288" t="str">
        <f t="shared" ca="1" si="366"/>
        <v>CPA Firm</v>
      </c>
      <c r="D1288" t="str">
        <f t="shared" si="357"/>
        <v>B267</v>
      </c>
      <c r="E1288" t="str">
        <f t="shared" ca="1" si="367"/>
        <v/>
      </c>
      <c r="F1288" t="str">
        <f t="shared" ca="1" si="368"/>
        <v xml:space="preserve">Enter a Contact Last Name for 'CPA Firm' in cell B267.
</v>
      </c>
      <c r="G1288"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8" t="b">
        <f>TRUE</f>
        <v>1</v>
      </c>
      <c r="I1288" s="9"/>
      <c r="J1288" s="52" t="str">
        <f t="shared" ca="1" si="359"/>
        <v>Contact Last Name</v>
      </c>
      <c r="K1288" s="52">
        <v>7</v>
      </c>
    </row>
    <row r="1289" spans="1:11" ht="15" customHeight="1">
      <c r="A1289" t="str">
        <f t="shared" ca="1" si="360"/>
        <v/>
      </c>
      <c r="B1289" s="52">
        <f t="shared" si="365"/>
        <v>260</v>
      </c>
      <c r="C1289" t="str">
        <f t="shared" ca="1" si="366"/>
        <v>CPA Firm</v>
      </c>
      <c r="D1289" t="str">
        <f t="shared" si="357"/>
        <v>B268</v>
      </c>
      <c r="E1289" t="str">
        <f t="shared" ca="1" si="367"/>
        <v/>
      </c>
      <c r="F1289" t="str">
        <f t="shared" ca="1" si="368"/>
        <v xml:space="preserve">Enter a Phone (#'s only) for 'CPA Firm' in cell B268.
</v>
      </c>
      <c r="G1289"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9" t="b">
        <f>TRUE</f>
        <v>1</v>
      </c>
      <c r="I1289" s="9"/>
      <c r="J1289" s="52" t="str">
        <f t="shared" ca="1" si="359"/>
        <v>Phone (#'s only)</v>
      </c>
      <c r="K1289" s="52">
        <v>8</v>
      </c>
    </row>
    <row r="1290" spans="1:11" ht="15" customHeight="1">
      <c r="A1290" t="str">
        <f t="shared" ca="1" si="360"/>
        <v/>
      </c>
      <c r="B1290" s="52">
        <f t="shared" si="365"/>
        <v>260</v>
      </c>
      <c r="C1290" t="str">
        <f t="shared" ca="1" si="366"/>
        <v>CPA Firm</v>
      </c>
      <c r="D1290" t="str">
        <f t="shared" si="357"/>
        <v>B269</v>
      </c>
      <c r="E1290" t="str">
        <f t="shared" ca="1" si="367"/>
        <v/>
      </c>
      <c r="F1290" t="str">
        <f ca="1">CONCATENATE("Enter an "&amp; J1290 &amp;" for '", C1290, "' in cell ", D1290, ".", CHAR(10))</f>
        <v xml:space="preserve">Enter an Email for 'CPA Firm' in cell B269.
</v>
      </c>
      <c r="G1290"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0" t="b">
        <f>TRUE</f>
        <v>1</v>
      </c>
      <c r="I1290" s="9"/>
      <c r="J1290" s="52" t="str">
        <f t="shared" ca="1" si="359"/>
        <v>Email</v>
      </c>
      <c r="K1290" s="52">
        <v>9</v>
      </c>
    </row>
    <row r="1291" spans="1:11" ht="15" customHeight="1">
      <c r="A1291" t="str">
        <f t="shared" ca="1" si="360"/>
        <v/>
      </c>
      <c r="B1291">
        <f>ROW('Contact Information'!B271)</f>
        <v>271</v>
      </c>
      <c r="C1291" t="str">
        <f t="shared" ca="1" si="366"/>
        <v>Architect Firm</v>
      </c>
      <c r="D1291" t="str">
        <f t="shared" si="357"/>
        <v>B272</v>
      </c>
      <c r="E1291" t="str">
        <f t="shared" ca="1" si="367"/>
        <v/>
      </c>
      <c r="F1291" t="str">
        <f ca="1">CONCATENATE("Enter a "&amp; J1291 &amp;" for '", C1291, "' in cell ", D1291, ".", CHAR(10))</f>
        <v xml:space="preserve">Enter a Organization for 'Architect Firm' in cell B272.
</v>
      </c>
      <c r="G1291" s="9" t="str">
        <f t="shared" ref="G1291:G1299" ca="1" si="369">OFFSET(G1291, -1, 0) &amp; A1291</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1" t="b">
        <f>TRUE</f>
        <v>1</v>
      </c>
      <c r="I1291" s="9"/>
      <c r="J1291" s="52" t="str">
        <f t="shared" ca="1" si="359"/>
        <v>Organization</v>
      </c>
      <c r="K1291" s="52">
        <v>1</v>
      </c>
    </row>
    <row r="1292" spans="1:11" ht="15" customHeight="1">
      <c r="A1292" t="str">
        <f t="shared" ca="1" si="360"/>
        <v/>
      </c>
      <c r="B1292" s="52">
        <f t="shared" si="365"/>
        <v>271</v>
      </c>
      <c r="C1292" t="str">
        <f t="shared" ca="1" si="366"/>
        <v>Architect Firm</v>
      </c>
      <c r="D1292" t="str">
        <f t="shared" si="357"/>
        <v>B273</v>
      </c>
      <c r="E1292" t="str">
        <f t="shared" ca="1" si="367"/>
        <v/>
      </c>
      <c r="F1292" t="str">
        <f ca="1">CONCATENATE("Enter an "&amp; J1292 &amp;" for '", C1292, "' in cell ", D1292, ".", CHAR(10))</f>
        <v xml:space="preserve">Enter an Address for 'Architect Firm' in cell B273.
</v>
      </c>
      <c r="G1292" s="9" t="str">
        <f t="shared" ca="1" si="36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2" t="b">
        <f>TRUE</f>
        <v>1</v>
      </c>
      <c r="I1292" s="9"/>
      <c r="J1292" s="52" t="str">
        <f t="shared" ca="1" si="359"/>
        <v>Address</v>
      </c>
      <c r="K1292" s="52">
        <v>2</v>
      </c>
    </row>
    <row r="1293" spans="1:11" ht="15" customHeight="1">
      <c r="A1293" t="str">
        <f t="shared" ca="1" si="360"/>
        <v/>
      </c>
      <c r="B1293" s="52">
        <f t="shared" si="365"/>
        <v>271</v>
      </c>
      <c r="C1293" t="str">
        <f t="shared" ref="C1293:C1299" ca="1" si="370">INDIRECT($F$1101 &amp; ADDRESS(B1293, 1,4  ))</f>
        <v>Architect Firm</v>
      </c>
      <c r="D1293" t="str">
        <f t="shared" si="357"/>
        <v>B274</v>
      </c>
      <c r="E1293" t="str">
        <f t="shared" ref="E1293:E1299" ca="1" si="371">IF(ISBLANK( INDIRECT($F$1101 &amp; D1293)),"", INDIRECT($F$1101 &amp; D1293))</f>
        <v/>
      </c>
      <c r="F1293" t="str">
        <f t="shared" ref="F1293:F1298" ca="1" si="372">CONCATENATE("Enter a "&amp; J1293 &amp;" for '", C1293, "' in cell ", D1293, ".", CHAR(10))</f>
        <v xml:space="preserve">Enter a City  for 'Architect Firm' in cell B274.
</v>
      </c>
      <c r="G1293" s="9" t="str">
        <f t="shared" ca="1" si="36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3" t="b">
        <f>TRUE</f>
        <v>1</v>
      </c>
      <c r="I1293" s="9"/>
      <c r="J1293" s="52" t="str">
        <f t="shared" ca="1" si="359"/>
        <v xml:space="preserve">City </v>
      </c>
      <c r="K1293" s="52">
        <v>3</v>
      </c>
    </row>
    <row r="1294" spans="1:11" ht="15" customHeight="1">
      <c r="A1294" t="str">
        <f t="shared" ca="1" si="360"/>
        <v/>
      </c>
      <c r="B1294" s="52">
        <f t="shared" si="365"/>
        <v>271</v>
      </c>
      <c r="C1294" t="str">
        <f t="shared" ca="1" si="370"/>
        <v>Architect Firm</v>
      </c>
      <c r="D1294" t="str">
        <f t="shared" si="357"/>
        <v>B275</v>
      </c>
      <c r="E1294" t="str">
        <f t="shared" ca="1" si="371"/>
        <v/>
      </c>
      <c r="F1294" t="str">
        <f t="shared" ca="1" si="372"/>
        <v xml:space="preserve">Enter a State for 'Architect Firm' in cell B275.
</v>
      </c>
      <c r="G1294" s="9" t="str">
        <f t="shared" ca="1" si="36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4" t="b">
        <f>TRUE</f>
        <v>1</v>
      </c>
      <c r="I1294" s="9"/>
      <c r="J1294" s="52" t="str">
        <f t="shared" ca="1" si="359"/>
        <v>State</v>
      </c>
      <c r="K1294" s="52">
        <v>4</v>
      </c>
    </row>
    <row r="1295" spans="1:11" ht="15" customHeight="1">
      <c r="A1295" t="str">
        <f t="shared" ca="1" si="360"/>
        <v/>
      </c>
      <c r="B1295" s="52">
        <f t="shared" si="365"/>
        <v>271</v>
      </c>
      <c r="C1295" t="str">
        <f t="shared" ca="1" si="370"/>
        <v>Architect Firm</v>
      </c>
      <c r="D1295" t="str">
        <f t="shared" si="357"/>
        <v>B276</v>
      </c>
      <c r="E1295" t="str">
        <f t="shared" ca="1" si="371"/>
        <v/>
      </c>
      <c r="F1295" t="str">
        <f t="shared" ca="1" si="372"/>
        <v xml:space="preserve">Enter a Zip (first five #'s only) for 'Architect Firm' in cell B276.
</v>
      </c>
      <c r="G1295" s="9" t="str">
        <f t="shared" ca="1" si="36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5" t="b">
        <f>TRUE</f>
        <v>1</v>
      </c>
      <c r="I1295" s="9"/>
      <c r="J1295" s="52" t="str">
        <f t="shared" ca="1" si="359"/>
        <v>Zip (first five #'s only)</v>
      </c>
      <c r="K1295" s="52">
        <v>5</v>
      </c>
    </row>
    <row r="1296" spans="1:11" ht="15" customHeight="1">
      <c r="A1296" t="str">
        <f t="shared" ca="1" si="360"/>
        <v/>
      </c>
      <c r="B1296" s="52">
        <f t="shared" si="365"/>
        <v>271</v>
      </c>
      <c r="C1296" t="str">
        <f t="shared" ca="1" si="370"/>
        <v>Architect Firm</v>
      </c>
      <c r="D1296" t="str">
        <f t="shared" si="357"/>
        <v>B277</v>
      </c>
      <c r="E1296" t="str">
        <f t="shared" ca="1" si="371"/>
        <v/>
      </c>
      <c r="F1296" t="str">
        <f t="shared" ca="1" si="372"/>
        <v xml:space="preserve">Enter a Contact First Name for 'Architect Firm' in cell B277.
</v>
      </c>
      <c r="G1296" s="9" t="str">
        <f t="shared" ca="1" si="36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6" t="b">
        <f>TRUE</f>
        <v>1</v>
      </c>
      <c r="I1296" s="9"/>
      <c r="J1296" s="52" t="str">
        <f t="shared" ca="1" si="359"/>
        <v>Contact First Name</v>
      </c>
      <c r="K1296" s="52">
        <v>6</v>
      </c>
    </row>
    <row r="1297" spans="1:11" ht="15" customHeight="1">
      <c r="A1297" t="str">
        <f t="shared" ca="1" si="360"/>
        <v/>
      </c>
      <c r="B1297" s="52">
        <f t="shared" si="365"/>
        <v>271</v>
      </c>
      <c r="C1297" t="str">
        <f t="shared" ca="1" si="370"/>
        <v>Architect Firm</v>
      </c>
      <c r="D1297" t="str">
        <f t="shared" si="357"/>
        <v>B278</v>
      </c>
      <c r="E1297" t="str">
        <f t="shared" ca="1" si="371"/>
        <v/>
      </c>
      <c r="F1297" t="str">
        <f t="shared" ca="1" si="372"/>
        <v xml:space="preserve">Enter a Contact Last Name for 'Architect Firm' in cell B278.
</v>
      </c>
      <c r="G1297" s="9" t="str">
        <f t="shared" ca="1" si="36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7" t="b">
        <f>TRUE</f>
        <v>1</v>
      </c>
      <c r="I1297" s="9"/>
      <c r="J1297" s="52" t="str">
        <f t="shared" ca="1" si="359"/>
        <v>Contact Last Name</v>
      </c>
      <c r="K1297" s="52">
        <v>7</v>
      </c>
    </row>
    <row r="1298" spans="1:11" ht="15" customHeight="1">
      <c r="A1298" t="str">
        <f t="shared" ca="1" si="360"/>
        <v/>
      </c>
      <c r="B1298" s="52">
        <f t="shared" si="365"/>
        <v>271</v>
      </c>
      <c r="C1298" t="str">
        <f t="shared" ca="1" si="370"/>
        <v>Architect Firm</v>
      </c>
      <c r="D1298" t="str">
        <f t="shared" si="357"/>
        <v>B279</v>
      </c>
      <c r="E1298" t="str">
        <f t="shared" ca="1" si="371"/>
        <v/>
      </c>
      <c r="F1298" t="str">
        <f t="shared" ca="1" si="372"/>
        <v xml:space="preserve">Enter a Phone (#'s only) for 'Architect Firm' in cell B279.
</v>
      </c>
      <c r="G1298" s="9" t="str">
        <f t="shared" ca="1" si="36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8" t="b">
        <f>TRUE</f>
        <v>1</v>
      </c>
      <c r="I1298" s="9"/>
      <c r="J1298" s="52" t="str">
        <f t="shared" ca="1" si="359"/>
        <v>Phone (#'s only)</v>
      </c>
      <c r="K1298" s="52">
        <v>8</v>
      </c>
    </row>
    <row r="1299" spans="1:11" ht="15" customHeight="1">
      <c r="A1299" t="str">
        <f t="shared" ca="1" si="360"/>
        <v/>
      </c>
      <c r="B1299" s="52">
        <f t="shared" si="365"/>
        <v>271</v>
      </c>
      <c r="C1299" t="str">
        <f t="shared" ca="1" si="370"/>
        <v>Architect Firm</v>
      </c>
      <c r="D1299" t="str">
        <f t="shared" si="357"/>
        <v>B280</v>
      </c>
      <c r="E1299" t="str">
        <f t="shared" ca="1" si="371"/>
        <v/>
      </c>
      <c r="F1299" t="str">
        <f ca="1">CONCATENATE("Enter an "&amp; J1299 &amp;" for '", C1299, "' in cell ", D1299, ".", CHAR(10))</f>
        <v xml:space="preserve">Enter an Email for 'Architect Firm' in cell B280.
</v>
      </c>
      <c r="G1299" s="9" t="str">
        <f t="shared" ca="1" si="36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9" t="b">
        <f>TRUE</f>
        <v>1</v>
      </c>
      <c r="I1299" s="9"/>
      <c r="J1299" s="52" t="str">
        <f t="shared" ca="1" si="359"/>
        <v>Email</v>
      </c>
      <c r="K1299" s="52">
        <v>9</v>
      </c>
    </row>
    <row r="1300" spans="1:11" ht="15" customHeight="1">
      <c r="A1300" t="str">
        <f t="shared" ca="1" si="360"/>
        <v/>
      </c>
      <c r="B1300">
        <f>ROW('Contact Information'!B282)</f>
        <v>282</v>
      </c>
      <c r="C1300" t="str">
        <f t="shared" ca="1" si="366"/>
        <v>Permanent Lender</v>
      </c>
      <c r="D1300" t="str">
        <f t="shared" si="357"/>
        <v>B283</v>
      </c>
      <c r="E1300" t="str">
        <f t="shared" ca="1" si="367"/>
        <v/>
      </c>
      <c r="F1300" t="str">
        <f ca="1">CONCATENATE("Enter a "&amp; J1300 &amp;" for '", C1300, "' in cell ", D1300, ".", CHAR(10))</f>
        <v xml:space="preserve">Enter a Organization for 'Permanent Lender' in cell B283.
</v>
      </c>
      <c r="G1300"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0" t="b">
        <f>TRUE</f>
        <v>1</v>
      </c>
      <c r="I1300" s="9"/>
      <c r="J1300" s="52" t="str">
        <f t="shared" ca="1" si="359"/>
        <v>Organization</v>
      </c>
      <c r="K1300" s="52">
        <v>1</v>
      </c>
    </row>
    <row r="1301" spans="1:11" ht="15" customHeight="1">
      <c r="A1301" t="str">
        <f t="shared" ca="1" si="360"/>
        <v/>
      </c>
      <c r="B1301" s="52">
        <f t="shared" ref="B1301:B1308" si="373">B1300</f>
        <v>282</v>
      </c>
      <c r="C1301" t="str">
        <f t="shared" ca="1" si="366"/>
        <v>Permanent Lender</v>
      </c>
      <c r="D1301" t="str">
        <f t="shared" si="357"/>
        <v>B284</v>
      </c>
      <c r="E1301" t="str">
        <f t="shared" ca="1" si="367"/>
        <v/>
      </c>
      <c r="F1301" t="str">
        <f ca="1">CONCATENATE("Enter an "&amp; J1301 &amp;" for '", C1301, "' in cell ", D1301, ".", CHAR(10))</f>
        <v xml:space="preserve">Enter an Address for 'Permanent Lender' in cell B284.
</v>
      </c>
      <c r="G1301"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1" t="b">
        <f>TRUE</f>
        <v>1</v>
      </c>
      <c r="I1301" s="9"/>
      <c r="J1301" s="52" t="str">
        <f t="shared" ca="1" si="359"/>
        <v>Address</v>
      </c>
      <c r="K1301" s="52">
        <v>2</v>
      </c>
    </row>
    <row r="1302" spans="1:11" ht="15" customHeight="1">
      <c r="A1302" t="str">
        <f t="shared" ca="1" si="360"/>
        <v/>
      </c>
      <c r="B1302" s="52">
        <f t="shared" si="373"/>
        <v>282</v>
      </c>
      <c r="C1302" t="str">
        <f t="shared" ca="1" si="366"/>
        <v>Permanent Lender</v>
      </c>
      <c r="D1302" t="str">
        <f t="shared" si="357"/>
        <v>B285</v>
      </c>
      <c r="E1302" t="str">
        <f t="shared" ca="1" si="367"/>
        <v/>
      </c>
      <c r="F1302" t="str">
        <f t="shared" ref="F1302:F1307" ca="1" si="374">CONCATENATE("Enter a "&amp; J1302 &amp;" for '", C1302, "' in cell ", D1302, ".", CHAR(10))</f>
        <v xml:space="preserve">Enter a City  for 'Permanent Lender' in cell B285.
</v>
      </c>
      <c r="G1302"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2" t="b">
        <f>TRUE</f>
        <v>1</v>
      </c>
      <c r="I1302" s="9"/>
      <c r="J1302" s="52" t="str">
        <f t="shared" ca="1" si="359"/>
        <v xml:space="preserve">City </v>
      </c>
      <c r="K1302" s="52">
        <v>3</v>
      </c>
    </row>
    <row r="1303" spans="1:11" ht="15" customHeight="1">
      <c r="A1303" t="str">
        <f t="shared" ca="1" si="360"/>
        <v/>
      </c>
      <c r="B1303" s="52">
        <f t="shared" si="373"/>
        <v>282</v>
      </c>
      <c r="C1303" t="str">
        <f t="shared" ca="1" si="366"/>
        <v>Permanent Lender</v>
      </c>
      <c r="D1303" t="str">
        <f t="shared" si="357"/>
        <v>B286</v>
      </c>
      <c r="E1303" t="str">
        <f t="shared" ca="1" si="367"/>
        <v/>
      </c>
      <c r="F1303" t="str">
        <f t="shared" ca="1" si="374"/>
        <v xml:space="preserve">Enter a State for 'Permanent Lender' in cell B286.
</v>
      </c>
      <c r="G1303"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3" t="b">
        <f>TRUE</f>
        <v>1</v>
      </c>
      <c r="I1303" s="9"/>
      <c r="J1303" s="52" t="str">
        <f t="shared" ca="1" si="359"/>
        <v>State</v>
      </c>
      <c r="K1303" s="52">
        <v>4</v>
      </c>
    </row>
    <row r="1304" spans="1:11" ht="15" customHeight="1">
      <c r="A1304" t="str">
        <f t="shared" ca="1" si="360"/>
        <v/>
      </c>
      <c r="B1304" s="52">
        <f t="shared" si="373"/>
        <v>282</v>
      </c>
      <c r="C1304" t="str">
        <f t="shared" ca="1" si="366"/>
        <v>Permanent Lender</v>
      </c>
      <c r="D1304" t="str">
        <f t="shared" si="357"/>
        <v>B287</v>
      </c>
      <c r="E1304" t="str">
        <f t="shared" ca="1" si="367"/>
        <v/>
      </c>
      <c r="F1304" t="str">
        <f t="shared" ca="1" si="374"/>
        <v xml:space="preserve">Enter a Zip (first five #'s only) for 'Permanent Lender' in cell B287.
</v>
      </c>
      <c r="G1304"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4" t="b">
        <f>TRUE</f>
        <v>1</v>
      </c>
      <c r="I1304" s="9"/>
      <c r="J1304" s="52" t="str">
        <f t="shared" ca="1" si="359"/>
        <v>Zip (first five #'s only)</v>
      </c>
      <c r="K1304" s="52">
        <v>5</v>
      </c>
    </row>
    <row r="1305" spans="1:11" ht="15" customHeight="1">
      <c r="A1305" t="str">
        <f t="shared" ca="1" si="360"/>
        <v/>
      </c>
      <c r="B1305" s="52">
        <f t="shared" si="373"/>
        <v>282</v>
      </c>
      <c r="C1305" t="str">
        <f t="shared" ca="1" si="366"/>
        <v>Permanent Lender</v>
      </c>
      <c r="D1305" t="str">
        <f t="shared" si="357"/>
        <v>B288</v>
      </c>
      <c r="E1305" t="str">
        <f t="shared" ca="1" si="367"/>
        <v/>
      </c>
      <c r="F1305" t="str">
        <f t="shared" ca="1" si="374"/>
        <v xml:space="preserve">Enter a Contact First Name for 'Permanent Lender' in cell B288.
</v>
      </c>
      <c r="G1305"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5" t="b">
        <f>TRUE</f>
        <v>1</v>
      </c>
      <c r="I1305" s="9"/>
      <c r="J1305" s="52" t="str">
        <f t="shared" ca="1" si="359"/>
        <v>Contact First Name</v>
      </c>
      <c r="K1305" s="52">
        <v>6</v>
      </c>
    </row>
    <row r="1306" spans="1:11" ht="15" customHeight="1">
      <c r="A1306" t="str">
        <f t="shared" ca="1" si="360"/>
        <v/>
      </c>
      <c r="B1306" s="52">
        <f t="shared" si="373"/>
        <v>282</v>
      </c>
      <c r="C1306" t="str">
        <f t="shared" ca="1" si="366"/>
        <v>Permanent Lender</v>
      </c>
      <c r="D1306" t="str">
        <f t="shared" si="357"/>
        <v>B289</v>
      </c>
      <c r="E1306" t="str">
        <f t="shared" ca="1" si="367"/>
        <v/>
      </c>
      <c r="F1306" t="str">
        <f t="shared" ca="1" si="374"/>
        <v xml:space="preserve">Enter a Contact Last Name for 'Permanent Lender' in cell B289.
</v>
      </c>
      <c r="G1306"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6" t="b">
        <f>TRUE</f>
        <v>1</v>
      </c>
      <c r="I1306" s="9"/>
      <c r="J1306" s="52" t="str">
        <f t="shared" ca="1" si="359"/>
        <v>Contact Last Name</v>
      </c>
      <c r="K1306" s="52">
        <v>7</v>
      </c>
    </row>
    <row r="1307" spans="1:11" ht="15" customHeight="1">
      <c r="A1307" t="str">
        <f t="shared" ca="1" si="360"/>
        <v/>
      </c>
      <c r="B1307" s="52">
        <f t="shared" si="373"/>
        <v>282</v>
      </c>
      <c r="C1307" t="str">
        <f t="shared" ca="1" si="366"/>
        <v>Permanent Lender</v>
      </c>
      <c r="D1307" t="str">
        <f t="shared" si="357"/>
        <v>B290</v>
      </c>
      <c r="E1307" t="str">
        <f t="shared" ca="1" si="367"/>
        <v/>
      </c>
      <c r="F1307" t="str">
        <f t="shared" ca="1" si="374"/>
        <v xml:space="preserve">Enter a Phone (#'s only) for 'Permanent Lender' in cell B290.
</v>
      </c>
      <c r="G1307"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7" t="b">
        <f>TRUE</f>
        <v>1</v>
      </c>
      <c r="I1307" s="9"/>
      <c r="J1307" s="52" t="str">
        <f t="shared" ca="1" si="359"/>
        <v>Phone (#'s only)</v>
      </c>
      <c r="K1307" s="52">
        <v>8</v>
      </c>
    </row>
    <row r="1308" spans="1:11" ht="15" customHeight="1">
      <c r="A1308" t="str">
        <f t="shared" ca="1" si="360"/>
        <v/>
      </c>
      <c r="B1308" s="52">
        <f t="shared" si="373"/>
        <v>282</v>
      </c>
      <c r="C1308" t="str">
        <f t="shared" ca="1" si="366"/>
        <v>Permanent Lender</v>
      </c>
      <c r="D1308" t="str">
        <f t="shared" si="357"/>
        <v>B291</v>
      </c>
      <c r="E1308" t="str">
        <f t="shared" ca="1" si="367"/>
        <v/>
      </c>
      <c r="F1308" t="str">
        <f ca="1">CONCATENATE("Enter an "&amp; J1308 &amp;" for '", C1308, "' in cell ", D1308, ".", CHAR(10))</f>
        <v xml:space="preserve">Enter an Email for 'Permanent Lender' in cell B291.
</v>
      </c>
      <c r="G1308"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8" t="b">
        <f>TRUE</f>
        <v>1</v>
      </c>
      <c r="I1308" s="9"/>
      <c r="J1308" s="52" t="str">
        <f t="shared" ca="1" si="359"/>
        <v>Email</v>
      </c>
      <c r="K1308" s="52">
        <v>9</v>
      </c>
    </row>
    <row r="1309" spans="1:11" ht="15" customHeight="1">
      <c r="A1309" t="str">
        <f t="shared" ca="1" si="360"/>
        <v/>
      </c>
      <c r="B1309">
        <f>ROW('Contact Information'!B293)</f>
        <v>293</v>
      </c>
      <c r="C1309" t="str">
        <f t="shared" ca="1" si="366"/>
        <v>Commercial Lender</v>
      </c>
      <c r="D1309" t="str">
        <f t="shared" si="357"/>
        <v>B294</v>
      </c>
      <c r="E1309" t="str">
        <f t="shared" ca="1" si="367"/>
        <v/>
      </c>
      <c r="F1309" t="str">
        <f ca="1">CONCATENATE("Enter a "&amp; J1309 &amp;" for '", C1309, "' in cell ", D1309, ".", CHAR(10))</f>
        <v xml:space="preserve">Enter a Organization for 'Commercial Lender' in cell B294.
</v>
      </c>
      <c r="G1309"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9" t="b">
        <f>TRUE</f>
        <v>1</v>
      </c>
      <c r="I1309" s="9"/>
      <c r="J1309" s="52" t="str">
        <f t="shared" ca="1" si="359"/>
        <v>Organization</v>
      </c>
      <c r="K1309" s="52">
        <v>1</v>
      </c>
    </row>
    <row r="1310" spans="1:11" ht="15" customHeight="1">
      <c r="A1310" t="str">
        <f t="shared" ca="1" si="360"/>
        <v/>
      </c>
      <c r="B1310" s="52">
        <f t="shared" ref="B1310:B1363" si="375">B1309</f>
        <v>293</v>
      </c>
      <c r="C1310" t="str">
        <f t="shared" ca="1" si="366"/>
        <v>Commercial Lender</v>
      </c>
      <c r="D1310" t="str">
        <f t="shared" si="357"/>
        <v>B295</v>
      </c>
      <c r="E1310" t="str">
        <f t="shared" ca="1" si="367"/>
        <v/>
      </c>
      <c r="F1310" t="str">
        <f ca="1">CONCATENATE("Enter an "&amp; J1310 &amp;" for '", C1310, "' in cell ", D1310, ".", CHAR(10))</f>
        <v xml:space="preserve">Enter an Address for 'Commercial Lender' in cell B295.
</v>
      </c>
      <c r="G1310"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0" t="b">
        <f>TRUE</f>
        <v>1</v>
      </c>
      <c r="I1310" s="9"/>
      <c r="J1310" s="52" t="str">
        <f t="shared" ca="1" si="359"/>
        <v>Address</v>
      </c>
      <c r="K1310" s="52">
        <v>2</v>
      </c>
    </row>
    <row r="1311" spans="1:11" ht="15" customHeight="1">
      <c r="A1311" t="str">
        <f t="shared" ca="1" si="360"/>
        <v/>
      </c>
      <c r="B1311" s="52">
        <f t="shared" si="375"/>
        <v>293</v>
      </c>
      <c r="C1311" t="str">
        <f t="shared" ca="1" si="366"/>
        <v>Commercial Lender</v>
      </c>
      <c r="D1311" t="str">
        <f t="shared" si="357"/>
        <v>B296</v>
      </c>
      <c r="E1311" t="str">
        <f t="shared" ca="1" si="367"/>
        <v/>
      </c>
      <c r="F1311" t="str">
        <f t="shared" ref="F1311:F1316" ca="1" si="376">CONCATENATE("Enter a "&amp; J1311 &amp;" for '", C1311, "' in cell ", D1311, ".", CHAR(10))</f>
        <v xml:space="preserve">Enter a City  for 'Commercial Lender' in cell B296.
</v>
      </c>
      <c r="G1311"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1" t="b">
        <f>TRUE</f>
        <v>1</v>
      </c>
      <c r="I1311" s="9"/>
      <c r="J1311" s="52" t="str">
        <f t="shared" ca="1" si="359"/>
        <v xml:space="preserve">City </v>
      </c>
      <c r="K1311" s="52">
        <v>3</v>
      </c>
    </row>
    <row r="1312" spans="1:11" ht="15" customHeight="1">
      <c r="A1312" t="str">
        <f t="shared" ca="1" si="360"/>
        <v/>
      </c>
      <c r="B1312" s="52">
        <f t="shared" si="375"/>
        <v>293</v>
      </c>
      <c r="C1312" t="str">
        <f t="shared" ca="1" si="366"/>
        <v>Commercial Lender</v>
      </c>
      <c r="D1312" t="str">
        <f t="shared" si="357"/>
        <v>B297</v>
      </c>
      <c r="E1312" t="str">
        <f t="shared" ca="1" si="367"/>
        <v/>
      </c>
      <c r="F1312" t="str">
        <f t="shared" ca="1" si="376"/>
        <v xml:space="preserve">Enter a State for 'Commercial Lender' in cell B297.
</v>
      </c>
      <c r="G1312"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2" t="b">
        <f>TRUE</f>
        <v>1</v>
      </c>
      <c r="I1312" s="9"/>
      <c r="J1312" s="52" t="str">
        <f t="shared" ca="1" si="359"/>
        <v>State</v>
      </c>
      <c r="K1312" s="52">
        <v>4</v>
      </c>
    </row>
    <row r="1313" spans="1:11" ht="15" customHeight="1">
      <c r="A1313" t="str">
        <f t="shared" ca="1" si="360"/>
        <v/>
      </c>
      <c r="B1313" s="52">
        <f t="shared" si="375"/>
        <v>293</v>
      </c>
      <c r="C1313" t="str">
        <f t="shared" ca="1" si="366"/>
        <v>Commercial Lender</v>
      </c>
      <c r="D1313" t="str">
        <f t="shared" si="357"/>
        <v>B298</v>
      </c>
      <c r="E1313" t="str">
        <f t="shared" ca="1" si="367"/>
        <v/>
      </c>
      <c r="F1313" t="str">
        <f t="shared" ca="1" si="376"/>
        <v xml:space="preserve">Enter a Zip (first five #'s only) for 'Commercial Lender' in cell B298.
</v>
      </c>
      <c r="G1313"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3" t="b">
        <f>TRUE</f>
        <v>1</v>
      </c>
      <c r="I1313" s="9"/>
      <c r="J1313" s="52" t="str">
        <f t="shared" ca="1" si="359"/>
        <v>Zip (first five #'s only)</v>
      </c>
      <c r="K1313" s="52">
        <v>5</v>
      </c>
    </row>
    <row r="1314" spans="1:11" ht="15" customHeight="1">
      <c r="A1314" t="str">
        <f t="shared" ca="1" si="360"/>
        <v/>
      </c>
      <c r="B1314" s="52">
        <f t="shared" si="375"/>
        <v>293</v>
      </c>
      <c r="C1314" t="str">
        <f t="shared" ca="1" si="366"/>
        <v>Commercial Lender</v>
      </c>
      <c r="D1314" t="str">
        <f t="shared" si="357"/>
        <v>B299</v>
      </c>
      <c r="E1314" t="str">
        <f t="shared" ca="1" si="367"/>
        <v/>
      </c>
      <c r="F1314" t="str">
        <f t="shared" ca="1" si="376"/>
        <v xml:space="preserve">Enter a Contact First Name for 'Commercial Lender' in cell B299.
</v>
      </c>
      <c r="G1314"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4" t="b">
        <f>TRUE</f>
        <v>1</v>
      </c>
      <c r="I1314" s="9"/>
      <c r="J1314" s="52" t="str">
        <f t="shared" ca="1" si="359"/>
        <v>Contact First Name</v>
      </c>
      <c r="K1314" s="52">
        <v>6</v>
      </c>
    </row>
    <row r="1315" spans="1:11" ht="15" customHeight="1">
      <c r="A1315" t="str">
        <f t="shared" ca="1" si="360"/>
        <v/>
      </c>
      <c r="B1315" s="52">
        <f t="shared" si="375"/>
        <v>293</v>
      </c>
      <c r="C1315" t="str">
        <f t="shared" ca="1" si="366"/>
        <v>Commercial Lender</v>
      </c>
      <c r="D1315" t="str">
        <f t="shared" si="357"/>
        <v>B300</v>
      </c>
      <c r="E1315" t="str">
        <f t="shared" ca="1" si="367"/>
        <v/>
      </c>
      <c r="F1315" t="str">
        <f t="shared" ca="1" si="376"/>
        <v xml:space="preserve">Enter a Contact Last Name for 'Commercial Lender' in cell B300.
</v>
      </c>
      <c r="G1315"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5" t="b">
        <f>TRUE</f>
        <v>1</v>
      </c>
      <c r="I1315" s="9"/>
      <c r="J1315" s="52" t="str">
        <f t="shared" ca="1" si="359"/>
        <v>Contact Last Name</v>
      </c>
      <c r="K1315" s="52">
        <v>7</v>
      </c>
    </row>
    <row r="1316" spans="1:11" ht="15" customHeight="1">
      <c r="A1316" t="str">
        <f t="shared" ca="1" si="360"/>
        <v/>
      </c>
      <c r="B1316" s="52">
        <f t="shared" si="375"/>
        <v>293</v>
      </c>
      <c r="C1316" t="str">
        <f t="shared" ca="1" si="366"/>
        <v>Commercial Lender</v>
      </c>
      <c r="D1316" t="str">
        <f t="shared" si="357"/>
        <v>B301</v>
      </c>
      <c r="E1316" t="str">
        <f t="shared" ca="1" si="367"/>
        <v/>
      </c>
      <c r="F1316" t="str">
        <f t="shared" ca="1" si="376"/>
        <v xml:space="preserve">Enter a Phone (#'s only) for 'Commercial Lender' in cell B301.
</v>
      </c>
      <c r="G1316"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6" t="b">
        <f>TRUE</f>
        <v>1</v>
      </c>
      <c r="I1316" s="9"/>
      <c r="J1316" s="52" t="str">
        <f t="shared" ca="1" si="359"/>
        <v>Phone (#'s only)</v>
      </c>
      <c r="K1316" s="52">
        <v>8</v>
      </c>
    </row>
    <row r="1317" spans="1:11" ht="15" customHeight="1">
      <c r="A1317" t="str">
        <f t="shared" ca="1" si="360"/>
        <v/>
      </c>
      <c r="B1317" s="52">
        <f t="shared" si="375"/>
        <v>293</v>
      </c>
      <c r="C1317" t="str">
        <f t="shared" ca="1" si="366"/>
        <v>Commercial Lender</v>
      </c>
      <c r="D1317" t="str">
        <f t="shared" si="357"/>
        <v>B302</v>
      </c>
      <c r="E1317" t="str">
        <f t="shared" ca="1" si="367"/>
        <v/>
      </c>
      <c r="F1317" t="str">
        <f ca="1">CONCATENATE("Enter an "&amp; J1317 &amp;" for '", C1317, "' in cell ", D1317, ".", CHAR(10))</f>
        <v xml:space="preserve">Enter an Email for 'Commercial Lender' in cell B302.
</v>
      </c>
      <c r="G1317"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7" t="b">
        <f>TRUE</f>
        <v>1</v>
      </c>
      <c r="I1317" s="9"/>
      <c r="J1317" s="52" t="str">
        <f t="shared" ca="1" si="359"/>
        <v>Email</v>
      </c>
      <c r="K1317" s="52">
        <v>9</v>
      </c>
    </row>
    <row r="1318" spans="1:11" ht="15" customHeight="1">
      <c r="A1318" t="str">
        <f t="shared" ca="1" si="360"/>
        <v/>
      </c>
      <c r="B1318">
        <f>ROW('Contact Information'!B304)</f>
        <v>304</v>
      </c>
      <c r="C1318" t="str">
        <f t="shared" ref="C1318:C1326" ca="1" si="377">INDIRECT($F$1101 &amp; ADDRESS(B1318, 1,4  ))</f>
        <v>Construction Lender</v>
      </c>
      <c r="D1318" t="str">
        <f t="shared" si="357"/>
        <v>B305</v>
      </c>
      <c r="E1318" t="str">
        <f t="shared" ref="E1318:E1326" ca="1" si="378">IF(ISBLANK( INDIRECT($F$1101 &amp; D1318)),"", INDIRECT($F$1101 &amp; D1318))</f>
        <v/>
      </c>
      <c r="F1318" t="str">
        <f ca="1">CONCATENATE("Enter a "&amp; J1318 &amp;" for '", C1318, "' in cell ", D1318, ".", CHAR(10))</f>
        <v xml:space="preserve">Enter a Organization for 'Construction Lender' in cell B305.
</v>
      </c>
      <c r="G1318" s="9" t="str">
        <f t="shared" ref="G1318:G1326" ca="1" si="379">OFFSET(G1318, -1, 0) &amp; A1318</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8" t="b">
        <f>TRUE</f>
        <v>1</v>
      </c>
      <c r="I1318" s="9"/>
      <c r="J1318" s="52" t="str">
        <f t="shared" ca="1" si="359"/>
        <v>Organization</v>
      </c>
      <c r="K1318" s="52">
        <v>1</v>
      </c>
    </row>
    <row r="1319" spans="1:11" ht="15" customHeight="1">
      <c r="A1319" t="str">
        <f t="shared" ca="1" si="360"/>
        <v/>
      </c>
      <c r="B1319" s="52">
        <f t="shared" si="375"/>
        <v>304</v>
      </c>
      <c r="C1319" t="str">
        <f t="shared" ca="1" si="377"/>
        <v>Construction Lender</v>
      </c>
      <c r="D1319" t="str">
        <f t="shared" si="357"/>
        <v>B306</v>
      </c>
      <c r="E1319" t="str">
        <f t="shared" ca="1" si="378"/>
        <v/>
      </c>
      <c r="F1319" t="str">
        <f ca="1">CONCATENATE("Enter an "&amp; J1319 &amp;" for '", C1319, "' in cell ", D1319, ".", CHAR(10))</f>
        <v xml:space="preserve">Enter an Address for 'Construction Lender' in cell B306.
</v>
      </c>
      <c r="G1319" s="9" t="str">
        <f t="shared" ca="1" si="3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9" t="b">
        <f>TRUE</f>
        <v>1</v>
      </c>
      <c r="I1319" s="9"/>
      <c r="J1319" s="52" t="str">
        <f t="shared" ca="1" si="359"/>
        <v>Address</v>
      </c>
      <c r="K1319" s="52">
        <v>2</v>
      </c>
    </row>
    <row r="1320" spans="1:11" ht="15" customHeight="1">
      <c r="A1320" t="str">
        <f t="shared" ca="1" si="360"/>
        <v/>
      </c>
      <c r="B1320" s="52">
        <f t="shared" si="375"/>
        <v>304</v>
      </c>
      <c r="C1320" t="str">
        <f t="shared" ca="1" si="377"/>
        <v>Construction Lender</v>
      </c>
      <c r="D1320" t="str">
        <f t="shared" si="357"/>
        <v>B307</v>
      </c>
      <c r="E1320" t="str">
        <f t="shared" ca="1" si="378"/>
        <v/>
      </c>
      <c r="F1320" t="str">
        <f t="shared" ref="F1320:F1325" ca="1" si="380">CONCATENATE("Enter a "&amp; J1320 &amp;" for '", C1320, "' in cell ", D1320, ".", CHAR(10))</f>
        <v xml:space="preserve">Enter a City  for 'Construction Lender' in cell B307.
</v>
      </c>
      <c r="G1320" s="9" t="str">
        <f t="shared" ca="1" si="3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0" t="b">
        <f>TRUE</f>
        <v>1</v>
      </c>
      <c r="I1320" s="9"/>
      <c r="J1320" s="52" t="str">
        <f t="shared" ca="1" si="359"/>
        <v xml:space="preserve">City </v>
      </c>
      <c r="K1320" s="52">
        <v>3</v>
      </c>
    </row>
    <row r="1321" spans="1:11" ht="15" customHeight="1">
      <c r="A1321" t="str">
        <f t="shared" ca="1" si="360"/>
        <v/>
      </c>
      <c r="B1321" s="52">
        <f t="shared" si="375"/>
        <v>304</v>
      </c>
      <c r="C1321" t="str">
        <f t="shared" ca="1" si="377"/>
        <v>Construction Lender</v>
      </c>
      <c r="D1321" t="str">
        <f t="shared" si="357"/>
        <v>B308</v>
      </c>
      <c r="E1321" t="str">
        <f t="shared" ca="1" si="378"/>
        <v/>
      </c>
      <c r="F1321" t="str">
        <f t="shared" ca="1" si="380"/>
        <v xml:space="preserve">Enter a State for 'Construction Lender' in cell B308.
</v>
      </c>
      <c r="G1321" s="9" t="str">
        <f t="shared" ca="1" si="3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1" t="b">
        <f>TRUE</f>
        <v>1</v>
      </c>
      <c r="I1321" s="9"/>
      <c r="J1321" s="52" t="str">
        <f t="shared" ca="1" si="359"/>
        <v>State</v>
      </c>
      <c r="K1321" s="52">
        <v>4</v>
      </c>
    </row>
    <row r="1322" spans="1:11" ht="15" customHeight="1">
      <c r="A1322" t="str">
        <f t="shared" ca="1" si="360"/>
        <v/>
      </c>
      <c r="B1322" s="52">
        <f t="shared" si="375"/>
        <v>304</v>
      </c>
      <c r="C1322" t="str">
        <f t="shared" ca="1" si="377"/>
        <v>Construction Lender</v>
      </c>
      <c r="D1322" t="str">
        <f t="shared" si="357"/>
        <v>B309</v>
      </c>
      <c r="E1322" t="str">
        <f t="shared" ca="1" si="378"/>
        <v/>
      </c>
      <c r="F1322" t="str">
        <f t="shared" ca="1" si="380"/>
        <v xml:space="preserve">Enter a Zip for 'Construction Lender' in cell B309.
</v>
      </c>
      <c r="G1322" s="9" t="str">
        <f t="shared" ca="1" si="3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2" t="b">
        <f>TRUE</f>
        <v>1</v>
      </c>
      <c r="I1322" s="9"/>
      <c r="J1322" s="52" t="str">
        <f t="shared" ca="1" si="359"/>
        <v>Zip</v>
      </c>
      <c r="K1322" s="52">
        <v>5</v>
      </c>
    </row>
    <row r="1323" spans="1:11" ht="15" customHeight="1">
      <c r="A1323" t="str">
        <f t="shared" ca="1" si="360"/>
        <v/>
      </c>
      <c r="B1323" s="52">
        <f t="shared" si="375"/>
        <v>304</v>
      </c>
      <c r="C1323" t="str">
        <f t="shared" ca="1" si="377"/>
        <v>Construction Lender</v>
      </c>
      <c r="D1323" t="str">
        <f t="shared" si="357"/>
        <v>B310</v>
      </c>
      <c r="E1323" t="str">
        <f t="shared" ca="1" si="378"/>
        <v/>
      </c>
      <c r="F1323" t="str">
        <f t="shared" ca="1" si="380"/>
        <v xml:space="preserve">Enter a Contact First Name for 'Construction Lender' in cell B310.
</v>
      </c>
      <c r="G1323" s="9" t="str">
        <f t="shared" ca="1" si="3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3" t="b">
        <f>TRUE</f>
        <v>1</v>
      </c>
      <c r="I1323" s="9"/>
      <c r="J1323" s="52" t="str">
        <f t="shared" ca="1" si="359"/>
        <v>Contact First Name</v>
      </c>
      <c r="K1323" s="52">
        <v>6</v>
      </c>
    </row>
    <row r="1324" spans="1:11" ht="15" customHeight="1">
      <c r="A1324" t="str">
        <f t="shared" ca="1" si="360"/>
        <v/>
      </c>
      <c r="B1324" s="52">
        <f t="shared" si="375"/>
        <v>304</v>
      </c>
      <c r="C1324" t="str">
        <f t="shared" ca="1" si="377"/>
        <v>Construction Lender</v>
      </c>
      <c r="D1324" t="str">
        <f t="shared" si="357"/>
        <v>B311</v>
      </c>
      <c r="E1324" t="str">
        <f t="shared" ca="1" si="378"/>
        <v/>
      </c>
      <c r="F1324" t="str">
        <f t="shared" ca="1" si="380"/>
        <v xml:space="preserve">Enter a Contact Last Name for 'Construction Lender' in cell B311.
</v>
      </c>
      <c r="G1324" s="9" t="str">
        <f t="shared" ca="1" si="3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4" t="b">
        <f>TRUE</f>
        <v>1</v>
      </c>
      <c r="I1324" s="9"/>
      <c r="J1324" s="52" t="str">
        <f t="shared" ca="1" si="359"/>
        <v>Contact Last Name</v>
      </c>
      <c r="K1324" s="52">
        <v>7</v>
      </c>
    </row>
    <row r="1325" spans="1:11" ht="15" customHeight="1">
      <c r="A1325" t="str">
        <f t="shared" ca="1" si="360"/>
        <v/>
      </c>
      <c r="B1325" s="52">
        <f t="shared" si="375"/>
        <v>304</v>
      </c>
      <c r="C1325" t="str">
        <f t="shared" ca="1" si="377"/>
        <v>Construction Lender</v>
      </c>
      <c r="D1325" t="str">
        <f t="shared" si="357"/>
        <v>B312</v>
      </c>
      <c r="E1325" t="str">
        <f t="shared" ca="1" si="378"/>
        <v/>
      </c>
      <c r="F1325" t="str">
        <f t="shared" ca="1" si="380"/>
        <v xml:space="preserve">Enter a Phone (#'s only) for 'Construction Lender' in cell B312.
</v>
      </c>
      <c r="G1325" s="9" t="str">
        <f t="shared" ca="1" si="3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5" t="b">
        <f>TRUE</f>
        <v>1</v>
      </c>
      <c r="I1325" s="9"/>
      <c r="J1325" s="52" t="str">
        <f t="shared" ca="1" si="359"/>
        <v>Phone (#'s only)</v>
      </c>
      <c r="K1325" s="52">
        <v>8</v>
      </c>
    </row>
    <row r="1326" spans="1:11" ht="15" customHeight="1">
      <c r="A1326" t="str">
        <f t="shared" ca="1" si="360"/>
        <v/>
      </c>
      <c r="B1326" s="52">
        <f t="shared" si="375"/>
        <v>304</v>
      </c>
      <c r="C1326" t="str">
        <f t="shared" ca="1" si="377"/>
        <v>Construction Lender</v>
      </c>
      <c r="D1326" t="str">
        <f t="shared" si="357"/>
        <v>B313</v>
      </c>
      <c r="E1326" t="str">
        <f t="shared" ca="1" si="378"/>
        <v/>
      </c>
      <c r="F1326" t="str">
        <f ca="1">CONCATENATE("Enter an "&amp; J1326 &amp;" for '", C1326, "' in cell ", D1326, ".", CHAR(10))</f>
        <v xml:space="preserve">Enter an Email for 'Construction Lender' in cell B313.
</v>
      </c>
      <c r="G1326" s="9" t="str">
        <f t="shared" ca="1" si="3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6" t="b">
        <f>TRUE</f>
        <v>1</v>
      </c>
      <c r="I1326" s="9"/>
      <c r="J1326" s="52" t="str">
        <f t="shared" ca="1" si="359"/>
        <v>Email</v>
      </c>
      <c r="K1326" s="52">
        <v>9</v>
      </c>
    </row>
    <row r="1327" spans="1:11" ht="15" customHeight="1">
      <c r="A1327" t="str">
        <f t="shared" ca="1" si="360"/>
        <v/>
      </c>
      <c r="B1327">
        <f>ROW('Contact Information'!B315)</f>
        <v>315</v>
      </c>
      <c r="C1327" t="str">
        <f t="shared" ref="C1327:C1335" ca="1" si="381">INDIRECT($F$1101 &amp; ADDRESS(B1327, 1,4  ))</f>
        <v>Environmental Phase I Preparer</v>
      </c>
      <c r="D1327" t="str">
        <f t="shared" si="357"/>
        <v>B316</v>
      </c>
      <c r="E1327" t="str">
        <f t="shared" ref="E1327:E1335" ca="1" si="382">IF(ISBLANK( INDIRECT($F$1101 &amp; D1327)),"", INDIRECT($F$1101 &amp; D1327))</f>
        <v/>
      </c>
      <c r="F1327" t="str">
        <f ca="1">CONCATENATE("Enter a "&amp; J1327 &amp;" for '", C1327, "' in cell ", D1327, ".", CHAR(10))</f>
        <v xml:space="preserve">Enter a Organization for 'Environmental Phase I Preparer' in cell B316.
</v>
      </c>
      <c r="G1327" s="9" t="str">
        <f t="shared" ref="G1327:G1335" ca="1" si="383">OFFSET(G1327, -1, 0) &amp; A1327</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7" t="b">
        <f>Calculations!$B$2</f>
        <v>0</v>
      </c>
      <c r="I1327" s="9"/>
      <c r="J1327" s="52" t="str">
        <f t="shared" ca="1" si="359"/>
        <v>Organization</v>
      </c>
      <c r="K1327" s="52">
        <v>1</v>
      </c>
    </row>
    <row r="1328" spans="1:11" ht="15" customHeight="1">
      <c r="A1328" t="str">
        <f t="shared" ca="1" si="360"/>
        <v/>
      </c>
      <c r="B1328" s="52">
        <f t="shared" si="375"/>
        <v>315</v>
      </c>
      <c r="C1328" t="str">
        <f t="shared" ca="1" si="381"/>
        <v>Environmental Phase I Preparer</v>
      </c>
      <c r="D1328" t="str">
        <f t="shared" si="357"/>
        <v>B317</v>
      </c>
      <c r="E1328" t="str">
        <f t="shared" ca="1" si="382"/>
        <v/>
      </c>
      <c r="F1328" t="str">
        <f ca="1">CONCATENATE("Enter an "&amp; J1328 &amp;" for '", C1328, "' in cell ", D1328, ".", CHAR(10))</f>
        <v xml:space="preserve">Enter an Address for 'Environmental Phase I Preparer' in cell B317.
</v>
      </c>
      <c r="G1328" s="9" t="str">
        <f t="shared" ca="1" si="38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8" t="b">
        <f>Calculations!$B$2</f>
        <v>0</v>
      </c>
      <c r="I1328" s="9"/>
      <c r="J1328" s="52" t="str">
        <f t="shared" ca="1" si="359"/>
        <v>Address</v>
      </c>
      <c r="K1328" s="52">
        <v>2</v>
      </c>
    </row>
    <row r="1329" spans="1:11" ht="15" customHeight="1">
      <c r="A1329" t="str">
        <f t="shared" ca="1" si="360"/>
        <v/>
      </c>
      <c r="B1329" s="52">
        <f t="shared" si="375"/>
        <v>315</v>
      </c>
      <c r="C1329" t="str">
        <f t="shared" ca="1" si="381"/>
        <v>Environmental Phase I Preparer</v>
      </c>
      <c r="D1329" t="str">
        <f t="shared" si="357"/>
        <v>B318</v>
      </c>
      <c r="E1329" t="str">
        <f t="shared" ca="1" si="382"/>
        <v/>
      </c>
      <c r="F1329" t="str">
        <f t="shared" ref="F1329:F1334" ca="1" si="384">CONCATENATE("Enter a "&amp; J1329 &amp;" for '", C1329, "' in cell ", D1329, ".", CHAR(10))</f>
        <v xml:space="preserve">Enter a City  for 'Environmental Phase I Preparer' in cell B318.
</v>
      </c>
      <c r="G1329" s="9" t="str">
        <f t="shared" ca="1" si="38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9" t="b">
        <f>Calculations!$B$2</f>
        <v>0</v>
      </c>
      <c r="I1329" s="9"/>
      <c r="J1329" s="52" t="str">
        <f t="shared" ca="1" si="359"/>
        <v xml:space="preserve">City </v>
      </c>
      <c r="K1329" s="52">
        <v>3</v>
      </c>
    </row>
    <row r="1330" spans="1:11" ht="15" customHeight="1">
      <c r="A1330" t="str">
        <f t="shared" ca="1" si="360"/>
        <v/>
      </c>
      <c r="B1330" s="52">
        <f t="shared" si="375"/>
        <v>315</v>
      </c>
      <c r="C1330" t="str">
        <f t="shared" ca="1" si="381"/>
        <v>Environmental Phase I Preparer</v>
      </c>
      <c r="D1330" t="str">
        <f t="shared" ref="D1330:D1394" si="385">ADDRESS(B1330+K1330, 2,4  )</f>
        <v>B319</v>
      </c>
      <c r="E1330" t="str">
        <f t="shared" ca="1" si="382"/>
        <v/>
      </c>
      <c r="F1330" t="str">
        <f t="shared" ca="1" si="384"/>
        <v xml:space="preserve">Enter a State for 'Environmental Phase I Preparer' in cell B319.
</v>
      </c>
      <c r="G1330" s="9" t="str">
        <f t="shared" ca="1" si="38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0" t="b">
        <f>Calculations!$B$2</f>
        <v>0</v>
      </c>
      <c r="I1330" s="9"/>
      <c r="J1330" s="52" t="str">
        <f t="shared" ref="J1330:J1394" ca="1" si="386">INDIRECT($F$1101 &amp; ADDRESS(B1330+K1330, 1,4))</f>
        <v>State</v>
      </c>
      <c r="K1330" s="52">
        <v>4</v>
      </c>
    </row>
    <row r="1331" spans="1:11" ht="15" customHeight="1">
      <c r="A1331" t="str">
        <f t="shared" ref="A1331:A1395" ca="1" si="387">IF(AND(H1331, NOT($E$1104), E1331=""),F1331, "")</f>
        <v/>
      </c>
      <c r="B1331" s="52">
        <f t="shared" si="375"/>
        <v>315</v>
      </c>
      <c r="C1331" t="str">
        <f t="shared" ca="1" si="381"/>
        <v>Environmental Phase I Preparer</v>
      </c>
      <c r="D1331" t="str">
        <f t="shared" si="385"/>
        <v>B320</v>
      </c>
      <c r="E1331" t="str">
        <f t="shared" ca="1" si="382"/>
        <v/>
      </c>
      <c r="F1331" t="str">
        <f t="shared" ca="1" si="384"/>
        <v xml:space="preserve">Enter a Zip (first five #'s only) for 'Environmental Phase I Preparer' in cell B320.
</v>
      </c>
      <c r="G1331" s="9" t="str">
        <f t="shared" ca="1" si="38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1" t="b">
        <f>Calculations!$B$2</f>
        <v>0</v>
      </c>
      <c r="I1331" s="9"/>
      <c r="J1331" s="52" t="str">
        <f t="shared" ca="1" si="386"/>
        <v>Zip (first five #'s only)</v>
      </c>
      <c r="K1331" s="52">
        <v>5</v>
      </c>
    </row>
    <row r="1332" spans="1:11" ht="15" customHeight="1">
      <c r="A1332" t="str">
        <f t="shared" ca="1" si="387"/>
        <v/>
      </c>
      <c r="B1332" s="52">
        <f t="shared" si="375"/>
        <v>315</v>
      </c>
      <c r="C1332" t="str">
        <f t="shared" ca="1" si="381"/>
        <v>Environmental Phase I Preparer</v>
      </c>
      <c r="D1332" t="str">
        <f t="shared" si="385"/>
        <v>B321</v>
      </c>
      <c r="E1332" t="str">
        <f t="shared" ca="1" si="382"/>
        <v/>
      </c>
      <c r="F1332" t="str">
        <f t="shared" ca="1" si="384"/>
        <v xml:space="preserve">Enter a Contact First Name for 'Environmental Phase I Preparer' in cell B321.
</v>
      </c>
      <c r="G1332" s="9" t="str">
        <f t="shared" ca="1" si="38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2" t="b">
        <f>Calculations!$B$2</f>
        <v>0</v>
      </c>
      <c r="I1332" s="9"/>
      <c r="J1332" s="52" t="str">
        <f t="shared" ca="1" si="386"/>
        <v>Contact First Name</v>
      </c>
      <c r="K1332" s="52">
        <v>6</v>
      </c>
    </row>
    <row r="1333" spans="1:11" ht="15" customHeight="1">
      <c r="A1333" t="str">
        <f t="shared" ca="1" si="387"/>
        <v/>
      </c>
      <c r="B1333" s="52">
        <f t="shared" si="375"/>
        <v>315</v>
      </c>
      <c r="C1333" t="str">
        <f t="shared" ca="1" si="381"/>
        <v>Environmental Phase I Preparer</v>
      </c>
      <c r="D1333" t="str">
        <f t="shared" si="385"/>
        <v>B322</v>
      </c>
      <c r="E1333" t="str">
        <f t="shared" ca="1" si="382"/>
        <v/>
      </c>
      <c r="F1333" t="str">
        <f t="shared" ca="1" si="384"/>
        <v xml:space="preserve">Enter a Contact Last Name for 'Environmental Phase I Preparer' in cell B322.
</v>
      </c>
      <c r="G1333" s="9" t="str">
        <f t="shared" ca="1" si="38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3" t="b">
        <f>Calculations!$B$2</f>
        <v>0</v>
      </c>
      <c r="I1333" s="9"/>
      <c r="J1333" s="52" t="str">
        <f t="shared" ca="1" si="386"/>
        <v>Contact Last Name</v>
      </c>
      <c r="K1333" s="52">
        <v>7</v>
      </c>
    </row>
    <row r="1334" spans="1:11" ht="15" customHeight="1">
      <c r="A1334" t="str">
        <f t="shared" ca="1" si="387"/>
        <v/>
      </c>
      <c r="B1334" s="52">
        <f t="shared" si="375"/>
        <v>315</v>
      </c>
      <c r="C1334" t="str">
        <f t="shared" ca="1" si="381"/>
        <v>Environmental Phase I Preparer</v>
      </c>
      <c r="D1334" t="str">
        <f t="shared" si="385"/>
        <v>B323</v>
      </c>
      <c r="E1334" t="str">
        <f t="shared" ca="1" si="382"/>
        <v/>
      </c>
      <c r="F1334" t="str">
        <f t="shared" ca="1" si="384"/>
        <v xml:space="preserve">Enter a Phone (#'s only) for 'Environmental Phase I Preparer' in cell B323.
</v>
      </c>
      <c r="G1334" s="9" t="str">
        <f t="shared" ca="1" si="38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4" t="b">
        <f>Calculations!$B$2</f>
        <v>0</v>
      </c>
      <c r="I1334" s="9"/>
      <c r="J1334" s="52" t="str">
        <f t="shared" ca="1" si="386"/>
        <v>Phone (#'s only)</v>
      </c>
      <c r="K1334" s="52">
        <v>8</v>
      </c>
    </row>
    <row r="1335" spans="1:11" ht="15" customHeight="1">
      <c r="A1335" t="str">
        <f t="shared" ca="1" si="387"/>
        <v/>
      </c>
      <c r="B1335" s="52">
        <f t="shared" si="375"/>
        <v>315</v>
      </c>
      <c r="C1335" t="str">
        <f t="shared" ca="1" si="381"/>
        <v>Environmental Phase I Preparer</v>
      </c>
      <c r="D1335" t="str">
        <f t="shared" si="385"/>
        <v>B324</v>
      </c>
      <c r="E1335" t="str">
        <f t="shared" ca="1" si="382"/>
        <v/>
      </c>
      <c r="F1335" t="str">
        <f ca="1">CONCATENATE("Enter an "&amp; J1335 &amp;" for '", C1335, "' in cell ", D1335, ".", CHAR(10))</f>
        <v xml:space="preserve">Enter an Email for 'Environmental Phase I Preparer' in cell B324.
</v>
      </c>
      <c r="G1335" s="9" t="str">
        <f t="shared" ca="1" si="38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5" t="b">
        <f>Calculations!$B$2</f>
        <v>0</v>
      </c>
      <c r="I1335" s="9"/>
      <c r="J1335" s="52" t="str">
        <f t="shared" ca="1" si="386"/>
        <v>Email</v>
      </c>
      <c r="K1335" s="52">
        <v>9</v>
      </c>
    </row>
    <row r="1336" spans="1:11" ht="15" customHeight="1">
      <c r="A1336" t="str">
        <f t="shared" ca="1" si="387"/>
        <v/>
      </c>
      <c r="B1336">
        <f>ROW('Contact Information'!B326)</f>
        <v>326</v>
      </c>
      <c r="C1336" t="str">
        <f t="shared" ref="C1336:C1344" ca="1" si="388">INDIRECT($F$1101 &amp; ADDRESS(B1336, 1,4  ))</f>
        <v>Capital Needs Report Preparer</v>
      </c>
      <c r="D1336" t="str">
        <f t="shared" si="385"/>
        <v>B327</v>
      </c>
      <c r="E1336" t="str">
        <f t="shared" ref="E1336:E1344" ca="1" si="389">IF(ISBLANK( INDIRECT($F$1101 &amp; D1336)),"", INDIRECT($F$1101 &amp; D1336))</f>
        <v/>
      </c>
      <c r="F1336" t="str">
        <f ca="1">CONCATENATE("Enter a "&amp; J1336 &amp;" for '", C1336, "' in cell ", D1336, ".", CHAR(10))</f>
        <v xml:space="preserve">Enter a Organization for 'Capital Needs Report Preparer' in cell B327.
</v>
      </c>
      <c r="G1336" s="9" t="str">
        <f t="shared" ref="G1336:G1344" ca="1" si="390">OFFSET(G1336, -1, 0) &amp; A1336</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6" t="b">
        <f>Calculations!$B$2</f>
        <v>0</v>
      </c>
      <c r="I1336" s="9"/>
      <c r="J1336" s="52" t="str">
        <f t="shared" ca="1" si="386"/>
        <v>Organization</v>
      </c>
      <c r="K1336" s="52">
        <v>1</v>
      </c>
    </row>
    <row r="1337" spans="1:11" ht="15" customHeight="1">
      <c r="A1337" t="str">
        <f t="shared" ca="1" si="387"/>
        <v/>
      </c>
      <c r="B1337" s="52">
        <f t="shared" si="375"/>
        <v>326</v>
      </c>
      <c r="C1337" t="str">
        <f t="shared" ca="1" si="388"/>
        <v>Capital Needs Report Preparer</v>
      </c>
      <c r="D1337" t="str">
        <f t="shared" si="385"/>
        <v>B328</v>
      </c>
      <c r="E1337" t="str">
        <f t="shared" ca="1" si="389"/>
        <v/>
      </c>
      <c r="F1337" t="str">
        <f ca="1">CONCATENATE("Enter an "&amp; J1337 &amp;" for '", C1337, "' in cell ", D1337, ".", CHAR(10))</f>
        <v xml:space="preserve">Enter an Address for 'Capital Needs Report Preparer' in cell B328.
</v>
      </c>
      <c r="G1337" s="9" t="str">
        <f t="shared" ca="1" si="39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7" t="b">
        <f>Calculations!$B$2</f>
        <v>0</v>
      </c>
      <c r="I1337" s="9"/>
      <c r="J1337" s="52" t="str">
        <f t="shared" ca="1" si="386"/>
        <v>Address</v>
      </c>
      <c r="K1337" s="52">
        <v>2</v>
      </c>
    </row>
    <row r="1338" spans="1:11" ht="15" customHeight="1">
      <c r="A1338" t="str">
        <f t="shared" ca="1" si="387"/>
        <v/>
      </c>
      <c r="B1338" s="52">
        <f t="shared" si="375"/>
        <v>326</v>
      </c>
      <c r="C1338" t="str">
        <f t="shared" ca="1" si="388"/>
        <v>Capital Needs Report Preparer</v>
      </c>
      <c r="D1338" t="str">
        <f t="shared" si="385"/>
        <v>B329</v>
      </c>
      <c r="E1338" t="str">
        <f t="shared" ca="1" si="389"/>
        <v/>
      </c>
      <c r="F1338" t="str">
        <f t="shared" ref="F1338:F1343" ca="1" si="391">CONCATENATE("Enter a "&amp; J1338 &amp;" for '", C1338, "' in cell ", D1338, ".", CHAR(10))</f>
        <v xml:space="preserve">Enter a City  for 'Capital Needs Report Preparer' in cell B329.
</v>
      </c>
      <c r="G1338" s="9" t="str">
        <f t="shared" ca="1" si="39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8" t="b">
        <f>Calculations!$B$2</f>
        <v>0</v>
      </c>
      <c r="I1338" s="9"/>
      <c r="J1338" s="52" t="str">
        <f t="shared" ca="1" si="386"/>
        <v xml:space="preserve">City </v>
      </c>
      <c r="K1338" s="52">
        <v>3</v>
      </c>
    </row>
    <row r="1339" spans="1:11" ht="15" customHeight="1">
      <c r="A1339" t="str">
        <f t="shared" ca="1" si="387"/>
        <v/>
      </c>
      <c r="B1339" s="52">
        <f t="shared" si="375"/>
        <v>326</v>
      </c>
      <c r="C1339" t="str">
        <f t="shared" ca="1" si="388"/>
        <v>Capital Needs Report Preparer</v>
      </c>
      <c r="D1339" t="str">
        <f t="shared" si="385"/>
        <v>B330</v>
      </c>
      <c r="E1339" t="str">
        <f t="shared" ca="1" si="389"/>
        <v/>
      </c>
      <c r="F1339" t="str">
        <f t="shared" ca="1" si="391"/>
        <v xml:space="preserve">Enter a State for 'Capital Needs Report Preparer' in cell B330.
</v>
      </c>
      <c r="G1339" s="9" t="str">
        <f t="shared" ca="1" si="39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9" t="b">
        <f>Calculations!$B$2</f>
        <v>0</v>
      </c>
      <c r="I1339" s="9"/>
      <c r="J1339" s="52" t="str">
        <f t="shared" ca="1" si="386"/>
        <v>State</v>
      </c>
      <c r="K1339" s="52">
        <v>4</v>
      </c>
    </row>
    <row r="1340" spans="1:11" ht="15" customHeight="1">
      <c r="A1340" t="str">
        <f t="shared" ca="1" si="387"/>
        <v/>
      </c>
      <c r="B1340" s="52">
        <f t="shared" si="375"/>
        <v>326</v>
      </c>
      <c r="C1340" t="str">
        <f t="shared" ca="1" si="388"/>
        <v>Capital Needs Report Preparer</v>
      </c>
      <c r="D1340" t="str">
        <f t="shared" si="385"/>
        <v>B331</v>
      </c>
      <c r="E1340" t="str">
        <f t="shared" ca="1" si="389"/>
        <v/>
      </c>
      <c r="F1340" t="str">
        <f t="shared" ca="1" si="391"/>
        <v xml:space="preserve">Enter a Zip (first five #'s only) for 'Capital Needs Report Preparer' in cell B331.
</v>
      </c>
      <c r="G1340" s="9" t="str">
        <f t="shared" ca="1" si="39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0" t="b">
        <f>Calculations!$B$2</f>
        <v>0</v>
      </c>
      <c r="I1340" s="9"/>
      <c r="J1340" s="52" t="str">
        <f t="shared" ca="1" si="386"/>
        <v>Zip (first five #'s only)</v>
      </c>
      <c r="K1340" s="52">
        <v>5</v>
      </c>
    </row>
    <row r="1341" spans="1:11" ht="15" customHeight="1">
      <c r="A1341" t="str">
        <f t="shared" ca="1" si="387"/>
        <v/>
      </c>
      <c r="B1341" s="52">
        <f t="shared" si="375"/>
        <v>326</v>
      </c>
      <c r="C1341" t="str">
        <f t="shared" ca="1" si="388"/>
        <v>Capital Needs Report Preparer</v>
      </c>
      <c r="D1341" t="str">
        <f t="shared" si="385"/>
        <v>B332</v>
      </c>
      <c r="E1341" t="str">
        <f t="shared" ca="1" si="389"/>
        <v/>
      </c>
      <c r="F1341" t="str">
        <f t="shared" ca="1" si="391"/>
        <v xml:space="preserve">Enter a Contact First Name for 'Capital Needs Report Preparer' in cell B332.
</v>
      </c>
      <c r="G1341" s="9" t="str">
        <f t="shared" ca="1" si="39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1" t="b">
        <f>Calculations!$B$2</f>
        <v>0</v>
      </c>
      <c r="I1341" s="9"/>
      <c r="J1341" s="52" t="str">
        <f t="shared" ca="1" si="386"/>
        <v>Contact First Name</v>
      </c>
      <c r="K1341" s="52">
        <v>6</v>
      </c>
    </row>
    <row r="1342" spans="1:11" ht="15" customHeight="1">
      <c r="A1342" t="str">
        <f t="shared" ca="1" si="387"/>
        <v/>
      </c>
      <c r="B1342" s="52">
        <f t="shared" si="375"/>
        <v>326</v>
      </c>
      <c r="C1342" t="str">
        <f t="shared" ca="1" si="388"/>
        <v>Capital Needs Report Preparer</v>
      </c>
      <c r="D1342" t="str">
        <f t="shared" si="385"/>
        <v>B333</v>
      </c>
      <c r="E1342" t="str">
        <f t="shared" ca="1" si="389"/>
        <v/>
      </c>
      <c r="F1342" t="str">
        <f t="shared" ca="1" si="391"/>
        <v xml:space="preserve">Enter a Contact Last Name for 'Capital Needs Report Preparer' in cell B333.
</v>
      </c>
      <c r="G1342" s="9" t="str">
        <f t="shared" ca="1" si="39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2" t="b">
        <f>Calculations!$B$2</f>
        <v>0</v>
      </c>
      <c r="I1342" s="9"/>
      <c r="J1342" s="52" t="str">
        <f t="shared" ca="1" si="386"/>
        <v>Contact Last Name</v>
      </c>
      <c r="K1342" s="52">
        <v>7</v>
      </c>
    </row>
    <row r="1343" spans="1:11" ht="15" customHeight="1">
      <c r="A1343" t="str">
        <f t="shared" ca="1" si="387"/>
        <v/>
      </c>
      <c r="B1343" s="52">
        <f t="shared" si="375"/>
        <v>326</v>
      </c>
      <c r="C1343" t="str">
        <f t="shared" ca="1" si="388"/>
        <v>Capital Needs Report Preparer</v>
      </c>
      <c r="D1343" t="str">
        <f t="shared" si="385"/>
        <v>B334</v>
      </c>
      <c r="E1343" t="str">
        <f t="shared" ca="1" si="389"/>
        <v/>
      </c>
      <c r="F1343" t="str">
        <f t="shared" ca="1" si="391"/>
        <v xml:space="preserve">Enter a Phone (#'s only) for 'Capital Needs Report Preparer' in cell B334.
</v>
      </c>
      <c r="G1343" s="9" t="str">
        <f t="shared" ca="1" si="39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3" t="b">
        <f>Calculations!$B$2</f>
        <v>0</v>
      </c>
      <c r="I1343" s="9"/>
      <c r="J1343" s="52" t="str">
        <f t="shared" ca="1" si="386"/>
        <v>Phone (#'s only)</v>
      </c>
      <c r="K1343" s="52">
        <v>8</v>
      </c>
    </row>
    <row r="1344" spans="1:11" ht="15" customHeight="1">
      <c r="A1344" t="str">
        <f t="shared" ca="1" si="387"/>
        <v/>
      </c>
      <c r="B1344" s="52">
        <f t="shared" si="375"/>
        <v>326</v>
      </c>
      <c r="C1344" t="str">
        <f t="shared" ca="1" si="388"/>
        <v>Capital Needs Report Preparer</v>
      </c>
      <c r="D1344" t="str">
        <f t="shared" si="385"/>
        <v>B335</v>
      </c>
      <c r="E1344" t="str">
        <f t="shared" ca="1" si="389"/>
        <v/>
      </c>
      <c r="F1344" t="str">
        <f ca="1">CONCATENATE("Enter an "&amp; J1344 &amp;" for '", C1344, "' in cell ", D1344, ".", CHAR(10))</f>
        <v xml:space="preserve">Enter an Email for 'Capital Needs Report Preparer' in cell B335.
</v>
      </c>
      <c r="G1344" s="9" t="str">
        <f t="shared" ca="1" si="39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4" t="b">
        <f>Calculations!$B$2</f>
        <v>0</v>
      </c>
      <c r="I1344" s="9"/>
      <c r="J1344" s="52" t="str">
        <f t="shared" ca="1" si="386"/>
        <v>Email</v>
      </c>
      <c r="K1344" s="52">
        <v>9</v>
      </c>
    </row>
    <row r="1345" spans="1:11" ht="15" customHeight="1">
      <c r="A1345" t="str">
        <f t="shared" ca="1" si="387"/>
        <v/>
      </c>
      <c r="B1345">
        <f>ROW('Contact Information'!B337)</f>
        <v>337</v>
      </c>
      <c r="C1345" t="str">
        <f t="shared" ref="C1345:C1353" ca="1" si="392">INDIRECT($F$1101 &amp; ADDRESS(B1345, 1,4  ))</f>
        <v>Green Consultant</v>
      </c>
      <c r="D1345" t="str">
        <f t="shared" si="385"/>
        <v>B338</v>
      </c>
      <c r="E1345" t="str">
        <f t="shared" ref="E1345:E1353" ca="1" si="393">IF(ISBLANK( INDIRECT($F$1101 &amp; D1345)),"", INDIRECT($F$1101 &amp; D1345))</f>
        <v/>
      </c>
      <c r="F1345" t="str">
        <f ca="1">CONCATENATE("Enter a "&amp; J1345 &amp;" for '", C1345, "' in cell ", D1345, ".", CHAR(10))</f>
        <v xml:space="preserve">Enter a Organization for 'Green Consultant' in cell B338.
</v>
      </c>
      <c r="G1345" s="9" t="str">
        <f t="shared" ref="G1345:G1353" ca="1" si="394">OFFSET(G1345, -1, 0) &amp; A1345</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5" t="b">
        <f>Calculations!$B$2</f>
        <v>0</v>
      </c>
      <c r="I1345" s="9"/>
      <c r="J1345" s="52" t="str">
        <f t="shared" ca="1" si="386"/>
        <v>Organization</v>
      </c>
      <c r="K1345" s="52">
        <v>1</v>
      </c>
    </row>
    <row r="1346" spans="1:11" ht="15" customHeight="1">
      <c r="A1346" t="str">
        <f t="shared" ca="1" si="387"/>
        <v/>
      </c>
      <c r="B1346" s="52">
        <f t="shared" si="375"/>
        <v>337</v>
      </c>
      <c r="C1346" t="str">
        <f t="shared" ca="1" si="392"/>
        <v>Green Consultant</v>
      </c>
      <c r="D1346" t="str">
        <f t="shared" si="385"/>
        <v>B339</v>
      </c>
      <c r="E1346" t="str">
        <f t="shared" ca="1" si="393"/>
        <v/>
      </c>
      <c r="F1346" t="str">
        <f ca="1">CONCATENATE("Enter an "&amp; J1346 &amp;" for '", C1346, "' in cell ", D1346, ".", CHAR(10))</f>
        <v xml:space="preserve">Enter an Address for 'Green Consultant' in cell B339.
</v>
      </c>
      <c r="G1346" s="9" t="str">
        <f t="shared" ca="1" si="39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6" t="b">
        <f>Calculations!$B$2</f>
        <v>0</v>
      </c>
      <c r="I1346" s="9"/>
      <c r="J1346" s="52" t="str">
        <f t="shared" ca="1" si="386"/>
        <v>Address</v>
      </c>
      <c r="K1346" s="52">
        <v>2</v>
      </c>
    </row>
    <row r="1347" spans="1:11" ht="15" customHeight="1">
      <c r="A1347" t="str">
        <f t="shared" ca="1" si="387"/>
        <v/>
      </c>
      <c r="B1347" s="52">
        <f t="shared" si="375"/>
        <v>337</v>
      </c>
      <c r="C1347" t="str">
        <f t="shared" ca="1" si="392"/>
        <v>Green Consultant</v>
      </c>
      <c r="D1347" t="str">
        <f t="shared" si="385"/>
        <v>B340</v>
      </c>
      <c r="E1347" t="str">
        <f t="shared" ca="1" si="393"/>
        <v/>
      </c>
      <c r="F1347" t="str">
        <f t="shared" ref="F1347:F1352" ca="1" si="395">CONCATENATE("Enter a "&amp; J1347 &amp;" for '", C1347, "' in cell ", D1347, ".", CHAR(10))</f>
        <v xml:space="preserve">Enter a City  for 'Green Consultant' in cell B340.
</v>
      </c>
      <c r="G1347" s="9" t="str">
        <f t="shared" ca="1" si="39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7" t="b">
        <f>Calculations!$B$2</f>
        <v>0</v>
      </c>
      <c r="I1347" s="9"/>
      <c r="J1347" s="52" t="str">
        <f t="shared" ca="1" si="386"/>
        <v xml:space="preserve">City </v>
      </c>
      <c r="K1347" s="52">
        <v>3</v>
      </c>
    </row>
    <row r="1348" spans="1:11" ht="15" customHeight="1">
      <c r="A1348" t="str">
        <f t="shared" ca="1" si="387"/>
        <v/>
      </c>
      <c r="B1348" s="52">
        <f t="shared" si="375"/>
        <v>337</v>
      </c>
      <c r="C1348" t="str">
        <f t="shared" ca="1" si="392"/>
        <v>Green Consultant</v>
      </c>
      <c r="D1348" t="str">
        <f t="shared" si="385"/>
        <v>B341</v>
      </c>
      <c r="E1348" t="str">
        <f t="shared" ca="1" si="393"/>
        <v/>
      </c>
      <c r="F1348" t="str">
        <f t="shared" ca="1" si="395"/>
        <v xml:space="preserve">Enter a State for 'Green Consultant' in cell B341.
</v>
      </c>
      <c r="G1348" s="9" t="str">
        <f t="shared" ca="1" si="39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8" t="b">
        <f>Calculations!$B$2</f>
        <v>0</v>
      </c>
      <c r="I1348" s="9"/>
      <c r="J1348" s="52" t="str">
        <f t="shared" ca="1" si="386"/>
        <v>State</v>
      </c>
      <c r="K1348" s="52">
        <v>4</v>
      </c>
    </row>
    <row r="1349" spans="1:11" ht="15" customHeight="1">
      <c r="A1349" t="str">
        <f t="shared" ca="1" si="387"/>
        <v/>
      </c>
      <c r="B1349" s="52">
        <f t="shared" si="375"/>
        <v>337</v>
      </c>
      <c r="C1349" t="str">
        <f t="shared" ca="1" si="392"/>
        <v>Green Consultant</v>
      </c>
      <c r="D1349" t="str">
        <f t="shared" si="385"/>
        <v>B342</v>
      </c>
      <c r="E1349" t="str">
        <f t="shared" ca="1" si="393"/>
        <v/>
      </c>
      <c r="F1349" t="str">
        <f t="shared" ca="1" si="395"/>
        <v xml:space="preserve">Enter a Zip (first five #'s only) for 'Green Consultant' in cell B342.
</v>
      </c>
      <c r="G1349" s="9" t="str">
        <f t="shared" ca="1" si="39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9" t="b">
        <f>Calculations!$B$2</f>
        <v>0</v>
      </c>
      <c r="I1349" s="9"/>
      <c r="J1349" s="52" t="str">
        <f t="shared" ca="1" si="386"/>
        <v>Zip (first five #'s only)</v>
      </c>
      <c r="K1349" s="52">
        <v>5</v>
      </c>
    </row>
    <row r="1350" spans="1:11" ht="15" customHeight="1">
      <c r="A1350" t="str">
        <f t="shared" ca="1" si="387"/>
        <v/>
      </c>
      <c r="B1350" s="52">
        <f t="shared" si="375"/>
        <v>337</v>
      </c>
      <c r="C1350" t="str">
        <f t="shared" ca="1" si="392"/>
        <v>Green Consultant</v>
      </c>
      <c r="D1350" t="str">
        <f t="shared" si="385"/>
        <v>B343</v>
      </c>
      <c r="E1350" t="str">
        <f t="shared" ca="1" si="393"/>
        <v/>
      </c>
      <c r="F1350" t="str">
        <f t="shared" ca="1" si="395"/>
        <v xml:space="preserve">Enter a Contact First Name for 'Green Consultant' in cell B343.
</v>
      </c>
      <c r="G1350" s="9" t="str">
        <f t="shared" ca="1" si="39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0" t="b">
        <f>Calculations!$B$2</f>
        <v>0</v>
      </c>
      <c r="I1350" s="9"/>
      <c r="J1350" s="52" t="str">
        <f t="shared" ca="1" si="386"/>
        <v>Contact First Name</v>
      </c>
      <c r="K1350" s="52">
        <v>6</v>
      </c>
    </row>
    <row r="1351" spans="1:11" ht="15" customHeight="1">
      <c r="A1351" t="str">
        <f t="shared" ca="1" si="387"/>
        <v/>
      </c>
      <c r="B1351" s="52">
        <f t="shared" si="375"/>
        <v>337</v>
      </c>
      <c r="C1351" t="str">
        <f t="shared" ca="1" si="392"/>
        <v>Green Consultant</v>
      </c>
      <c r="D1351" t="str">
        <f t="shared" si="385"/>
        <v>B344</v>
      </c>
      <c r="E1351" t="str">
        <f t="shared" ca="1" si="393"/>
        <v/>
      </c>
      <c r="F1351" t="str">
        <f t="shared" ca="1" si="395"/>
        <v xml:space="preserve">Enter a Contact Last Name for 'Green Consultant' in cell B344.
</v>
      </c>
      <c r="G1351" s="9" t="str">
        <f t="shared" ca="1" si="39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1" t="b">
        <f>Calculations!$B$2</f>
        <v>0</v>
      </c>
      <c r="I1351" s="9"/>
      <c r="J1351" s="52" t="str">
        <f t="shared" ca="1" si="386"/>
        <v>Contact Last Name</v>
      </c>
      <c r="K1351" s="52">
        <v>7</v>
      </c>
    </row>
    <row r="1352" spans="1:11" ht="15" customHeight="1">
      <c r="A1352" t="str">
        <f t="shared" ca="1" si="387"/>
        <v/>
      </c>
      <c r="B1352" s="52">
        <f t="shared" si="375"/>
        <v>337</v>
      </c>
      <c r="C1352" t="str">
        <f t="shared" ca="1" si="392"/>
        <v>Green Consultant</v>
      </c>
      <c r="D1352" t="str">
        <f t="shared" si="385"/>
        <v>B345</v>
      </c>
      <c r="E1352" t="str">
        <f t="shared" ca="1" si="393"/>
        <v/>
      </c>
      <c r="F1352" t="str">
        <f t="shared" ca="1" si="395"/>
        <v xml:space="preserve">Enter a Phone (#'s only) for 'Green Consultant' in cell B345.
</v>
      </c>
      <c r="G1352" s="9" t="str">
        <f t="shared" ca="1" si="39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2" t="b">
        <f>Calculations!$B$2</f>
        <v>0</v>
      </c>
      <c r="I1352" s="9"/>
      <c r="J1352" s="52" t="str">
        <f t="shared" ca="1" si="386"/>
        <v>Phone (#'s only)</v>
      </c>
      <c r="K1352" s="52">
        <v>8</v>
      </c>
    </row>
    <row r="1353" spans="1:11" ht="15" customHeight="1">
      <c r="A1353" t="str">
        <f t="shared" ca="1" si="387"/>
        <v/>
      </c>
      <c r="B1353" s="52">
        <f t="shared" si="375"/>
        <v>337</v>
      </c>
      <c r="C1353" t="str">
        <f t="shared" ca="1" si="392"/>
        <v>Green Consultant</v>
      </c>
      <c r="D1353" t="str">
        <f t="shared" si="385"/>
        <v>B346</v>
      </c>
      <c r="E1353" t="str">
        <f t="shared" ca="1" si="393"/>
        <v/>
      </c>
      <c r="F1353" t="str">
        <f ca="1">CONCATENATE("Enter an "&amp; J1353 &amp;" for '", C1353, "' in cell ", D1353, ".", CHAR(10))</f>
        <v xml:space="preserve">Enter an Email for 'Green Consultant' in cell B346.
</v>
      </c>
      <c r="G1353" s="9" t="str">
        <f t="shared" ca="1" si="39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3" t="b">
        <f>Calculations!$B$2</f>
        <v>0</v>
      </c>
      <c r="I1353" s="9"/>
      <c r="J1353" s="52" t="str">
        <f t="shared" ca="1" si="386"/>
        <v>Email</v>
      </c>
      <c r="K1353" s="52">
        <v>9</v>
      </c>
    </row>
    <row r="1354" spans="1:11" ht="15" customHeight="1">
      <c r="A1354" t="str">
        <f t="shared" ca="1" si="387"/>
        <v/>
      </c>
      <c r="B1354">
        <f>ROW('Contact Information'!B348)</f>
        <v>348</v>
      </c>
      <c r="C1354" t="str">
        <f t="shared" ref="C1354:C1362" ca="1" si="396">INDIRECT($F$1101 &amp; ADDRESS(B1354, 1,4  ))</f>
        <v>Bond Purchaser</v>
      </c>
      <c r="D1354" t="str">
        <f t="shared" si="385"/>
        <v>B349</v>
      </c>
      <c r="E1354" t="str">
        <f t="shared" ref="E1354:E1362" ca="1" si="397">IF(ISBLANK( INDIRECT($F$1101 &amp; D1354)),"", INDIRECT($F$1101 &amp; D1354))</f>
        <v/>
      </c>
      <c r="F1354" t="str">
        <f ca="1">CONCATENATE("Enter a "&amp; J1354 &amp;" for '", C1354, "' in cell ", D1354, ".", CHAR(10))</f>
        <v xml:space="preserve">Enter a Organization for 'Bond Purchaser' in cell B349.
</v>
      </c>
      <c r="G1354" s="9" t="str">
        <f t="shared" ref="G1354:G1362" ca="1" si="398">OFFSET(G1354, -1, 0) &amp; A1354</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4" t="b">
        <f>TRUE</f>
        <v>1</v>
      </c>
      <c r="I1354" s="9"/>
      <c r="J1354" s="52" t="str">
        <f t="shared" ca="1" si="386"/>
        <v>Organization</v>
      </c>
      <c r="K1354" s="52">
        <v>1</v>
      </c>
    </row>
    <row r="1355" spans="1:11" ht="15" customHeight="1">
      <c r="A1355" t="str">
        <f t="shared" ca="1" si="387"/>
        <v/>
      </c>
      <c r="B1355" s="52">
        <f t="shared" si="375"/>
        <v>348</v>
      </c>
      <c r="C1355" t="str">
        <f t="shared" ca="1" si="396"/>
        <v>Bond Purchaser</v>
      </c>
      <c r="D1355" t="str">
        <f t="shared" si="385"/>
        <v>B350</v>
      </c>
      <c r="E1355" t="str">
        <f t="shared" ca="1" si="397"/>
        <v/>
      </c>
      <c r="F1355" t="str">
        <f ca="1">CONCATENATE("Enter an "&amp; J1355 &amp;" for '", C1355, "' in cell ", D1355, ".", CHAR(10))</f>
        <v xml:space="preserve">Enter an Address for 'Bond Purchaser' in cell B350.
</v>
      </c>
      <c r="G1355" s="9" t="str">
        <f t="shared" ca="1" si="39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5" t="b">
        <f>TRUE</f>
        <v>1</v>
      </c>
      <c r="I1355" s="9"/>
      <c r="J1355" s="52" t="str">
        <f t="shared" ca="1" si="386"/>
        <v>Address</v>
      </c>
      <c r="K1355" s="52">
        <v>2</v>
      </c>
    </row>
    <row r="1356" spans="1:11" ht="15" customHeight="1">
      <c r="A1356" t="str">
        <f t="shared" ca="1" si="387"/>
        <v/>
      </c>
      <c r="B1356" s="52">
        <f t="shared" si="375"/>
        <v>348</v>
      </c>
      <c r="C1356" t="str">
        <f t="shared" ca="1" si="396"/>
        <v>Bond Purchaser</v>
      </c>
      <c r="D1356" t="str">
        <f t="shared" si="385"/>
        <v>B351</v>
      </c>
      <c r="E1356" t="str">
        <f t="shared" ca="1" si="397"/>
        <v/>
      </c>
      <c r="F1356" t="str">
        <f t="shared" ref="F1356:F1361" ca="1" si="399">CONCATENATE("Enter a "&amp; J1356 &amp;" for '", C1356, "' in cell ", D1356, ".", CHAR(10))</f>
        <v xml:space="preserve">Enter a City  for 'Bond Purchaser' in cell B351.
</v>
      </c>
      <c r="G1356" s="9" t="str">
        <f t="shared" ca="1" si="39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6" t="b">
        <f>TRUE</f>
        <v>1</v>
      </c>
      <c r="I1356" s="9"/>
      <c r="J1356" s="52" t="str">
        <f t="shared" ca="1" si="386"/>
        <v xml:space="preserve">City </v>
      </c>
      <c r="K1356" s="52">
        <v>3</v>
      </c>
    </row>
    <row r="1357" spans="1:11" ht="15" customHeight="1">
      <c r="A1357" t="str">
        <f t="shared" ca="1" si="387"/>
        <v/>
      </c>
      <c r="B1357" s="52">
        <f t="shared" si="375"/>
        <v>348</v>
      </c>
      <c r="C1357" t="str">
        <f t="shared" ca="1" si="396"/>
        <v>Bond Purchaser</v>
      </c>
      <c r="D1357" t="str">
        <f t="shared" si="385"/>
        <v>B352</v>
      </c>
      <c r="E1357" t="str">
        <f t="shared" ca="1" si="397"/>
        <v/>
      </c>
      <c r="F1357" t="str">
        <f t="shared" ca="1" si="399"/>
        <v xml:space="preserve">Enter a State for 'Bond Purchaser' in cell B352.
</v>
      </c>
      <c r="G1357" s="9" t="str">
        <f t="shared" ca="1" si="39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7" t="b">
        <f>TRUE</f>
        <v>1</v>
      </c>
      <c r="I1357" s="9"/>
      <c r="J1357" s="52" t="str">
        <f t="shared" ca="1" si="386"/>
        <v>State</v>
      </c>
      <c r="K1357" s="52">
        <v>4</v>
      </c>
    </row>
    <row r="1358" spans="1:11" ht="15" customHeight="1">
      <c r="A1358" t="str">
        <f t="shared" ca="1" si="387"/>
        <v/>
      </c>
      <c r="B1358" s="52">
        <f t="shared" si="375"/>
        <v>348</v>
      </c>
      <c r="C1358" t="str">
        <f t="shared" ca="1" si="396"/>
        <v>Bond Purchaser</v>
      </c>
      <c r="D1358" t="str">
        <f t="shared" si="385"/>
        <v>B353</v>
      </c>
      <c r="E1358" t="str">
        <f t="shared" ca="1" si="397"/>
        <v/>
      </c>
      <c r="F1358" t="str">
        <f t="shared" ca="1" si="399"/>
        <v xml:space="preserve">Enter a Zip (first five #'s only) for 'Bond Purchaser' in cell B353.
</v>
      </c>
      <c r="G1358" s="9" t="str">
        <f t="shared" ca="1" si="39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8" t="b">
        <f>TRUE</f>
        <v>1</v>
      </c>
      <c r="I1358" s="9"/>
      <c r="J1358" s="52" t="str">
        <f t="shared" ca="1" si="386"/>
        <v>Zip (first five #'s only)</v>
      </c>
      <c r="K1358" s="52">
        <v>5</v>
      </c>
    </row>
    <row r="1359" spans="1:11" ht="15" customHeight="1">
      <c r="A1359" t="str">
        <f t="shared" ca="1" si="387"/>
        <v/>
      </c>
      <c r="B1359" s="52">
        <f t="shared" si="375"/>
        <v>348</v>
      </c>
      <c r="C1359" t="str">
        <f t="shared" ca="1" si="396"/>
        <v>Bond Purchaser</v>
      </c>
      <c r="D1359" t="str">
        <f t="shared" si="385"/>
        <v>B354</v>
      </c>
      <c r="E1359" t="str">
        <f t="shared" ca="1" si="397"/>
        <v/>
      </c>
      <c r="F1359" t="str">
        <f t="shared" ca="1" si="399"/>
        <v xml:space="preserve">Enter a Contact First Name for 'Bond Purchaser' in cell B354.
</v>
      </c>
      <c r="G1359" s="9" t="str">
        <f t="shared" ca="1" si="39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9" t="b">
        <f>TRUE</f>
        <v>1</v>
      </c>
      <c r="I1359" s="9"/>
      <c r="J1359" s="52" t="str">
        <f t="shared" ca="1" si="386"/>
        <v>Contact First Name</v>
      </c>
      <c r="K1359" s="52">
        <v>6</v>
      </c>
    </row>
    <row r="1360" spans="1:11" ht="15" customHeight="1">
      <c r="A1360" t="str">
        <f t="shared" ca="1" si="387"/>
        <v/>
      </c>
      <c r="B1360" s="52">
        <f t="shared" si="375"/>
        <v>348</v>
      </c>
      <c r="C1360" t="str">
        <f t="shared" ca="1" si="396"/>
        <v>Bond Purchaser</v>
      </c>
      <c r="D1360" t="str">
        <f t="shared" si="385"/>
        <v>B355</v>
      </c>
      <c r="E1360" t="str">
        <f t="shared" ca="1" si="397"/>
        <v/>
      </c>
      <c r="F1360" t="str">
        <f t="shared" ca="1" si="399"/>
        <v xml:space="preserve">Enter a Contact Last Name for 'Bond Purchaser' in cell B355.
</v>
      </c>
      <c r="G1360" s="9" t="str">
        <f t="shared" ca="1" si="39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0" t="b">
        <f>TRUE</f>
        <v>1</v>
      </c>
      <c r="I1360" s="9"/>
      <c r="J1360" s="52" t="str">
        <f t="shared" ca="1" si="386"/>
        <v>Contact Last Name</v>
      </c>
      <c r="K1360" s="52">
        <v>7</v>
      </c>
    </row>
    <row r="1361" spans="1:11" ht="15" customHeight="1">
      <c r="A1361" t="str">
        <f t="shared" ca="1" si="387"/>
        <v/>
      </c>
      <c r="B1361" s="52">
        <f t="shared" si="375"/>
        <v>348</v>
      </c>
      <c r="C1361" t="str">
        <f t="shared" ca="1" si="396"/>
        <v>Bond Purchaser</v>
      </c>
      <c r="D1361" t="str">
        <f t="shared" si="385"/>
        <v>B356</v>
      </c>
      <c r="E1361" t="str">
        <f t="shared" ca="1" si="397"/>
        <v/>
      </c>
      <c r="F1361" t="str">
        <f t="shared" ca="1" si="399"/>
        <v xml:space="preserve">Enter a Phone (#'s only) for 'Bond Purchaser' in cell B356.
</v>
      </c>
      <c r="G1361" s="9" t="str">
        <f t="shared" ca="1" si="39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1" t="b">
        <f>TRUE</f>
        <v>1</v>
      </c>
      <c r="I1361" s="9"/>
      <c r="J1361" s="52" t="str">
        <f t="shared" ca="1" si="386"/>
        <v>Phone (#'s only)</v>
      </c>
      <c r="K1361" s="52">
        <v>8</v>
      </c>
    </row>
    <row r="1362" spans="1:11" ht="15" customHeight="1">
      <c r="A1362" t="str">
        <f t="shared" ca="1" si="387"/>
        <v/>
      </c>
      <c r="B1362" s="52">
        <f t="shared" si="375"/>
        <v>348</v>
      </c>
      <c r="C1362" t="str">
        <f t="shared" ca="1" si="396"/>
        <v>Bond Purchaser</v>
      </c>
      <c r="D1362" t="str">
        <f t="shared" si="385"/>
        <v>B357</v>
      </c>
      <c r="E1362" t="str">
        <f t="shared" ca="1" si="397"/>
        <v/>
      </c>
      <c r="F1362" t="str">
        <f ca="1">CONCATENATE("Enter an "&amp; J1362 &amp;" for '", C1362, "' in cell ", D1362, ".", CHAR(10))</f>
        <v xml:space="preserve">Enter an Email for 'Bond Purchaser' in cell B357.
</v>
      </c>
      <c r="G1362" s="9" t="str">
        <f t="shared" ca="1" si="39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2" t="b">
        <f>TRUE</f>
        <v>1</v>
      </c>
      <c r="I1362" s="9"/>
      <c r="J1362" s="52" t="str">
        <f t="shared" ca="1" si="386"/>
        <v>Email</v>
      </c>
      <c r="K1362" s="52">
        <v>9</v>
      </c>
    </row>
    <row r="1363" spans="1:11" ht="15" customHeight="1">
      <c r="A1363" t="str">
        <f t="shared" ca="1" si="387"/>
        <v/>
      </c>
      <c r="B1363" s="52">
        <f t="shared" si="375"/>
        <v>348</v>
      </c>
      <c r="C1363" t="str">
        <f t="shared" ref="C1363" ca="1" si="400">INDIRECT($F$1101 &amp; ADDRESS(B1363, 1,4  ))</f>
        <v>Bond Purchaser</v>
      </c>
      <c r="D1363" t="str">
        <f t="shared" ref="D1363" si="401">ADDRESS(B1363+K1363, 2,4  )</f>
        <v>B358</v>
      </c>
      <c r="E1363" t="str">
        <f t="shared" ref="E1363" ca="1" si="402">IF(ISBLANK( INDIRECT($F$1101 &amp; D1363)),"", INDIRECT($F$1101 &amp; D1363))</f>
        <v/>
      </c>
      <c r="F1363" t="str">
        <f ca="1">CONCATENATE("Enter a "&amp; J1363 &amp;" for '", C1363, "' in cell ", D1363, ".", CHAR(10))</f>
        <v xml:space="preserve">Enter a Bonds are Public or Private Placement for 'Bond Purchaser' in cell B358.
</v>
      </c>
      <c r="G1363" s="9" t="str">
        <f t="shared" ref="G1363" ca="1" si="403">OFFSET(G1363, -1, 0) &amp; A1363</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3" t="b">
        <f>TRUE</f>
        <v>1</v>
      </c>
      <c r="I1363" s="9"/>
      <c r="J1363" s="52" t="str">
        <f t="shared" ref="J1363" ca="1" si="404">INDIRECT($F$1101 &amp; ADDRESS(B1363+K1363, 1,4))</f>
        <v>Bonds are Public or Private Placement</v>
      </c>
      <c r="K1363" s="52">
        <v>10</v>
      </c>
    </row>
    <row r="1364" spans="1:11" ht="15" customHeight="1">
      <c r="A1364" t="str">
        <f t="shared" ca="1" si="387"/>
        <v/>
      </c>
      <c r="B1364">
        <f>ROW('Contact Information'!B360)</f>
        <v>360</v>
      </c>
      <c r="C1364" t="str">
        <f t="shared" ca="1" si="366"/>
        <v>Bond Issuer (if not CHFA)</v>
      </c>
      <c r="D1364" t="str">
        <f t="shared" si="385"/>
        <v>B361</v>
      </c>
      <c r="E1364" t="str">
        <f t="shared" ca="1" si="367"/>
        <v/>
      </c>
      <c r="F1364" t="str">
        <f ca="1">CONCATENATE("Enter a "&amp; J1364 &amp;" for '", C1364, "' in cell ", D1364, ".", CHAR(10))</f>
        <v xml:space="preserve">Enter a Organization for 'Bond Issuer (if not CHFA)' in cell B361.
</v>
      </c>
      <c r="G1364"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4" t="b">
        <f>TRUE</f>
        <v>1</v>
      </c>
      <c r="I1364" s="9"/>
      <c r="J1364" s="52" t="str">
        <f t="shared" ca="1" si="386"/>
        <v>Organization</v>
      </c>
      <c r="K1364" s="52">
        <v>1</v>
      </c>
    </row>
    <row r="1365" spans="1:11" ht="15" customHeight="1">
      <c r="A1365" t="str">
        <f t="shared" ca="1" si="387"/>
        <v/>
      </c>
      <c r="B1365" s="52">
        <f t="shared" ref="B1365:B1372" si="405">B1364</f>
        <v>360</v>
      </c>
      <c r="C1365" t="str">
        <f t="shared" ca="1" si="366"/>
        <v>Bond Issuer (if not CHFA)</v>
      </c>
      <c r="D1365" t="str">
        <f t="shared" si="385"/>
        <v>B362</v>
      </c>
      <c r="E1365" t="str">
        <f t="shared" ca="1" si="367"/>
        <v/>
      </c>
      <c r="F1365" t="str">
        <f ca="1">CONCATENATE("Enter an "&amp; J1365 &amp;" for '", C1365, "' in cell ", D1365, ".", CHAR(10))</f>
        <v xml:space="preserve">Enter an Address for 'Bond Issuer (if not CHFA)' in cell B362.
</v>
      </c>
      <c r="G1365"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5" t="b">
        <f>TRUE</f>
        <v>1</v>
      </c>
      <c r="I1365" s="9"/>
      <c r="J1365" s="52" t="str">
        <f t="shared" ca="1" si="386"/>
        <v>Address</v>
      </c>
      <c r="K1365" s="52">
        <v>2</v>
      </c>
    </row>
    <row r="1366" spans="1:11" ht="15" customHeight="1">
      <c r="A1366" t="str">
        <f t="shared" ca="1" si="387"/>
        <v/>
      </c>
      <c r="B1366" s="52">
        <f t="shared" si="405"/>
        <v>360</v>
      </c>
      <c r="C1366" t="str">
        <f t="shared" ca="1" si="366"/>
        <v>Bond Issuer (if not CHFA)</v>
      </c>
      <c r="D1366" t="str">
        <f t="shared" si="385"/>
        <v>B363</v>
      </c>
      <c r="E1366" t="str">
        <f t="shared" ca="1" si="367"/>
        <v/>
      </c>
      <c r="F1366" t="str">
        <f t="shared" ref="F1366:F1371" ca="1" si="406">CONCATENATE("Enter a "&amp; J1366 &amp;" for '", C1366, "' in cell ", D1366, ".", CHAR(10))</f>
        <v xml:space="preserve">Enter a City  for 'Bond Issuer (if not CHFA)' in cell B363.
</v>
      </c>
      <c r="G1366"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6" t="b">
        <f>TRUE</f>
        <v>1</v>
      </c>
      <c r="I1366" s="9"/>
      <c r="J1366" s="52" t="str">
        <f t="shared" ca="1" si="386"/>
        <v xml:space="preserve">City </v>
      </c>
      <c r="K1366" s="52">
        <v>3</v>
      </c>
    </row>
    <row r="1367" spans="1:11" ht="15" customHeight="1">
      <c r="A1367" t="str">
        <f t="shared" ca="1" si="387"/>
        <v/>
      </c>
      <c r="B1367" s="52">
        <f t="shared" si="405"/>
        <v>360</v>
      </c>
      <c r="C1367" t="str">
        <f t="shared" ca="1" si="366"/>
        <v>Bond Issuer (if not CHFA)</v>
      </c>
      <c r="D1367" t="str">
        <f t="shared" si="385"/>
        <v>B364</v>
      </c>
      <c r="E1367" t="str">
        <f t="shared" ca="1" si="367"/>
        <v/>
      </c>
      <c r="F1367" t="str">
        <f t="shared" ca="1" si="406"/>
        <v xml:space="preserve">Enter a State for 'Bond Issuer (if not CHFA)' in cell B364.
</v>
      </c>
      <c r="G1367"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7" t="b">
        <f>TRUE</f>
        <v>1</v>
      </c>
      <c r="I1367" s="9"/>
      <c r="J1367" s="52" t="str">
        <f t="shared" ca="1" si="386"/>
        <v>State</v>
      </c>
      <c r="K1367" s="52">
        <v>4</v>
      </c>
    </row>
    <row r="1368" spans="1:11" ht="15" customHeight="1">
      <c r="A1368" t="str">
        <f t="shared" ca="1" si="387"/>
        <v/>
      </c>
      <c r="B1368" s="52">
        <f t="shared" si="405"/>
        <v>360</v>
      </c>
      <c r="C1368" t="str">
        <f t="shared" ca="1" si="366"/>
        <v>Bond Issuer (if not CHFA)</v>
      </c>
      <c r="D1368" t="str">
        <f t="shared" si="385"/>
        <v>B365</v>
      </c>
      <c r="E1368" t="str">
        <f t="shared" ca="1" si="367"/>
        <v/>
      </c>
      <c r="F1368" t="str">
        <f t="shared" ca="1" si="406"/>
        <v xml:space="preserve">Enter a Zip (first five #'s only) for 'Bond Issuer (if not CHFA)' in cell B365.
</v>
      </c>
      <c r="G1368"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8" t="b">
        <f>TRUE</f>
        <v>1</v>
      </c>
      <c r="I1368" s="9"/>
      <c r="J1368" s="52" t="str">
        <f t="shared" ca="1" si="386"/>
        <v>Zip (first five #'s only)</v>
      </c>
      <c r="K1368" s="52">
        <v>5</v>
      </c>
    </row>
    <row r="1369" spans="1:11" ht="15" customHeight="1">
      <c r="A1369" t="str">
        <f t="shared" ca="1" si="387"/>
        <v/>
      </c>
      <c r="B1369" s="52">
        <f t="shared" si="405"/>
        <v>360</v>
      </c>
      <c r="C1369" t="str">
        <f t="shared" ca="1" si="366"/>
        <v>Bond Issuer (if not CHFA)</v>
      </c>
      <c r="D1369" t="str">
        <f t="shared" si="385"/>
        <v>B366</v>
      </c>
      <c r="E1369" t="str">
        <f t="shared" ca="1" si="367"/>
        <v/>
      </c>
      <c r="F1369" t="str">
        <f t="shared" ca="1" si="406"/>
        <v xml:space="preserve">Enter a Contact First Name for 'Bond Issuer (if not CHFA)' in cell B366.
</v>
      </c>
      <c r="G1369"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9" t="b">
        <f>TRUE</f>
        <v>1</v>
      </c>
      <c r="I1369" s="9"/>
      <c r="J1369" s="52" t="str">
        <f t="shared" ca="1" si="386"/>
        <v>Contact First Name</v>
      </c>
      <c r="K1369" s="52">
        <v>6</v>
      </c>
    </row>
    <row r="1370" spans="1:11" ht="15" customHeight="1">
      <c r="A1370" t="str">
        <f t="shared" ca="1" si="387"/>
        <v/>
      </c>
      <c r="B1370" s="52">
        <f t="shared" si="405"/>
        <v>360</v>
      </c>
      <c r="C1370" t="str">
        <f t="shared" ca="1" si="366"/>
        <v>Bond Issuer (if not CHFA)</v>
      </c>
      <c r="D1370" t="str">
        <f t="shared" si="385"/>
        <v>B367</v>
      </c>
      <c r="E1370" t="str">
        <f t="shared" ca="1" si="367"/>
        <v/>
      </c>
      <c r="F1370" t="str">
        <f t="shared" ca="1" si="406"/>
        <v xml:space="preserve">Enter a Contact Last Name for 'Bond Issuer (if not CHFA)' in cell B367.
</v>
      </c>
      <c r="G1370"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0" t="b">
        <f>TRUE</f>
        <v>1</v>
      </c>
      <c r="I1370" s="9"/>
      <c r="J1370" s="52" t="str">
        <f t="shared" ca="1" si="386"/>
        <v>Contact Last Name</v>
      </c>
      <c r="K1370" s="52">
        <v>7</v>
      </c>
    </row>
    <row r="1371" spans="1:11" ht="15" customHeight="1">
      <c r="A1371" t="str">
        <f t="shared" ca="1" si="387"/>
        <v/>
      </c>
      <c r="B1371" s="52">
        <f t="shared" si="405"/>
        <v>360</v>
      </c>
      <c r="C1371" t="str">
        <f t="shared" ref="C1371:C1409" ca="1" si="407">INDIRECT($F$1101 &amp; ADDRESS(B1371, 1,4  ))</f>
        <v>Bond Issuer (if not CHFA)</v>
      </c>
      <c r="D1371" t="str">
        <f t="shared" si="385"/>
        <v>B368</v>
      </c>
      <c r="E1371" t="str">
        <f t="shared" ref="E1371:E1399" ca="1" si="408">IF(ISBLANK( INDIRECT($F$1101 &amp; D1371)),"", INDIRECT($F$1101 &amp; D1371))</f>
        <v/>
      </c>
      <c r="F1371" t="str">
        <f t="shared" ca="1" si="406"/>
        <v xml:space="preserve">Enter a Phone (#'s only) for 'Bond Issuer (if not CHFA)' in cell B368.
</v>
      </c>
      <c r="G1371"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1" t="b">
        <f>TRUE</f>
        <v>1</v>
      </c>
      <c r="I1371" s="9"/>
      <c r="J1371" s="52" t="str">
        <f t="shared" ca="1" si="386"/>
        <v>Phone (#'s only)</v>
      </c>
      <c r="K1371" s="52">
        <v>8</v>
      </c>
    </row>
    <row r="1372" spans="1:11" ht="15" customHeight="1">
      <c r="A1372" t="str">
        <f t="shared" ca="1" si="387"/>
        <v/>
      </c>
      <c r="B1372" s="52">
        <f t="shared" si="405"/>
        <v>360</v>
      </c>
      <c r="C1372" t="str">
        <f t="shared" ca="1" si="407"/>
        <v>Bond Issuer (if not CHFA)</v>
      </c>
      <c r="D1372" t="str">
        <f t="shared" si="385"/>
        <v>B369</v>
      </c>
      <c r="E1372" t="str">
        <f t="shared" ca="1" si="408"/>
        <v/>
      </c>
      <c r="F1372" t="str">
        <f ca="1">CONCATENATE("Enter an "&amp; J1372 &amp;" for '", C1372, "' in cell ", D1372, ".", CHAR(10))</f>
        <v xml:space="preserve">Enter an Email for 'Bond Issuer (if not CHFA)' in cell B369.
</v>
      </c>
      <c r="G1372" s="9" t="str">
        <f t="shared" ref="G1372:G1483" ca="1" si="409">OFFSET(G1372, -1, 0) &amp; A1372</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2" t="b">
        <f>TRUE</f>
        <v>1</v>
      </c>
      <c r="I1372" s="9"/>
      <c r="J1372" s="52" t="str">
        <f t="shared" ca="1" si="386"/>
        <v>Email</v>
      </c>
      <c r="K1372" s="52">
        <v>9</v>
      </c>
    </row>
    <row r="1373" spans="1:11" ht="15" customHeight="1">
      <c r="A1373" t="str">
        <f t="shared" ca="1" si="387"/>
        <v/>
      </c>
      <c r="B1373">
        <f>ROW('Contact Information'!B371)</f>
        <v>371</v>
      </c>
      <c r="C1373" t="str">
        <f t="shared" ca="1" si="407"/>
        <v>Bond Counsel (if not CHFA)</v>
      </c>
      <c r="D1373" t="str">
        <f t="shared" si="385"/>
        <v>B372</v>
      </c>
      <c r="E1373" t="str">
        <f t="shared" ca="1" si="408"/>
        <v/>
      </c>
      <c r="F1373" t="str">
        <f ca="1">CONCATENATE("Enter a "&amp; J1373 &amp;" for '", C1373, "' in cell ", D1373, ".", CHAR(10))</f>
        <v xml:space="preserve">Enter a Organization for 'Bond Counsel (if not CHFA)' in cell B372.
</v>
      </c>
      <c r="G1373"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3" t="b">
        <f>Calculations!$B$2</f>
        <v>0</v>
      </c>
      <c r="I1373" s="9"/>
      <c r="J1373" s="52" t="str">
        <f t="shared" ca="1" si="386"/>
        <v>Organization</v>
      </c>
      <c r="K1373" s="52">
        <v>1</v>
      </c>
    </row>
    <row r="1374" spans="1:11" ht="15" customHeight="1">
      <c r="A1374" t="str">
        <f t="shared" ca="1" si="387"/>
        <v/>
      </c>
      <c r="B1374" s="52">
        <f t="shared" ref="B1374:B1381" si="410">B1373</f>
        <v>371</v>
      </c>
      <c r="C1374" t="str">
        <f t="shared" ca="1" si="407"/>
        <v>Bond Counsel (if not CHFA)</v>
      </c>
      <c r="D1374" t="str">
        <f t="shared" si="385"/>
        <v>B373</v>
      </c>
      <c r="E1374" t="str">
        <f t="shared" ca="1" si="408"/>
        <v/>
      </c>
      <c r="F1374" t="str">
        <f ca="1">CONCATENATE("Enter an "&amp; J1374 &amp;" for '", C1374, "' in cell ", D1374, ".", CHAR(10))</f>
        <v xml:space="preserve">Enter an Address for 'Bond Counsel (if not CHFA)' in cell B373.
</v>
      </c>
      <c r="G1374"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4" t="b">
        <f>Calculations!$B$2</f>
        <v>0</v>
      </c>
      <c r="I1374" s="9"/>
      <c r="J1374" s="52" t="str">
        <f t="shared" ca="1" si="386"/>
        <v>Address</v>
      </c>
      <c r="K1374" s="52">
        <v>2</v>
      </c>
    </row>
    <row r="1375" spans="1:11" ht="15" customHeight="1">
      <c r="A1375" t="str">
        <f t="shared" ca="1" si="387"/>
        <v/>
      </c>
      <c r="B1375" s="52">
        <f t="shared" si="410"/>
        <v>371</v>
      </c>
      <c r="C1375" t="str">
        <f t="shared" ca="1" si="407"/>
        <v>Bond Counsel (if not CHFA)</v>
      </c>
      <c r="D1375" t="str">
        <f t="shared" si="385"/>
        <v>B374</v>
      </c>
      <c r="E1375" t="str">
        <f t="shared" ca="1" si="408"/>
        <v/>
      </c>
      <c r="F1375" t="str">
        <f t="shared" ref="F1375:F1380" ca="1" si="411">CONCATENATE("Enter a "&amp; J1375 &amp;" for '", C1375, "' in cell ", D1375, ".", CHAR(10))</f>
        <v xml:space="preserve">Enter a City  for 'Bond Counsel (if not CHFA)' in cell B374.
</v>
      </c>
      <c r="G1375"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5" t="b">
        <f>Calculations!$B$2</f>
        <v>0</v>
      </c>
      <c r="I1375" s="9"/>
      <c r="J1375" s="52" t="str">
        <f t="shared" ca="1" si="386"/>
        <v xml:space="preserve">City </v>
      </c>
      <c r="K1375" s="52">
        <v>3</v>
      </c>
    </row>
    <row r="1376" spans="1:11" ht="15" customHeight="1">
      <c r="A1376" t="str">
        <f t="shared" ca="1" si="387"/>
        <v/>
      </c>
      <c r="B1376" s="52">
        <f t="shared" si="410"/>
        <v>371</v>
      </c>
      <c r="C1376" t="str">
        <f t="shared" ca="1" si="407"/>
        <v>Bond Counsel (if not CHFA)</v>
      </c>
      <c r="D1376" t="str">
        <f t="shared" si="385"/>
        <v>B375</v>
      </c>
      <c r="E1376" t="str">
        <f t="shared" ca="1" si="408"/>
        <v/>
      </c>
      <c r="F1376" t="str">
        <f t="shared" ca="1" si="411"/>
        <v xml:space="preserve">Enter a State for 'Bond Counsel (if not CHFA)' in cell B375.
</v>
      </c>
      <c r="G1376"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6" t="b">
        <f>Calculations!$B$2</f>
        <v>0</v>
      </c>
      <c r="I1376" s="9"/>
      <c r="J1376" s="52" t="str">
        <f t="shared" ca="1" si="386"/>
        <v>State</v>
      </c>
      <c r="K1376" s="52">
        <v>4</v>
      </c>
    </row>
    <row r="1377" spans="1:11" ht="15" customHeight="1">
      <c r="A1377" t="str">
        <f t="shared" ca="1" si="387"/>
        <v/>
      </c>
      <c r="B1377" s="52">
        <f t="shared" si="410"/>
        <v>371</v>
      </c>
      <c r="C1377" t="str">
        <f t="shared" ca="1" si="407"/>
        <v>Bond Counsel (if not CHFA)</v>
      </c>
      <c r="D1377" t="str">
        <f t="shared" si="385"/>
        <v>B376</v>
      </c>
      <c r="E1377" t="str">
        <f t="shared" ca="1" si="408"/>
        <v/>
      </c>
      <c r="F1377" t="str">
        <f t="shared" ca="1" si="411"/>
        <v xml:space="preserve">Enter a Zip (first five #'s only) for 'Bond Counsel (if not CHFA)' in cell B376.
</v>
      </c>
      <c r="G1377"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7" t="b">
        <f>Calculations!$B$2</f>
        <v>0</v>
      </c>
      <c r="I1377" s="9"/>
      <c r="J1377" s="52" t="str">
        <f t="shared" ca="1" si="386"/>
        <v>Zip (first five #'s only)</v>
      </c>
      <c r="K1377" s="52">
        <v>5</v>
      </c>
    </row>
    <row r="1378" spans="1:11" ht="15" customHeight="1">
      <c r="A1378" t="str">
        <f t="shared" ca="1" si="387"/>
        <v/>
      </c>
      <c r="B1378" s="52">
        <f t="shared" si="410"/>
        <v>371</v>
      </c>
      <c r="C1378" t="str">
        <f t="shared" ca="1" si="407"/>
        <v>Bond Counsel (if not CHFA)</v>
      </c>
      <c r="D1378" t="str">
        <f t="shared" si="385"/>
        <v>B377</v>
      </c>
      <c r="E1378" t="str">
        <f t="shared" ca="1" si="408"/>
        <v/>
      </c>
      <c r="F1378" t="str">
        <f t="shared" ca="1" si="411"/>
        <v xml:space="preserve">Enter a Contact First Name for 'Bond Counsel (if not CHFA)' in cell B377.
</v>
      </c>
      <c r="G1378"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8" t="b">
        <f>Calculations!$B$2</f>
        <v>0</v>
      </c>
      <c r="I1378" s="9"/>
      <c r="J1378" s="52" t="str">
        <f t="shared" ca="1" si="386"/>
        <v>Contact First Name</v>
      </c>
      <c r="K1378" s="52">
        <v>6</v>
      </c>
    </row>
    <row r="1379" spans="1:11" ht="15" customHeight="1">
      <c r="A1379" t="str">
        <f t="shared" ca="1" si="387"/>
        <v/>
      </c>
      <c r="B1379" s="52">
        <f t="shared" si="410"/>
        <v>371</v>
      </c>
      <c r="C1379" t="str">
        <f t="shared" ca="1" si="407"/>
        <v>Bond Counsel (if not CHFA)</v>
      </c>
      <c r="D1379" t="str">
        <f t="shared" si="385"/>
        <v>B378</v>
      </c>
      <c r="E1379" t="str">
        <f t="shared" ca="1" si="408"/>
        <v/>
      </c>
      <c r="F1379" t="str">
        <f t="shared" ca="1" si="411"/>
        <v xml:space="preserve">Enter a Contact Last Name for 'Bond Counsel (if not CHFA)' in cell B378.
</v>
      </c>
      <c r="G1379"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9" t="b">
        <f>Calculations!$B$2</f>
        <v>0</v>
      </c>
      <c r="I1379" s="9"/>
      <c r="J1379" s="52" t="str">
        <f t="shared" ca="1" si="386"/>
        <v>Contact Last Name</v>
      </c>
      <c r="K1379" s="52">
        <v>7</v>
      </c>
    </row>
    <row r="1380" spans="1:11" ht="15" customHeight="1">
      <c r="A1380" t="str">
        <f t="shared" ca="1" si="387"/>
        <v/>
      </c>
      <c r="B1380" s="52">
        <f t="shared" si="410"/>
        <v>371</v>
      </c>
      <c r="C1380" t="str">
        <f t="shared" ca="1" si="407"/>
        <v>Bond Counsel (if not CHFA)</v>
      </c>
      <c r="D1380" t="str">
        <f t="shared" si="385"/>
        <v>B379</v>
      </c>
      <c r="E1380" t="str">
        <f t="shared" ca="1" si="408"/>
        <v/>
      </c>
      <c r="F1380" t="str">
        <f t="shared" ca="1" si="411"/>
        <v xml:space="preserve">Enter a Phone (#'s only) for 'Bond Counsel (if not CHFA)' in cell B379.
</v>
      </c>
      <c r="G1380"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0" t="b">
        <f>Calculations!$B$2</f>
        <v>0</v>
      </c>
      <c r="I1380" s="9"/>
      <c r="J1380" s="52" t="str">
        <f t="shared" ca="1" si="386"/>
        <v>Phone (#'s only)</v>
      </c>
      <c r="K1380" s="52">
        <v>8</v>
      </c>
    </row>
    <row r="1381" spans="1:11" ht="15" customHeight="1">
      <c r="A1381" t="str">
        <f t="shared" ca="1" si="387"/>
        <v/>
      </c>
      <c r="B1381" s="52">
        <f t="shared" si="410"/>
        <v>371</v>
      </c>
      <c r="C1381" t="str">
        <f t="shared" ca="1" si="407"/>
        <v>Bond Counsel (if not CHFA)</v>
      </c>
      <c r="D1381" t="str">
        <f t="shared" si="385"/>
        <v>B380</v>
      </c>
      <c r="E1381" t="str">
        <f t="shared" ca="1" si="408"/>
        <v/>
      </c>
      <c r="F1381" t="str">
        <f ca="1">CONCATENATE("Enter an "&amp; J1381 &amp;" for '", C1381, "' in cell ", D1381, ".", CHAR(10))</f>
        <v xml:space="preserve">Enter an Email for 'Bond Counsel (if not CHFA)' in cell B380.
</v>
      </c>
      <c r="G1381"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1" t="b">
        <f>Calculations!$B$2</f>
        <v>0</v>
      </c>
      <c r="I1381" s="9"/>
      <c r="J1381" s="52" t="str">
        <f t="shared" ca="1" si="386"/>
        <v>Email</v>
      </c>
      <c r="K1381" s="52">
        <v>9</v>
      </c>
    </row>
    <row r="1382" spans="1:11" ht="15" customHeight="1">
      <c r="A1382" t="str">
        <f t="shared" ca="1" si="387"/>
        <v/>
      </c>
      <c r="B1382">
        <f>ROW('Contact Information'!B382)</f>
        <v>382</v>
      </c>
      <c r="C1382" t="str">
        <f t="shared" ca="1" si="407"/>
        <v>Mayor/Elected Official/Jurisdiction</v>
      </c>
      <c r="D1382" t="str">
        <f t="shared" si="385"/>
        <v>B383</v>
      </c>
      <c r="E1382" t="str">
        <f t="shared" ca="1" si="408"/>
        <v/>
      </c>
      <c r="F1382" t="str">
        <f ca="1">CONCATENATE("Enter a "&amp; J1382 &amp;" for '", C1382, "' in cell ", D1382, ".", CHAR(10))</f>
        <v xml:space="preserve">Enter a City/Jurisdiction Name for 'Mayor/Elected Official/Jurisdiction' in cell B383.
</v>
      </c>
      <c r="G1382"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2" t="b">
        <f>Calculations!$B$2</f>
        <v>0</v>
      </c>
      <c r="I1382" s="9"/>
      <c r="J1382" s="52" t="str">
        <f t="shared" ca="1" si="386"/>
        <v>City/Jurisdiction Name</v>
      </c>
      <c r="K1382" s="52">
        <v>1</v>
      </c>
    </row>
    <row r="1383" spans="1:11" ht="15" customHeight="1">
      <c r="A1383" t="str">
        <f t="shared" ca="1" si="387"/>
        <v/>
      </c>
      <c r="B1383" s="52">
        <f t="shared" ref="B1383:B1390" si="412">B1382</f>
        <v>382</v>
      </c>
      <c r="C1383" t="str">
        <f t="shared" ca="1" si="407"/>
        <v>Mayor/Elected Official/Jurisdiction</v>
      </c>
      <c r="D1383" t="str">
        <f t="shared" si="385"/>
        <v>B384</v>
      </c>
      <c r="E1383" t="str">
        <f t="shared" ca="1" si="408"/>
        <v/>
      </c>
      <c r="F1383" t="str">
        <f ca="1">CONCATENATE("Enter an "&amp; J1383 &amp;" for '", C1383, "' in cell ", D1383, ".", CHAR(10))</f>
        <v xml:space="preserve">Enter an Title of Elected Official for 'Mayor/Elected Official/Jurisdiction' in cell B384.
</v>
      </c>
      <c r="G1383"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3" t="b">
        <f>Calculations!$B$2</f>
        <v>0</v>
      </c>
      <c r="I1383" s="9"/>
      <c r="J1383" s="52" t="str">
        <f t="shared" ca="1" si="386"/>
        <v>Title of Elected Official</v>
      </c>
      <c r="K1383" s="52">
        <v>2</v>
      </c>
    </row>
    <row r="1384" spans="1:11" ht="15" customHeight="1">
      <c r="A1384" t="str">
        <f t="shared" ca="1" si="387"/>
        <v/>
      </c>
      <c r="B1384" s="52">
        <f t="shared" si="412"/>
        <v>382</v>
      </c>
      <c r="C1384" t="str">
        <f t="shared" ca="1" si="407"/>
        <v>Mayor/Elected Official/Jurisdiction</v>
      </c>
      <c r="D1384" t="str">
        <f t="shared" si="385"/>
        <v>B385</v>
      </c>
      <c r="E1384" t="str">
        <f t="shared" ca="1" si="408"/>
        <v/>
      </c>
      <c r="F1384" t="str">
        <f t="shared" ref="F1384:F1389" ca="1" si="413">CONCATENATE("Enter a "&amp; J1384 &amp;" for '", C1384, "' in cell ", D1384, ".", CHAR(10))</f>
        <v xml:space="preserve">Enter a Address for 'Mayor/Elected Official/Jurisdiction' in cell B385.
</v>
      </c>
      <c r="G1384"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4" t="b">
        <f>Calculations!$B$2</f>
        <v>0</v>
      </c>
      <c r="I1384" s="9"/>
      <c r="J1384" s="52" t="str">
        <f t="shared" ca="1" si="386"/>
        <v>Address</v>
      </c>
      <c r="K1384" s="52">
        <v>3</v>
      </c>
    </row>
    <row r="1385" spans="1:11" ht="15" customHeight="1">
      <c r="A1385" t="str">
        <f t="shared" ca="1" si="387"/>
        <v/>
      </c>
      <c r="B1385" s="52">
        <f t="shared" si="412"/>
        <v>382</v>
      </c>
      <c r="C1385" t="str">
        <f t="shared" ca="1" si="407"/>
        <v>Mayor/Elected Official/Jurisdiction</v>
      </c>
      <c r="D1385" t="str">
        <f t="shared" si="385"/>
        <v>B386</v>
      </c>
      <c r="E1385" t="str">
        <f t="shared" ca="1" si="408"/>
        <v/>
      </c>
      <c r="F1385" t="str">
        <f t="shared" ca="1" si="413"/>
        <v xml:space="preserve">Enter a City  for 'Mayor/Elected Official/Jurisdiction' in cell B386.
</v>
      </c>
      <c r="G1385"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5" t="b">
        <f>Calculations!$B$2</f>
        <v>0</v>
      </c>
      <c r="I1385" s="9"/>
      <c r="J1385" s="52" t="str">
        <f t="shared" ca="1" si="386"/>
        <v xml:space="preserve">City </v>
      </c>
      <c r="K1385" s="52">
        <v>4</v>
      </c>
    </row>
    <row r="1386" spans="1:11" ht="15" customHeight="1">
      <c r="A1386" t="str">
        <f t="shared" ca="1" si="387"/>
        <v/>
      </c>
      <c r="B1386" s="52">
        <f t="shared" si="412"/>
        <v>382</v>
      </c>
      <c r="C1386" t="str">
        <f t="shared" ca="1" si="407"/>
        <v>Mayor/Elected Official/Jurisdiction</v>
      </c>
      <c r="D1386" t="str">
        <f t="shared" si="385"/>
        <v>B387</v>
      </c>
      <c r="E1386" t="str">
        <f t="shared" ca="1" si="408"/>
        <v/>
      </c>
      <c r="F1386" t="str">
        <f t="shared" ca="1" si="413"/>
        <v xml:space="preserve">Enter a State for 'Mayor/Elected Official/Jurisdiction' in cell B387.
</v>
      </c>
      <c r="G1386"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6" t="b">
        <f>Calculations!$B$2</f>
        <v>0</v>
      </c>
      <c r="I1386" s="9"/>
      <c r="J1386" s="52" t="str">
        <f t="shared" ca="1" si="386"/>
        <v>State</v>
      </c>
      <c r="K1386" s="52">
        <v>5</v>
      </c>
    </row>
    <row r="1387" spans="1:11" ht="15" customHeight="1">
      <c r="A1387" t="str">
        <f t="shared" ca="1" si="387"/>
        <v/>
      </c>
      <c r="B1387" s="52">
        <f t="shared" si="412"/>
        <v>382</v>
      </c>
      <c r="C1387" t="str">
        <f t="shared" ca="1" si="407"/>
        <v>Mayor/Elected Official/Jurisdiction</v>
      </c>
      <c r="D1387" t="str">
        <f t="shared" si="385"/>
        <v>B388</v>
      </c>
      <c r="E1387" t="str">
        <f t="shared" ca="1" si="408"/>
        <v/>
      </c>
      <c r="F1387" t="str">
        <f t="shared" ca="1" si="413"/>
        <v xml:space="preserve">Enter a Zip (first five #'s only) for 'Mayor/Elected Official/Jurisdiction' in cell B388.
</v>
      </c>
      <c r="G1387"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7" t="b">
        <f>Calculations!$B$2</f>
        <v>0</v>
      </c>
      <c r="I1387" s="9"/>
      <c r="J1387" s="52" t="str">
        <f t="shared" ca="1" si="386"/>
        <v>Zip (first five #'s only)</v>
      </c>
      <c r="K1387" s="52">
        <v>6</v>
      </c>
    </row>
    <row r="1388" spans="1:11" ht="15" customHeight="1">
      <c r="A1388" t="str">
        <f t="shared" ca="1" si="387"/>
        <v/>
      </c>
      <c r="B1388" s="52">
        <f t="shared" si="412"/>
        <v>382</v>
      </c>
      <c r="C1388" t="str">
        <f t="shared" ca="1" si="407"/>
        <v>Mayor/Elected Official/Jurisdiction</v>
      </c>
      <c r="D1388" t="str">
        <f t="shared" si="385"/>
        <v>B389</v>
      </c>
      <c r="E1388" t="str">
        <f t="shared" ca="1" si="408"/>
        <v/>
      </c>
      <c r="F1388" t="str">
        <f t="shared" ca="1" si="413"/>
        <v xml:space="preserve">Enter a Contact First Name for 'Mayor/Elected Official/Jurisdiction' in cell B389.
</v>
      </c>
      <c r="G1388"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8" t="b">
        <f>Calculations!$B$2</f>
        <v>0</v>
      </c>
      <c r="I1388" s="9"/>
      <c r="J1388" s="52" t="str">
        <f t="shared" ca="1" si="386"/>
        <v>Contact First Name</v>
      </c>
      <c r="K1388" s="52">
        <v>7</v>
      </c>
    </row>
    <row r="1389" spans="1:11" ht="15" customHeight="1">
      <c r="A1389" t="str">
        <f t="shared" ca="1" si="387"/>
        <v/>
      </c>
      <c r="B1389" s="52">
        <f t="shared" si="412"/>
        <v>382</v>
      </c>
      <c r="C1389" t="str">
        <f t="shared" ca="1" si="407"/>
        <v>Mayor/Elected Official/Jurisdiction</v>
      </c>
      <c r="D1389" t="str">
        <f t="shared" si="385"/>
        <v>B390</v>
      </c>
      <c r="E1389" t="str">
        <f t="shared" ca="1" si="408"/>
        <v/>
      </c>
      <c r="F1389" t="str">
        <f t="shared" ca="1" si="413"/>
        <v xml:space="preserve">Enter a Contact Last Name for 'Mayor/Elected Official/Jurisdiction' in cell B390.
</v>
      </c>
      <c r="G1389"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9" t="b">
        <f>Calculations!$B$2</f>
        <v>0</v>
      </c>
      <c r="I1389" s="9"/>
      <c r="J1389" s="52" t="str">
        <f t="shared" ca="1" si="386"/>
        <v>Contact Last Name</v>
      </c>
      <c r="K1389" s="52">
        <v>8</v>
      </c>
    </row>
    <row r="1390" spans="1:11" ht="15" customHeight="1">
      <c r="A1390" t="str">
        <f t="shared" ca="1" si="387"/>
        <v/>
      </c>
      <c r="B1390" s="52">
        <f t="shared" si="412"/>
        <v>382</v>
      </c>
      <c r="C1390" t="str">
        <f t="shared" ca="1" si="407"/>
        <v>Mayor/Elected Official/Jurisdiction</v>
      </c>
      <c r="D1390" t="str">
        <f t="shared" si="385"/>
        <v>B391</v>
      </c>
      <c r="E1390" t="str">
        <f t="shared" ca="1" si="408"/>
        <v/>
      </c>
      <c r="F1390" t="str">
        <f ca="1">CONCATENATE("Enter an "&amp; J1390 &amp;" for '", C1390, "' in cell ", D1390, ".", CHAR(10))</f>
        <v xml:space="preserve">Enter an Phone (#'s only) for 'Mayor/Elected Official/Jurisdiction' in cell B391.
</v>
      </c>
      <c r="G1390"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0" t="b">
        <f>Calculations!$B$2</f>
        <v>0</v>
      </c>
      <c r="I1390" s="9"/>
      <c r="J1390" s="52" t="str">
        <f t="shared" ca="1" si="386"/>
        <v>Phone (#'s only)</v>
      </c>
      <c r="K1390" s="52">
        <v>9</v>
      </c>
    </row>
    <row r="1391" spans="1:11" ht="15" customHeight="1">
      <c r="A1391" t="str">
        <f t="shared" ca="1" si="387"/>
        <v/>
      </c>
      <c r="B1391">
        <f>ROW('Contact Information'!B394)</f>
        <v>394</v>
      </c>
      <c r="C1391" t="str">
        <f t="shared" ca="1" si="407"/>
        <v>Council Member</v>
      </c>
      <c r="D1391" t="str">
        <f t="shared" si="385"/>
        <v>B395</v>
      </c>
      <c r="E1391" t="str">
        <f t="shared" ca="1" si="408"/>
        <v/>
      </c>
      <c r="F1391" t="str">
        <f ca="1">CONCATENATE("Enter a "&amp; J1391 &amp;" for '", C1391, "' in cell ", D1391, ".", CHAR(10))</f>
        <v xml:space="preserve">Enter a Jurisdiction Name for 'Council Member' in cell B395.
</v>
      </c>
      <c r="G1391"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1" t="b">
        <f>Calculations!$B$2</f>
        <v>0</v>
      </c>
      <c r="I1391" s="9"/>
      <c r="J1391" s="52" t="str">
        <f t="shared" ca="1" si="386"/>
        <v>Jurisdiction Name</v>
      </c>
      <c r="K1391" s="52">
        <v>1</v>
      </c>
    </row>
    <row r="1392" spans="1:11" ht="15" customHeight="1">
      <c r="A1392" t="str">
        <f t="shared" ca="1" si="387"/>
        <v/>
      </c>
      <c r="B1392" s="52">
        <f t="shared" ref="B1392:B1408" si="414">B1391</f>
        <v>394</v>
      </c>
      <c r="C1392" t="str">
        <f t="shared" ca="1" si="407"/>
        <v>Council Member</v>
      </c>
      <c r="D1392" t="str">
        <f t="shared" si="385"/>
        <v>B396</v>
      </c>
      <c r="E1392" t="str">
        <f t="shared" ca="1" si="408"/>
        <v/>
      </c>
      <c r="F1392" t="str">
        <f ca="1">CONCATENATE("Enter an "&amp; J1392 &amp;" for '", C1392, "' in cell ", D1392, ".", CHAR(10))</f>
        <v xml:space="preserve">Enter an Title of Elected Official for 'Council Member' in cell B396.
</v>
      </c>
      <c r="G1392"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2" t="b">
        <f>Calculations!$B$2</f>
        <v>0</v>
      </c>
      <c r="I1392" s="9"/>
      <c r="J1392" s="52" t="str">
        <f t="shared" ca="1" si="386"/>
        <v>Title of Elected Official</v>
      </c>
      <c r="K1392" s="52">
        <v>2</v>
      </c>
    </row>
    <row r="1393" spans="1:11" ht="15" customHeight="1">
      <c r="A1393" t="str">
        <f t="shared" ca="1" si="387"/>
        <v/>
      </c>
      <c r="B1393" s="52">
        <f t="shared" si="414"/>
        <v>394</v>
      </c>
      <c r="C1393" t="str">
        <f t="shared" ca="1" si="407"/>
        <v>Council Member</v>
      </c>
      <c r="D1393" t="str">
        <f t="shared" si="385"/>
        <v>B397</v>
      </c>
      <c r="E1393" t="str">
        <f t="shared" ca="1" si="408"/>
        <v/>
      </c>
      <c r="F1393" t="str">
        <f t="shared" ref="F1393:F1398" ca="1" si="415">CONCATENATE("Enter a "&amp; J1393 &amp;" for '", C1393, "' in cell ", D1393, ".", CHAR(10))</f>
        <v xml:space="preserve">Enter a Address for 'Council Member' in cell B397.
</v>
      </c>
      <c r="G1393"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3" t="b">
        <f>Calculations!$B$2</f>
        <v>0</v>
      </c>
      <c r="I1393" s="9"/>
      <c r="J1393" s="52" t="str">
        <f t="shared" ca="1" si="386"/>
        <v>Address</v>
      </c>
      <c r="K1393" s="52">
        <v>3</v>
      </c>
    </row>
    <row r="1394" spans="1:11" ht="15" customHeight="1">
      <c r="A1394" t="str">
        <f t="shared" ca="1" si="387"/>
        <v/>
      </c>
      <c r="B1394" s="52">
        <f t="shared" si="414"/>
        <v>394</v>
      </c>
      <c r="C1394" t="str">
        <f t="shared" ca="1" si="407"/>
        <v>Council Member</v>
      </c>
      <c r="D1394" t="str">
        <f t="shared" si="385"/>
        <v>B398</v>
      </c>
      <c r="E1394" t="str">
        <f t="shared" ca="1" si="408"/>
        <v/>
      </c>
      <c r="F1394" t="str">
        <f t="shared" ca="1" si="415"/>
        <v xml:space="preserve">Enter a City  for 'Council Member' in cell B398.
</v>
      </c>
      <c r="G1394"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4" t="b">
        <f>Calculations!$B$2</f>
        <v>0</v>
      </c>
      <c r="I1394" s="9"/>
      <c r="J1394" s="52" t="str">
        <f t="shared" ca="1" si="386"/>
        <v xml:space="preserve">City </v>
      </c>
      <c r="K1394" s="52">
        <v>4</v>
      </c>
    </row>
    <row r="1395" spans="1:11" ht="15" customHeight="1">
      <c r="A1395" t="str">
        <f t="shared" ca="1" si="387"/>
        <v/>
      </c>
      <c r="B1395" s="52">
        <f t="shared" si="414"/>
        <v>394</v>
      </c>
      <c r="C1395" t="str">
        <f t="shared" ca="1" si="407"/>
        <v>Council Member</v>
      </c>
      <c r="D1395" t="str">
        <f t="shared" ref="D1395:D1458" si="416">ADDRESS(B1395+K1395, 2,4  )</f>
        <v>B399</v>
      </c>
      <c r="E1395" t="str">
        <f t="shared" ca="1" si="408"/>
        <v/>
      </c>
      <c r="F1395" t="str">
        <f t="shared" ca="1" si="415"/>
        <v xml:space="preserve">Enter a State for 'Council Member' in cell B399.
</v>
      </c>
      <c r="G1395"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5" t="b">
        <f>Calculations!$B$2</f>
        <v>0</v>
      </c>
      <c r="I1395" s="9"/>
      <c r="J1395" s="52" t="str">
        <f t="shared" ref="J1395:J1458" ca="1" si="417">INDIRECT($F$1101 &amp; ADDRESS(B1395+K1395, 1,4))</f>
        <v>State</v>
      </c>
      <c r="K1395" s="52">
        <v>5</v>
      </c>
    </row>
    <row r="1396" spans="1:11" ht="15" customHeight="1">
      <c r="A1396" t="str">
        <f t="shared" ref="A1396:A1459" ca="1" si="418">IF(AND(H1396, NOT($E$1104), E1396=""),F1396, "")</f>
        <v/>
      </c>
      <c r="B1396" s="52">
        <f t="shared" si="414"/>
        <v>394</v>
      </c>
      <c r="C1396" t="str">
        <f t="shared" ca="1" si="407"/>
        <v>Council Member</v>
      </c>
      <c r="D1396" t="str">
        <f t="shared" si="416"/>
        <v>B400</v>
      </c>
      <c r="E1396" t="str">
        <f t="shared" ca="1" si="408"/>
        <v/>
      </c>
      <c r="F1396" t="str">
        <f t="shared" ca="1" si="415"/>
        <v xml:space="preserve">Enter a Zip (first five #'s only) for 'Council Member' in cell B400.
</v>
      </c>
      <c r="G1396"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6" t="b">
        <f>Calculations!$B$2</f>
        <v>0</v>
      </c>
      <c r="I1396" s="9"/>
      <c r="J1396" s="52" t="str">
        <f t="shared" ca="1" si="417"/>
        <v>Zip (first five #'s only)</v>
      </c>
      <c r="K1396" s="52">
        <v>6</v>
      </c>
    </row>
    <row r="1397" spans="1:11" ht="15" customHeight="1">
      <c r="A1397" t="str">
        <f t="shared" ca="1" si="418"/>
        <v/>
      </c>
      <c r="B1397" s="52">
        <f t="shared" si="414"/>
        <v>394</v>
      </c>
      <c r="C1397" t="str">
        <f t="shared" ca="1" si="407"/>
        <v>Council Member</v>
      </c>
      <c r="D1397" t="str">
        <f t="shared" si="416"/>
        <v>B401</v>
      </c>
      <c r="E1397" t="str">
        <f t="shared" ca="1" si="408"/>
        <v/>
      </c>
      <c r="F1397" t="str">
        <f t="shared" ca="1" si="415"/>
        <v xml:space="preserve">Enter a Contact First Name for 'Council Member' in cell B401.
</v>
      </c>
      <c r="G1397"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7" t="b">
        <f>Calculations!$B$2</f>
        <v>0</v>
      </c>
      <c r="I1397" s="9"/>
      <c r="J1397" s="52" t="str">
        <f t="shared" ca="1" si="417"/>
        <v>Contact First Name</v>
      </c>
      <c r="K1397" s="52">
        <v>7</v>
      </c>
    </row>
    <row r="1398" spans="1:11" ht="15" customHeight="1">
      <c r="A1398" t="str">
        <f t="shared" ca="1" si="418"/>
        <v/>
      </c>
      <c r="B1398" s="52">
        <f t="shared" si="414"/>
        <v>394</v>
      </c>
      <c r="C1398" t="str">
        <f t="shared" ca="1" si="407"/>
        <v>Council Member</v>
      </c>
      <c r="D1398" t="str">
        <f t="shared" si="416"/>
        <v>B402</v>
      </c>
      <c r="E1398" t="str">
        <f t="shared" ca="1" si="408"/>
        <v/>
      </c>
      <c r="F1398" t="str">
        <f t="shared" ca="1" si="415"/>
        <v xml:space="preserve">Enter a Contact Last Name for 'Council Member' in cell B402.
</v>
      </c>
      <c r="G1398"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8" t="b">
        <f>Calculations!$B$2</f>
        <v>0</v>
      </c>
      <c r="I1398" s="9"/>
      <c r="J1398" s="52" t="str">
        <f t="shared" ca="1" si="417"/>
        <v>Contact Last Name</v>
      </c>
      <c r="K1398" s="52">
        <v>8</v>
      </c>
    </row>
    <row r="1399" spans="1:11" ht="15" customHeight="1">
      <c r="A1399" t="str">
        <f t="shared" ca="1" si="418"/>
        <v/>
      </c>
      <c r="B1399" s="52">
        <f t="shared" si="414"/>
        <v>394</v>
      </c>
      <c r="C1399" t="str">
        <f t="shared" ca="1" si="407"/>
        <v>Council Member</v>
      </c>
      <c r="D1399" t="str">
        <f t="shared" si="416"/>
        <v>B403</v>
      </c>
      <c r="E1399" t="str">
        <f t="shared" ca="1" si="408"/>
        <v/>
      </c>
      <c r="F1399" t="str">
        <f ca="1">CONCATENATE("Enter an "&amp; J1399 &amp;" for '", C1399, "' in cell ", D1399, ".", CHAR(10))</f>
        <v xml:space="preserve">Enter an Phone (#'s only) for 'Council Member' in cell B403.
</v>
      </c>
      <c r="G1399"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9" t="b">
        <f>Calculations!$B$2</f>
        <v>0</v>
      </c>
      <c r="I1399" s="9"/>
      <c r="J1399" s="52" t="str">
        <f t="shared" ca="1" si="417"/>
        <v>Phone (#'s only)</v>
      </c>
      <c r="K1399" s="52">
        <v>9</v>
      </c>
    </row>
    <row r="1400" spans="1:11" ht="15" customHeight="1">
      <c r="A1400" t="str">
        <f t="shared" ref="A1400:A1408" ca="1" si="419">IF(AND(H1400, NOT($E$1104), E1400=""),F1400, "")</f>
        <v/>
      </c>
      <c r="B1400">
        <f>ROW('Contact Information'!B406)</f>
        <v>406</v>
      </c>
      <c r="C1400" t="str">
        <f t="shared" ref="C1400:C1408" ca="1" si="420">INDIRECT($F$1101 &amp; ADDRESS(B1400, 1,4  ))</f>
        <v>City Manager (if applicable)</v>
      </c>
      <c r="D1400" t="str">
        <f t="shared" ref="D1400:D1408" si="421">ADDRESS(B1400+K1400, 2,4  )</f>
        <v>B407</v>
      </c>
      <c r="E1400" t="str">
        <f t="shared" ref="E1400:E1408" ca="1" si="422">IF(ISBLANK( INDIRECT($F$1101 &amp; D1400)),"", INDIRECT($F$1101 &amp; D1400))</f>
        <v/>
      </c>
      <c r="F1400" t="str">
        <f t="shared" ref="F1400:F1408" ca="1" si="423">CONCATENATE("Enter an "&amp; J1400 &amp;" for '", C1400, "' in cell ", D1400, ".", CHAR(10))</f>
        <v xml:space="preserve">Enter an Jurisdiction Name for 'City Manager (if applicable)' in cell B407.
</v>
      </c>
      <c r="G1400" s="9" t="str">
        <f t="shared" ref="G1400:G1408" ca="1" si="424">OFFSET(G1400, -1, 0) &amp; A1400</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0" t="b">
        <f>Calculations!$B$2</f>
        <v>0</v>
      </c>
      <c r="I1400" s="9"/>
      <c r="J1400" t="str">
        <f t="shared" ref="J1400:J1408" ca="1" si="425">INDIRECT($F$1101 &amp; ADDRESS(B1400+K1400, 1,4))</f>
        <v>Jurisdiction Name</v>
      </c>
      <c r="K1400">
        <v>1</v>
      </c>
    </row>
    <row r="1401" spans="1:11" ht="15" customHeight="1">
      <c r="A1401" t="str">
        <f t="shared" ca="1" si="419"/>
        <v/>
      </c>
      <c r="B1401">
        <f t="shared" si="414"/>
        <v>406</v>
      </c>
      <c r="C1401" t="str">
        <f t="shared" ca="1" si="420"/>
        <v>City Manager (if applicable)</v>
      </c>
      <c r="D1401" t="str">
        <f t="shared" si="421"/>
        <v>B408</v>
      </c>
      <c r="E1401" t="str">
        <f t="shared" ca="1" si="422"/>
        <v/>
      </c>
      <c r="F1401" t="str">
        <f t="shared" ca="1" si="423"/>
        <v xml:space="preserve">Enter an Address for 'City Manager (if applicable)' in cell B408.
</v>
      </c>
      <c r="G1401" s="9" t="str">
        <f t="shared" ca="1" si="42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1" t="b">
        <f>Calculations!$B$2</f>
        <v>0</v>
      </c>
      <c r="I1401" s="9"/>
      <c r="J1401" t="str">
        <f t="shared" ca="1" si="425"/>
        <v>Address</v>
      </c>
      <c r="K1401">
        <v>2</v>
      </c>
    </row>
    <row r="1402" spans="1:11" ht="15" customHeight="1">
      <c r="A1402" t="str">
        <f t="shared" ca="1" si="419"/>
        <v/>
      </c>
      <c r="B1402">
        <f t="shared" si="414"/>
        <v>406</v>
      </c>
      <c r="C1402" t="str">
        <f t="shared" ca="1" si="420"/>
        <v>City Manager (if applicable)</v>
      </c>
      <c r="D1402" t="str">
        <f t="shared" si="421"/>
        <v>B409</v>
      </c>
      <c r="E1402" t="str">
        <f t="shared" ca="1" si="422"/>
        <v/>
      </c>
      <c r="F1402" t="str">
        <f t="shared" ca="1" si="423"/>
        <v xml:space="preserve">Enter an City  for 'City Manager (if applicable)' in cell B409.
</v>
      </c>
      <c r="G1402" s="9" t="str">
        <f t="shared" ca="1" si="42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2" t="b">
        <f>Calculations!$B$2</f>
        <v>0</v>
      </c>
      <c r="I1402" s="9"/>
      <c r="J1402" t="str">
        <f t="shared" ca="1" si="425"/>
        <v xml:space="preserve">City </v>
      </c>
      <c r="K1402">
        <v>3</v>
      </c>
    </row>
    <row r="1403" spans="1:11" ht="15" customHeight="1">
      <c r="A1403" t="str">
        <f t="shared" ca="1" si="419"/>
        <v/>
      </c>
      <c r="B1403">
        <f t="shared" si="414"/>
        <v>406</v>
      </c>
      <c r="C1403" t="str">
        <f t="shared" ca="1" si="420"/>
        <v>City Manager (if applicable)</v>
      </c>
      <c r="D1403" t="str">
        <f t="shared" si="421"/>
        <v>B410</v>
      </c>
      <c r="E1403" t="str">
        <f t="shared" ca="1" si="422"/>
        <v/>
      </c>
      <c r="F1403" t="str">
        <f t="shared" ca="1" si="423"/>
        <v xml:space="preserve">Enter an State for 'City Manager (if applicable)' in cell B410.
</v>
      </c>
      <c r="G1403" s="9" t="str">
        <f t="shared" ca="1" si="42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3" t="b">
        <f>Calculations!$B$2</f>
        <v>0</v>
      </c>
      <c r="I1403" s="9"/>
      <c r="J1403" t="str">
        <f t="shared" ca="1" si="425"/>
        <v>State</v>
      </c>
      <c r="K1403">
        <v>4</v>
      </c>
    </row>
    <row r="1404" spans="1:11" ht="15" customHeight="1">
      <c r="A1404" t="str">
        <f t="shared" ca="1" si="419"/>
        <v/>
      </c>
      <c r="B1404">
        <f t="shared" si="414"/>
        <v>406</v>
      </c>
      <c r="C1404" t="str">
        <f t="shared" ca="1" si="420"/>
        <v>City Manager (if applicable)</v>
      </c>
      <c r="D1404" t="str">
        <f t="shared" si="421"/>
        <v>B411</v>
      </c>
      <c r="E1404" t="str">
        <f t="shared" ca="1" si="422"/>
        <v/>
      </c>
      <c r="F1404" t="str">
        <f t="shared" ca="1" si="423"/>
        <v xml:space="preserve">Enter an Zip (first five #'s only) for 'City Manager (if applicable)' in cell B411.
</v>
      </c>
      <c r="G1404" s="9" t="str">
        <f t="shared" ca="1" si="42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4" t="b">
        <f>Calculations!$B$2</f>
        <v>0</v>
      </c>
      <c r="I1404" s="9"/>
      <c r="J1404" t="str">
        <f t="shared" ca="1" si="425"/>
        <v>Zip (first five #'s only)</v>
      </c>
      <c r="K1404">
        <v>5</v>
      </c>
    </row>
    <row r="1405" spans="1:11" ht="15" customHeight="1">
      <c r="A1405" t="str">
        <f t="shared" ca="1" si="419"/>
        <v/>
      </c>
      <c r="B1405">
        <f t="shared" si="414"/>
        <v>406</v>
      </c>
      <c r="C1405" t="str">
        <f t="shared" ca="1" si="420"/>
        <v>City Manager (if applicable)</v>
      </c>
      <c r="D1405" t="str">
        <f t="shared" si="421"/>
        <v>B412</v>
      </c>
      <c r="E1405" t="str">
        <f t="shared" ca="1" si="422"/>
        <v/>
      </c>
      <c r="F1405" t="str">
        <f t="shared" ca="1" si="423"/>
        <v xml:space="preserve">Enter an Contact First Name for 'City Manager (if applicable)' in cell B412.
</v>
      </c>
      <c r="G1405" s="9" t="str">
        <f t="shared" ca="1" si="42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5" t="b">
        <f>Calculations!$B$2</f>
        <v>0</v>
      </c>
      <c r="I1405" s="9"/>
      <c r="J1405" t="str">
        <f t="shared" ca="1" si="425"/>
        <v>Contact First Name</v>
      </c>
      <c r="K1405">
        <v>6</v>
      </c>
    </row>
    <row r="1406" spans="1:11" ht="15" customHeight="1">
      <c r="A1406" t="str">
        <f t="shared" ca="1" si="419"/>
        <v/>
      </c>
      <c r="B1406">
        <f t="shared" si="414"/>
        <v>406</v>
      </c>
      <c r="C1406" t="str">
        <f t="shared" ca="1" si="420"/>
        <v>City Manager (if applicable)</v>
      </c>
      <c r="D1406" t="str">
        <f t="shared" si="421"/>
        <v>B413</v>
      </c>
      <c r="E1406" t="str">
        <f t="shared" ca="1" si="422"/>
        <v/>
      </c>
      <c r="F1406" t="str">
        <f t="shared" ca="1" si="423"/>
        <v xml:space="preserve">Enter an Contact Last Name for 'City Manager (if applicable)' in cell B413.
</v>
      </c>
      <c r="G1406" s="9" t="str">
        <f t="shared" ca="1" si="42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6" t="b">
        <f>Calculations!$B$2</f>
        <v>0</v>
      </c>
      <c r="I1406" s="9"/>
      <c r="J1406" t="str">
        <f t="shared" ca="1" si="425"/>
        <v>Contact Last Name</v>
      </c>
      <c r="K1406">
        <v>7</v>
      </c>
    </row>
    <row r="1407" spans="1:11" ht="15" customHeight="1">
      <c r="A1407" t="str">
        <f t="shared" ca="1" si="419"/>
        <v/>
      </c>
      <c r="B1407">
        <f t="shared" si="414"/>
        <v>406</v>
      </c>
      <c r="C1407" t="str">
        <f t="shared" ca="1" si="420"/>
        <v>City Manager (if applicable)</v>
      </c>
      <c r="D1407" t="str">
        <f t="shared" si="421"/>
        <v>B414</v>
      </c>
      <c r="E1407" t="str">
        <f t="shared" ca="1" si="422"/>
        <v/>
      </c>
      <c r="F1407" t="str">
        <f t="shared" ca="1" si="423"/>
        <v xml:space="preserve">Enter an Phone (#'s only) for 'City Manager (if applicable)' in cell B414.
</v>
      </c>
      <c r="G1407" s="9" t="str">
        <f t="shared" ca="1" si="42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7" t="b">
        <f>Calculations!$B$2</f>
        <v>0</v>
      </c>
      <c r="I1407" s="9"/>
      <c r="J1407" t="str">
        <f t="shared" ca="1" si="425"/>
        <v>Phone (#'s only)</v>
      </c>
      <c r="K1407">
        <v>8</v>
      </c>
    </row>
    <row r="1408" spans="1:11" ht="15" customHeight="1">
      <c r="A1408" t="str">
        <f t="shared" ca="1" si="419"/>
        <v/>
      </c>
      <c r="B1408">
        <f t="shared" si="414"/>
        <v>406</v>
      </c>
      <c r="C1408" t="str">
        <f t="shared" ca="1" si="420"/>
        <v>City Manager (if applicable)</v>
      </c>
      <c r="D1408" t="str">
        <f t="shared" si="421"/>
        <v>B415</v>
      </c>
      <c r="E1408" t="str">
        <f t="shared" ca="1" si="422"/>
        <v/>
      </c>
      <c r="F1408" t="str">
        <f t="shared" ca="1" si="423"/>
        <v xml:space="preserve">Enter an Email for 'City Manager (if applicable)' in cell B415.
</v>
      </c>
      <c r="G1408" s="9" t="str">
        <f t="shared" ca="1" si="42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8" t="b">
        <f>Calculations!$B$2</f>
        <v>0</v>
      </c>
      <c r="I1408" s="9"/>
      <c r="J1408" t="str">
        <f t="shared" ca="1" si="425"/>
        <v>Email</v>
      </c>
      <c r="K1408">
        <v>9</v>
      </c>
    </row>
    <row r="1409" spans="1:11" ht="15" customHeight="1">
      <c r="A1409" t="str">
        <f t="shared" ca="1" si="418"/>
        <v/>
      </c>
      <c r="B1409">
        <f>ROW('Contact Information'!B417)</f>
        <v>417</v>
      </c>
      <c r="C1409" t="str">
        <f t="shared" ca="1" si="407"/>
        <v>City Planner</v>
      </c>
      <c r="D1409" t="str">
        <f t="shared" si="416"/>
        <v>B418</v>
      </c>
      <c r="E1409" t="str">
        <f t="shared" ref="E1409:E1410" ca="1" si="426">IF(ISBLANK( INDIRECT($F$1101 &amp; D1409)),"", INDIRECT($F$1101 &amp; D1409))</f>
        <v/>
      </c>
      <c r="F1409" t="str">
        <f ca="1">CONCATENATE("Enter a "&amp; J1409 &amp;" for '", C1409, "' in cell ", D1409, ".", CHAR(10))</f>
        <v xml:space="preserve">Enter a Jurisdiction Name for 'City Planner' in cell B418.
</v>
      </c>
      <c r="G1409" s="9" t="str">
        <f t="shared" ref="G1409:G1417" ca="1" si="427">OFFSET(G1409, -1, 0) &amp; A1409</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9" t="b">
        <f>Calculations!$B$2</f>
        <v>0</v>
      </c>
      <c r="I1409" s="9"/>
      <c r="J1409" s="52" t="str">
        <f t="shared" ca="1" si="417"/>
        <v>Jurisdiction Name</v>
      </c>
      <c r="K1409" s="52">
        <v>1</v>
      </c>
    </row>
    <row r="1410" spans="1:11" ht="15" customHeight="1">
      <c r="A1410" t="str">
        <f t="shared" ca="1" si="418"/>
        <v/>
      </c>
      <c r="B1410" s="52">
        <f t="shared" ref="B1410:B1462" si="428">B1409</f>
        <v>417</v>
      </c>
      <c r="C1410" t="str">
        <f t="shared" ref="C1410" ca="1" si="429">INDIRECT($F$1101 &amp; ADDRESS(B1410, 1,4  ))</f>
        <v>City Planner</v>
      </c>
      <c r="D1410" t="str">
        <f t="shared" si="416"/>
        <v>B419</v>
      </c>
      <c r="E1410" t="str">
        <f t="shared" ca="1" si="426"/>
        <v/>
      </c>
      <c r="F1410" t="str">
        <f ca="1">CONCATENATE("Enter an "&amp; J1410 &amp;" for '", C1410, "' in cell ", D1410, ".", CHAR(10))</f>
        <v xml:space="preserve">Enter an Address for 'City Planner' in cell B419.
</v>
      </c>
      <c r="G1410" s="9" t="str">
        <f t="shared" ca="1" si="42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0" t="b">
        <f>Calculations!$B$2</f>
        <v>0</v>
      </c>
      <c r="I1410" s="9"/>
      <c r="J1410" s="52" t="str">
        <f t="shared" ca="1" si="417"/>
        <v>Address</v>
      </c>
      <c r="K1410" s="52">
        <v>2</v>
      </c>
    </row>
    <row r="1411" spans="1:11" ht="15" customHeight="1">
      <c r="A1411" t="str">
        <f t="shared" ca="1" si="418"/>
        <v/>
      </c>
      <c r="B1411" s="52">
        <f t="shared" si="428"/>
        <v>417</v>
      </c>
      <c r="C1411" t="str">
        <f t="shared" ref="C1411:C1419" ca="1" si="430">INDIRECT($F$1101 &amp; ADDRESS(B1411, 1,4  ))</f>
        <v>City Planner</v>
      </c>
      <c r="D1411" t="str">
        <f t="shared" si="416"/>
        <v>B420</v>
      </c>
      <c r="E1411" t="str">
        <f t="shared" ref="E1411:E1419" ca="1" si="431">IF(ISBLANK( INDIRECT($F$1101 &amp; D1411)),"", INDIRECT($F$1101 &amp; D1411))</f>
        <v/>
      </c>
      <c r="F1411" t="str">
        <f t="shared" ref="F1411:F1416" ca="1" si="432">CONCATENATE("Enter a "&amp; J1411 &amp;" for '", C1411, "' in cell ", D1411, ".", CHAR(10))</f>
        <v xml:space="preserve">Enter a City  for 'City Planner' in cell B420.
</v>
      </c>
      <c r="G1411" s="9" t="str">
        <f t="shared" ca="1" si="42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1" t="b">
        <f>Calculations!$B$2</f>
        <v>0</v>
      </c>
      <c r="I1411" s="9"/>
      <c r="J1411" s="52" t="str">
        <f t="shared" ca="1" si="417"/>
        <v xml:space="preserve">City </v>
      </c>
      <c r="K1411" s="52">
        <v>3</v>
      </c>
    </row>
    <row r="1412" spans="1:11" ht="15" customHeight="1">
      <c r="A1412" t="str">
        <f t="shared" ca="1" si="418"/>
        <v/>
      </c>
      <c r="B1412" s="52">
        <f t="shared" si="428"/>
        <v>417</v>
      </c>
      <c r="C1412" t="str">
        <f t="shared" ca="1" si="430"/>
        <v>City Planner</v>
      </c>
      <c r="D1412" t="str">
        <f t="shared" si="416"/>
        <v>B421</v>
      </c>
      <c r="E1412" t="str">
        <f t="shared" ca="1" si="431"/>
        <v/>
      </c>
      <c r="F1412" t="str">
        <f t="shared" ca="1" si="432"/>
        <v xml:space="preserve">Enter a State for 'City Planner' in cell B421.
</v>
      </c>
      <c r="G1412" s="9" t="str">
        <f t="shared" ca="1" si="42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2" t="b">
        <f>Calculations!$B$2</f>
        <v>0</v>
      </c>
      <c r="I1412" s="9"/>
      <c r="J1412" s="52" t="str">
        <f t="shared" ca="1" si="417"/>
        <v>State</v>
      </c>
      <c r="K1412" s="52">
        <v>4</v>
      </c>
    </row>
    <row r="1413" spans="1:11" ht="15" customHeight="1">
      <c r="A1413" t="str">
        <f t="shared" ca="1" si="418"/>
        <v/>
      </c>
      <c r="B1413" s="52">
        <f t="shared" si="428"/>
        <v>417</v>
      </c>
      <c r="C1413" t="str">
        <f t="shared" ca="1" si="430"/>
        <v>City Planner</v>
      </c>
      <c r="D1413" t="str">
        <f t="shared" si="416"/>
        <v>B422</v>
      </c>
      <c r="E1413" t="str">
        <f t="shared" ca="1" si="431"/>
        <v/>
      </c>
      <c r="F1413" t="str">
        <f t="shared" ca="1" si="432"/>
        <v xml:space="preserve">Enter a Zip (first five #'s only) for 'City Planner' in cell B422.
</v>
      </c>
      <c r="G1413" s="9" t="str">
        <f t="shared" ca="1" si="42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3" t="b">
        <f>Calculations!$B$2</f>
        <v>0</v>
      </c>
      <c r="I1413" s="9"/>
      <c r="J1413" s="52" t="str">
        <f t="shared" ca="1" si="417"/>
        <v>Zip (first five #'s only)</v>
      </c>
      <c r="K1413" s="52">
        <v>5</v>
      </c>
    </row>
    <row r="1414" spans="1:11" ht="15" customHeight="1">
      <c r="A1414" t="str">
        <f t="shared" ca="1" si="418"/>
        <v/>
      </c>
      <c r="B1414" s="52">
        <f t="shared" si="428"/>
        <v>417</v>
      </c>
      <c r="C1414" t="str">
        <f t="shared" ca="1" si="430"/>
        <v>City Planner</v>
      </c>
      <c r="D1414" t="str">
        <f t="shared" si="416"/>
        <v>B423</v>
      </c>
      <c r="E1414" t="str">
        <f t="shared" ca="1" si="431"/>
        <v/>
      </c>
      <c r="F1414" t="str">
        <f t="shared" ca="1" si="432"/>
        <v xml:space="preserve">Enter a Contact First Name for 'City Planner' in cell B423.
</v>
      </c>
      <c r="G1414" s="9" t="str">
        <f t="shared" ca="1" si="42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4" t="b">
        <f>Calculations!$B$2</f>
        <v>0</v>
      </c>
      <c r="I1414" s="9"/>
      <c r="J1414" s="52" t="str">
        <f t="shared" ca="1" si="417"/>
        <v>Contact First Name</v>
      </c>
      <c r="K1414" s="52">
        <v>6</v>
      </c>
    </row>
    <row r="1415" spans="1:11" ht="15" customHeight="1">
      <c r="A1415" t="str">
        <f t="shared" ca="1" si="418"/>
        <v/>
      </c>
      <c r="B1415" s="52">
        <f t="shared" si="428"/>
        <v>417</v>
      </c>
      <c r="C1415" t="str">
        <f t="shared" ca="1" si="430"/>
        <v>City Planner</v>
      </c>
      <c r="D1415" t="str">
        <f t="shared" si="416"/>
        <v>B424</v>
      </c>
      <c r="E1415" t="str">
        <f t="shared" ca="1" si="431"/>
        <v/>
      </c>
      <c r="F1415" t="str">
        <f t="shared" ca="1" si="432"/>
        <v xml:space="preserve">Enter a Contact Last Name for 'City Planner' in cell B424.
</v>
      </c>
      <c r="G1415" s="9" t="str">
        <f t="shared" ca="1" si="42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5" t="b">
        <f>Calculations!$B$2</f>
        <v>0</v>
      </c>
      <c r="I1415" s="9"/>
      <c r="J1415" s="52" t="str">
        <f t="shared" ca="1" si="417"/>
        <v>Contact Last Name</v>
      </c>
      <c r="K1415" s="52">
        <v>7</v>
      </c>
    </row>
    <row r="1416" spans="1:11" ht="15" customHeight="1">
      <c r="A1416" t="str">
        <f t="shared" ca="1" si="418"/>
        <v/>
      </c>
      <c r="B1416" s="52">
        <f t="shared" si="428"/>
        <v>417</v>
      </c>
      <c r="C1416" t="str">
        <f t="shared" ca="1" si="430"/>
        <v>City Planner</v>
      </c>
      <c r="D1416" t="str">
        <f t="shared" si="416"/>
        <v>B425</v>
      </c>
      <c r="E1416" t="str">
        <f t="shared" ca="1" si="431"/>
        <v/>
      </c>
      <c r="F1416" t="str">
        <f t="shared" ca="1" si="432"/>
        <v xml:space="preserve">Enter a Phone (#'s only) for 'City Planner' in cell B425.
</v>
      </c>
      <c r="G1416" s="9" t="str">
        <f t="shared" ca="1" si="42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6" t="b">
        <f>Calculations!$B$2</f>
        <v>0</v>
      </c>
      <c r="I1416" s="9"/>
      <c r="J1416" s="52" t="str">
        <f t="shared" ca="1" si="417"/>
        <v>Phone (#'s only)</v>
      </c>
      <c r="K1416" s="52">
        <v>8</v>
      </c>
    </row>
    <row r="1417" spans="1:11" ht="15" customHeight="1">
      <c r="A1417" t="str">
        <f t="shared" ca="1" si="418"/>
        <v/>
      </c>
      <c r="B1417" s="52">
        <f t="shared" si="428"/>
        <v>417</v>
      </c>
      <c r="C1417" t="str">
        <f t="shared" ca="1" si="430"/>
        <v>City Planner</v>
      </c>
      <c r="D1417" t="str">
        <f t="shared" si="416"/>
        <v>B426</v>
      </c>
      <c r="E1417" t="str">
        <f t="shared" ca="1" si="431"/>
        <v/>
      </c>
      <c r="F1417" t="str">
        <f ca="1">CONCATENATE("Enter an "&amp; J1417 &amp;" for '", C1417, "' in cell ", D1417, ".", CHAR(10))</f>
        <v xml:space="preserve">Enter an Email for 'City Planner' in cell B426.
</v>
      </c>
      <c r="G1417" s="9" t="str">
        <f t="shared" ca="1" si="42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7" t="b">
        <f>Calculations!$B$2</f>
        <v>0</v>
      </c>
      <c r="I1417" s="9"/>
      <c r="J1417" s="52" t="str">
        <f t="shared" ca="1" si="417"/>
        <v>Email</v>
      </c>
      <c r="K1417" s="52">
        <v>9</v>
      </c>
    </row>
    <row r="1418" spans="1:11" ht="15" customHeight="1">
      <c r="A1418" t="str">
        <f t="shared" ca="1" si="418"/>
        <v/>
      </c>
      <c r="B1418">
        <f>ROW('Contact Information'!B428)</f>
        <v>428</v>
      </c>
      <c r="C1418" t="str">
        <f t="shared" ca="1" si="430"/>
        <v>Local Housing Authortity</v>
      </c>
      <c r="D1418" t="str">
        <f t="shared" si="416"/>
        <v>B429</v>
      </c>
      <c r="E1418" t="str">
        <f t="shared" ca="1" si="431"/>
        <v/>
      </c>
      <c r="F1418" t="str">
        <f ca="1">CONCATENATE("Enter a "&amp; J1418 &amp;" for '", C1418, "' in cell ", D1418, ".", CHAR(10))</f>
        <v xml:space="preserve">Enter a Organization for 'Local Housing Authortity' in cell B429.
</v>
      </c>
      <c r="G1418" s="9" t="str">
        <f t="shared" ref="G1418:G1426" ca="1" si="433">OFFSET(G1418, -1, 0) &amp; A1418</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8" t="b">
        <f>TRUE</f>
        <v>1</v>
      </c>
      <c r="I1418" s="9"/>
      <c r="J1418" s="52" t="str">
        <f t="shared" ca="1" si="417"/>
        <v>Organization</v>
      </c>
      <c r="K1418" s="52">
        <v>1</v>
      </c>
    </row>
    <row r="1419" spans="1:11" ht="15" customHeight="1">
      <c r="A1419" t="str">
        <f t="shared" ca="1" si="418"/>
        <v/>
      </c>
      <c r="B1419" s="52">
        <f t="shared" si="428"/>
        <v>428</v>
      </c>
      <c r="C1419" t="str">
        <f t="shared" ca="1" si="430"/>
        <v>Local Housing Authortity</v>
      </c>
      <c r="D1419" t="str">
        <f t="shared" si="416"/>
        <v>B430</v>
      </c>
      <c r="E1419" t="str">
        <f t="shared" ca="1" si="431"/>
        <v/>
      </c>
      <c r="F1419" t="str">
        <f ca="1">CONCATENATE("Enter an "&amp; J1419 &amp;" for '", C1419, "' in cell ", D1419, ".", CHAR(10))</f>
        <v xml:space="preserve">Enter an Address for 'Local Housing Authortity' in cell B430.
</v>
      </c>
      <c r="G1419" s="9" t="str">
        <f t="shared" ca="1" si="43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9" t="b">
        <f>TRUE</f>
        <v>1</v>
      </c>
      <c r="I1419" s="9"/>
      <c r="J1419" s="52" t="str">
        <f t="shared" ca="1" si="417"/>
        <v>Address</v>
      </c>
      <c r="K1419" s="52">
        <v>2</v>
      </c>
    </row>
    <row r="1420" spans="1:11" ht="15" customHeight="1">
      <c r="A1420" t="str">
        <f t="shared" ca="1" si="418"/>
        <v/>
      </c>
      <c r="B1420" s="52">
        <f t="shared" si="428"/>
        <v>428</v>
      </c>
      <c r="C1420" t="str">
        <f t="shared" ref="C1420:C1428" ca="1" si="434">INDIRECT($F$1101 &amp; ADDRESS(B1420, 1,4  ))</f>
        <v>Local Housing Authortity</v>
      </c>
      <c r="D1420" t="str">
        <f t="shared" si="416"/>
        <v>B431</v>
      </c>
      <c r="E1420" t="str">
        <f t="shared" ref="E1420:E1428" ca="1" si="435">IF(ISBLANK( INDIRECT($F$1101 &amp; D1420)),"", INDIRECT($F$1101 &amp; D1420))</f>
        <v/>
      </c>
      <c r="F1420" t="str">
        <f t="shared" ref="F1420:F1425" ca="1" si="436">CONCATENATE("Enter a "&amp; J1420 &amp;" for '", C1420, "' in cell ", D1420, ".", CHAR(10))</f>
        <v xml:space="preserve">Enter a City  for 'Local Housing Authortity' in cell B431.
</v>
      </c>
      <c r="G1420" s="9" t="str">
        <f t="shared" ca="1" si="43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0" t="b">
        <f>TRUE</f>
        <v>1</v>
      </c>
      <c r="I1420" s="9"/>
      <c r="J1420" s="52" t="str">
        <f t="shared" ca="1" si="417"/>
        <v xml:space="preserve">City </v>
      </c>
      <c r="K1420" s="52">
        <v>3</v>
      </c>
    </row>
    <row r="1421" spans="1:11" ht="15" customHeight="1">
      <c r="A1421" t="str">
        <f t="shared" ca="1" si="418"/>
        <v/>
      </c>
      <c r="B1421" s="52">
        <f t="shared" si="428"/>
        <v>428</v>
      </c>
      <c r="C1421" t="str">
        <f t="shared" ca="1" si="434"/>
        <v>Local Housing Authortity</v>
      </c>
      <c r="D1421" t="str">
        <f t="shared" si="416"/>
        <v>B432</v>
      </c>
      <c r="E1421" t="str">
        <f t="shared" ca="1" si="435"/>
        <v/>
      </c>
      <c r="F1421" t="str">
        <f t="shared" ca="1" si="436"/>
        <v xml:space="preserve">Enter a State for 'Local Housing Authortity' in cell B432.
</v>
      </c>
      <c r="G1421" s="9" t="str">
        <f t="shared" ca="1" si="43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1" t="b">
        <f>TRUE</f>
        <v>1</v>
      </c>
      <c r="I1421" s="9"/>
      <c r="J1421" s="52" t="str">
        <f t="shared" ca="1" si="417"/>
        <v>State</v>
      </c>
      <c r="K1421" s="52">
        <v>4</v>
      </c>
    </row>
    <row r="1422" spans="1:11" ht="15" customHeight="1">
      <c r="A1422" t="str">
        <f t="shared" ca="1" si="418"/>
        <v/>
      </c>
      <c r="B1422" s="52">
        <f t="shared" si="428"/>
        <v>428</v>
      </c>
      <c r="C1422" t="str">
        <f t="shared" ca="1" si="434"/>
        <v>Local Housing Authortity</v>
      </c>
      <c r="D1422" t="str">
        <f t="shared" si="416"/>
        <v>B433</v>
      </c>
      <c r="E1422" t="str">
        <f t="shared" ca="1" si="435"/>
        <v/>
      </c>
      <c r="F1422" t="str">
        <f t="shared" ca="1" si="436"/>
        <v xml:space="preserve">Enter a Zip (first five #'s only) for 'Local Housing Authortity' in cell B433.
</v>
      </c>
      <c r="G1422" s="9" t="str">
        <f t="shared" ca="1" si="43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2" t="b">
        <f>TRUE</f>
        <v>1</v>
      </c>
      <c r="I1422" s="9"/>
      <c r="J1422" s="52" t="str">
        <f t="shared" ca="1" si="417"/>
        <v>Zip (first five #'s only)</v>
      </c>
      <c r="K1422" s="52">
        <v>5</v>
      </c>
    </row>
    <row r="1423" spans="1:11" ht="15" customHeight="1">
      <c r="A1423" t="str">
        <f t="shared" ca="1" si="418"/>
        <v/>
      </c>
      <c r="B1423" s="52">
        <f t="shared" si="428"/>
        <v>428</v>
      </c>
      <c r="C1423" t="str">
        <f t="shared" ca="1" si="434"/>
        <v>Local Housing Authortity</v>
      </c>
      <c r="D1423" t="str">
        <f t="shared" si="416"/>
        <v>B434</v>
      </c>
      <c r="E1423" t="str">
        <f t="shared" ca="1" si="435"/>
        <v/>
      </c>
      <c r="F1423" t="str">
        <f t="shared" ca="1" si="436"/>
        <v xml:space="preserve">Enter a Executive Director Contact First Name for 'Local Housing Authortity' in cell B434.
</v>
      </c>
      <c r="G1423" s="9" t="str">
        <f t="shared" ca="1" si="43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3" t="b">
        <f>TRUE</f>
        <v>1</v>
      </c>
      <c r="I1423" s="9"/>
      <c r="J1423" s="52" t="str">
        <f t="shared" ca="1" si="417"/>
        <v>Executive Director Contact First Name</v>
      </c>
      <c r="K1423" s="52">
        <v>6</v>
      </c>
    </row>
    <row r="1424" spans="1:11" ht="15" customHeight="1">
      <c r="A1424" t="str">
        <f t="shared" ca="1" si="418"/>
        <v/>
      </c>
      <c r="B1424" s="52">
        <f t="shared" si="428"/>
        <v>428</v>
      </c>
      <c r="C1424" t="str">
        <f t="shared" ca="1" si="434"/>
        <v>Local Housing Authortity</v>
      </c>
      <c r="D1424" t="str">
        <f t="shared" si="416"/>
        <v>B435</v>
      </c>
      <c r="E1424" t="str">
        <f t="shared" ca="1" si="435"/>
        <v/>
      </c>
      <c r="F1424" t="str">
        <f t="shared" ca="1" si="436"/>
        <v xml:space="preserve">Enter a Executive Director Contact Last Name for 'Local Housing Authortity' in cell B435.
</v>
      </c>
      <c r="G1424" s="9" t="str">
        <f t="shared" ca="1" si="43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4" t="b">
        <f>TRUE</f>
        <v>1</v>
      </c>
      <c r="I1424" s="9"/>
      <c r="J1424" s="52" t="str">
        <f t="shared" ca="1" si="417"/>
        <v>Executive Director Contact Last Name</v>
      </c>
      <c r="K1424" s="52">
        <v>7</v>
      </c>
    </row>
    <row r="1425" spans="1:11" ht="15" customHeight="1">
      <c r="A1425" t="str">
        <f t="shared" ca="1" si="418"/>
        <v/>
      </c>
      <c r="B1425" s="52">
        <f t="shared" si="428"/>
        <v>428</v>
      </c>
      <c r="C1425" t="str">
        <f t="shared" ca="1" si="434"/>
        <v>Local Housing Authortity</v>
      </c>
      <c r="D1425" t="str">
        <f t="shared" si="416"/>
        <v>B436</v>
      </c>
      <c r="E1425" t="str">
        <f t="shared" ca="1" si="435"/>
        <v/>
      </c>
      <c r="F1425" t="str">
        <f t="shared" ca="1" si="436"/>
        <v xml:space="preserve">Enter a Phone (#'s only) for 'Local Housing Authortity' in cell B436.
</v>
      </c>
      <c r="G1425" s="9" t="str">
        <f t="shared" ca="1" si="43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5" t="b">
        <f>TRUE</f>
        <v>1</v>
      </c>
      <c r="I1425" s="9"/>
      <c r="J1425" s="52" t="str">
        <f t="shared" ca="1" si="417"/>
        <v>Phone (#'s only)</v>
      </c>
      <c r="K1425" s="52">
        <v>8</v>
      </c>
    </row>
    <row r="1426" spans="1:11" ht="15" customHeight="1">
      <c r="A1426" t="str">
        <f t="shared" ca="1" si="418"/>
        <v/>
      </c>
      <c r="B1426" s="52">
        <f t="shared" si="428"/>
        <v>428</v>
      </c>
      <c r="C1426" t="str">
        <f t="shared" ca="1" si="434"/>
        <v>Local Housing Authortity</v>
      </c>
      <c r="D1426" t="str">
        <f t="shared" si="416"/>
        <v>B437</v>
      </c>
      <c r="E1426" t="str">
        <f t="shared" ca="1" si="435"/>
        <v/>
      </c>
      <c r="F1426" t="str">
        <f ca="1">CONCATENATE("Enter an "&amp; J1426 &amp;" for '", C1426, "' in cell ", D1426, ".", CHAR(10))</f>
        <v xml:space="preserve">Enter an Email for 'Local Housing Authortity' in cell B437.
</v>
      </c>
      <c r="G1426" s="9" t="str">
        <f t="shared" ca="1" si="43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6" t="b">
        <f>TRUE</f>
        <v>1</v>
      </c>
      <c r="I1426" s="9"/>
      <c r="J1426" s="52" t="str">
        <f t="shared" ca="1" si="417"/>
        <v>Email</v>
      </c>
      <c r="K1426" s="52">
        <v>9</v>
      </c>
    </row>
    <row r="1427" spans="1:11" ht="15" customHeight="1">
      <c r="A1427" t="str">
        <f t="shared" ca="1" si="418"/>
        <v/>
      </c>
      <c r="B1427">
        <f>ROW('Contact Information'!B440)</f>
        <v>440</v>
      </c>
      <c r="C1427" t="str">
        <f t="shared" ca="1" si="434"/>
        <v>Construction/Completion Guarantee</v>
      </c>
      <c r="D1427" t="str">
        <f t="shared" si="416"/>
        <v>B441</v>
      </c>
      <c r="E1427" t="str">
        <f t="shared" ca="1" si="435"/>
        <v/>
      </c>
      <c r="F1427" t="str">
        <f ca="1">CONCATENATE("Enter a "&amp; J1427 &amp;" for '", C1427, "' in cell ", D1427, ".", CHAR(10))</f>
        <v xml:space="preserve">Enter a Organization for 'Construction/Completion Guarantee' in cell B441.
</v>
      </c>
      <c r="G1427" s="9" t="str">
        <f t="shared" ref="G1427:G1435" ca="1" si="437">OFFSET(G1427, -1, 0) &amp; A1427</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7" t="b">
        <f>Calculations!$B$2</f>
        <v>0</v>
      </c>
      <c r="I1427" s="9"/>
      <c r="J1427" s="52" t="str">
        <f t="shared" ca="1" si="417"/>
        <v>Organization</v>
      </c>
      <c r="K1427" s="52">
        <v>1</v>
      </c>
    </row>
    <row r="1428" spans="1:11" ht="15" customHeight="1">
      <c r="A1428" t="str">
        <f t="shared" ca="1" si="418"/>
        <v/>
      </c>
      <c r="B1428" s="52">
        <f t="shared" si="428"/>
        <v>440</v>
      </c>
      <c r="C1428" t="str">
        <f t="shared" ca="1" si="434"/>
        <v>Construction/Completion Guarantee</v>
      </c>
      <c r="D1428" t="str">
        <f t="shared" si="416"/>
        <v>B442</v>
      </c>
      <c r="E1428" t="str">
        <f t="shared" ca="1" si="435"/>
        <v/>
      </c>
      <c r="F1428" t="str">
        <f ca="1">CONCATENATE("Enter an "&amp; J1428 &amp;" for '", C1428, "' in cell ", D1428, ".", CHAR(10))</f>
        <v xml:space="preserve">Enter an Address for 'Construction/Completion Guarantee' in cell B442.
</v>
      </c>
      <c r="G1428" s="9" t="str">
        <f t="shared" ca="1" si="43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8" t="b">
        <f>Calculations!$B$2</f>
        <v>0</v>
      </c>
      <c r="I1428" s="9"/>
      <c r="J1428" s="52" t="str">
        <f t="shared" ca="1" si="417"/>
        <v>Address</v>
      </c>
      <c r="K1428" s="52">
        <v>2</v>
      </c>
    </row>
    <row r="1429" spans="1:11" ht="15" customHeight="1">
      <c r="A1429" t="str">
        <f t="shared" ca="1" si="418"/>
        <v/>
      </c>
      <c r="B1429" s="52">
        <f t="shared" si="428"/>
        <v>440</v>
      </c>
      <c r="C1429" t="str">
        <f t="shared" ref="C1429:C1437" ca="1" si="438">INDIRECT($F$1101 &amp; ADDRESS(B1429, 1,4  ))</f>
        <v>Construction/Completion Guarantee</v>
      </c>
      <c r="D1429" t="str">
        <f t="shared" si="416"/>
        <v>B443</v>
      </c>
      <c r="E1429" t="str">
        <f t="shared" ref="E1429:E1437" ca="1" si="439">IF(ISBLANK( INDIRECT($F$1101 &amp; D1429)),"", INDIRECT($F$1101 &amp; D1429))</f>
        <v/>
      </c>
      <c r="F1429" t="str">
        <f t="shared" ref="F1429:F1434" ca="1" si="440">CONCATENATE("Enter a "&amp; J1429 &amp;" for '", C1429, "' in cell ", D1429, ".", CHAR(10))</f>
        <v xml:space="preserve">Enter a City  for 'Construction/Completion Guarantee' in cell B443.
</v>
      </c>
      <c r="G1429" s="9" t="str">
        <f t="shared" ca="1" si="43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9" t="b">
        <f>Calculations!$B$2</f>
        <v>0</v>
      </c>
      <c r="I1429" s="9"/>
      <c r="J1429" s="52" t="str">
        <f t="shared" ca="1" si="417"/>
        <v xml:space="preserve">City </v>
      </c>
      <c r="K1429" s="52">
        <v>3</v>
      </c>
    </row>
    <row r="1430" spans="1:11" ht="15" customHeight="1">
      <c r="A1430" t="str">
        <f t="shared" ca="1" si="418"/>
        <v/>
      </c>
      <c r="B1430" s="52">
        <f t="shared" si="428"/>
        <v>440</v>
      </c>
      <c r="C1430" t="str">
        <f t="shared" ca="1" si="438"/>
        <v>Construction/Completion Guarantee</v>
      </c>
      <c r="D1430" t="str">
        <f t="shared" si="416"/>
        <v>B444</v>
      </c>
      <c r="E1430" t="str">
        <f t="shared" ca="1" si="439"/>
        <v/>
      </c>
      <c r="F1430" t="str">
        <f t="shared" ca="1" si="440"/>
        <v xml:space="preserve">Enter a State for 'Construction/Completion Guarantee' in cell B444.
</v>
      </c>
      <c r="G1430" s="9" t="str">
        <f t="shared" ca="1" si="43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0" t="b">
        <f>Calculations!$B$2</f>
        <v>0</v>
      </c>
      <c r="I1430" s="9"/>
      <c r="J1430" s="52" t="str">
        <f t="shared" ca="1" si="417"/>
        <v>State</v>
      </c>
      <c r="K1430" s="52">
        <v>4</v>
      </c>
    </row>
    <row r="1431" spans="1:11" ht="15" customHeight="1">
      <c r="A1431" t="str">
        <f t="shared" ca="1" si="418"/>
        <v/>
      </c>
      <c r="B1431" s="52">
        <f t="shared" si="428"/>
        <v>440</v>
      </c>
      <c r="C1431" t="str">
        <f t="shared" ca="1" si="438"/>
        <v>Construction/Completion Guarantee</v>
      </c>
      <c r="D1431" t="str">
        <f t="shared" si="416"/>
        <v>B445</v>
      </c>
      <c r="E1431" t="str">
        <f t="shared" ca="1" si="439"/>
        <v/>
      </c>
      <c r="F1431" t="str">
        <f t="shared" ca="1" si="440"/>
        <v xml:space="preserve">Enter a Zip (first five #'s only) for 'Construction/Completion Guarantee' in cell B445.
</v>
      </c>
      <c r="G1431" s="9" t="str">
        <f t="shared" ca="1" si="43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1" t="b">
        <f>Calculations!$B$2</f>
        <v>0</v>
      </c>
      <c r="I1431" s="9"/>
      <c r="J1431" s="52" t="str">
        <f t="shared" ca="1" si="417"/>
        <v>Zip (first five #'s only)</v>
      </c>
      <c r="K1431" s="52">
        <v>5</v>
      </c>
    </row>
    <row r="1432" spans="1:11" ht="15" customHeight="1">
      <c r="A1432" t="str">
        <f t="shared" ca="1" si="418"/>
        <v/>
      </c>
      <c r="B1432" s="52">
        <f t="shared" si="428"/>
        <v>440</v>
      </c>
      <c r="C1432" t="str">
        <f t="shared" ca="1" si="438"/>
        <v>Construction/Completion Guarantee</v>
      </c>
      <c r="D1432" t="str">
        <f t="shared" si="416"/>
        <v>B446</v>
      </c>
      <c r="E1432" t="str">
        <f t="shared" ca="1" si="439"/>
        <v/>
      </c>
      <c r="F1432" t="str">
        <f t="shared" ca="1" si="440"/>
        <v xml:space="preserve">Enter a Contact First Name for 'Construction/Completion Guarantee' in cell B446.
</v>
      </c>
      <c r="G1432" s="9" t="str">
        <f t="shared" ca="1" si="43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2" t="b">
        <f>Calculations!$B$2</f>
        <v>0</v>
      </c>
      <c r="I1432" s="9"/>
      <c r="J1432" s="52" t="str">
        <f t="shared" ca="1" si="417"/>
        <v>Contact First Name</v>
      </c>
      <c r="K1432" s="52">
        <v>6</v>
      </c>
    </row>
    <row r="1433" spans="1:11" ht="15" customHeight="1">
      <c r="A1433" t="str">
        <f t="shared" ca="1" si="418"/>
        <v/>
      </c>
      <c r="B1433" s="52">
        <f t="shared" si="428"/>
        <v>440</v>
      </c>
      <c r="C1433" t="str">
        <f t="shared" ca="1" si="438"/>
        <v>Construction/Completion Guarantee</v>
      </c>
      <c r="D1433" t="str">
        <f t="shared" si="416"/>
        <v>B447</v>
      </c>
      <c r="E1433" t="str">
        <f t="shared" ca="1" si="439"/>
        <v/>
      </c>
      <c r="F1433" t="str">
        <f t="shared" ca="1" si="440"/>
        <v xml:space="preserve">Enter a Contact Last Name for 'Construction/Completion Guarantee' in cell B447.
</v>
      </c>
      <c r="G1433" s="9" t="str">
        <f t="shared" ca="1" si="43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3" t="b">
        <f>Calculations!$B$2</f>
        <v>0</v>
      </c>
      <c r="I1433" s="9"/>
      <c r="J1433" s="52" t="str">
        <f t="shared" ca="1" si="417"/>
        <v>Contact Last Name</v>
      </c>
      <c r="K1433" s="52">
        <v>7</v>
      </c>
    </row>
    <row r="1434" spans="1:11" ht="15" customHeight="1">
      <c r="A1434" t="str">
        <f t="shared" ca="1" si="418"/>
        <v/>
      </c>
      <c r="B1434" s="52">
        <f t="shared" si="428"/>
        <v>440</v>
      </c>
      <c r="C1434" t="str">
        <f t="shared" ca="1" si="438"/>
        <v>Construction/Completion Guarantee</v>
      </c>
      <c r="D1434" t="str">
        <f t="shared" si="416"/>
        <v>B448</v>
      </c>
      <c r="E1434" t="str">
        <f t="shared" ca="1" si="439"/>
        <v/>
      </c>
      <c r="F1434" t="str">
        <f t="shared" ca="1" si="440"/>
        <v xml:space="preserve">Enter a Phone (#'s only) for 'Construction/Completion Guarantee' in cell B448.
</v>
      </c>
      <c r="G1434" s="9" t="str">
        <f t="shared" ca="1" si="43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4" t="b">
        <f>Calculations!$B$2</f>
        <v>0</v>
      </c>
      <c r="I1434" s="9"/>
      <c r="J1434" s="52" t="str">
        <f t="shared" ca="1" si="417"/>
        <v>Phone (#'s only)</v>
      </c>
      <c r="K1434" s="52">
        <v>8</v>
      </c>
    </row>
    <row r="1435" spans="1:11" ht="15" customHeight="1">
      <c r="A1435" t="str">
        <f t="shared" ca="1" si="418"/>
        <v/>
      </c>
      <c r="B1435" s="52">
        <f t="shared" si="428"/>
        <v>440</v>
      </c>
      <c r="C1435" t="str">
        <f t="shared" ca="1" si="438"/>
        <v>Construction/Completion Guarantee</v>
      </c>
      <c r="D1435" t="str">
        <f t="shared" si="416"/>
        <v>B449</v>
      </c>
      <c r="E1435" t="str">
        <f t="shared" ca="1" si="439"/>
        <v/>
      </c>
      <c r="F1435" t="str">
        <f ca="1">CONCATENATE("Enter an "&amp; J1435 &amp;" for '", C1435, "' in cell ", D1435, ".", CHAR(10))</f>
        <v xml:space="preserve">Enter an Email for 'Construction/Completion Guarantee' in cell B449.
</v>
      </c>
      <c r="G1435" s="9" t="str">
        <f t="shared" ca="1" si="43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5" t="b">
        <f>Calculations!$B$2</f>
        <v>0</v>
      </c>
      <c r="I1435" s="9"/>
      <c r="J1435" s="52" t="str">
        <f t="shared" ca="1" si="417"/>
        <v>Email</v>
      </c>
      <c r="K1435" s="52">
        <v>9</v>
      </c>
    </row>
    <row r="1436" spans="1:11" ht="15" customHeight="1">
      <c r="A1436" t="str">
        <f t="shared" ca="1" si="418"/>
        <v/>
      </c>
      <c r="B1436">
        <f>ROW('Contact Information'!B451)</f>
        <v>451</v>
      </c>
      <c r="C1436" t="str">
        <f t="shared" ca="1" si="438"/>
        <v>Lease Up Guarantee</v>
      </c>
      <c r="D1436" t="str">
        <f t="shared" si="416"/>
        <v>B452</v>
      </c>
      <c r="E1436" t="str">
        <f t="shared" ca="1" si="439"/>
        <v/>
      </c>
      <c r="F1436" t="str">
        <f ca="1">CONCATENATE("Enter a "&amp; J1436 &amp;" for '", C1436, "' in cell ", D1436, ".", CHAR(10))</f>
        <v xml:space="preserve">Enter a Organization for 'Lease Up Guarantee' in cell B452.
</v>
      </c>
      <c r="G1436" s="9" t="str">
        <f t="shared" ref="G1436:G1444" ca="1" si="441">OFFSET(G1436, -1, 0) &amp; A1436</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6" t="b">
        <f>Calculations!$B$2</f>
        <v>0</v>
      </c>
      <c r="I1436" s="9"/>
      <c r="J1436" s="52" t="str">
        <f t="shared" ca="1" si="417"/>
        <v>Organization</v>
      </c>
      <c r="K1436" s="52">
        <v>1</v>
      </c>
    </row>
    <row r="1437" spans="1:11" ht="15" customHeight="1">
      <c r="A1437" t="str">
        <f t="shared" ca="1" si="418"/>
        <v/>
      </c>
      <c r="B1437" s="52">
        <f t="shared" si="428"/>
        <v>451</v>
      </c>
      <c r="C1437" t="str">
        <f t="shared" ca="1" si="438"/>
        <v>Lease Up Guarantee</v>
      </c>
      <c r="D1437" t="str">
        <f t="shared" si="416"/>
        <v>B453</v>
      </c>
      <c r="E1437" t="str">
        <f t="shared" ca="1" si="439"/>
        <v/>
      </c>
      <c r="F1437" t="str">
        <f ca="1">CONCATENATE("Enter an "&amp; J1437 &amp;" for '", C1437, "' in cell ", D1437, ".", CHAR(10))</f>
        <v xml:space="preserve">Enter an Address for 'Lease Up Guarantee' in cell B453.
</v>
      </c>
      <c r="G1437" s="9" t="str">
        <f t="shared" ca="1" si="44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7" t="b">
        <f>Calculations!$B$2</f>
        <v>0</v>
      </c>
      <c r="I1437" s="9"/>
      <c r="J1437" s="52" t="str">
        <f t="shared" ca="1" si="417"/>
        <v>Address</v>
      </c>
      <c r="K1437" s="52">
        <v>2</v>
      </c>
    </row>
    <row r="1438" spans="1:11" ht="15" customHeight="1">
      <c r="A1438" t="str">
        <f t="shared" ca="1" si="418"/>
        <v/>
      </c>
      <c r="B1438" s="52">
        <f t="shared" si="428"/>
        <v>451</v>
      </c>
      <c r="C1438" t="str">
        <f t="shared" ref="C1438:C1446" ca="1" si="442">INDIRECT($F$1101 &amp; ADDRESS(B1438, 1,4  ))</f>
        <v>Lease Up Guarantee</v>
      </c>
      <c r="D1438" t="str">
        <f t="shared" si="416"/>
        <v>B454</v>
      </c>
      <c r="E1438" t="str">
        <f t="shared" ref="E1438:E1446" ca="1" si="443">IF(ISBLANK( INDIRECT($F$1101 &amp; D1438)),"", INDIRECT($F$1101 &amp; D1438))</f>
        <v/>
      </c>
      <c r="F1438" t="str">
        <f t="shared" ref="F1438:F1443" ca="1" si="444">CONCATENATE("Enter a "&amp; J1438 &amp;" for '", C1438, "' in cell ", D1438, ".", CHAR(10))</f>
        <v xml:space="preserve">Enter a City  for 'Lease Up Guarantee' in cell B454.
</v>
      </c>
      <c r="G1438" s="9" t="str">
        <f t="shared" ca="1" si="44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8" t="b">
        <f>Calculations!$B$2</f>
        <v>0</v>
      </c>
      <c r="I1438" s="9"/>
      <c r="J1438" s="52" t="str">
        <f t="shared" ca="1" si="417"/>
        <v xml:space="preserve">City </v>
      </c>
      <c r="K1438" s="52">
        <v>3</v>
      </c>
    </row>
    <row r="1439" spans="1:11" ht="15" customHeight="1">
      <c r="A1439" t="str">
        <f t="shared" ca="1" si="418"/>
        <v/>
      </c>
      <c r="B1439" s="52">
        <f t="shared" si="428"/>
        <v>451</v>
      </c>
      <c r="C1439" t="str">
        <f t="shared" ca="1" si="442"/>
        <v>Lease Up Guarantee</v>
      </c>
      <c r="D1439" t="str">
        <f t="shared" si="416"/>
        <v>B455</v>
      </c>
      <c r="E1439" t="str">
        <f t="shared" ca="1" si="443"/>
        <v/>
      </c>
      <c r="F1439" t="str">
        <f t="shared" ca="1" si="444"/>
        <v xml:space="preserve">Enter a State for 'Lease Up Guarantee' in cell B455.
</v>
      </c>
      <c r="G1439" s="9" t="str">
        <f t="shared" ca="1" si="44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9" t="b">
        <f>Calculations!$B$2</f>
        <v>0</v>
      </c>
      <c r="I1439" s="9"/>
      <c r="J1439" s="52" t="str">
        <f t="shared" ca="1" si="417"/>
        <v>State</v>
      </c>
      <c r="K1439" s="52">
        <v>4</v>
      </c>
    </row>
    <row r="1440" spans="1:11" ht="15" customHeight="1">
      <c r="A1440" t="str">
        <f t="shared" ca="1" si="418"/>
        <v/>
      </c>
      <c r="B1440" s="52">
        <f t="shared" si="428"/>
        <v>451</v>
      </c>
      <c r="C1440" t="str">
        <f t="shared" ca="1" si="442"/>
        <v>Lease Up Guarantee</v>
      </c>
      <c r="D1440" t="str">
        <f t="shared" si="416"/>
        <v>B456</v>
      </c>
      <c r="E1440" t="str">
        <f t="shared" ca="1" si="443"/>
        <v/>
      </c>
      <c r="F1440" t="str">
        <f t="shared" ca="1" si="444"/>
        <v xml:space="preserve">Enter a Zip (first five #'s only) for 'Lease Up Guarantee' in cell B456.
</v>
      </c>
      <c r="G1440" s="9" t="str">
        <f t="shared" ca="1" si="44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0" t="b">
        <f>Calculations!$B$2</f>
        <v>0</v>
      </c>
      <c r="I1440" s="9"/>
      <c r="J1440" s="52" t="str">
        <f t="shared" ca="1" si="417"/>
        <v>Zip (first five #'s only)</v>
      </c>
      <c r="K1440" s="52">
        <v>5</v>
      </c>
    </row>
    <row r="1441" spans="1:11" ht="15" customHeight="1">
      <c r="A1441" t="str">
        <f t="shared" ca="1" si="418"/>
        <v/>
      </c>
      <c r="B1441" s="52">
        <f t="shared" si="428"/>
        <v>451</v>
      </c>
      <c r="C1441" t="str">
        <f t="shared" ca="1" si="442"/>
        <v>Lease Up Guarantee</v>
      </c>
      <c r="D1441" t="str">
        <f t="shared" si="416"/>
        <v>B457</v>
      </c>
      <c r="E1441" t="str">
        <f t="shared" ca="1" si="443"/>
        <v/>
      </c>
      <c r="F1441" t="str">
        <f t="shared" ca="1" si="444"/>
        <v xml:space="preserve">Enter a Contact First Name for 'Lease Up Guarantee' in cell B457.
</v>
      </c>
      <c r="G1441" s="9" t="str">
        <f t="shared" ca="1" si="44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1" t="b">
        <f>Calculations!$B$2</f>
        <v>0</v>
      </c>
      <c r="I1441" s="9"/>
      <c r="J1441" s="52" t="str">
        <f t="shared" ca="1" si="417"/>
        <v>Contact First Name</v>
      </c>
      <c r="K1441" s="52">
        <v>6</v>
      </c>
    </row>
    <row r="1442" spans="1:11" ht="15" customHeight="1">
      <c r="A1442" t="str">
        <f t="shared" ca="1" si="418"/>
        <v/>
      </c>
      <c r="B1442" s="52">
        <f t="shared" si="428"/>
        <v>451</v>
      </c>
      <c r="C1442" t="str">
        <f t="shared" ca="1" si="442"/>
        <v>Lease Up Guarantee</v>
      </c>
      <c r="D1442" t="str">
        <f t="shared" si="416"/>
        <v>B458</v>
      </c>
      <c r="E1442" t="str">
        <f t="shared" ca="1" si="443"/>
        <v/>
      </c>
      <c r="F1442" t="str">
        <f t="shared" ca="1" si="444"/>
        <v xml:space="preserve">Enter a Contact Last Name for 'Lease Up Guarantee' in cell B458.
</v>
      </c>
      <c r="G1442" s="9" t="str">
        <f t="shared" ca="1" si="44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2" t="b">
        <f>Calculations!$B$2</f>
        <v>0</v>
      </c>
      <c r="I1442" s="9"/>
      <c r="J1442" s="52" t="str">
        <f t="shared" ca="1" si="417"/>
        <v>Contact Last Name</v>
      </c>
      <c r="K1442" s="52">
        <v>7</v>
      </c>
    </row>
    <row r="1443" spans="1:11" ht="15" customHeight="1">
      <c r="A1443" t="str">
        <f t="shared" ca="1" si="418"/>
        <v/>
      </c>
      <c r="B1443" s="52">
        <f t="shared" si="428"/>
        <v>451</v>
      </c>
      <c r="C1443" t="str">
        <f t="shared" ca="1" si="442"/>
        <v>Lease Up Guarantee</v>
      </c>
      <c r="D1443" t="str">
        <f t="shared" si="416"/>
        <v>B459</v>
      </c>
      <c r="E1443" t="str">
        <f t="shared" ca="1" si="443"/>
        <v/>
      </c>
      <c r="F1443" t="str">
        <f t="shared" ca="1" si="444"/>
        <v xml:space="preserve">Enter a Phone (#'s only) for 'Lease Up Guarantee' in cell B459.
</v>
      </c>
      <c r="G1443" s="9" t="str">
        <f t="shared" ca="1" si="44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3" t="b">
        <f>Calculations!$B$2</f>
        <v>0</v>
      </c>
      <c r="I1443" s="9"/>
      <c r="J1443" s="52" t="str">
        <f t="shared" ca="1" si="417"/>
        <v>Phone (#'s only)</v>
      </c>
      <c r="K1443" s="52">
        <v>8</v>
      </c>
    </row>
    <row r="1444" spans="1:11" ht="15" customHeight="1">
      <c r="A1444" t="str">
        <f t="shared" ca="1" si="418"/>
        <v/>
      </c>
      <c r="B1444" s="52">
        <f t="shared" si="428"/>
        <v>451</v>
      </c>
      <c r="C1444" t="str">
        <f t="shared" ca="1" si="442"/>
        <v>Lease Up Guarantee</v>
      </c>
      <c r="D1444" t="str">
        <f t="shared" si="416"/>
        <v>B460</v>
      </c>
      <c r="E1444" t="str">
        <f t="shared" ca="1" si="443"/>
        <v/>
      </c>
      <c r="F1444" t="str">
        <f ca="1">CONCATENATE("Enter an "&amp; J1444 &amp;" for '", C1444, "' in cell ", D1444, ".", CHAR(10))</f>
        <v xml:space="preserve">Enter an Email for 'Lease Up Guarantee' in cell B460.
</v>
      </c>
      <c r="G1444" s="9" t="str">
        <f t="shared" ca="1" si="44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4" t="b">
        <f>Calculations!$B$2</f>
        <v>0</v>
      </c>
      <c r="I1444" s="9"/>
      <c r="J1444" s="52" t="str">
        <f t="shared" ca="1" si="417"/>
        <v>Email</v>
      </c>
      <c r="K1444" s="52">
        <v>9</v>
      </c>
    </row>
    <row r="1445" spans="1:11" ht="15" customHeight="1">
      <c r="A1445" t="str">
        <f t="shared" ca="1" si="418"/>
        <v/>
      </c>
      <c r="B1445">
        <f>ROW('Contact Information'!B462)</f>
        <v>462</v>
      </c>
      <c r="C1445" t="str">
        <f t="shared" ca="1" si="442"/>
        <v xml:space="preserve">Operating Deficit Guarantee </v>
      </c>
      <c r="D1445" t="str">
        <f t="shared" si="416"/>
        <v>B463</v>
      </c>
      <c r="E1445" t="str">
        <f t="shared" ca="1" si="443"/>
        <v/>
      </c>
      <c r="F1445" t="str">
        <f ca="1">CONCATENATE("Enter a "&amp; J1445 &amp;" for '", C1445, "' in cell ", D1445, ".", CHAR(10))</f>
        <v xml:space="preserve">Enter a Organization for 'Operating Deficit Guarantee ' in cell B463.
</v>
      </c>
      <c r="G1445" s="9" t="str">
        <f t="shared" ref="G1445:G1462" ca="1" si="445">OFFSET(G1445, -1, 0) &amp; A1445</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5" t="b">
        <f>Calculations!$B$2</f>
        <v>0</v>
      </c>
      <c r="I1445" s="9"/>
      <c r="J1445" s="52" t="str">
        <f t="shared" ca="1" si="417"/>
        <v>Organization</v>
      </c>
      <c r="K1445" s="52">
        <v>1</v>
      </c>
    </row>
    <row r="1446" spans="1:11" ht="15" customHeight="1">
      <c r="A1446" t="str">
        <f t="shared" ca="1" si="418"/>
        <v/>
      </c>
      <c r="B1446" s="52">
        <f t="shared" si="428"/>
        <v>462</v>
      </c>
      <c r="C1446" t="str">
        <f t="shared" ca="1" si="442"/>
        <v xml:space="preserve">Operating Deficit Guarantee </v>
      </c>
      <c r="D1446" t="str">
        <f t="shared" si="416"/>
        <v>B464</v>
      </c>
      <c r="E1446" t="str">
        <f t="shared" ca="1" si="443"/>
        <v/>
      </c>
      <c r="F1446" t="str">
        <f ca="1">CONCATENATE("Enter an "&amp; J1446 &amp;" for '", C1446, "' in cell ", D1446, ".", CHAR(10))</f>
        <v xml:space="preserve">Enter an Address for 'Operating Deficit Guarantee ' in cell B464.
</v>
      </c>
      <c r="G1446"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6" t="b">
        <f>Calculations!$B$2</f>
        <v>0</v>
      </c>
      <c r="I1446" s="9"/>
      <c r="J1446" s="52" t="str">
        <f t="shared" ca="1" si="417"/>
        <v>Address</v>
      </c>
      <c r="K1446" s="52">
        <v>2</v>
      </c>
    </row>
    <row r="1447" spans="1:11" ht="15" customHeight="1">
      <c r="A1447" t="str">
        <f t="shared" ca="1" si="418"/>
        <v/>
      </c>
      <c r="B1447" s="52">
        <f t="shared" si="428"/>
        <v>462</v>
      </c>
      <c r="C1447" t="str">
        <f t="shared" ref="C1447:C1462" ca="1" si="446">INDIRECT($F$1101 &amp; ADDRESS(B1447, 1,4  ))</f>
        <v xml:space="preserve">Operating Deficit Guarantee </v>
      </c>
      <c r="D1447" t="str">
        <f t="shared" si="416"/>
        <v>B465</v>
      </c>
      <c r="E1447" t="str">
        <f t="shared" ref="E1447:E1462" ca="1" si="447">IF(ISBLANK( INDIRECT($F$1101 &amp; D1447)),"", INDIRECT($F$1101 &amp; D1447))</f>
        <v/>
      </c>
      <c r="F1447" t="str">
        <f t="shared" ref="F1447:F1452" ca="1" si="448">CONCATENATE("Enter a "&amp; J1447 &amp;" for '", C1447, "' in cell ", D1447, ".", CHAR(10))</f>
        <v xml:space="preserve">Enter a City  for 'Operating Deficit Guarantee ' in cell B465.
</v>
      </c>
      <c r="G1447"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7" t="b">
        <f>Calculations!$B$2</f>
        <v>0</v>
      </c>
      <c r="I1447" s="9"/>
      <c r="J1447" s="52" t="str">
        <f t="shared" ca="1" si="417"/>
        <v xml:space="preserve">City </v>
      </c>
      <c r="K1447" s="52">
        <v>3</v>
      </c>
    </row>
    <row r="1448" spans="1:11" ht="15" customHeight="1">
      <c r="A1448" t="str">
        <f t="shared" ca="1" si="418"/>
        <v/>
      </c>
      <c r="B1448" s="52">
        <f t="shared" si="428"/>
        <v>462</v>
      </c>
      <c r="C1448" t="str">
        <f t="shared" ca="1" si="446"/>
        <v xml:space="preserve">Operating Deficit Guarantee </v>
      </c>
      <c r="D1448" t="str">
        <f t="shared" si="416"/>
        <v>B466</v>
      </c>
      <c r="E1448" t="str">
        <f t="shared" ca="1" si="447"/>
        <v/>
      </c>
      <c r="F1448" t="str">
        <f t="shared" ca="1" si="448"/>
        <v xml:space="preserve">Enter a State for 'Operating Deficit Guarantee ' in cell B466.
</v>
      </c>
      <c r="G1448"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8" t="b">
        <f>Calculations!$B$2</f>
        <v>0</v>
      </c>
      <c r="I1448" s="9"/>
      <c r="J1448" s="52" t="str">
        <f t="shared" ca="1" si="417"/>
        <v>State</v>
      </c>
      <c r="K1448" s="52">
        <v>4</v>
      </c>
    </row>
    <row r="1449" spans="1:11" ht="15" customHeight="1">
      <c r="A1449" t="str">
        <f t="shared" ca="1" si="418"/>
        <v/>
      </c>
      <c r="B1449" s="52">
        <f t="shared" si="428"/>
        <v>462</v>
      </c>
      <c r="C1449" t="str">
        <f t="shared" ca="1" si="446"/>
        <v xml:space="preserve">Operating Deficit Guarantee </v>
      </c>
      <c r="D1449" t="str">
        <f t="shared" si="416"/>
        <v>B467</v>
      </c>
      <c r="E1449" t="str">
        <f t="shared" ca="1" si="447"/>
        <v/>
      </c>
      <c r="F1449" t="str">
        <f t="shared" ca="1" si="448"/>
        <v xml:space="preserve">Enter a Zip (first five #'s only) for 'Operating Deficit Guarantee ' in cell B467.
</v>
      </c>
      <c r="G1449"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9" t="b">
        <f>Calculations!$B$2</f>
        <v>0</v>
      </c>
      <c r="I1449" s="9"/>
      <c r="J1449" s="52" t="str">
        <f t="shared" ca="1" si="417"/>
        <v>Zip (first five #'s only)</v>
      </c>
      <c r="K1449" s="52">
        <v>5</v>
      </c>
    </row>
    <row r="1450" spans="1:11" ht="15" customHeight="1">
      <c r="A1450" t="str">
        <f t="shared" ca="1" si="418"/>
        <v/>
      </c>
      <c r="B1450" s="52">
        <f t="shared" si="428"/>
        <v>462</v>
      </c>
      <c r="C1450" t="str">
        <f t="shared" ca="1" si="446"/>
        <v xml:space="preserve">Operating Deficit Guarantee </v>
      </c>
      <c r="D1450" t="str">
        <f t="shared" si="416"/>
        <v>B468</v>
      </c>
      <c r="E1450" t="str">
        <f t="shared" ca="1" si="447"/>
        <v/>
      </c>
      <c r="F1450" t="str">
        <f t="shared" ca="1" si="448"/>
        <v xml:space="preserve">Enter a Contact First Name for 'Operating Deficit Guarantee ' in cell B468.
</v>
      </c>
      <c r="G1450"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0" t="b">
        <f>Calculations!$B$2</f>
        <v>0</v>
      </c>
      <c r="I1450" s="9"/>
      <c r="J1450" s="52" t="str">
        <f t="shared" ca="1" si="417"/>
        <v>Contact First Name</v>
      </c>
      <c r="K1450" s="52">
        <v>6</v>
      </c>
    </row>
    <row r="1451" spans="1:11" ht="15" customHeight="1">
      <c r="A1451" t="str">
        <f t="shared" ca="1" si="418"/>
        <v/>
      </c>
      <c r="B1451" s="52">
        <f t="shared" si="428"/>
        <v>462</v>
      </c>
      <c r="C1451" t="str">
        <f t="shared" ca="1" si="446"/>
        <v xml:space="preserve">Operating Deficit Guarantee </v>
      </c>
      <c r="D1451" t="str">
        <f t="shared" si="416"/>
        <v>B469</v>
      </c>
      <c r="E1451" t="str">
        <f t="shared" ca="1" si="447"/>
        <v/>
      </c>
      <c r="F1451" t="str">
        <f t="shared" ca="1" si="448"/>
        <v xml:space="preserve">Enter a Contact Last Name for 'Operating Deficit Guarantee ' in cell B469.
</v>
      </c>
      <c r="G1451"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1" t="b">
        <f>Calculations!$B$2</f>
        <v>0</v>
      </c>
      <c r="I1451" s="9"/>
      <c r="J1451" s="52" t="str">
        <f t="shared" ca="1" si="417"/>
        <v>Contact Last Name</v>
      </c>
      <c r="K1451" s="52">
        <v>7</v>
      </c>
    </row>
    <row r="1452" spans="1:11" ht="15" customHeight="1">
      <c r="A1452" t="str">
        <f t="shared" ca="1" si="418"/>
        <v/>
      </c>
      <c r="B1452" s="52">
        <f t="shared" si="428"/>
        <v>462</v>
      </c>
      <c r="C1452" t="str">
        <f t="shared" ca="1" si="446"/>
        <v xml:space="preserve">Operating Deficit Guarantee </v>
      </c>
      <c r="D1452" t="str">
        <f t="shared" si="416"/>
        <v>B470</v>
      </c>
      <c r="E1452" t="str">
        <f t="shared" ca="1" si="447"/>
        <v/>
      </c>
      <c r="F1452" t="str">
        <f t="shared" ca="1" si="448"/>
        <v xml:space="preserve">Enter a Phone (#'s only) for 'Operating Deficit Guarantee ' in cell B470.
</v>
      </c>
      <c r="G1452"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2" t="b">
        <f>Calculations!$B$2</f>
        <v>0</v>
      </c>
      <c r="I1452" s="9"/>
      <c r="J1452" s="52" t="str">
        <f t="shared" ca="1" si="417"/>
        <v>Phone (#'s only)</v>
      </c>
      <c r="K1452" s="52">
        <v>8</v>
      </c>
    </row>
    <row r="1453" spans="1:11" ht="15" customHeight="1">
      <c r="A1453" t="str">
        <f t="shared" ca="1" si="418"/>
        <v/>
      </c>
      <c r="B1453" s="52">
        <f t="shared" si="428"/>
        <v>462</v>
      </c>
      <c r="C1453" t="str">
        <f t="shared" ca="1" si="446"/>
        <v xml:space="preserve">Operating Deficit Guarantee </v>
      </c>
      <c r="D1453" t="str">
        <f t="shared" si="416"/>
        <v>B471</v>
      </c>
      <c r="E1453" t="str">
        <f t="shared" ca="1" si="447"/>
        <v/>
      </c>
      <c r="F1453" t="str">
        <f ca="1">CONCATENATE("Enter an "&amp; J1453 &amp;" for '", C1453, "' in cell ", D1453, ".", CHAR(10))</f>
        <v xml:space="preserve">Enter an Email for 'Operating Deficit Guarantee ' in cell B471.
</v>
      </c>
      <c r="G1453"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3" t="b">
        <f>Calculations!$B$2</f>
        <v>0</v>
      </c>
      <c r="I1453" s="9"/>
      <c r="J1453" s="52" t="str">
        <f t="shared" ca="1" si="417"/>
        <v>Email</v>
      </c>
      <c r="K1453" s="52">
        <v>9</v>
      </c>
    </row>
    <row r="1454" spans="1:11" ht="15" customHeight="1">
      <c r="A1454" t="str">
        <f t="shared" ca="1" si="418"/>
        <v/>
      </c>
      <c r="B1454">
        <f>ROW('Contact Information'!B473)</f>
        <v>473</v>
      </c>
      <c r="C1454" t="str">
        <f t="shared" ca="1" si="446"/>
        <v xml:space="preserve">Compliance Guarantee </v>
      </c>
      <c r="D1454" t="str">
        <f t="shared" si="416"/>
        <v>B474</v>
      </c>
      <c r="E1454" t="str">
        <f t="shared" ca="1" si="447"/>
        <v/>
      </c>
      <c r="F1454" t="str">
        <f ca="1">CONCATENATE("Enter a "&amp; J1454 &amp;" for '", C1454, "' in cell ", D1454, ".", CHAR(10))</f>
        <v xml:space="preserve">Enter a Organization for 'Compliance Guarantee ' in cell B474.
</v>
      </c>
      <c r="G1454"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4" t="b">
        <f>Calculations!$B$2</f>
        <v>0</v>
      </c>
      <c r="I1454" s="9"/>
      <c r="J1454" s="52" t="str">
        <f t="shared" ca="1" si="417"/>
        <v>Organization</v>
      </c>
      <c r="K1454" s="52">
        <v>1</v>
      </c>
    </row>
    <row r="1455" spans="1:11" ht="15" customHeight="1">
      <c r="A1455" t="str">
        <f t="shared" ca="1" si="418"/>
        <v/>
      </c>
      <c r="B1455" s="52">
        <f t="shared" si="428"/>
        <v>473</v>
      </c>
      <c r="C1455" t="str">
        <f t="shared" ca="1" si="446"/>
        <v xml:space="preserve">Compliance Guarantee </v>
      </c>
      <c r="D1455" t="str">
        <f t="shared" si="416"/>
        <v>B475</v>
      </c>
      <c r="E1455" t="str">
        <f t="shared" ca="1" si="447"/>
        <v/>
      </c>
      <c r="F1455" t="str">
        <f ca="1">CONCATENATE("Enter an "&amp; J1455 &amp;" for '", C1455, "' in cell ", D1455, ".", CHAR(10))</f>
        <v xml:space="preserve">Enter an Address for 'Compliance Guarantee ' in cell B475.
</v>
      </c>
      <c r="G1455"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5" t="b">
        <f>Calculations!$B$2</f>
        <v>0</v>
      </c>
      <c r="I1455" s="9"/>
      <c r="J1455" s="52" t="str">
        <f t="shared" ca="1" si="417"/>
        <v>Address</v>
      </c>
      <c r="K1455" s="52">
        <v>2</v>
      </c>
    </row>
    <row r="1456" spans="1:11" ht="15" customHeight="1">
      <c r="A1456" t="str">
        <f t="shared" ca="1" si="418"/>
        <v/>
      </c>
      <c r="B1456" s="52">
        <f t="shared" si="428"/>
        <v>473</v>
      </c>
      <c r="C1456" t="str">
        <f t="shared" ca="1" si="446"/>
        <v xml:space="preserve">Compliance Guarantee </v>
      </c>
      <c r="D1456" t="str">
        <f t="shared" si="416"/>
        <v>B476</v>
      </c>
      <c r="E1456" t="str">
        <f t="shared" ca="1" si="447"/>
        <v/>
      </c>
      <c r="F1456" t="str">
        <f t="shared" ref="F1456:F1461" ca="1" si="449">CONCATENATE("Enter a "&amp; J1456 &amp;" for '", C1456, "' in cell ", D1456, ".", CHAR(10))</f>
        <v xml:space="preserve">Enter a City  for 'Compliance Guarantee ' in cell B476.
</v>
      </c>
      <c r="G1456"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6" t="b">
        <f>Calculations!$B$2</f>
        <v>0</v>
      </c>
      <c r="I1456" s="9"/>
      <c r="J1456" s="52" t="str">
        <f t="shared" ca="1" si="417"/>
        <v xml:space="preserve">City </v>
      </c>
      <c r="K1456" s="52">
        <v>3</v>
      </c>
    </row>
    <row r="1457" spans="1:12" ht="15" customHeight="1">
      <c r="A1457" t="str">
        <f t="shared" ca="1" si="418"/>
        <v/>
      </c>
      <c r="B1457" s="52">
        <f t="shared" si="428"/>
        <v>473</v>
      </c>
      <c r="C1457" t="str">
        <f t="shared" ca="1" si="446"/>
        <v xml:space="preserve">Compliance Guarantee </v>
      </c>
      <c r="D1457" t="str">
        <f t="shared" si="416"/>
        <v>B477</v>
      </c>
      <c r="E1457" t="str">
        <f t="shared" ca="1" si="447"/>
        <v/>
      </c>
      <c r="F1457" t="str">
        <f t="shared" ca="1" si="449"/>
        <v xml:space="preserve">Enter a State for 'Compliance Guarantee ' in cell B477.
</v>
      </c>
      <c r="G1457"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7" t="b">
        <f>Calculations!$B$2</f>
        <v>0</v>
      </c>
      <c r="I1457" s="9"/>
      <c r="J1457" s="52" t="str">
        <f t="shared" ca="1" si="417"/>
        <v>State</v>
      </c>
      <c r="K1457" s="52">
        <v>4</v>
      </c>
    </row>
    <row r="1458" spans="1:12" ht="15" customHeight="1">
      <c r="A1458" t="str">
        <f t="shared" ca="1" si="418"/>
        <v/>
      </c>
      <c r="B1458" s="52">
        <f t="shared" si="428"/>
        <v>473</v>
      </c>
      <c r="C1458" t="str">
        <f t="shared" ca="1" si="446"/>
        <v xml:space="preserve">Compliance Guarantee </v>
      </c>
      <c r="D1458" t="str">
        <f t="shared" si="416"/>
        <v>B478</v>
      </c>
      <c r="E1458" t="str">
        <f t="shared" ca="1" si="447"/>
        <v/>
      </c>
      <c r="F1458" t="str">
        <f t="shared" ca="1" si="449"/>
        <v xml:space="preserve">Enter a Zip (first five #'s only) for 'Compliance Guarantee ' in cell B478.
</v>
      </c>
      <c r="G1458"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8" t="b">
        <f>Calculations!$B$2</f>
        <v>0</v>
      </c>
      <c r="I1458" s="9"/>
      <c r="J1458" s="52" t="str">
        <f t="shared" ca="1" si="417"/>
        <v>Zip (first five #'s only)</v>
      </c>
      <c r="K1458" s="52">
        <v>5</v>
      </c>
    </row>
    <row r="1459" spans="1:12" ht="15" customHeight="1">
      <c r="A1459" t="str">
        <f t="shared" ca="1" si="418"/>
        <v/>
      </c>
      <c r="B1459" s="52">
        <f t="shared" si="428"/>
        <v>473</v>
      </c>
      <c r="C1459" t="str">
        <f t="shared" ca="1" si="446"/>
        <v xml:space="preserve">Compliance Guarantee </v>
      </c>
      <c r="D1459" t="str">
        <f t="shared" ref="D1459:D1467" si="450">ADDRESS(B1459+K1459, 2,4  )</f>
        <v>B479</v>
      </c>
      <c r="E1459" t="str">
        <f t="shared" ca="1" si="447"/>
        <v/>
      </c>
      <c r="F1459" t="str">
        <f t="shared" ca="1" si="449"/>
        <v xml:space="preserve">Enter a Contact First Name for 'Compliance Guarantee ' in cell B479.
</v>
      </c>
      <c r="G1459"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9" t="b">
        <f>Calculations!$B$2</f>
        <v>0</v>
      </c>
      <c r="I1459" s="9"/>
      <c r="J1459" s="52" t="str">
        <f t="shared" ref="J1459:J1462" ca="1" si="451">INDIRECT($F$1101 &amp; ADDRESS(B1459+K1459, 1,4))</f>
        <v>Contact First Name</v>
      </c>
      <c r="K1459" s="52">
        <v>6</v>
      </c>
    </row>
    <row r="1460" spans="1:12" ht="15" customHeight="1">
      <c r="A1460" t="str">
        <f t="shared" ref="A1460:A1462" ca="1" si="452">IF(AND(H1460, NOT($E$1104), E1460=""),F1460, "")</f>
        <v/>
      </c>
      <c r="B1460" s="52">
        <f t="shared" si="428"/>
        <v>473</v>
      </c>
      <c r="C1460" t="str">
        <f t="shared" ca="1" si="446"/>
        <v xml:space="preserve">Compliance Guarantee </v>
      </c>
      <c r="D1460" t="str">
        <f t="shared" si="450"/>
        <v>B480</v>
      </c>
      <c r="E1460" t="str">
        <f t="shared" ca="1" si="447"/>
        <v/>
      </c>
      <c r="F1460" t="str">
        <f t="shared" ca="1" si="449"/>
        <v xml:space="preserve">Enter a Contact Last Name for 'Compliance Guarantee ' in cell B480.
</v>
      </c>
      <c r="G1460"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60" t="b">
        <f>Calculations!$B$2</f>
        <v>0</v>
      </c>
      <c r="I1460" s="9"/>
      <c r="J1460" s="52" t="str">
        <f t="shared" ca="1" si="451"/>
        <v>Contact Last Name</v>
      </c>
      <c r="K1460" s="52">
        <v>7</v>
      </c>
    </row>
    <row r="1461" spans="1:12" ht="15" customHeight="1">
      <c r="A1461" t="str">
        <f t="shared" ca="1" si="452"/>
        <v/>
      </c>
      <c r="B1461" s="52">
        <f t="shared" si="428"/>
        <v>473</v>
      </c>
      <c r="C1461" t="str">
        <f t="shared" ca="1" si="446"/>
        <v xml:space="preserve">Compliance Guarantee </v>
      </c>
      <c r="D1461" t="str">
        <f t="shared" si="450"/>
        <v>B481</v>
      </c>
      <c r="E1461" t="str">
        <f t="shared" ca="1" si="447"/>
        <v/>
      </c>
      <c r="F1461" t="str">
        <f t="shared" ca="1" si="449"/>
        <v xml:space="preserve">Enter a Phone (#'s only) for 'Compliance Guarantee ' in cell B481.
</v>
      </c>
      <c r="G1461"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61" t="b">
        <f>Calculations!$B$2</f>
        <v>0</v>
      </c>
      <c r="I1461" s="9"/>
      <c r="J1461" s="52" t="str">
        <f t="shared" ca="1" si="451"/>
        <v>Phone (#'s only)</v>
      </c>
      <c r="K1461" s="52">
        <v>8</v>
      </c>
    </row>
    <row r="1462" spans="1:12" ht="15" customHeight="1">
      <c r="A1462" t="str">
        <f t="shared" ca="1" si="452"/>
        <v/>
      </c>
      <c r="B1462" s="52">
        <f t="shared" si="428"/>
        <v>473</v>
      </c>
      <c r="C1462" t="str">
        <f t="shared" ca="1" si="446"/>
        <v xml:space="preserve">Compliance Guarantee </v>
      </c>
      <c r="D1462" t="str">
        <f t="shared" si="450"/>
        <v>B482</v>
      </c>
      <c r="E1462" t="str">
        <f t="shared" ca="1" si="447"/>
        <v/>
      </c>
      <c r="F1462" t="str">
        <f ca="1">CONCATENATE("Enter an "&amp; J1462 &amp;" for '", C1462, "' in cell ", D1462, ".", CHAR(10))</f>
        <v xml:space="preserve">Enter an Email for 'Compliance Guarantee ' in cell B482.
</v>
      </c>
      <c r="G1462"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62" t="b">
        <f>Calculations!$B$2</f>
        <v>0</v>
      </c>
      <c r="I1462" s="9"/>
      <c r="J1462" s="52" t="str">
        <f t="shared" ca="1" si="451"/>
        <v>Email</v>
      </c>
      <c r="K1462" s="52">
        <v>9</v>
      </c>
    </row>
    <row r="1463" spans="1:12" ht="15" customHeight="1">
      <c r="A1463" t="str">
        <f t="shared" ref="A1463:A1464" ca="1" si="453">IF(E1463="",F1463, "")</f>
        <v xml:space="preserve">Enter a value for '0' in cell B24.
</v>
      </c>
      <c r="B1463">
        <v>24</v>
      </c>
      <c r="C1463">
        <f t="shared" ref="C1463:C1467" ca="1" si="454">INDIRECT($F$1101 &amp; ADDRESS(B1463, 1,4  ))</f>
        <v>0</v>
      </c>
      <c r="D1463" t="str">
        <f t="shared" si="450"/>
        <v>B24</v>
      </c>
      <c r="E1463" t="str">
        <f t="shared" ref="E1463:E1465" ca="1" si="455">IF(ISBLANK( INDIRECT($F$1101 &amp; D1463)),"", INDIRECT($F$1101 &amp; D1463))</f>
        <v/>
      </c>
      <c r="F1463" t="str">
        <f t="shared" ref="F1463:F1465" ca="1" si="456">CONCATENATE("Enter a value for '", C1463, "' in cell ", D1463, ".", CHAR(10))</f>
        <v xml:space="preserve">Enter a value for '0' in cell B24.
</v>
      </c>
      <c r="G1463"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v>
      </c>
      <c r="H1463" s="9"/>
      <c r="I1463" s="9"/>
    </row>
    <row r="1464" spans="1:12" ht="15" customHeight="1">
      <c r="A1464" t="str">
        <f t="shared" ca="1" si="453"/>
        <v xml:space="preserve">Enter a value for 'Affiliate of the Applicant' in cell B25.
</v>
      </c>
      <c r="B1464">
        <v>25</v>
      </c>
      <c r="C1464" t="str">
        <f t="shared" ca="1" si="454"/>
        <v>Affiliate of the Applicant</v>
      </c>
      <c r="D1464" t="str">
        <f t="shared" si="450"/>
        <v>B25</v>
      </c>
      <c r="E1464" t="str">
        <f t="shared" ca="1" si="455"/>
        <v/>
      </c>
      <c r="F1464" t="str">
        <f t="shared" ca="1" si="456"/>
        <v xml:space="preserve">Enter a value for 'Affiliate of the Applicant' in cell B25.
</v>
      </c>
      <c r="G1464"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v>
      </c>
      <c r="H1464" s="9"/>
      <c r="I1464" s="9"/>
    </row>
    <row r="1465" spans="1:12" ht="15" customHeight="1">
      <c r="A1465" s="52" t="str">
        <f ca="1">IF(AND(E1464="Yes", E1465=""),F1465, "")</f>
        <v/>
      </c>
      <c r="B1465">
        <v>26</v>
      </c>
      <c r="C1465" t="str">
        <f t="shared" ca="1" si="454"/>
        <v>Organization</v>
      </c>
      <c r="D1465" t="str">
        <f t="shared" si="450"/>
        <v>B26</v>
      </c>
      <c r="E1465" t="str">
        <f t="shared" ca="1" si="455"/>
        <v/>
      </c>
      <c r="F1465" t="str">
        <f t="shared" ca="1" si="456"/>
        <v xml:space="preserve">Enter a value for 'Organization' in cell B26.
</v>
      </c>
      <c r="G1465"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v>
      </c>
      <c r="H1465" s="9"/>
      <c r="I1465" s="9"/>
    </row>
    <row r="1466" spans="1:12" ht="15" customHeight="1">
      <c r="A1466" t="str">
        <f t="shared" ref="A1466:A1467" ca="1" si="457">IF(E1466="",F1466, "")</f>
        <v xml:space="preserve">Enter a value for 'Address' in cell B27.
</v>
      </c>
      <c r="B1466">
        <v>27</v>
      </c>
      <c r="C1466" t="str">
        <f t="shared" ca="1" si="454"/>
        <v>Address</v>
      </c>
      <c r="D1466" t="str">
        <f t="shared" si="450"/>
        <v>B27</v>
      </c>
      <c r="E1466" t="str">
        <f t="shared" ref="E1466:E1467" ca="1" si="458">IF(ISBLANK( INDIRECT($F$1101 &amp; D1466)),"", INDIRECT($F$1101 &amp; D1466))</f>
        <v/>
      </c>
      <c r="F1466" t="str">
        <f t="shared" ref="F1466:F1467" ca="1" si="459">CONCATENATE("Enter a value for '", C1466, "' in cell ", D1466, ".", CHAR(10))</f>
        <v xml:space="preserve">Enter a value for 'Address' in cell B27.
</v>
      </c>
      <c r="G1466" s="9" t="str">
        <f t="shared" ref="G1466:G1467" ca="1" si="460">OFFSET(G1466, -1, 0) &amp; A1466</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v>
      </c>
      <c r="H1466" s="9"/>
      <c r="I1466" s="9"/>
    </row>
    <row r="1467" spans="1:12" ht="15" customHeight="1">
      <c r="A1467" t="str">
        <f t="shared" ca="1" si="457"/>
        <v xml:space="preserve">Enter a value for 'City ' in cell B28.
</v>
      </c>
      <c r="B1467">
        <v>28</v>
      </c>
      <c r="C1467" t="str">
        <f t="shared" ca="1" si="454"/>
        <v xml:space="preserve">City </v>
      </c>
      <c r="D1467" t="str">
        <f t="shared" si="450"/>
        <v>B28</v>
      </c>
      <c r="E1467" t="str">
        <f t="shared" ca="1" si="458"/>
        <v/>
      </c>
      <c r="F1467" t="str">
        <f t="shared" ca="1" si="459"/>
        <v xml:space="preserve">Enter a value for 'City ' in cell B28.
</v>
      </c>
      <c r="G1467" s="9" t="str">
        <f t="shared" ca="1" si="46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v>
      </c>
      <c r="H1467" s="9"/>
      <c r="I1467" s="9"/>
    </row>
    <row r="1468" spans="1:12" ht="15" customHeight="1">
      <c r="A1468" s="52" t="str">
        <f ca="1">IF(AND(H1468, E1468&lt;2), F1468, "")</f>
        <v/>
      </c>
      <c r="B1468">
        <v>31</v>
      </c>
      <c r="C1468" s="52"/>
      <c r="D1468" t="str">
        <f t="shared" ref="D1468:D1478" si="461">ADDRESS(B1468, 1,4  )</f>
        <v>A31</v>
      </c>
      <c r="E1468" s="52">
        <f ca="1">J1468+K1468</f>
        <v>1</v>
      </c>
      <c r="F1468" t="str">
        <f>CONCATENATE("Enter all the values for the limited partners using the credits in row ", B1468, ".", CHAR(10))</f>
        <v xml:space="preserve">Enter all the values for the limited partners using the credits in row 31.
</v>
      </c>
      <c r="G1468"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v>
      </c>
      <c r="H1468" s="9" t="b">
        <f>'Contact Information'!B44 = "Yes"</f>
        <v>0</v>
      </c>
      <c r="I1468" s="9"/>
      <c r="J1468" s="52">
        <f ca="1">SUMPRODUCT(--ISTEXT(INDIRECT(L1468)))</f>
        <v>1</v>
      </c>
      <c r="K1468" s="52">
        <f ca="1">SUMPRODUCT(--ISNUMBER(INDIRECT(L1468)))</f>
        <v>0</v>
      </c>
      <c r="L1468" s="52" t="str">
        <f>$F$1101&amp; ADDRESS(B1468,1,4) &amp; ":" &amp; ADDRESS(B1468,2,4)</f>
        <v>'Contact Information'!A31:B31</v>
      </c>
    </row>
    <row r="1469" spans="1:12" ht="15" customHeight="1">
      <c r="A1469" s="52" t="str">
        <f t="shared" ref="A1469:A1471" ca="1" si="462">IF(AND(E1469&gt;0, E1469&lt;2), F1469, "")</f>
        <v xml:space="preserve">Enter all the values for the limited partners using the credits in row 32.
</v>
      </c>
      <c r="B1469">
        <v>32</v>
      </c>
      <c r="C1469" s="52"/>
      <c r="D1469" t="str">
        <f t="shared" si="461"/>
        <v>A32</v>
      </c>
      <c r="E1469" s="52">
        <f ca="1">J1469+K1469</f>
        <v>1</v>
      </c>
      <c r="F1469" t="str">
        <f t="shared" ref="F1469:F1471" si="463">CONCATENATE("Enter all the values for the limited partners using the credits in row ", B1469, ".", CHAR(10))</f>
        <v xml:space="preserve">Enter all the values for the limited partners using the credits in row 32.
</v>
      </c>
      <c r="G1469"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v>
      </c>
      <c r="H1469" s="9" t="b">
        <f>'Contact Information'!B44 = "Yes"</f>
        <v>0</v>
      </c>
      <c r="I1469" s="9"/>
      <c r="J1469" s="52">
        <f ca="1">SUMPRODUCT(--ISTEXT(INDIRECT(L1469)))</f>
        <v>1</v>
      </c>
      <c r="K1469" s="52">
        <f ca="1">SUMPRODUCT(--ISNUMBER(INDIRECT(L1469)))</f>
        <v>0</v>
      </c>
      <c r="L1469" s="52" t="str">
        <f>$F$1101&amp; ADDRESS(B1469,1,4) &amp; ":" &amp; ADDRESS(B1469,2,4)</f>
        <v>'Contact Information'!A32:B32</v>
      </c>
    </row>
    <row r="1470" spans="1:12" ht="15" customHeight="1">
      <c r="A1470" s="52" t="str">
        <f t="shared" ca="1" si="462"/>
        <v xml:space="preserve">Enter all the values for the limited partners using the credits in row 33.
</v>
      </c>
      <c r="B1470">
        <v>33</v>
      </c>
      <c r="C1470" s="52"/>
      <c r="D1470" t="str">
        <f t="shared" si="461"/>
        <v>A33</v>
      </c>
      <c r="E1470" s="52">
        <f ca="1">J1470+K1470</f>
        <v>1</v>
      </c>
      <c r="F1470" t="str">
        <f t="shared" si="463"/>
        <v xml:space="preserve">Enter all the values for the limited partners using the credits in row 33.
</v>
      </c>
      <c r="G1470"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v>
      </c>
      <c r="H1470" s="9" t="b">
        <f>'Contact Information'!B44 = "Yes"</f>
        <v>0</v>
      </c>
      <c r="I1470" s="9"/>
      <c r="J1470" s="52">
        <f ca="1">SUMPRODUCT(--ISTEXT(INDIRECT(L1470)))</f>
        <v>1</v>
      </c>
      <c r="K1470" s="52">
        <f ca="1">SUMPRODUCT(--ISNUMBER(INDIRECT(L1470)))</f>
        <v>0</v>
      </c>
      <c r="L1470" s="52" t="str">
        <f>$F$1101&amp; ADDRESS(B1470,1,4) &amp; ":" &amp; ADDRESS(B1470,2,4)</f>
        <v>'Contact Information'!A33:B33</v>
      </c>
    </row>
    <row r="1471" spans="1:12" ht="15" customHeight="1">
      <c r="A1471" s="52" t="str">
        <f t="shared" ca="1" si="462"/>
        <v xml:space="preserve">Enter all the values for the limited partners using the credits in row 35.
</v>
      </c>
      <c r="B1471">
        <v>35</v>
      </c>
      <c r="C1471" s="52"/>
      <c r="D1471" t="str">
        <f t="shared" si="461"/>
        <v>A35</v>
      </c>
      <c r="E1471" s="52">
        <f ca="1">J1471+K1471</f>
        <v>1</v>
      </c>
      <c r="F1471" t="str">
        <f t="shared" si="463"/>
        <v xml:space="preserve">Enter all the values for the limited partners using the credits in row 35.
</v>
      </c>
      <c r="G1471"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v>
      </c>
      <c r="H1471" s="9" t="b">
        <f>'Contact Information'!B44 = "Yes"</f>
        <v>0</v>
      </c>
      <c r="I1471" s="9"/>
      <c r="J1471" s="52">
        <f ca="1">SUMPRODUCT(--ISTEXT(INDIRECT(L1471)))</f>
        <v>1</v>
      </c>
      <c r="K1471" s="52">
        <f ca="1">SUMPRODUCT(--ISNUMBER(INDIRECT(L1471)))</f>
        <v>0</v>
      </c>
      <c r="L1471" s="52" t="str">
        <f>$F$1101&amp; ADDRESS(B1471,1,4) &amp; ":" &amp; ADDRESS(B1471,2,4)</f>
        <v>'Contact Information'!A35:B35</v>
      </c>
    </row>
    <row r="1472" spans="1:12" ht="15" customHeight="1">
      <c r="A1472" t="str">
        <f t="shared" ref="A1472" ca="1" si="464">IF(E1472="",F1472, "")</f>
        <v xml:space="preserve">Enter a value for 'Please identify the gender composition of your organization's ownership (for profit) or executive leadership (nonprofit) whichever is applicable' in cell B36.
</v>
      </c>
      <c r="B1472">
        <v>36</v>
      </c>
      <c r="C1472" t="str">
        <f ca="1">INDIRECT($F$1101 &amp; ADDRESS(B1472, 1,4  ))</f>
        <v>Please identify the gender composition of your organization's ownership (for profit) or executive leadership (nonprofit) whichever is applicable</v>
      </c>
      <c r="D1472" t="str">
        <f>ADDRESS(B1472+K1472, 2,4  )</f>
        <v>B36</v>
      </c>
      <c r="E1472" t="str">
        <f t="shared" ref="E1472" ca="1" si="465">IF(ISBLANK( INDIRECT($F$1101 &amp; D1472)),"", INDIRECT($F$1101 &amp; D1472))</f>
        <v/>
      </c>
      <c r="F1472" t="str">
        <f t="shared" ref="F1472" ca="1" si="466">CONCATENATE("Enter a value for '", C1472, "' in cell ", D1472, ".", CHAR(10))</f>
        <v xml:space="preserve">Enter a value for 'Please identify the gender composition of your organization's ownership (for profit) or executive leadership (nonprofit) whichever is applicable' in cell B36.
</v>
      </c>
      <c r="G1472"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v>
      </c>
      <c r="H1472" s="9"/>
      <c r="I1472" s="9"/>
    </row>
    <row r="1473" spans="1:12" ht="15" customHeight="1">
      <c r="A1473" s="52" t="str">
        <f ca="1">IF(E1473&lt;3, F1473, "")</f>
        <v xml:space="preserve">Enter all the values for the limited partners of the ownership entity in row 40.
</v>
      </c>
      <c r="B1473">
        <v>40</v>
      </c>
      <c r="C1473" s="52"/>
      <c r="D1473" t="str">
        <f t="shared" si="461"/>
        <v>A40</v>
      </c>
      <c r="E1473" s="52">
        <f ca="1">J1473+K1473</f>
        <v>1</v>
      </c>
      <c r="F1473" t="str">
        <f>CONCATENATE("Enter all the values for the limited partners of the ownership entity in row ", B1473, ".", CHAR(10))</f>
        <v xml:space="preserve">Enter all the values for the limited partners of the ownership entity in row 40.
</v>
      </c>
      <c r="G1473"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v>
      </c>
      <c r="H1473" s="9"/>
      <c r="I1473" s="9"/>
      <c r="J1473" s="52">
        <f ca="1">SUMPRODUCT(--ISTEXT(INDIRECT(L1473)))</f>
        <v>1</v>
      </c>
      <c r="K1473" s="52">
        <f ca="1">SUMPRODUCT(--ISNUMBER(INDIRECT(L1473)))</f>
        <v>0</v>
      </c>
      <c r="L1473" s="52" t="str">
        <f t="shared" ref="L1473:L1474" si="467">$F$1101&amp; ADDRESS(B1473,1,4) &amp; ":" &amp; ADDRESS(B1473,3,4)</f>
        <v>'Contact Information'!A40:C40</v>
      </c>
    </row>
    <row r="1474" spans="1:12" ht="15" customHeight="1">
      <c r="A1474" s="52" t="str">
        <f ca="1">IF(AND(E1474&gt;0, E1474&lt;3), F1474, "")</f>
        <v xml:space="preserve">Enter all the values for the limited partners of the ownership entity in row 41.
</v>
      </c>
      <c r="B1474">
        <v>41</v>
      </c>
      <c r="C1474" s="52"/>
      <c r="D1474" t="str">
        <f t="shared" si="461"/>
        <v>A41</v>
      </c>
      <c r="E1474" s="52">
        <f ca="1">J1474+K1474</f>
        <v>1</v>
      </c>
      <c r="F1474" t="str">
        <f t="shared" ref="F1474:F1475" si="468">CONCATENATE("Enter all the values for the limited partners of the ownership entity in row ", B1474, ".", CHAR(10))</f>
        <v xml:space="preserve">Enter all the values for the limited partners of the ownership entity in row 41.
</v>
      </c>
      <c r="G1474"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v>
      </c>
      <c r="H1474" s="9"/>
      <c r="I1474" s="9"/>
      <c r="J1474" s="52">
        <f ca="1">SUMPRODUCT(--ISTEXT(INDIRECT(L1474)))</f>
        <v>1</v>
      </c>
      <c r="K1474" s="52">
        <f ca="1">SUMPRODUCT(--ISNUMBER(INDIRECT(L1474)))</f>
        <v>0</v>
      </c>
      <c r="L1474" s="52" t="str">
        <f t="shared" si="467"/>
        <v>'Contact Information'!A41:C41</v>
      </c>
    </row>
    <row r="1475" spans="1:12" ht="15" customHeight="1">
      <c r="A1475" s="52" t="str">
        <f ca="1">IF(AND(E1475&gt;0, E1475&lt;3), F1475, "")</f>
        <v xml:space="preserve">Enter all the values for the limited partners of the ownership entity in row 42.
</v>
      </c>
      <c r="B1475">
        <v>42</v>
      </c>
      <c r="C1475" s="52"/>
      <c r="D1475" t="str">
        <f t="shared" si="461"/>
        <v>A42</v>
      </c>
      <c r="E1475" s="52">
        <f ca="1">J1475+K1475</f>
        <v>1</v>
      </c>
      <c r="F1475" t="str">
        <f t="shared" si="468"/>
        <v xml:space="preserve">Enter all the values for the limited partners of the ownership entity in row 42.
</v>
      </c>
      <c r="G1475"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v>
      </c>
      <c r="H1475" s="9"/>
      <c r="I1475" s="9"/>
      <c r="J1475" s="52">
        <f ca="1">SUMPRODUCT(--ISTEXT(INDIRECT(L1475)))</f>
        <v>1</v>
      </c>
      <c r="K1475" s="52">
        <f ca="1">SUMPRODUCT(--ISNUMBER(INDIRECT(L1475)))</f>
        <v>0</v>
      </c>
      <c r="L1475" s="52" t="str">
        <f>$F$1101&amp; ADDRESS(B1475,1,4) &amp; ":" &amp; ADDRESS(B1475,3,4)</f>
        <v>'Contact Information'!A42:C42</v>
      </c>
    </row>
    <row r="1476" spans="1:12" ht="15" customHeight="1">
      <c r="A1476" s="52" t="str">
        <f ca="1">IF(E1476&lt;3, F1476, "")</f>
        <v xml:space="preserve">Enter all the values for the general partners of the ownership entity in row 45.
</v>
      </c>
      <c r="B1476">
        <v>45</v>
      </c>
      <c r="C1476" s="52"/>
      <c r="D1476" t="str">
        <f t="shared" ref="D1476:D1477" si="469">ADDRESS(B1476, 1,4  )</f>
        <v>A45</v>
      </c>
      <c r="E1476" s="52">
        <f t="shared" ref="E1476:E1477" ca="1" si="470">J1476+K1476</f>
        <v>1</v>
      </c>
      <c r="F1476" t="str">
        <f t="shared" ref="F1476:F1477" si="471">CONCATENATE("Enter all the values for the general partners of the ownership entity in row ", B1476, ".", CHAR(10))</f>
        <v xml:space="preserve">Enter all the values for the general partners of the ownership entity in row 45.
</v>
      </c>
      <c r="G1476" s="9" t="str">
        <f t="shared" ref="G1476:G1477" ca="1" si="472">OFFSET(G1476, -1, 0) &amp; A1476</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v>
      </c>
      <c r="H1476" s="9"/>
      <c r="I1476" s="9"/>
      <c r="J1476" s="52">
        <f t="shared" ref="J1476:J1477" ca="1" si="473">SUMPRODUCT(--ISTEXT(INDIRECT(L1476)))</f>
        <v>1</v>
      </c>
      <c r="K1476" s="52">
        <f t="shared" ref="K1476:K1479" ca="1" si="474">SUMPRODUCT(--ISNUMBER(INDIRECT(L1476)))</f>
        <v>0</v>
      </c>
      <c r="L1476" s="52" t="str">
        <f t="shared" ref="L1476:L1479" si="475">$F$1101&amp; ADDRESS(B1476,1,4) &amp; ":" &amp; ADDRESS(B1476,3,4)</f>
        <v>'Contact Information'!A45:C45</v>
      </c>
    </row>
    <row r="1477" spans="1:12" ht="15" customHeight="1">
      <c r="A1477" s="52" t="str">
        <f ca="1">IF(AND(E1477&gt;0, E1477&lt;3), F1477, "")</f>
        <v xml:space="preserve">Enter all the values for the general partners of the ownership entity in row 46.
</v>
      </c>
      <c r="B1477">
        <v>46</v>
      </c>
      <c r="C1477" s="52"/>
      <c r="D1477" t="str">
        <f t="shared" si="469"/>
        <v>A46</v>
      </c>
      <c r="E1477" s="52">
        <f t="shared" ca="1" si="470"/>
        <v>2</v>
      </c>
      <c r="F1477" t="str">
        <f t="shared" si="471"/>
        <v xml:space="preserve">Enter all the values for the general partners of the ownership entity in row 46.
</v>
      </c>
      <c r="G1477" s="9" t="str">
        <f t="shared" ca="1" si="47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Enter all the values for the general partners of the ownership entity in row 46.
</v>
      </c>
      <c r="H1477" s="9"/>
      <c r="I1477" s="9"/>
      <c r="J1477" s="52">
        <f t="shared" ca="1" si="473"/>
        <v>2</v>
      </c>
      <c r="K1477" s="52">
        <f t="shared" ca="1" si="474"/>
        <v>0</v>
      </c>
      <c r="L1477" s="52" t="str">
        <f t="shared" si="475"/>
        <v>'Contact Information'!A46:C46</v>
      </c>
    </row>
    <row r="1478" spans="1:12" ht="15" customHeight="1">
      <c r="A1478" s="52" t="str">
        <f ca="1">IF(AND(E1478&gt;0, E1478&lt;3), F1478, "")</f>
        <v/>
      </c>
      <c r="B1478">
        <v>47</v>
      </c>
      <c r="C1478" s="52"/>
      <c r="D1478" t="str">
        <f t="shared" si="461"/>
        <v>A47</v>
      </c>
      <c r="E1478" s="52">
        <f ca="1">J1478+K1478</f>
        <v>0</v>
      </c>
      <c r="F1478" t="str">
        <f>CONCATENATE("Enter all the values for the general partners of the ownership entity in row ", B1478, ".", CHAR(10))</f>
        <v xml:space="preserve">Enter all the values for the general partners of the ownership entity in row 47.
</v>
      </c>
      <c r="G1478"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Enter all the values for the general partners of the ownership entity in row 46.
</v>
      </c>
      <c r="H1478" s="9"/>
      <c r="I1478" s="9"/>
      <c r="J1478" s="52">
        <f ca="1">SUMPRODUCT(--ISTEXT(INDIRECT(L1478)))</f>
        <v>0</v>
      </c>
      <c r="K1478" s="52">
        <f t="shared" ca="1" si="474"/>
        <v>0</v>
      </c>
      <c r="L1478" s="52" t="str">
        <f t="shared" si="475"/>
        <v>'Contact Information'!A47:C47</v>
      </c>
    </row>
    <row r="1479" spans="1:12" ht="15" customHeight="1">
      <c r="A1479" s="52" t="str">
        <f ca="1">IF(AND(E1479&gt;0, E1479&lt;3), F1479, "")</f>
        <v/>
      </c>
      <c r="B1479">
        <v>48</v>
      </c>
      <c r="C1479" s="52"/>
      <c r="D1479" t="str">
        <f t="shared" ref="D1479" si="476">ADDRESS(B1479, 1,4  )</f>
        <v>A48</v>
      </c>
      <c r="E1479" s="52">
        <f ca="1">J1479+K1479</f>
        <v>0</v>
      </c>
      <c r="F1479" t="str">
        <f>CONCATENATE("Enter all the values for the general partners of the ownership entity in row ", B1479, ".", CHAR(10))</f>
        <v xml:space="preserve">Enter all the values for the general partners of the ownership entity in row 48.
</v>
      </c>
      <c r="G1479" s="9" t="str">
        <f t="shared" ref="G1479" ca="1" si="477">OFFSET(G1479, -1, 0) &amp; A1479</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Enter all the values for the general partners of the ownership entity in row 46.
</v>
      </c>
      <c r="H1479" s="9"/>
      <c r="I1479" s="9"/>
      <c r="J1479" s="52">
        <f ca="1">SUMPRODUCT(--ISTEXT(INDIRECT(L1479)))</f>
        <v>0</v>
      </c>
      <c r="K1479" s="52">
        <f t="shared" ca="1" si="474"/>
        <v>0</v>
      </c>
      <c r="L1479" s="52" t="str">
        <f t="shared" si="475"/>
        <v>'Contact Information'!A48:C48</v>
      </c>
    </row>
    <row r="1480" spans="1:12" ht="15" customHeight="1">
      <c r="A1480" t="str">
        <f ca="1">IF(E1480="",F1480, "")</f>
        <v xml:space="preserve">Enter a value for 'Phone (#'s only)' in cell B109.
</v>
      </c>
      <c r="B1480">
        <v>109</v>
      </c>
      <c r="C1480" s="52" t="str">
        <f ca="1">INDIRECT($F$1101 &amp; ADDRESS(B1480, 1,4  ))</f>
        <v>Phone (#'s only)</v>
      </c>
      <c r="D1480" t="str">
        <f t="shared" ref="D1480:D1495" si="478">ADDRESS(B1480+K1480, 2,4  )</f>
        <v>B109</v>
      </c>
      <c r="E1480" t="str">
        <f t="shared" ref="E1480:E1491" ca="1" si="479">IF(ISBLANK( INDIRECT($F$1101 &amp; D1480)),"", INDIRECT($F$1101 &amp; D1480))</f>
        <v/>
      </c>
      <c r="F1480" t="str">
        <f t="shared" ref="F1480:F1491" ca="1" si="480">CONCATENATE("Enter a value for '", C1480, "' in cell ", D1480, ".", CHAR(10))</f>
        <v xml:space="preserve">Enter a value for 'Phone (#'s only)' in cell B109.
</v>
      </c>
      <c r="G1480"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Enter all the values for the general partners of the ownership entity in row 46.
Enter a value for 'Phone (#'s only)' in cell B109.
</v>
      </c>
      <c r="H1480" s="9"/>
      <c r="I1480" s="9"/>
    </row>
    <row r="1481" spans="1:12" ht="15" customHeight="1">
      <c r="A1481" t="str">
        <f ca="1">IF(E1481="",F1481, "")</f>
        <v xml:space="preserve">Enter a value for 'Email' in cell B110.
</v>
      </c>
      <c r="B1481">
        <v>110</v>
      </c>
      <c r="C1481" s="52" t="str">
        <f t="shared" ref="C1481:C1495" ca="1" si="481">INDIRECT($F$1101 &amp; ADDRESS(B1481, 1,4  ))</f>
        <v>Email</v>
      </c>
      <c r="D1481" t="str">
        <f t="shared" si="478"/>
        <v>B110</v>
      </c>
      <c r="E1481" t="str">
        <f t="shared" ca="1" si="479"/>
        <v/>
      </c>
      <c r="F1481" t="str">
        <f t="shared" ca="1" si="480"/>
        <v xml:space="preserve">Enter a value for 'Email' in cell B110.
</v>
      </c>
      <c r="G1481"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Enter all the values for the general partners of the ownership entity in row 46.
Enter a value for 'Phone (#'s only)' in cell B109.
Enter a value for 'Email' in cell B110.
</v>
      </c>
      <c r="H1481" s="9"/>
      <c r="I1481" s="9"/>
    </row>
    <row r="1482" spans="1:12" ht="15" customHeight="1">
      <c r="A1482" s="52" t="str">
        <f ca="1">IF(AND(E1481="Yes", E1482=""),F1482, "")</f>
        <v/>
      </c>
      <c r="B1482">
        <v>111</v>
      </c>
      <c r="C1482" s="52" t="str">
        <f t="shared" ca="1" si="481"/>
        <v>Name(s) and State(s) of previous LIHTC properties</v>
      </c>
      <c r="D1482" t="str">
        <f t="shared" si="478"/>
        <v>B111</v>
      </c>
      <c r="E1482" t="str">
        <f t="shared" ca="1" si="479"/>
        <v/>
      </c>
      <c r="F1482" t="str">
        <f t="shared" ca="1" si="480"/>
        <v xml:space="preserve">Enter a value for 'Name(s) and State(s) of previous LIHTC properties' in cell B111.
</v>
      </c>
      <c r="G1482"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Enter all the values for the general partners of the ownership entity in row 46.
Enter a value for 'Phone (#'s only)' in cell B109.
Enter a value for 'Email' in cell B110.
</v>
      </c>
      <c r="H1482" s="9"/>
      <c r="I1482" s="9"/>
    </row>
    <row r="1483" spans="1:12" ht="15" customHeight="1">
      <c r="A1483" t="str">
        <f ca="1">IF(E1483="",F1483, "")</f>
        <v xml:space="preserve">Enter a value for 'Legal Status' in cell B112.
</v>
      </c>
      <c r="B1483">
        <v>112</v>
      </c>
      <c r="C1483" s="52" t="str">
        <f t="shared" ca="1" si="481"/>
        <v>Legal Status</v>
      </c>
      <c r="D1483" t="str">
        <f t="shared" si="478"/>
        <v>B112</v>
      </c>
      <c r="E1483" t="str">
        <f t="shared" ca="1" si="479"/>
        <v/>
      </c>
      <c r="F1483" t="str">
        <f t="shared" ca="1" si="480"/>
        <v xml:space="preserve">Enter a value for 'Legal Status' in cell B112.
</v>
      </c>
      <c r="G1483"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Enter all the values for the general partners of the ownership entity in row 46.
Enter a value for 'Phone (#'s only)' in cell B109.
Enter a value for 'Email' in cell B110.
Enter a value for 'Legal Status' in cell B112.
</v>
      </c>
      <c r="H1483" s="9"/>
      <c r="I1483" s="9"/>
    </row>
    <row r="1484" spans="1:12" ht="15" customHeight="1">
      <c r="A1484" t="str">
        <f t="shared" ref="A1484:A1485" ca="1" si="482">IF(E1484="",F1484, "")</f>
        <v xml:space="preserve">Enter a value for 'Tax ID Number (#'s only or leave blank if not formed yet)' in cell B113.
</v>
      </c>
      <c r="B1484">
        <v>113</v>
      </c>
      <c r="C1484" s="52" t="str">
        <f t="shared" ca="1" si="481"/>
        <v>Tax ID Number (#'s only or leave blank if not formed yet)</v>
      </c>
      <c r="D1484" t="str">
        <f t="shared" si="478"/>
        <v>B113</v>
      </c>
      <c r="E1484" t="str">
        <f t="shared" ref="E1484:E1485" ca="1" si="483">IF(ISBLANK( INDIRECT($F$1101 &amp; D1484)),"", INDIRECT($F$1101 &amp; D1484))</f>
        <v/>
      </c>
      <c r="F1484" t="str">
        <f t="shared" ref="F1484:F1485" ca="1" si="484">CONCATENATE("Enter a value for '", C1484, "' in cell ", D1484, ".", CHAR(10))</f>
        <v xml:space="preserve">Enter a value for 'Tax ID Number (#'s only or leave blank if not formed yet)' in cell B113.
</v>
      </c>
      <c r="G1484" s="9" t="str">
        <f t="shared" ref="G1484:G1485" ca="1" si="485">OFFSET(G1484, -1, 0) &amp; A1484</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Enter all the values for the general partners of the ownership entity in row 46.
Enter a value for 'Phone (#'s only)' in cell B109.
Enter a value for 'Email' in cell B110.
Enter a value for 'Legal Status' in cell B112.
Enter a value for 'Tax ID Number (#'s only or leave blank if not formed yet)' in cell B113.
</v>
      </c>
      <c r="H1484" s="9"/>
      <c r="I1484" s="9"/>
    </row>
    <row r="1485" spans="1:12" ht="15" customHeight="1">
      <c r="A1485" t="str">
        <f t="shared" ca="1" si="482"/>
        <v xml:space="preserve">Enter a value for 'Status of Entity ' in cell B114.
</v>
      </c>
      <c r="B1485">
        <v>114</v>
      </c>
      <c r="C1485" s="52" t="str">
        <f t="shared" ca="1" si="481"/>
        <v xml:space="preserve">Status of Entity </v>
      </c>
      <c r="D1485" t="str">
        <f t="shared" si="478"/>
        <v>B114</v>
      </c>
      <c r="E1485" t="str">
        <f t="shared" ca="1" si="483"/>
        <v/>
      </c>
      <c r="F1485" t="str">
        <f t="shared" ca="1" si="484"/>
        <v xml:space="preserve">Enter a value for 'Status of Entity ' in cell B114.
</v>
      </c>
      <c r="G1485" s="9" t="str">
        <f t="shared" ca="1" si="48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Enter all the values for the general partners of the ownership entity in row 46.
Enter a value for 'Phone (#'s only)' in cell B109.
Enter a value for 'Email' in cell B110.
Enter a value for 'Legal Status' in cell B112.
Enter a value for 'Tax ID Number (#'s only or leave blank if not formed yet)' in cell B113.
Enter a value for 'Status of Entity ' in cell B114.
</v>
      </c>
      <c r="H1485" s="9"/>
      <c r="I1485" s="9"/>
    </row>
    <row r="1486" spans="1:12" ht="15" customHeight="1">
      <c r="A1486" s="52" t="str">
        <f ca="1">IF(AND($E$1485="Yes",E1486=""),F1486,"")</f>
        <v/>
      </c>
      <c r="B1486">
        <v>115</v>
      </c>
      <c r="C1486" s="52">
        <f t="shared" ca="1" si="481"/>
        <v>0</v>
      </c>
      <c r="D1486" t="str">
        <f t="shared" si="478"/>
        <v>B115</v>
      </c>
      <c r="E1486" t="str">
        <f t="shared" ca="1" si="479"/>
        <v/>
      </c>
      <c r="F1486" t="str">
        <f t="shared" ca="1" si="480"/>
        <v xml:space="preserve">Enter a value for '0' in cell B115.
</v>
      </c>
      <c r="G1486" s="9" t="str">
        <f t="shared" ref="G1486:G1500" ca="1" si="486">OFFSET(G1486, -1, 0) &amp; A1486</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Enter all the values for the general partners of the ownership entity in row 46.
Enter a value for 'Phone (#'s only)' in cell B109.
Enter a value for 'Email' in cell B110.
Enter a value for 'Legal Status' in cell B112.
Enter a value for 'Tax ID Number (#'s only or leave blank if not formed yet)' in cell B113.
Enter a value for 'Status of Entity ' in cell B114.
</v>
      </c>
      <c r="H1486" s="9"/>
      <c r="I1486" s="9"/>
    </row>
    <row r="1487" spans="1:12" ht="15" customHeight="1">
      <c r="A1487" s="52" t="str">
        <f t="shared" ref="A1487:A1488" ca="1" si="487">IF(AND($E$1485="Yes",E1487=""),F1487,"")</f>
        <v/>
      </c>
      <c r="B1487">
        <v>116</v>
      </c>
      <c r="C1487" s="52" t="str">
        <f t="shared" ca="1" si="481"/>
        <v>Participating Nonprofit or PHA</v>
      </c>
      <c r="D1487" t="str">
        <f t="shared" si="478"/>
        <v>B116</v>
      </c>
      <c r="E1487" t="str">
        <f t="shared" ca="1" si="479"/>
        <v/>
      </c>
      <c r="F1487" t="str">
        <f t="shared" ca="1" si="480"/>
        <v xml:space="preserve">Enter a value for 'Participating Nonprofit or PHA' in cell B116.
</v>
      </c>
      <c r="G1487" s="9" t="str">
        <f t="shared" ca="1" si="48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Enter all the values for the general partners of the ownership entity in row 46.
Enter a value for 'Phone (#'s only)' in cell B109.
Enter a value for 'Email' in cell B110.
Enter a value for 'Legal Status' in cell B112.
Enter a value for 'Tax ID Number (#'s only or leave blank if not formed yet)' in cell B113.
Enter a value for 'Status of Entity ' in cell B114.
</v>
      </c>
      <c r="H1487" s="9"/>
      <c r="I1487" s="9"/>
    </row>
    <row r="1488" spans="1:12" ht="15" customHeight="1">
      <c r="A1488" s="52" t="str">
        <f t="shared" ca="1" si="487"/>
        <v/>
      </c>
      <c r="B1488">
        <v>117</v>
      </c>
      <c r="C1488" s="52" t="str">
        <f t="shared" ca="1" si="481"/>
        <v>Organization</v>
      </c>
      <c r="D1488" t="str">
        <f t="shared" si="478"/>
        <v>B117</v>
      </c>
      <c r="G1488" s="9" t="str">
        <f t="shared" ca="1" si="48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Enter all the values for the general partners of the ownership entity in row 46.
Enter a value for 'Phone (#'s only)' in cell B109.
Enter a value for 'Email' in cell B110.
Enter a value for 'Legal Status' in cell B112.
Enter a value for 'Tax ID Number (#'s only or leave blank if not formed yet)' in cell B113.
Enter a value for 'Status of Entity ' in cell B114.
</v>
      </c>
      <c r="H1488" s="9"/>
      <c r="I1488" s="9"/>
    </row>
    <row r="1489" spans="1:9" ht="15" customHeight="1">
      <c r="A1489" t="str">
        <f t="shared" ref="A1489" ca="1" si="488">IF(E1489="",F1489, "")</f>
        <v xml:space="preserve">Enter a value for 'Address' in cell B118.
</v>
      </c>
      <c r="B1489">
        <v>118</v>
      </c>
      <c r="C1489" s="52" t="str">
        <f t="shared" ca="1" si="481"/>
        <v>Address</v>
      </c>
      <c r="D1489" t="str">
        <f t="shared" si="478"/>
        <v>B118</v>
      </c>
      <c r="E1489" t="str">
        <f t="shared" ref="E1489" ca="1" si="489">IF(ISBLANK( INDIRECT($F$1101 &amp; D1489)),"", INDIRECT($F$1101 &amp; D1489))</f>
        <v/>
      </c>
      <c r="F1489" t="str">
        <f t="shared" ref="F1489" ca="1" si="490">CONCATENATE("Enter a value for '", C1489, "' in cell ", D1489, ".", CHAR(10))</f>
        <v xml:space="preserve">Enter a value for 'Address' in cell B118.
</v>
      </c>
      <c r="G1489" s="9" t="str">
        <f t="shared" ca="1" si="48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Enter all the values for the general partners of the ownership entity in row 46.
Enter a value for 'Phone (#'s only)' in cell B109.
Enter a value for 'Email' in cell B110.
Enter a value for 'Legal Status' in cell B112.
Enter a value for 'Tax ID Number (#'s only or leave blank if not formed yet)' in cell B113.
Enter a value for 'Status of Entity ' in cell B114.
Enter a value for 'Address' in cell B118.
</v>
      </c>
      <c r="H1489" s="9"/>
      <c r="I1489" s="9"/>
    </row>
    <row r="1490" spans="1:9" ht="15" customHeight="1">
      <c r="A1490" s="52" t="str">
        <f ca="1">IF(AND(E1489="Yes", E1490=""),F1490, "")</f>
        <v/>
      </c>
      <c r="B1490">
        <v>119</v>
      </c>
      <c r="C1490" s="52" t="str">
        <f t="shared" ca="1" si="481"/>
        <v xml:space="preserve">City </v>
      </c>
      <c r="D1490" t="str">
        <f t="shared" si="478"/>
        <v>B119</v>
      </c>
      <c r="E1490" t="str">
        <f t="shared" ca="1" si="479"/>
        <v/>
      </c>
      <c r="F1490" t="str">
        <f t="shared" ca="1" si="480"/>
        <v xml:space="preserve">Enter a value for 'City ' in cell B119.
</v>
      </c>
      <c r="G1490" s="9" t="str">
        <f t="shared" ca="1" si="48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Enter all the values for the general partners of the ownership entity in row 46.
Enter a value for 'Phone (#'s only)' in cell B109.
Enter a value for 'Email' in cell B110.
Enter a value for 'Legal Status' in cell B112.
Enter a value for 'Tax ID Number (#'s only or leave blank if not formed yet)' in cell B113.
Enter a value for 'Status of Entity ' in cell B114.
Enter a value for 'Address' in cell B118.
</v>
      </c>
      <c r="H1490" s="9"/>
      <c r="I1490" s="9"/>
    </row>
    <row r="1491" spans="1:9" ht="15" customHeight="1">
      <c r="A1491" t="str">
        <f t="shared" ref="A1491" ca="1" si="491">IF(E1491="",F1491, "")</f>
        <v xml:space="preserve">Enter a value for 'State' in cell B120.
</v>
      </c>
      <c r="B1491">
        <v>120</v>
      </c>
      <c r="C1491" s="52" t="str">
        <f t="shared" ca="1" si="481"/>
        <v>State</v>
      </c>
      <c r="D1491" t="str">
        <f t="shared" si="478"/>
        <v>B120</v>
      </c>
      <c r="E1491" t="str">
        <f t="shared" ca="1" si="479"/>
        <v/>
      </c>
      <c r="F1491" t="str">
        <f t="shared" ca="1" si="480"/>
        <v xml:space="preserve">Enter a value for 'State' in cell B120.
</v>
      </c>
      <c r="G1491" s="9" t="str">
        <f t="shared" ref="G1491:G1492" ca="1" si="492">OFFSET(G1491, -1, 0) &amp; A1491</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Enter all the values for the general partners of the ownership entity in row 46.
Enter a value for 'Phone (#'s only)' in cell B109.
Enter a value for 'Email' in cell B110.
Enter a value for 'Legal Status' in cell B112.
Enter a value for 'Tax ID Number (#'s only or leave blank if not formed yet)' in cell B113.
Enter a value for 'Status of Entity ' in cell B114.
Enter a value for 'Address' in cell B118.
Enter a value for 'State' in cell B120.
</v>
      </c>
      <c r="H1491" s="9"/>
      <c r="I1491" s="9"/>
    </row>
    <row r="1492" spans="1:9" ht="15" customHeight="1">
      <c r="A1492" s="52" t="str">
        <f ca="1">IF(AND(E1491="Yes", E1492=""),F1492, "")</f>
        <v/>
      </c>
      <c r="B1492">
        <v>121</v>
      </c>
      <c r="C1492" s="52" t="str">
        <f t="shared" ca="1" si="481"/>
        <v>Zip (first five #'s only)</v>
      </c>
      <c r="D1492" t="str">
        <f t="shared" si="478"/>
        <v>B121</v>
      </c>
      <c r="E1492" t="str">
        <f t="shared" ref="E1492:E1495" ca="1" si="493">IF(ISBLANK( INDIRECT($F$1101 &amp; D1492)),"", INDIRECT($F$1101 &amp; D1492))</f>
        <v/>
      </c>
      <c r="F1492" t="str">
        <f t="shared" ref="F1492:F1495" ca="1" si="494">CONCATENATE("Enter a value for '", C1492, "' in cell ", D1492, ".", CHAR(10))</f>
        <v xml:space="preserve">Enter a value for 'Zip (first five #'s only)' in cell B121.
</v>
      </c>
      <c r="G1492" s="9" t="str">
        <f t="shared" ca="1" si="4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Enter all the values for the general partners of the ownership entity in row 46.
Enter a value for 'Phone (#'s only)' in cell B109.
Enter a value for 'Email' in cell B110.
Enter a value for 'Legal Status' in cell B112.
Enter a value for 'Tax ID Number (#'s only or leave blank if not formed yet)' in cell B113.
Enter a value for 'Status of Entity ' in cell B114.
Enter a value for 'Address' in cell B118.
Enter a value for 'State' in cell B120.
</v>
      </c>
      <c r="H1492" s="9"/>
      <c r="I1492" s="9"/>
    </row>
    <row r="1493" spans="1:9" ht="15" customHeight="1">
      <c r="A1493" t="str">
        <f t="shared" ref="A1493:A1495" ca="1" si="495">IF(E1493="",F1493, "")</f>
        <v xml:space="preserve">Enter a value for 'Contact First Name' in cell B122.
</v>
      </c>
      <c r="B1493">
        <v>122</v>
      </c>
      <c r="C1493" s="52" t="str">
        <f t="shared" ca="1" si="481"/>
        <v>Contact First Name</v>
      </c>
      <c r="D1493" t="str">
        <f t="shared" si="478"/>
        <v>B122</v>
      </c>
      <c r="E1493" t="str">
        <f t="shared" ca="1" si="493"/>
        <v/>
      </c>
      <c r="F1493" t="str">
        <f t="shared" ca="1" si="494"/>
        <v xml:space="preserve">Enter a value for 'Contact First Name' in cell B122.
</v>
      </c>
      <c r="G1493" s="9" t="str">
        <f t="shared" ref="G1493:G1495" ca="1" si="496">OFFSET(G1493, -1, 0) &amp; A1493</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Enter all the values for the general partners of the ownership entity in row 46.
Enter a value for 'Phone (#'s only)' in cell B109.
Enter a value for 'Email' in cell B110.
Enter a value for 'Legal Status' in cell B112.
Enter a value for 'Tax ID Number (#'s only or leave blank if not formed yet)' in cell B113.
Enter a value for 'Status of Entity ' in cell B114.
Enter a value for 'Address' in cell B118.
Enter a value for 'State' in cell B120.
Enter a value for 'Contact First Name' in cell B122.
</v>
      </c>
      <c r="H1493" s="9"/>
      <c r="I1493" s="9"/>
    </row>
    <row r="1494" spans="1:9" ht="15" customHeight="1">
      <c r="A1494" t="str">
        <f t="shared" ca="1" si="495"/>
        <v xml:space="preserve">Enter a value for 'Contact Last Name' in cell B123.
</v>
      </c>
      <c r="B1494">
        <v>123</v>
      </c>
      <c r="C1494" s="52" t="str">
        <f t="shared" ca="1" si="481"/>
        <v>Contact Last Name</v>
      </c>
      <c r="D1494" t="str">
        <f t="shared" si="478"/>
        <v>B123</v>
      </c>
      <c r="E1494" t="str">
        <f t="shared" ca="1" si="493"/>
        <v/>
      </c>
      <c r="F1494" t="str">
        <f t="shared" ca="1" si="494"/>
        <v xml:space="preserve">Enter a value for 'Contact Last Name' in cell B123.
</v>
      </c>
      <c r="G1494" s="9" t="str">
        <f t="shared" ca="1" si="49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Enter all the values for the general partners of the ownership entity in row 46.
Enter a value for 'Phone (#'s only)' in cell B109.
Enter a value for 'Email' in cell B110.
Enter a value for 'Legal Status' in cell B112.
Enter a value for 'Tax ID Number (#'s only or leave blank if not formed yet)' in cell B113.
Enter a value for 'Status of Entity ' in cell B114.
Enter a value for 'Address' in cell B118.
Enter a value for 'State' in cell B120.
Enter a value for 'Contact First Name' in cell B122.
Enter a value for 'Contact Last Name' in cell B123.
</v>
      </c>
      <c r="H1494" s="9"/>
      <c r="I1494" s="9"/>
    </row>
    <row r="1495" spans="1:9" ht="15" customHeight="1">
      <c r="A1495" t="str">
        <f t="shared" ca="1" si="495"/>
        <v xml:space="preserve">Enter a value for 'Phone (#'s only)' in cell B124.
</v>
      </c>
      <c r="B1495">
        <v>124</v>
      </c>
      <c r="C1495" s="52" t="str">
        <f t="shared" ca="1" si="481"/>
        <v>Phone (#'s only)</v>
      </c>
      <c r="D1495" t="str">
        <f t="shared" si="478"/>
        <v>B124</v>
      </c>
      <c r="E1495" t="str">
        <f t="shared" ca="1" si="493"/>
        <v/>
      </c>
      <c r="F1495" t="str">
        <f t="shared" ca="1" si="494"/>
        <v xml:space="preserve">Enter a value for 'Phone (#'s only)' in cell B124.
</v>
      </c>
      <c r="G1495" s="9" t="str">
        <f t="shared" ca="1" si="49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Enter all the values for the general partners of the ownership entity in row 46.
Enter a value for 'Phone (#'s only)' in cell B109.
Enter a value for 'Email' in cell B110.
Enter a value for 'Legal Status' in cell B112.
Enter a value for 'Tax ID Number (#'s only or leave blank if not formed yet)' in cell B113.
Enter a value for 'Status of Entity ' in cell B114.
Enter a value for 'Address' in cell B118.
Enter a value for 'State' in cell B120.
Enter a value for 'Contact First Name' in cell B122.
Enter a value for 'Contact Last Name' in cell B123.
Enter a value for 'Phone (#'s only)' in cell B124.
</v>
      </c>
      <c r="H1495" s="9"/>
      <c r="I1495" s="9"/>
    </row>
    <row r="1496" spans="1:9" ht="15" customHeight="1">
      <c r="G1496" s="9" t="str">
        <f t="shared" ca="1" si="48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Enter all the values for the general partners of the ownership entity in row 46.
Enter a value for 'Phone (#'s only)' in cell B109.
Enter a value for 'Email' in cell B110.
Enter a value for 'Legal Status' in cell B112.
Enter a value for 'Tax ID Number (#'s only or leave blank if not formed yet)' in cell B113.
Enter a value for 'Status of Entity ' in cell B114.
Enter a value for 'Address' in cell B118.
Enter a value for 'State' in cell B120.
Enter a value for 'Contact First Name' in cell B122.
Enter a value for 'Contact Last Name' in cell B123.
Enter a value for 'Phone (#'s only)' in cell B124.
</v>
      </c>
      <c r="H1496" s="9"/>
      <c r="I1496" s="9"/>
    </row>
    <row r="1497" spans="1:9" ht="15" customHeight="1">
      <c r="G1497" s="9" t="str">
        <f t="shared" ca="1" si="48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Enter all the values for the general partners of the ownership entity in row 46.
Enter a value for 'Phone (#'s only)' in cell B109.
Enter a value for 'Email' in cell B110.
Enter a value for 'Legal Status' in cell B112.
Enter a value for 'Tax ID Number (#'s only or leave blank if not formed yet)' in cell B113.
Enter a value for 'Status of Entity ' in cell B114.
Enter a value for 'Address' in cell B118.
Enter a value for 'State' in cell B120.
Enter a value for 'Contact First Name' in cell B122.
Enter a value for 'Contact Last Name' in cell B123.
Enter a value for 'Phone (#'s only)' in cell B124.
</v>
      </c>
      <c r="H1497" s="9"/>
      <c r="I1497" s="9"/>
    </row>
    <row r="1498" spans="1:9" ht="15" customHeight="1">
      <c r="G1498" s="9" t="str">
        <f t="shared" ca="1" si="48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Enter all the values for the general partners of the ownership entity in row 46.
Enter a value for 'Phone (#'s only)' in cell B109.
Enter a value for 'Email' in cell B110.
Enter a value for 'Legal Status' in cell B112.
Enter a value for 'Tax ID Number (#'s only or leave blank if not formed yet)' in cell B113.
Enter a value for 'Status of Entity ' in cell B114.
Enter a value for 'Address' in cell B118.
Enter a value for 'State' in cell B120.
Enter a value for 'Contact First Name' in cell B122.
Enter a value for 'Contact Last Name' in cell B123.
Enter a value for 'Phone (#'s only)' in cell B124.
</v>
      </c>
      <c r="H1498" s="9"/>
      <c r="I1498" s="9"/>
    </row>
    <row r="1499" spans="1:9" ht="15" customHeight="1">
      <c r="G1499" s="9" t="str">
        <f t="shared" ca="1" si="48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Enter all the values for the general partners of the ownership entity in row 46.
Enter a value for 'Phone (#'s only)' in cell B109.
Enter a value for 'Email' in cell B110.
Enter a value for 'Legal Status' in cell B112.
Enter a value for 'Tax ID Number (#'s only or leave blank if not formed yet)' in cell B113.
Enter a value for 'Status of Entity ' in cell B114.
Enter a value for 'Address' in cell B118.
Enter a value for 'State' in cell B120.
Enter a value for 'Contact First Name' in cell B122.
Enter a value for 'Contact Last Name' in cell B123.
Enter a value for 'Phone (#'s only)' in cell B124.
</v>
      </c>
      <c r="H1499" s="9"/>
      <c r="I1499" s="9"/>
    </row>
    <row r="1500" spans="1:9" ht="15" customHeight="1">
      <c r="G1500" s="9" t="str">
        <f t="shared" ca="1" si="48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Enter all the values for the general partners of the ownership entity in row 46.
Enter a value for 'Phone (#'s only)' in cell B109.
Enter a value for 'Email' in cell B110.
Enter a value for 'Legal Status' in cell B112.
Enter a value for 'Tax ID Number (#'s only or leave blank if not formed yet)' in cell B113.
Enter a value for 'Status of Entity ' in cell B114.
Enter a value for 'Address' in cell B118.
Enter a value for 'State' in cell B120.
Enter a value for 'Contact First Name' in cell B122.
Enter a value for 'Contact Last Name' in cell B123.
Enter a value for 'Phone (#'s only)' in cell B124.
</v>
      </c>
      <c r="H1500" s="9"/>
      <c r="I1500" s="9"/>
    </row>
    <row r="1501" spans="1:9" ht="15" customHeight="1">
      <c r="A1501" s="55" t="s">
        <v>3707</v>
      </c>
      <c r="B1501" s="53"/>
      <c r="C1501" s="53"/>
      <c r="D1501" s="53"/>
      <c r="E1501" s="53"/>
      <c r="F1501" s="53"/>
      <c r="G1501" s="56" t="str">
        <f ca="1">OFFSET(G1501, -1, 0)</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Enter all the values for the general partners of the ownership entity in row 46.
Enter a value for 'Phone (#'s only)' in cell B109.
Enter a value for 'Email' in cell B110.
Enter a value for 'Legal Status' in cell B112.
Enter a value for 'Tax ID Number (#'s only or leave blank if not formed yet)' in cell B113.
Enter a value for 'Status of Entity ' in cell B114.
Enter a value for 'Address' in cell B118.
Enter a value for 'State' in cell B120.
Enter a value for 'Contact First Name' in cell B122.
Enter a value for 'Contact Last Name' in cell B123.
Enter a value for 'Phone (#'s only)' in cell B124.
</v>
      </c>
      <c r="H1501" s="56"/>
      <c r="I1501" s="56"/>
    </row>
    <row r="1502" spans="1:9" ht="15" customHeight="1"/>
    <row r="1503" spans="1:9" ht="15" customHeight="1"/>
    <row r="1504" spans="1:9" ht="15" customHeight="1">
      <c r="A1504" s="22" t="s">
        <v>96</v>
      </c>
      <c r="F1504" s="49" t="s">
        <v>3708</v>
      </c>
    </row>
    <row r="1505" spans="1:7" ht="15" customHeight="1">
      <c r="A1505" s="53" t="s">
        <v>3652</v>
      </c>
      <c r="B1505" s="53" t="s">
        <v>3653</v>
      </c>
      <c r="C1505" s="53" t="s">
        <v>3654</v>
      </c>
      <c r="D1505" s="53" t="s">
        <v>3655</v>
      </c>
      <c r="E1505" s="53" t="s">
        <v>3656</v>
      </c>
      <c r="F1505" s="53" t="s">
        <v>3657</v>
      </c>
      <c r="G1505" s="54" t="s">
        <v>3658</v>
      </c>
    </row>
    <row r="1506" spans="1:7" ht="15" customHeight="1">
      <c r="A1506" t="str">
        <f ca="1">IF(E1506="",F1506, "")</f>
        <v xml:space="preserve">Enter a value for 'Level of Drawings Completed' in cell B3.
</v>
      </c>
      <c r="B1506">
        <f>ROW('Cost Summary'!C3)</f>
        <v>3</v>
      </c>
      <c r="C1506" t="str">
        <f ca="1">INDIRECT($F$1504 &amp; ADDRESS(B1506, 1,4  ))</f>
        <v>Level of Drawings Completed</v>
      </c>
      <c r="D1506" t="str">
        <f>ADDRESS(B1506, 2,4  )</f>
        <v>B3</v>
      </c>
      <c r="E1506" t="str">
        <f ca="1">IF(ISBLANK( INDIRECT($F$1504 &amp; D1506)),"", INDIRECT($F$1504 &amp; D1506))</f>
        <v/>
      </c>
      <c r="F1506" t="str">
        <f ca="1">CONCATENATE("Enter a value for '", C1506, "' in cell ", D1506, ".", CHAR(10))</f>
        <v xml:space="preserve">Enter a value for 'Level of Drawings Completed' in cell B3.
</v>
      </c>
      <c r="G1506" s="9" t="str">
        <f ca="1">A1506</f>
        <v xml:space="preserve">Enter a value for 'Level of Drawings Completed' in cell B3.
</v>
      </c>
    </row>
    <row r="1507" spans="1:7" ht="15" customHeight="1">
      <c r="A1507" t="str">
        <f ca="1">IF(E1507="",F1507, "")</f>
        <v xml:space="preserve">Enter a value for 'Prevailing Wages' in cell C5.
</v>
      </c>
      <c r="B1507">
        <f>ROW('Cost Summary'!A5)</f>
        <v>5</v>
      </c>
      <c r="C1507" t="str">
        <f ca="1">INDIRECT($F$1504 &amp; ADDRESS(B1507, 1,4  ))</f>
        <v>Prevailing Wages</v>
      </c>
      <c r="D1507" t="str">
        <f>ADDRESS(B1507, 3,4  )</f>
        <v>C5</v>
      </c>
      <c r="E1507" t="str">
        <f ca="1">IF(ISBLANK( INDIRECT($F$1504 &amp; D1507)),"", INDIRECT($F$1504 &amp; D1507))</f>
        <v/>
      </c>
      <c r="F1507" t="str">
        <f ca="1">CONCATENATE("Enter a value for '", C1507, "' in cell ", D1507, ".", CHAR(10))</f>
        <v xml:space="preserve">Enter a value for 'Prevailing Wages' in cell C5.
</v>
      </c>
      <c r="G1507" s="9" t="str">
        <f ca="1">A1507</f>
        <v xml:space="preserve">Enter a value for 'Prevailing Wages' in cell C5.
</v>
      </c>
    </row>
    <row r="1508" spans="1:7" ht="15" customHeight="1">
      <c r="A1508" s="52" t="str">
        <f>IF(E1508=0, F1508, "")</f>
        <v xml:space="preserve">The total of the cost in column C must be greater than zero.
</v>
      </c>
      <c r="B1508" s="52">
        <f>ROW('Cost Summary'!C8)</f>
        <v>8</v>
      </c>
      <c r="C1508" s="52"/>
      <c r="D1508" s="52" t="str">
        <f>SUBSTITUTE(ADDRESS(B1508, COLUMN('Cost Summary'!C8),4), B1508, "")</f>
        <v>C</v>
      </c>
      <c r="E1508" s="52">
        <f>Calculations!B696</f>
        <v>0</v>
      </c>
      <c r="F1508" s="52" t="str">
        <f>CONCATENATE("The total of the cost in column ", D1508, " must be greater than zero.", CHAR(10))</f>
        <v xml:space="preserve">The total of the cost in column C must be greater than zero.
</v>
      </c>
      <c r="G1508" s="9" t="str">
        <f t="shared" ref="G1508:G1539" ca="1" si="497">OFFSET(G1508, -1, 0) &amp; A1508</f>
        <v xml:space="preserve">Enter a value for 'Prevailing Wages' in cell C5.
The total of the cost in column C must be greater than zero.
</v>
      </c>
    </row>
    <row r="1509" spans="1:7" ht="15" customHeight="1">
      <c r="A1509" t="str">
        <f t="shared" ref="A1509:A1534" ca="1" si="498">IF(E1509="",F1509, "")</f>
        <v/>
      </c>
      <c r="B1509">
        <f>ROW('Cost Summary'!A8)</f>
        <v>8</v>
      </c>
      <c r="C1509" s="52" t="str">
        <f t="shared" ref="C1509:C1534" ca="1" si="499">INDIRECT($F$1504 &amp; ADDRESS(B1509, 2,4  ))</f>
        <v>General Requirements</v>
      </c>
      <c r="D1509" t="str">
        <f t="shared" ref="D1509:D1534" si="500">ADDRESS(B1509, 3,4  )</f>
        <v>C8</v>
      </c>
      <c r="E1509">
        <f t="shared" ref="E1509:E1534" ca="1" si="501">IF(ISBLANK( INDIRECT($F$1504 &amp; D1509)),"", INDIRECT($F$1504 &amp; D1509))</f>
        <v>0</v>
      </c>
      <c r="F1509" t="str">
        <f t="shared" ref="F1509:F1534" ca="1" si="502">CONCATENATE("Enter a value for '", C1509, "' in cell ", D1509, ".", CHAR(10))</f>
        <v xml:space="preserve">Enter a value for 'General Requirements' in cell C8.
</v>
      </c>
      <c r="G1509" s="9" t="str">
        <f t="shared" ca="1" si="497"/>
        <v xml:space="preserve">Enter a value for 'Prevailing Wages' in cell C5.
The total of the cost in column C must be greater than zero.
</v>
      </c>
    </row>
    <row r="1510" spans="1:7" ht="15" customHeight="1">
      <c r="A1510" t="str">
        <f t="shared" ca="1" si="498"/>
        <v/>
      </c>
      <c r="B1510">
        <f>ROW('Cost Summary'!A9)</f>
        <v>9</v>
      </c>
      <c r="C1510" s="52" t="str">
        <f t="shared" ca="1" si="499"/>
        <v>Existing Conditions</v>
      </c>
      <c r="D1510" t="str">
        <f t="shared" si="500"/>
        <v>C9</v>
      </c>
      <c r="E1510">
        <f t="shared" ca="1" si="501"/>
        <v>0</v>
      </c>
      <c r="F1510" t="str">
        <f t="shared" ca="1" si="502"/>
        <v xml:space="preserve">Enter a value for 'Existing Conditions' in cell C9.
</v>
      </c>
      <c r="G1510" s="9" t="str">
        <f t="shared" ca="1" si="497"/>
        <v xml:space="preserve">Enter a value for 'Prevailing Wages' in cell C5.
The total of the cost in column C must be greater than zero.
</v>
      </c>
    </row>
    <row r="1511" spans="1:7" ht="15" customHeight="1">
      <c r="A1511" t="str">
        <f t="shared" ca="1" si="498"/>
        <v/>
      </c>
      <c r="B1511">
        <f>ROW('Cost Summary'!A10)</f>
        <v>10</v>
      </c>
      <c r="C1511" s="52" t="str">
        <f t="shared" ca="1" si="499"/>
        <v>Concrete</v>
      </c>
      <c r="D1511" t="str">
        <f t="shared" si="500"/>
        <v>C10</v>
      </c>
      <c r="E1511">
        <f t="shared" ca="1" si="501"/>
        <v>0</v>
      </c>
      <c r="F1511" t="str">
        <f t="shared" ca="1" si="502"/>
        <v xml:space="preserve">Enter a value for 'Concrete' in cell C10.
</v>
      </c>
      <c r="G1511" s="9" t="str">
        <f t="shared" ca="1" si="497"/>
        <v xml:space="preserve">Enter a value for 'Prevailing Wages' in cell C5.
The total of the cost in column C must be greater than zero.
</v>
      </c>
    </row>
    <row r="1512" spans="1:7" ht="15" customHeight="1">
      <c r="A1512" t="str">
        <f t="shared" ca="1" si="498"/>
        <v/>
      </c>
      <c r="B1512">
        <f>ROW('Cost Summary'!A11)</f>
        <v>11</v>
      </c>
      <c r="C1512" s="52" t="str">
        <f t="shared" ca="1" si="499"/>
        <v>Masonry</v>
      </c>
      <c r="D1512" t="str">
        <f t="shared" si="500"/>
        <v>C11</v>
      </c>
      <c r="E1512">
        <f t="shared" ca="1" si="501"/>
        <v>0</v>
      </c>
      <c r="F1512" t="str">
        <f t="shared" ca="1" si="502"/>
        <v xml:space="preserve">Enter a value for 'Masonry' in cell C11.
</v>
      </c>
      <c r="G1512" s="9" t="str">
        <f t="shared" ca="1" si="497"/>
        <v xml:space="preserve">Enter a value for 'Prevailing Wages' in cell C5.
The total of the cost in column C must be greater than zero.
</v>
      </c>
    </row>
    <row r="1513" spans="1:7" ht="15" customHeight="1">
      <c r="A1513" t="str">
        <f t="shared" ca="1" si="498"/>
        <v/>
      </c>
      <c r="B1513">
        <f>ROW('Cost Summary'!A12)</f>
        <v>12</v>
      </c>
      <c r="C1513" s="52" t="str">
        <f t="shared" ca="1" si="499"/>
        <v>Metals</v>
      </c>
      <c r="D1513" t="str">
        <f t="shared" si="500"/>
        <v>C12</v>
      </c>
      <c r="E1513">
        <f t="shared" ca="1" si="501"/>
        <v>0</v>
      </c>
      <c r="F1513" t="str">
        <f t="shared" ca="1" si="502"/>
        <v xml:space="preserve">Enter a value for 'Metals' in cell C12.
</v>
      </c>
      <c r="G1513" s="9" t="str">
        <f t="shared" ca="1" si="497"/>
        <v xml:space="preserve">Enter a value for 'Prevailing Wages' in cell C5.
The total of the cost in column C must be greater than zero.
</v>
      </c>
    </row>
    <row r="1514" spans="1:7" ht="15" customHeight="1">
      <c r="A1514" t="str">
        <f t="shared" ca="1" si="498"/>
        <v/>
      </c>
      <c r="B1514">
        <f>ROW('Cost Summary'!A13)</f>
        <v>13</v>
      </c>
      <c r="C1514" s="52" t="str">
        <f t="shared" ca="1" si="499"/>
        <v>Wood, Plastics &amp; Composites</v>
      </c>
      <c r="D1514" t="str">
        <f t="shared" si="500"/>
        <v>C13</v>
      </c>
      <c r="E1514">
        <f t="shared" ca="1" si="501"/>
        <v>0</v>
      </c>
      <c r="F1514" t="str">
        <f t="shared" ca="1" si="502"/>
        <v xml:space="preserve">Enter a value for 'Wood, Plastics &amp; Composites' in cell C13.
</v>
      </c>
      <c r="G1514" s="9" t="str">
        <f t="shared" ca="1" si="497"/>
        <v xml:space="preserve">Enter a value for 'Prevailing Wages' in cell C5.
The total of the cost in column C must be greater than zero.
</v>
      </c>
    </row>
    <row r="1515" spans="1:7" ht="15" customHeight="1">
      <c r="A1515" t="str">
        <f t="shared" ca="1" si="498"/>
        <v/>
      </c>
      <c r="B1515">
        <f>ROW('Cost Summary'!A14)</f>
        <v>14</v>
      </c>
      <c r="C1515" s="52" t="str">
        <f t="shared" ca="1" si="499"/>
        <v>Thermal and Moisture Protection</v>
      </c>
      <c r="D1515" t="str">
        <f t="shared" si="500"/>
        <v>C14</v>
      </c>
      <c r="E1515">
        <f t="shared" ca="1" si="501"/>
        <v>0</v>
      </c>
      <c r="F1515" t="str">
        <f t="shared" ca="1" si="502"/>
        <v xml:space="preserve">Enter a value for 'Thermal and Moisture Protection' in cell C14.
</v>
      </c>
      <c r="G1515" s="9" t="str">
        <f t="shared" ca="1" si="497"/>
        <v xml:space="preserve">Enter a value for 'Prevailing Wages' in cell C5.
The total of the cost in column C must be greater than zero.
</v>
      </c>
    </row>
    <row r="1516" spans="1:7" ht="15" customHeight="1">
      <c r="A1516" t="str">
        <f t="shared" ca="1" si="498"/>
        <v/>
      </c>
      <c r="B1516">
        <f>ROW('Cost Summary'!A15)</f>
        <v>15</v>
      </c>
      <c r="C1516" s="52" t="str">
        <f t="shared" ca="1" si="499"/>
        <v>Openings</v>
      </c>
      <c r="D1516" t="str">
        <f t="shared" si="500"/>
        <v>C15</v>
      </c>
      <c r="E1516">
        <f t="shared" ca="1" si="501"/>
        <v>0</v>
      </c>
      <c r="F1516" t="str">
        <f t="shared" ca="1" si="502"/>
        <v xml:space="preserve">Enter a value for 'Openings' in cell C15.
</v>
      </c>
      <c r="G1516" s="9" t="str">
        <f t="shared" ca="1" si="497"/>
        <v xml:space="preserve">Enter a value for 'Prevailing Wages' in cell C5.
The total of the cost in column C must be greater than zero.
</v>
      </c>
    </row>
    <row r="1517" spans="1:7" ht="15" customHeight="1">
      <c r="A1517" t="str">
        <f t="shared" ca="1" si="498"/>
        <v/>
      </c>
      <c r="B1517">
        <f>ROW('Cost Summary'!A16)</f>
        <v>16</v>
      </c>
      <c r="C1517" s="52" t="str">
        <f t="shared" ca="1" si="499"/>
        <v>Finishes</v>
      </c>
      <c r="D1517" t="str">
        <f t="shared" si="500"/>
        <v>C16</v>
      </c>
      <c r="E1517">
        <f t="shared" ca="1" si="501"/>
        <v>0</v>
      </c>
      <c r="F1517" t="str">
        <f t="shared" ca="1" si="502"/>
        <v xml:space="preserve">Enter a value for 'Finishes' in cell C16.
</v>
      </c>
      <c r="G1517" s="9" t="str">
        <f t="shared" ca="1" si="497"/>
        <v xml:space="preserve">Enter a value for 'Prevailing Wages' in cell C5.
The total of the cost in column C must be greater than zero.
</v>
      </c>
    </row>
    <row r="1518" spans="1:7" ht="15" customHeight="1">
      <c r="A1518" t="str">
        <f t="shared" ca="1" si="498"/>
        <v/>
      </c>
      <c r="B1518">
        <f>ROW('Cost Summary'!A17)</f>
        <v>17</v>
      </c>
      <c r="C1518" s="52" t="str">
        <f t="shared" ca="1" si="499"/>
        <v>Specialties</v>
      </c>
      <c r="D1518" t="str">
        <f t="shared" si="500"/>
        <v>C17</v>
      </c>
      <c r="E1518">
        <f t="shared" ca="1" si="501"/>
        <v>0</v>
      </c>
      <c r="F1518" t="str">
        <f t="shared" ca="1" si="502"/>
        <v xml:space="preserve">Enter a value for 'Specialties' in cell C17.
</v>
      </c>
      <c r="G1518" s="9" t="str">
        <f t="shared" ca="1" si="497"/>
        <v xml:space="preserve">Enter a value for 'Prevailing Wages' in cell C5.
The total of the cost in column C must be greater than zero.
</v>
      </c>
    </row>
    <row r="1519" spans="1:7" ht="15" customHeight="1">
      <c r="A1519" t="str">
        <f t="shared" ca="1" si="498"/>
        <v/>
      </c>
      <c r="B1519">
        <f>ROW('Cost Summary'!A18)</f>
        <v>18</v>
      </c>
      <c r="C1519" s="52" t="str">
        <f t="shared" ca="1" si="499"/>
        <v>Equipment</v>
      </c>
      <c r="D1519" t="str">
        <f t="shared" si="500"/>
        <v>C18</v>
      </c>
      <c r="E1519">
        <f t="shared" ca="1" si="501"/>
        <v>0</v>
      </c>
      <c r="F1519" t="str">
        <f t="shared" ca="1" si="502"/>
        <v xml:space="preserve">Enter a value for 'Equipment' in cell C18.
</v>
      </c>
      <c r="G1519" s="9" t="str">
        <f t="shared" ca="1" si="497"/>
        <v xml:space="preserve">Enter a value for 'Prevailing Wages' in cell C5.
The total of the cost in column C must be greater than zero.
</v>
      </c>
    </row>
    <row r="1520" spans="1:7" ht="15" customHeight="1">
      <c r="A1520" t="str">
        <f t="shared" ca="1" si="498"/>
        <v/>
      </c>
      <c r="B1520">
        <f>ROW('Cost Summary'!A19)</f>
        <v>19</v>
      </c>
      <c r="C1520" s="52" t="str">
        <f t="shared" ca="1" si="499"/>
        <v>Furnishings</v>
      </c>
      <c r="D1520" t="str">
        <f t="shared" si="500"/>
        <v>C19</v>
      </c>
      <c r="E1520">
        <f t="shared" ca="1" si="501"/>
        <v>0</v>
      </c>
      <c r="F1520" t="str">
        <f t="shared" ca="1" si="502"/>
        <v xml:space="preserve">Enter a value for 'Furnishings' in cell C19.
</v>
      </c>
      <c r="G1520" s="9" t="str">
        <f t="shared" ca="1" si="497"/>
        <v xml:space="preserve">Enter a value for 'Prevailing Wages' in cell C5.
The total of the cost in column C must be greater than zero.
</v>
      </c>
    </row>
    <row r="1521" spans="1:7" ht="15" customHeight="1">
      <c r="A1521" t="str">
        <f t="shared" ca="1" si="498"/>
        <v/>
      </c>
      <c r="B1521">
        <f>ROW('Cost Summary'!A20)</f>
        <v>20</v>
      </c>
      <c r="C1521" s="52" t="str">
        <f t="shared" ca="1" si="499"/>
        <v>Special Construction</v>
      </c>
      <c r="D1521" t="str">
        <f t="shared" si="500"/>
        <v>C20</v>
      </c>
      <c r="E1521">
        <f t="shared" ca="1" si="501"/>
        <v>0</v>
      </c>
      <c r="F1521" t="str">
        <f t="shared" ca="1" si="502"/>
        <v xml:space="preserve">Enter a value for 'Special Construction' in cell C20.
</v>
      </c>
      <c r="G1521" s="9" t="str">
        <f t="shared" ca="1" si="497"/>
        <v xml:space="preserve">Enter a value for 'Prevailing Wages' in cell C5.
The total of the cost in column C must be greater than zero.
</v>
      </c>
    </row>
    <row r="1522" spans="1:7" ht="15" customHeight="1">
      <c r="A1522" t="str">
        <f t="shared" ca="1" si="498"/>
        <v/>
      </c>
      <c r="B1522">
        <f>ROW('Cost Summary'!A21)</f>
        <v>21</v>
      </c>
      <c r="C1522" s="52" t="str">
        <f t="shared" ca="1" si="499"/>
        <v>Conveying Equipment</v>
      </c>
      <c r="D1522" t="str">
        <f t="shared" si="500"/>
        <v>C21</v>
      </c>
      <c r="E1522">
        <f t="shared" ca="1" si="501"/>
        <v>0</v>
      </c>
      <c r="F1522" t="str">
        <f t="shared" ca="1" si="502"/>
        <v xml:space="preserve">Enter a value for 'Conveying Equipment' in cell C21.
</v>
      </c>
      <c r="G1522" s="9" t="str">
        <f t="shared" ca="1" si="497"/>
        <v xml:space="preserve">Enter a value for 'Prevailing Wages' in cell C5.
The total of the cost in column C must be greater than zero.
</v>
      </c>
    </row>
    <row r="1523" spans="1:7" ht="15" customHeight="1">
      <c r="A1523" t="str">
        <f t="shared" ca="1" si="498"/>
        <v/>
      </c>
      <c r="B1523">
        <f>ROW('Cost Summary'!A22)</f>
        <v>22</v>
      </c>
      <c r="C1523" s="52" t="str">
        <f t="shared" ca="1" si="499"/>
        <v>Fire Suppression</v>
      </c>
      <c r="D1523" t="str">
        <f t="shared" si="500"/>
        <v>C22</v>
      </c>
      <c r="E1523">
        <f t="shared" ca="1" si="501"/>
        <v>0</v>
      </c>
      <c r="F1523" t="str">
        <f t="shared" ca="1" si="502"/>
        <v xml:space="preserve">Enter a value for 'Fire Suppression' in cell C22.
</v>
      </c>
      <c r="G1523" s="9" t="str">
        <f t="shared" ca="1" si="497"/>
        <v xml:space="preserve">Enter a value for 'Prevailing Wages' in cell C5.
The total of the cost in column C must be greater than zero.
</v>
      </c>
    </row>
    <row r="1524" spans="1:7" ht="15" customHeight="1">
      <c r="A1524" t="str">
        <f t="shared" ca="1" si="498"/>
        <v/>
      </c>
      <c r="B1524">
        <f>ROW('Cost Summary'!A23)</f>
        <v>23</v>
      </c>
      <c r="C1524" s="52" t="str">
        <f t="shared" ca="1" si="499"/>
        <v>Plumbing</v>
      </c>
      <c r="D1524" t="str">
        <f t="shared" si="500"/>
        <v>C23</v>
      </c>
      <c r="E1524">
        <f t="shared" ca="1" si="501"/>
        <v>0</v>
      </c>
      <c r="F1524" t="str">
        <f t="shared" ca="1" si="502"/>
        <v xml:space="preserve">Enter a value for 'Plumbing' in cell C23.
</v>
      </c>
      <c r="G1524" s="9" t="str">
        <f t="shared" ca="1" si="497"/>
        <v xml:space="preserve">Enter a value for 'Prevailing Wages' in cell C5.
The total of the cost in column C must be greater than zero.
</v>
      </c>
    </row>
    <row r="1525" spans="1:7" ht="15" customHeight="1">
      <c r="A1525" t="str">
        <f t="shared" ca="1" si="498"/>
        <v/>
      </c>
      <c r="B1525">
        <f>ROW('Cost Summary'!A24)</f>
        <v>24</v>
      </c>
      <c r="C1525" s="52" t="str">
        <f t="shared" ca="1" si="499"/>
        <v>Heating Ventilation Air Conditioning</v>
      </c>
      <c r="D1525" t="str">
        <f t="shared" si="500"/>
        <v>C24</v>
      </c>
      <c r="E1525">
        <f t="shared" ca="1" si="501"/>
        <v>0</v>
      </c>
      <c r="F1525" t="str">
        <f t="shared" ca="1" si="502"/>
        <v xml:space="preserve">Enter a value for 'Heating Ventilation Air Conditioning' in cell C24.
</v>
      </c>
      <c r="G1525" s="9" t="str">
        <f t="shared" ca="1" si="497"/>
        <v xml:space="preserve">Enter a value for 'Prevailing Wages' in cell C5.
The total of the cost in column C must be greater than zero.
</v>
      </c>
    </row>
    <row r="1526" spans="1:7" ht="15" customHeight="1">
      <c r="A1526" t="str">
        <f t="shared" ca="1" si="498"/>
        <v/>
      </c>
      <c r="B1526">
        <f>ROW('Cost Summary'!A25)</f>
        <v>25</v>
      </c>
      <c r="C1526" s="52" t="str">
        <f t="shared" ca="1" si="499"/>
        <v>Integrated Automation</v>
      </c>
      <c r="D1526" t="str">
        <f t="shared" si="500"/>
        <v>C25</v>
      </c>
      <c r="E1526">
        <f t="shared" ca="1" si="501"/>
        <v>0</v>
      </c>
      <c r="F1526" t="str">
        <f t="shared" ca="1" si="502"/>
        <v xml:space="preserve">Enter a value for 'Integrated Automation' in cell C25.
</v>
      </c>
      <c r="G1526" s="9" t="str">
        <f t="shared" ca="1" si="497"/>
        <v xml:space="preserve">Enter a value for 'Prevailing Wages' in cell C5.
The total of the cost in column C must be greater than zero.
</v>
      </c>
    </row>
    <row r="1527" spans="1:7" ht="15" customHeight="1">
      <c r="A1527" t="str">
        <f t="shared" ca="1" si="498"/>
        <v/>
      </c>
      <c r="B1527">
        <f>ROW('Cost Summary'!A26)</f>
        <v>26</v>
      </c>
      <c r="C1527" s="52" t="str">
        <f t="shared" ca="1" si="499"/>
        <v>Electrical</v>
      </c>
      <c r="D1527" t="str">
        <f t="shared" si="500"/>
        <v>C26</v>
      </c>
      <c r="E1527">
        <f t="shared" ca="1" si="501"/>
        <v>0</v>
      </c>
      <c r="F1527" t="str">
        <f t="shared" ca="1" si="502"/>
        <v xml:space="preserve">Enter a value for 'Electrical' in cell C26.
</v>
      </c>
      <c r="G1527" s="9" t="str">
        <f t="shared" ca="1" si="497"/>
        <v xml:space="preserve">Enter a value for 'Prevailing Wages' in cell C5.
The total of the cost in column C must be greater than zero.
</v>
      </c>
    </row>
    <row r="1528" spans="1:7" ht="15" customHeight="1">
      <c r="A1528" t="str">
        <f t="shared" ca="1" si="498"/>
        <v/>
      </c>
      <c r="B1528">
        <f>ROW('Cost Summary'!A27)</f>
        <v>27</v>
      </c>
      <c r="C1528" s="52" t="str">
        <f t="shared" ca="1" si="499"/>
        <v>Communications</v>
      </c>
      <c r="D1528" t="str">
        <f t="shared" si="500"/>
        <v>C27</v>
      </c>
      <c r="E1528">
        <f t="shared" ca="1" si="501"/>
        <v>0</v>
      </c>
      <c r="F1528" t="str">
        <f t="shared" ca="1" si="502"/>
        <v xml:space="preserve">Enter a value for 'Communications' in cell C27.
</v>
      </c>
      <c r="G1528" s="9" t="str">
        <f t="shared" ca="1" si="497"/>
        <v xml:space="preserve">Enter a value for 'Prevailing Wages' in cell C5.
The total of the cost in column C must be greater than zero.
</v>
      </c>
    </row>
    <row r="1529" spans="1:7" ht="15" customHeight="1">
      <c r="A1529" t="str">
        <f t="shared" ca="1" si="498"/>
        <v/>
      </c>
      <c r="B1529">
        <f>ROW('Cost Summary'!A28)</f>
        <v>28</v>
      </c>
      <c r="C1529" s="52" t="str">
        <f t="shared" ca="1" si="499"/>
        <v>Electronic Safety &amp; Security</v>
      </c>
      <c r="D1529" t="str">
        <f t="shared" si="500"/>
        <v>C28</v>
      </c>
      <c r="E1529">
        <f t="shared" ca="1" si="501"/>
        <v>0</v>
      </c>
      <c r="F1529" t="str">
        <f t="shared" ca="1" si="502"/>
        <v xml:space="preserve">Enter a value for 'Electronic Safety &amp; Security' in cell C28.
</v>
      </c>
      <c r="G1529" s="9" t="str">
        <f t="shared" ca="1" si="497"/>
        <v xml:space="preserve">Enter a value for 'Prevailing Wages' in cell C5.
The total of the cost in column C must be greater than zero.
</v>
      </c>
    </row>
    <row r="1530" spans="1:7" ht="15" customHeight="1">
      <c r="A1530" t="str">
        <f t="shared" ca="1" si="498"/>
        <v/>
      </c>
      <c r="B1530">
        <f>ROW('Cost Summary'!A29)</f>
        <v>29</v>
      </c>
      <c r="C1530" s="52" t="str">
        <f t="shared" ca="1" si="499"/>
        <v>Earthwork</v>
      </c>
      <c r="D1530" t="str">
        <f t="shared" si="500"/>
        <v>C29</v>
      </c>
      <c r="E1530">
        <f t="shared" ca="1" si="501"/>
        <v>0</v>
      </c>
      <c r="F1530" t="str">
        <f t="shared" ca="1" si="502"/>
        <v xml:space="preserve">Enter a value for 'Earthwork' in cell C29.
</v>
      </c>
      <c r="G1530" s="9" t="str">
        <f t="shared" ca="1" si="497"/>
        <v xml:space="preserve">Enter a value for 'Prevailing Wages' in cell C5.
The total of the cost in column C must be greater than zero.
</v>
      </c>
    </row>
    <row r="1531" spans="1:7" ht="15" customHeight="1">
      <c r="A1531" t="str">
        <f t="shared" ca="1" si="498"/>
        <v/>
      </c>
      <c r="B1531">
        <f>ROW('Cost Summary'!A30)</f>
        <v>30</v>
      </c>
      <c r="C1531" s="52" t="str">
        <f t="shared" ca="1" si="499"/>
        <v>Exterior Improvements</v>
      </c>
      <c r="D1531" t="str">
        <f t="shared" si="500"/>
        <v>C30</v>
      </c>
      <c r="E1531">
        <f t="shared" ca="1" si="501"/>
        <v>0</v>
      </c>
      <c r="F1531" t="str">
        <f t="shared" ca="1" si="502"/>
        <v xml:space="preserve">Enter a value for 'Exterior Improvements' in cell C30.
</v>
      </c>
      <c r="G1531" s="9" t="str">
        <f t="shared" ca="1" si="497"/>
        <v xml:space="preserve">Enter a value for 'Prevailing Wages' in cell C5.
The total of the cost in column C must be greater than zero.
</v>
      </c>
    </row>
    <row r="1532" spans="1:7" ht="15" customHeight="1">
      <c r="A1532" t="str">
        <f t="shared" ca="1" si="498"/>
        <v/>
      </c>
      <c r="B1532">
        <f>ROW('Cost Summary'!A31)</f>
        <v>31</v>
      </c>
      <c r="C1532" s="52" t="str">
        <f t="shared" ca="1" si="499"/>
        <v>Utilities</v>
      </c>
      <c r="D1532" t="str">
        <f t="shared" si="500"/>
        <v>C31</v>
      </c>
      <c r="E1532">
        <f t="shared" ca="1" si="501"/>
        <v>0</v>
      </c>
      <c r="F1532" t="str">
        <f t="shared" ca="1" si="502"/>
        <v xml:space="preserve">Enter a value for 'Utilities' in cell C31.
</v>
      </c>
      <c r="G1532" s="9" t="str">
        <f t="shared" ca="1" si="497"/>
        <v xml:space="preserve">Enter a value for 'Prevailing Wages' in cell C5.
The total of the cost in column C must be greater than zero.
</v>
      </c>
    </row>
    <row r="1533" spans="1:7" ht="15" customHeight="1">
      <c r="A1533" t="str">
        <f t="shared" ca="1" si="498"/>
        <v/>
      </c>
      <c r="B1533">
        <f>ROW('Cost Summary'!A32)</f>
        <v>32</v>
      </c>
      <c r="C1533" s="52" t="str">
        <f t="shared" ca="1" si="499"/>
        <v>Transportation</v>
      </c>
      <c r="D1533" t="str">
        <f t="shared" si="500"/>
        <v>C32</v>
      </c>
      <c r="E1533">
        <f t="shared" ca="1" si="501"/>
        <v>0</v>
      </c>
      <c r="F1533" t="str">
        <f t="shared" ca="1" si="502"/>
        <v xml:space="preserve">Enter a value for 'Transportation' in cell C32.
</v>
      </c>
      <c r="G1533" s="9" t="str">
        <f t="shared" ca="1" si="497"/>
        <v xml:space="preserve">Enter a value for 'Prevailing Wages' in cell C5.
The total of the cost in column C must be greater than zero.
</v>
      </c>
    </row>
    <row r="1534" spans="1:7" ht="15" customHeight="1">
      <c r="A1534" t="str">
        <f t="shared" ca="1" si="498"/>
        <v/>
      </c>
      <c r="B1534">
        <f>ROW('Cost Summary'!A34)</f>
        <v>34</v>
      </c>
      <c r="C1534" s="52" t="str">
        <f t="shared" ca="1" si="499"/>
        <v>[Other - describe]</v>
      </c>
      <c r="D1534" t="str">
        <f t="shared" si="500"/>
        <v>C34</v>
      </c>
      <c r="E1534">
        <f t="shared" ca="1" si="501"/>
        <v>0</v>
      </c>
      <c r="F1534" t="str">
        <f t="shared" ca="1" si="502"/>
        <v xml:space="preserve">Enter a value for '[Other - describe]' in cell C34.
</v>
      </c>
      <c r="G1534" s="9" t="str">
        <f t="shared" ca="1" si="497"/>
        <v xml:space="preserve">Enter a value for 'Prevailing Wages' in cell C5.
The total of the cost in column C must be greater than zero.
</v>
      </c>
    </row>
    <row r="1535" spans="1:7" ht="15" customHeight="1">
      <c r="A1535" t="str">
        <f ca="1">IF(AND(E1535, E1534 &gt; 0), F1535, "")</f>
        <v/>
      </c>
      <c r="C1535" t="str">
        <f ca="1">INDIRECT($F$1504 &amp; ADDRESS(B1534, 2,4  ))</f>
        <v>[Other - describe]</v>
      </c>
      <c r="D1535" t="str">
        <f>ADDRESS(B1534, 2,4  )</f>
        <v>B34</v>
      </c>
      <c r="E1535" t="b">
        <f ca="1">INDIRECT($F$1504 &amp; D1535)="[Other - describe]"</f>
        <v>1</v>
      </c>
      <c r="F1535" t="str">
        <f ca="1">CONCATENATE("Please specify value for '", C1535, "' in cell ", D1535, ".", CHAR(10))</f>
        <v xml:space="preserve">Please specify value for '[Other - describe]' in cell B34.
</v>
      </c>
      <c r="G1535" s="9" t="str">
        <f t="shared" ca="1" si="497"/>
        <v xml:space="preserve">Enter a value for 'Prevailing Wages' in cell C5.
The total of the cost in column C must be greater than zero.
</v>
      </c>
    </row>
    <row r="1536" spans="1:7" ht="15" customHeight="1">
      <c r="A1536" t="str">
        <f ca="1">IF(E1536="",F1536, "")</f>
        <v/>
      </c>
      <c r="B1536">
        <f>ROW('Cost Summary'!A35)</f>
        <v>35</v>
      </c>
      <c r="C1536" s="52" t="str">
        <f ca="1">INDIRECT($F$1504 &amp; ADDRESS(B1536, 2,4  ))</f>
        <v>[Other - describe]</v>
      </c>
      <c r="D1536" t="str">
        <f>ADDRESS(B1536, 3,4  )</f>
        <v>C35</v>
      </c>
      <c r="E1536">
        <f ca="1">IF(ISBLANK( INDIRECT($F$1504 &amp; D1536)),"", INDIRECT($F$1504 &amp; D1536))</f>
        <v>0</v>
      </c>
      <c r="F1536" t="str">
        <f ca="1">CONCATENATE("Enter a value for '", C1536, "' in cell ", D1536, ".", CHAR(10))</f>
        <v xml:space="preserve">Enter a value for '[Other - describe]' in cell C35.
</v>
      </c>
      <c r="G1536" s="9" t="str">
        <f t="shared" ca="1" si="497"/>
        <v xml:space="preserve">Enter a value for 'Prevailing Wages' in cell C5.
The total of the cost in column C must be greater than zero.
</v>
      </c>
    </row>
    <row r="1537" spans="1:7" ht="15" customHeight="1">
      <c r="A1537" t="str">
        <f ca="1">IF(AND(E1537, E1536 &gt; 0), F1537, "")</f>
        <v/>
      </c>
      <c r="C1537" t="str">
        <f ca="1">INDIRECT($F$1504 &amp; ADDRESS(B1536, 2,4  ))</f>
        <v>[Other - describe]</v>
      </c>
      <c r="D1537" t="str">
        <f>ADDRESS(B1536, 2,4  )</f>
        <v>B35</v>
      </c>
      <c r="E1537" t="b">
        <f ca="1">INDIRECT($F$1504 &amp; D1537)="[Other - describe]"</f>
        <v>1</v>
      </c>
      <c r="F1537" t="str">
        <f ca="1">CONCATENATE("Please specify value for '", C1537, "' in cell ", D1537, ".", CHAR(10))</f>
        <v xml:space="preserve">Please specify value for '[Other - describe]' in cell B35.
</v>
      </c>
      <c r="G1537" s="9" t="str">
        <f t="shared" ca="1" si="497"/>
        <v xml:space="preserve">Enter a value for 'Prevailing Wages' in cell C5.
The total of the cost in column C must be greater than zero.
</v>
      </c>
    </row>
    <row r="1538" spans="1:7" ht="15" customHeight="1">
      <c r="A1538" t="str">
        <f ca="1">IF(E1538="",F1538, "")</f>
        <v/>
      </c>
      <c r="B1538">
        <f>ROW('Cost Summary'!A38)</f>
        <v>38</v>
      </c>
      <c r="C1538" s="52" t="str">
        <f ca="1">INDIRECT($F$1504 &amp; ADDRESS(B1538, 2,4  ))</f>
        <v>Procurement Pre-construction, Design-Build</v>
      </c>
      <c r="D1538" t="str">
        <f>ADDRESS(B1538, 3,4  )</f>
        <v>C38</v>
      </c>
      <c r="E1538">
        <f ca="1">IF(ISBLANK( INDIRECT($F$1504 &amp; D1538)),"", INDIRECT($F$1504 &amp; D1538))</f>
        <v>0</v>
      </c>
      <c r="F1538" t="str">
        <f ca="1">CONCATENATE("Enter a value for '", C1538, "' in cell ", D1538, ".", CHAR(10))</f>
        <v xml:space="preserve">Enter a value for 'Procurement Pre-construction, Design-Build' in cell C38.
</v>
      </c>
      <c r="G1538" s="9" t="str">
        <f t="shared" ca="1" si="497"/>
        <v xml:space="preserve">Enter a value for 'Prevailing Wages' in cell C5.
The total of the cost in column C must be greater than zero.
</v>
      </c>
    </row>
    <row r="1539" spans="1:7" ht="15" customHeight="1">
      <c r="A1539" t="str">
        <f ca="1">IF(E1539="",F1539, "")</f>
        <v/>
      </c>
      <c r="B1539">
        <f>ROW('Cost Summary'!A39)</f>
        <v>39</v>
      </c>
      <c r="C1539" s="52" t="str">
        <f ca="1">INDIRECT($F$1504 &amp; ADDRESS(B1539, 2,4  ))</f>
        <v>[Other - describe]</v>
      </c>
      <c r="D1539" t="str">
        <f>ADDRESS(B1539, 3,4  )</f>
        <v>C39</v>
      </c>
      <c r="E1539">
        <f ca="1">IF(ISBLANK( INDIRECT($F$1504 &amp; D1539)),"", INDIRECT($F$1504 &amp; D1539))</f>
        <v>0</v>
      </c>
      <c r="F1539" t="str">
        <f ca="1">CONCATENATE("Enter a value for '", C1539, "' in cell ", D1539, ".", CHAR(10))</f>
        <v xml:space="preserve">Enter a value for '[Other - describe]' in cell C39.
</v>
      </c>
      <c r="G1539" s="9" t="str">
        <f t="shared" ca="1" si="497"/>
        <v xml:space="preserve">Enter a value for 'Prevailing Wages' in cell C5.
The total of the cost in column C must be greater than zero.
</v>
      </c>
    </row>
    <row r="1540" spans="1:7" ht="15" customHeight="1">
      <c r="A1540" t="str">
        <f ca="1">IF(AND(E1540, E1539 &gt; 0), F1540, "")</f>
        <v/>
      </c>
      <c r="C1540" t="str">
        <f ca="1">INDIRECT($F$1504 &amp; ADDRESS(B1539, 2,4  ))</f>
        <v>[Other - describe]</v>
      </c>
      <c r="D1540" t="str">
        <f>ADDRESS(B1539, 2,4  )</f>
        <v>B39</v>
      </c>
      <c r="E1540" t="b">
        <f ca="1">INDIRECT($F$1504 &amp; D1540)="[Other - describe]"</f>
        <v>1</v>
      </c>
      <c r="F1540" t="str">
        <f ca="1">CONCATENATE("Please specify value for '", C1540, "' in cell ", D1540, ".", CHAR(10))</f>
        <v xml:space="preserve">Please specify value for '[Other - describe]' in cell B39.
</v>
      </c>
      <c r="G1540" s="9" t="str">
        <f t="shared" ref="G1540:G1561" ca="1" si="503">OFFSET(G1540, -1, 0) &amp; A1540</f>
        <v xml:space="preserve">Enter a value for 'Prevailing Wages' in cell C5.
The total of the cost in column C must be greater than zero.
</v>
      </c>
    </row>
    <row r="1541" spans="1:7" ht="15" customHeight="1">
      <c r="A1541" t="str">
        <f ca="1">IF(E1541="",F1541, "")</f>
        <v/>
      </c>
      <c r="B1541">
        <f>ROW('Cost Summary'!A40)</f>
        <v>40</v>
      </c>
      <c r="C1541" s="52" t="str">
        <f ca="1">INDIRECT($F$1504 &amp; ADDRESS(B1541, 2,4  ))</f>
        <v>[Other - describe]</v>
      </c>
      <c r="D1541" t="str">
        <f>ADDRESS(B1541, 3,4  )</f>
        <v>C40</v>
      </c>
      <c r="E1541">
        <f ca="1">IF(ISBLANK( INDIRECT($F$1504 &amp; D1541)),"", INDIRECT($F$1504 &amp; D1541))</f>
        <v>0</v>
      </c>
      <c r="F1541" t="str">
        <f ca="1">CONCATENATE("Enter a value for '", C1541, "' in cell ", D1541, ".", CHAR(10))</f>
        <v xml:space="preserve">Enter a value for '[Other - describe]' in cell C40.
</v>
      </c>
      <c r="G1541" s="9" t="str">
        <f t="shared" ca="1" si="503"/>
        <v xml:space="preserve">Enter a value for 'Prevailing Wages' in cell C5.
The total of the cost in column C must be greater than zero.
</v>
      </c>
    </row>
    <row r="1542" spans="1:7" ht="15" customHeight="1">
      <c r="A1542" t="str">
        <f ca="1">IF(AND(E1542, E1541 &gt; 0), F1542, "")</f>
        <v/>
      </c>
      <c r="C1542" t="str">
        <f ca="1">INDIRECT($F$1504 &amp; ADDRESS(B1541, 2,4  ))</f>
        <v>[Other - describe]</v>
      </c>
      <c r="D1542" t="str">
        <f>ADDRESS(B1541, 2,4  )</f>
        <v>B40</v>
      </c>
      <c r="E1542" t="b">
        <f ca="1">INDIRECT($F$1504 &amp; D1542)="[Other - describe]"</f>
        <v>1</v>
      </c>
      <c r="F1542" t="str">
        <f ca="1">CONCATENATE("Please specify value for '", C1542, "' in cell ", D1542, ".", CHAR(10))</f>
        <v xml:space="preserve">Please specify value for '[Other - describe]' in cell B40.
</v>
      </c>
      <c r="G1542" s="9" t="str">
        <f t="shared" ca="1" si="503"/>
        <v xml:space="preserve">Enter a value for 'Prevailing Wages' in cell C5.
The total of the cost in column C must be greater than zero.
</v>
      </c>
    </row>
    <row r="1543" spans="1:7" ht="15" customHeight="1">
      <c r="A1543" t="str">
        <f ca="1">IF(E1543="",F1543, "")</f>
        <v/>
      </c>
      <c r="B1543">
        <f>ROW('Cost Summary'!A41)</f>
        <v>41</v>
      </c>
      <c r="C1543" s="52" t="str">
        <f ca="1">INDIRECT($F$1504 &amp; ADDRESS(B1543, 2,4  ))</f>
        <v>[Other - describe]</v>
      </c>
      <c r="D1543" t="str">
        <f>ADDRESS(B1543, 3,4  )</f>
        <v>C41</v>
      </c>
      <c r="E1543">
        <f ca="1">IF(ISBLANK( INDIRECT($F$1504 &amp; D1543)),"", INDIRECT($F$1504 &amp; D1543))</f>
        <v>0</v>
      </c>
      <c r="F1543" t="str">
        <f ca="1">CONCATENATE("Enter a value for '", C1543, "' in cell ", D1543, ".", CHAR(10))</f>
        <v xml:space="preserve">Enter a value for '[Other - describe]' in cell C41.
</v>
      </c>
      <c r="G1543" s="9" t="str">
        <f t="shared" ca="1" si="503"/>
        <v xml:space="preserve">Enter a value for 'Prevailing Wages' in cell C5.
The total of the cost in column C must be greater than zero.
</v>
      </c>
    </row>
    <row r="1544" spans="1:7" ht="15" customHeight="1">
      <c r="A1544" t="str">
        <f ca="1">IF(AND(E1544, E1543 &gt; 0), F1544, "")</f>
        <v/>
      </c>
      <c r="C1544" t="str">
        <f ca="1">INDIRECT($F$1504 &amp; ADDRESS(B1543, 2,4  ))</f>
        <v>[Other - describe]</v>
      </c>
      <c r="D1544" t="str">
        <f>ADDRESS(B1543, 2,4  )</f>
        <v>B41</v>
      </c>
      <c r="E1544" t="b">
        <f ca="1">INDIRECT($F$1504 &amp; D1544)="[Other - describe]"</f>
        <v>1</v>
      </c>
      <c r="F1544" t="str">
        <f ca="1">CONCATENATE("Please specify value for '", C1544, "' in cell ", D1544, ".", CHAR(10))</f>
        <v xml:space="preserve">Please specify value for '[Other - describe]' in cell B41.
</v>
      </c>
      <c r="G1544" s="9" t="str">
        <f t="shared" ca="1" si="503"/>
        <v xml:space="preserve">Enter a value for 'Prevailing Wages' in cell C5.
The total of the cost in column C must be greater than zero.
</v>
      </c>
    </row>
    <row r="1545" spans="1:7" ht="15" customHeight="1">
      <c r="A1545" t="str">
        <f ca="1">IF(E1545="",F1545, "")</f>
        <v/>
      </c>
      <c r="B1545">
        <f>ROW('Cost Summary'!A44)</f>
        <v>44</v>
      </c>
      <c r="C1545" s="52" t="str">
        <f ca="1">INDIRECT($F$1504 &amp; ADDRESS(B1545, 2,4  ))</f>
        <v>Payment &amp; Performance Bond</v>
      </c>
      <c r="D1545" t="str">
        <f>ADDRESS(B1545, 3,4  )</f>
        <v>C44</v>
      </c>
      <c r="E1545">
        <f ca="1">IF(ISBLANK( INDIRECT($F$1504 &amp; D1545)),"", INDIRECT($F$1504 &amp; D1545))</f>
        <v>0</v>
      </c>
      <c r="F1545" t="str">
        <f ca="1">CONCATENATE("Enter a value for '", C1545, "' in cell ", D1545, ".", CHAR(10))</f>
        <v xml:space="preserve">Enter a value for 'Payment &amp; Performance Bond' in cell C44.
</v>
      </c>
      <c r="G1545" s="9" t="str">
        <f t="shared" ca="1" si="503"/>
        <v xml:space="preserve">Enter a value for 'Prevailing Wages' in cell C5.
The total of the cost in column C must be greater than zero.
</v>
      </c>
    </row>
    <row r="1546" spans="1:7" ht="15" customHeight="1">
      <c r="A1546" t="str">
        <f ca="1">IF(E1546="",F1546, "")</f>
        <v/>
      </c>
      <c r="B1546">
        <f>ROW('Cost Summary'!A45)</f>
        <v>45</v>
      </c>
      <c r="C1546" s="52" t="str">
        <f ca="1">INDIRECT($F$1504 &amp; ADDRESS(B1546, 2,4  ))</f>
        <v>Builders Risk</v>
      </c>
      <c r="D1546" t="str">
        <f>ADDRESS(B1546, 3,4  )</f>
        <v>C45</v>
      </c>
      <c r="E1546">
        <f ca="1">IF(ISBLANK( INDIRECT($F$1504 &amp; D1546)),"", INDIRECT($F$1504 &amp; D1546))</f>
        <v>0</v>
      </c>
      <c r="F1546" t="str">
        <f ca="1">CONCATENATE("Enter a value for '", C1546, "' in cell ", D1546, ".", CHAR(10))</f>
        <v xml:space="preserve">Enter a value for 'Builders Risk' in cell C45.
</v>
      </c>
      <c r="G1546" s="9" t="str">
        <f t="shared" ca="1" si="503"/>
        <v xml:space="preserve">Enter a value for 'Prevailing Wages' in cell C5.
The total of the cost in column C must be greater than zero.
</v>
      </c>
    </row>
    <row r="1547" spans="1:7" ht="15" customHeight="1">
      <c r="A1547" t="str">
        <f ca="1">IF(E1547="",F1547, "")</f>
        <v/>
      </c>
      <c r="B1547">
        <f>ROW('Cost Summary'!A46)</f>
        <v>46</v>
      </c>
      <c r="C1547" s="52" t="str">
        <f ca="1">INDIRECT($F$1504 &amp; ADDRESS(B1547, 2,4  ))</f>
        <v>General Liability</v>
      </c>
      <c r="D1547" t="str">
        <f>ADDRESS(B1547, 3,4  )</f>
        <v>C46</v>
      </c>
      <c r="E1547">
        <f ca="1">IF(ISBLANK( INDIRECT($F$1504 &amp; D1547)),"", INDIRECT($F$1504 &amp; D1547))</f>
        <v>0</v>
      </c>
      <c r="F1547" t="str">
        <f ca="1">CONCATENATE("Enter a value for '", C1547, "' in cell ", D1547, ".", CHAR(10))</f>
        <v xml:space="preserve">Enter a value for 'General Liability' in cell C46.
</v>
      </c>
      <c r="G1547" s="9" t="str">
        <f t="shared" ca="1" si="503"/>
        <v xml:space="preserve">Enter a value for 'Prevailing Wages' in cell C5.
The total of the cost in column C must be greater than zero.
</v>
      </c>
    </row>
    <row r="1548" spans="1:7" ht="15" customHeight="1">
      <c r="A1548" t="str">
        <f ca="1">IF(E1548="",F1548, "")</f>
        <v/>
      </c>
      <c r="B1548">
        <f>ROW('Cost Summary'!A47)</f>
        <v>47</v>
      </c>
      <c r="C1548" s="52" t="str">
        <f ca="1">INDIRECT($F$1504 &amp; ADDRESS(B1548, 2,4  ))</f>
        <v>Wrap Insurance Program</v>
      </c>
      <c r="D1548" t="str">
        <f>ADDRESS(B1548, 3,4  )</f>
        <v>C47</v>
      </c>
      <c r="E1548">
        <f ca="1">IF(ISBLANK( INDIRECT($F$1504 &amp; D1548)),"", INDIRECT($F$1504 &amp; D1548))</f>
        <v>0</v>
      </c>
      <c r="F1548" t="str">
        <f ca="1">CONCATENATE("Enter a value for '", C1548, "' in cell ", D1548, ".", CHAR(10))</f>
        <v xml:space="preserve">Enter a value for 'Wrap Insurance Program' in cell C47.
</v>
      </c>
      <c r="G1548" s="9" t="str">
        <f t="shared" ca="1" si="503"/>
        <v xml:space="preserve">Enter a value for 'Prevailing Wages' in cell C5.
The total of the cost in column C must be greater than zero.
</v>
      </c>
    </row>
    <row r="1549" spans="1:7" ht="15" customHeight="1">
      <c r="A1549" t="str">
        <f ca="1">IF(E1549="",F1549, "")</f>
        <v/>
      </c>
      <c r="B1549">
        <f>ROW('Cost Summary'!A48)</f>
        <v>48</v>
      </c>
      <c r="C1549" s="52" t="str">
        <f ca="1">INDIRECT($F$1504 &amp; ADDRESS(B1549, 2,4  ))</f>
        <v>[Other - describe]</v>
      </c>
      <c r="D1549" t="str">
        <f>ADDRESS(B1549, 3,4  )</f>
        <v>C48</v>
      </c>
      <c r="E1549">
        <f ca="1">IF(ISBLANK( INDIRECT($F$1504 &amp; D1549)),"", INDIRECT($F$1504 &amp; D1549))</f>
        <v>0</v>
      </c>
      <c r="F1549" t="str">
        <f ca="1">CONCATENATE("Enter a value for '", C1549, "' in cell ", D1549, ".", CHAR(10))</f>
        <v xml:space="preserve">Enter a value for '[Other - describe]' in cell C48.
</v>
      </c>
      <c r="G1549" s="9" t="str">
        <f t="shared" ca="1" si="503"/>
        <v xml:space="preserve">Enter a value for 'Prevailing Wages' in cell C5.
The total of the cost in column C must be greater than zero.
</v>
      </c>
    </row>
    <row r="1550" spans="1:7" ht="15" customHeight="1">
      <c r="A1550" t="str">
        <f ca="1">IF(AND(E1550, E1549 &gt; 0), F1550, "")</f>
        <v/>
      </c>
      <c r="C1550" t="str">
        <f ca="1">INDIRECT($F$1504 &amp; ADDRESS(B1549, 2,4  ))</f>
        <v>[Other - describe]</v>
      </c>
      <c r="D1550" t="str">
        <f>ADDRESS(B1549, 2,4  )</f>
        <v>B48</v>
      </c>
      <c r="E1550" t="b">
        <f ca="1">INDIRECT($F$1504 &amp; D1550)="[Other - describe]"</f>
        <v>1</v>
      </c>
      <c r="F1550" t="str">
        <f ca="1">CONCATENATE("Please specify value for '", C1550, "' in cell ", D1550, ".", CHAR(10))</f>
        <v xml:space="preserve">Please specify value for '[Other - describe]' in cell B48.
</v>
      </c>
      <c r="G1550" s="9" t="str">
        <f t="shared" ca="1" si="503"/>
        <v xml:space="preserve">Enter a value for 'Prevailing Wages' in cell C5.
The total of the cost in column C must be greater than zero.
</v>
      </c>
    </row>
    <row r="1551" spans="1:7" ht="15" customHeight="1">
      <c r="A1551" t="str">
        <f t="shared" ref="A1551:A1556" ca="1" si="504">IF(E1551="",F1551, "")</f>
        <v/>
      </c>
      <c r="B1551">
        <f>ROW('Cost Summary'!A51)</f>
        <v>51</v>
      </c>
      <c r="C1551" s="52" t="str">
        <f t="shared" ref="C1551:C1556" ca="1" si="505">INDIRECT($F$1504 &amp; ADDRESS(B1551, 2,4  ))</f>
        <v>Contingency (Contractor's)</v>
      </c>
      <c r="D1551" t="str">
        <f t="shared" ref="D1551:D1556" si="506">ADDRESS(B1551, 3,4  )</f>
        <v>C51</v>
      </c>
      <c r="E1551">
        <f t="shared" ref="E1551:E1556" ca="1" si="507">IF(ISBLANK( INDIRECT($F$1504 &amp; D1551)),"", INDIRECT($F$1504 &amp; D1551))</f>
        <v>0</v>
      </c>
      <c r="F1551" t="str">
        <f t="shared" ref="F1551:F1556" ca="1" si="508">CONCATENATE("Enter a value for '", C1551, "' in cell ", D1551, ".", CHAR(10))</f>
        <v xml:space="preserve">Enter a value for 'Contingency (Contractor's)' in cell C51.
</v>
      </c>
      <c r="G1551" s="9" t="str">
        <f t="shared" ca="1" si="503"/>
        <v xml:space="preserve">Enter a value for 'Prevailing Wages' in cell C5.
The total of the cost in column C must be greater than zero.
</v>
      </c>
    </row>
    <row r="1552" spans="1:7" ht="15" customHeight="1">
      <c r="A1552" t="str">
        <f t="shared" ca="1" si="504"/>
        <v/>
      </c>
      <c r="B1552">
        <f>ROW('Cost Summary'!A52)</f>
        <v>52</v>
      </c>
      <c r="C1552" s="52" t="str">
        <f t="shared" ca="1" si="505"/>
        <v>Contractor Overhead</v>
      </c>
      <c r="D1552" t="str">
        <f t="shared" si="506"/>
        <v>C52</v>
      </c>
      <c r="E1552">
        <f t="shared" ca="1" si="507"/>
        <v>0</v>
      </c>
      <c r="F1552" t="str">
        <f t="shared" ca="1" si="508"/>
        <v xml:space="preserve">Enter a value for 'Contractor Overhead' in cell C52.
</v>
      </c>
      <c r="G1552" s="9" t="str">
        <f t="shared" ca="1" si="503"/>
        <v xml:space="preserve">Enter a value for 'Prevailing Wages' in cell C5.
The total of the cost in column C must be greater than zero.
</v>
      </c>
    </row>
    <row r="1553" spans="1:15" ht="15" customHeight="1">
      <c r="A1553" t="str">
        <f t="shared" ca="1" si="504"/>
        <v/>
      </c>
      <c r="B1553">
        <f>ROW('Cost Summary'!A53)</f>
        <v>53</v>
      </c>
      <c r="C1553" s="52" t="str">
        <f t="shared" ca="1" si="505"/>
        <v>Contractor Profit</v>
      </c>
      <c r="D1553" t="str">
        <f t="shared" si="506"/>
        <v>C53</v>
      </c>
      <c r="E1553">
        <f t="shared" ca="1" si="507"/>
        <v>0</v>
      </c>
      <c r="F1553" t="str">
        <f t="shared" ca="1" si="508"/>
        <v xml:space="preserve">Enter a value for 'Contractor Profit' in cell C53.
</v>
      </c>
      <c r="G1553" s="9" t="str">
        <f t="shared" ca="1" si="503"/>
        <v xml:space="preserve">Enter a value for 'Prevailing Wages' in cell C5.
The total of the cost in column C must be greater than zero.
</v>
      </c>
    </row>
    <row r="1554" spans="1:15" ht="15" customHeight="1">
      <c r="A1554" t="str">
        <f t="shared" ca="1" si="504"/>
        <v/>
      </c>
      <c r="B1554">
        <f>ROW('Cost Summary'!A54)</f>
        <v>54</v>
      </c>
      <c r="C1554" s="52" t="str">
        <f t="shared" ca="1" si="505"/>
        <v>Cost progression/ escalation</v>
      </c>
      <c r="D1554" t="str">
        <f t="shared" si="506"/>
        <v>C54</v>
      </c>
      <c r="E1554">
        <f t="shared" ca="1" si="507"/>
        <v>0</v>
      </c>
      <c r="F1554" t="str">
        <f t="shared" ca="1" si="508"/>
        <v xml:space="preserve">Enter a value for 'Cost progression/ escalation' in cell C54.
</v>
      </c>
      <c r="G1554" s="9" t="str">
        <f t="shared" ca="1" si="503"/>
        <v xml:space="preserve">Enter a value for 'Prevailing Wages' in cell C5.
The total of the cost in column C must be greater than zero.
</v>
      </c>
    </row>
    <row r="1555" spans="1:15" ht="15" customHeight="1">
      <c r="A1555" t="str">
        <f t="shared" ca="1" si="504"/>
        <v/>
      </c>
      <c r="B1555">
        <f>ROW('Cost Summary'!A55)</f>
        <v>55</v>
      </c>
      <c r="C1555" s="52" t="str">
        <f t="shared" ca="1" si="505"/>
        <v>Permits</v>
      </c>
      <c r="D1555" t="str">
        <f t="shared" si="506"/>
        <v>C55</v>
      </c>
      <c r="E1555">
        <f t="shared" ca="1" si="507"/>
        <v>0</v>
      </c>
      <c r="F1555" t="str">
        <f t="shared" ca="1" si="508"/>
        <v xml:space="preserve">Enter a value for 'Permits' in cell C55.
</v>
      </c>
      <c r="G1555" s="9" t="str">
        <f t="shared" ca="1" si="503"/>
        <v xml:space="preserve">Enter a value for 'Prevailing Wages' in cell C5.
The total of the cost in column C must be greater than zero.
</v>
      </c>
    </row>
    <row r="1556" spans="1:15" ht="15" customHeight="1">
      <c r="A1556" t="str">
        <f t="shared" ca="1" si="504"/>
        <v/>
      </c>
      <c r="B1556">
        <f>ROW('Cost Summary'!A56)</f>
        <v>56</v>
      </c>
      <c r="C1556" s="52" t="str">
        <f t="shared" ca="1" si="505"/>
        <v>Sales, Use Taxes, etc.</v>
      </c>
      <c r="D1556" t="str">
        <f t="shared" si="506"/>
        <v>C56</v>
      </c>
      <c r="E1556">
        <f t="shared" ca="1" si="507"/>
        <v>0</v>
      </c>
      <c r="F1556" t="str">
        <f t="shared" ca="1" si="508"/>
        <v xml:space="preserve">Enter a value for 'Sales, Use Taxes, etc.' in cell C56.
</v>
      </c>
      <c r="G1556" s="9" t="str">
        <f t="shared" ca="1" si="503"/>
        <v xml:space="preserve">Enter a value for 'Prevailing Wages' in cell C5.
The total of the cost in column C must be greater than zero.
</v>
      </c>
    </row>
    <row r="1557" spans="1:15" ht="15" customHeight="1">
      <c r="G1557" s="9" t="str">
        <f t="shared" ca="1" si="503"/>
        <v xml:space="preserve">Enter a value for 'Prevailing Wages' in cell C5.
The total of the cost in column C must be greater than zero.
</v>
      </c>
      <c r="O1557" s="67"/>
    </row>
    <row r="1558" spans="1:15" ht="15" customHeight="1">
      <c r="G1558" s="9" t="str">
        <f t="shared" ca="1" si="503"/>
        <v xml:space="preserve">Enter a value for 'Prevailing Wages' in cell C5.
The total of the cost in column C must be greater than zero.
</v>
      </c>
    </row>
    <row r="1559" spans="1:15" ht="15" customHeight="1">
      <c r="G1559" s="9" t="str">
        <f t="shared" ca="1" si="503"/>
        <v xml:space="preserve">Enter a value for 'Prevailing Wages' in cell C5.
The total of the cost in column C must be greater than zero.
</v>
      </c>
    </row>
    <row r="1560" spans="1:15" ht="15" customHeight="1">
      <c r="G1560" s="9" t="str">
        <f t="shared" ca="1" si="503"/>
        <v xml:space="preserve">Enter a value for 'Prevailing Wages' in cell C5.
The total of the cost in column C must be greater than zero.
</v>
      </c>
    </row>
    <row r="1561" spans="1:15" ht="15" customHeight="1">
      <c r="G1561" s="9" t="str">
        <f t="shared" ca="1" si="503"/>
        <v xml:space="preserve">Enter a value for 'Prevailing Wages' in cell C5.
The total of the cost in column C must be greater than zero.
</v>
      </c>
    </row>
    <row r="1562" spans="1:15" ht="15" customHeight="1">
      <c r="A1562" s="55" t="s">
        <v>3709</v>
      </c>
      <c r="B1562" s="53"/>
      <c r="C1562" s="53"/>
      <c r="D1562" s="53"/>
      <c r="E1562" s="53"/>
      <c r="F1562" s="53"/>
      <c r="G1562" s="56" t="str">
        <f ca="1">OFFSET(G1562, -1, 0)</f>
        <v xml:space="preserve">Enter a value for 'Prevailing Wages' in cell C5.
The total of the cost in column C must be greater than zero.
</v>
      </c>
    </row>
    <row r="1563" spans="1:15" ht="15" customHeight="1"/>
    <row r="1564" spans="1:15" ht="15" customHeight="1"/>
    <row r="1565" spans="1:15" ht="15" customHeight="1">
      <c r="A1565" s="22" t="s">
        <v>97</v>
      </c>
      <c r="F1565" s="49" t="s">
        <v>3710</v>
      </c>
    </row>
    <row r="1566" spans="1:15" ht="15" customHeight="1">
      <c r="A1566" s="53" t="s">
        <v>3652</v>
      </c>
      <c r="B1566" s="53" t="s">
        <v>3653</v>
      </c>
      <c r="C1566" s="53" t="s">
        <v>3654</v>
      </c>
      <c r="D1566" s="53" t="s">
        <v>3655</v>
      </c>
      <c r="E1566" s="53" t="s">
        <v>3656</v>
      </c>
      <c r="F1566" s="53" t="s">
        <v>3657</v>
      </c>
      <c r="G1566" s="54" t="s">
        <v>3658</v>
      </c>
    </row>
    <row r="1567" spans="1:15" ht="15" customHeight="1">
      <c r="A1567" t="str">
        <f>""</f>
        <v/>
      </c>
      <c r="G1567" s="9" t="str">
        <f>A1567</f>
        <v/>
      </c>
    </row>
    <row r="1568" spans="1:15" ht="15" customHeight="1">
      <c r="A1568" t="str">
        <f ca="1">A56</f>
        <v xml:space="preserve">Enter a value for 'Number of Floors in the Tallest Building' in cell B60.
</v>
      </c>
      <c r="B1568" t="str">
        <f>CONCATENATE("COPY RULE FROM ADDRESS ", ADDRESS(ROW(A56),COLUMN(A56),4))</f>
        <v>COPY RULE FROM ADDRESS A56</v>
      </c>
      <c r="G1568" s="9" t="str">
        <f t="shared" ref="G1568:G1631" ca="1" si="509">OFFSET(G1568, -1, 0) &amp; A1568</f>
        <v xml:space="preserve">Enter a value for 'Number of Floors in the Tallest Building' in cell B60.
</v>
      </c>
    </row>
    <row r="1569" spans="1:11" ht="15" customHeight="1">
      <c r="A1569" t="str">
        <f>IF(AND(Calculations!$B$4, E1569),  F1569, "")</f>
        <v/>
      </c>
      <c r="E1569" t="b">
        <f>IF(ISERROR(Calculations!F810), FALSE, Calculations!C810&lt;&gt;Calculations!F810)</f>
        <v>0</v>
      </c>
      <c r="F1569" t="str">
        <f>CONCATENATE("The sum of the New Construction/Rehab Eligible Basis for the buildings does not match the value calculated for the project.", CHAR(10))</f>
        <v xml:space="preserve">The sum of the New Construction/Rehab Eligible Basis for the buildings does not match the value calculated for the project.
</v>
      </c>
      <c r="G1569" s="9" t="str">
        <f t="shared" ca="1" si="509"/>
        <v xml:space="preserve">Enter a value for 'Number of Floors in the Tallest Building' in cell B60.
</v>
      </c>
    </row>
    <row r="1570" spans="1:11" ht="15" customHeight="1">
      <c r="A1570" t="str">
        <f>IF(AND(Calculations!$B$4, E1570),  F1570, "")</f>
        <v/>
      </c>
      <c r="E1570" t="b">
        <f>IF(ISERROR(Calculations!F811), FALSE, Calculations!C811&lt;&gt;Calculations!F811)</f>
        <v>0</v>
      </c>
      <c r="F1570" t="str">
        <f>CONCATENATE("The sum of the New Construction/Rehab Qualified Basis for the buildings does not match the value calculated for the project.", CHAR(10))</f>
        <v xml:space="preserve">The sum of the New Construction/Rehab Qualified Basis for the buildings does not match the value calculated for the project.
</v>
      </c>
      <c r="G1570" s="9" t="str">
        <f t="shared" ca="1" si="509"/>
        <v xml:space="preserve">Enter a value for 'Number of Floors in the Tallest Building' in cell B60.
</v>
      </c>
    </row>
    <row r="1571" spans="1:11" ht="15" customHeight="1">
      <c r="A1571" t="str">
        <f>IF(AND(Calculations!$B$4, E1571),  F1571, "")</f>
        <v/>
      </c>
      <c r="E1571" t="b">
        <f>IF(ISERROR(Calculations!F812), FALSE, Calculations!C812&lt;&gt;Calculations!F812)</f>
        <v>0</v>
      </c>
      <c r="F1571" t="str">
        <f>CONCATENATE("The sum of the New Construction/Rehab Annual Credit Amount for the buildings does not match the value calculated for the project.", CHAR(10))</f>
        <v xml:space="preserve">The sum of the New Construction/Rehab Annual Credit Amount for the buildings does not match the value calculated for the project.
</v>
      </c>
      <c r="G1571" s="9" t="str">
        <f t="shared" ca="1" si="509"/>
        <v xml:space="preserve">Enter a value for 'Number of Floors in the Tallest Building' in cell B60.
</v>
      </c>
    </row>
    <row r="1572" spans="1:11" ht="15" customHeight="1">
      <c r="A1572" t="str">
        <f>IF(AND(Calculations!$B$4, E1572),  F1572, "")</f>
        <v/>
      </c>
      <c r="E1572" t="b">
        <f>IF(ISERROR(Calculations!F813), FALSE, Calculations!C813&lt;&gt;Calculations!F813)</f>
        <v>0</v>
      </c>
      <c r="F1572" t="str">
        <f>CONCATENATE("The sum of the Acquisition Eligible Basis for the buildings does not match the value calculated for the project.", CHAR(10))</f>
        <v xml:space="preserve">The sum of the Acquisition Eligible Basis for the buildings does not match the value calculated for the project.
</v>
      </c>
      <c r="G1572" s="9" t="str">
        <f t="shared" ca="1" si="509"/>
        <v xml:space="preserve">Enter a value for 'Number of Floors in the Tallest Building' in cell B60.
</v>
      </c>
    </row>
    <row r="1573" spans="1:11" ht="15" customHeight="1">
      <c r="A1573" t="str">
        <f>IF(AND(Calculations!$B$4, E1573),  F1573, "")</f>
        <v/>
      </c>
      <c r="E1573" t="b">
        <f>IF(ISERROR(Calculations!F814), FALSE, Calculations!C814&lt;&gt;Calculations!F814)</f>
        <v>0</v>
      </c>
      <c r="F1573" t="str">
        <f>CONCATENATE("The sum of the Acquisition Qualified Basis for the buildings does not match the value calculated for the project.", CHAR(10))</f>
        <v xml:space="preserve">The sum of the Acquisition Qualified Basis for the buildings does not match the value calculated for the project.
</v>
      </c>
      <c r="G1573" s="9" t="str">
        <f t="shared" ca="1" si="509"/>
        <v xml:space="preserve">Enter a value for 'Number of Floors in the Tallest Building' in cell B60.
</v>
      </c>
    </row>
    <row r="1574" spans="1:11" ht="15" customHeight="1">
      <c r="A1574" t="str">
        <f>IF(AND(Calculations!$B$4, E1574),  F1574, "")</f>
        <v/>
      </c>
      <c r="E1574" t="b">
        <f>IF(ISERROR(Calculations!F815), FALSE, Calculations!C815&lt;&gt;Calculations!F815)</f>
        <v>0</v>
      </c>
      <c r="F1574" t="str">
        <f>CONCATENATE("The sum of the Acquisition Annual Credit for the buildings does not match the value calculated for the project.", CHAR(10))</f>
        <v xml:space="preserve">The sum of the Acquisition Annual Credit for the buildings does not match the value calculated for the project.
</v>
      </c>
      <c r="G1574" s="9" t="str">
        <f t="shared" ca="1" si="509"/>
        <v xml:space="preserve">Enter a value for 'Number of Floors in the Tallest Building' in cell B60.
</v>
      </c>
    </row>
    <row r="1575" spans="1:11" s="320" customFormat="1" ht="15" customHeight="1">
      <c r="A1575" s="320" t="str">
        <f>IF(AND(Calculations!$B$4,E1575),F1575, "")</f>
        <v/>
      </c>
      <c r="B1575" s="320">
        <f>ROW('Final Building Profile'!D4)</f>
        <v>4</v>
      </c>
      <c r="C1575" s="320" t="str">
        <f>SUBSTITUTE(ADDRESS(ROW('Unit Mix &amp; Rents'!$D$17), COLUMN('Unit Mix &amp; Rents'!$D$17),4), ROW('Unit Mix &amp; Rents'!$D$17), "")</f>
        <v>D</v>
      </c>
      <c r="D1575" s="320" t="str">
        <f>SUBSTITUTE(ADDRESS(B1575, COLUMN('Final Building Profile'!$D$4),4), B1575, "")</f>
        <v>D</v>
      </c>
      <c r="E1575" s="320" t="b">
        <f t="shared" ref="E1575:E1582" si="510">I1575&lt;&gt;K1575</f>
        <v>0</v>
      </c>
      <c r="F1575" s="320" t="str">
        <f>CONCATENATE("The sum of the Total New Construction/Rehab total units on the final building profile in column ", D1575, " does not match the total units from unit mix and rents column ", C1575, ".", CHAR(10))</f>
        <v xml:space="preserve">The sum of the Total New Construction/Rehab total units on the final building profile in column D does not match the total units from unit mix and rents column D.
</v>
      </c>
      <c r="G1575" s="331" t="str">
        <f t="shared" ca="1" si="509"/>
        <v xml:space="preserve">Enter a value for 'Number of Floors in the Tallest Building' in cell B60.
</v>
      </c>
      <c r="H1575" s="320" t="s">
        <v>3711</v>
      </c>
      <c r="I1575" s="320">
        <f>Calculations!$B$808</f>
        <v>0</v>
      </c>
      <c r="J1575" s="320" t="s">
        <v>3712</v>
      </c>
      <c r="K1575" s="320">
        <f>Calculations!$H$45</f>
        <v>0</v>
      </c>
    </row>
    <row r="1576" spans="1:11" ht="15" customHeight="1">
      <c r="A1576" t="str">
        <f>IF(AND(Calculations!$B$4,E1576),F1576, "")</f>
        <v/>
      </c>
      <c r="B1576">
        <f>ROW('Final Building Profile'!E4)</f>
        <v>4</v>
      </c>
      <c r="C1576" t="str">
        <f>SUBSTITUTE(ADDRESS(ROW('Unit Mix &amp; Rents'!$D$17), COLUMN('Unit Mix &amp; Rents'!$D$17),4), ROW('Unit Mix &amp; Rents'!$D$17), "")</f>
        <v>D</v>
      </c>
      <c r="D1576" t="str">
        <f>SUBSTITUTE(ADDRESS(B1576, COLUMN('Final Building Profile'!$E$4),4), B1576, "")</f>
        <v>E</v>
      </c>
      <c r="E1576" s="52" t="b">
        <f t="shared" si="510"/>
        <v>0</v>
      </c>
      <c r="F1576" t="str">
        <f>CONCATENATE("The sum of the employee units on the final building profile in column ", D1576, " does not match the employee units from unit mix and rents column ", C1576, ".", CHAR(10))</f>
        <v xml:space="preserve">The sum of the employee units on the final building profile in column E does not match the employee units from unit mix and rents column D.
</v>
      </c>
      <c r="G1576" s="9" t="str">
        <f t="shared" ca="1" si="509"/>
        <v xml:space="preserve">Enter a value for 'Number of Floors in the Tallest Building' in cell B60.
</v>
      </c>
      <c r="H1576" t="s">
        <v>3711</v>
      </c>
      <c r="I1576">
        <f>Calculations!$C$808</f>
        <v>0</v>
      </c>
      <c r="J1576" t="s">
        <v>3712</v>
      </c>
      <c r="K1576">
        <f>Calculations!$H$43</f>
        <v>0</v>
      </c>
    </row>
    <row r="1577" spans="1:11" ht="15" customHeight="1">
      <c r="A1577" t="str">
        <f>IF(AND(Calculations!$B$4,E1577),F1577, "")</f>
        <v/>
      </c>
      <c r="B1577">
        <f>ROW('Final Building Profile'!F4)</f>
        <v>4</v>
      </c>
      <c r="C1577" t="str">
        <f>SUBSTITUTE(ADDRESS(ROW('Unit Mix &amp; Rents'!$D$17), COLUMN('Unit Mix &amp; Rents'!$D$17),4), ROW('Unit Mix &amp; Rents'!$D$17), "")</f>
        <v>D</v>
      </c>
      <c r="D1577" t="str">
        <f>SUBSTITUTE(ADDRESS(B1577, COLUMN('Final Building Profile'!$F$4),4), B1577, "")</f>
        <v>F</v>
      </c>
      <c r="E1577" s="52" t="b">
        <f t="shared" si="510"/>
        <v>0</v>
      </c>
      <c r="F1577" t="str">
        <f>CONCATENATE("The sum of the low income units on the final building profile in column ", D1577, " does not match the low income units from unit mix and rents column ", C1577, ".", CHAR(10))</f>
        <v xml:space="preserve">The sum of the low income units on the final building profile in column F does not match the low income units from unit mix and rents column D.
</v>
      </c>
      <c r="G1577" s="9" t="str">
        <f t="shared" ca="1" si="509"/>
        <v xml:space="preserve">Enter a value for 'Number of Floors in the Tallest Building' in cell B60.
</v>
      </c>
      <c r="H1577" t="s">
        <v>3711</v>
      </c>
      <c r="I1577" s="92">
        <f>Calculations!$D$808</f>
        <v>0</v>
      </c>
      <c r="J1577" t="s">
        <v>3712</v>
      </c>
      <c r="K1577">
        <f>Calculations!$H$41</f>
        <v>0</v>
      </c>
    </row>
    <row r="1578" spans="1:11" ht="15" customHeight="1">
      <c r="A1578" t="str">
        <f>IF(AND(Calculations!$B$4,E1578),F1578, "")</f>
        <v/>
      </c>
      <c r="B1578">
        <f>ROW('Final Building Profile'!G4)</f>
        <v>4</v>
      </c>
      <c r="C1578" t="str">
        <f>SUBSTITUTE(ADDRESS(ROW('Unit Mix &amp; Rents'!$C$17), COLUMN('Unit Mix &amp; Rents'!$C$17),4), ROW('Unit Mix &amp; Rents'!$C$17), "")</f>
        <v>C</v>
      </c>
      <c r="D1578" t="str">
        <f>SUBSTITUTE(ADDRESS(B1578, COLUMN('Final Building Profile'!$G$4),4), B1578, "")</f>
        <v>G</v>
      </c>
      <c r="E1578" s="52" t="b">
        <f t="shared" si="510"/>
        <v>0</v>
      </c>
      <c r="F1578" t="str">
        <f>CONCATENATE("The sum of the residential square footage on the final building profile in column ", D1578, " does not match the total square footage from unit mix and rents column ", C1578, " times column ",  CHAR(CODE(C1578) +1), ".", CHAR(10))</f>
        <v xml:space="preserve">The sum of the residential square footage on the final building profile in column G does not match the total square footage from unit mix and rents column C times column D.
</v>
      </c>
      <c r="G1578" s="9" t="str">
        <f t="shared" ca="1" si="509"/>
        <v xml:space="preserve">Enter a value for 'Number of Floors in the Tallest Building' in cell B60.
</v>
      </c>
      <c r="H1578" t="s">
        <v>3711</v>
      </c>
      <c r="I1578" s="92">
        <f>Calculations!$E$808</f>
        <v>0</v>
      </c>
      <c r="J1578" t="s">
        <v>3712</v>
      </c>
      <c r="K1578">
        <f>Calculations!$H$60</f>
        <v>0</v>
      </c>
    </row>
    <row r="1579" spans="1:11" ht="15" customHeight="1">
      <c r="A1579" t="str">
        <f>IF(AND(Calculations!$B$4,E1579),F1579, "")</f>
        <v/>
      </c>
      <c r="B1579">
        <f>ROW('Final Building Profile'!H4)</f>
        <v>4</v>
      </c>
      <c r="C1579" t="str">
        <f>SUBSTITUTE(ADDRESS(ROW('Unit Mix &amp; Rents'!$C$17), COLUMN('Unit Mix &amp; Rents'!$C$17),4), ROW('Unit Mix &amp; Rents'!$C$17), "")</f>
        <v>C</v>
      </c>
      <c r="D1579" t="str">
        <f>SUBSTITUTE(ADDRESS(B1579, COLUMN('Final Building Profile'!$H$4),4), B1579, "")</f>
        <v>H</v>
      </c>
      <c r="E1579" s="52" t="b">
        <f t="shared" si="510"/>
        <v>0</v>
      </c>
      <c r="F1579" t="str">
        <f>CONCATENATE("The sum of the employee square footage on the final building profile in column ", D1579, " does not match the employee square footage from unit mix and rents column ", C1579, " times column ",  CHAR(CODE(C1579) +1), ".", CHAR(10))</f>
        <v xml:space="preserve">The sum of the employee square footage on the final building profile in column H does not match the employee square footage from unit mix and rents column C times column D.
</v>
      </c>
      <c r="G1579" s="9" t="str">
        <f t="shared" ca="1" si="509"/>
        <v xml:space="preserve">Enter a value for 'Number of Floors in the Tallest Building' in cell B60.
</v>
      </c>
      <c r="H1579" t="s">
        <v>3711</v>
      </c>
      <c r="I1579" s="92">
        <f>Calculations!$F$808</f>
        <v>0</v>
      </c>
      <c r="J1579" t="s">
        <v>3712</v>
      </c>
      <c r="K1579">
        <f>Calculations!$H$58</f>
        <v>0</v>
      </c>
    </row>
    <row r="1580" spans="1:11" ht="15" customHeight="1">
      <c r="A1580" t="str">
        <f>IF(AND(Calculations!$B$4,E1580),F1580, "")</f>
        <v/>
      </c>
      <c r="B1580">
        <f>ROW('Final Building Profile'!I4)</f>
        <v>4</v>
      </c>
      <c r="C1580" t="str">
        <f>SUBSTITUTE(ADDRESS(ROW('Unit Mix &amp; Rents'!$C$17), COLUMN('Unit Mix &amp; Rents'!$C$17),4), ROW('Unit Mix &amp; Rents'!$C$17), "")</f>
        <v>C</v>
      </c>
      <c r="D1580" t="str">
        <f>SUBSTITUTE(ADDRESS(B1580, COLUMN('Final Building Profile'!$I$4),4), B1580, "")</f>
        <v>I</v>
      </c>
      <c r="E1580" s="52" t="b">
        <f t="shared" si="510"/>
        <v>0</v>
      </c>
      <c r="F1580" t="str">
        <f>CONCATENATE("The sum of the low income square footage on the final building profile in column ", D1580, " does not match the low income square footage from unit mix and rents column ", C1580, " times column ",  CHAR(CODE(C1580) +1), ".", CHAR(10))</f>
        <v xml:space="preserve">The sum of the low income square footage on the final building profile in column I does not match the low income square footage from unit mix and rents column C times column D.
</v>
      </c>
      <c r="G1580" s="9" t="str">
        <f t="shared" ca="1" si="509"/>
        <v xml:space="preserve">Enter a value for 'Number of Floors in the Tallest Building' in cell B60.
</v>
      </c>
      <c r="H1580" t="s">
        <v>3711</v>
      </c>
      <c r="I1580" s="92">
        <f>Calculations!$G$808</f>
        <v>0</v>
      </c>
      <c r="J1580" t="s">
        <v>3712</v>
      </c>
      <c r="K1580">
        <f>Calculations!$H$56</f>
        <v>0</v>
      </c>
    </row>
    <row r="1581" spans="1:11" ht="15" customHeight="1">
      <c r="A1581" t="str">
        <f>IF(AND(Calculations!$B$4,E1581),F1581, "")</f>
        <v/>
      </c>
      <c r="B1581">
        <f>ROW('Final Building Profile'!L4)</f>
        <v>4</v>
      </c>
      <c r="D1581" t="str">
        <f>SUBSTITUTE(ADDRESS(B1581, COLUMN('Final Building Profile'!$L$4),4), B1581, "")</f>
        <v>L</v>
      </c>
      <c r="E1581" s="52" t="b">
        <f t="shared" si="510"/>
        <v>0</v>
      </c>
      <c r="F1581" t="str">
        <f>CONCATENATE("The sum of the new construction/rehab eligible basis on the final building profile in column ", D1581, " does not match the total new construction/rehab eligible basis of  ", DOLLAR(K1581, 0), ".", CHAR(10))</f>
        <v xml:space="preserve">The sum of the new construction/rehab eligible basis on the final building profile in column L does not match the total new construction/rehab eligible basis of  $0.
</v>
      </c>
      <c r="G1581" s="9" t="str">
        <f t="shared" ca="1" si="509"/>
        <v xml:space="preserve">Enter a value for 'Number of Floors in the Tallest Building' in cell B60.
</v>
      </c>
      <c r="H1581" t="s">
        <v>3711</v>
      </c>
      <c r="I1581" s="92">
        <f>Calculations!$K$808+Calculations!$M$808</f>
        <v>0</v>
      </c>
      <c r="J1581" t="s">
        <v>3713</v>
      </c>
      <c r="K1581">
        <f>_xlfn.IFNA(Calculations!$B$459, 0)</f>
        <v>0</v>
      </c>
    </row>
    <row r="1582" spans="1:11" ht="15" customHeight="1">
      <c r="A1582" t="str">
        <f>IF(AND(Calculations!$B$4,E1582),F1582, "")</f>
        <v/>
      </c>
      <c r="B1582">
        <f>ROW('Final Building Profile'!M4)</f>
        <v>4</v>
      </c>
      <c r="D1582" t="str">
        <f>SUBSTITUTE(ADDRESS(B1582, COLUMN('Final Building Profile'!$M$4),4), B1582, "")</f>
        <v>M</v>
      </c>
      <c r="E1582" s="52" t="b">
        <f t="shared" si="510"/>
        <v>0</v>
      </c>
      <c r="F1582" t="str">
        <f>CONCATENATE("The sum of the eligible basis for acquisition on the final building profile in column ", D1582, " does not match the total eligible basis for acquisition of  ", DOLLAR(K1582, 0), ".", CHAR(10))</f>
        <v xml:space="preserve">The sum of the eligible basis for acquisition on the final building profile in column M does not match the total eligible basis for acquisition of  $0.
</v>
      </c>
      <c r="G1582" s="9" t="str">
        <f t="shared" ca="1" si="509"/>
        <v xml:space="preserve">Enter a value for 'Number of Floors in the Tallest Building' in cell B60.
</v>
      </c>
      <c r="H1582" t="s">
        <v>3711</v>
      </c>
      <c r="I1582" s="92">
        <f>Calculations!$S$808</f>
        <v>0</v>
      </c>
      <c r="J1582" t="s">
        <v>3713</v>
      </c>
      <c r="K1582">
        <f>_xlfn.IFNA(Calculations!$B$468, 0)</f>
        <v>0</v>
      </c>
    </row>
    <row r="1583" spans="1:11" ht="15" customHeight="1">
      <c r="A1583" t="str">
        <f ca="1">IF(AND(Calculations!$B$4,E1583=0),F1583, "")</f>
        <v/>
      </c>
      <c r="B1583">
        <f>ROW('Final Building Profile'!C4)</f>
        <v>4</v>
      </c>
      <c r="C1583">
        <f t="shared" ref="C1583:C1646" ca="1" si="511">INDIRECT($F$1565 &amp; ADDRESS(B1583, 1,4  ))</f>
        <v>1</v>
      </c>
      <c r="D1583" t="str">
        <f>ADDRESS(B1583, 3,4  )</f>
        <v>C4</v>
      </c>
      <c r="E1583" s="52">
        <f ca="1">H1583+I1583</f>
        <v>0</v>
      </c>
      <c r="F1583" t="str">
        <f ca="1">CONCATENATE("Information for building ", C1583, " required for a final application in row ", B1583, ".", CHAR(10))</f>
        <v xml:space="preserve">Information for building 1 required for a final application in row 4.
</v>
      </c>
      <c r="G1583" s="9" t="str">
        <f t="shared" ca="1" si="509"/>
        <v xml:space="preserve">Enter a value for 'Number of Floors in the Tallest Building' in cell B60.
</v>
      </c>
      <c r="H1583" s="52">
        <f ca="1">SUMPRODUCT(--ISTEXT(INDIRECT(J1583)))</f>
        <v>0</v>
      </c>
      <c r="I1583" s="52">
        <f ca="1">SUMPRODUCT(--ISNUMBER(INDIRECT(J1583)))</f>
        <v>0</v>
      </c>
      <c r="J1583" s="52" t="str">
        <f>$F$1565&amp; ADDRESS(B1583,3,4) &amp; ":" &amp; ADDRESS(B1583,15,4)</f>
        <v>'Final Building Profile'!C4:O4</v>
      </c>
    </row>
    <row r="1584" spans="1:11" ht="15" customHeight="1">
      <c r="A1584" t="str">
        <f t="shared" ref="A1584:A1593" ca="1" si="512">IF(AND(OFFSET(A1584, -I1584 + 2, 4) &gt;  0, E1584=""), F1584, "")</f>
        <v/>
      </c>
      <c r="B1584">
        <f t="shared" ref="B1584:B1598" si="513">B1583</f>
        <v>4</v>
      </c>
      <c r="C1584">
        <f t="shared" ca="1" si="511"/>
        <v>1</v>
      </c>
      <c r="D1584" t="str">
        <f t="shared" ref="D1584:D1598" si="514">ADDRESS(B1584, I1584,4  )</f>
        <v>C4</v>
      </c>
      <c r="E1584" t="str">
        <f t="shared" ref="E1584:E1598" ca="1" si="515">IF(ISBLANK( INDIRECT($F$1565 &amp; D1584)),"", INDIRECT($F$1565 &amp; D1584))</f>
        <v/>
      </c>
      <c r="F1584" t="str">
        <f t="shared" ref="F1584:F1598" ca="1" si="516">CONCATENATE("Enter a '"&amp; H1584 &amp;"' for  building ", C1584, " in cell ", D1584, ".", CHAR(10))</f>
        <v xml:space="preserve">Enter a 'Building Street Address Only 
(DO NOT ENTER CITY, STATE, OR ZIP)' for  building 1 in cell C4.
</v>
      </c>
      <c r="G1584" s="9" t="str">
        <f t="shared" ca="1" si="509"/>
        <v xml:space="preserve">Enter a value for 'Number of Floors in the Tallest Building' in cell B60.
</v>
      </c>
      <c r="H1584" s="52" t="str">
        <f t="shared" ref="H1584:H1598" ca="1" si="517">OFFSET(INDIRECT($F$1565 &amp; D1584), -B1584 + 3, 0)</f>
        <v>Building Street Address Only 
(DO NOT ENTER CITY, STATE, OR ZIP)</v>
      </c>
      <c r="I1584" s="52">
        <v>3</v>
      </c>
    </row>
    <row r="1585" spans="1:10" ht="15" customHeight="1">
      <c r="A1585" t="str">
        <f t="shared" ca="1" si="512"/>
        <v/>
      </c>
      <c r="B1585">
        <f t="shared" si="513"/>
        <v>4</v>
      </c>
      <c r="C1585">
        <f t="shared" ca="1" si="511"/>
        <v>1</v>
      </c>
      <c r="D1585" t="str">
        <f t="shared" si="514"/>
        <v>D4</v>
      </c>
      <c r="E1585" t="str">
        <f t="shared" ca="1" si="515"/>
        <v/>
      </c>
      <c r="F1585" t="str">
        <f t="shared" ca="1" si="516"/>
        <v xml:space="preserve">Enter a 'Total Units in Building*' for  building 1 in cell D4.
</v>
      </c>
      <c r="G1585" s="9" t="str">
        <f t="shared" ca="1" si="509"/>
        <v xml:space="preserve">Enter a value for 'Number of Floors in the Tallest Building' in cell B60.
</v>
      </c>
      <c r="H1585" s="52" t="str">
        <f t="shared" ca="1" si="517"/>
        <v>Total Units in Building*</v>
      </c>
      <c r="I1585" s="52">
        <v>4</v>
      </c>
    </row>
    <row r="1586" spans="1:10" ht="15" customHeight="1">
      <c r="A1586" t="str">
        <f t="shared" ca="1" si="512"/>
        <v/>
      </c>
      <c r="B1586">
        <f t="shared" si="513"/>
        <v>4</v>
      </c>
      <c r="C1586">
        <f t="shared" ca="1" si="511"/>
        <v>1</v>
      </c>
      <c r="D1586" t="str">
        <f t="shared" si="514"/>
        <v>E4</v>
      </c>
      <c r="E1586" t="str">
        <f t="shared" ca="1" si="515"/>
        <v/>
      </c>
      <c r="F1586" t="str">
        <f t="shared" ca="1" si="516"/>
        <v xml:space="preserve">Enter a 'Employee Units' for  building 1 in cell E4.
</v>
      </c>
      <c r="G1586" s="9" t="str">
        <f t="shared" ca="1" si="509"/>
        <v xml:space="preserve">Enter a value for 'Number of Floors in the Tallest Building' in cell B60.
</v>
      </c>
      <c r="H1586" s="52" t="str">
        <f t="shared" ca="1" si="517"/>
        <v>Employee Units</v>
      </c>
      <c r="I1586" s="52">
        <v>5</v>
      </c>
    </row>
    <row r="1587" spans="1:10" ht="15" customHeight="1">
      <c r="A1587" t="str">
        <f t="shared" ca="1" si="512"/>
        <v/>
      </c>
      <c r="B1587">
        <f t="shared" si="513"/>
        <v>4</v>
      </c>
      <c r="C1587">
        <f t="shared" ca="1" si="511"/>
        <v>1</v>
      </c>
      <c r="D1587" t="str">
        <f t="shared" si="514"/>
        <v>F4</v>
      </c>
      <c r="E1587" t="str">
        <f t="shared" ca="1" si="515"/>
        <v/>
      </c>
      <c r="F1587" t="str">
        <f t="shared" ca="1" si="516"/>
        <v xml:space="preserve">Enter a 'Low-Income Units' for  building 1 in cell F4.
</v>
      </c>
      <c r="G1587" s="9" t="str">
        <f t="shared" ca="1" si="509"/>
        <v xml:space="preserve">Enter a value for 'Number of Floors in the Tallest Building' in cell B60.
</v>
      </c>
      <c r="H1587" s="52" t="str">
        <f t="shared" ca="1" si="517"/>
        <v>Low-Income Units</v>
      </c>
      <c r="I1587" s="52">
        <v>6</v>
      </c>
    </row>
    <row r="1588" spans="1:10" ht="15" customHeight="1">
      <c r="A1588" t="str">
        <f t="shared" ca="1" si="512"/>
        <v/>
      </c>
      <c r="B1588">
        <f t="shared" si="513"/>
        <v>4</v>
      </c>
      <c r="C1588">
        <f t="shared" ca="1" si="511"/>
        <v>1</v>
      </c>
      <c r="D1588" t="str">
        <f t="shared" si="514"/>
        <v>G4</v>
      </c>
      <c r="E1588" t="str">
        <f t="shared" ca="1" si="515"/>
        <v/>
      </c>
      <c r="F1588" t="str">
        <f t="shared" ca="1" si="516"/>
        <v xml:space="preserve">Enter a 'Residential Square Footage**' for  building 1 in cell G4.
</v>
      </c>
      <c r="G1588" s="9" t="str">
        <f t="shared" ca="1" si="509"/>
        <v xml:space="preserve">Enter a value for 'Number of Floors in the Tallest Building' in cell B60.
</v>
      </c>
      <c r="H1588" s="52" t="str">
        <f t="shared" ca="1" si="517"/>
        <v>Residential Square Footage**</v>
      </c>
      <c r="I1588" s="52">
        <v>7</v>
      </c>
    </row>
    <row r="1589" spans="1:10" ht="15" customHeight="1">
      <c r="A1589" t="str">
        <f t="shared" ca="1" si="512"/>
        <v/>
      </c>
      <c r="B1589">
        <f t="shared" si="513"/>
        <v>4</v>
      </c>
      <c r="C1589">
        <f t="shared" ca="1" si="511"/>
        <v>1</v>
      </c>
      <c r="D1589" t="str">
        <f t="shared" si="514"/>
        <v>H4</v>
      </c>
      <c r="E1589" t="str">
        <f t="shared" ca="1" si="515"/>
        <v/>
      </c>
      <c r="F1589" t="str">
        <f t="shared" ca="1" si="516"/>
        <v xml:space="preserve">Enter a 'Square Footage of Employee Units' for  building 1 in cell H4.
</v>
      </c>
      <c r="G1589" s="9" t="str">
        <f t="shared" ca="1" si="509"/>
        <v xml:space="preserve">Enter a value for 'Number of Floors in the Tallest Building' in cell B60.
</v>
      </c>
      <c r="H1589" s="52" t="str">
        <f t="shared" ca="1" si="517"/>
        <v>Square Footage of Employee Units</v>
      </c>
      <c r="I1589" s="52">
        <v>8</v>
      </c>
    </row>
    <row r="1590" spans="1:10" ht="15" customHeight="1">
      <c r="A1590" t="str">
        <f t="shared" ca="1" si="512"/>
        <v/>
      </c>
      <c r="B1590">
        <f t="shared" si="513"/>
        <v>4</v>
      </c>
      <c r="C1590">
        <f t="shared" ca="1" si="511"/>
        <v>1</v>
      </c>
      <c r="D1590" t="str">
        <f t="shared" si="514"/>
        <v>I4</v>
      </c>
      <c r="E1590" t="str">
        <f t="shared" ca="1" si="515"/>
        <v/>
      </c>
      <c r="F1590" t="str">
        <f t="shared" ca="1" si="516"/>
        <v xml:space="preserve">Enter a 'Square Footage of Low-Income Units' for  building 1 in cell I4.
</v>
      </c>
      <c r="G1590" s="9" t="str">
        <f t="shared" ca="1" si="509"/>
        <v xml:space="preserve">Enter a value for 'Number of Floors in the Tallest Building' in cell B60.
</v>
      </c>
      <c r="H1590" s="52" t="str">
        <f t="shared" ca="1" si="517"/>
        <v>Square Footage of Low-Income Units</v>
      </c>
      <c r="I1590" s="52">
        <v>9</v>
      </c>
    </row>
    <row r="1591" spans="1:10" ht="15" customHeight="1">
      <c r="A1591" t="str">
        <f t="shared" ca="1" si="512"/>
        <v/>
      </c>
      <c r="B1591">
        <f t="shared" si="513"/>
        <v>4</v>
      </c>
      <c r="C1591">
        <f t="shared" ca="1" si="511"/>
        <v>1</v>
      </c>
      <c r="D1591" t="str">
        <f t="shared" si="514"/>
        <v>J4</v>
      </c>
      <c r="E1591" t="str">
        <f t="shared" ca="1" si="515"/>
        <v/>
      </c>
      <c r="F1591" t="str">
        <f t="shared" ca="1" si="516"/>
        <v xml:space="preserve">Enter a 'Placed-In-Service Date' for  building 1 in cell J4.
</v>
      </c>
      <c r="G1591" s="9" t="str">
        <f t="shared" ca="1" si="509"/>
        <v xml:space="preserve">Enter a value for 'Number of Floors in the Tallest Building' in cell B60.
</v>
      </c>
      <c r="H1591" s="52" t="str">
        <f t="shared" ca="1" si="517"/>
        <v>Placed-In-Service Date</v>
      </c>
      <c r="I1591" s="52">
        <v>10</v>
      </c>
    </row>
    <row r="1592" spans="1:10" ht="15" customHeight="1">
      <c r="A1592" t="str">
        <f t="shared" ca="1" si="512"/>
        <v/>
      </c>
      <c r="B1592">
        <f t="shared" si="513"/>
        <v>4</v>
      </c>
      <c r="C1592">
        <f t="shared" ca="1" si="511"/>
        <v>1</v>
      </c>
      <c r="D1592" t="str">
        <f t="shared" si="514"/>
        <v>K4</v>
      </c>
      <c r="E1592" t="str">
        <f t="shared" ca="1" si="515"/>
        <v/>
      </c>
      <c r="F1592" t="str">
        <f t="shared" ca="1" si="516"/>
        <v xml:space="preserve">Enter a 'New Construction/ Rehab APR' for  building 1 in cell K4.
</v>
      </c>
      <c r="G1592" s="9" t="str">
        <f t="shared" ca="1" si="509"/>
        <v xml:space="preserve">Enter a value for 'Number of Floors in the Tallest Building' in cell B60.
</v>
      </c>
      <c r="H1592" s="52" t="str">
        <f t="shared" ca="1" si="517"/>
        <v>New Construction/ Rehab APR</v>
      </c>
      <c r="I1592" s="52">
        <v>11</v>
      </c>
    </row>
    <row r="1593" spans="1:10" ht="15" customHeight="1">
      <c r="A1593" t="str">
        <f t="shared" ca="1" si="512"/>
        <v/>
      </c>
      <c r="B1593">
        <f t="shared" si="513"/>
        <v>4</v>
      </c>
      <c r="C1593">
        <f t="shared" ca="1" si="511"/>
        <v>1</v>
      </c>
      <c r="D1593" t="str">
        <f t="shared" si="514"/>
        <v>L4</v>
      </c>
      <c r="E1593" t="str">
        <f t="shared" ca="1" si="515"/>
        <v/>
      </c>
      <c r="F1593" t="str">
        <f t="shared" ca="1" si="516"/>
        <v xml:space="preserve">Enter a 'New Construction Eligible Basis' for  building 1 in cell L4.
</v>
      </c>
      <c r="G1593" s="9" t="str">
        <f t="shared" ca="1" si="509"/>
        <v xml:space="preserve">Enter a value for 'Number of Floors in the Tallest Building' in cell B60.
</v>
      </c>
      <c r="H1593" s="52" t="str">
        <f t="shared" ca="1" si="517"/>
        <v>New Construction Eligible Basis</v>
      </c>
      <c r="I1593" s="52">
        <v>12</v>
      </c>
    </row>
    <row r="1594" spans="1:10" ht="15" customHeight="1">
      <c r="A1594" t="str">
        <f ca="1">IF(AND(OFFSET(A1594, -I1594 + 2, 4) &gt;  0, E1594="", Calculations!$B$7), F1594, "")</f>
        <v/>
      </c>
      <c r="B1594">
        <f t="shared" si="513"/>
        <v>4</v>
      </c>
      <c r="C1594">
        <f t="shared" ca="1" si="511"/>
        <v>1</v>
      </c>
      <c r="D1594" t="str">
        <f t="shared" si="514"/>
        <v>M4</v>
      </c>
      <c r="E1594" t="str">
        <f t="shared" ca="1" si="515"/>
        <v/>
      </c>
      <c r="F1594" t="str">
        <f t="shared" ca="1" si="516"/>
        <v xml:space="preserve">Enter a 'Eligible Basis for Rehab' for  building 1 in cell M4.
</v>
      </c>
      <c r="G1594" s="9" t="str">
        <f t="shared" ca="1" si="509"/>
        <v xml:space="preserve">Enter a value for 'Number of Floors in the Tallest Building' in cell B60.
</v>
      </c>
      <c r="H1594" s="52" t="str">
        <f t="shared" ca="1" si="517"/>
        <v>Eligible Basis for Rehab</v>
      </c>
      <c r="I1594" s="52">
        <v>13</v>
      </c>
    </row>
    <row r="1595" spans="1:10" ht="15" customHeight="1">
      <c r="A1595" t="str">
        <f ca="1">IF(AND(OFFSET(A1595, -I1595 + 2, 4) &gt;  0, E1595="", Calculations!$B$7), F1595, "")</f>
        <v/>
      </c>
      <c r="B1595">
        <f t="shared" si="513"/>
        <v>4</v>
      </c>
      <c r="C1595">
        <f t="shared" ca="1" si="511"/>
        <v>1</v>
      </c>
      <c r="D1595" t="str">
        <f t="shared" si="514"/>
        <v>N4</v>
      </c>
      <c r="E1595" t="str">
        <f t="shared" ca="1" si="515"/>
        <v/>
      </c>
      <c r="F1595" t="str">
        <f t="shared" ca="1" si="516"/>
        <v xml:space="preserve">Enter a 'Cost of Acquiring the Building***' for  building 1 in cell N4.
</v>
      </c>
      <c r="G1595" s="9" t="str">
        <f t="shared" ca="1" si="509"/>
        <v xml:space="preserve">Enter a value for 'Number of Floors in the Tallest Building' in cell B60.
</v>
      </c>
      <c r="H1595" s="52" t="str">
        <f t="shared" ca="1" si="517"/>
        <v>Cost of Acquiring the Building***</v>
      </c>
      <c r="I1595" s="52">
        <v>14</v>
      </c>
    </row>
    <row r="1596" spans="1:10" ht="15" customHeight="1">
      <c r="A1596" t="str">
        <f ca="1">IF(AND(OFFSET(A1596, -I1596 + 2, 4) &gt;  0, E1596="", Calculations!$B$7), F1596, "")</f>
        <v/>
      </c>
      <c r="B1596">
        <f t="shared" si="513"/>
        <v>4</v>
      </c>
      <c r="C1596">
        <f t="shared" ca="1" si="511"/>
        <v>1</v>
      </c>
      <c r="D1596" t="str">
        <f t="shared" si="514"/>
        <v>O4</v>
      </c>
      <c r="E1596" t="str">
        <f t="shared" ca="1" si="515"/>
        <v/>
      </c>
      <c r="F1596" t="str">
        <f t="shared" ca="1" si="516"/>
        <v xml:space="preserve">Enter a 'Higher of Land Purchase Price or Land Appraised Value****' for  building 1 in cell O4.
</v>
      </c>
      <c r="G1596" s="9" t="str">
        <f t="shared" ca="1" si="509"/>
        <v xml:space="preserve">Enter a value for 'Number of Floors in the Tallest Building' in cell B60.
</v>
      </c>
      <c r="H1596" s="52" t="str">
        <f t="shared" ca="1" si="517"/>
        <v>Higher of Land Purchase Price or Land Appraised Value****</v>
      </c>
      <c r="I1596" s="52">
        <v>15</v>
      </c>
    </row>
    <row r="1597" spans="1:10" ht="15" customHeight="1">
      <c r="A1597" t="str">
        <f ca="1">IF(AND(OFFSET(A1597, -I1597 + 2, 4) &gt;  0, E1597="", Calculations!$B$7), F1597, "")</f>
        <v/>
      </c>
      <c r="B1597">
        <f t="shared" si="513"/>
        <v>4</v>
      </c>
      <c r="C1597">
        <f t="shared" ca="1" si="511"/>
        <v>1</v>
      </c>
      <c r="D1597" t="str">
        <f t="shared" si="514"/>
        <v>P4</v>
      </c>
      <c r="E1597" t="str">
        <f t="shared" ca="1" si="515"/>
        <v/>
      </c>
      <c r="F1597" t="str">
        <f t="shared" ca="1" si="516"/>
        <v xml:space="preserve">Enter a 'Acquisition Placed-in-Service Date' for  building 1 in cell P4.
</v>
      </c>
      <c r="G1597" s="9" t="str">
        <f t="shared" ca="1" si="509"/>
        <v xml:space="preserve">Enter a value for 'Number of Floors in the Tallest Building' in cell B60.
</v>
      </c>
      <c r="H1597" s="52" t="str">
        <f t="shared" ca="1" si="517"/>
        <v>Acquisition Placed-in-Service Date</v>
      </c>
      <c r="I1597" s="52">
        <v>16</v>
      </c>
    </row>
    <row r="1598" spans="1:10" ht="15" customHeight="1">
      <c r="A1598" t="str">
        <f ca="1">IF(AND(OFFSET(A1598, -I1598 + 2, 4) &gt;  0, E1598="", Calculations!$B$7), F1598, "")</f>
        <v/>
      </c>
      <c r="B1598">
        <f t="shared" si="513"/>
        <v>4</v>
      </c>
      <c r="C1598">
        <f t="shared" ca="1" si="511"/>
        <v>1</v>
      </c>
      <c r="D1598" t="str">
        <f t="shared" si="514"/>
        <v>Q4</v>
      </c>
      <c r="E1598" t="str">
        <f t="shared" ca="1" si="515"/>
        <v/>
      </c>
      <c r="F1598" t="str">
        <f t="shared" ca="1" si="516"/>
        <v xml:space="preserve">Enter a 'Acquisition APR' for  building 1 in cell Q4.
</v>
      </c>
      <c r="G1598" s="9" t="str">
        <f t="shared" ca="1" si="509"/>
        <v xml:space="preserve">Enter a value for 'Number of Floors in the Tallest Building' in cell B60.
</v>
      </c>
      <c r="H1598" s="52" t="str">
        <f t="shared" ca="1" si="517"/>
        <v>Acquisition APR</v>
      </c>
      <c r="I1598" s="52">
        <v>17</v>
      </c>
    </row>
    <row r="1599" spans="1:10" ht="15" customHeight="1">
      <c r="A1599" t="str">
        <f ca="1">IF(AND(Calculations!$B$4,Calculations!$B$29&gt;=C1599, E1599 &lt;&gt; 13),F1599,"")</f>
        <v/>
      </c>
      <c r="B1599">
        <f>ROW('Final Building Profile'!C5)</f>
        <v>5</v>
      </c>
      <c r="C1599">
        <f t="shared" ca="1" si="511"/>
        <v>2</v>
      </c>
      <c r="D1599" t="str">
        <f>ADDRESS(B1599, 3,4  )</f>
        <v>C5</v>
      </c>
      <c r="E1599" s="52">
        <f ca="1">H1599+I1599</f>
        <v>0</v>
      </c>
      <c r="F1599" t="str">
        <f ca="1">CONCATENATE("Based upon the number of buildings specified, information for  building ", C1599, " required for a final application in row ", B1599, ".", CHAR(10))</f>
        <v xml:space="preserve">Based upon the number of buildings specified, information for  building 2 required for a final application in row 5.
</v>
      </c>
      <c r="G1599" s="9" t="str">
        <f t="shared" ca="1" si="509"/>
        <v xml:space="preserve">Enter a value for 'Number of Floors in the Tallest Building' in cell B60.
</v>
      </c>
      <c r="H1599" s="52">
        <f ca="1">SUMPRODUCT(--ISTEXT(INDIRECT(J1599)))</f>
        <v>0</v>
      </c>
      <c r="I1599" s="52">
        <f ca="1">SUMPRODUCT(--ISNUMBER(INDIRECT(J1599)))</f>
        <v>0</v>
      </c>
      <c r="J1599" s="52" t="str">
        <f>$F$1565&amp; ADDRESS(B1599,3,4) &amp; ":" &amp; ADDRESS(B1599,15,4)</f>
        <v>'Final Building Profile'!C5:O5</v>
      </c>
    </row>
    <row r="1600" spans="1:10" ht="15" customHeight="1">
      <c r="A1600" t="str">
        <f t="shared" ref="A1600:A1609" ca="1" si="518">IF(AND(OFFSET(A1600, -I1600 + 2, 4) &gt;  0, E1600=""), F1600, "")</f>
        <v/>
      </c>
      <c r="B1600">
        <f t="shared" ref="B1600:B1614" si="519">B1599</f>
        <v>5</v>
      </c>
      <c r="C1600">
        <f t="shared" ca="1" si="511"/>
        <v>2</v>
      </c>
      <c r="D1600" t="str">
        <f t="shared" ref="D1600:D1614" si="520">ADDRESS(B1600, I1600,4  )</f>
        <v>C5</v>
      </c>
      <c r="E1600" t="str">
        <f t="shared" ref="E1600:E1614" ca="1" si="521">IF(ISBLANK( INDIRECT($F$1565 &amp; D1600)),"", INDIRECT($F$1565 &amp; D1600))</f>
        <v/>
      </c>
      <c r="F1600" t="str">
        <f t="shared" ref="F1600:F1614" ca="1" si="522">CONCATENATE("Enter a '"&amp; H1600 &amp;"' for  building ", C1600, " in cell ", D1600, ".", CHAR(10))</f>
        <v xml:space="preserve">Enter a 'Building Street Address Only 
(DO NOT ENTER CITY, STATE, OR ZIP)' for  building 2 in cell C5.
</v>
      </c>
      <c r="G1600" s="9" t="str">
        <f t="shared" ca="1" si="509"/>
        <v xml:space="preserve">Enter a value for 'Number of Floors in the Tallest Building' in cell B60.
</v>
      </c>
      <c r="H1600" s="52" t="str">
        <f t="shared" ref="H1600:H1614" ca="1" si="523">OFFSET(INDIRECT($F$1565 &amp; D1600), -B1600 + 3, 0)</f>
        <v>Building Street Address Only 
(DO NOT ENTER CITY, STATE, OR ZIP)</v>
      </c>
      <c r="I1600" s="52">
        <v>3</v>
      </c>
    </row>
    <row r="1601" spans="1:10" ht="15" customHeight="1">
      <c r="A1601" t="str">
        <f t="shared" ca="1" si="518"/>
        <v/>
      </c>
      <c r="B1601">
        <f t="shared" si="519"/>
        <v>5</v>
      </c>
      <c r="C1601">
        <f t="shared" ca="1" si="511"/>
        <v>2</v>
      </c>
      <c r="D1601" t="str">
        <f t="shared" si="520"/>
        <v>D5</v>
      </c>
      <c r="E1601" t="str">
        <f t="shared" ca="1" si="521"/>
        <v/>
      </c>
      <c r="F1601" t="str">
        <f t="shared" ca="1" si="522"/>
        <v xml:space="preserve">Enter a 'Total Units in Building*' for  building 2 in cell D5.
</v>
      </c>
      <c r="G1601" s="9" t="str">
        <f t="shared" ca="1" si="509"/>
        <v xml:space="preserve">Enter a value for 'Number of Floors in the Tallest Building' in cell B60.
</v>
      </c>
      <c r="H1601" s="52" t="str">
        <f t="shared" ca="1" si="523"/>
        <v>Total Units in Building*</v>
      </c>
      <c r="I1601" s="52">
        <v>4</v>
      </c>
    </row>
    <row r="1602" spans="1:10" ht="15" customHeight="1">
      <c r="A1602" t="str">
        <f t="shared" ca="1" si="518"/>
        <v/>
      </c>
      <c r="B1602">
        <f t="shared" si="519"/>
        <v>5</v>
      </c>
      <c r="C1602">
        <f t="shared" ca="1" si="511"/>
        <v>2</v>
      </c>
      <c r="D1602" t="str">
        <f t="shared" si="520"/>
        <v>E5</v>
      </c>
      <c r="E1602" t="str">
        <f t="shared" ca="1" si="521"/>
        <v/>
      </c>
      <c r="F1602" t="str">
        <f t="shared" ca="1" si="522"/>
        <v xml:space="preserve">Enter a 'Employee Units' for  building 2 in cell E5.
</v>
      </c>
      <c r="G1602" s="9" t="str">
        <f t="shared" ca="1" si="509"/>
        <v xml:space="preserve">Enter a value for 'Number of Floors in the Tallest Building' in cell B60.
</v>
      </c>
      <c r="H1602" s="52" t="str">
        <f t="shared" ca="1" si="523"/>
        <v>Employee Units</v>
      </c>
      <c r="I1602" s="52">
        <v>5</v>
      </c>
    </row>
    <row r="1603" spans="1:10" ht="15" customHeight="1">
      <c r="A1603" t="str">
        <f t="shared" ca="1" si="518"/>
        <v/>
      </c>
      <c r="B1603">
        <f t="shared" si="519"/>
        <v>5</v>
      </c>
      <c r="C1603">
        <f t="shared" ca="1" si="511"/>
        <v>2</v>
      </c>
      <c r="D1603" t="str">
        <f t="shared" si="520"/>
        <v>F5</v>
      </c>
      <c r="E1603" t="str">
        <f t="shared" ca="1" si="521"/>
        <v/>
      </c>
      <c r="F1603" t="str">
        <f t="shared" ca="1" si="522"/>
        <v xml:space="preserve">Enter a 'Low-Income Units' for  building 2 in cell F5.
</v>
      </c>
      <c r="G1603" s="9" t="str">
        <f t="shared" ca="1" si="509"/>
        <v xml:space="preserve">Enter a value for 'Number of Floors in the Tallest Building' in cell B60.
</v>
      </c>
      <c r="H1603" s="52" t="str">
        <f t="shared" ca="1" si="523"/>
        <v>Low-Income Units</v>
      </c>
      <c r="I1603" s="52">
        <v>6</v>
      </c>
    </row>
    <row r="1604" spans="1:10" ht="15" customHeight="1">
      <c r="A1604" t="str">
        <f t="shared" ca="1" si="518"/>
        <v/>
      </c>
      <c r="B1604">
        <f t="shared" si="519"/>
        <v>5</v>
      </c>
      <c r="C1604">
        <f t="shared" ca="1" si="511"/>
        <v>2</v>
      </c>
      <c r="D1604" t="str">
        <f t="shared" si="520"/>
        <v>G5</v>
      </c>
      <c r="E1604" t="str">
        <f t="shared" ca="1" si="521"/>
        <v/>
      </c>
      <c r="F1604" t="str">
        <f t="shared" ca="1" si="522"/>
        <v xml:space="preserve">Enter a 'Residential Square Footage**' for  building 2 in cell G5.
</v>
      </c>
      <c r="G1604" s="9" t="str">
        <f t="shared" ca="1" si="509"/>
        <v xml:space="preserve">Enter a value for 'Number of Floors in the Tallest Building' in cell B60.
</v>
      </c>
      <c r="H1604" s="52" t="str">
        <f t="shared" ca="1" si="523"/>
        <v>Residential Square Footage**</v>
      </c>
      <c r="I1604" s="52">
        <v>7</v>
      </c>
    </row>
    <row r="1605" spans="1:10" ht="15" customHeight="1">
      <c r="A1605" t="str">
        <f t="shared" ca="1" si="518"/>
        <v/>
      </c>
      <c r="B1605">
        <f t="shared" si="519"/>
        <v>5</v>
      </c>
      <c r="C1605">
        <f t="shared" ca="1" si="511"/>
        <v>2</v>
      </c>
      <c r="D1605" t="str">
        <f t="shared" si="520"/>
        <v>H5</v>
      </c>
      <c r="E1605" t="str">
        <f t="shared" ca="1" si="521"/>
        <v/>
      </c>
      <c r="F1605" t="str">
        <f t="shared" ca="1" si="522"/>
        <v xml:space="preserve">Enter a 'Square Footage of Employee Units' for  building 2 in cell H5.
</v>
      </c>
      <c r="G1605" s="9" t="str">
        <f t="shared" ca="1" si="509"/>
        <v xml:space="preserve">Enter a value for 'Number of Floors in the Tallest Building' in cell B60.
</v>
      </c>
      <c r="H1605" s="52" t="str">
        <f t="shared" ca="1" si="523"/>
        <v>Square Footage of Employee Units</v>
      </c>
      <c r="I1605" s="52">
        <v>8</v>
      </c>
    </row>
    <row r="1606" spans="1:10" ht="15" customHeight="1">
      <c r="A1606" t="str">
        <f t="shared" ca="1" si="518"/>
        <v/>
      </c>
      <c r="B1606">
        <f t="shared" si="519"/>
        <v>5</v>
      </c>
      <c r="C1606">
        <f t="shared" ca="1" si="511"/>
        <v>2</v>
      </c>
      <c r="D1606" t="str">
        <f t="shared" si="520"/>
        <v>I5</v>
      </c>
      <c r="E1606" t="str">
        <f t="shared" ca="1" si="521"/>
        <v/>
      </c>
      <c r="F1606" t="str">
        <f t="shared" ca="1" si="522"/>
        <v xml:space="preserve">Enter a 'Square Footage of Low-Income Units' for  building 2 in cell I5.
</v>
      </c>
      <c r="G1606" s="9" t="str">
        <f t="shared" ca="1" si="509"/>
        <v xml:space="preserve">Enter a value for 'Number of Floors in the Tallest Building' in cell B60.
</v>
      </c>
      <c r="H1606" s="52" t="str">
        <f t="shared" ca="1" si="523"/>
        <v>Square Footage of Low-Income Units</v>
      </c>
      <c r="I1606" s="52">
        <v>9</v>
      </c>
    </row>
    <row r="1607" spans="1:10" ht="15" customHeight="1">
      <c r="A1607" t="str">
        <f t="shared" ca="1" si="518"/>
        <v/>
      </c>
      <c r="B1607">
        <f t="shared" si="519"/>
        <v>5</v>
      </c>
      <c r="C1607">
        <f t="shared" ca="1" si="511"/>
        <v>2</v>
      </c>
      <c r="D1607" t="str">
        <f t="shared" si="520"/>
        <v>J5</v>
      </c>
      <c r="E1607" t="str">
        <f t="shared" ca="1" si="521"/>
        <v/>
      </c>
      <c r="F1607" t="str">
        <f t="shared" ca="1" si="522"/>
        <v xml:space="preserve">Enter a 'Placed-In-Service Date' for  building 2 in cell J5.
</v>
      </c>
      <c r="G1607" s="9" t="str">
        <f t="shared" ca="1" si="509"/>
        <v xml:space="preserve">Enter a value for 'Number of Floors in the Tallest Building' in cell B60.
</v>
      </c>
      <c r="H1607" s="52" t="str">
        <f t="shared" ca="1" si="523"/>
        <v>Placed-In-Service Date</v>
      </c>
      <c r="I1607" s="52">
        <v>10</v>
      </c>
    </row>
    <row r="1608" spans="1:10" ht="15" customHeight="1">
      <c r="A1608" t="str">
        <f t="shared" ca="1" si="518"/>
        <v/>
      </c>
      <c r="B1608">
        <f t="shared" si="519"/>
        <v>5</v>
      </c>
      <c r="C1608">
        <f t="shared" ca="1" si="511"/>
        <v>2</v>
      </c>
      <c r="D1608" t="str">
        <f t="shared" si="520"/>
        <v>K5</v>
      </c>
      <c r="E1608" t="str">
        <f t="shared" ca="1" si="521"/>
        <v/>
      </c>
      <c r="F1608" t="str">
        <f t="shared" ca="1" si="522"/>
        <v xml:space="preserve">Enter a 'New Construction/ Rehab APR' for  building 2 in cell K5.
</v>
      </c>
      <c r="G1608" s="9" t="str">
        <f t="shared" ca="1" si="509"/>
        <v xml:space="preserve">Enter a value for 'Number of Floors in the Tallest Building' in cell B60.
</v>
      </c>
      <c r="H1608" s="52" t="str">
        <f t="shared" ca="1" si="523"/>
        <v>New Construction/ Rehab APR</v>
      </c>
      <c r="I1608" s="52">
        <v>11</v>
      </c>
    </row>
    <row r="1609" spans="1:10" ht="15" customHeight="1">
      <c r="A1609" t="str">
        <f t="shared" ca="1" si="518"/>
        <v/>
      </c>
      <c r="B1609">
        <f t="shared" si="519"/>
        <v>5</v>
      </c>
      <c r="C1609">
        <f t="shared" ca="1" si="511"/>
        <v>2</v>
      </c>
      <c r="D1609" t="str">
        <f t="shared" si="520"/>
        <v>L5</v>
      </c>
      <c r="E1609" t="str">
        <f t="shared" ca="1" si="521"/>
        <v/>
      </c>
      <c r="F1609" t="str">
        <f t="shared" ca="1" si="522"/>
        <v xml:space="preserve">Enter a 'New Construction Eligible Basis' for  building 2 in cell L5.
</v>
      </c>
      <c r="G1609" s="9" t="str">
        <f t="shared" ca="1" si="509"/>
        <v xml:space="preserve">Enter a value for 'Number of Floors in the Tallest Building' in cell B60.
</v>
      </c>
      <c r="H1609" s="52" t="str">
        <f t="shared" ca="1" si="523"/>
        <v>New Construction Eligible Basis</v>
      </c>
      <c r="I1609" s="52">
        <v>12</v>
      </c>
    </row>
    <row r="1610" spans="1:10" ht="15" customHeight="1">
      <c r="A1610" t="str">
        <f ca="1">IF(AND(OFFSET(A1610, -I1610 + 2, 4) &gt;  0, E1610="", Calculations!$B$7), F1610, "")</f>
        <v/>
      </c>
      <c r="B1610">
        <f t="shared" si="519"/>
        <v>5</v>
      </c>
      <c r="C1610">
        <f t="shared" ca="1" si="511"/>
        <v>2</v>
      </c>
      <c r="D1610" t="str">
        <f t="shared" si="520"/>
        <v>M5</v>
      </c>
      <c r="E1610" t="str">
        <f t="shared" ca="1" si="521"/>
        <v/>
      </c>
      <c r="F1610" t="str">
        <f t="shared" ca="1" si="522"/>
        <v xml:space="preserve">Enter a 'Eligible Basis for Rehab' for  building 2 in cell M5.
</v>
      </c>
      <c r="G1610" s="9" t="str">
        <f t="shared" ca="1" si="509"/>
        <v xml:space="preserve">Enter a value for 'Number of Floors in the Tallest Building' in cell B60.
</v>
      </c>
      <c r="H1610" s="52" t="str">
        <f t="shared" ca="1" si="523"/>
        <v>Eligible Basis for Rehab</v>
      </c>
      <c r="I1610" s="52">
        <v>13</v>
      </c>
    </row>
    <row r="1611" spans="1:10" ht="15" customHeight="1">
      <c r="A1611" t="str">
        <f ca="1">IF(AND(OFFSET(A1611, -I1611 + 2, 4) &gt;  0, E1611="", Calculations!$B$7), F1611, "")</f>
        <v/>
      </c>
      <c r="B1611">
        <f t="shared" si="519"/>
        <v>5</v>
      </c>
      <c r="C1611">
        <f t="shared" ca="1" si="511"/>
        <v>2</v>
      </c>
      <c r="D1611" t="str">
        <f t="shared" si="520"/>
        <v>N5</v>
      </c>
      <c r="E1611" t="str">
        <f t="shared" ca="1" si="521"/>
        <v/>
      </c>
      <c r="F1611" t="str">
        <f t="shared" ca="1" si="522"/>
        <v xml:space="preserve">Enter a 'Cost of Acquiring the Building***' for  building 2 in cell N5.
</v>
      </c>
      <c r="G1611" s="9" t="str">
        <f t="shared" ca="1" si="509"/>
        <v xml:space="preserve">Enter a value for 'Number of Floors in the Tallest Building' in cell B60.
</v>
      </c>
      <c r="H1611" s="52" t="str">
        <f t="shared" ca="1" si="523"/>
        <v>Cost of Acquiring the Building***</v>
      </c>
      <c r="I1611" s="52">
        <v>14</v>
      </c>
    </row>
    <row r="1612" spans="1:10" ht="15" customHeight="1">
      <c r="A1612" t="str">
        <f ca="1">IF(AND(OFFSET(A1612, -I1612 + 2, 4) &gt;  0, E1612="", Calculations!$B$7), F1612, "")</f>
        <v/>
      </c>
      <c r="B1612">
        <f t="shared" si="519"/>
        <v>5</v>
      </c>
      <c r="C1612">
        <f t="shared" ca="1" si="511"/>
        <v>2</v>
      </c>
      <c r="D1612" t="str">
        <f t="shared" si="520"/>
        <v>O5</v>
      </c>
      <c r="E1612" t="str">
        <f t="shared" ca="1" si="521"/>
        <v/>
      </c>
      <c r="F1612" t="str">
        <f t="shared" ca="1" si="522"/>
        <v xml:space="preserve">Enter a 'Higher of Land Purchase Price or Land Appraised Value****' for  building 2 in cell O5.
</v>
      </c>
      <c r="G1612" s="9" t="str">
        <f t="shared" ca="1" si="509"/>
        <v xml:space="preserve">Enter a value for 'Number of Floors in the Tallest Building' in cell B60.
</v>
      </c>
      <c r="H1612" s="52" t="str">
        <f t="shared" ca="1" si="523"/>
        <v>Higher of Land Purchase Price or Land Appraised Value****</v>
      </c>
      <c r="I1612" s="52">
        <v>15</v>
      </c>
    </row>
    <row r="1613" spans="1:10" ht="15" customHeight="1">
      <c r="A1613" t="str">
        <f ca="1">IF(AND(OFFSET(A1613, -I1613 + 2, 4) &gt;  0, E1613="", Calculations!$B$7), F1613, "")</f>
        <v/>
      </c>
      <c r="B1613">
        <f t="shared" si="519"/>
        <v>5</v>
      </c>
      <c r="C1613">
        <f t="shared" ca="1" si="511"/>
        <v>2</v>
      </c>
      <c r="D1613" t="str">
        <f t="shared" si="520"/>
        <v>P5</v>
      </c>
      <c r="E1613" t="str">
        <f t="shared" ca="1" si="521"/>
        <v/>
      </c>
      <c r="F1613" t="str">
        <f t="shared" ca="1" si="522"/>
        <v xml:space="preserve">Enter a 'Acquisition Placed-in-Service Date' for  building 2 in cell P5.
</v>
      </c>
      <c r="G1613" s="9" t="str">
        <f t="shared" ca="1" si="509"/>
        <v xml:space="preserve">Enter a value for 'Number of Floors in the Tallest Building' in cell B60.
</v>
      </c>
      <c r="H1613" s="52" t="str">
        <f t="shared" ca="1" si="523"/>
        <v>Acquisition Placed-in-Service Date</v>
      </c>
      <c r="I1613" s="52">
        <v>16</v>
      </c>
    </row>
    <row r="1614" spans="1:10" ht="15" customHeight="1">
      <c r="A1614" t="str">
        <f ca="1">IF(AND(OFFSET(A1614, -I1614 + 2, 4) &gt;  0, E1614="", Calculations!$B$7), F1614, "")</f>
        <v/>
      </c>
      <c r="B1614">
        <f t="shared" si="519"/>
        <v>5</v>
      </c>
      <c r="C1614">
        <f t="shared" ca="1" si="511"/>
        <v>2</v>
      </c>
      <c r="D1614" t="str">
        <f t="shared" si="520"/>
        <v>Q5</v>
      </c>
      <c r="E1614" t="str">
        <f t="shared" ca="1" si="521"/>
        <v/>
      </c>
      <c r="F1614" t="str">
        <f t="shared" ca="1" si="522"/>
        <v xml:space="preserve">Enter a 'Acquisition APR' for  building 2 in cell Q5.
</v>
      </c>
      <c r="G1614" s="9" t="str">
        <f t="shared" ca="1" si="509"/>
        <v xml:space="preserve">Enter a value for 'Number of Floors in the Tallest Building' in cell B60.
</v>
      </c>
      <c r="H1614" s="52" t="str">
        <f t="shared" ca="1" si="523"/>
        <v>Acquisition APR</v>
      </c>
      <c r="I1614" s="52">
        <v>17</v>
      </c>
    </row>
    <row r="1615" spans="1:10" ht="15" customHeight="1">
      <c r="A1615" t="str">
        <f ca="1">IF(AND(Calculations!$B$4,Calculations!$B$29&gt;=C1615, E1615 &lt;&gt; 13),F1615,"")</f>
        <v/>
      </c>
      <c r="B1615">
        <f>ROW('Final Building Profile'!C6)</f>
        <v>6</v>
      </c>
      <c r="C1615">
        <f t="shared" ca="1" si="511"/>
        <v>3</v>
      </c>
      <c r="D1615" t="str">
        <f>ADDRESS(B1615, 3,4  )</f>
        <v>C6</v>
      </c>
      <c r="E1615" s="52">
        <f ca="1">H1615+I1615</f>
        <v>0</v>
      </c>
      <c r="F1615" t="str">
        <f ca="1">CONCATENATE("Based upon the number of buildings specified, information for  building ", C1615, " required for a final application in row ", B1615, ".", CHAR(10))</f>
        <v xml:space="preserve">Based upon the number of buildings specified, information for  building 3 required for a final application in row 6.
</v>
      </c>
      <c r="G1615" s="9" t="str">
        <f t="shared" ca="1" si="509"/>
        <v xml:space="preserve">Enter a value for 'Number of Floors in the Tallest Building' in cell B60.
</v>
      </c>
      <c r="H1615" s="52">
        <f ca="1">SUMPRODUCT(--ISTEXT(INDIRECT(J1615)))</f>
        <v>0</v>
      </c>
      <c r="I1615" s="52">
        <f ca="1">SUMPRODUCT(--ISNUMBER(INDIRECT(J1615)))</f>
        <v>0</v>
      </c>
      <c r="J1615" s="52" t="str">
        <f>$F$1565&amp; ADDRESS(B1615,3,4) &amp; ":" &amp; ADDRESS(B1615,15,4)</f>
        <v>'Final Building Profile'!C6:O6</v>
      </c>
    </row>
    <row r="1616" spans="1:10" ht="15" customHeight="1">
      <c r="A1616" t="str">
        <f t="shared" ref="A1616:A1625" ca="1" si="524">IF(AND(OFFSET(A1616, -I1616 + 2, 4) &gt;  0, E1616=""), F1616, "")</f>
        <v/>
      </c>
      <c r="B1616">
        <f t="shared" ref="B1616:B1630" si="525">B1615</f>
        <v>6</v>
      </c>
      <c r="C1616">
        <f t="shared" ca="1" si="511"/>
        <v>3</v>
      </c>
      <c r="D1616" t="str">
        <f t="shared" ref="D1616:D1630" si="526">ADDRESS(B1616, I1616,4  )</f>
        <v>C6</v>
      </c>
      <c r="E1616" t="str">
        <f t="shared" ref="E1616:E1630" ca="1" si="527">IF(ISBLANK( INDIRECT($F$1565 &amp; D1616)),"", INDIRECT($F$1565 &amp; D1616))</f>
        <v/>
      </c>
      <c r="F1616" t="str">
        <f t="shared" ref="F1616:F1630" ca="1" si="528">CONCATENATE("Enter a '"&amp; H1616 &amp;"' for  building ", C1616, " in cell ", D1616, ".", CHAR(10))</f>
        <v xml:space="preserve">Enter a 'Building Street Address Only 
(DO NOT ENTER CITY, STATE, OR ZIP)' for  building 3 in cell C6.
</v>
      </c>
      <c r="G1616" s="9" t="str">
        <f t="shared" ca="1" si="509"/>
        <v xml:space="preserve">Enter a value for 'Number of Floors in the Tallest Building' in cell B60.
</v>
      </c>
      <c r="H1616" s="52" t="str">
        <f t="shared" ref="H1616:H1630" ca="1" si="529">OFFSET(INDIRECT($F$1565 &amp; D1616), -B1616 + 3, 0)</f>
        <v>Building Street Address Only 
(DO NOT ENTER CITY, STATE, OR ZIP)</v>
      </c>
      <c r="I1616" s="52">
        <v>3</v>
      </c>
    </row>
    <row r="1617" spans="1:10" ht="15" customHeight="1">
      <c r="A1617" t="str">
        <f t="shared" ca="1" si="524"/>
        <v/>
      </c>
      <c r="B1617">
        <f t="shared" si="525"/>
        <v>6</v>
      </c>
      <c r="C1617">
        <f t="shared" ca="1" si="511"/>
        <v>3</v>
      </c>
      <c r="D1617" t="str">
        <f t="shared" si="526"/>
        <v>D6</v>
      </c>
      <c r="E1617" t="str">
        <f t="shared" ca="1" si="527"/>
        <v/>
      </c>
      <c r="F1617" t="str">
        <f t="shared" ca="1" si="528"/>
        <v xml:space="preserve">Enter a 'Total Units in Building*' for  building 3 in cell D6.
</v>
      </c>
      <c r="G1617" s="9" t="str">
        <f t="shared" ca="1" si="509"/>
        <v xml:space="preserve">Enter a value for 'Number of Floors in the Tallest Building' in cell B60.
</v>
      </c>
      <c r="H1617" s="52" t="str">
        <f t="shared" ca="1" si="529"/>
        <v>Total Units in Building*</v>
      </c>
      <c r="I1617" s="52">
        <v>4</v>
      </c>
    </row>
    <row r="1618" spans="1:10" ht="15" customHeight="1">
      <c r="A1618" t="str">
        <f t="shared" ca="1" si="524"/>
        <v/>
      </c>
      <c r="B1618">
        <f t="shared" si="525"/>
        <v>6</v>
      </c>
      <c r="C1618">
        <f t="shared" ca="1" si="511"/>
        <v>3</v>
      </c>
      <c r="D1618" t="str">
        <f t="shared" si="526"/>
        <v>E6</v>
      </c>
      <c r="E1618" t="str">
        <f t="shared" ca="1" si="527"/>
        <v/>
      </c>
      <c r="F1618" t="str">
        <f t="shared" ca="1" si="528"/>
        <v xml:space="preserve">Enter a 'Employee Units' for  building 3 in cell E6.
</v>
      </c>
      <c r="G1618" s="9" t="str">
        <f t="shared" ca="1" si="509"/>
        <v xml:space="preserve">Enter a value for 'Number of Floors in the Tallest Building' in cell B60.
</v>
      </c>
      <c r="H1618" s="52" t="str">
        <f t="shared" ca="1" si="529"/>
        <v>Employee Units</v>
      </c>
      <c r="I1618" s="52">
        <v>5</v>
      </c>
    </row>
    <row r="1619" spans="1:10" ht="15" customHeight="1">
      <c r="A1619" t="str">
        <f t="shared" ca="1" si="524"/>
        <v/>
      </c>
      <c r="B1619">
        <f t="shared" si="525"/>
        <v>6</v>
      </c>
      <c r="C1619">
        <f t="shared" ca="1" si="511"/>
        <v>3</v>
      </c>
      <c r="D1619" t="str">
        <f t="shared" si="526"/>
        <v>F6</v>
      </c>
      <c r="E1619" t="str">
        <f t="shared" ca="1" si="527"/>
        <v/>
      </c>
      <c r="F1619" t="str">
        <f t="shared" ca="1" si="528"/>
        <v xml:space="preserve">Enter a 'Low-Income Units' for  building 3 in cell F6.
</v>
      </c>
      <c r="G1619" s="9" t="str">
        <f t="shared" ca="1" si="509"/>
        <v xml:space="preserve">Enter a value for 'Number of Floors in the Tallest Building' in cell B60.
</v>
      </c>
      <c r="H1619" s="52" t="str">
        <f t="shared" ca="1" si="529"/>
        <v>Low-Income Units</v>
      </c>
      <c r="I1619" s="52">
        <v>6</v>
      </c>
    </row>
    <row r="1620" spans="1:10" ht="15" customHeight="1">
      <c r="A1620" t="str">
        <f t="shared" ca="1" si="524"/>
        <v/>
      </c>
      <c r="B1620">
        <f t="shared" si="525"/>
        <v>6</v>
      </c>
      <c r="C1620">
        <f t="shared" ca="1" si="511"/>
        <v>3</v>
      </c>
      <c r="D1620" t="str">
        <f t="shared" si="526"/>
        <v>G6</v>
      </c>
      <c r="E1620" t="str">
        <f t="shared" ca="1" si="527"/>
        <v/>
      </c>
      <c r="F1620" t="str">
        <f t="shared" ca="1" si="528"/>
        <v xml:space="preserve">Enter a 'Residential Square Footage**' for  building 3 in cell G6.
</v>
      </c>
      <c r="G1620" s="9" t="str">
        <f t="shared" ca="1" si="509"/>
        <v xml:space="preserve">Enter a value for 'Number of Floors in the Tallest Building' in cell B60.
</v>
      </c>
      <c r="H1620" s="52" t="str">
        <f t="shared" ca="1" si="529"/>
        <v>Residential Square Footage**</v>
      </c>
      <c r="I1620" s="52">
        <v>7</v>
      </c>
    </row>
    <row r="1621" spans="1:10" ht="15" customHeight="1">
      <c r="A1621" t="str">
        <f t="shared" ca="1" si="524"/>
        <v/>
      </c>
      <c r="B1621">
        <f t="shared" si="525"/>
        <v>6</v>
      </c>
      <c r="C1621">
        <f t="shared" ca="1" si="511"/>
        <v>3</v>
      </c>
      <c r="D1621" t="str">
        <f t="shared" si="526"/>
        <v>H6</v>
      </c>
      <c r="E1621" t="str">
        <f t="shared" ca="1" si="527"/>
        <v/>
      </c>
      <c r="F1621" t="str">
        <f t="shared" ca="1" si="528"/>
        <v xml:space="preserve">Enter a 'Square Footage of Employee Units' for  building 3 in cell H6.
</v>
      </c>
      <c r="G1621" s="9" t="str">
        <f t="shared" ca="1" si="509"/>
        <v xml:space="preserve">Enter a value for 'Number of Floors in the Tallest Building' in cell B60.
</v>
      </c>
      <c r="H1621" s="52" t="str">
        <f t="shared" ca="1" si="529"/>
        <v>Square Footage of Employee Units</v>
      </c>
      <c r="I1621" s="52">
        <v>8</v>
      </c>
    </row>
    <row r="1622" spans="1:10" ht="15" customHeight="1">
      <c r="A1622" t="str">
        <f t="shared" ca="1" si="524"/>
        <v/>
      </c>
      <c r="B1622">
        <f t="shared" si="525"/>
        <v>6</v>
      </c>
      <c r="C1622">
        <f t="shared" ca="1" si="511"/>
        <v>3</v>
      </c>
      <c r="D1622" t="str">
        <f t="shared" si="526"/>
        <v>I6</v>
      </c>
      <c r="E1622" t="str">
        <f t="shared" ca="1" si="527"/>
        <v/>
      </c>
      <c r="F1622" t="str">
        <f t="shared" ca="1" si="528"/>
        <v xml:space="preserve">Enter a 'Square Footage of Low-Income Units' for  building 3 in cell I6.
</v>
      </c>
      <c r="G1622" s="9" t="str">
        <f t="shared" ca="1" si="509"/>
        <v xml:space="preserve">Enter a value for 'Number of Floors in the Tallest Building' in cell B60.
</v>
      </c>
      <c r="H1622" s="52" t="str">
        <f t="shared" ca="1" si="529"/>
        <v>Square Footage of Low-Income Units</v>
      </c>
      <c r="I1622" s="52">
        <v>9</v>
      </c>
    </row>
    <row r="1623" spans="1:10" ht="15" customHeight="1">
      <c r="A1623" t="str">
        <f t="shared" ca="1" si="524"/>
        <v/>
      </c>
      <c r="B1623">
        <f t="shared" si="525"/>
        <v>6</v>
      </c>
      <c r="C1623">
        <f t="shared" ca="1" si="511"/>
        <v>3</v>
      </c>
      <c r="D1623" t="str">
        <f t="shared" si="526"/>
        <v>J6</v>
      </c>
      <c r="E1623" t="str">
        <f t="shared" ca="1" si="527"/>
        <v/>
      </c>
      <c r="F1623" t="str">
        <f t="shared" ca="1" si="528"/>
        <v xml:space="preserve">Enter a 'Placed-In-Service Date' for  building 3 in cell J6.
</v>
      </c>
      <c r="G1623" s="9" t="str">
        <f t="shared" ca="1" si="509"/>
        <v xml:space="preserve">Enter a value for 'Number of Floors in the Tallest Building' in cell B60.
</v>
      </c>
      <c r="H1623" s="52" t="str">
        <f t="shared" ca="1" si="529"/>
        <v>Placed-In-Service Date</v>
      </c>
      <c r="I1623" s="52">
        <v>10</v>
      </c>
    </row>
    <row r="1624" spans="1:10" ht="15" customHeight="1">
      <c r="A1624" t="str">
        <f t="shared" ca="1" si="524"/>
        <v/>
      </c>
      <c r="B1624">
        <f t="shared" si="525"/>
        <v>6</v>
      </c>
      <c r="C1624">
        <f t="shared" ca="1" si="511"/>
        <v>3</v>
      </c>
      <c r="D1624" t="str">
        <f t="shared" si="526"/>
        <v>K6</v>
      </c>
      <c r="E1624" t="str">
        <f t="shared" ca="1" si="527"/>
        <v/>
      </c>
      <c r="F1624" t="str">
        <f t="shared" ca="1" si="528"/>
        <v xml:space="preserve">Enter a 'New Construction/ Rehab APR' for  building 3 in cell K6.
</v>
      </c>
      <c r="G1624" s="9" t="str">
        <f t="shared" ca="1" si="509"/>
        <v xml:space="preserve">Enter a value for 'Number of Floors in the Tallest Building' in cell B60.
</v>
      </c>
      <c r="H1624" s="52" t="str">
        <f t="shared" ca="1" si="529"/>
        <v>New Construction/ Rehab APR</v>
      </c>
      <c r="I1624" s="52">
        <v>11</v>
      </c>
    </row>
    <row r="1625" spans="1:10" ht="15" customHeight="1">
      <c r="A1625" t="str">
        <f t="shared" ca="1" si="524"/>
        <v/>
      </c>
      <c r="B1625">
        <f t="shared" si="525"/>
        <v>6</v>
      </c>
      <c r="C1625">
        <f t="shared" ca="1" si="511"/>
        <v>3</v>
      </c>
      <c r="D1625" t="str">
        <f t="shared" si="526"/>
        <v>L6</v>
      </c>
      <c r="E1625" t="str">
        <f t="shared" ca="1" si="527"/>
        <v/>
      </c>
      <c r="F1625" t="str">
        <f t="shared" ca="1" si="528"/>
        <v xml:space="preserve">Enter a 'New Construction Eligible Basis' for  building 3 in cell L6.
</v>
      </c>
      <c r="G1625" s="9" t="str">
        <f t="shared" ca="1" si="509"/>
        <v xml:space="preserve">Enter a value for 'Number of Floors in the Tallest Building' in cell B60.
</v>
      </c>
      <c r="H1625" s="52" t="str">
        <f t="shared" ca="1" si="529"/>
        <v>New Construction Eligible Basis</v>
      </c>
      <c r="I1625" s="52">
        <v>12</v>
      </c>
    </row>
    <row r="1626" spans="1:10" ht="15" customHeight="1">
      <c r="A1626" t="str">
        <f ca="1">IF(AND(OFFSET(A1626, -I1626 + 2, 4) &gt;  0, E1626="", Calculations!$B$7), F1626, "")</f>
        <v/>
      </c>
      <c r="B1626">
        <f t="shared" si="525"/>
        <v>6</v>
      </c>
      <c r="C1626">
        <f t="shared" ca="1" si="511"/>
        <v>3</v>
      </c>
      <c r="D1626" t="str">
        <f t="shared" si="526"/>
        <v>M6</v>
      </c>
      <c r="E1626" t="str">
        <f t="shared" ca="1" si="527"/>
        <v/>
      </c>
      <c r="F1626" t="str">
        <f t="shared" ca="1" si="528"/>
        <v xml:space="preserve">Enter a 'Eligible Basis for Rehab' for  building 3 in cell M6.
</v>
      </c>
      <c r="G1626" s="9" t="str">
        <f t="shared" ca="1" si="509"/>
        <v xml:space="preserve">Enter a value for 'Number of Floors in the Tallest Building' in cell B60.
</v>
      </c>
      <c r="H1626" s="52" t="str">
        <f t="shared" ca="1" si="529"/>
        <v>Eligible Basis for Rehab</v>
      </c>
      <c r="I1626" s="52">
        <v>13</v>
      </c>
    </row>
    <row r="1627" spans="1:10" ht="15" customHeight="1">
      <c r="A1627" t="str">
        <f ca="1">IF(AND(OFFSET(A1627, -I1627 + 2, 4) &gt;  0, E1627="", Calculations!$B$7), F1627, "")</f>
        <v/>
      </c>
      <c r="B1627">
        <f t="shared" si="525"/>
        <v>6</v>
      </c>
      <c r="C1627">
        <f t="shared" ca="1" si="511"/>
        <v>3</v>
      </c>
      <c r="D1627" t="str">
        <f t="shared" si="526"/>
        <v>N6</v>
      </c>
      <c r="E1627" t="str">
        <f t="shared" ca="1" si="527"/>
        <v/>
      </c>
      <c r="F1627" t="str">
        <f t="shared" ca="1" si="528"/>
        <v xml:space="preserve">Enter a 'Cost of Acquiring the Building***' for  building 3 in cell N6.
</v>
      </c>
      <c r="G1627" s="9" t="str">
        <f t="shared" ca="1" si="509"/>
        <v xml:space="preserve">Enter a value for 'Number of Floors in the Tallest Building' in cell B60.
</v>
      </c>
      <c r="H1627" s="52" t="str">
        <f t="shared" ca="1" si="529"/>
        <v>Cost of Acquiring the Building***</v>
      </c>
      <c r="I1627" s="52">
        <v>14</v>
      </c>
    </row>
    <row r="1628" spans="1:10" ht="15" customHeight="1">
      <c r="A1628" t="str">
        <f ca="1">IF(AND(OFFSET(A1628, -I1628 + 2, 4) &gt;  0, E1628="", Calculations!$B$7), F1628, "")</f>
        <v/>
      </c>
      <c r="B1628">
        <f t="shared" si="525"/>
        <v>6</v>
      </c>
      <c r="C1628">
        <f t="shared" ca="1" si="511"/>
        <v>3</v>
      </c>
      <c r="D1628" t="str">
        <f t="shared" si="526"/>
        <v>O6</v>
      </c>
      <c r="E1628" t="str">
        <f t="shared" ca="1" si="527"/>
        <v/>
      </c>
      <c r="F1628" t="str">
        <f t="shared" ca="1" si="528"/>
        <v xml:space="preserve">Enter a 'Higher of Land Purchase Price or Land Appraised Value****' for  building 3 in cell O6.
</v>
      </c>
      <c r="G1628" s="9" t="str">
        <f t="shared" ca="1" si="509"/>
        <v xml:space="preserve">Enter a value for 'Number of Floors in the Tallest Building' in cell B60.
</v>
      </c>
      <c r="H1628" s="52" t="str">
        <f t="shared" ca="1" si="529"/>
        <v>Higher of Land Purchase Price or Land Appraised Value****</v>
      </c>
      <c r="I1628" s="52">
        <v>15</v>
      </c>
    </row>
    <row r="1629" spans="1:10" ht="15" customHeight="1">
      <c r="A1629" t="str">
        <f ca="1">IF(AND(OFFSET(A1629, -I1629 + 2, 4) &gt;  0, E1629="", Calculations!$B$7), F1629, "")</f>
        <v/>
      </c>
      <c r="B1629">
        <f t="shared" si="525"/>
        <v>6</v>
      </c>
      <c r="C1629">
        <f t="shared" ca="1" si="511"/>
        <v>3</v>
      </c>
      <c r="D1629" t="str">
        <f t="shared" si="526"/>
        <v>P6</v>
      </c>
      <c r="E1629" t="str">
        <f t="shared" ca="1" si="527"/>
        <v/>
      </c>
      <c r="F1629" t="str">
        <f t="shared" ca="1" si="528"/>
        <v xml:space="preserve">Enter a 'Acquisition Placed-in-Service Date' for  building 3 in cell P6.
</v>
      </c>
      <c r="G1629" s="9" t="str">
        <f t="shared" ca="1" si="509"/>
        <v xml:space="preserve">Enter a value for 'Number of Floors in the Tallest Building' in cell B60.
</v>
      </c>
      <c r="H1629" s="52" t="str">
        <f t="shared" ca="1" si="529"/>
        <v>Acquisition Placed-in-Service Date</v>
      </c>
      <c r="I1629" s="52">
        <v>16</v>
      </c>
    </row>
    <row r="1630" spans="1:10" ht="15" customHeight="1">
      <c r="A1630" t="str">
        <f ca="1">IF(AND(OFFSET(A1630, -I1630 + 2, 4) &gt;  0, E1630="", Calculations!$B$7), F1630, "")</f>
        <v/>
      </c>
      <c r="B1630">
        <f t="shared" si="525"/>
        <v>6</v>
      </c>
      <c r="C1630">
        <f t="shared" ca="1" si="511"/>
        <v>3</v>
      </c>
      <c r="D1630" t="str">
        <f t="shared" si="526"/>
        <v>Q6</v>
      </c>
      <c r="E1630" t="str">
        <f t="shared" ca="1" si="527"/>
        <v/>
      </c>
      <c r="F1630" t="str">
        <f t="shared" ca="1" si="528"/>
        <v xml:space="preserve">Enter a 'Acquisition APR' for  building 3 in cell Q6.
</v>
      </c>
      <c r="G1630" s="9" t="str">
        <f t="shared" ca="1" si="509"/>
        <v xml:space="preserve">Enter a value for 'Number of Floors in the Tallest Building' in cell B60.
</v>
      </c>
      <c r="H1630" s="52" t="str">
        <f t="shared" ca="1" si="529"/>
        <v>Acquisition APR</v>
      </c>
      <c r="I1630" s="52">
        <v>17</v>
      </c>
    </row>
    <row r="1631" spans="1:10" ht="15" customHeight="1">
      <c r="A1631" t="str">
        <f ca="1">IF(AND(Calculations!$B$4,Calculations!$B$29&gt;=C1631, E1631 &lt;&gt; 13),F1631,"")</f>
        <v/>
      </c>
      <c r="B1631">
        <f>ROW('Final Building Profile'!C7)</f>
        <v>7</v>
      </c>
      <c r="C1631">
        <f t="shared" ca="1" si="511"/>
        <v>4</v>
      </c>
      <c r="D1631" t="str">
        <f>ADDRESS(B1631, 3,4  )</f>
        <v>C7</v>
      </c>
      <c r="E1631" s="52">
        <f ca="1">H1631+I1631</f>
        <v>0</v>
      </c>
      <c r="F1631" t="str">
        <f ca="1">CONCATENATE("Based upon the number of buildings specified, information for  building ", C1631, " required for a final application in row ", B1631, ".", CHAR(10))</f>
        <v xml:space="preserve">Based upon the number of buildings specified, information for  building 4 required for a final application in row 7.
</v>
      </c>
      <c r="G1631" s="9" t="str">
        <f t="shared" ca="1" si="509"/>
        <v xml:space="preserve">Enter a value for 'Number of Floors in the Tallest Building' in cell B60.
</v>
      </c>
      <c r="H1631" s="52">
        <f ca="1">SUMPRODUCT(--ISTEXT(INDIRECT(J1631)))</f>
        <v>0</v>
      </c>
      <c r="I1631" s="52">
        <f ca="1">SUMPRODUCT(--ISNUMBER(INDIRECT(J1631)))</f>
        <v>0</v>
      </c>
      <c r="J1631" s="52" t="str">
        <f>$F$1565&amp; ADDRESS(B1631,3,4) &amp; ":" &amp; ADDRESS(B1631,15,4)</f>
        <v>'Final Building Profile'!C7:O7</v>
      </c>
    </row>
    <row r="1632" spans="1:10" ht="15" customHeight="1">
      <c r="A1632" t="str">
        <f t="shared" ref="A1632:A1641" ca="1" si="530">IF(AND(OFFSET(A1632, -I1632 + 2, 4) &gt;  0, E1632=""), F1632, "")</f>
        <v/>
      </c>
      <c r="B1632">
        <f t="shared" ref="B1632:B1646" si="531">B1631</f>
        <v>7</v>
      </c>
      <c r="C1632">
        <f t="shared" ca="1" si="511"/>
        <v>4</v>
      </c>
      <c r="D1632" t="str">
        <f t="shared" ref="D1632:D1646" si="532">ADDRESS(B1632, I1632,4  )</f>
        <v>C7</v>
      </c>
      <c r="E1632" t="str">
        <f t="shared" ref="E1632:E1646" ca="1" si="533">IF(ISBLANK( INDIRECT($F$1565 &amp; D1632)),"", INDIRECT($F$1565 &amp; D1632))</f>
        <v/>
      </c>
      <c r="F1632" t="str">
        <f t="shared" ref="F1632:F1646" ca="1" si="534">CONCATENATE("Enter a '"&amp; H1632 &amp;"' for  building ", C1632, " in cell ", D1632, ".", CHAR(10))</f>
        <v xml:space="preserve">Enter a 'Building Street Address Only 
(DO NOT ENTER CITY, STATE, OR ZIP)' for  building 4 in cell C7.
</v>
      </c>
      <c r="G1632" s="9" t="str">
        <f t="shared" ref="G1632:G1695" ca="1" si="535">OFFSET(G1632, -1, 0) &amp; A1632</f>
        <v xml:space="preserve">Enter a value for 'Number of Floors in the Tallest Building' in cell B60.
</v>
      </c>
      <c r="H1632" s="52" t="str">
        <f t="shared" ref="H1632:H1646" ca="1" si="536">OFFSET(INDIRECT($F$1565 &amp; D1632), -B1632 + 3, 0)</f>
        <v>Building Street Address Only 
(DO NOT ENTER CITY, STATE, OR ZIP)</v>
      </c>
      <c r="I1632" s="52">
        <v>3</v>
      </c>
    </row>
    <row r="1633" spans="1:10" ht="15" customHeight="1">
      <c r="A1633" t="str">
        <f t="shared" ca="1" si="530"/>
        <v/>
      </c>
      <c r="B1633">
        <f t="shared" si="531"/>
        <v>7</v>
      </c>
      <c r="C1633">
        <f t="shared" ca="1" si="511"/>
        <v>4</v>
      </c>
      <c r="D1633" t="str">
        <f t="shared" si="532"/>
        <v>D7</v>
      </c>
      <c r="E1633" t="str">
        <f t="shared" ca="1" si="533"/>
        <v/>
      </c>
      <c r="F1633" t="str">
        <f t="shared" ca="1" si="534"/>
        <v xml:space="preserve">Enter a 'Total Units in Building*' for  building 4 in cell D7.
</v>
      </c>
      <c r="G1633" s="9" t="str">
        <f t="shared" ca="1" si="535"/>
        <v xml:space="preserve">Enter a value for 'Number of Floors in the Tallest Building' in cell B60.
</v>
      </c>
      <c r="H1633" s="52" t="str">
        <f t="shared" ca="1" si="536"/>
        <v>Total Units in Building*</v>
      </c>
      <c r="I1633" s="52">
        <v>4</v>
      </c>
    </row>
    <row r="1634" spans="1:10" ht="15" customHeight="1">
      <c r="A1634" t="str">
        <f t="shared" ca="1" si="530"/>
        <v/>
      </c>
      <c r="B1634">
        <f t="shared" si="531"/>
        <v>7</v>
      </c>
      <c r="C1634">
        <f t="shared" ca="1" si="511"/>
        <v>4</v>
      </c>
      <c r="D1634" t="str">
        <f t="shared" si="532"/>
        <v>E7</v>
      </c>
      <c r="E1634" t="str">
        <f t="shared" ca="1" si="533"/>
        <v/>
      </c>
      <c r="F1634" t="str">
        <f t="shared" ca="1" si="534"/>
        <v xml:space="preserve">Enter a 'Employee Units' for  building 4 in cell E7.
</v>
      </c>
      <c r="G1634" s="9" t="str">
        <f t="shared" ca="1" si="535"/>
        <v xml:space="preserve">Enter a value for 'Number of Floors in the Tallest Building' in cell B60.
</v>
      </c>
      <c r="H1634" s="52" t="str">
        <f t="shared" ca="1" si="536"/>
        <v>Employee Units</v>
      </c>
      <c r="I1634" s="52">
        <v>5</v>
      </c>
    </row>
    <row r="1635" spans="1:10" ht="15" customHeight="1">
      <c r="A1635" t="str">
        <f t="shared" ca="1" si="530"/>
        <v/>
      </c>
      <c r="B1635">
        <f t="shared" si="531"/>
        <v>7</v>
      </c>
      <c r="C1635">
        <f t="shared" ca="1" si="511"/>
        <v>4</v>
      </c>
      <c r="D1635" t="str">
        <f t="shared" si="532"/>
        <v>F7</v>
      </c>
      <c r="E1635" t="str">
        <f t="shared" ca="1" si="533"/>
        <v/>
      </c>
      <c r="F1635" t="str">
        <f t="shared" ca="1" si="534"/>
        <v xml:space="preserve">Enter a 'Low-Income Units' for  building 4 in cell F7.
</v>
      </c>
      <c r="G1635" s="9" t="str">
        <f t="shared" ca="1" si="535"/>
        <v xml:space="preserve">Enter a value for 'Number of Floors in the Tallest Building' in cell B60.
</v>
      </c>
      <c r="H1635" s="52" t="str">
        <f t="shared" ca="1" si="536"/>
        <v>Low-Income Units</v>
      </c>
      <c r="I1635" s="52">
        <v>6</v>
      </c>
    </row>
    <row r="1636" spans="1:10" ht="15" customHeight="1">
      <c r="A1636" t="str">
        <f t="shared" ca="1" si="530"/>
        <v/>
      </c>
      <c r="B1636">
        <f t="shared" si="531"/>
        <v>7</v>
      </c>
      <c r="C1636">
        <f t="shared" ca="1" si="511"/>
        <v>4</v>
      </c>
      <c r="D1636" t="str">
        <f t="shared" si="532"/>
        <v>G7</v>
      </c>
      <c r="E1636" t="str">
        <f t="shared" ca="1" si="533"/>
        <v/>
      </c>
      <c r="F1636" t="str">
        <f t="shared" ca="1" si="534"/>
        <v xml:space="preserve">Enter a 'Residential Square Footage**' for  building 4 in cell G7.
</v>
      </c>
      <c r="G1636" s="9" t="str">
        <f t="shared" ca="1" si="535"/>
        <v xml:space="preserve">Enter a value for 'Number of Floors in the Tallest Building' in cell B60.
</v>
      </c>
      <c r="H1636" s="52" t="str">
        <f t="shared" ca="1" si="536"/>
        <v>Residential Square Footage**</v>
      </c>
      <c r="I1636" s="52">
        <v>7</v>
      </c>
    </row>
    <row r="1637" spans="1:10" ht="15" customHeight="1">
      <c r="A1637" t="str">
        <f t="shared" ca="1" si="530"/>
        <v/>
      </c>
      <c r="B1637">
        <f t="shared" si="531"/>
        <v>7</v>
      </c>
      <c r="C1637">
        <f t="shared" ca="1" si="511"/>
        <v>4</v>
      </c>
      <c r="D1637" t="str">
        <f t="shared" si="532"/>
        <v>H7</v>
      </c>
      <c r="E1637" t="str">
        <f t="shared" ca="1" si="533"/>
        <v/>
      </c>
      <c r="F1637" t="str">
        <f t="shared" ca="1" si="534"/>
        <v xml:space="preserve">Enter a 'Square Footage of Employee Units' for  building 4 in cell H7.
</v>
      </c>
      <c r="G1637" s="9" t="str">
        <f t="shared" ca="1" si="535"/>
        <v xml:space="preserve">Enter a value for 'Number of Floors in the Tallest Building' in cell B60.
</v>
      </c>
      <c r="H1637" s="52" t="str">
        <f t="shared" ca="1" si="536"/>
        <v>Square Footage of Employee Units</v>
      </c>
      <c r="I1637" s="52">
        <v>8</v>
      </c>
    </row>
    <row r="1638" spans="1:10" ht="15" customHeight="1">
      <c r="A1638" t="str">
        <f t="shared" ca="1" si="530"/>
        <v/>
      </c>
      <c r="B1638">
        <f t="shared" si="531"/>
        <v>7</v>
      </c>
      <c r="C1638">
        <f t="shared" ca="1" si="511"/>
        <v>4</v>
      </c>
      <c r="D1638" t="str">
        <f t="shared" si="532"/>
        <v>I7</v>
      </c>
      <c r="E1638" t="str">
        <f t="shared" ca="1" si="533"/>
        <v/>
      </c>
      <c r="F1638" t="str">
        <f t="shared" ca="1" si="534"/>
        <v xml:space="preserve">Enter a 'Square Footage of Low-Income Units' for  building 4 in cell I7.
</v>
      </c>
      <c r="G1638" s="9" t="str">
        <f t="shared" ca="1" si="535"/>
        <v xml:space="preserve">Enter a value for 'Number of Floors in the Tallest Building' in cell B60.
</v>
      </c>
      <c r="H1638" s="52" t="str">
        <f t="shared" ca="1" si="536"/>
        <v>Square Footage of Low-Income Units</v>
      </c>
      <c r="I1638" s="52">
        <v>9</v>
      </c>
    </row>
    <row r="1639" spans="1:10" ht="15" customHeight="1">
      <c r="A1639" t="str">
        <f t="shared" ca="1" si="530"/>
        <v/>
      </c>
      <c r="B1639">
        <f t="shared" si="531"/>
        <v>7</v>
      </c>
      <c r="C1639">
        <f t="shared" ca="1" si="511"/>
        <v>4</v>
      </c>
      <c r="D1639" t="str">
        <f t="shared" si="532"/>
        <v>J7</v>
      </c>
      <c r="E1639" t="str">
        <f t="shared" ca="1" si="533"/>
        <v/>
      </c>
      <c r="F1639" t="str">
        <f t="shared" ca="1" si="534"/>
        <v xml:space="preserve">Enter a 'Placed-In-Service Date' for  building 4 in cell J7.
</v>
      </c>
      <c r="G1639" s="9" t="str">
        <f t="shared" ca="1" si="535"/>
        <v xml:space="preserve">Enter a value for 'Number of Floors in the Tallest Building' in cell B60.
</v>
      </c>
      <c r="H1639" s="52" t="str">
        <f t="shared" ca="1" si="536"/>
        <v>Placed-In-Service Date</v>
      </c>
      <c r="I1639" s="52">
        <v>10</v>
      </c>
    </row>
    <row r="1640" spans="1:10" ht="15" customHeight="1">
      <c r="A1640" t="str">
        <f t="shared" ca="1" si="530"/>
        <v/>
      </c>
      <c r="B1640">
        <f t="shared" si="531"/>
        <v>7</v>
      </c>
      <c r="C1640">
        <f t="shared" ca="1" si="511"/>
        <v>4</v>
      </c>
      <c r="D1640" t="str">
        <f t="shared" si="532"/>
        <v>K7</v>
      </c>
      <c r="E1640" t="str">
        <f t="shared" ca="1" si="533"/>
        <v/>
      </c>
      <c r="F1640" t="str">
        <f t="shared" ca="1" si="534"/>
        <v xml:space="preserve">Enter a 'New Construction/ Rehab APR' for  building 4 in cell K7.
</v>
      </c>
      <c r="G1640" s="9" t="str">
        <f t="shared" ca="1" si="535"/>
        <v xml:space="preserve">Enter a value for 'Number of Floors in the Tallest Building' in cell B60.
</v>
      </c>
      <c r="H1640" s="52" t="str">
        <f t="shared" ca="1" si="536"/>
        <v>New Construction/ Rehab APR</v>
      </c>
      <c r="I1640" s="52">
        <v>11</v>
      </c>
    </row>
    <row r="1641" spans="1:10" ht="15" customHeight="1">
      <c r="A1641" t="str">
        <f t="shared" ca="1" si="530"/>
        <v/>
      </c>
      <c r="B1641">
        <f t="shared" si="531"/>
        <v>7</v>
      </c>
      <c r="C1641">
        <f t="shared" ca="1" si="511"/>
        <v>4</v>
      </c>
      <c r="D1641" t="str">
        <f t="shared" si="532"/>
        <v>L7</v>
      </c>
      <c r="E1641" t="str">
        <f t="shared" ca="1" si="533"/>
        <v/>
      </c>
      <c r="F1641" t="str">
        <f t="shared" ca="1" si="534"/>
        <v xml:space="preserve">Enter a 'New Construction Eligible Basis' for  building 4 in cell L7.
</v>
      </c>
      <c r="G1641" s="9" t="str">
        <f t="shared" ca="1" si="535"/>
        <v xml:space="preserve">Enter a value for 'Number of Floors in the Tallest Building' in cell B60.
</v>
      </c>
      <c r="H1641" s="52" t="str">
        <f t="shared" ca="1" si="536"/>
        <v>New Construction Eligible Basis</v>
      </c>
      <c r="I1641" s="52">
        <v>12</v>
      </c>
    </row>
    <row r="1642" spans="1:10" ht="15" customHeight="1">
      <c r="A1642" t="str">
        <f ca="1">IF(AND(OFFSET(A1642, -I1642 + 2, 4) &gt;  0, E1642="", Calculations!$B$7), F1642, "")</f>
        <v/>
      </c>
      <c r="B1642">
        <f t="shared" si="531"/>
        <v>7</v>
      </c>
      <c r="C1642">
        <f t="shared" ca="1" si="511"/>
        <v>4</v>
      </c>
      <c r="D1642" t="str">
        <f t="shared" si="532"/>
        <v>M7</v>
      </c>
      <c r="E1642" t="str">
        <f t="shared" ca="1" si="533"/>
        <v/>
      </c>
      <c r="F1642" t="str">
        <f t="shared" ca="1" si="534"/>
        <v xml:space="preserve">Enter a 'Eligible Basis for Rehab' for  building 4 in cell M7.
</v>
      </c>
      <c r="G1642" s="9" t="str">
        <f t="shared" ca="1" si="535"/>
        <v xml:space="preserve">Enter a value for 'Number of Floors in the Tallest Building' in cell B60.
</v>
      </c>
      <c r="H1642" s="52" t="str">
        <f t="shared" ca="1" si="536"/>
        <v>Eligible Basis for Rehab</v>
      </c>
      <c r="I1642" s="52">
        <v>13</v>
      </c>
    </row>
    <row r="1643" spans="1:10" ht="15" customHeight="1">
      <c r="A1643" t="str">
        <f ca="1">IF(AND(OFFSET(A1643, -I1643 + 2, 4) &gt;  0, E1643="", Calculations!$B$7), F1643, "")</f>
        <v/>
      </c>
      <c r="B1643">
        <f t="shared" si="531"/>
        <v>7</v>
      </c>
      <c r="C1643">
        <f t="shared" ca="1" si="511"/>
        <v>4</v>
      </c>
      <c r="D1643" t="str">
        <f t="shared" si="532"/>
        <v>N7</v>
      </c>
      <c r="E1643" t="str">
        <f t="shared" ca="1" si="533"/>
        <v/>
      </c>
      <c r="F1643" t="str">
        <f t="shared" ca="1" si="534"/>
        <v xml:space="preserve">Enter a 'Cost of Acquiring the Building***' for  building 4 in cell N7.
</v>
      </c>
      <c r="G1643" s="9" t="str">
        <f t="shared" ca="1" si="535"/>
        <v xml:space="preserve">Enter a value for 'Number of Floors in the Tallest Building' in cell B60.
</v>
      </c>
      <c r="H1643" s="52" t="str">
        <f t="shared" ca="1" si="536"/>
        <v>Cost of Acquiring the Building***</v>
      </c>
      <c r="I1643" s="52">
        <v>14</v>
      </c>
    </row>
    <row r="1644" spans="1:10" ht="15" customHeight="1">
      <c r="A1644" t="str">
        <f ca="1">IF(AND(OFFSET(A1644, -I1644 + 2, 4) &gt;  0, E1644="", Calculations!$B$7), F1644, "")</f>
        <v/>
      </c>
      <c r="B1644">
        <f t="shared" si="531"/>
        <v>7</v>
      </c>
      <c r="C1644">
        <f t="shared" ca="1" si="511"/>
        <v>4</v>
      </c>
      <c r="D1644" t="str">
        <f t="shared" si="532"/>
        <v>O7</v>
      </c>
      <c r="E1644" t="str">
        <f t="shared" ca="1" si="533"/>
        <v/>
      </c>
      <c r="F1644" t="str">
        <f t="shared" ca="1" si="534"/>
        <v xml:space="preserve">Enter a 'Higher of Land Purchase Price or Land Appraised Value****' for  building 4 in cell O7.
</v>
      </c>
      <c r="G1644" s="9" t="str">
        <f t="shared" ca="1" si="535"/>
        <v xml:space="preserve">Enter a value for 'Number of Floors in the Tallest Building' in cell B60.
</v>
      </c>
      <c r="H1644" s="52" t="str">
        <f t="shared" ca="1" si="536"/>
        <v>Higher of Land Purchase Price or Land Appraised Value****</v>
      </c>
      <c r="I1644" s="52">
        <v>15</v>
      </c>
    </row>
    <row r="1645" spans="1:10" ht="15" customHeight="1">
      <c r="A1645" t="str">
        <f ca="1">IF(AND(OFFSET(A1645, -I1645 + 2, 4) &gt;  0, E1645="", Calculations!$B$7), F1645, "")</f>
        <v/>
      </c>
      <c r="B1645">
        <f t="shared" si="531"/>
        <v>7</v>
      </c>
      <c r="C1645">
        <f t="shared" ca="1" si="511"/>
        <v>4</v>
      </c>
      <c r="D1645" t="str">
        <f t="shared" si="532"/>
        <v>P7</v>
      </c>
      <c r="E1645" t="str">
        <f t="shared" ca="1" si="533"/>
        <v/>
      </c>
      <c r="F1645" t="str">
        <f t="shared" ca="1" si="534"/>
        <v xml:space="preserve">Enter a 'Acquisition Placed-in-Service Date' for  building 4 in cell P7.
</v>
      </c>
      <c r="G1645" s="9" t="str">
        <f t="shared" ca="1" si="535"/>
        <v xml:space="preserve">Enter a value for 'Number of Floors in the Tallest Building' in cell B60.
</v>
      </c>
      <c r="H1645" s="52" t="str">
        <f t="shared" ca="1" si="536"/>
        <v>Acquisition Placed-in-Service Date</v>
      </c>
      <c r="I1645" s="52">
        <v>16</v>
      </c>
    </row>
    <row r="1646" spans="1:10" ht="15" customHeight="1">
      <c r="A1646" t="str">
        <f ca="1">IF(AND(OFFSET(A1646, -I1646 + 2, 4) &gt;  0, E1646="", Calculations!$B$7), F1646, "")</f>
        <v/>
      </c>
      <c r="B1646">
        <f t="shared" si="531"/>
        <v>7</v>
      </c>
      <c r="C1646">
        <f t="shared" ca="1" si="511"/>
        <v>4</v>
      </c>
      <c r="D1646" t="str">
        <f t="shared" si="532"/>
        <v>Q7</v>
      </c>
      <c r="E1646" t="str">
        <f t="shared" ca="1" si="533"/>
        <v/>
      </c>
      <c r="F1646" t="str">
        <f t="shared" ca="1" si="534"/>
        <v xml:space="preserve">Enter a 'Acquisition APR' for  building 4 in cell Q7.
</v>
      </c>
      <c r="G1646" s="9" t="str">
        <f t="shared" ca="1" si="535"/>
        <v xml:space="preserve">Enter a value for 'Number of Floors in the Tallest Building' in cell B60.
</v>
      </c>
      <c r="H1646" s="52" t="str">
        <f t="shared" ca="1" si="536"/>
        <v>Acquisition APR</v>
      </c>
      <c r="I1646" s="52">
        <v>17</v>
      </c>
    </row>
    <row r="1647" spans="1:10" ht="15" customHeight="1">
      <c r="A1647" t="str">
        <f ca="1">IF(AND(Calculations!$B$4,Calculations!$B$29&gt;=C1647, E1647 &lt;&gt; 13),F1647,"")</f>
        <v/>
      </c>
      <c r="B1647">
        <f>ROW('Final Building Profile'!C8)</f>
        <v>8</v>
      </c>
      <c r="C1647">
        <f t="shared" ref="C1647:C1710" ca="1" si="537">INDIRECT($F$1565 &amp; ADDRESS(B1647, 1,4  ))</f>
        <v>5</v>
      </c>
      <c r="D1647" t="str">
        <f>ADDRESS(B1647, 3,4  )</f>
        <v>C8</v>
      </c>
      <c r="E1647" s="52">
        <f ca="1">H1647+I1647</f>
        <v>0</v>
      </c>
      <c r="F1647" t="str">
        <f ca="1">CONCATENATE("Based upon the number of buildings specified, information for  building ", C1647, " required for a final application in row ", B1647, ".", CHAR(10))</f>
        <v xml:space="preserve">Based upon the number of buildings specified, information for  building 5 required for a final application in row 8.
</v>
      </c>
      <c r="G1647" s="9" t="str">
        <f t="shared" ca="1" si="535"/>
        <v xml:space="preserve">Enter a value for 'Number of Floors in the Tallest Building' in cell B60.
</v>
      </c>
      <c r="H1647" s="52">
        <f ca="1">SUMPRODUCT(--ISTEXT(INDIRECT(J1647)))</f>
        <v>0</v>
      </c>
      <c r="I1647" s="52">
        <f ca="1">SUMPRODUCT(--ISNUMBER(INDIRECT(J1647)))</f>
        <v>0</v>
      </c>
      <c r="J1647" s="52" t="str">
        <f>$F$1565&amp; ADDRESS(B1647,3,4) &amp; ":" &amp; ADDRESS(B1647,15,4)</f>
        <v>'Final Building Profile'!C8:O8</v>
      </c>
    </row>
    <row r="1648" spans="1:10" ht="15" customHeight="1">
      <c r="A1648" t="str">
        <f t="shared" ref="A1648:A1657" ca="1" si="538">IF(AND(OFFSET(A1648, -I1648 + 2, 4) &gt;  0, E1648=""), F1648, "")</f>
        <v/>
      </c>
      <c r="B1648">
        <f t="shared" ref="B1648:B1662" si="539">B1647</f>
        <v>8</v>
      </c>
      <c r="C1648">
        <f t="shared" ca="1" si="537"/>
        <v>5</v>
      </c>
      <c r="D1648" t="str">
        <f t="shared" ref="D1648:D1662" si="540">ADDRESS(B1648, I1648,4  )</f>
        <v>C8</v>
      </c>
      <c r="E1648" t="str">
        <f t="shared" ref="E1648:E1662" ca="1" si="541">IF(ISBLANK( INDIRECT($F$1565 &amp; D1648)),"", INDIRECT($F$1565 &amp; D1648))</f>
        <v/>
      </c>
      <c r="F1648" t="str">
        <f t="shared" ref="F1648:F1662" ca="1" si="542">CONCATENATE("Enter a '"&amp; H1648 &amp;"' for  building ", C1648, " in cell ", D1648, ".", CHAR(10))</f>
        <v xml:space="preserve">Enter a 'Building Street Address Only 
(DO NOT ENTER CITY, STATE, OR ZIP)' for  building 5 in cell C8.
</v>
      </c>
      <c r="G1648" s="9" t="str">
        <f t="shared" ca="1" si="535"/>
        <v xml:space="preserve">Enter a value for 'Number of Floors in the Tallest Building' in cell B60.
</v>
      </c>
      <c r="H1648" s="52" t="str">
        <f t="shared" ref="H1648:H1662" ca="1" si="543">OFFSET(INDIRECT($F$1565 &amp; D1648), -B1648 + 3, 0)</f>
        <v>Building Street Address Only 
(DO NOT ENTER CITY, STATE, OR ZIP)</v>
      </c>
      <c r="I1648" s="52">
        <v>3</v>
      </c>
    </row>
    <row r="1649" spans="1:10" ht="15" customHeight="1">
      <c r="A1649" t="str">
        <f t="shared" ca="1" si="538"/>
        <v/>
      </c>
      <c r="B1649">
        <f t="shared" si="539"/>
        <v>8</v>
      </c>
      <c r="C1649">
        <f t="shared" ca="1" si="537"/>
        <v>5</v>
      </c>
      <c r="D1649" t="str">
        <f t="shared" si="540"/>
        <v>D8</v>
      </c>
      <c r="E1649" t="str">
        <f t="shared" ca="1" si="541"/>
        <v/>
      </c>
      <c r="F1649" t="str">
        <f t="shared" ca="1" si="542"/>
        <v xml:space="preserve">Enter a 'Total Units in Building*' for  building 5 in cell D8.
</v>
      </c>
      <c r="G1649" s="9" t="str">
        <f t="shared" ca="1" si="535"/>
        <v xml:space="preserve">Enter a value for 'Number of Floors in the Tallest Building' in cell B60.
</v>
      </c>
      <c r="H1649" s="52" t="str">
        <f t="shared" ca="1" si="543"/>
        <v>Total Units in Building*</v>
      </c>
      <c r="I1649" s="52">
        <v>4</v>
      </c>
    </row>
    <row r="1650" spans="1:10" ht="15" customHeight="1">
      <c r="A1650" t="str">
        <f t="shared" ca="1" si="538"/>
        <v/>
      </c>
      <c r="B1650">
        <f t="shared" si="539"/>
        <v>8</v>
      </c>
      <c r="C1650">
        <f t="shared" ca="1" si="537"/>
        <v>5</v>
      </c>
      <c r="D1650" t="str">
        <f t="shared" si="540"/>
        <v>E8</v>
      </c>
      <c r="E1650" t="str">
        <f t="shared" ca="1" si="541"/>
        <v/>
      </c>
      <c r="F1650" t="str">
        <f t="shared" ca="1" si="542"/>
        <v xml:space="preserve">Enter a 'Employee Units' for  building 5 in cell E8.
</v>
      </c>
      <c r="G1650" s="9" t="str">
        <f t="shared" ca="1" si="535"/>
        <v xml:space="preserve">Enter a value for 'Number of Floors in the Tallest Building' in cell B60.
</v>
      </c>
      <c r="H1650" s="52" t="str">
        <f t="shared" ca="1" si="543"/>
        <v>Employee Units</v>
      </c>
      <c r="I1650" s="52">
        <v>5</v>
      </c>
    </row>
    <row r="1651" spans="1:10" ht="15" customHeight="1">
      <c r="A1651" t="str">
        <f t="shared" ca="1" si="538"/>
        <v/>
      </c>
      <c r="B1651">
        <f t="shared" si="539"/>
        <v>8</v>
      </c>
      <c r="C1651">
        <f t="shared" ca="1" si="537"/>
        <v>5</v>
      </c>
      <c r="D1651" t="str">
        <f t="shared" si="540"/>
        <v>F8</v>
      </c>
      <c r="E1651" t="str">
        <f t="shared" ca="1" si="541"/>
        <v/>
      </c>
      <c r="F1651" t="str">
        <f t="shared" ca="1" si="542"/>
        <v xml:space="preserve">Enter a 'Low-Income Units' for  building 5 in cell F8.
</v>
      </c>
      <c r="G1651" s="9" t="str">
        <f t="shared" ca="1" si="535"/>
        <v xml:space="preserve">Enter a value for 'Number of Floors in the Tallest Building' in cell B60.
</v>
      </c>
      <c r="H1651" s="52" t="str">
        <f t="shared" ca="1" si="543"/>
        <v>Low-Income Units</v>
      </c>
      <c r="I1651" s="52">
        <v>6</v>
      </c>
    </row>
    <row r="1652" spans="1:10" ht="15" customHeight="1">
      <c r="A1652" t="str">
        <f t="shared" ca="1" si="538"/>
        <v/>
      </c>
      <c r="B1652">
        <f t="shared" si="539"/>
        <v>8</v>
      </c>
      <c r="C1652">
        <f t="shared" ca="1" si="537"/>
        <v>5</v>
      </c>
      <c r="D1652" t="str">
        <f t="shared" si="540"/>
        <v>G8</v>
      </c>
      <c r="E1652" t="str">
        <f t="shared" ca="1" si="541"/>
        <v/>
      </c>
      <c r="F1652" t="str">
        <f t="shared" ca="1" si="542"/>
        <v xml:space="preserve">Enter a 'Residential Square Footage**' for  building 5 in cell G8.
</v>
      </c>
      <c r="G1652" s="9" t="str">
        <f t="shared" ca="1" si="535"/>
        <v xml:space="preserve">Enter a value for 'Number of Floors in the Tallest Building' in cell B60.
</v>
      </c>
      <c r="H1652" s="52" t="str">
        <f t="shared" ca="1" si="543"/>
        <v>Residential Square Footage**</v>
      </c>
      <c r="I1652" s="52">
        <v>7</v>
      </c>
    </row>
    <row r="1653" spans="1:10" ht="15" customHeight="1">
      <c r="A1653" t="str">
        <f t="shared" ca="1" si="538"/>
        <v/>
      </c>
      <c r="B1653">
        <f t="shared" si="539"/>
        <v>8</v>
      </c>
      <c r="C1653">
        <f t="shared" ca="1" si="537"/>
        <v>5</v>
      </c>
      <c r="D1653" t="str">
        <f t="shared" si="540"/>
        <v>H8</v>
      </c>
      <c r="E1653" t="str">
        <f t="shared" ca="1" si="541"/>
        <v/>
      </c>
      <c r="F1653" t="str">
        <f t="shared" ca="1" si="542"/>
        <v xml:space="preserve">Enter a 'Square Footage of Employee Units' for  building 5 in cell H8.
</v>
      </c>
      <c r="G1653" s="9" t="str">
        <f t="shared" ca="1" si="535"/>
        <v xml:space="preserve">Enter a value for 'Number of Floors in the Tallest Building' in cell B60.
</v>
      </c>
      <c r="H1653" s="52" t="str">
        <f t="shared" ca="1" si="543"/>
        <v>Square Footage of Employee Units</v>
      </c>
      <c r="I1653" s="52">
        <v>8</v>
      </c>
    </row>
    <row r="1654" spans="1:10" ht="15" customHeight="1">
      <c r="A1654" t="str">
        <f t="shared" ca="1" si="538"/>
        <v/>
      </c>
      <c r="B1654">
        <f t="shared" si="539"/>
        <v>8</v>
      </c>
      <c r="C1654">
        <f t="shared" ca="1" si="537"/>
        <v>5</v>
      </c>
      <c r="D1654" t="str">
        <f t="shared" si="540"/>
        <v>I8</v>
      </c>
      <c r="E1654" t="str">
        <f t="shared" ca="1" si="541"/>
        <v/>
      </c>
      <c r="F1654" t="str">
        <f t="shared" ca="1" si="542"/>
        <v xml:space="preserve">Enter a 'Square Footage of Low-Income Units' for  building 5 in cell I8.
</v>
      </c>
      <c r="G1654" s="9" t="str">
        <f t="shared" ca="1" si="535"/>
        <v xml:space="preserve">Enter a value for 'Number of Floors in the Tallest Building' in cell B60.
</v>
      </c>
      <c r="H1654" s="52" t="str">
        <f t="shared" ca="1" si="543"/>
        <v>Square Footage of Low-Income Units</v>
      </c>
      <c r="I1654" s="52">
        <v>9</v>
      </c>
    </row>
    <row r="1655" spans="1:10" ht="15" customHeight="1">
      <c r="A1655" t="str">
        <f t="shared" ca="1" si="538"/>
        <v/>
      </c>
      <c r="B1655">
        <f t="shared" si="539"/>
        <v>8</v>
      </c>
      <c r="C1655">
        <f t="shared" ca="1" si="537"/>
        <v>5</v>
      </c>
      <c r="D1655" t="str">
        <f t="shared" si="540"/>
        <v>J8</v>
      </c>
      <c r="E1655" t="str">
        <f t="shared" ca="1" si="541"/>
        <v/>
      </c>
      <c r="F1655" t="str">
        <f t="shared" ca="1" si="542"/>
        <v xml:space="preserve">Enter a 'Placed-In-Service Date' for  building 5 in cell J8.
</v>
      </c>
      <c r="G1655" s="9" t="str">
        <f t="shared" ca="1" si="535"/>
        <v xml:space="preserve">Enter a value for 'Number of Floors in the Tallest Building' in cell B60.
</v>
      </c>
      <c r="H1655" s="52" t="str">
        <f t="shared" ca="1" si="543"/>
        <v>Placed-In-Service Date</v>
      </c>
      <c r="I1655" s="52">
        <v>10</v>
      </c>
    </row>
    <row r="1656" spans="1:10" ht="15" customHeight="1">
      <c r="A1656" t="str">
        <f t="shared" ca="1" si="538"/>
        <v/>
      </c>
      <c r="B1656">
        <f t="shared" si="539"/>
        <v>8</v>
      </c>
      <c r="C1656">
        <f t="shared" ca="1" si="537"/>
        <v>5</v>
      </c>
      <c r="D1656" t="str">
        <f t="shared" si="540"/>
        <v>K8</v>
      </c>
      <c r="E1656" t="str">
        <f t="shared" ca="1" si="541"/>
        <v/>
      </c>
      <c r="F1656" t="str">
        <f t="shared" ca="1" si="542"/>
        <v xml:space="preserve">Enter a 'New Construction/ Rehab APR' for  building 5 in cell K8.
</v>
      </c>
      <c r="G1656" s="9" t="str">
        <f t="shared" ca="1" si="535"/>
        <v xml:space="preserve">Enter a value for 'Number of Floors in the Tallest Building' in cell B60.
</v>
      </c>
      <c r="H1656" s="52" t="str">
        <f t="shared" ca="1" si="543"/>
        <v>New Construction/ Rehab APR</v>
      </c>
      <c r="I1656" s="52">
        <v>11</v>
      </c>
    </row>
    <row r="1657" spans="1:10" ht="15" customHeight="1">
      <c r="A1657" t="str">
        <f t="shared" ca="1" si="538"/>
        <v/>
      </c>
      <c r="B1657">
        <f t="shared" si="539"/>
        <v>8</v>
      </c>
      <c r="C1657">
        <f t="shared" ca="1" si="537"/>
        <v>5</v>
      </c>
      <c r="D1657" t="str">
        <f t="shared" si="540"/>
        <v>L8</v>
      </c>
      <c r="E1657" t="str">
        <f t="shared" ca="1" si="541"/>
        <v/>
      </c>
      <c r="F1657" t="str">
        <f t="shared" ca="1" si="542"/>
        <v xml:space="preserve">Enter a 'New Construction Eligible Basis' for  building 5 in cell L8.
</v>
      </c>
      <c r="G1657" s="9" t="str">
        <f t="shared" ca="1" si="535"/>
        <v xml:space="preserve">Enter a value for 'Number of Floors in the Tallest Building' in cell B60.
</v>
      </c>
      <c r="H1657" s="52" t="str">
        <f t="shared" ca="1" si="543"/>
        <v>New Construction Eligible Basis</v>
      </c>
      <c r="I1657" s="52">
        <v>12</v>
      </c>
    </row>
    <row r="1658" spans="1:10" ht="15" customHeight="1">
      <c r="A1658" t="str">
        <f ca="1">IF(AND(OFFSET(A1658, -I1658 + 2, 4) &gt;  0, E1658="", Calculations!$B$7), F1658, "")</f>
        <v/>
      </c>
      <c r="B1658">
        <f t="shared" si="539"/>
        <v>8</v>
      </c>
      <c r="C1658">
        <f t="shared" ca="1" si="537"/>
        <v>5</v>
      </c>
      <c r="D1658" t="str">
        <f t="shared" si="540"/>
        <v>M8</v>
      </c>
      <c r="E1658" t="str">
        <f t="shared" ca="1" si="541"/>
        <v/>
      </c>
      <c r="F1658" t="str">
        <f t="shared" ca="1" si="542"/>
        <v xml:space="preserve">Enter a 'Eligible Basis for Rehab' for  building 5 in cell M8.
</v>
      </c>
      <c r="G1658" s="9" t="str">
        <f t="shared" ca="1" si="535"/>
        <v xml:space="preserve">Enter a value for 'Number of Floors in the Tallest Building' in cell B60.
</v>
      </c>
      <c r="H1658" s="52" t="str">
        <f t="shared" ca="1" si="543"/>
        <v>Eligible Basis for Rehab</v>
      </c>
      <c r="I1658" s="52">
        <v>13</v>
      </c>
    </row>
    <row r="1659" spans="1:10" ht="15" customHeight="1">
      <c r="A1659" t="str">
        <f ca="1">IF(AND(OFFSET(A1659, -I1659 + 2, 4) &gt;  0, E1659="", Calculations!$B$7), F1659, "")</f>
        <v/>
      </c>
      <c r="B1659">
        <f t="shared" si="539"/>
        <v>8</v>
      </c>
      <c r="C1659">
        <f t="shared" ca="1" si="537"/>
        <v>5</v>
      </c>
      <c r="D1659" t="str">
        <f t="shared" si="540"/>
        <v>N8</v>
      </c>
      <c r="E1659" t="str">
        <f t="shared" ca="1" si="541"/>
        <v/>
      </c>
      <c r="F1659" t="str">
        <f t="shared" ca="1" si="542"/>
        <v xml:space="preserve">Enter a 'Cost of Acquiring the Building***' for  building 5 in cell N8.
</v>
      </c>
      <c r="G1659" s="9" t="str">
        <f t="shared" ca="1" si="535"/>
        <v xml:space="preserve">Enter a value for 'Number of Floors in the Tallest Building' in cell B60.
</v>
      </c>
      <c r="H1659" s="52" t="str">
        <f t="shared" ca="1" si="543"/>
        <v>Cost of Acquiring the Building***</v>
      </c>
      <c r="I1659" s="52">
        <v>14</v>
      </c>
    </row>
    <row r="1660" spans="1:10" ht="15" customHeight="1">
      <c r="A1660" t="str">
        <f ca="1">IF(AND(OFFSET(A1660, -I1660 + 2, 4) &gt;  0, E1660="", Calculations!$B$7), F1660, "")</f>
        <v/>
      </c>
      <c r="B1660">
        <f t="shared" si="539"/>
        <v>8</v>
      </c>
      <c r="C1660">
        <f t="shared" ca="1" si="537"/>
        <v>5</v>
      </c>
      <c r="D1660" t="str">
        <f t="shared" si="540"/>
        <v>O8</v>
      </c>
      <c r="E1660" t="str">
        <f t="shared" ca="1" si="541"/>
        <v/>
      </c>
      <c r="F1660" t="str">
        <f t="shared" ca="1" si="542"/>
        <v xml:space="preserve">Enter a 'Higher of Land Purchase Price or Land Appraised Value****' for  building 5 in cell O8.
</v>
      </c>
      <c r="G1660" s="9" t="str">
        <f t="shared" ca="1" si="535"/>
        <v xml:space="preserve">Enter a value for 'Number of Floors in the Tallest Building' in cell B60.
</v>
      </c>
      <c r="H1660" s="52" t="str">
        <f t="shared" ca="1" si="543"/>
        <v>Higher of Land Purchase Price or Land Appraised Value****</v>
      </c>
      <c r="I1660" s="52">
        <v>15</v>
      </c>
    </row>
    <row r="1661" spans="1:10" ht="15" customHeight="1">
      <c r="A1661" t="str">
        <f ca="1">IF(AND(OFFSET(A1661, -I1661 + 2, 4) &gt;  0, E1661="", Calculations!$B$7), F1661, "")</f>
        <v/>
      </c>
      <c r="B1661">
        <f t="shared" si="539"/>
        <v>8</v>
      </c>
      <c r="C1661">
        <f t="shared" ca="1" si="537"/>
        <v>5</v>
      </c>
      <c r="D1661" t="str">
        <f t="shared" si="540"/>
        <v>P8</v>
      </c>
      <c r="E1661" t="str">
        <f t="shared" ca="1" si="541"/>
        <v/>
      </c>
      <c r="F1661" t="str">
        <f t="shared" ca="1" si="542"/>
        <v xml:space="preserve">Enter a 'Acquisition Placed-in-Service Date' for  building 5 in cell P8.
</v>
      </c>
      <c r="G1661" s="9" t="str">
        <f t="shared" ca="1" si="535"/>
        <v xml:space="preserve">Enter a value for 'Number of Floors in the Tallest Building' in cell B60.
</v>
      </c>
      <c r="H1661" s="52" t="str">
        <f t="shared" ca="1" si="543"/>
        <v>Acquisition Placed-in-Service Date</v>
      </c>
      <c r="I1661" s="52">
        <v>16</v>
      </c>
    </row>
    <row r="1662" spans="1:10" ht="15" customHeight="1">
      <c r="A1662" t="str">
        <f ca="1">IF(AND(OFFSET(A1662, -I1662 + 2, 4) &gt;  0, E1662="", Calculations!$B$7), F1662, "")</f>
        <v/>
      </c>
      <c r="B1662">
        <f t="shared" si="539"/>
        <v>8</v>
      </c>
      <c r="C1662">
        <f t="shared" ca="1" si="537"/>
        <v>5</v>
      </c>
      <c r="D1662" t="str">
        <f t="shared" si="540"/>
        <v>Q8</v>
      </c>
      <c r="E1662" t="str">
        <f t="shared" ca="1" si="541"/>
        <v/>
      </c>
      <c r="F1662" t="str">
        <f t="shared" ca="1" si="542"/>
        <v xml:space="preserve">Enter a 'Acquisition APR' for  building 5 in cell Q8.
</v>
      </c>
      <c r="G1662" s="9" t="str">
        <f t="shared" ca="1" si="535"/>
        <v xml:space="preserve">Enter a value for 'Number of Floors in the Tallest Building' in cell B60.
</v>
      </c>
      <c r="H1662" s="52" t="str">
        <f t="shared" ca="1" si="543"/>
        <v>Acquisition APR</v>
      </c>
      <c r="I1662" s="52">
        <v>17</v>
      </c>
    </row>
    <row r="1663" spans="1:10" ht="15" customHeight="1">
      <c r="A1663" t="str">
        <f ca="1">IF(AND(Calculations!$B$4,Calculations!$B$29&gt;=C1663, E1663 &lt;&gt; 13),F1663,"")</f>
        <v/>
      </c>
      <c r="B1663">
        <f>ROW('Final Building Profile'!C9)</f>
        <v>9</v>
      </c>
      <c r="C1663">
        <f t="shared" ca="1" si="537"/>
        <v>6</v>
      </c>
      <c r="D1663" t="str">
        <f>ADDRESS(B1663, 3,4  )</f>
        <v>C9</v>
      </c>
      <c r="E1663" s="52">
        <f ca="1">H1663+I1663</f>
        <v>0</v>
      </c>
      <c r="F1663" t="str">
        <f ca="1">CONCATENATE("Based upon the number of buildings specified, information for  building ", C1663, " required for a final application in row ", B1663, ".", CHAR(10))</f>
        <v xml:space="preserve">Based upon the number of buildings specified, information for  building 6 required for a final application in row 9.
</v>
      </c>
      <c r="G1663" s="9" t="str">
        <f t="shared" ca="1" si="535"/>
        <v xml:space="preserve">Enter a value for 'Number of Floors in the Tallest Building' in cell B60.
</v>
      </c>
      <c r="H1663" s="52">
        <f ca="1">SUMPRODUCT(--ISTEXT(INDIRECT(J1663)))</f>
        <v>0</v>
      </c>
      <c r="I1663" s="52">
        <f ca="1">SUMPRODUCT(--ISNUMBER(INDIRECT(J1663)))</f>
        <v>0</v>
      </c>
      <c r="J1663" s="52" t="str">
        <f>$F$1565&amp; ADDRESS(B1663,3,4) &amp; ":" &amp; ADDRESS(B1663,15,4)</f>
        <v>'Final Building Profile'!C9:O9</v>
      </c>
    </row>
    <row r="1664" spans="1:10" ht="15" customHeight="1">
      <c r="A1664" t="str">
        <f t="shared" ref="A1664:A1673" ca="1" si="544">IF(AND(OFFSET(A1664, -I1664 + 2, 4) &gt;  0, E1664=""), F1664, "")</f>
        <v/>
      </c>
      <c r="B1664">
        <f t="shared" ref="B1664:B1678" si="545">B1663</f>
        <v>9</v>
      </c>
      <c r="C1664">
        <f t="shared" ca="1" si="537"/>
        <v>6</v>
      </c>
      <c r="D1664" t="str">
        <f t="shared" ref="D1664:D1678" si="546">ADDRESS(B1664, I1664,4  )</f>
        <v>C9</v>
      </c>
      <c r="E1664" t="str">
        <f t="shared" ref="E1664:E1678" ca="1" si="547">IF(ISBLANK( INDIRECT($F$1565 &amp; D1664)),"", INDIRECT($F$1565 &amp; D1664))</f>
        <v/>
      </c>
      <c r="F1664" t="str">
        <f t="shared" ref="F1664:F1678" ca="1" si="548">CONCATENATE("Enter a '"&amp; H1664 &amp;"' for  building ", C1664, " in cell ", D1664, ".", CHAR(10))</f>
        <v xml:space="preserve">Enter a 'Building Street Address Only 
(DO NOT ENTER CITY, STATE, OR ZIP)' for  building 6 in cell C9.
</v>
      </c>
      <c r="G1664" s="9" t="str">
        <f t="shared" ca="1" si="535"/>
        <v xml:space="preserve">Enter a value for 'Number of Floors in the Tallest Building' in cell B60.
</v>
      </c>
      <c r="H1664" s="52" t="str">
        <f t="shared" ref="H1664:H1678" ca="1" si="549">OFFSET(INDIRECT($F$1565 &amp; D1664), -B1664 + 3, 0)</f>
        <v>Building Street Address Only 
(DO NOT ENTER CITY, STATE, OR ZIP)</v>
      </c>
      <c r="I1664" s="52">
        <v>3</v>
      </c>
    </row>
    <row r="1665" spans="1:10" ht="15" customHeight="1">
      <c r="A1665" t="str">
        <f t="shared" ca="1" si="544"/>
        <v/>
      </c>
      <c r="B1665">
        <f t="shared" si="545"/>
        <v>9</v>
      </c>
      <c r="C1665">
        <f t="shared" ca="1" si="537"/>
        <v>6</v>
      </c>
      <c r="D1665" t="str">
        <f t="shared" si="546"/>
        <v>D9</v>
      </c>
      <c r="E1665" t="str">
        <f t="shared" ca="1" si="547"/>
        <v/>
      </c>
      <c r="F1665" t="str">
        <f t="shared" ca="1" si="548"/>
        <v xml:space="preserve">Enter a 'Total Units in Building*' for  building 6 in cell D9.
</v>
      </c>
      <c r="G1665" s="9" t="str">
        <f t="shared" ca="1" si="535"/>
        <v xml:space="preserve">Enter a value for 'Number of Floors in the Tallest Building' in cell B60.
</v>
      </c>
      <c r="H1665" s="52" t="str">
        <f t="shared" ca="1" si="549"/>
        <v>Total Units in Building*</v>
      </c>
      <c r="I1665" s="52">
        <v>4</v>
      </c>
    </row>
    <row r="1666" spans="1:10" ht="15" customHeight="1">
      <c r="A1666" t="str">
        <f t="shared" ca="1" si="544"/>
        <v/>
      </c>
      <c r="B1666">
        <f t="shared" si="545"/>
        <v>9</v>
      </c>
      <c r="C1666">
        <f t="shared" ca="1" si="537"/>
        <v>6</v>
      </c>
      <c r="D1666" t="str">
        <f t="shared" si="546"/>
        <v>E9</v>
      </c>
      <c r="E1666" t="str">
        <f t="shared" ca="1" si="547"/>
        <v/>
      </c>
      <c r="F1666" t="str">
        <f t="shared" ca="1" si="548"/>
        <v xml:space="preserve">Enter a 'Employee Units' for  building 6 in cell E9.
</v>
      </c>
      <c r="G1666" s="9" t="str">
        <f t="shared" ca="1" si="535"/>
        <v xml:space="preserve">Enter a value for 'Number of Floors in the Tallest Building' in cell B60.
</v>
      </c>
      <c r="H1666" s="52" t="str">
        <f t="shared" ca="1" si="549"/>
        <v>Employee Units</v>
      </c>
      <c r="I1666" s="52">
        <v>5</v>
      </c>
    </row>
    <row r="1667" spans="1:10" ht="15" customHeight="1">
      <c r="A1667" t="str">
        <f t="shared" ca="1" si="544"/>
        <v/>
      </c>
      <c r="B1667">
        <f t="shared" si="545"/>
        <v>9</v>
      </c>
      <c r="C1667">
        <f t="shared" ca="1" si="537"/>
        <v>6</v>
      </c>
      <c r="D1667" t="str">
        <f t="shared" si="546"/>
        <v>F9</v>
      </c>
      <c r="E1667" t="str">
        <f t="shared" ca="1" si="547"/>
        <v/>
      </c>
      <c r="F1667" t="str">
        <f t="shared" ca="1" si="548"/>
        <v xml:space="preserve">Enter a 'Low-Income Units' for  building 6 in cell F9.
</v>
      </c>
      <c r="G1667" s="9" t="str">
        <f t="shared" ca="1" si="535"/>
        <v xml:space="preserve">Enter a value for 'Number of Floors in the Tallest Building' in cell B60.
</v>
      </c>
      <c r="H1667" s="52" t="str">
        <f t="shared" ca="1" si="549"/>
        <v>Low-Income Units</v>
      </c>
      <c r="I1667" s="52">
        <v>6</v>
      </c>
    </row>
    <row r="1668" spans="1:10" ht="15" customHeight="1">
      <c r="A1668" t="str">
        <f t="shared" ca="1" si="544"/>
        <v/>
      </c>
      <c r="B1668">
        <f t="shared" si="545"/>
        <v>9</v>
      </c>
      <c r="C1668">
        <f t="shared" ca="1" si="537"/>
        <v>6</v>
      </c>
      <c r="D1668" t="str">
        <f t="shared" si="546"/>
        <v>G9</v>
      </c>
      <c r="E1668" t="str">
        <f t="shared" ca="1" si="547"/>
        <v/>
      </c>
      <c r="F1668" t="str">
        <f t="shared" ca="1" si="548"/>
        <v xml:space="preserve">Enter a 'Residential Square Footage**' for  building 6 in cell G9.
</v>
      </c>
      <c r="G1668" s="9" t="str">
        <f t="shared" ca="1" si="535"/>
        <v xml:space="preserve">Enter a value for 'Number of Floors in the Tallest Building' in cell B60.
</v>
      </c>
      <c r="H1668" s="52" t="str">
        <f t="shared" ca="1" si="549"/>
        <v>Residential Square Footage**</v>
      </c>
      <c r="I1668" s="52">
        <v>7</v>
      </c>
    </row>
    <row r="1669" spans="1:10" ht="15" customHeight="1">
      <c r="A1669" t="str">
        <f t="shared" ca="1" si="544"/>
        <v/>
      </c>
      <c r="B1669">
        <f t="shared" si="545"/>
        <v>9</v>
      </c>
      <c r="C1669">
        <f t="shared" ca="1" si="537"/>
        <v>6</v>
      </c>
      <c r="D1669" t="str">
        <f t="shared" si="546"/>
        <v>H9</v>
      </c>
      <c r="E1669" t="str">
        <f t="shared" ca="1" si="547"/>
        <v/>
      </c>
      <c r="F1669" t="str">
        <f t="shared" ca="1" si="548"/>
        <v xml:space="preserve">Enter a 'Square Footage of Employee Units' for  building 6 in cell H9.
</v>
      </c>
      <c r="G1669" s="9" t="str">
        <f t="shared" ca="1" si="535"/>
        <v xml:space="preserve">Enter a value for 'Number of Floors in the Tallest Building' in cell B60.
</v>
      </c>
      <c r="H1669" s="52" t="str">
        <f t="shared" ca="1" si="549"/>
        <v>Square Footage of Employee Units</v>
      </c>
      <c r="I1669" s="52">
        <v>8</v>
      </c>
    </row>
    <row r="1670" spans="1:10" ht="15" customHeight="1">
      <c r="A1670" t="str">
        <f t="shared" ca="1" si="544"/>
        <v/>
      </c>
      <c r="B1670">
        <f t="shared" si="545"/>
        <v>9</v>
      </c>
      <c r="C1670">
        <f t="shared" ca="1" si="537"/>
        <v>6</v>
      </c>
      <c r="D1670" t="str">
        <f t="shared" si="546"/>
        <v>I9</v>
      </c>
      <c r="E1670" t="str">
        <f t="shared" ca="1" si="547"/>
        <v/>
      </c>
      <c r="F1670" t="str">
        <f t="shared" ca="1" si="548"/>
        <v xml:space="preserve">Enter a 'Square Footage of Low-Income Units' for  building 6 in cell I9.
</v>
      </c>
      <c r="G1670" s="9" t="str">
        <f t="shared" ca="1" si="535"/>
        <v xml:space="preserve">Enter a value for 'Number of Floors in the Tallest Building' in cell B60.
</v>
      </c>
      <c r="H1670" s="52" t="str">
        <f t="shared" ca="1" si="549"/>
        <v>Square Footage of Low-Income Units</v>
      </c>
      <c r="I1670" s="52">
        <v>9</v>
      </c>
    </row>
    <row r="1671" spans="1:10" ht="15" customHeight="1">
      <c r="A1671" t="str">
        <f t="shared" ca="1" si="544"/>
        <v/>
      </c>
      <c r="B1671">
        <f t="shared" si="545"/>
        <v>9</v>
      </c>
      <c r="C1671">
        <f t="shared" ca="1" si="537"/>
        <v>6</v>
      </c>
      <c r="D1671" t="str">
        <f t="shared" si="546"/>
        <v>J9</v>
      </c>
      <c r="E1671" t="str">
        <f t="shared" ca="1" si="547"/>
        <v/>
      </c>
      <c r="F1671" t="str">
        <f t="shared" ca="1" si="548"/>
        <v xml:space="preserve">Enter a 'Placed-In-Service Date' for  building 6 in cell J9.
</v>
      </c>
      <c r="G1671" s="9" t="str">
        <f t="shared" ca="1" si="535"/>
        <v xml:space="preserve">Enter a value for 'Number of Floors in the Tallest Building' in cell B60.
</v>
      </c>
      <c r="H1671" s="52" t="str">
        <f t="shared" ca="1" si="549"/>
        <v>Placed-In-Service Date</v>
      </c>
      <c r="I1671" s="52">
        <v>10</v>
      </c>
    </row>
    <row r="1672" spans="1:10" ht="15" customHeight="1">
      <c r="A1672" t="str">
        <f t="shared" ca="1" si="544"/>
        <v/>
      </c>
      <c r="B1672">
        <f t="shared" si="545"/>
        <v>9</v>
      </c>
      <c r="C1672">
        <f t="shared" ca="1" si="537"/>
        <v>6</v>
      </c>
      <c r="D1672" t="str">
        <f t="shared" si="546"/>
        <v>K9</v>
      </c>
      <c r="E1672" t="str">
        <f t="shared" ca="1" si="547"/>
        <v/>
      </c>
      <c r="F1672" t="str">
        <f t="shared" ca="1" si="548"/>
        <v xml:space="preserve">Enter a 'New Construction/ Rehab APR' for  building 6 in cell K9.
</v>
      </c>
      <c r="G1672" s="9" t="str">
        <f t="shared" ca="1" si="535"/>
        <v xml:space="preserve">Enter a value for 'Number of Floors in the Tallest Building' in cell B60.
</v>
      </c>
      <c r="H1672" s="52" t="str">
        <f t="shared" ca="1" si="549"/>
        <v>New Construction/ Rehab APR</v>
      </c>
      <c r="I1672" s="52">
        <v>11</v>
      </c>
    </row>
    <row r="1673" spans="1:10" ht="15" customHeight="1">
      <c r="A1673" t="str">
        <f t="shared" ca="1" si="544"/>
        <v/>
      </c>
      <c r="B1673">
        <f t="shared" si="545"/>
        <v>9</v>
      </c>
      <c r="C1673">
        <f t="shared" ca="1" si="537"/>
        <v>6</v>
      </c>
      <c r="D1673" t="str">
        <f t="shared" si="546"/>
        <v>L9</v>
      </c>
      <c r="E1673" t="str">
        <f t="shared" ca="1" si="547"/>
        <v/>
      </c>
      <c r="F1673" t="str">
        <f t="shared" ca="1" si="548"/>
        <v xml:space="preserve">Enter a 'New Construction Eligible Basis' for  building 6 in cell L9.
</v>
      </c>
      <c r="G1673" s="9" t="str">
        <f t="shared" ca="1" si="535"/>
        <v xml:space="preserve">Enter a value for 'Number of Floors in the Tallest Building' in cell B60.
</v>
      </c>
      <c r="H1673" s="52" t="str">
        <f t="shared" ca="1" si="549"/>
        <v>New Construction Eligible Basis</v>
      </c>
      <c r="I1673" s="52">
        <v>12</v>
      </c>
    </row>
    <row r="1674" spans="1:10" ht="15" customHeight="1">
      <c r="A1674" t="str">
        <f ca="1">IF(AND(OFFSET(A1674, -I1674 + 2, 4) &gt;  0, E1674="", Calculations!$B$7), F1674, "")</f>
        <v/>
      </c>
      <c r="B1674">
        <f t="shared" si="545"/>
        <v>9</v>
      </c>
      <c r="C1674">
        <f t="shared" ca="1" si="537"/>
        <v>6</v>
      </c>
      <c r="D1674" t="str">
        <f t="shared" si="546"/>
        <v>M9</v>
      </c>
      <c r="E1674" t="str">
        <f t="shared" ca="1" si="547"/>
        <v/>
      </c>
      <c r="F1674" t="str">
        <f t="shared" ca="1" si="548"/>
        <v xml:space="preserve">Enter a 'Eligible Basis for Rehab' for  building 6 in cell M9.
</v>
      </c>
      <c r="G1674" s="9" t="str">
        <f t="shared" ca="1" si="535"/>
        <v xml:space="preserve">Enter a value for 'Number of Floors in the Tallest Building' in cell B60.
</v>
      </c>
      <c r="H1674" s="52" t="str">
        <f t="shared" ca="1" si="549"/>
        <v>Eligible Basis for Rehab</v>
      </c>
      <c r="I1674" s="52">
        <v>13</v>
      </c>
    </row>
    <row r="1675" spans="1:10" ht="15" customHeight="1">
      <c r="A1675" t="str">
        <f ca="1">IF(AND(OFFSET(A1675, -I1675 + 2, 4) &gt;  0, E1675="", Calculations!$B$7), F1675, "")</f>
        <v/>
      </c>
      <c r="B1675">
        <f t="shared" si="545"/>
        <v>9</v>
      </c>
      <c r="C1675">
        <f t="shared" ca="1" si="537"/>
        <v>6</v>
      </c>
      <c r="D1675" t="str">
        <f t="shared" si="546"/>
        <v>N9</v>
      </c>
      <c r="E1675" t="str">
        <f t="shared" ca="1" si="547"/>
        <v/>
      </c>
      <c r="F1675" t="str">
        <f t="shared" ca="1" si="548"/>
        <v xml:space="preserve">Enter a 'Cost of Acquiring the Building***' for  building 6 in cell N9.
</v>
      </c>
      <c r="G1675" s="9" t="str">
        <f t="shared" ca="1" si="535"/>
        <v xml:space="preserve">Enter a value for 'Number of Floors in the Tallest Building' in cell B60.
</v>
      </c>
      <c r="H1675" s="52" t="str">
        <f t="shared" ca="1" si="549"/>
        <v>Cost of Acquiring the Building***</v>
      </c>
      <c r="I1675" s="52">
        <v>14</v>
      </c>
    </row>
    <row r="1676" spans="1:10" ht="15" customHeight="1">
      <c r="A1676" t="str">
        <f ca="1">IF(AND(OFFSET(A1676, -I1676 + 2, 4) &gt;  0, E1676="", Calculations!$B$7), F1676, "")</f>
        <v/>
      </c>
      <c r="B1676">
        <f t="shared" si="545"/>
        <v>9</v>
      </c>
      <c r="C1676">
        <f t="shared" ca="1" si="537"/>
        <v>6</v>
      </c>
      <c r="D1676" t="str">
        <f t="shared" si="546"/>
        <v>O9</v>
      </c>
      <c r="E1676" t="str">
        <f t="shared" ca="1" si="547"/>
        <v/>
      </c>
      <c r="F1676" t="str">
        <f t="shared" ca="1" si="548"/>
        <v xml:space="preserve">Enter a 'Higher of Land Purchase Price or Land Appraised Value****' for  building 6 in cell O9.
</v>
      </c>
      <c r="G1676" s="9" t="str">
        <f t="shared" ca="1" si="535"/>
        <v xml:space="preserve">Enter a value for 'Number of Floors in the Tallest Building' in cell B60.
</v>
      </c>
      <c r="H1676" s="52" t="str">
        <f t="shared" ca="1" si="549"/>
        <v>Higher of Land Purchase Price or Land Appraised Value****</v>
      </c>
      <c r="I1676" s="52">
        <v>15</v>
      </c>
    </row>
    <row r="1677" spans="1:10" ht="15" customHeight="1">
      <c r="A1677" t="str">
        <f ca="1">IF(AND(OFFSET(A1677, -I1677 + 2, 4) &gt;  0, E1677="", Calculations!$B$7), F1677, "")</f>
        <v/>
      </c>
      <c r="B1677">
        <f t="shared" si="545"/>
        <v>9</v>
      </c>
      <c r="C1677">
        <f t="shared" ca="1" si="537"/>
        <v>6</v>
      </c>
      <c r="D1677" t="str">
        <f t="shared" si="546"/>
        <v>P9</v>
      </c>
      <c r="E1677" t="str">
        <f t="shared" ca="1" si="547"/>
        <v/>
      </c>
      <c r="F1677" t="str">
        <f t="shared" ca="1" si="548"/>
        <v xml:space="preserve">Enter a 'Acquisition Placed-in-Service Date' for  building 6 in cell P9.
</v>
      </c>
      <c r="G1677" s="9" t="str">
        <f t="shared" ca="1" si="535"/>
        <v xml:space="preserve">Enter a value for 'Number of Floors in the Tallest Building' in cell B60.
</v>
      </c>
      <c r="H1677" s="52" t="str">
        <f t="shared" ca="1" si="549"/>
        <v>Acquisition Placed-in-Service Date</v>
      </c>
      <c r="I1677" s="52">
        <v>16</v>
      </c>
    </row>
    <row r="1678" spans="1:10" ht="15" customHeight="1">
      <c r="A1678" t="str">
        <f ca="1">IF(AND(OFFSET(A1678, -I1678 + 2, 4) &gt;  0, E1678="", Calculations!$B$7), F1678, "")</f>
        <v/>
      </c>
      <c r="B1678">
        <f t="shared" si="545"/>
        <v>9</v>
      </c>
      <c r="C1678">
        <f t="shared" ca="1" si="537"/>
        <v>6</v>
      </c>
      <c r="D1678" t="str">
        <f t="shared" si="546"/>
        <v>Q9</v>
      </c>
      <c r="E1678" t="str">
        <f t="shared" ca="1" si="547"/>
        <v/>
      </c>
      <c r="F1678" t="str">
        <f t="shared" ca="1" si="548"/>
        <v xml:space="preserve">Enter a 'Acquisition APR' for  building 6 in cell Q9.
</v>
      </c>
      <c r="G1678" s="9" t="str">
        <f t="shared" ca="1" si="535"/>
        <v xml:space="preserve">Enter a value for 'Number of Floors in the Tallest Building' in cell B60.
</v>
      </c>
      <c r="H1678" s="52" t="str">
        <f t="shared" ca="1" si="549"/>
        <v>Acquisition APR</v>
      </c>
      <c r="I1678" s="52">
        <v>17</v>
      </c>
    </row>
    <row r="1679" spans="1:10" ht="15" customHeight="1">
      <c r="A1679" t="str">
        <f ca="1">IF(AND(Calculations!$B$4,Calculations!$B$29&gt;=C1679, E1679 &lt;&gt; 13),F1679,"")</f>
        <v/>
      </c>
      <c r="B1679">
        <f>ROW('Final Building Profile'!C10)</f>
        <v>10</v>
      </c>
      <c r="C1679">
        <f t="shared" ca="1" si="537"/>
        <v>7</v>
      </c>
      <c r="D1679" t="str">
        <f>ADDRESS(B1679, 3,4  )</f>
        <v>C10</v>
      </c>
      <c r="E1679" s="52">
        <f ca="1">H1679+I1679</f>
        <v>0</v>
      </c>
      <c r="F1679" t="str">
        <f ca="1">CONCATENATE("Based upon the number of buildings specified, information for  building ", C1679, " required for a final application in row ", B1679, ".", CHAR(10))</f>
        <v xml:space="preserve">Based upon the number of buildings specified, information for  building 7 required for a final application in row 10.
</v>
      </c>
      <c r="G1679" s="9" t="str">
        <f t="shared" ca="1" si="535"/>
        <v xml:space="preserve">Enter a value for 'Number of Floors in the Tallest Building' in cell B60.
</v>
      </c>
      <c r="H1679" s="52">
        <f ca="1">SUMPRODUCT(--ISTEXT(INDIRECT(J1679)))</f>
        <v>0</v>
      </c>
      <c r="I1679" s="52">
        <f ca="1">SUMPRODUCT(--ISNUMBER(INDIRECT(J1679)))</f>
        <v>0</v>
      </c>
      <c r="J1679" s="52" t="str">
        <f>$F$1565&amp; ADDRESS(B1679,3,4) &amp; ":" &amp; ADDRESS(B1679,15,4)</f>
        <v>'Final Building Profile'!C10:O10</v>
      </c>
    </row>
    <row r="1680" spans="1:10" ht="15" customHeight="1">
      <c r="A1680" t="str">
        <f t="shared" ref="A1680:A1689" ca="1" si="550">IF(AND(OFFSET(A1680, -I1680 + 2, 4) &gt;  0, E1680=""), F1680, "")</f>
        <v/>
      </c>
      <c r="B1680">
        <f t="shared" ref="B1680:B1694" si="551">B1679</f>
        <v>10</v>
      </c>
      <c r="C1680">
        <f t="shared" ca="1" si="537"/>
        <v>7</v>
      </c>
      <c r="D1680" t="str">
        <f t="shared" ref="D1680:D1694" si="552">ADDRESS(B1680, I1680,4  )</f>
        <v>C10</v>
      </c>
      <c r="E1680" t="str">
        <f t="shared" ref="E1680:E1694" ca="1" si="553">IF(ISBLANK( INDIRECT($F$1565 &amp; D1680)),"", INDIRECT($F$1565 &amp; D1680))</f>
        <v/>
      </c>
      <c r="F1680" t="str">
        <f t="shared" ref="F1680:F1694" ca="1" si="554">CONCATENATE("Enter a '"&amp; H1680 &amp;"' for  building ", C1680, " in cell ", D1680, ".", CHAR(10))</f>
        <v xml:space="preserve">Enter a 'Building Street Address Only 
(DO NOT ENTER CITY, STATE, OR ZIP)' for  building 7 in cell C10.
</v>
      </c>
      <c r="G1680" s="9" t="str">
        <f t="shared" ca="1" si="535"/>
        <v xml:space="preserve">Enter a value for 'Number of Floors in the Tallest Building' in cell B60.
</v>
      </c>
      <c r="H1680" s="52" t="str">
        <f t="shared" ref="H1680:H1694" ca="1" si="555">OFFSET(INDIRECT($F$1565 &amp; D1680), -B1680 + 3, 0)</f>
        <v>Building Street Address Only 
(DO NOT ENTER CITY, STATE, OR ZIP)</v>
      </c>
      <c r="I1680" s="52">
        <v>3</v>
      </c>
    </row>
    <row r="1681" spans="1:10" ht="15" customHeight="1">
      <c r="A1681" t="str">
        <f t="shared" ca="1" si="550"/>
        <v/>
      </c>
      <c r="B1681">
        <f t="shared" si="551"/>
        <v>10</v>
      </c>
      <c r="C1681">
        <f t="shared" ca="1" si="537"/>
        <v>7</v>
      </c>
      <c r="D1681" t="str">
        <f t="shared" si="552"/>
        <v>D10</v>
      </c>
      <c r="E1681" t="str">
        <f t="shared" ca="1" si="553"/>
        <v/>
      </c>
      <c r="F1681" t="str">
        <f t="shared" ca="1" si="554"/>
        <v xml:space="preserve">Enter a 'Total Units in Building*' for  building 7 in cell D10.
</v>
      </c>
      <c r="G1681" s="9" t="str">
        <f t="shared" ca="1" si="535"/>
        <v xml:space="preserve">Enter a value for 'Number of Floors in the Tallest Building' in cell B60.
</v>
      </c>
      <c r="H1681" s="52" t="str">
        <f t="shared" ca="1" si="555"/>
        <v>Total Units in Building*</v>
      </c>
      <c r="I1681" s="52">
        <v>4</v>
      </c>
    </row>
    <row r="1682" spans="1:10" ht="15" customHeight="1">
      <c r="A1682" t="str">
        <f t="shared" ca="1" si="550"/>
        <v/>
      </c>
      <c r="B1682">
        <f t="shared" si="551"/>
        <v>10</v>
      </c>
      <c r="C1682">
        <f t="shared" ca="1" si="537"/>
        <v>7</v>
      </c>
      <c r="D1682" t="str">
        <f t="shared" si="552"/>
        <v>E10</v>
      </c>
      <c r="E1682" t="str">
        <f t="shared" ca="1" si="553"/>
        <v/>
      </c>
      <c r="F1682" t="str">
        <f t="shared" ca="1" si="554"/>
        <v xml:space="preserve">Enter a 'Employee Units' for  building 7 in cell E10.
</v>
      </c>
      <c r="G1682" s="9" t="str">
        <f t="shared" ca="1" si="535"/>
        <v xml:space="preserve">Enter a value for 'Number of Floors in the Tallest Building' in cell B60.
</v>
      </c>
      <c r="H1682" s="52" t="str">
        <f t="shared" ca="1" si="555"/>
        <v>Employee Units</v>
      </c>
      <c r="I1682" s="52">
        <v>5</v>
      </c>
    </row>
    <row r="1683" spans="1:10" ht="15" customHeight="1">
      <c r="A1683" t="str">
        <f t="shared" ca="1" si="550"/>
        <v/>
      </c>
      <c r="B1683">
        <f t="shared" si="551"/>
        <v>10</v>
      </c>
      <c r="C1683">
        <f t="shared" ca="1" si="537"/>
        <v>7</v>
      </c>
      <c r="D1683" t="str">
        <f t="shared" si="552"/>
        <v>F10</v>
      </c>
      <c r="E1683" t="str">
        <f t="shared" ca="1" si="553"/>
        <v/>
      </c>
      <c r="F1683" t="str">
        <f t="shared" ca="1" si="554"/>
        <v xml:space="preserve">Enter a 'Low-Income Units' for  building 7 in cell F10.
</v>
      </c>
      <c r="G1683" s="9" t="str">
        <f t="shared" ca="1" si="535"/>
        <v xml:space="preserve">Enter a value for 'Number of Floors in the Tallest Building' in cell B60.
</v>
      </c>
      <c r="H1683" s="52" t="str">
        <f t="shared" ca="1" si="555"/>
        <v>Low-Income Units</v>
      </c>
      <c r="I1683" s="52">
        <v>6</v>
      </c>
    </row>
    <row r="1684" spans="1:10" ht="15" customHeight="1">
      <c r="A1684" t="str">
        <f t="shared" ca="1" si="550"/>
        <v/>
      </c>
      <c r="B1684">
        <f t="shared" si="551"/>
        <v>10</v>
      </c>
      <c r="C1684">
        <f t="shared" ca="1" si="537"/>
        <v>7</v>
      </c>
      <c r="D1684" t="str">
        <f t="shared" si="552"/>
        <v>G10</v>
      </c>
      <c r="E1684" t="str">
        <f t="shared" ca="1" si="553"/>
        <v/>
      </c>
      <c r="F1684" t="str">
        <f t="shared" ca="1" si="554"/>
        <v xml:space="preserve">Enter a 'Residential Square Footage**' for  building 7 in cell G10.
</v>
      </c>
      <c r="G1684" s="9" t="str">
        <f t="shared" ca="1" si="535"/>
        <v xml:space="preserve">Enter a value for 'Number of Floors in the Tallest Building' in cell B60.
</v>
      </c>
      <c r="H1684" s="52" t="str">
        <f t="shared" ca="1" si="555"/>
        <v>Residential Square Footage**</v>
      </c>
      <c r="I1684" s="52">
        <v>7</v>
      </c>
    </row>
    <row r="1685" spans="1:10" ht="15" customHeight="1">
      <c r="A1685" t="str">
        <f t="shared" ca="1" si="550"/>
        <v/>
      </c>
      <c r="B1685">
        <f t="shared" si="551"/>
        <v>10</v>
      </c>
      <c r="C1685">
        <f t="shared" ca="1" si="537"/>
        <v>7</v>
      </c>
      <c r="D1685" t="str">
        <f t="shared" si="552"/>
        <v>H10</v>
      </c>
      <c r="E1685" t="str">
        <f t="shared" ca="1" si="553"/>
        <v/>
      </c>
      <c r="F1685" t="str">
        <f t="shared" ca="1" si="554"/>
        <v xml:space="preserve">Enter a 'Square Footage of Employee Units' for  building 7 in cell H10.
</v>
      </c>
      <c r="G1685" s="9" t="str">
        <f t="shared" ca="1" si="535"/>
        <v xml:space="preserve">Enter a value for 'Number of Floors in the Tallest Building' in cell B60.
</v>
      </c>
      <c r="H1685" s="52" t="str">
        <f t="shared" ca="1" si="555"/>
        <v>Square Footage of Employee Units</v>
      </c>
      <c r="I1685" s="52">
        <v>8</v>
      </c>
    </row>
    <row r="1686" spans="1:10" ht="15" customHeight="1">
      <c r="A1686" t="str">
        <f t="shared" ca="1" si="550"/>
        <v/>
      </c>
      <c r="B1686">
        <f t="shared" si="551"/>
        <v>10</v>
      </c>
      <c r="C1686">
        <f t="shared" ca="1" si="537"/>
        <v>7</v>
      </c>
      <c r="D1686" t="str">
        <f t="shared" si="552"/>
        <v>I10</v>
      </c>
      <c r="E1686" t="str">
        <f t="shared" ca="1" si="553"/>
        <v/>
      </c>
      <c r="F1686" t="str">
        <f t="shared" ca="1" si="554"/>
        <v xml:space="preserve">Enter a 'Square Footage of Low-Income Units' for  building 7 in cell I10.
</v>
      </c>
      <c r="G1686" s="9" t="str">
        <f t="shared" ca="1" si="535"/>
        <v xml:space="preserve">Enter a value for 'Number of Floors in the Tallest Building' in cell B60.
</v>
      </c>
      <c r="H1686" s="52" t="str">
        <f t="shared" ca="1" si="555"/>
        <v>Square Footage of Low-Income Units</v>
      </c>
      <c r="I1686" s="52">
        <v>9</v>
      </c>
    </row>
    <row r="1687" spans="1:10" ht="15" customHeight="1">
      <c r="A1687" t="str">
        <f t="shared" ca="1" si="550"/>
        <v/>
      </c>
      <c r="B1687">
        <f t="shared" si="551"/>
        <v>10</v>
      </c>
      <c r="C1687">
        <f t="shared" ca="1" si="537"/>
        <v>7</v>
      </c>
      <c r="D1687" t="str">
        <f t="shared" si="552"/>
        <v>J10</v>
      </c>
      <c r="E1687" t="str">
        <f t="shared" ca="1" si="553"/>
        <v/>
      </c>
      <c r="F1687" t="str">
        <f t="shared" ca="1" si="554"/>
        <v xml:space="preserve">Enter a 'Placed-In-Service Date' for  building 7 in cell J10.
</v>
      </c>
      <c r="G1687" s="9" t="str">
        <f t="shared" ca="1" si="535"/>
        <v xml:space="preserve">Enter a value for 'Number of Floors in the Tallest Building' in cell B60.
</v>
      </c>
      <c r="H1687" s="52" t="str">
        <f t="shared" ca="1" si="555"/>
        <v>Placed-In-Service Date</v>
      </c>
      <c r="I1687" s="52">
        <v>10</v>
      </c>
    </row>
    <row r="1688" spans="1:10" ht="15" customHeight="1">
      <c r="A1688" t="str">
        <f t="shared" ca="1" si="550"/>
        <v/>
      </c>
      <c r="B1688">
        <f t="shared" si="551"/>
        <v>10</v>
      </c>
      <c r="C1688">
        <f t="shared" ca="1" si="537"/>
        <v>7</v>
      </c>
      <c r="D1688" t="str">
        <f t="shared" si="552"/>
        <v>K10</v>
      </c>
      <c r="E1688" t="str">
        <f t="shared" ca="1" si="553"/>
        <v/>
      </c>
      <c r="F1688" t="str">
        <f t="shared" ca="1" si="554"/>
        <v xml:space="preserve">Enter a 'New Construction/ Rehab APR' for  building 7 in cell K10.
</v>
      </c>
      <c r="G1688" s="9" t="str">
        <f t="shared" ca="1" si="535"/>
        <v xml:space="preserve">Enter a value for 'Number of Floors in the Tallest Building' in cell B60.
</v>
      </c>
      <c r="H1688" s="52" t="str">
        <f t="shared" ca="1" si="555"/>
        <v>New Construction/ Rehab APR</v>
      </c>
      <c r="I1688" s="52">
        <v>11</v>
      </c>
    </row>
    <row r="1689" spans="1:10" ht="15" customHeight="1">
      <c r="A1689" t="str">
        <f t="shared" ca="1" si="550"/>
        <v/>
      </c>
      <c r="B1689">
        <f t="shared" si="551"/>
        <v>10</v>
      </c>
      <c r="C1689">
        <f t="shared" ca="1" si="537"/>
        <v>7</v>
      </c>
      <c r="D1689" t="str">
        <f t="shared" si="552"/>
        <v>L10</v>
      </c>
      <c r="E1689" t="str">
        <f t="shared" ca="1" si="553"/>
        <v/>
      </c>
      <c r="F1689" t="str">
        <f t="shared" ca="1" si="554"/>
        <v xml:space="preserve">Enter a 'New Construction Eligible Basis' for  building 7 in cell L10.
</v>
      </c>
      <c r="G1689" s="9" t="str">
        <f t="shared" ca="1" si="535"/>
        <v xml:space="preserve">Enter a value for 'Number of Floors in the Tallest Building' in cell B60.
</v>
      </c>
      <c r="H1689" s="52" t="str">
        <f t="shared" ca="1" si="555"/>
        <v>New Construction Eligible Basis</v>
      </c>
      <c r="I1689" s="52">
        <v>12</v>
      </c>
    </row>
    <row r="1690" spans="1:10" ht="15" customHeight="1">
      <c r="A1690" t="str">
        <f ca="1">IF(AND(OFFSET(A1690, -I1690 + 2, 4) &gt;  0, E1690="", Calculations!$B$7), F1690, "")</f>
        <v/>
      </c>
      <c r="B1690">
        <f t="shared" si="551"/>
        <v>10</v>
      </c>
      <c r="C1690">
        <f t="shared" ca="1" si="537"/>
        <v>7</v>
      </c>
      <c r="D1690" t="str">
        <f t="shared" si="552"/>
        <v>M10</v>
      </c>
      <c r="E1690" t="str">
        <f t="shared" ca="1" si="553"/>
        <v/>
      </c>
      <c r="F1690" t="str">
        <f t="shared" ca="1" si="554"/>
        <v xml:space="preserve">Enter a 'Eligible Basis for Rehab' for  building 7 in cell M10.
</v>
      </c>
      <c r="G1690" s="9" t="str">
        <f t="shared" ca="1" si="535"/>
        <v xml:space="preserve">Enter a value for 'Number of Floors in the Tallest Building' in cell B60.
</v>
      </c>
      <c r="H1690" s="52" t="str">
        <f t="shared" ca="1" si="555"/>
        <v>Eligible Basis for Rehab</v>
      </c>
      <c r="I1690" s="52">
        <v>13</v>
      </c>
    </row>
    <row r="1691" spans="1:10" ht="15" customHeight="1">
      <c r="A1691" t="str">
        <f ca="1">IF(AND(OFFSET(A1691, -I1691 + 2, 4) &gt;  0, E1691="", Calculations!$B$7), F1691, "")</f>
        <v/>
      </c>
      <c r="B1691">
        <f t="shared" si="551"/>
        <v>10</v>
      </c>
      <c r="C1691">
        <f t="shared" ca="1" si="537"/>
        <v>7</v>
      </c>
      <c r="D1691" t="str">
        <f t="shared" si="552"/>
        <v>N10</v>
      </c>
      <c r="E1691" t="str">
        <f t="shared" ca="1" si="553"/>
        <v/>
      </c>
      <c r="F1691" t="str">
        <f t="shared" ca="1" si="554"/>
        <v xml:space="preserve">Enter a 'Cost of Acquiring the Building***' for  building 7 in cell N10.
</v>
      </c>
      <c r="G1691" s="9" t="str">
        <f t="shared" ca="1" si="535"/>
        <v xml:space="preserve">Enter a value for 'Number of Floors in the Tallest Building' in cell B60.
</v>
      </c>
      <c r="H1691" s="52" t="str">
        <f t="shared" ca="1" si="555"/>
        <v>Cost of Acquiring the Building***</v>
      </c>
      <c r="I1691" s="52">
        <v>14</v>
      </c>
    </row>
    <row r="1692" spans="1:10" ht="15" customHeight="1">
      <c r="A1692" t="str">
        <f ca="1">IF(AND(OFFSET(A1692, -I1692 + 2, 4) &gt;  0, E1692="", Calculations!$B$7), F1692, "")</f>
        <v/>
      </c>
      <c r="B1692">
        <f t="shared" si="551"/>
        <v>10</v>
      </c>
      <c r="C1692">
        <f t="shared" ca="1" si="537"/>
        <v>7</v>
      </c>
      <c r="D1692" t="str">
        <f t="shared" si="552"/>
        <v>O10</v>
      </c>
      <c r="E1692" t="str">
        <f t="shared" ca="1" si="553"/>
        <v/>
      </c>
      <c r="F1692" t="str">
        <f t="shared" ca="1" si="554"/>
        <v xml:space="preserve">Enter a 'Higher of Land Purchase Price or Land Appraised Value****' for  building 7 in cell O10.
</v>
      </c>
      <c r="G1692" s="9" t="str">
        <f t="shared" ca="1" si="535"/>
        <v xml:space="preserve">Enter a value for 'Number of Floors in the Tallest Building' in cell B60.
</v>
      </c>
      <c r="H1692" s="52" t="str">
        <f t="shared" ca="1" si="555"/>
        <v>Higher of Land Purchase Price or Land Appraised Value****</v>
      </c>
      <c r="I1692" s="52">
        <v>15</v>
      </c>
    </row>
    <row r="1693" spans="1:10" ht="15" customHeight="1">
      <c r="A1693" t="str">
        <f ca="1">IF(AND(OFFSET(A1693, -I1693 + 2, 4) &gt;  0, E1693="", Calculations!$B$7), F1693, "")</f>
        <v/>
      </c>
      <c r="B1693">
        <f t="shared" si="551"/>
        <v>10</v>
      </c>
      <c r="C1693">
        <f t="shared" ca="1" si="537"/>
        <v>7</v>
      </c>
      <c r="D1693" t="str">
        <f t="shared" si="552"/>
        <v>P10</v>
      </c>
      <c r="E1693" t="str">
        <f t="shared" ca="1" si="553"/>
        <v/>
      </c>
      <c r="F1693" t="str">
        <f t="shared" ca="1" si="554"/>
        <v xml:space="preserve">Enter a 'Acquisition Placed-in-Service Date' for  building 7 in cell P10.
</v>
      </c>
      <c r="G1693" s="9" t="str">
        <f t="shared" ca="1" si="535"/>
        <v xml:space="preserve">Enter a value for 'Number of Floors in the Tallest Building' in cell B60.
</v>
      </c>
      <c r="H1693" s="52" t="str">
        <f t="shared" ca="1" si="555"/>
        <v>Acquisition Placed-in-Service Date</v>
      </c>
      <c r="I1693" s="52">
        <v>16</v>
      </c>
    </row>
    <row r="1694" spans="1:10" ht="15" customHeight="1">
      <c r="A1694" t="str">
        <f ca="1">IF(AND(OFFSET(A1694, -I1694 + 2, 4) &gt;  0, E1694="", Calculations!$B$7), F1694, "")</f>
        <v/>
      </c>
      <c r="B1694">
        <f t="shared" si="551"/>
        <v>10</v>
      </c>
      <c r="C1694">
        <f t="shared" ca="1" si="537"/>
        <v>7</v>
      </c>
      <c r="D1694" t="str">
        <f t="shared" si="552"/>
        <v>Q10</v>
      </c>
      <c r="E1694" t="str">
        <f t="shared" ca="1" si="553"/>
        <v/>
      </c>
      <c r="F1694" t="str">
        <f t="shared" ca="1" si="554"/>
        <v xml:space="preserve">Enter a 'Acquisition APR' for  building 7 in cell Q10.
</v>
      </c>
      <c r="G1694" s="9" t="str">
        <f t="shared" ca="1" si="535"/>
        <v xml:space="preserve">Enter a value for 'Number of Floors in the Tallest Building' in cell B60.
</v>
      </c>
      <c r="H1694" s="52" t="str">
        <f t="shared" ca="1" si="555"/>
        <v>Acquisition APR</v>
      </c>
      <c r="I1694" s="52">
        <v>17</v>
      </c>
    </row>
    <row r="1695" spans="1:10" ht="15" customHeight="1">
      <c r="A1695" t="str">
        <f ca="1">IF(AND(Calculations!$B$4,Calculations!$B$29&gt;=C1695, E1695 &lt;&gt; 13),F1695,"")</f>
        <v/>
      </c>
      <c r="B1695">
        <f>ROW('Final Building Profile'!C11)</f>
        <v>11</v>
      </c>
      <c r="C1695">
        <f t="shared" ca="1" si="537"/>
        <v>8</v>
      </c>
      <c r="D1695" t="str">
        <f>ADDRESS(B1695, 3,4  )</f>
        <v>C11</v>
      </c>
      <c r="E1695" s="52">
        <f ca="1">H1695+I1695</f>
        <v>0</v>
      </c>
      <c r="F1695" t="str">
        <f ca="1">CONCATENATE("Based upon the number of buildings specified, information for  building ", C1695, " required for a final application in row ", B1695, ".", CHAR(10))</f>
        <v xml:space="preserve">Based upon the number of buildings specified, information for  building 8 required for a final application in row 11.
</v>
      </c>
      <c r="G1695" s="9" t="str">
        <f t="shared" ca="1" si="535"/>
        <v xml:space="preserve">Enter a value for 'Number of Floors in the Tallest Building' in cell B60.
</v>
      </c>
      <c r="H1695" s="52">
        <f ca="1">SUMPRODUCT(--ISTEXT(INDIRECT(J1695)))</f>
        <v>0</v>
      </c>
      <c r="I1695" s="52">
        <f ca="1">SUMPRODUCT(--ISNUMBER(INDIRECT(J1695)))</f>
        <v>0</v>
      </c>
      <c r="J1695" s="52" t="str">
        <f>$F$1565&amp; ADDRESS(B1695,3,4) &amp; ":" &amp; ADDRESS(B1695,15,4)</f>
        <v>'Final Building Profile'!C11:O11</v>
      </c>
    </row>
    <row r="1696" spans="1:10" ht="15" customHeight="1">
      <c r="A1696" t="str">
        <f t="shared" ref="A1696:A1705" ca="1" si="556">IF(AND(OFFSET(A1696, -I1696 + 2, 4) &gt;  0, E1696=""), F1696, "")</f>
        <v/>
      </c>
      <c r="B1696">
        <f t="shared" ref="B1696:B1710" si="557">B1695</f>
        <v>11</v>
      </c>
      <c r="C1696">
        <f t="shared" ca="1" si="537"/>
        <v>8</v>
      </c>
      <c r="D1696" t="str">
        <f t="shared" ref="D1696:D1710" si="558">ADDRESS(B1696, I1696,4  )</f>
        <v>C11</v>
      </c>
      <c r="E1696" t="str">
        <f t="shared" ref="E1696:E1710" ca="1" si="559">IF(ISBLANK( INDIRECT($F$1565 &amp; D1696)),"", INDIRECT($F$1565 &amp; D1696))</f>
        <v/>
      </c>
      <c r="F1696" t="str">
        <f t="shared" ref="F1696:F1710" ca="1" si="560">CONCATENATE("Enter a '"&amp; H1696 &amp;"' for  building ", C1696, " in cell ", D1696, ".", CHAR(10))</f>
        <v xml:space="preserve">Enter a 'Building Street Address Only 
(DO NOT ENTER CITY, STATE, OR ZIP)' for  building 8 in cell C11.
</v>
      </c>
      <c r="G1696" s="9" t="str">
        <f t="shared" ref="G1696:G1759" ca="1" si="561">OFFSET(G1696, -1, 0) &amp; A1696</f>
        <v xml:space="preserve">Enter a value for 'Number of Floors in the Tallest Building' in cell B60.
</v>
      </c>
      <c r="H1696" s="52" t="str">
        <f t="shared" ref="H1696:H1710" ca="1" si="562">OFFSET(INDIRECT($F$1565 &amp; D1696), -B1696 + 3, 0)</f>
        <v>Building Street Address Only 
(DO NOT ENTER CITY, STATE, OR ZIP)</v>
      </c>
      <c r="I1696" s="52">
        <v>3</v>
      </c>
    </row>
    <row r="1697" spans="1:10" ht="15" customHeight="1">
      <c r="A1697" t="str">
        <f t="shared" ca="1" si="556"/>
        <v/>
      </c>
      <c r="B1697">
        <f t="shared" si="557"/>
        <v>11</v>
      </c>
      <c r="C1697">
        <f t="shared" ca="1" si="537"/>
        <v>8</v>
      </c>
      <c r="D1697" t="str">
        <f t="shared" si="558"/>
        <v>D11</v>
      </c>
      <c r="E1697" t="str">
        <f t="shared" ca="1" si="559"/>
        <v/>
      </c>
      <c r="F1697" t="str">
        <f t="shared" ca="1" si="560"/>
        <v xml:space="preserve">Enter a 'Total Units in Building*' for  building 8 in cell D11.
</v>
      </c>
      <c r="G1697" s="9" t="str">
        <f t="shared" ca="1" si="561"/>
        <v xml:space="preserve">Enter a value for 'Number of Floors in the Tallest Building' in cell B60.
</v>
      </c>
      <c r="H1697" s="52" t="str">
        <f t="shared" ca="1" si="562"/>
        <v>Total Units in Building*</v>
      </c>
      <c r="I1697" s="52">
        <v>4</v>
      </c>
    </row>
    <row r="1698" spans="1:10" ht="15" customHeight="1">
      <c r="A1698" t="str">
        <f t="shared" ca="1" si="556"/>
        <v/>
      </c>
      <c r="B1698">
        <f t="shared" si="557"/>
        <v>11</v>
      </c>
      <c r="C1698">
        <f t="shared" ca="1" si="537"/>
        <v>8</v>
      </c>
      <c r="D1698" t="str">
        <f t="shared" si="558"/>
        <v>E11</v>
      </c>
      <c r="E1698" t="str">
        <f t="shared" ca="1" si="559"/>
        <v/>
      </c>
      <c r="F1698" t="str">
        <f t="shared" ca="1" si="560"/>
        <v xml:space="preserve">Enter a 'Employee Units' for  building 8 in cell E11.
</v>
      </c>
      <c r="G1698" s="9" t="str">
        <f t="shared" ca="1" si="561"/>
        <v xml:space="preserve">Enter a value for 'Number of Floors in the Tallest Building' in cell B60.
</v>
      </c>
      <c r="H1698" s="52" t="str">
        <f t="shared" ca="1" si="562"/>
        <v>Employee Units</v>
      </c>
      <c r="I1698" s="52">
        <v>5</v>
      </c>
    </row>
    <row r="1699" spans="1:10" ht="15" customHeight="1">
      <c r="A1699" t="str">
        <f t="shared" ca="1" si="556"/>
        <v/>
      </c>
      <c r="B1699">
        <f t="shared" si="557"/>
        <v>11</v>
      </c>
      <c r="C1699">
        <f t="shared" ca="1" si="537"/>
        <v>8</v>
      </c>
      <c r="D1699" t="str">
        <f t="shared" si="558"/>
        <v>F11</v>
      </c>
      <c r="E1699" t="str">
        <f t="shared" ca="1" si="559"/>
        <v/>
      </c>
      <c r="F1699" t="str">
        <f t="shared" ca="1" si="560"/>
        <v xml:space="preserve">Enter a 'Low-Income Units' for  building 8 in cell F11.
</v>
      </c>
      <c r="G1699" s="9" t="str">
        <f t="shared" ca="1" si="561"/>
        <v xml:space="preserve">Enter a value for 'Number of Floors in the Tallest Building' in cell B60.
</v>
      </c>
      <c r="H1699" s="52" t="str">
        <f t="shared" ca="1" si="562"/>
        <v>Low-Income Units</v>
      </c>
      <c r="I1699" s="52">
        <v>6</v>
      </c>
    </row>
    <row r="1700" spans="1:10" ht="15" customHeight="1">
      <c r="A1700" t="str">
        <f t="shared" ca="1" si="556"/>
        <v/>
      </c>
      <c r="B1700">
        <f t="shared" si="557"/>
        <v>11</v>
      </c>
      <c r="C1700">
        <f t="shared" ca="1" si="537"/>
        <v>8</v>
      </c>
      <c r="D1700" t="str">
        <f t="shared" si="558"/>
        <v>G11</v>
      </c>
      <c r="E1700" t="str">
        <f t="shared" ca="1" si="559"/>
        <v/>
      </c>
      <c r="F1700" t="str">
        <f t="shared" ca="1" si="560"/>
        <v xml:space="preserve">Enter a 'Residential Square Footage**' for  building 8 in cell G11.
</v>
      </c>
      <c r="G1700" s="9" t="str">
        <f t="shared" ca="1" si="561"/>
        <v xml:space="preserve">Enter a value for 'Number of Floors in the Tallest Building' in cell B60.
</v>
      </c>
      <c r="H1700" s="52" t="str">
        <f t="shared" ca="1" si="562"/>
        <v>Residential Square Footage**</v>
      </c>
      <c r="I1700" s="52">
        <v>7</v>
      </c>
    </row>
    <row r="1701" spans="1:10" ht="15" customHeight="1">
      <c r="A1701" t="str">
        <f t="shared" ca="1" si="556"/>
        <v/>
      </c>
      <c r="B1701">
        <f t="shared" si="557"/>
        <v>11</v>
      </c>
      <c r="C1701">
        <f t="shared" ca="1" si="537"/>
        <v>8</v>
      </c>
      <c r="D1701" t="str">
        <f t="shared" si="558"/>
        <v>H11</v>
      </c>
      <c r="E1701" t="str">
        <f t="shared" ca="1" si="559"/>
        <v/>
      </c>
      <c r="F1701" t="str">
        <f t="shared" ca="1" si="560"/>
        <v xml:space="preserve">Enter a 'Square Footage of Employee Units' for  building 8 in cell H11.
</v>
      </c>
      <c r="G1701" s="9" t="str">
        <f t="shared" ca="1" si="561"/>
        <v xml:space="preserve">Enter a value for 'Number of Floors in the Tallest Building' in cell B60.
</v>
      </c>
      <c r="H1701" s="52" t="str">
        <f t="shared" ca="1" si="562"/>
        <v>Square Footage of Employee Units</v>
      </c>
      <c r="I1701" s="52">
        <v>8</v>
      </c>
    </row>
    <row r="1702" spans="1:10" ht="15" customHeight="1">
      <c r="A1702" t="str">
        <f t="shared" ca="1" si="556"/>
        <v/>
      </c>
      <c r="B1702">
        <f t="shared" si="557"/>
        <v>11</v>
      </c>
      <c r="C1702">
        <f t="shared" ca="1" si="537"/>
        <v>8</v>
      </c>
      <c r="D1702" t="str">
        <f t="shared" si="558"/>
        <v>I11</v>
      </c>
      <c r="E1702" t="str">
        <f t="shared" ca="1" si="559"/>
        <v/>
      </c>
      <c r="F1702" t="str">
        <f t="shared" ca="1" si="560"/>
        <v xml:space="preserve">Enter a 'Square Footage of Low-Income Units' for  building 8 in cell I11.
</v>
      </c>
      <c r="G1702" s="9" t="str">
        <f t="shared" ca="1" si="561"/>
        <v xml:space="preserve">Enter a value for 'Number of Floors in the Tallest Building' in cell B60.
</v>
      </c>
      <c r="H1702" s="52" t="str">
        <f t="shared" ca="1" si="562"/>
        <v>Square Footage of Low-Income Units</v>
      </c>
      <c r="I1702" s="52">
        <v>9</v>
      </c>
    </row>
    <row r="1703" spans="1:10" ht="15" customHeight="1">
      <c r="A1703" t="str">
        <f t="shared" ca="1" si="556"/>
        <v/>
      </c>
      <c r="B1703">
        <f t="shared" si="557"/>
        <v>11</v>
      </c>
      <c r="C1703">
        <f t="shared" ca="1" si="537"/>
        <v>8</v>
      </c>
      <c r="D1703" t="str">
        <f t="shared" si="558"/>
        <v>J11</v>
      </c>
      <c r="E1703" t="str">
        <f t="shared" ca="1" si="559"/>
        <v/>
      </c>
      <c r="F1703" t="str">
        <f t="shared" ca="1" si="560"/>
        <v xml:space="preserve">Enter a 'Placed-In-Service Date' for  building 8 in cell J11.
</v>
      </c>
      <c r="G1703" s="9" t="str">
        <f t="shared" ca="1" si="561"/>
        <v xml:space="preserve">Enter a value for 'Number of Floors in the Tallest Building' in cell B60.
</v>
      </c>
      <c r="H1703" s="52" t="str">
        <f t="shared" ca="1" si="562"/>
        <v>Placed-In-Service Date</v>
      </c>
      <c r="I1703" s="52">
        <v>10</v>
      </c>
    </row>
    <row r="1704" spans="1:10" ht="15" customHeight="1">
      <c r="A1704" t="str">
        <f t="shared" ca="1" si="556"/>
        <v/>
      </c>
      <c r="B1704">
        <f t="shared" si="557"/>
        <v>11</v>
      </c>
      <c r="C1704">
        <f t="shared" ca="1" si="537"/>
        <v>8</v>
      </c>
      <c r="D1704" t="str">
        <f t="shared" si="558"/>
        <v>K11</v>
      </c>
      <c r="E1704" t="str">
        <f t="shared" ca="1" si="559"/>
        <v/>
      </c>
      <c r="F1704" t="str">
        <f t="shared" ca="1" si="560"/>
        <v xml:space="preserve">Enter a 'New Construction/ Rehab APR' for  building 8 in cell K11.
</v>
      </c>
      <c r="G1704" s="9" t="str">
        <f t="shared" ca="1" si="561"/>
        <v xml:space="preserve">Enter a value for 'Number of Floors in the Tallest Building' in cell B60.
</v>
      </c>
      <c r="H1704" s="52" t="str">
        <f t="shared" ca="1" si="562"/>
        <v>New Construction/ Rehab APR</v>
      </c>
      <c r="I1704" s="52">
        <v>11</v>
      </c>
    </row>
    <row r="1705" spans="1:10" ht="15" customHeight="1">
      <c r="A1705" t="str">
        <f t="shared" ca="1" si="556"/>
        <v/>
      </c>
      <c r="B1705">
        <f t="shared" si="557"/>
        <v>11</v>
      </c>
      <c r="C1705">
        <f t="shared" ca="1" si="537"/>
        <v>8</v>
      </c>
      <c r="D1705" t="str">
        <f t="shared" si="558"/>
        <v>L11</v>
      </c>
      <c r="E1705" t="str">
        <f t="shared" ca="1" si="559"/>
        <v/>
      </c>
      <c r="F1705" t="str">
        <f t="shared" ca="1" si="560"/>
        <v xml:space="preserve">Enter a 'New Construction Eligible Basis' for  building 8 in cell L11.
</v>
      </c>
      <c r="G1705" s="9" t="str">
        <f t="shared" ca="1" si="561"/>
        <v xml:space="preserve">Enter a value for 'Number of Floors in the Tallest Building' in cell B60.
</v>
      </c>
      <c r="H1705" s="52" t="str">
        <f t="shared" ca="1" si="562"/>
        <v>New Construction Eligible Basis</v>
      </c>
      <c r="I1705" s="52">
        <v>12</v>
      </c>
    </row>
    <row r="1706" spans="1:10" ht="15" customHeight="1">
      <c r="A1706" t="str">
        <f ca="1">IF(AND(OFFSET(A1706, -I1706 + 2, 4) &gt;  0, E1706="", Calculations!$B$7), F1706, "")</f>
        <v/>
      </c>
      <c r="B1706">
        <f t="shared" si="557"/>
        <v>11</v>
      </c>
      <c r="C1706">
        <f t="shared" ca="1" si="537"/>
        <v>8</v>
      </c>
      <c r="D1706" t="str">
        <f t="shared" si="558"/>
        <v>M11</v>
      </c>
      <c r="E1706" t="str">
        <f t="shared" ca="1" si="559"/>
        <v/>
      </c>
      <c r="F1706" t="str">
        <f t="shared" ca="1" si="560"/>
        <v xml:space="preserve">Enter a 'Eligible Basis for Rehab' for  building 8 in cell M11.
</v>
      </c>
      <c r="G1706" s="9" t="str">
        <f t="shared" ca="1" si="561"/>
        <v xml:space="preserve">Enter a value for 'Number of Floors in the Tallest Building' in cell B60.
</v>
      </c>
      <c r="H1706" s="52" t="str">
        <f t="shared" ca="1" si="562"/>
        <v>Eligible Basis for Rehab</v>
      </c>
      <c r="I1706" s="52">
        <v>13</v>
      </c>
    </row>
    <row r="1707" spans="1:10" ht="15" customHeight="1">
      <c r="A1707" t="str">
        <f ca="1">IF(AND(OFFSET(A1707, -I1707 + 2, 4) &gt;  0, E1707="", Calculations!$B$7), F1707, "")</f>
        <v/>
      </c>
      <c r="B1707">
        <f t="shared" si="557"/>
        <v>11</v>
      </c>
      <c r="C1707">
        <f t="shared" ca="1" si="537"/>
        <v>8</v>
      </c>
      <c r="D1707" t="str">
        <f t="shared" si="558"/>
        <v>N11</v>
      </c>
      <c r="E1707" t="str">
        <f t="shared" ca="1" si="559"/>
        <v/>
      </c>
      <c r="F1707" t="str">
        <f t="shared" ca="1" si="560"/>
        <v xml:space="preserve">Enter a 'Cost of Acquiring the Building***' for  building 8 in cell N11.
</v>
      </c>
      <c r="G1707" s="9" t="str">
        <f t="shared" ca="1" si="561"/>
        <v xml:space="preserve">Enter a value for 'Number of Floors in the Tallest Building' in cell B60.
</v>
      </c>
      <c r="H1707" s="52" t="str">
        <f t="shared" ca="1" si="562"/>
        <v>Cost of Acquiring the Building***</v>
      </c>
      <c r="I1707" s="52">
        <v>14</v>
      </c>
    </row>
    <row r="1708" spans="1:10" ht="15" customHeight="1">
      <c r="A1708" t="str">
        <f ca="1">IF(AND(OFFSET(A1708, -I1708 + 2, 4) &gt;  0, E1708="", Calculations!$B$7), F1708, "")</f>
        <v/>
      </c>
      <c r="B1708">
        <f t="shared" si="557"/>
        <v>11</v>
      </c>
      <c r="C1708">
        <f t="shared" ca="1" si="537"/>
        <v>8</v>
      </c>
      <c r="D1708" t="str">
        <f t="shared" si="558"/>
        <v>O11</v>
      </c>
      <c r="E1708" t="str">
        <f t="shared" ca="1" si="559"/>
        <v/>
      </c>
      <c r="F1708" t="str">
        <f t="shared" ca="1" si="560"/>
        <v xml:space="preserve">Enter a 'Higher of Land Purchase Price or Land Appraised Value****' for  building 8 in cell O11.
</v>
      </c>
      <c r="G1708" s="9" t="str">
        <f t="shared" ca="1" si="561"/>
        <v xml:space="preserve">Enter a value for 'Number of Floors in the Tallest Building' in cell B60.
</v>
      </c>
      <c r="H1708" s="52" t="str">
        <f t="shared" ca="1" si="562"/>
        <v>Higher of Land Purchase Price or Land Appraised Value****</v>
      </c>
      <c r="I1708" s="52">
        <v>15</v>
      </c>
    </row>
    <row r="1709" spans="1:10" ht="15" customHeight="1">
      <c r="A1709" t="str">
        <f ca="1">IF(AND(OFFSET(A1709, -I1709 + 2, 4) &gt;  0, E1709="", Calculations!$B$7), F1709, "")</f>
        <v/>
      </c>
      <c r="B1709">
        <f t="shared" si="557"/>
        <v>11</v>
      </c>
      <c r="C1709">
        <f t="shared" ca="1" si="537"/>
        <v>8</v>
      </c>
      <c r="D1709" t="str">
        <f t="shared" si="558"/>
        <v>P11</v>
      </c>
      <c r="E1709" t="str">
        <f t="shared" ca="1" si="559"/>
        <v/>
      </c>
      <c r="F1709" t="str">
        <f t="shared" ca="1" si="560"/>
        <v xml:space="preserve">Enter a 'Acquisition Placed-in-Service Date' for  building 8 in cell P11.
</v>
      </c>
      <c r="G1709" s="9" t="str">
        <f t="shared" ca="1" si="561"/>
        <v xml:space="preserve">Enter a value for 'Number of Floors in the Tallest Building' in cell B60.
</v>
      </c>
      <c r="H1709" s="52" t="str">
        <f t="shared" ca="1" si="562"/>
        <v>Acquisition Placed-in-Service Date</v>
      </c>
      <c r="I1709" s="52">
        <v>16</v>
      </c>
    </row>
    <row r="1710" spans="1:10" ht="15" customHeight="1">
      <c r="A1710" t="str">
        <f ca="1">IF(AND(OFFSET(A1710, -I1710 + 2, 4) &gt;  0, E1710="", Calculations!$B$7), F1710, "")</f>
        <v/>
      </c>
      <c r="B1710">
        <f t="shared" si="557"/>
        <v>11</v>
      </c>
      <c r="C1710">
        <f t="shared" ca="1" si="537"/>
        <v>8</v>
      </c>
      <c r="D1710" t="str">
        <f t="shared" si="558"/>
        <v>Q11</v>
      </c>
      <c r="E1710" t="str">
        <f t="shared" ca="1" si="559"/>
        <v/>
      </c>
      <c r="F1710" t="str">
        <f t="shared" ca="1" si="560"/>
        <v xml:space="preserve">Enter a 'Acquisition APR' for  building 8 in cell Q11.
</v>
      </c>
      <c r="G1710" s="9" t="str">
        <f t="shared" ca="1" si="561"/>
        <v xml:space="preserve">Enter a value for 'Number of Floors in the Tallest Building' in cell B60.
</v>
      </c>
      <c r="H1710" s="52" t="str">
        <f t="shared" ca="1" si="562"/>
        <v>Acquisition APR</v>
      </c>
      <c r="I1710" s="52">
        <v>17</v>
      </c>
    </row>
    <row r="1711" spans="1:10" ht="15" customHeight="1">
      <c r="A1711" t="str">
        <f ca="1">IF(AND(Calculations!$B$4,Calculations!$B$29&gt;=C1711, E1711 &lt;&gt; 13),F1711,"")</f>
        <v/>
      </c>
      <c r="B1711">
        <f>ROW('Final Building Profile'!C12)</f>
        <v>12</v>
      </c>
      <c r="C1711">
        <f t="shared" ref="C1711:C1774" ca="1" si="563">INDIRECT($F$1565 &amp; ADDRESS(B1711, 1,4  ))</f>
        <v>9</v>
      </c>
      <c r="D1711" t="str">
        <f>ADDRESS(B1711, 3,4  )</f>
        <v>C12</v>
      </c>
      <c r="E1711" s="52">
        <f ca="1">H1711+I1711</f>
        <v>0</v>
      </c>
      <c r="F1711" t="str">
        <f ca="1">CONCATENATE("Based upon the number of buildings specified, information for  building ", C1711, " required for a final application in row ", B1711, ".", CHAR(10))</f>
        <v xml:space="preserve">Based upon the number of buildings specified, information for  building 9 required for a final application in row 12.
</v>
      </c>
      <c r="G1711" s="9" t="str">
        <f t="shared" ca="1" si="561"/>
        <v xml:space="preserve">Enter a value for 'Number of Floors in the Tallest Building' in cell B60.
</v>
      </c>
      <c r="H1711" s="52">
        <f ca="1">SUMPRODUCT(--ISTEXT(INDIRECT(J1711)))</f>
        <v>0</v>
      </c>
      <c r="I1711" s="52">
        <f ca="1">SUMPRODUCT(--ISNUMBER(INDIRECT(J1711)))</f>
        <v>0</v>
      </c>
      <c r="J1711" s="52" t="str">
        <f>$F$1565&amp; ADDRESS(B1711,3,4) &amp; ":" &amp; ADDRESS(B1711,15,4)</f>
        <v>'Final Building Profile'!C12:O12</v>
      </c>
    </row>
    <row r="1712" spans="1:10" ht="15" customHeight="1">
      <c r="A1712" t="str">
        <f t="shared" ref="A1712:A1721" ca="1" si="564">IF(AND(OFFSET(A1712, -I1712 + 2, 4) &gt;  0, E1712=""), F1712, "")</f>
        <v/>
      </c>
      <c r="B1712">
        <f t="shared" ref="B1712:B1726" si="565">B1711</f>
        <v>12</v>
      </c>
      <c r="C1712">
        <f t="shared" ca="1" si="563"/>
        <v>9</v>
      </c>
      <c r="D1712" t="str">
        <f t="shared" ref="D1712:D1726" si="566">ADDRESS(B1712, I1712,4  )</f>
        <v>C12</v>
      </c>
      <c r="E1712" t="str">
        <f t="shared" ref="E1712:E1726" ca="1" si="567">IF(ISBLANK( INDIRECT($F$1565 &amp; D1712)),"", INDIRECT($F$1565 &amp; D1712))</f>
        <v/>
      </c>
      <c r="F1712" t="str">
        <f t="shared" ref="F1712:F1726" ca="1" si="568">CONCATENATE("Enter a '"&amp; H1712 &amp;"' for  building ", C1712, " in cell ", D1712, ".", CHAR(10))</f>
        <v xml:space="preserve">Enter a 'Building Street Address Only 
(DO NOT ENTER CITY, STATE, OR ZIP)' for  building 9 in cell C12.
</v>
      </c>
      <c r="G1712" s="9" t="str">
        <f t="shared" ca="1" si="561"/>
        <v xml:space="preserve">Enter a value for 'Number of Floors in the Tallest Building' in cell B60.
</v>
      </c>
      <c r="H1712" s="52" t="str">
        <f t="shared" ref="H1712:H1726" ca="1" si="569">OFFSET(INDIRECT($F$1565 &amp; D1712), -B1712 + 3, 0)</f>
        <v>Building Street Address Only 
(DO NOT ENTER CITY, STATE, OR ZIP)</v>
      </c>
      <c r="I1712" s="52">
        <v>3</v>
      </c>
    </row>
    <row r="1713" spans="1:10" ht="15" customHeight="1">
      <c r="A1713" t="str">
        <f t="shared" ca="1" si="564"/>
        <v/>
      </c>
      <c r="B1713">
        <f t="shared" si="565"/>
        <v>12</v>
      </c>
      <c r="C1713">
        <f t="shared" ca="1" si="563"/>
        <v>9</v>
      </c>
      <c r="D1713" t="str">
        <f t="shared" si="566"/>
        <v>D12</v>
      </c>
      <c r="E1713" t="str">
        <f t="shared" ca="1" si="567"/>
        <v/>
      </c>
      <c r="F1713" t="str">
        <f t="shared" ca="1" si="568"/>
        <v xml:space="preserve">Enter a 'Total Units in Building*' for  building 9 in cell D12.
</v>
      </c>
      <c r="G1713" s="9" t="str">
        <f t="shared" ca="1" si="561"/>
        <v xml:space="preserve">Enter a value for 'Number of Floors in the Tallest Building' in cell B60.
</v>
      </c>
      <c r="H1713" s="52" t="str">
        <f t="shared" ca="1" si="569"/>
        <v>Total Units in Building*</v>
      </c>
      <c r="I1713" s="52">
        <v>4</v>
      </c>
    </row>
    <row r="1714" spans="1:10" ht="15" customHeight="1">
      <c r="A1714" t="str">
        <f t="shared" ca="1" si="564"/>
        <v/>
      </c>
      <c r="B1714">
        <f t="shared" si="565"/>
        <v>12</v>
      </c>
      <c r="C1714">
        <f t="shared" ca="1" si="563"/>
        <v>9</v>
      </c>
      <c r="D1714" t="str">
        <f t="shared" si="566"/>
        <v>E12</v>
      </c>
      <c r="E1714" t="str">
        <f t="shared" ca="1" si="567"/>
        <v/>
      </c>
      <c r="F1714" t="str">
        <f t="shared" ca="1" si="568"/>
        <v xml:space="preserve">Enter a 'Employee Units' for  building 9 in cell E12.
</v>
      </c>
      <c r="G1714" s="9" t="str">
        <f t="shared" ca="1" si="561"/>
        <v xml:space="preserve">Enter a value for 'Number of Floors in the Tallest Building' in cell B60.
</v>
      </c>
      <c r="H1714" s="52" t="str">
        <f t="shared" ca="1" si="569"/>
        <v>Employee Units</v>
      </c>
      <c r="I1714" s="52">
        <v>5</v>
      </c>
    </row>
    <row r="1715" spans="1:10" ht="15" customHeight="1">
      <c r="A1715" t="str">
        <f t="shared" ca="1" si="564"/>
        <v/>
      </c>
      <c r="B1715">
        <f t="shared" si="565"/>
        <v>12</v>
      </c>
      <c r="C1715">
        <f t="shared" ca="1" si="563"/>
        <v>9</v>
      </c>
      <c r="D1715" t="str">
        <f t="shared" si="566"/>
        <v>F12</v>
      </c>
      <c r="E1715" t="str">
        <f t="shared" ca="1" si="567"/>
        <v/>
      </c>
      <c r="F1715" t="str">
        <f t="shared" ca="1" si="568"/>
        <v xml:space="preserve">Enter a 'Low-Income Units' for  building 9 in cell F12.
</v>
      </c>
      <c r="G1715" s="9" t="str">
        <f t="shared" ca="1" si="561"/>
        <v xml:space="preserve">Enter a value for 'Number of Floors in the Tallest Building' in cell B60.
</v>
      </c>
      <c r="H1715" s="52" t="str">
        <f t="shared" ca="1" si="569"/>
        <v>Low-Income Units</v>
      </c>
      <c r="I1715" s="52">
        <v>6</v>
      </c>
    </row>
    <row r="1716" spans="1:10" ht="15" customHeight="1">
      <c r="A1716" t="str">
        <f t="shared" ca="1" si="564"/>
        <v/>
      </c>
      <c r="B1716">
        <f t="shared" si="565"/>
        <v>12</v>
      </c>
      <c r="C1716">
        <f t="shared" ca="1" si="563"/>
        <v>9</v>
      </c>
      <c r="D1716" t="str">
        <f t="shared" si="566"/>
        <v>G12</v>
      </c>
      <c r="E1716" t="str">
        <f t="shared" ca="1" si="567"/>
        <v/>
      </c>
      <c r="F1716" t="str">
        <f t="shared" ca="1" si="568"/>
        <v xml:space="preserve">Enter a 'Residential Square Footage**' for  building 9 in cell G12.
</v>
      </c>
      <c r="G1716" s="9" t="str">
        <f t="shared" ca="1" si="561"/>
        <v xml:space="preserve">Enter a value for 'Number of Floors in the Tallest Building' in cell B60.
</v>
      </c>
      <c r="H1716" s="52" t="str">
        <f t="shared" ca="1" si="569"/>
        <v>Residential Square Footage**</v>
      </c>
      <c r="I1716" s="52">
        <v>7</v>
      </c>
    </row>
    <row r="1717" spans="1:10" ht="15" customHeight="1">
      <c r="A1717" t="str">
        <f t="shared" ca="1" si="564"/>
        <v/>
      </c>
      <c r="B1717">
        <f t="shared" si="565"/>
        <v>12</v>
      </c>
      <c r="C1717">
        <f t="shared" ca="1" si="563"/>
        <v>9</v>
      </c>
      <c r="D1717" t="str">
        <f t="shared" si="566"/>
        <v>H12</v>
      </c>
      <c r="E1717" t="str">
        <f t="shared" ca="1" si="567"/>
        <v/>
      </c>
      <c r="F1717" t="str">
        <f t="shared" ca="1" si="568"/>
        <v xml:space="preserve">Enter a 'Square Footage of Employee Units' for  building 9 in cell H12.
</v>
      </c>
      <c r="G1717" s="9" t="str">
        <f t="shared" ca="1" si="561"/>
        <v xml:space="preserve">Enter a value for 'Number of Floors in the Tallest Building' in cell B60.
</v>
      </c>
      <c r="H1717" s="52" t="str">
        <f t="shared" ca="1" si="569"/>
        <v>Square Footage of Employee Units</v>
      </c>
      <c r="I1717" s="52">
        <v>8</v>
      </c>
    </row>
    <row r="1718" spans="1:10" ht="15" customHeight="1">
      <c r="A1718" t="str">
        <f t="shared" ca="1" si="564"/>
        <v/>
      </c>
      <c r="B1718">
        <f t="shared" si="565"/>
        <v>12</v>
      </c>
      <c r="C1718">
        <f t="shared" ca="1" si="563"/>
        <v>9</v>
      </c>
      <c r="D1718" t="str">
        <f t="shared" si="566"/>
        <v>I12</v>
      </c>
      <c r="E1718" t="str">
        <f t="shared" ca="1" si="567"/>
        <v/>
      </c>
      <c r="F1718" t="str">
        <f t="shared" ca="1" si="568"/>
        <v xml:space="preserve">Enter a 'Square Footage of Low-Income Units' for  building 9 in cell I12.
</v>
      </c>
      <c r="G1718" s="9" t="str">
        <f t="shared" ca="1" si="561"/>
        <v xml:space="preserve">Enter a value for 'Number of Floors in the Tallest Building' in cell B60.
</v>
      </c>
      <c r="H1718" s="52" t="str">
        <f t="shared" ca="1" si="569"/>
        <v>Square Footage of Low-Income Units</v>
      </c>
      <c r="I1718" s="52">
        <v>9</v>
      </c>
    </row>
    <row r="1719" spans="1:10" ht="15" customHeight="1">
      <c r="A1719" t="str">
        <f t="shared" ca="1" si="564"/>
        <v/>
      </c>
      <c r="B1719">
        <f t="shared" si="565"/>
        <v>12</v>
      </c>
      <c r="C1719">
        <f t="shared" ca="1" si="563"/>
        <v>9</v>
      </c>
      <c r="D1719" t="str">
        <f t="shared" si="566"/>
        <v>J12</v>
      </c>
      <c r="E1719" t="str">
        <f t="shared" ca="1" si="567"/>
        <v/>
      </c>
      <c r="F1719" t="str">
        <f t="shared" ca="1" si="568"/>
        <v xml:space="preserve">Enter a 'Placed-In-Service Date' for  building 9 in cell J12.
</v>
      </c>
      <c r="G1719" s="9" t="str">
        <f t="shared" ca="1" si="561"/>
        <v xml:space="preserve">Enter a value for 'Number of Floors in the Tallest Building' in cell B60.
</v>
      </c>
      <c r="H1719" s="52" t="str">
        <f t="shared" ca="1" si="569"/>
        <v>Placed-In-Service Date</v>
      </c>
      <c r="I1719" s="52">
        <v>10</v>
      </c>
    </row>
    <row r="1720" spans="1:10" ht="15" customHeight="1">
      <c r="A1720" t="str">
        <f t="shared" ca="1" si="564"/>
        <v/>
      </c>
      <c r="B1720">
        <f t="shared" si="565"/>
        <v>12</v>
      </c>
      <c r="C1720">
        <f t="shared" ca="1" si="563"/>
        <v>9</v>
      </c>
      <c r="D1720" t="str">
        <f t="shared" si="566"/>
        <v>K12</v>
      </c>
      <c r="E1720" t="str">
        <f t="shared" ca="1" si="567"/>
        <v/>
      </c>
      <c r="F1720" t="str">
        <f t="shared" ca="1" si="568"/>
        <v xml:space="preserve">Enter a 'New Construction/ Rehab APR' for  building 9 in cell K12.
</v>
      </c>
      <c r="G1720" s="9" t="str">
        <f t="shared" ca="1" si="561"/>
        <v xml:space="preserve">Enter a value for 'Number of Floors in the Tallest Building' in cell B60.
</v>
      </c>
      <c r="H1720" s="52" t="str">
        <f t="shared" ca="1" si="569"/>
        <v>New Construction/ Rehab APR</v>
      </c>
      <c r="I1720" s="52">
        <v>11</v>
      </c>
    </row>
    <row r="1721" spans="1:10" ht="15" customHeight="1">
      <c r="A1721" t="str">
        <f t="shared" ca="1" si="564"/>
        <v/>
      </c>
      <c r="B1721">
        <f t="shared" si="565"/>
        <v>12</v>
      </c>
      <c r="C1721">
        <f t="shared" ca="1" si="563"/>
        <v>9</v>
      </c>
      <c r="D1721" t="str">
        <f t="shared" si="566"/>
        <v>L12</v>
      </c>
      <c r="E1721" t="str">
        <f t="shared" ca="1" si="567"/>
        <v/>
      </c>
      <c r="F1721" t="str">
        <f t="shared" ca="1" si="568"/>
        <v xml:space="preserve">Enter a 'New Construction Eligible Basis' for  building 9 in cell L12.
</v>
      </c>
      <c r="G1721" s="9" t="str">
        <f t="shared" ca="1" si="561"/>
        <v xml:space="preserve">Enter a value for 'Number of Floors in the Tallest Building' in cell B60.
</v>
      </c>
      <c r="H1721" s="52" t="str">
        <f t="shared" ca="1" si="569"/>
        <v>New Construction Eligible Basis</v>
      </c>
      <c r="I1721" s="52">
        <v>12</v>
      </c>
    </row>
    <row r="1722" spans="1:10" ht="15" customHeight="1">
      <c r="A1722" t="str">
        <f ca="1">IF(AND(OFFSET(A1722, -I1722 + 2, 4) &gt;  0, E1722="", Calculations!$B$7), F1722, "")</f>
        <v/>
      </c>
      <c r="B1722">
        <f t="shared" si="565"/>
        <v>12</v>
      </c>
      <c r="C1722">
        <f t="shared" ca="1" si="563"/>
        <v>9</v>
      </c>
      <c r="D1722" t="str">
        <f t="shared" si="566"/>
        <v>M12</v>
      </c>
      <c r="E1722" t="str">
        <f t="shared" ca="1" si="567"/>
        <v/>
      </c>
      <c r="F1722" t="str">
        <f t="shared" ca="1" si="568"/>
        <v xml:space="preserve">Enter a 'Eligible Basis for Rehab' for  building 9 in cell M12.
</v>
      </c>
      <c r="G1722" s="9" t="str">
        <f t="shared" ca="1" si="561"/>
        <v xml:space="preserve">Enter a value for 'Number of Floors in the Tallest Building' in cell B60.
</v>
      </c>
      <c r="H1722" s="52" t="str">
        <f t="shared" ca="1" si="569"/>
        <v>Eligible Basis for Rehab</v>
      </c>
      <c r="I1722" s="52">
        <v>13</v>
      </c>
    </row>
    <row r="1723" spans="1:10" ht="15" customHeight="1">
      <c r="A1723" t="str">
        <f ca="1">IF(AND(OFFSET(A1723, -I1723 + 2, 4) &gt;  0, E1723="", Calculations!$B$7), F1723, "")</f>
        <v/>
      </c>
      <c r="B1723">
        <f t="shared" si="565"/>
        <v>12</v>
      </c>
      <c r="C1723">
        <f t="shared" ca="1" si="563"/>
        <v>9</v>
      </c>
      <c r="D1723" t="str">
        <f t="shared" si="566"/>
        <v>N12</v>
      </c>
      <c r="E1723" t="str">
        <f t="shared" ca="1" si="567"/>
        <v/>
      </c>
      <c r="F1723" t="str">
        <f t="shared" ca="1" si="568"/>
        <v xml:space="preserve">Enter a 'Cost of Acquiring the Building***' for  building 9 in cell N12.
</v>
      </c>
      <c r="G1723" s="9" t="str">
        <f t="shared" ca="1" si="561"/>
        <v xml:space="preserve">Enter a value for 'Number of Floors in the Tallest Building' in cell B60.
</v>
      </c>
      <c r="H1723" s="52" t="str">
        <f t="shared" ca="1" si="569"/>
        <v>Cost of Acquiring the Building***</v>
      </c>
      <c r="I1723" s="52">
        <v>14</v>
      </c>
    </row>
    <row r="1724" spans="1:10" ht="15" customHeight="1">
      <c r="A1724" t="str">
        <f ca="1">IF(AND(OFFSET(A1724, -I1724 + 2, 4) &gt;  0, E1724="", Calculations!$B$7), F1724, "")</f>
        <v/>
      </c>
      <c r="B1724">
        <f t="shared" si="565"/>
        <v>12</v>
      </c>
      <c r="C1724">
        <f t="shared" ca="1" si="563"/>
        <v>9</v>
      </c>
      <c r="D1724" t="str">
        <f t="shared" si="566"/>
        <v>O12</v>
      </c>
      <c r="E1724" t="str">
        <f t="shared" ca="1" si="567"/>
        <v/>
      </c>
      <c r="F1724" t="str">
        <f t="shared" ca="1" si="568"/>
        <v xml:space="preserve">Enter a 'Higher of Land Purchase Price or Land Appraised Value****' for  building 9 in cell O12.
</v>
      </c>
      <c r="G1724" s="9" t="str">
        <f t="shared" ca="1" si="561"/>
        <v xml:space="preserve">Enter a value for 'Number of Floors in the Tallest Building' in cell B60.
</v>
      </c>
      <c r="H1724" s="52" t="str">
        <f t="shared" ca="1" si="569"/>
        <v>Higher of Land Purchase Price or Land Appraised Value****</v>
      </c>
      <c r="I1724" s="52">
        <v>15</v>
      </c>
    </row>
    <row r="1725" spans="1:10" ht="15" customHeight="1">
      <c r="A1725" t="str">
        <f ca="1">IF(AND(OFFSET(A1725, -I1725 + 2, 4) &gt;  0, E1725="", Calculations!$B$7), F1725, "")</f>
        <v/>
      </c>
      <c r="B1725">
        <f t="shared" si="565"/>
        <v>12</v>
      </c>
      <c r="C1725">
        <f t="shared" ca="1" si="563"/>
        <v>9</v>
      </c>
      <c r="D1725" t="str">
        <f t="shared" si="566"/>
        <v>P12</v>
      </c>
      <c r="E1725" t="str">
        <f t="shared" ca="1" si="567"/>
        <v/>
      </c>
      <c r="F1725" t="str">
        <f t="shared" ca="1" si="568"/>
        <v xml:space="preserve">Enter a 'Acquisition Placed-in-Service Date' for  building 9 in cell P12.
</v>
      </c>
      <c r="G1725" s="9" t="str">
        <f t="shared" ca="1" si="561"/>
        <v xml:space="preserve">Enter a value for 'Number of Floors in the Tallest Building' in cell B60.
</v>
      </c>
      <c r="H1725" s="52" t="str">
        <f t="shared" ca="1" si="569"/>
        <v>Acquisition Placed-in-Service Date</v>
      </c>
      <c r="I1725" s="52">
        <v>16</v>
      </c>
    </row>
    <row r="1726" spans="1:10" ht="15" customHeight="1">
      <c r="A1726" t="str">
        <f ca="1">IF(AND(OFFSET(A1726, -I1726 + 2, 4) &gt;  0, E1726="", Calculations!$B$7), F1726, "")</f>
        <v/>
      </c>
      <c r="B1726">
        <f t="shared" si="565"/>
        <v>12</v>
      </c>
      <c r="C1726">
        <f t="shared" ca="1" si="563"/>
        <v>9</v>
      </c>
      <c r="D1726" t="str">
        <f t="shared" si="566"/>
        <v>Q12</v>
      </c>
      <c r="E1726" t="str">
        <f t="shared" ca="1" si="567"/>
        <v/>
      </c>
      <c r="F1726" t="str">
        <f t="shared" ca="1" si="568"/>
        <v xml:space="preserve">Enter a 'Acquisition APR' for  building 9 in cell Q12.
</v>
      </c>
      <c r="G1726" s="9" t="str">
        <f t="shared" ca="1" si="561"/>
        <v xml:space="preserve">Enter a value for 'Number of Floors in the Tallest Building' in cell B60.
</v>
      </c>
      <c r="H1726" s="52" t="str">
        <f t="shared" ca="1" si="569"/>
        <v>Acquisition APR</v>
      </c>
      <c r="I1726" s="52">
        <v>17</v>
      </c>
    </row>
    <row r="1727" spans="1:10" ht="15" customHeight="1">
      <c r="A1727" t="str">
        <f ca="1">IF(AND(Calculations!$B$4,Calculations!$B$29&gt;=C1727, E1727 &lt;&gt; 13),F1727,"")</f>
        <v/>
      </c>
      <c r="B1727">
        <f>ROW('Final Building Profile'!C13)</f>
        <v>13</v>
      </c>
      <c r="C1727">
        <f t="shared" ca="1" si="563"/>
        <v>10</v>
      </c>
      <c r="D1727" t="str">
        <f>ADDRESS(B1727, 3,4  )</f>
        <v>C13</v>
      </c>
      <c r="E1727" s="52">
        <f ca="1">H1727+I1727</f>
        <v>0</v>
      </c>
      <c r="F1727" t="str">
        <f ca="1">CONCATENATE("Based upon the number of buildings specified, information for  building ", C1727, " required for a final application in row ", B1727, ".", CHAR(10))</f>
        <v xml:space="preserve">Based upon the number of buildings specified, information for  building 10 required for a final application in row 13.
</v>
      </c>
      <c r="G1727" s="9" t="str">
        <f t="shared" ca="1" si="561"/>
        <v xml:space="preserve">Enter a value for 'Number of Floors in the Tallest Building' in cell B60.
</v>
      </c>
      <c r="H1727" s="52">
        <f ca="1">SUMPRODUCT(--ISTEXT(INDIRECT(J1727)))</f>
        <v>0</v>
      </c>
      <c r="I1727" s="52">
        <f ca="1">SUMPRODUCT(--ISNUMBER(INDIRECT(J1727)))</f>
        <v>0</v>
      </c>
      <c r="J1727" s="52" t="str">
        <f>$F$1565&amp; ADDRESS(B1727,3,4) &amp; ":" &amp; ADDRESS(B1727,15,4)</f>
        <v>'Final Building Profile'!C13:O13</v>
      </c>
    </row>
    <row r="1728" spans="1:10" ht="15" customHeight="1">
      <c r="A1728" t="str">
        <f t="shared" ref="A1728:A1737" ca="1" si="570">IF(AND(OFFSET(A1728, -I1728 + 2, 4) &gt;  0, E1728=""), F1728, "")</f>
        <v/>
      </c>
      <c r="B1728">
        <f t="shared" ref="B1728:B1742" si="571">B1727</f>
        <v>13</v>
      </c>
      <c r="C1728">
        <f t="shared" ca="1" si="563"/>
        <v>10</v>
      </c>
      <c r="D1728" t="str">
        <f t="shared" ref="D1728:D1742" si="572">ADDRESS(B1728, I1728,4  )</f>
        <v>C13</v>
      </c>
      <c r="E1728" t="str">
        <f t="shared" ref="E1728:E1742" ca="1" si="573">IF(ISBLANK( INDIRECT($F$1565 &amp; D1728)),"", INDIRECT($F$1565 &amp; D1728))</f>
        <v/>
      </c>
      <c r="F1728" t="str">
        <f t="shared" ref="F1728:F1742" ca="1" si="574">CONCATENATE("Enter a '"&amp; H1728 &amp;"' for  building ", C1728, " in cell ", D1728, ".", CHAR(10))</f>
        <v xml:space="preserve">Enter a 'Building Street Address Only 
(DO NOT ENTER CITY, STATE, OR ZIP)' for  building 10 in cell C13.
</v>
      </c>
      <c r="G1728" s="9" t="str">
        <f t="shared" ca="1" si="561"/>
        <v xml:space="preserve">Enter a value for 'Number of Floors in the Tallest Building' in cell B60.
</v>
      </c>
      <c r="H1728" s="52" t="str">
        <f t="shared" ref="H1728:H1742" ca="1" si="575">OFFSET(INDIRECT($F$1565 &amp; D1728), -B1728 + 3, 0)</f>
        <v>Building Street Address Only 
(DO NOT ENTER CITY, STATE, OR ZIP)</v>
      </c>
      <c r="I1728" s="52">
        <v>3</v>
      </c>
    </row>
    <row r="1729" spans="1:10" ht="15" customHeight="1">
      <c r="A1729" t="str">
        <f t="shared" ca="1" si="570"/>
        <v/>
      </c>
      <c r="B1729">
        <f t="shared" si="571"/>
        <v>13</v>
      </c>
      <c r="C1729">
        <f t="shared" ca="1" si="563"/>
        <v>10</v>
      </c>
      <c r="D1729" t="str">
        <f t="shared" si="572"/>
        <v>D13</v>
      </c>
      <c r="E1729" t="str">
        <f t="shared" ca="1" si="573"/>
        <v/>
      </c>
      <c r="F1729" t="str">
        <f t="shared" ca="1" si="574"/>
        <v xml:space="preserve">Enter a 'Total Units in Building*' for  building 10 in cell D13.
</v>
      </c>
      <c r="G1729" s="9" t="str">
        <f t="shared" ca="1" si="561"/>
        <v xml:space="preserve">Enter a value for 'Number of Floors in the Tallest Building' in cell B60.
</v>
      </c>
      <c r="H1729" s="52" t="str">
        <f t="shared" ca="1" si="575"/>
        <v>Total Units in Building*</v>
      </c>
      <c r="I1729" s="52">
        <v>4</v>
      </c>
    </row>
    <row r="1730" spans="1:10" ht="15" customHeight="1">
      <c r="A1730" t="str">
        <f t="shared" ca="1" si="570"/>
        <v/>
      </c>
      <c r="B1730">
        <f t="shared" si="571"/>
        <v>13</v>
      </c>
      <c r="C1730">
        <f t="shared" ca="1" si="563"/>
        <v>10</v>
      </c>
      <c r="D1730" t="str">
        <f t="shared" si="572"/>
        <v>E13</v>
      </c>
      <c r="E1730" t="str">
        <f t="shared" ca="1" si="573"/>
        <v/>
      </c>
      <c r="F1730" t="str">
        <f t="shared" ca="1" si="574"/>
        <v xml:space="preserve">Enter a 'Employee Units' for  building 10 in cell E13.
</v>
      </c>
      <c r="G1730" s="9" t="str">
        <f t="shared" ca="1" si="561"/>
        <v xml:space="preserve">Enter a value for 'Number of Floors in the Tallest Building' in cell B60.
</v>
      </c>
      <c r="H1730" s="52" t="str">
        <f t="shared" ca="1" si="575"/>
        <v>Employee Units</v>
      </c>
      <c r="I1730" s="52">
        <v>5</v>
      </c>
    </row>
    <row r="1731" spans="1:10" ht="15" customHeight="1">
      <c r="A1731" t="str">
        <f t="shared" ca="1" si="570"/>
        <v/>
      </c>
      <c r="B1731">
        <f t="shared" si="571"/>
        <v>13</v>
      </c>
      <c r="C1731">
        <f t="shared" ca="1" si="563"/>
        <v>10</v>
      </c>
      <c r="D1731" t="str">
        <f t="shared" si="572"/>
        <v>F13</v>
      </c>
      <c r="E1731" t="str">
        <f t="shared" ca="1" si="573"/>
        <v/>
      </c>
      <c r="F1731" t="str">
        <f t="shared" ca="1" si="574"/>
        <v xml:space="preserve">Enter a 'Low-Income Units' for  building 10 in cell F13.
</v>
      </c>
      <c r="G1731" s="9" t="str">
        <f t="shared" ca="1" si="561"/>
        <v xml:space="preserve">Enter a value for 'Number of Floors in the Tallest Building' in cell B60.
</v>
      </c>
      <c r="H1731" s="52" t="str">
        <f t="shared" ca="1" si="575"/>
        <v>Low-Income Units</v>
      </c>
      <c r="I1731" s="52">
        <v>6</v>
      </c>
    </row>
    <row r="1732" spans="1:10" ht="15" customHeight="1">
      <c r="A1732" t="str">
        <f t="shared" ca="1" si="570"/>
        <v/>
      </c>
      <c r="B1732">
        <f t="shared" si="571"/>
        <v>13</v>
      </c>
      <c r="C1732">
        <f t="shared" ca="1" si="563"/>
        <v>10</v>
      </c>
      <c r="D1732" t="str">
        <f t="shared" si="572"/>
        <v>G13</v>
      </c>
      <c r="E1732" t="str">
        <f t="shared" ca="1" si="573"/>
        <v/>
      </c>
      <c r="F1732" t="str">
        <f t="shared" ca="1" si="574"/>
        <v xml:space="preserve">Enter a 'Residential Square Footage**' for  building 10 in cell G13.
</v>
      </c>
      <c r="G1732" s="9" t="str">
        <f t="shared" ca="1" si="561"/>
        <v xml:space="preserve">Enter a value for 'Number of Floors in the Tallest Building' in cell B60.
</v>
      </c>
      <c r="H1732" s="52" t="str">
        <f t="shared" ca="1" si="575"/>
        <v>Residential Square Footage**</v>
      </c>
      <c r="I1732" s="52">
        <v>7</v>
      </c>
    </row>
    <row r="1733" spans="1:10" ht="15" customHeight="1">
      <c r="A1733" t="str">
        <f t="shared" ca="1" si="570"/>
        <v/>
      </c>
      <c r="B1733">
        <f t="shared" si="571"/>
        <v>13</v>
      </c>
      <c r="C1733">
        <f t="shared" ca="1" si="563"/>
        <v>10</v>
      </c>
      <c r="D1733" t="str">
        <f t="shared" si="572"/>
        <v>H13</v>
      </c>
      <c r="E1733" t="str">
        <f t="shared" ca="1" si="573"/>
        <v/>
      </c>
      <c r="F1733" t="str">
        <f t="shared" ca="1" si="574"/>
        <v xml:space="preserve">Enter a 'Square Footage of Employee Units' for  building 10 in cell H13.
</v>
      </c>
      <c r="G1733" s="9" t="str">
        <f t="shared" ca="1" si="561"/>
        <v xml:space="preserve">Enter a value for 'Number of Floors in the Tallest Building' in cell B60.
</v>
      </c>
      <c r="H1733" s="52" t="str">
        <f t="shared" ca="1" si="575"/>
        <v>Square Footage of Employee Units</v>
      </c>
      <c r="I1733" s="52">
        <v>8</v>
      </c>
    </row>
    <row r="1734" spans="1:10" ht="15" customHeight="1">
      <c r="A1734" t="str">
        <f t="shared" ca="1" si="570"/>
        <v/>
      </c>
      <c r="B1734">
        <f t="shared" si="571"/>
        <v>13</v>
      </c>
      <c r="C1734">
        <f t="shared" ca="1" si="563"/>
        <v>10</v>
      </c>
      <c r="D1734" t="str">
        <f t="shared" si="572"/>
        <v>I13</v>
      </c>
      <c r="E1734" t="str">
        <f t="shared" ca="1" si="573"/>
        <v/>
      </c>
      <c r="F1734" t="str">
        <f t="shared" ca="1" si="574"/>
        <v xml:space="preserve">Enter a 'Square Footage of Low-Income Units' for  building 10 in cell I13.
</v>
      </c>
      <c r="G1734" s="9" t="str">
        <f t="shared" ca="1" si="561"/>
        <v xml:space="preserve">Enter a value for 'Number of Floors in the Tallest Building' in cell B60.
</v>
      </c>
      <c r="H1734" s="52" t="str">
        <f t="shared" ca="1" si="575"/>
        <v>Square Footage of Low-Income Units</v>
      </c>
      <c r="I1734" s="52">
        <v>9</v>
      </c>
    </row>
    <row r="1735" spans="1:10" ht="15" customHeight="1">
      <c r="A1735" t="str">
        <f t="shared" ca="1" si="570"/>
        <v/>
      </c>
      <c r="B1735">
        <f t="shared" si="571"/>
        <v>13</v>
      </c>
      <c r="C1735">
        <f t="shared" ca="1" si="563"/>
        <v>10</v>
      </c>
      <c r="D1735" t="str">
        <f t="shared" si="572"/>
        <v>J13</v>
      </c>
      <c r="E1735" t="str">
        <f t="shared" ca="1" si="573"/>
        <v/>
      </c>
      <c r="F1735" t="str">
        <f t="shared" ca="1" si="574"/>
        <v xml:space="preserve">Enter a 'Placed-In-Service Date' for  building 10 in cell J13.
</v>
      </c>
      <c r="G1735" s="9" t="str">
        <f t="shared" ca="1" si="561"/>
        <v xml:space="preserve">Enter a value for 'Number of Floors in the Tallest Building' in cell B60.
</v>
      </c>
      <c r="H1735" s="52" t="str">
        <f t="shared" ca="1" si="575"/>
        <v>Placed-In-Service Date</v>
      </c>
      <c r="I1735" s="52">
        <v>10</v>
      </c>
    </row>
    <row r="1736" spans="1:10" ht="15" customHeight="1">
      <c r="A1736" t="str">
        <f t="shared" ca="1" si="570"/>
        <v/>
      </c>
      <c r="B1736">
        <f t="shared" si="571"/>
        <v>13</v>
      </c>
      <c r="C1736">
        <f t="shared" ca="1" si="563"/>
        <v>10</v>
      </c>
      <c r="D1736" t="str">
        <f t="shared" si="572"/>
        <v>K13</v>
      </c>
      <c r="E1736" t="str">
        <f t="shared" ca="1" si="573"/>
        <v/>
      </c>
      <c r="F1736" t="str">
        <f t="shared" ca="1" si="574"/>
        <v xml:space="preserve">Enter a 'New Construction/ Rehab APR' for  building 10 in cell K13.
</v>
      </c>
      <c r="G1736" s="9" t="str">
        <f t="shared" ca="1" si="561"/>
        <v xml:space="preserve">Enter a value for 'Number of Floors in the Tallest Building' in cell B60.
</v>
      </c>
      <c r="H1736" s="52" t="str">
        <f t="shared" ca="1" si="575"/>
        <v>New Construction/ Rehab APR</v>
      </c>
      <c r="I1736" s="52">
        <v>11</v>
      </c>
    </row>
    <row r="1737" spans="1:10" ht="15" customHeight="1">
      <c r="A1737" t="str">
        <f t="shared" ca="1" si="570"/>
        <v/>
      </c>
      <c r="B1737">
        <f t="shared" si="571"/>
        <v>13</v>
      </c>
      <c r="C1737">
        <f t="shared" ca="1" si="563"/>
        <v>10</v>
      </c>
      <c r="D1737" t="str">
        <f t="shared" si="572"/>
        <v>L13</v>
      </c>
      <c r="E1737" t="str">
        <f t="shared" ca="1" si="573"/>
        <v/>
      </c>
      <c r="F1737" t="str">
        <f t="shared" ca="1" si="574"/>
        <v xml:space="preserve">Enter a 'New Construction Eligible Basis' for  building 10 in cell L13.
</v>
      </c>
      <c r="G1737" s="9" t="str">
        <f t="shared" ca="1" si="561"/>
        <v xml:space="preserve">Enter a value for 'Number of Floors in the Tallest Building' in cell B60.
</v>
      </c>
      <c r="H1737" s="52" t="str">
        <f t="shared" ca="1" si="575"/>
        <v>New Construction Eligible Basis</v>
      </c>
      <c r="I1737" s="52">
        <v>12</v>
      </c>
    </row>
    <row r="1738" spans="1:10" ht="15" customHeight="1">
      <c r="A1738" t="str">
        <f ca="1">IF(AND(OFFSET(A1738, -I1738 + 2, 4) &gt;  0, E1738="", Calculations!$B$7), F1738, "")</f>
        <v/>
      </c>
      <c r="B1738">
        <f t="shared" si="571"/>
        <v>13</v>
      </c>
      <c r="C1738">
        <f t="shared" ca="1" si="563"/>
        <v>10</v>
      </c>
      <c r="D1738" t="str">
        <f t="shared" si="572"/>
        <v>M13</v>
      </c>
      <c r="E1738" t="str">
        <f t="shared" ca="1" si="573"/>
        <v/>
      </c>
      <c r="F1738" t="str">
        <f t="shared" ca="1" si="574"/>
        <v xml:space="preserve">Enter a 'Eligible Basis for Rehab' for  building 10 in cell M13.
</v>
      </c>
      <c r="G1738" s="9" t="str">
        <f t="shared" ca="1" si="561"/>
        <v xml:space="preserve">Enter a value for 'Number of Floors in the Tallest Building' in cell B60.
</v>
      </c>
      <c r="H1738" s="52" t="str">
        <f t="shared" ca="1" si="575"/>
        <v>Eligible Basis for Rehab</v>
      </c>
      <c r="I1738" s="52">
        <v>13</v>
      </c>
    </row>
    <row r="1739" spans="1:10" ht="15" customHeight="1">
      <c r="A1739" t="str">
        <f ca="1">IF(AND(OFFSET(A1739, -I1739 + 2, 4) &gt;  0, E1739="", Calculations!$B$7), F1739, "")</f>
        <v/>
      </c>
      <c r="B1739">
        <f t="shared" si="571"/>
        <v>13</v>
      </c>
      <c r="C1739">
        <f t="shared" ca="1" si="563"/>
        <v>10</v>
      </c>
      <c r="D1739" t="str">
        <f t="shared" si="572"/>
        <v>N13</v>
      </c>
      <c r="E1739" t="str">
        <f t="shared" ca="1" si="573"/>
        <v/>
      </c>
      <c r="F1739" t="str">
        <f t="shared" ca="1" si="574"/>
        <v xml:space="preserve">Enter a 'Cost of Acquiring the Building***' for  building 10 in cell N13.
</v>
      </c>
      <c r="G1739" s="9" t="str">
        <f t="shared" ca="1" si="561"/>
        <v xml:space="preserve">Enter a value for 'Number of Floors in the Tallest Building' in cell B60.
</v>
      </c>
      <c r="H1739" s="52" t="str">
        <f t="shared" ca="1" si="575"/>
        <v>Cost of Acquiring the Building***</v>
      </c>
      <c r="I1739" s="52">
        <v>14</v>
      </c>
    </row>
    <row r="1740" spans="1:10" ht="15" customHeight="1">
      <c r="A1740" t="str">
        <f ca="1">IF(AND(OFFSET(A1740, -I1740 + 2, 4) &gt;  0, E1740="", Calculations!$B$7), F1740, "")</f>
        <v/>
      </c>
      <c r="B1740">
        <f t="shared" si="571"/>
        <v>13</v>
      </c>
      <c r="C1740">
        <f t="shared" ca="1" si="563"/>
        <v>10</v>
      </c>
      <c r="D1740" t="str">
        <f t="shared" si="572"/>
        <v>O13</v>
      </c>
      <c r="E1740" t="str">
        <f t="shared" ca="1" si="573"/>
        <v/>
      </c>
      <c r="F1740" t="str">
        <f t="shared" ca="1" si="574"/>
        <v xml:space="preserve">Enter a 'Higher of Land Purchase Price or Land Appraised Value****' for  building 10 in cell O13.
</v>
      </c>
      <c r="G1740" s="9" t="str">
        <f t="shared" ca="1" si="561"/>
        <v xml:space="preserve">Enter a value for 'Number of Floors in the Tallest Building' in cell B60.
</v>
      </c>
      <c r="H1740" s="52" t="str">
        <f t="shared" ca="1" si="575"/>
        <v>Higher of Land Purchase Price or Land Appraised Value****</v>
      </c>
      <c r="I1740" s="52">
        <v>15</v>
      </c>
    </row>
    <row r="1741" spans="1:10" ht="15" customHeight="1">
      <c r="A1741" t="str">
        <f ca="1">IF(AND(OFFSET(A1741, -I1741 + 2, 4) &gt;  0, E1741="", Calculations!$B$7), F1741, "")</f>
        <v/>
      </c>
      <c r="B1741">
        <f t="shared" si="571"/>
        <v>13</v>
      </c>
      <c r="C1741">
        <f t="shared" ca="1" si="563"/>
        <v>10</v>
      </c>
      <c r="D1741" t="str">
        <f t="shared" si="572"/>
        <v>P13</v>
      </c>
      <c r="E1741" t="str">
        <f t="shared" ca="1" si="573"/>
        <v/>
      </c>
      <c r="F1741" t="str">
        <f t="shared" ca="1" si="574"/>
        <v xml:space="preserve">Enter a 'Acquisition Placed-in-Service Date' for  building 10 in cell P13.
</v>
      </c>
      <c r="G1741" s="9" t="str">
        <f t="shared" ca="1" si="561"/>
        <v xml:space="preserve">Enter a value for 'Number of Floors in the Tallest Building' in cell B60.
</v>
      </c>
      <c r="H1741" s="52" t="str">
        <f t="shared" ca="1" si="575"/>
        <v>Acquisition Placed-in-Service Date</v>
      </c>
      <c r="I1741" s="52">
        <v>16</v>
      </c>
    </row>
    <row r="1742" spans="1:10" ht="15" customHeight="1">
      <c r="A1742" t="str">
        <f ca="1">IF(AND(OFFSET(A1742, -I1742 + 2, 4) &gt;  0, E1742="", Calculations!$B$7), F1742, "")</f>
        <v/>
      </c>
      <c r="B1742">
        <f t="shared" si="571"/>
        <v>13</v>
      </c>
      <c r="C1742">
        <f t="shared" ca="1" si="563"/>
        <v>10</v>
      </c>
      <c r="D1742" t="str">
        <f t="shared" si="572"/>
        <v>Q13</v>
      </c>
      <c r="E1742" t="str">
        <f t="shared" ca="1" si="573"/>
        <v/>
      </c>
      <c r="F1742" t="str">
        <f t="shared" ca="1" si="574"/>
        <v xml:space="preserve">Enter a 'Acquisition APR' for  building 10 in cell Q13.
</v>
      </c>
      <c r="G1742" s="9" t="str">
        <f t="shared" ca="1" si="561"/>
        <v xml:space="preserve">Enter a value for 'Number of Floors in the Tallest Building' in cell B60.
</v>
      </c>
      <c r="H1742" s="52" t="str">
        <f t="shared" ca="1" si="575"/>
        <v>Acquisition APR</v>
      </c>
      <c r="I1742" s="52">
        <v>17</v>
      </c>
    </row>
    <row r="1743" spans="1:10" ht="15" customHeight="1">
      <c r="A1743" t="str">
        <f ca="1">IF(AND(Calculations!$B$4,Calculations!$B$29&gt;=C1743, E1743 &lt;&gt; 13),F1743,"")</f>
        <v/>
      </c>
      <c r="B1743">
        <f>ROW('Final Building Profile'!C14)</f>
        <v>14</v>
      </c>
      <c r="C1743">
        <f t="shared" ca="1" si="563"/>
        <v>11</v>
      </c>
      <c r="D1743" t="str">
        <f>ADDRESS(B1743, 3,4  )</f>
        <v>C14</v>
      </c>
      <c r="E1743" s="52">
        <f ca="1">H1743+I1743</f>
        <v>0</v>
      </c>
      <c r="F1743" t="str">
        <f ca="1">CONCATENATE("Based upon the number of buildings specified, information for  building ", C1743, " required for a final application in row ", B1743, ".", CHAR(10))</f>
        <v xml:space="preserve">Based upon the number of buildings specified, information for  building 11 required for a final application in row 14.
</v>
      </c>
      <c r="G1743" s="9" t="str">
        <f t="shared" ca="1" si="561"/>
        <v xml:space="preserve">Enter a value for 'Number of Floors in the Tallest Building' in cell B60.
</v>
      </c>
      <c r="H1743" s="52">
        <f ca="1">SUMPRODUCT(--ISTEXT(INDIRECT(J1743)))</f>
        <v>0</v>
      </c>
      <c r="I1743" s="52">
        <f ca="1">SUMPRODUCT(--ISNUMBER(INDIRECT(J1743)))</f>
        <v>0</v>
      </c>
      <c r="J1743" s="52" t="str">
        <f>$F$1565&amp; ADDRESS(B1743,3,4) &amp; ":" &amp; ADDRESS(B1743,15,4)</f>
        <v>'Final Building Profile'!C14:O14</v>
      </c>
    </row>
    <row r="1744" spans="1:10" ht="15" customHeight="1">
      <c r="A1744" t="str">
        <f t="shared" ref="A1744:A1753" ca="1" si="576">IF(AND(OFFSET(A1744, -I1744 + 2, 4) &gt;  0, E1744=""), F1744, "")</f>
        <v/>
      </c>
      <c r="B1744">
        <f t="shared" ref="B1744:B1758" si="577">B1743</f>
        <v>14</v>
      </c>
      <c r="C1744">
        <f t="shared" ca="1" si="563"/>
        <v>11</v>
      </c>
      <c r="D1744" t="str">
        <f t="shared" ref="D1744:D1758" si="578">ADDRESS(B1744, I1744,4  )</f>
        <v>C14</v>
      </c>
      <c r="E1744" t="str">
        <f t="shared" ref="E1744:E1758" ca="1" si="579">IF(ISBLANK( INDIRECT($F$1565 &amp; D1744)),"", INDIRECT($F$1565 &amp; D1744))</f>
        <v/>
      </c>
      <c r="F1744" t="str">
        <f t="shared" ref="F1744:F1758" ca="1" si="580">CONCATENATE("Enter a '"&amp; H1744 &amp;"' for  building ", C1744, " in cell ", D1744, ".", CHAR(10))</f>
        <v xml:space="preserve">Enter a 'Building Street Address Only 
(DO NOT ENTER CITY, STATE, OR ZIP)' for  building 11 in cell C14.
</v>
      </c>
      <c r="G1744" s="9" t="str">
        <f t="shared" ca="1" si="561"/>
        <v xml:space="preserve">Enter a value for 'Number of Floors in the Tallest Building' in cell B60.
</v>
      </c>
      <c r="H1744" s="52" t="str">
        <f t="shared" ref="H1744:H1758" ca="1" si="581">OFFSET(INDIRECT($F$1565 &amp; D1744), -B1744 + 3, 0)</f>
        <v>Building Street Address Only 
(DO NOT ENTER CITY, STATE, OR ZIP)</v>
      </c>
      <c r="I1744" s="52">
        <v>3</v>
      </c>
    </row>
    <row r="1745" spans="1:10" ht="15" customHeight="1">
      <c r="A1745" t="str">
        <f t="shared" ca="1" si="576"/>
        <v/>
      </c>
      <c r="B1745">
        <f t="shared" si="577"/>
        <v>14</v>
      </c>
      <c r="C1745">
        <f t="shared" ca="1" si="563"/>
        <v>11</v>
      </c>
      <c r="D1745" t="str">
        <f t="shared" si="578"/>
        <v>D14</v>
      </c>
      <c r="E1745" t="str">
        <f t="shared" ca="1" si="579"/>
        <v/>
      </c>
      <c r="F1745" t="str">
        <f t="shared" ca="1" si="580"/>
        <v xml:space="preserve">Enter a 'Total Units in Building*' for  building 11 in cell D14.
</v>
      </c>
      <c r="G1745" s="9" t="str">
        <f t="shared" ca="1" si="561"/>
        <v xml:space="preserve">Enter a value for 'Number of Floors in the Tallest Building' in cell B60.
</v>
      </c>
      <c r="H1745" s="52" t="str">
        <f t="shared" ca="1" si="581"/>
        <v>Total Units in Building*</v>
      </c>
      <c r="I1745" s="52">
        <v>4</v>
      </c>
    </row>
    <row r="1746" spans="1:10" ht="15" customHeight="1">
      <c r="A1746" t="str">
        <f t="shared" ca="1" si="576"/>
        <v/>
      </c>
      <c r="B1746">
        <f t="shared" si="577"/>
        <v>14</v>
      </c>
      <c r="C1746">
        <f t="shared" ca="1" si="563"/>
        <v>11</v>
      </c>
      <c r="D1746" t="str">
        <f t="shared" si="578"/>
        <v>E14</v>
      </c>
      <c r="E1746" t="str">
        <f t="shared" ca="1" si="579"/>
        <v/>
      </c>
      <c r="F1746" t="str">
        <f t="shared" ca="1" si="580"/>
        <v xml:space="preserve">Enter a 'Employee Units' for  building 11 in cell E14.
</v>
      </c>
      <c r="G1746" s="9" t="str">
        <f t="shared" ca="1" si="561"/>
        <v xml:space="preserve">Enter a value for 'Number of Floors in the Tallest Building' in cell B60.
</v>
      </c>
      <c r="H1746" s="52" t="str">
        <f t="shared" ca="1" si="581"/>
        <v>Employee Units</v>
      </c>
      <c r="I1746" s="52">
        <v>5</v>
      </c>
    </row>
    <row r="1747" spans="1:10" ht="15" customHeight="1">
      <c r="A1747" t="str">
        <f t="shared" ca="1" si="576"/>
        <v/>
      </c>
      <c r="B1747">
        <f t="shared" si="577"/>
        <v>14</v>
      </c>
      <c r="C1747">
        <f t="shared" ca="1" si="563"/>
        <v>11</v>
      </c>
      <c r="D1747" t="str">
        <f t="shared" si="578"/>
        <v>F14</v>
      </c>
      <c r="E1747" t="str">
        <f t="shared" ca="1" si="579"/>
        <v/>
      </c>
      <c r="F1747" t="str">
        <f t="shared" ca="1" si="580"/>
        <v xml:space="preserve">Enter a 'Low-Income Units' for  building 11 in cell F14.
</v>
      </c>
      <c r="G1747" s="9" t="str">
        <f t="shared" ca="1" si="561"/>
        <v xml:space="preserve">Enter a value for 'Number of Floors in the Tallest Building' in cell B60.
</v>
      </c>
      <c r="H1747" s="52" t="str">
        <f t="shared" ca="1" si="581"/>
        <v>Low-Income Units</v>
      </c>
      <c r="I1747" s="52">
        <v>6</v>
      </c>
    </row>
    <row r="1748" spans="1:10" ht="15" customHeight="1">
      <c r="A1748" t="str">
        <f t="shared" ca="1" si="576"/>
        <v/>
      </c>
      <c r="B1748">
        <f t="shared" si="577"/>
        <v>14</v>
      </c>
      <c r="C1748">
        <f t="shared" ca="1" si="563"/>
        <v>11</v>
      </c>
      <c r="D1748" t="str">
        <f t="shared" si="578"/>
        <v>G14</v>
      </c>
      <c r="E1748" t="str">
        <f t="shared" ca="1" si="579"/>
        <v/>
      </c>
      <c r="F1748" t="str">
        <f t="shared" ca="1" si="580"/>
        <v xml:space="preserve">Enter a 'Residential Square Footage**' for  building 11 in cell G14.
</v>
      </c>
      <c r="G1748" s="9" t="str">
        <f t="shared" ca="1" si="561"/>
        <v xml:space="preserve">Enter a value for 'Number of Floors in the Tallest Building' in cell B60.
</v>
      </c>
      <c r="H1748" s="52" t="str">
        <f t="shared" ca="1" si="581"/>
        <v>Residential Square Footage**</v>
      </c>
      <c r="I1748" s="52">
        <v>7</v>
      </c>
    </row>
    <row r="1749" spans="1:10" ht="15" customHeight="1">
      <c r="A1749" t="str">
        <f t="shared" ca="1" si="576"/>
        <v/>
      </c>
      <c r="B1749">
        <f t="shared" si="577"/>
        <v>14</v>
      </c>
      <c r="C1749">
        <f t="shared" ca="1" si="563"/>
        <v>11</v>
      </c>
      <c r="D1749" t="str">
        <f t="shared" si="578"/>
        <v>H14</v>
      </c>
      <c r="E1749" t="str">
        <f t="shared" ca="1" si="579"/>
        <v/>
      </c>
      <c r="F1749" t="str">
        <f t="shared" ca="1" si="580"/>
        <v xml:space="preserve">Enter a 'Square Footage of Employee Units' for  building 11 in cell H14.
</v>
      </c>
      <c r="G1749" s="9" t="str">
        <f t="shared" ca="1" si="561"/>
        <v xml:space="preserve">Enter a value for 'Number of Floors in the Tallest Building' in cell B60.
</v>
      </c>
      <c r="H1749" s="52" t="str">
        <f t="shared" ca="1" si="581"/>
        <v>Square Footage of Employee Units</v>
      </c>
      <c r="I1749" s="52">
        <v>8</v>
      </c>
    </row>
    <row r="1750" spans="1:10" ht="15" customHeight="1">
      <c r="A1750" t="str">
        <f t="shared" ca="1" si="576"/>
        <v/>
      </c>
      <c r="B1750">
        <f t="shared" si="577"/>
        <v>14</v>
      </c>
      <c r="C1750">
        <f t="shared" ca="1" si="563"/>
        <v>11</v>
      </c>
      <c r="D1750" t="str">
        <f t="shared" si="578"/>
        <v>I14</v>
      </c>
      <c r="E1750" t="str">
        <f t="shared" ca="1" si="579"/>
        <v/>
      </c>
      <c r="F1750" t="str">
        <f t="shared" ca="1" si="580"/>
        <v xml:space="preserve">Enter a 'Square Footage of Low-Income Units' for  building 11 in cell I14.
</v>
      </c>
      <c r="G1750" s="9" t="str">
        <f t="shared" ca="1" si="561"/>
        <v xml:space="preserve">Enter a value for 'Number of Floors in the Tallest Building' in cell B60.
</v>
      </c>
      <c r="H1750" s="52" t="str">
        <f t="shared" ca="1" si="581"/>
        <v>Square Footage of Low-Income Units</v>
      </c>
      <c r="I1750" s="52">
        <v>9</v>
      </c>
    </row>
    <row r="1751" spans="1:10" ht="15" customHeight="1">
      <c r="A1751" t="str">
        <f t="shared" ca="1" si="576"/>
        <v/>
      </c>
      <c r="B1751">
        <f t="shared" si="577"/>
        <v>14</v>
      </c>
      <c r="C1751">
        <f t="shared" ca="1" si="563"/>
        <v>11</v>
      </c>
      <c r="D1751" t="str">
        <f t="shared" si="578"/>
        <v>J14</v>
      </c>
      <c r="E1751" t="str">
        <f t="shared" ca="1" si="579"/>
        <v/>
      </c>
      <c r="F1751" t="str">
        <f t="shared" ca="1" si="580"/>
        <v xml:space="preserve">Enter a 'Placed-In-Service Date' for  building 11 in cell J14.
</v>
      </c>
      <c r="G1751" s="9" t="str">
        <f t="shared" ca="1" si="561"/>
        <v xml:space="preserve">Enter a value for 'Number of Floors in the Tallest Building' in cell B60.
</v>
      </c>
      <c r="H1751" s="52" t="str">
        <f t="shared" ca="1" si="581"/>
        <v>Placed-In-Service Date</v>
      </c>
      <c r="I1751" s="52">
        <v>10</v>
      </c>
    </row>
    <row r="1752" spans="1:10" ht="15" customHeight="1">
      <c r="A1752" t="str">
        <f t="shared" ca="1" si="576"/>
        <v/>
      </c>
      <c r="B1752">
        <f t="shared" si="577"/>
        <v>14</v>
      </c>
      <c r="C1752">
        <f t="shared" ca="1" si="563"/>
        <v>11</v>
      </c>
      <c r="D1752" t="str">
        <f t="shared" si="578"/>
        <v>K14</v>
      </c>
      <c r="E1752" t="str">
        <f t="shared" ca="1" si="579"/>
        <v/>
      </c>
      <c r="F1752" t="str">
        <f t="shared" ca="1" si="580"/>
        <v xml:space="preserve">Enter a 'New Construction/ Rehab APR' for  building 11 in cell K14.
</v>
      </c>
      <c r="G1752" s="9" t="str">
        <f t="shared" ca="1" si="561"/>
        <v xml:space="preserve">Enter a value for 'Number of Floors in the Tallest Building' in cell B60.
</v>
      </c>
      <c r="H1752" s="52" t="str">
        <f t="shared" ca="1" si="581"/>
        <v>New Construction/ Rehab APR</v>
      </c>
      <c r="I1752" s="52">
        <v>11</v>
      </c>
    </row>
    <row r="1753" spans="1:10" ht="15" customHeight="1">
      <c r="A1753" t="str">
        <f t="shared" ca="1" si="576"/>
        <v/>
      </c>
      <c r="B1753">
        <f t="shared" si="577"/>
        <v>14</v>
      </c>
      <c r="C1753">
        <f t="shared" ca="1" si="563"/>
        <v>11</v>
      </c>
      <c r="D1753" t="str">
        <f t="shared" si="578"/>
        <v>L14</v>
      </c>
      <c r="E1753" t="str">
        <f t="shared" ca="1" si="579"/>
        <v/>
      </c>
      <c r="F1753" t="str">
        <f t="shared" ca="1" si="580"/>
        <v xml:space="preserve">Enter a 'New Construction Eligible Basis' for  building 11 in cell L14.
</v>
      </c>
      <c r="G1753" s="9" t="str">
        <f t="shared" ca="1" si="561"/>
        <v xml:space="preserve">Enter a value for 'Number of Floors in the Tallest Building' in cell B60.
</v>
      </c>
      <c r="H1753" s="52" t="str">
        <f t="shared" ca="1" si="581"/>
        <v>New Construction Eligible Basis</v>
      </c>
      <c r="I1753" s="52">
        <v>12</v>
      </c>
    </row>
    <row r="1754" spans="1:10" ht="15" customHeight="1">
      <c r="A1754" t="str">
        <f ca="1">IF(AND(OFFSET(A1754, -I1754 + 2, 4) &gt;  0, E1754="", Calculations!$B$7), F1754, "")</f>
        <v/>
      </c>
      <c r="B1754">
        <f t="shared" si="577"/>
        <v>14</v>
      </c>
      <c r="C1754">
        <f t="shared" ca="1" si="563"/>
        <v>11</v>
      </c>
      <c r="D1754" t="str">
        <f t="shared" si="578"/>
        <v>M14</v>
      </c>
      <c r="E1754" t="str">
        <f t="shared" ca="1" si="579"/>
        <v/>
      </c>
      <c r="F1754" t="str">
        <f t="shared" ca="1" si="580"/>
        <v xml:space="preserve">Enter a 'Eligible Basis for Rehab' for  building 11 in cell M14.
</v>
      </c>
      <c r="G1754" s="9" t="str">
        <f t="shared" ca="1" si="561"/>
        <v xml:space="preserve">Enter a value for 'Number of Floors in the Tallest Building' in cell B60.
</v>
      </c>
      <c r="H1754" s="52" t="str">
        <f t="shared" ca="1" si="581"/>
        <v>Eligible Basis for Rehab</v>
      </c>
      <c r="I1754" s="52">
        <v>13</v>
      </c>
    </row>
    <row r="1755" spans="1:10" ht="15" customHeight="1">
      <c r="A1755" t="str">
        <f ca="1">IF(AND(OFFSET(A1755, -I1755 + 2, 4) &gt;  0, E1755="", Calculations!$B$7), F1755, "")</f>
        <v/>
      </c>
      <c r="B1755">
        <f t="shared" si="577"/>
        <v>14</v>
      </c>
      <c r="C1755">
        <f t="shared" ca="1" si="563"/>
        <v>11</v>
      </c>
      <c r="D1755" t="str">
        <f t="shared" si="578"/>
        <v>N14</v>
      </c>
      <c r="E1755" t="str">
        <f t="shared" ca="1" si="579"/>
        <v/>
      </c>
      <c r="F1755" t="str">
        <f t="shared" ca="1" si="580"/>
        <v xml:space="preserve">Enter a 'Cost of Acquiring the Building***' for  building 11 in cell N14.
</v>
      </c>
      <c r="G1755" s="9" t="str">
        <f t="shared" ca="1" si="561"/>
        <v xml:space="preserve">Enter a value for 'Number of Floors in the Tallest Building' in cell B60.
</v>
      </c>
      <c r="H1755" s="52" t="str">
        <f t="shared" ca="1" si="581"/>
        <v>Cost of Acquiring the Building***</v>
      </c>
      <c r="I1755" s="52">
        <v>14</v>
      </c>
    </row>
    <row r="1756" spans="1:10" ht="15" customHeight="1">
      <c r="A1756" t="str">
        <f ca="1">IF(AND(OFFSET(A1756, -I1756 + 2, 4) &gt;  0, E1756="", Calculations!$B$7), F1756, "")</f>
        <v/>
      </c>
      <c r="B1756">
        <f t="shared" si="577"/>
        <v>14</v>
      </c>
      <c r="C1756">
        <f t="shared" ca="1" si="563"/>
        <v>11</v>
      </c>
      <c r="D1756" t="str">
        <f t="shared" si="578"/>
        <v>O14</v>
      </c>
      <c r="E1756" t="str">
        <f t="shared" ca="1" si="579"/>
        <v/>
      </c>
      <c r="F1756" t="str">
        <f t="shared" ca="1" si="580"/>
        <v xml:space="preserve">Enter a 'Higher of Land Purchase Price or Land Appraised Value****' for  building 11 in cell O14.
</v>
      </c>
      <c r="G1756" s="9" t="str">
        <f t="shared" ca="1" si="561"/>
        <v xml:space="preserve">Enter a value for 'Number of Floors in the Tallest Building' in cell B60.
</v>
      </c>
      <c r="H1756" s="52" t="str">
        <f t="shared" ca="1" si="581"/>
        <v>Higher of Land Purchase Price or Land Appraised Value****</v>
      </c>
      <c r="I1756" s="52">
        <v>15</v>
      </c>
    </row>
    <row r="1757" spans="1:10" ht="15" customHeight="1">
      <c r="A1757" t="str">
        <f ca="1">IF(AND(OFFSET(A1757, -I1757 + 2, 4) &gt;  0, E1757="", Calculations!$B$7), F1757, "")</f>
        <v/>
      </c>
      <c r="B1757">
        <f t="shared" si="577"/>
        <v>14</v>
      </c>
      <c r="C1757">
        <f t="shared" ca="1" si="563"/>
        <v>11</v>
      </c>
      <c r="D1757" t="str">
        <f t="shared" si="578"/>
        <v>P14</v>
      </c>
      <c r="E1757" t="str">
        <f t="shared" ca="1" si="579"/>
        <v/>
      </c>
      <c r="F1757" t="str">
        <f t="shared" ca="1" si="580"/>
        <v xml:space="preserve">Enter a 'Acquisition Placed-in-Service Date' for  building 11 in cell P14.
</v>
      </c>
      <c r="G1757" s="9" t="str">
        <f t="shared" ca="1" si="561"/>
        <v xml:space="preserve">Enter a value for 'Number of Floors in the Tallest Building' in cell B60.
</v>
      </c>
      <c r="H1757" s="52" t="str">
        <f t="shared" ca="1" si="581"/>
        <v>Acquisition Placed-in-Service Date</v>
      </c>
      <c r="I1757" s="52">
        <v>16</v>
      </c>
    </row>
    <row r="1758" spans="1:10" ht="15" customHeight="1">
      <c r="A1758" t="str">
        <f ca="1">IF(AND(OFFSET(A1758, -I1758 + 2, 4) &gt;  0, E1758="", Calculations!$B$7), F1758, "")</f>
        <v/>
      </c>
      <c r="B1758">
        <f t="shared" si="577"/>
        <v>14</v>
      </c>
      <c r="C1758">
        <f t="shared" ca="1" si="563"/>
        <v>11</v>
      </c>
      <c r="D1758" t="str">
        <f t="shared" si="578"/>
        <v>Q14</v>
      </c>
      <c r="E1758" t="str">
        <f t="shared" ca="1" si="579"/>
        <v/>
      </c>
      <c r="F1758" t="str">
        <f t="shared" ca="1" si="580"/>
        <v xml:space="preserve">Enter a 'Acquisition APR' for  building 11 in cell Q14.
</v>
      </c>
      <c r="G1758" s="9" t="str">
        <f t="shared" ca="1" si="561"/>
        <v xml:space="preserve">Enter a value for 'Number of Floors in the Tallest Building' in cell B60.
</v>
      </c>
      <c r="H1758" s="52" t="str">
        <f t="shared" ca="1" si="581"/>
        <v>Acquisition APR</v>
      </c>
      <c r="I1758" s="52">
        <v>17</v>
      </c>
    </row>
    <row r="1759" spans="1:10" ht="15" customHeight="1">
      <c r="A1759" t="str">
        <f ca="1">IF(AND(Calculations!$B$4,Calculations!$B$29&gt;=C1759, E1759 &lt;&gt; 13),F1759,"")</f>
        <v/>
      </c>
      <c r="B1759">
        <f>ROW('Final Building Profile'!C15)</f>
        <v>15</v>
      </c>
      <c r="C1759">
        <f t="shared" ca="1" si="563"/>
        <v>12</v>
      </c>
      <c r="D1759" t="str">
        <f>ADDRESS(B1759, 3,4  )</f>
        <v>C15</v>
      </c>
      <c r="E1759" s="52">
        <f ca="1">H1759+I1759</f>
        <v>0</v>
      </c>
      <c r="F1759" t="str">
        <f ca="1">CONCATENATE("Based upon the number of buildings specified, information for  building ", C1759, " required for a final application in row ", B1759, ".", CHAR(10))</f>
        <v xml:space="preserve">Based upon the number of buildings specified, information for  building 12 required for a final application in row 15.
</v>
      </c>
      <c r="G1759" s="9" t="str">
        <f t="shared" ca="1" si="561"/>
        <v xml:space="preserve">Enter a value for 'Number of Floors in the Tallest Building' in cell B60.
</v>
      </c>
      <c r="H1759" s="52">
        <f ca="1">SUMPRODUCT(--ISTEXT(INDIRECT(J1759)))</f>
        <v>0</v>
      </c>
      <c r="I1759" s="52">
        <f ca="1">SUMPRODUCT(--ISNUMBER(INDIRECT(J1759)))</f>
        <v>0</v>
      </c>
      <c r="J1759" s="52" t="str">
        <f>$F$1565&amp; ADDRESS(B1759,3,4) &amp; ":" &amp; ADDRESS(B1759,15,4)</f>
        <v>'Final Building Profile'!C15:O15</v>
      </c>
    </row>
    <row r="1760" spans="1:10" ht="15" customHeight="1">
      <c r="A1760" t="str">
        <f t="shared" ref="A1760:A1769" ca="1" si="582">IF(AND(OFFSET(A1760, -I1760 + 2, 4) &gt;  0, E1760=""), F1760, "")</f>
        <v/>
      </c>
      <c r="B1760">
        <f t="shared" ref="B1760:B1774" si="583">B1759</f>
        <v>15</v>
      </c>
      <c r="C1760">
        <f t="shared" ca="1" si="563"/>
        <v>12</v>
      </c>
      <c r="D1760" t="str">
        <f t="shared" ref="D1760:D1774" si="584">ADDRESS(B1760, I1760,4  )</f>
        <v>C15</v>
      </c>
      <c r="E1760" t="str">
        <f t="shared" ref="E1760:E1774" ca="1" si="585">IF(ISBLANK( INDIRECT($F$1565 &amp; D1760)),"", INDIRECT($F$1565 &amp; D1760))</f>
        <v/>
      </c>
      <c r="F1760" t="str">
        <f t="shared" ref="F1760:F1774" ca="1" si="586">CONCATENATE("Enter a '"&amp; H1760 &amp;"' for  building ", C1760, " in cell ", D1760, ".", CHAR(10))</f>
        <v xml:space="preserve">Enter a 'Building Street Address Only 
(DO NOT ENTER CITY, STATE, OR ZIP)' for  building 12 in cell C15.
</v>
      </c>
      <c r="G1760" s="9" t="str">
        <f t="shared" ref="G1760:G1823" ca="1" si="587">OFFSET(G1760, -1, 0) &amp; A1760</f>
        <v xml:space="preserve">Enter a value for 'Number of Floors in the Tallest Building' in cell B60.
</v>
      </c>
      <c r="H1760" s="52" t="str">
        <f t="shared" ref="H1760:H1774" ca="1" si="588">OFFSET(INDIRECT($F$1565 &amp; D1760), -B1760 + 3, 0)</f>
        <v>Building Street Address Only 
(DO NOT ENTER CITY, STATE, OR ZIP)</v>
      </c>
      <c r="I1760" s="52">
        <v>3</v>
      </c>
    </row>
    <row r="1761" spans="1:10" ht="15" customHeight="1">
      <c r="A1761" t="str">
        <f t="shared" ca="1" si="582"/>
        <v/>
      </c>
      <c r="B1761">
        <f t="shared" si="583"/>
        <v>15</v>
      </c>
      <c r="C1761">
        <f t="shared" ca="1" si="563"/>
        <v>12</v>
      </c>
      <c r="D1761" t="str">
        <f t="shared" si="584"/>
        <v>D15</v>
      </c>
      <c r="E1761" t="str">
        <f t="shared" ca="1" si="585"/>
        <v/>
      </c>
      <c r="F1761" t="str">
        <f t="shared" ca="1" si="586"/>
        <v xml:space="preserve">Enter a 'Total Units in Building*' for  building 12 in cell D15.
</v>
      </c>
      <c r="G1761" s="9" t="str">
        <f t="shared" ca="1" si="587"/>
        <v xml:space="preserve">Enter a value for 'Number of Floors in the Tallest Building' in cell B60.
</v>
      </c>
      <c r="H1761" s="52" t="str">
        <f t="shared" ca="1" si="588"/>
        <v>Total Units in Building*</v>
      </c>
      <c r="I1761" s="52">
        <v>4</v>
      </c>
    </row>
    <row r="1762" spans="1:10" ht="15" customHeight="1">
      <c r="A1762" t="str">
        <f t="shared" ca="1" si="582"/>
        <v/>
      </c>
      <c r="B1762">
        <f t="shared" si="583"/>
        <v>15</v>
      </c>
      <c r="C1762">
        <f t="shared" ca="1" si="563"/>
        <v>12</v>
      </c>
      <c r="D1762" t="str">
        <f t="shared" si="584"/>
        <v>E15</v>
      </c>
      <c r="E1762" t="str">
        <f t="shared" ca="1" si="585"/>
        <v/>
      </c>
      <c r="F1762" t="str">
        <f t="shared" ca="1" si="586"/>
        <v xml:space="preserve">Enter a 'Employee Units' for  building 12 in cell E15.
</v>
      </c>
      <c r="G1762" s="9" t="str">
        <f t="shared" ca="1" si="587"/>
        <v xml:space="preserve">Enter a value for 'Number of Floors in the Tallest Building' in cell B60.
</v>
      </c>
      <c r="H1762" s="52" t="str">
        <f t="shared" ca="1" si="588"/>
        <v>Employee Units</v>
      </c>
      <c r="I1762" s="52">
        <v>5</v>
      </c>
    </row>
    <row r="1763" spans="1:10" ht="15" customHeight="1">
      <c r="A1763" t="str">
        <f t="shared" ca="1" si="582"/>
        <v/>
      </c>
      <c r="B1763">
        <f t="shared" si="583"/>
        <v>15</v>
      </c>
      <c r="C1763">
        <f t="shared" ca="1" si="563"/>
        <v>12</v>
      </c>
      <c r="D1763" t="str">
        <f t="shared" si="584"/>
        <v>F15</v>
      </c>
      <c r="E1763" t="str">
        <f t="shared" ca="1" si="585"/>
        <v/>
      </c>
      <c r="F1763" t="str">
        <f t="shared" ca="1" si="586"/>
        <v xml:space="preserve">Enter a 'Low-Income Units' for  building 12 in cell F15.
</v>
      </c>
      <c r="G1763" s="9" t="str">
        <f t="shared" ca="1" si="587"/>
        <v xml:space="preserve">Enter a value for 'Number of Floors in the Tallest Building' in cell B60.
</v>
      </c>
      <c r="H1763" s="52" t="str">
        <f t="shared" ca="1" si="588"/>
        <v>Low-Income Units</v>
      </c>
      <c r="I1763" s="52">
        <v>6</v>
      </c>
    </row>
    <row r="1764" spans="1:10" ht="15" customHeight="1">
      <c r="A1764" t="str">
        <f t="shared" ca="1" si="582"/>
        <v/>
      </c>
      <c r="B1764">
        <f t="shared" si="583"/>
        <v>15</v>
      </c>
      <c r="C1764">
        <f t="shared" ca="1" si="563"/>
        <v>12</v>
      </c>
      <c r="D1764" t="str">
        <f t="shared" si="584"/>
        <v>G15</v>
      </c>
      <c r="E1764" t="str">
        <f t="shared" ca="1" si="585"/>
        <v/>
      </c>
      <c r="F1764" t="str">
        <f t="shared" ca="1" si="586"/>
        <v xml:space="preserve">Enter a 'Residential Square Footage**' for  building 12 in cell G15.
</v>
      </c>
      <c r="G1764" s="9" t="str">
        <f t="shared" ca="1" si="587"/>
        <v xml:space="preserve">Enter a value for 'Number of Floors in the Tallest Building' in cell B60.
</v>
      </c>
      <c r="H1764" s="52" t="str">
        <f t="shared" ca="1" si="588"/>
        <v>Residential Square Footage**</v>
      </c>
      <c r="I1764" s="52">
        <v>7</v>
      </c>
    </row>
    <row r="1765" spans="1:10" ht="15" customHeight="1">
      <c r="A1765" t="str">
        <f t="shared" ca="1" si="582"/>
        <v/>
      </c>
      <c r="B1765">
        <f t="shared" si="583"/>
        <v>15</v>
      </c>
      <c r="C1765">
        <f t="shared" ca="1" si="563"/>
        <v>12</v>
      </c>
      <c r="D1765" t="str">
        <f t="shared" si="584"/>
        <v>H15</v>
      </c>
      <c r="E1765" t="str">
        <f t="shared" ca="1" si="585"/>
        <v/>
      </c>
      <c r="F1765" t="str">
        <f t="shared" ca="1" si="586"/>
        <v xml:space="preserve">Enter a 'Square Footage of Employee Units' for  building 12 in cell H15.
</v>
      </c>
      <c r="G1765" s="9" t="str">
        <f t="shared" ca="1" si="587"/>
        <v xml:space="preserve">Enter a value for 'Number of Floors in the Tallest Building' in cell B60.
</v>
      </c>
      <c r="H1765" s="52" t="str">
        <f t="shared" ca="1" si="588"/>
        <v>Square Footage of Employee Units</v>
      </c>
      <c r="I1765" s="52">
        <v>8</v>
      </c>
    </row>
    <row r="1766" spans="1:10" ht="15" customHeight="1">
      <c r="A1766" t="str">
        <f t="shared" ca="1" si="582"/>
        <v/>
      </c>
      <c r="B1766">
        <f t="shared" si="583"/>
        <v>15</v>
      </c>
      <c r="C1766">
        <f t="shared" ca="1" si="563"/>
        <v>12</v>
      </c>
      <c r="D1766" t="str">
        <f t="shared" si="584"/>
        <v>I15</v>
      </c>
      <c r="E1766" t="str">
        <f t="shared" ca="1" si="585"/>
        <v/>
      </c>
      <c r="F1766" t="str">
        <f t="shared" ca="1" si="586"/>
        <v xml:space="preserve">Enter a 'Square Footage of Low-Income Units' for  building 12 in cell I15.
</v>
      </c>
      <c r="G1766" s="9" t="str">
        <f t="shared" ca="1" si="587"/>
        <v xml:space="preserve">Enter a value for 'Number of Floors in the Tallest Building' in cell B60.
</v>
      </c>
      <c r="H1766" s="52" t="str">
        <f t="shared" ca="1" si="588"/>
        <v>Square Footage of Low-Income Units</v>
      </c>
      <c r="I1766" s="52">
        <v>9</v>
      </c>
    </row>
    <row r="1767" spans="1:10" ht="15" customHeight="1">
      <c r="A1767" t="str">
        <f t="shared" ca="1" si="582"/>
        <v/>
      </c>
      <c r="B1767">
        <f t="shared" si="583"/>
        <v>15</v>
      </c>
      <c r="C1767">
        <f t="shared" ca="1" si="563"/>
        <v>12</v>
      </c>
      <c r="D1767" t="str">
        <f t="shared" si="584"/>
        <v>J15</v>
      </c>
      <c r="E1767" t="str">
        <f t="shared" ca="1" si="585"/>
        <v/>
      </c>
      <c r="F1767" t="str">
        <f t="shared" ca="1" si="586"/>
        <v xml:space="preserve">Enter a 'Placed-In-Service Date' for  building 12 in cell J15.
</v>
      </c>
      <c r="G1767" s="9" t="str">
        <f t="shared" ca="1" si="587"/>
        <v xml:space="preserve">Enter a value for 'Number of Floors in the Tallest Building' in cell B60.
</v>
      </c>
      <c r="H1767" s="52" t="str">
        <f t="shared" ca="1" si="588"/>
        <v>Placed-In-Service Date</v>
      </c>
      <c r="I1767" s="52">
        <v>10</v>
      </c>
    </row>
    <row r="1768" spans="1:10" ht="15" customHeight="1">
      <c r="A1768" t="str">
        <f t="shared" ca="1" si="582"/>
        <v/>
      </c>
      <c r="B1768">
        <f t="shared" si="583"/>
        <v>15</v>
      </c>
      <c r="C1768">
        <f t="shared" ca="1" si="563"/>
        <v>12</v>
      </c>
      <c r="D1768" t="str">
        <f t="shared" si="584"/>
        <v>K15</v>
      </c>
      <c r="E1768" t="str">
        <f t="shared" ca="1" si="585"/>
        <v/>
      </c>
      <c r="F1768" t="str">
        <f t="shared" ca="1" si="586"/>
        <v xml:space="preserve">Enter a 'New Construction/ Rehab APR' for  building 12 in cell K15.
</v>
      </c>
      <c r="G1768" s="9" t="str">
        <f t="shared" ca="1" si="587"/>
        <v xml:space="preserve">Enter a value for 'Number of Floors in the Tallest Building' in cell B60.
</v>
      </c>
      <c r="H1768" s="52" t="str">
        <f t="shared" ca="1" si="588"/>
        <v>New Construction/ Rehab APR</v>
      </c>
      <c r="I1768" s="52">
        <v>11</v>
      </c>
    </row>
    <row r="1769" spans="1:10" ht="15" customHeight="1">
      <c r="A1769" t="str">
        <f t="shared" ca="1" si="582"/>
        <v/>
      </c>
      <c r="B1769">
        <f t="shared" si="583"/>
        <v>15</v>
      </c>
      <c r="C1769">
        <f t="shared" ca="1" si="563"/>
        <v>12</v>
      </c>
      <c r="D1769" t="str">
        <f t="shared" si="584"/>
        <v>L15</v>
      </c>
      <c r="E1769" t="str">
        <f t="shared" ca="1" si="585"/>
        <v/>
      </c>
      <c r="F1769" t="str">
        <f t="shared" ca="1" si="586"/>
        <v xml:space="preserve">Enter a 'New Construction Eligible Basis' for  building 12 in cell L15.
</v>
      </c>
      <c r="G1769" s="9" t="str">
        <f t="shared" ca="1" si="587"/>
        <v xml:space="preserve">Enter a value for 'Number of Floors in the Tallest Building' in cell B60.
</v>
      </c>
      <c r="H1769" s="52" t="str">
        <f t="shared" ca="1" si="588"/>
        <v>New Construction Eligible Basis</v>
      </c>
      <c r="I1769" s="52">
        <v>12</v>
      </c>
    </row>
    <row r="1770" spans="1:10" ht="15" customHeight="1">
      <c r="A1770" t="str">
        <f ca="1">IF(AND(OFFSET(A1770, -I1770 + 2, 4) &gt;  0, E1770="", Calculations!$B$7), F1770, "")</f>
        <v/>
      </c>
      <c r="B1770">
        <f t="shared" si="583"/>
        <v>15</v>
      </c>
      <c r="C1770">
        <f t="shared" ca="1" si="563"/>
        <v>12</v>
      </c>
      <c r="D1770" t="str">
        <f t="shared" si="584"/>
        <v>M15</v>
      </c>
      <c r="E1770" t="str">
        <f t="shared" ca="1" si="585"/>
        <v/>
      </c>
      <c r="F1770" t="str">
        <f t="shared" ca="1" si="586"/>
        <v xml:space="preserve">Enter a 'Eligible Basis for Rehab' for  building 12 in cell M15.
</v>
      </c>
      <c r="G1770" s="9" t="str">
        <f t="shared" ca="1" si="587"/>
        <v xml:space="preserve">Enter a value for 'Number of Floors in the Tallest Building' in cell B60.
</v>
      </c>
      <c r="H1770" s="52" t="str">
        <f t="shared" ca="1" si="588"/>
        <v>Eligible Basis for Rehab</v>
      </c>
      <c r="I1770" s="52">
        <v>13</v>
      </c>
    </row>
    <row r="1771" spans="1:10" ht="15" customHeight="1">
      <c r="A1771" t="str">
        <f ca="1">IF(AND(OFFSET(A1771, -I1771 + 2, 4) &gt;  0, E1771="", Calculations!$B$7), F1771, "")</f>
        <v/>
      </c>
      <c r="B1771">
        <f t="shared" si="583"/>
        <v>15</v>
      </c>
      <c r="C1771">
        <f t="shared" ca="1" si="563"/>
        <v>12</v>
      </c>
      <c r="D1771" t="str">
        <f t="shared" si="584"/>
        <v>N15</v>
      </c>
      <c r="E1771" t="str">
        <f t="shared" ca="1" si="585"/>
        <v/>
      </c>
      <c r="F1771" t="str">
        <f t="shared" ca="1" si="586"/>
        <v xml:space="preserve">Enter a 'Cost of Acquiring the Building***' for  building 12 in cell N15.
</v>
      </c>
      <c r="G1771" s="9" t="str">
        <f t="shared" ca="1" si="587"/>
        <v xml:space="preserve">Enter a value for 'Number of Floors in the Tallest Building' in cell B60.
</v>
      </c>
      <c r="H1771" s="52" t="str">
        <f t="shared" ca="1" si="588"/>
        <v>Cost of Acquiring the Building***</v>
      </c>
      <c r="I1771" s="52">
        <v>14</v>
      </c>
    </row>
    <row r="1772" spans="1:10" ht="15" customHeight="1">
      <c r="A1772" t="str">
        <f ca="1">IF(AND(OFFSET(A1772, -I1772 + 2, 4) &gt;  0, E1772="", Calculations!$B$7), F1772, "")</f>
        <v/>
      </c>
      <c r="B1772">
        <f t="shared" si="583"/>
        <v>15</v>
      </c>
      <c r="C1772">
        <f t="shared" ca="1" si="563"/>
        <v>12</v>
      </c>
      <c r="D1772" t="str">
        <f t="shared" si="584"/>
        <v>O15</v>
      </c>
      <c r="E1772" t="str">
        <f t="shared" ca="1" si="585"/>
        <v/>
      </c>
      <c r="F1772" t="str">
        <f t="shared" ca="1" si="586"/>
        <v xml:space="preserve">Enter a 'Higher of Land Purchase Price or Land Appraised Value****' for  building 12 in cell O15.
</v>
      </c>
      <c r="G1772" s="9" t="str">
        <f t="shared" ca="1" si="587"/>
        <v xml:space="preserve">Enter a value for 'Number of Floors in the Tallest Building' in cell B60.
</v>
      </c>
      <c r="H1772" s="52" t="str">
        <f t="shared" ca="1" si="588"/>
        <v>Higher of Land Purchase Price or Land Appraised Value****</v>
      </c>
      <c r="I1772" s="52">
        <v>15</v>
      </c>
    </row>
    <row r="1773" spans="1:10" ht="15" customHeight="1">
      <c r="A1773" t="str">
        <f ca="1">IF(AND(OFFSET(A1773, -I1773 + 2, 4) &gt;  0, E1773="", Calculations!$B$7), F1773, "")</f>
        <v/>
      </c>
      <c r="B1773">
        <f t="shared" si="583"/>
        <v>15</v>
      </c>
      <c r="C1773">
        <f t="shared" ca="1" si="563"/>
        <v>12</v>
      </c>
      <c r="D1773" t="str">
        <f t="shared" si="584"/>
        <v>P15</v>
      </c>
      <c r="E1773" t="str">
        <f t="shared" ca="1" si="585"/>
        <v/>
      </c>
      <c r="F1773" t="str">
        <f t="shared" ca="1" si="586"/>
        <v xml:space="preserve">Enter a 'Acquisition Placed-in-Service Date' for  building 12 in cell P15.
</v>
      </c>
      <c r="G1773" s="9" t="str">
        <f t="shared" ca="1" si="587"/>
        <v xml:space="preserve">Enter a value for 'Number of Floors in the Tallest Building' in cell B60.
</v>
      </c>
      <c r="H1773" s="52" t="str">
        <f t="shared" ca="1" si="588"/>
        <v>Acquisition Placed-in-Service Date</v>
      </c>
      <c r="I1773" s="52">
        <v>16</v>
      </c>
    </row>
    <row r="1774" spans="1:10" ht="15" customHeight="1">
      <c r="A1774" t="str">
        <f ca="1">IF(AND(OFFSET(A1774, -I1774 + 2, 4) &gt;  0, E1774="", Calculations!$B$7), F1774, "")</f>
        <v/>
      </c>
      <c r="B1774">
        <f t="shared" si="583"/>
        <v>15</v>
      </c>
      <c r="C1774">
        <f t="shared" ca="1" si="563"/>
        <v>12</v>
      </c>
      <c r="D1774" t="str">
        <f t="shared" si="584"/>
        <v>Q15</v>
      </c>
      <c r="E1774" t="str">
        <f t="shared" ca="1" si="585"/>
        <v/>
      </c>
      <c r="F1774" t="str">
        <f t="shared" ca="1" si="586"/>
        <v xml:space="preserve">Enter a 'Acquisition APR' for  building 12 in cell Q15.
</v>
      </c>
      <c r="G1774" s="9" t="str">
        <f t="shared" ca="1" si="587"/>
        <v xml:space="preserve">Enter a value for 'Number of Floors in the Tallest Building' in cell B60.
</v>
      </c>
      <c r="H1774" s="52" t="str">
        <f t="shared" ca="1" si="588"/>
        <v>Acquisition APR</v>
      </c>
      <c r="I1774" s="52">
        <v>17</v>
      </c>
    </row>
    <row r="1775" spans="1:10" ht="15" customHeight="1">
      <c r="A1775" t="str">
        <f ca="1">IF(AND(Calculations!$B$4,Calculations!$B$29&gt;=C1775, E1775 &lt;&gt; 13),F1775,"")</f>
        <v/>
      </c>
      <c r="B1775">
        <f>ROW('Final Building Profile'!C16)</f>
        <v>16</v>
      </c>
      <c r="C1775">
        <f t="shared" ref="C1775:C1838" ca="1" si="589">INDIRECT($F$1565 &amp; ADDRESS(B1775, 1,4  ))</f>
        <v>13</v>
      </c>
      <c r="D1775" t="str">
        <f>ADDRESS(B1775, 3,4  )</f>
        <v>C16</v>
      </c>
      <c r="E1775" s="52">
        <f ca="1">H1775+I1775</f>
        <v>0</v>
      </c>
      <c r="F1775" t="str">
        <f ca="1">CONCATENATE("Based upon the number of buildings specified, information for  building ", C1775, " required for a final application in row ", B1775, ".", CHAR(10))</f>
        <v xml:space="preserve">Based upon the number of buildings specified, information for  building 13 required for a final application in row 16.
</v>
      </c>
      <c r="G1775" s="9" t="str">
        <f t="shared" ca="1" si="587"/>
        <v xml:space="preserve">Enter a value for 'Number of Floors in the Tallest Building' in cell B60.
</v>
      </c>
      <c r="H1775" s="52">
        <f ca="1">SUMPRODUCT(--ISTEXT(INDIRECT(J1775)))</f>
        <v>0</v>
      </c>
      <c r="I1775" s="52">
        <f ca="1">SUMPRODUCT(--ISNUMBER(INDIRECT(J1775)))</f>
        <v>0</v>
      </c>
      <c r="J1775" s="52" t="str">
        <f>$F$1565&amp; ADDRESS(B1775,3,4) &amp; ":" &amp; ADDRESS(B1775,15,4)</f>
        <v>'Final Building Profile'!C16:O16</v>
      </c>
    </row>
    <row r="1776" spans="1:10" ht="15" customHeight="1">
      <c r="A1776" t="str">
        <f t="shared" ref="A1776:A1785" ca="1" si="590">IF(AND(OFFSET(A1776, -I1776 + 2, 4) &gt;  0, E1776=""), F1776, "")</f>
        <v/>
      </c>
      <c r="B1776">
        <f t="shared" ref="B1776:B1790" si="591">B1775</f>
        <v>16</v>
      </c>
      <c r="C1776">
        <f t="shared" ca="1" si="589"/>
        <v>13</v>
      </c>
      <c r="D1776" t="str">
        <f t="shared" ref="D1776:D1790" si="592">ADDRESS(B1776, I1776,4  )</f>
        <v>C16</v>
      </c>
      <c r="E1776" t="str">
        <f t="shared" ref="E1776:E1790" ca="1" si="593">IF(ISBLANK( INDIRECT($F$1565 &amp; D1776)),"", INDIRECT($F$1565 &amp; D1776))</f>
        <v/>
      </c>
      <c r="F1776" t="str">
        <f t="shared" ref="F1776:F1790" ca="1" si="594">CONCATENATE("Enter a '"&amp; H1776 &amp;"' for  building ", C1776, " in cell ", D1776, ".", CHAR(10))</f>
        <v xml:space="preserve">Enter a 'Building Street Address Only 
(DO NOT ENTER CITY, STATE, OR ZIP)' for  building 13 in cell C16.
</v>
      </c>
      <c r="G1776" s="9" t="str">
        <f t="shared" ca="1" si="587"/>
        <v xml:space="preserve">Enter a value for 'Number of Floors in the Tallest Building' in cell B60.
</v>
      </c>
      <c r="H1776" s="52" t="str">
        <f t="shared" ref="H1776:H1790" ca="1" si="595">OFFSET(INDIRECT($F$1565 &amp; D1776), -B1776 + 3, 0)</f>
        <v>Building Street Address Only 
(DO NOT ENTER CITY, STATE, OR ZIP)</v>
      </c>
      <c r="I1776" s="52">
        <v>3</v>
      </c>
    </row>
    <row r="1777" spans="1:10" ht="15" customHeight="1">
      <c r="A1777" t="str">
        <f t="shared" ca="1" si="590"/>
        <v/>
      </c>
      <c r="B1777">
        <f t="shared" si="591"/>
        <v>16</v>
      </c>
      <c r="C1777">
        <f t="shared" ca="1" si="589"/>
        <v>13</v>
      </c>
      <c r="D1777" t="str">
        <f t="shared" si="592"/>
        <v>D16</v>
      </c>
      <c r="E1777" t="str">
        <f t="shared" ca="1" si="593"/>
        <v/>
      </c>
      <c r="F1777" t="str">
        <f t="shared" ca="1" si="594"/>
        <v xml:space="preserve">Enter a 'Total Units in Building*' for  building 13 in cell D16.
</v>
      </c>
      <c r="G1777" s="9" t="str">
        <f t="shared" ca="1" si="587"/>
        <v xml:space="preserve">Enter a value for 'Number of Floors in the Tallest Building' in cell B60.
</v>
      </c>
      <c r="H1777" s="52" t="str">
        <f t="shared" ca="1" si="595"/>
        <v>Total Units in Building*</v>
      </c>
      <c r="I1777" s="52">
        <v>4</v>
      </c>
    </row>
    <row r="1778" spans="1:10" ht="15" customHeight="1">
      <c r="A1778" t="str">
        <f t="shared" ca="1" si="590"/>
        <v/>
      </c>
      <c r="B1778">
        <f t="shared" si="591"/>
        <v>16</v>
      </c>
      <c r="C1778">
        <f t="shared" ca="1" si="589"/>
        <v>13</v>
      </c>
      <c r="D1778" t="str">
        <f t="shared" si="592"/>
        <v>E16</v>
      </c>
      <c r="E1778" t="str">
        <f t="shared" ca="1" si="593"/>
        <v/>
      </c>
      <c r="F1778" t="str">
        <f t="shared" ca="1" si="594"/>
        <v xml:space="preserve">Enter a 'Employee Units' for  building 13 in cell E16.
</v>
      </c>
      <c r="G1778" s="9" t="str">
        <f t="shared" ca="1" si="587"/>
        <v xml:space="preserve">Enter a value for 'Number of Floors in the Tallest Building' in cell B60.
</v>
      </c>
      <c r="H1778" s="52" t="str">
        <f t="shared" ca="1" si="595"/>
        <v>Employee Units</v>
      </c>
      <c r="I1778" s="52">
        <v>5</v>
      </c>
    </row>
    <row r="1779" spans="1:10" ht="15" customHeight="1">
      <c r="A1779" t="str">
        <f t="shared" ca="1" si="590"/>
        <v/>
      </c>
      <c r="B1779">
        <f t="shared" si="591"/>
        <v>16</v>
      </c>
      <c r="C1779">
        <f t="shared" ca="1" si="589"/>
        <v>13</v>
      </c>
      <c r="D1779" t="str">
        <f t="shared" si="592"/>
        <v>F16</v>
      </c>
      <c r="E1779" t="str">
        <f t="shared" ca="1" si="593"/>
        <v/>
      </c>
      <c r="F1779" t="str">
        <f t="shared" ca="1" si="594"/>
        <v xml:space="preserve">Enter a 'Low-Income Units' for  building 13 in cell F16.
</v>
      </c>
      <c r="G1779" s="9" t="str">
        <f t="shared" ca="1" si="587"/>
        <v xml:space="preserve">Enter a value for 'Number of Floors in the Tallest Building' in cell B60.
</v>
      </c>
      <c r="H1779" s="52" t="str">
        <f t="shared" ca="1" si="595"/>
        <v>Low-Income Units</v>
      </c>
      <c r="I1779" s="52">
        <v>6</v>
      </c>
    </row>
    <row r="1780" spans="1:10" ht="15" customHeight="1">
      <c r="A1780" t="str">
        <f t="shared" ca="1" si="590"/>
        <v/>
      </c>
      <c r="B1780">
        <f t="shared" si="591"/>
        <v>16</v>
      </c>
      <c r="C1780">
        <f t="shared" ca="1" si="589"/>
        <v>13</v>
      </c>
      <c r="D1780" t="str">
        <f t="shared" si="592"/>
        <v>G16</v>
      </c>
      <c r="E1780" t="str">
        <f t="shared" ca="1" si="593"/>
        <v/>
      </c>
      <c r="F1780" t="str">
        <f t="shared" ca="1" si="594"/>
        <v xml:space="preserve">Enter a 'Residential Square Footage**' for  building 13 in cell G16.
</v>
      </c>
      <c r="G1780" s="9" t="str">
        <f t="shared" ca="1" si="587"/>
        <v xml:space="preserve">Enter a value for 'Number of Floors in the Tallest Building' in cell B60.
</v>
      </c>
      <c r="H1780" s="52" t="str">
        <f t="shared" ca="1" si="595"/>
        <v>Residential Square Footage**</v>
      </c>
      <c r="I1780" s="52">
        <v>7</v>
      </c>
    </row>
    <row r="1781" spans="1:10" ht="15" customHeight="1">
      <c r="A1781" t="str">
        <f t="shared" ca="1" si="590"/>
        <v/>
      </c>
      <c r="B1781">
        <f t="shared" si="591"/>
        <v>16</v>
      </c>
      <c r="C1781">
        <f t="shared" ca="1" si="589"/>
        <v>13</v>
      </c>
      <c r="D1781" t="str">
        <f t="shared" si="592"/>
        <v>H16</v>
      </c>
      <c r="E1781" t="str">
        <f t="shared" ca="1" si="593"/>
        <v/>
      </c>
      <c r="F1781" t="str">
        <f t="shared" ca="1" si="594"/>
        <v xml:space="preserve">Enter a 'Square Footage of Employee Units' for  building 13 in cell H16.
</v>
      </c>
      <c r="G1781" s="9" t="str">
        <f t="shared" ca="1" si="587"/>
        <v xml:space="preserve">Enter a value for 'Number of Floors in the Tallest Building' in cell B60.
</v>
      </c>
      <c r="H1781" s="52" t="str">
        <f t="shared" ca="1" si="595"/>
        <v>Square Footage of Employee Units</v>
      </c>
      <c r="I1781" s="52">
        <v>8</v>
      </c>
    </row>
    <row r="1782" spans="1:10" ht="15" customHeight="1">
      <c r="A1782" t="str">
        <f t="shared" ca="1" si="590"/>
        <v/>
      </c>
      <c r="B1782">
        <f t="shared" si="591"/>
        <v>16</v>
      </c>
      <c r="C1782">
        <f t="shared" ca="1" si="589"/>
        <v>13</v>
      </c>
      <c r="D1782" t="str">
        <f t="shared" si="592"/>
        <v>I16</v>
      </c>
      <c r="E1782" t="str">
        <f t="shared" ca="1" si="593"/>
        <v/>
      </c>
      <c r="F1782" t="str">
        <f t="shared" ca="1" si="594"/>
        <v xml:space="preserve">Enter a 'Square Footage of Low-Income Units' for  building 13 in cell I16.
</v>
      </c>
      <c r="G1782" s="9" t="str">
        <f t="shared" ca="1" si="587"/>
        <v xml:space="preserve">Enter a value for 'Number of Floors in the Tallest Building' in cell B60.
</v>
      </c>
      <c r="H1782" s="52" t="str">
        <f t="shared" ca="1" si="595"/>
        <v>Square Footage of Low-Income Units</v>
      </c>
      <c r="I1782" s="52">
        <v>9</v>
      </c>
    </row>
    <row r="1783" spans="1:10" ht="15" customHeight="1">
      <c r="A1783" t="str">
        <f t="shared" ca="1" si="590"/>
        <v/>
      </c>
      <c r="B1783">
        <f t="shared" si="591"/>
        <v>16</v>
      </c>
      <c r="C1783">
        <f t="shared" ca="1" si="589"/>
        <v>13</v>
      </c>
      <c r="D1783" t="str">
        <f t="shared" si="592"/>
        <v>J16</v>
      </c>
      <c r="E1783" t="str">
        <f t="shared" ca="1" si="593"/>
        <v/>
      </c>
      <c r="F1783" t="str">
        <f t="shared" ca="1" si="594"/>
        <v xml:space="preserve">Enter a 'Placed-In-Service Date' for  building 13 in cell J16.
</v>
      </c>
      <c r="G1783" s="9" t="str">
        <f t="shared" ca="1" si="587"/>
        <v xml:space="preserve">Enter a value for 'Number of Floors in the Tallest Building' in cell B60.
</v>
      </c>
      <c r="H1783" s="52" t="str">
        <f t="shared" ca="1" si="595"/>
        <v>Placed-In-Service Date</v>
      </c>
      <c r="I1783" s="52">
        <v>10</v>
      </c>
    </row>
    <row r="1784" spans="1:10" ht="15" customHeight="1">
      <c r="A1784" t="str">
        <f t="shared" ca="1" si="590"/>
        <v/>
      </c>
      <c r="B1784">
        <f t="shared" si="591"/>
        <v>16</v>
      </c>
      <c r="C1784">
        <f t="shared" ca="1" si="589"/>
        <v>13</v>
      </c>
      <c r="D1784" t="str">
        <f t="shared" si="592"/>
        <v>K16</v>
      </c>
      <c r="E1784" t="str">
        <f t="shared" ca="1" si="593"/>
        <v/>
      </c>
      <c r="F1784" t="str">
        <f t="shared" ca="1" si="594"/>
        <v xml:space="preserve">Enter a 'New Construction/ Rehab APR' for  building 13 in cell K16.
</v>
      </c>
      <c r="G1784" s="9" t="str">
        <f t="shared" ca="1" si="587"/>
        <v xml:space="preserve">Enter a value for 'Number of Floors in the Tallest Building' in cell B60.
</v>
      </c>
      <c r="H1784" s="52" t="str">
        <f t="shared" ca="1" si="595"/>
        <v>New Construction/ Rehab APR</v>
      </c>
      <c r="I1784" s="52">
        <v>11</v>
      </c>
    </row>
    <row r="1785" spans="1:10" ht="15" customHeight="1">
      <c r="A1785" t="str">
        <f t="shared" ca="1" si="590"/>
        <v/>
      </c>
      <c r="B1785">
        <f t="shared" si="591"/>
        <v>16</v>
      </c>
      <c r="C1785">
        <f t="shared" ca="1" si="589"/>
        <v>13</v>
      </c>
      <c r="D1785" t="str">
        <f t="shared" si="592"/>
        <v>L16</v>
      </c>
      <c r="E1785" t="str">
        <f t="shared" ca="1" si="593"/>
        <v/>
      </c>
      <c r="F1785" t="str">
        <f t="shared" ca="1" si="594"/>
        <v xml:space="preserve">Enter a 'New Construction Eligible Basis' for  building 13 in cell L16.
</v>
      </c>
      <c r="G1785" s="9" t="str">
        <f t="shared" ca="1" si="587"/>
        <v xml:space="preserve">Enter a value for 'Number of Floors in the Tallest Building' in cell B60.
</v>
      </c>
      <c r="H1785" s="52" t="str">
        <f t="shared" ca="1" si="595"/>
        <v>New Construction Eligible Basis</v>
      </c>
      <c r="I1785" s="52">
        <v>12</v>
      </c>
    </row>
    <row r="1786" spans="1:10" ht="15" customHeight="1">
      <c r="A1786" t="str">
        <f ca="1">IF(AND(OFFSET(A1786, -I1786 + 2, 4) &gt;  0, E1786="", Calculations!$B$7), F1786, "")</f>
        <v/>
      </c>
      <c r="B1786">
        <f t="shared" si="591"/>
        <v>16</v>
      </c>
      <c r="C1786">
        <f t="shared" ca="1" si="589"/>
        <v>13</v>
      </c>
      <c r="D1786" t="str">
        <f t="shared" si="592"/>
        <v>M16</v>
      </c>
      <c r="E1786" t="str">
        <f t="shared" ca="1" si="593"/>
        <v/>
      </c>
      <c r="F1786" t="str">
        <f t="shared" ca="1" si="594"/>
        <v xml:space="preserve">Enter a 'Eligible Basis for Rehab' for  building 13 in cell M16.
</v>
      </c>
      <c r="G1786" s="9" t="str">
        <f t="shared" ca="1" si="587"/>
        <v xml:space="preserve">Enter a value for 'Number of Floors in the Tallest Building' in cell B60.
</v>
      </c>
      <c r="H1786" s="52" t="str">
        <f t="shared" ca="1" si="595"/>
        <v>Eligible Basis for Rehab</v>
      </c>
      <c r="I1786" s="52">
        <v>13</v>
      </c>
    </row>
    <row r="1787" spans="1:10" ht="15" customHeight="1">
      <c r="A1787" t="str">
        <f ca="1">IF(AND(OFFSET(A1787, -I1787 + 2, 4) &gt;  0, E1787="", Calculations!$B$7), F1787, "")</f>
        <v/>
      </c>
      <c r="B1787">
        <f t="shared" si="591"/>
        <v>16</v>
      </c>
      <c r="C1787">
        <f t="shared" ca="1" si="589"/>
        <v>13</v>
      </c>
      <c r="D1787" t="str">
        <f t="shared" si="592"/>
        <v>N16</v>
      </c>
      <c r="E1787" t="str">
        <f t="shared" ca="1" si="593"/>
        <v/>
      </c>
      <c r="F1787" t="str">
        <f t="shared" ca="1" si="594"/>
        <v xml:space="preserve">Enter a 'Cost of Acquiring the Building***' for  building 13 in cell N16.
</v>
      </c>
      <c r="G1787" s="9" t="str">
        <f t="shared" ca="1" si="587"/>
        <v xml:space="preserve">Enter a value for 'Number of Floors in the Tallest Building' in cell B60.
</v>
      </c>
      <c r="H1787" s="52" t="str">
        <f t="shared" ca="1" si="595"/>
        <v>Cost of Acquiring the Building***</v>
      </c>
      <c r="I1787" s="52">
        <v>14</v>
      </c>
    </row>
    <row r="1788" spans="1:10" ht="15" customHeight="1">
      <c r="A1788" t="str">
        <f ca="1">IF(AND(OFFSET(A1788, -I1788 + 2, 4) &gt;  0, E1788="", Calculations!$B$7), F1788, "")</f>
        <v/>
      </c>
      <c r="B1788">
        <f t="shared" si="591"/>
        <v>16</v>
      </c>
      <c r="C1788">
        <f t="shared" ca="1" si="589"/>
        <v>13</v>
      </c>
      <c r="D1788" t="str">
        <f t="shared" si="592"/>
        <v>O16</v>
      </c>
      <c r="E1788" t="str">
        <f t="shared" ca="1" si="593"/>
        <v/>
      </c>
      <c r="F1788" t="str">
        <f t="shared" ca="1" si="594"/>
        <v xml:space="preserve">Enter a 'Higher of Land Purchase Price or Land Appraised Value****' for  building 13 in cell O16.
</v>
      </c>
      <c r="G1788" s="9" t="str">
        <f t="shared" ca="1" si="587"/>
        <v xml:space="preserve">Enter a value for 'Number of Floors in the Tallest Building' in cell B60.
</v>
      </c>
      <c r="H1788" s="52" t="str">
        <f t="shared" ca="1" si="595"/>
        <v>Higher of Land Purchase Price or Land Appraised Value****</v>
      </c>
      <c r="I1788" s="52">
        <v>15</v>
      </c>
    </row>
    <row r="1789" spans="1:10" ht="15" customHeight="1">
      <c r="A1789" t="str">
        <f ca="1">IF(AND(OFFSET(A1789, -I1789 + 2, 4) &gt;  0, E1789="", Calculations!$B$7), F1789, "")</f>
        <v/>
      </c>
      <c r="B1789">
        <f t="shared" si="591"/>
        <v>16</v>
      </c>
      <c r="C1789">
        <f t="shared" ca="1" si="589"/>
        <v>13</v>
      </c>
      <c r="D1789" t="str">
        <f t="shared" si="592"/>
        <v>P16</v>
      </c>
      <c r="E1789" t="str">
        <f t="shared" ca="1" si="593"/>
        <v/>
      </c>
      <c r="F1789" t="str">
        <f t="shared" ca="1" si="594"/>
        <v xml:space="preserve">Enter a 'Acquisition Placed-in-Service Date' for  building 13 in cell P16.
</v>
      </c>
      <c r="G1789" s="9" t="str">
        <f t="shared" ca="1" si="587"/>
        <v xml:space="preserve">Enter a value for 'Number of Floors in the Tallest Building' in cell B60.
</v>
      </c>
      <c r="H1789" s="52" t="str">
        <f t="shared" ca="1" si="595"/>
        <v>Acquisition Placed-in-Service Date</v>
      </c>
      <c r="I1789" s="52">
        <v>16</v>
      </c>
    </row>
    <row r="1790" spans="1:10" ht="15" customHeight="1">
      <c r="A1790" t="str">
        <f ca="1">IF(AND(OFFSET(A1790, -I1790 + 2, 4) &gt;  0, E1790="", Calculations!$B$7), F1790, "")</f>
        <v/>
      </c>
      <c r="B1790">
        <f t="shared" si="591"/>
        <v>16</v>
      </c>
      <c r="C1790">
        <f t="shared" ca="1" si="589"/>
        <v>13</v>
      </c>
      <c r="D1790" t="str">
        <f t="shared" si="592"/>
        <v>Q16</v>
      </c>
      <c r="E1790" t="str">
        <f t="shared" ca="1" si="593"/>
        <v/>
      </c>
      <c r="F1790" t="str">
        <f t="shared" ca="1" si="594"/>
        <v xml:space="preserve">Enter a 'Acquisition APR' for  building 13 in cell Q16.
</v>
      </c>
      <c r="G1790" s="9" t="str">
        <f t="shared" ca="1" si="587"/>
        <v xml:space="preserve">Enter a value for 'Number of Floors in the Tallest Building' in cell B60.
</v>
      </c>
      <c r="H1790" s="52" t="str">
        <f t="shared" ca="1" si="595"/>
        <v>Acquisition APR</v>
      </c>
      <c r="I1790" s="52">
        <v>17</v>
      </c>
    </row>
    <row r="1791" spans="1:10" ht="15" customHeight="1">
      <c r="A1791" t="str">
        <f ca="1">IF(AND(Calculations!$B$4,Calculations!$B$29&gt;=C1791, E1791 &lt;&gt; 13),F1791,"")</f>
        <v/>
      </c>
      <c r="B1791">
        <f>ROW('Final Building Profile'!C17)</f>
        <v>17</v>
      </c>
      <c r="C1791">
        <f t="shared" ca="1" si="589"/>
        <v>14</v>
      </c>
      <c r="D1791" t="str">
        <f>ADDRESS(B1791, 3,4  )</f>
        <v>C17</v>
      </c>
      <c r="E1791" s="52">
        <f ca="1">H1791+I1791</f>
        <v>0</v>
      </c>
      <c r="F1791" t="str">
        <f ca="1">CONCATENATE("Based upon the number of buildings specified, information for  building ", C1791, " required for a final application in row ", B1791, ".", CHAR(10))</f>
        <v xml:space="preserve">Based upon the number of buildings specified, information for  building 14 required for a final application in row 17.
</v>
      </c>
      <c r="G1791" s="9" t="str">
        <f t="shared" ca="1" si="587"/>
        <v xml:space="preserve">Enter a value for 'Number of Floors in the Tallest Building' in cell B60.
</v>
      </c>
      <c r="H1791" s="52">
        <f ca="1">SUMPRODUCT(--ISTEXT(INDIRECT(J1791)))</f>
        <v>0</v>
      </c>
      <c r="I1791" s="52">
        <f ca="1">SUMPRODUCT(--ISNUMBER(INDIRECT(J1791)))</f>
        <v>0</v>
      </c>
      <c r="J1791" s="52" t="str">
        <f>$F$1565&amp; ADDRESS(B1791,3,4) &amp; ":" &amp; ADDRESS(B1791,15,4)</f>
        <v>'Final Building Profile'!C17:O17</v>
      </c>
    </row>
    <row r="1792" spans="1:10" ht="15" customHeight="1">
      <c r="A1792" t="str">
        <f t="shared" ref="A1792:A1801" ca="1" si="596">IF(AND(OFFSET(A1792, -I1792 + 2, 4) &gt;  0, E1792=""), F1792, "")</f>
        <v/>
      </c>
      <c r="B1792">
        <f t="shared" ref="B1792:B1806" si="597">B1791</f>
        <v>17</v>
      </c>
      <c r="C1792">
        <f t="shared" ca="1" si="589"/>
        <v>14</v>
      </c>
      <c r="D1792" t="str">
        <f t="shared" ref="D1792:D1806" si="598">ADDRESS(B1792, I1792,4  )</f>
        <v>C17</v>
      </c>
      <c r="E1792" t="str">
        <f t="shared" ref="E1792:E1806" ca="1" si="599">IF(ISBLANK( INDIRECT($F$1565 &amp; D1792)),"", INDIRECT($F$1565 &amp; D1792))</f>
        <v/>
      </c>
      <c r="F1792" t="str">
        <f t="shared" ref="F1792:F1806" ca="1" si="600">CONCATENATE("Enter a '"&amp; H1792 &amp;"' for  building ", C1792, " in cell ", D1792, ".", CHAR(10))</f>
        <v xml:space="preserve">Enter a 'Building Street Address Only 
(DO NOT ENTER CITY, STATE, OR ZIP)' for  building 14 in cell C17.
</v>
      </c>
      <c r="G1792" s="9" t="str">
        <f t="shared" ca="1" si="587"/>
        <v xml:space="preserve">Enter a value for 'Number of Floors in the Tallest Building' in cell B60.
</v>
      </c>
      <c r="H1792" s="52" t="str">
        <f t="shared" ref="H1792:H1806" ca="1" si="601">OFFSET(INDIRECT($F$1565 &amp; D1792), -B1792 + 3, 0)</f>
        <v>Building Street Address Only 
(DO NOT ENTER CITY, STATE, OR ZIP)</v>
      </c>
      <c r="I1792" s="52">
        <v>3</v>
      </c>
    </row>
    <row r="1793" spans="1:10" ht="15" customHeight="1">
      <c r="A1793" t="str">
        <f t="shared" ca="1" si="596"/>
        <v/>
      </c>
      <c r="B1793">
        <f t="shared" si="597"/>
        <v>17</v>
      </c>
      <c r="C1793">
        <f t="shared" ca="1" si="589"/>
        <v>14</v>
      </c>
      <c r="D1793" t="str">
        <f t="shared" si="598"/>
        <v>D17</v>
      </c>
      <c r="E1793" t="str">
        <f t="shared" ca="1" si="599"/>
        <v/>
      </c>
      <c r="F1793" t="str">
        <f t="shared" ca="1" si="600"/>
        <v xml:space="preserve">Enter a 'Total Units in Building*' for  building 14 in cell D17.
</v>
      </c>
      <c r="G1793" s="9" t="str">
        <f t="shared" ca="1" si="587"/>
        <v xml:space="preserve">Enter a value for 'Number of Floors in the Tallest Building' in cell B60.
</v>
      </c>
      <c r="H1793" s="52" t="str">
        <f t="shared" ca="1" si="601"/>
        <v>Total Units in Building*</v>
      </c>
      <c r="I1793" s="52">
        <v>4</v>
      </c>
    </row>
    <row r="1794" spans="1:10" ht="15" customHeight="1">
      <c r="A1794" t="str">
        <f t="shared" ca="1" si="596"/>
        <v/>
      </c>
      <c r="B1794">
        <f t="shared" si="597"/>
        <v>17</v>
      </c>
      <c r="C1794">
        <f t="shared" ca="1" si="589"/>
        <v>14</v>
      </c>
      <c r="D1794" t="str">
        <f t="shared" si="598"/>
        <v>E17</v>
      </c>
      <c r="E1794" t="str">
        <f t="shared" ca="1" si="599"/>
        <v/>
      </c>
      <c r="F1794" t="str">
        <f t="shared" ca="1" si="600"/>
        <v xml:space="preserve">Enter a 'Employee Units' for  building 14 in cell E17.
</v>
      </c>
      <c r="G1794" s="9" t="str">
        <f t="shared" ca="1" si="587"/>
        <v xml:space="preserve">Enter a value for 'Number of Floors in the Tallest Building' in cell B60.
</v>
      </c>
      <c r="H1794" s="52" t="str">
        <f t="shared" ca="1" si="601"/>
        <v>Employee Units</v>
      </c>
      <c r="I1794" s="52">
        <v>5</v>
      </c>
    </row>
    <row r="1795" spans="1:10" ht="15" customHeight="1">
      <c r="A1795" t="str">
        <f t="shared" ca="1" si="596"/>
        <v/>
      </c>
      <c r="B1795">
        <f t="shared" si="597"/>
        <v>17</v>
      </c>
      <c r="C1795">
        <f t="shared" ca="1" si="589"/>
        <v>14</v>
      </c>
      <c r="D1795" t="str">
        <f t="shared" si="598"/>
        <v>F17</v>
      </c>
      <c r="E1795" t="str">
        <f t="shared" ca="1" si="599"/>
        <v/>
      </c>
      <c r="F1795" t="str">
        <f t="shared" ca="1" si="600"/>
        <v xml:space="preserve">Enter a 'Low-Income Units' for  building 14 in cell F17.
</v>
      </c>
      <c r="G1795" s="9" t="str">
        <f t="shared" ca="1" si="587"/>
        <v xml:space="preserve">Enter a value for 'Number of Floors in the Tallest Building' in cell B60.
</v>
      </c>
      <c r="H1795" s="52" t="str">
        <f t="shared" ca="1" si="601"/>
        <v>Low-Income Units</v>
      </c>
      <c r="I1795" s="52">
        <v>6</v>
      </c>
    </row>
    <row r="1796" spans="1:10" ht="15" customHeight="1">
      <c r="A1796" t="str">
        <f t="shared" ca="1" si="596"/>
        <v/>
      </c>
      <c r="B1796">
        <f t="shared" si="597"/>
        <v>17</v>
      </c>
      <c r="C1796">
        <f t="shared" ca="1" si="589"/>
        <v>14</v>
      </c>
      <c r="D1796" t="str">
        <f t="shared" si="598"/>
        <v>G17</v>
      </c>
      <c r="E1796" t="str">
        <f t="shared" ca="1" si="599"/>
        <v/>
      </c>
      <c r="F1796" t="str">
        <f t="shared" ca="1" si="600"/>
        <v xml:space="preserve">Enter a 'Residential Square Footage**' for  building 14 in cell G17.
</v>
      </c>
      <c r="G1796" s="9" t="str">
        <f t="shared" ca="1" si="587"/>
        <v xml:space="preserve">Enter a value for 'Number of Floors in the Tallest Building' in cell B60.
</v>
      </c>
      <c r="H1796" s="52" t="str">
        <f t="shared" ca="1" si="601"/>
        <v>Residential Square Footage**</v>
      </c>
      <c r="I1796" s="52">
        <v>7</v>
      </c>
    </row>
    <row r="1797" spans="1:10" ht="15" customHeight="1">
      <c r="A1797" t="str">
        <f t="shared" ca="1" si="596"/>
        <v/>
      </c>
      <c r="B1797">
        <f t="shared" si="597"/>
        <v>17</v>
      </c>
      <c r="C1797">
        <f t="shared" ca="1" si="589"/>
        <v>14</v>
      </c>
      <c r="D1797" t="str">
        <f t="shared" si="598"/>
        <v>H17</v>
      </c>
      <c r="E1797" t="str">
        <f t="shared" ca="1" si="599"/>
        <v/>
      </c>
      <c r="F1797" t="str">
        <f t="shared" ca="1" si="600"/>
        <v xml:space="preserve">Enter a 'Square Footage of Employee Units' for  building 14 in cell H17.
</v>
      </c>
      <c r="G1797" s="9" t="str">
        <f t="shared" ca="1" si="587"/>
        <v xml:space="preserve">Enter a value for 'Number of Floors in the Tallest Building' in cell B60.
</v>
      </c>
      <c r="H1797" s="52" t="str">
        <f t="shared" ca="1" si="601"/>
        <v>Square Footage of Employee Units</v>
      </c>
      <c r="I1797" s="52">
        <v>8</v>
      </c>
    </row>
    <row r="1798" spans="1:10" ht="15" customHeight="1">
      <c r="A1798" t="str">
        <f t="shared" ca="1" si="596"/>
        <v/>
      </c>
      <c r="B1798">
        <f t="shared" si="597"/>
        <v>17</v>
      </c>
      <c r="C1798">
        <f t="shared" ca="1" si="589"/>
        <v>14</v>
      </c>
      <c r="D1798" t="str">
        <f t="shared" si="598"/>
        <v>I17</v>
      </c>
      <c r="E1798" t="str">
        <f t="shared" ca="1" si="599"/>
        <v/>
      </c>
      <c r="F1798" t="str">
        <f t="shared" ca="1" si="600"/>
        <v xml:space="preserve">Enter a 'Square Footage of Low-Income Units' for  building 14 in cell I17.
</v>
      </c>
      <c r="G1798" s="9" t="str">
        <f t="shared" ca="1" si="587"/>
        <v xml:space="preserve">Enter a value for 'Number of Floors in the Tallest Building' in cell B60.
</v>
      </c>
      <c r="H1798" s="52" t="str">
        <f t="shared" ca="1" si="601"/>
        <v>Square Footage of Low-Income Units</v>
      </c>
      <c r="I1798" s="52">
        <v>9</v>
      </c>
    </row>
    <row r="1799" spans="1:10" ht="15" customHeight="1">
      <c r="A1799" t="str">
        <f t="shared" ca="1" si="596"/>
        <v/>
      </c>
      <c r="B1799">
        <f t="shared" si="597"/>
        <v>17</v>
      </c>
      <c r="C1799">
        <f t="shared" ca="1" si="589"/>
        <v>14</v>
      </c>
      <c r="D1799" t="str">
        <f t="shared" si="598"/>
        <v>J17</v>
      </c>
      <c r="E1799" t="str">
        <f t="shared" ca="1" si="599"/>
        <v/>
      </c>
      <c r="F1799" t="str">
        <f t="shared" ca="1" si="600"/>
        <v xml:space="preserve">Enter a 'Placed-In-Service Date' for  building 14 in cell J17.
</v>
      </c>
      <c r="G1799" s="9" t="str">
        <f t="shared" ca="1" si="587"/>
        <v xml:space="preserve">Enter a value for 'Number of Floors in the Tallest Building' in cell B60.
</v>
      </c>
      <c r="H1799" s="52" t="str">
        <f t="shared" ca="1" si="601"/>
        <v>Placed-In-Service Date</v>
      </c>
      <c r="I1799" s="52">
        <v>10</v>
      </c>
    </row>
    <row r="1800" spans="1:10" ht="15" customHeight="1">
      <c r="A1800" t="str">
        <f t="shared" ca="1" si="596"/>
        <v/>
      </c>
      <c r="B1800">
        <f t="shared" si="597"/>
        <v>17</v>
      </c>
      <c r="C1800">
        <f t="shared" ca="1" si="589"/>
        <v>14</v>
      </c>
      <c r="D1800" t="str">
        <f t="shared" si="598"/>
        <v>K17</v>
      </c>
      <c r="E1800" t="str">
        <f t="shared" ca="1" si="599"/>
        <v/>
      </c>
      <c r="F1800" t="str">
        <f t="shared" ca="1" si="600"/>
        <v xml:space="preserve">Enter a 'New Construction/ Rehab APR' for  building 14 in cell K17.
</v>
      </c>
      <c r="G1800" s="9" t="str">
        <f t="shared" ca="1" si="587"/>
        <v xml:space="preserve">Enter a value for 'Number of Floors in the Tallest Building' in cell B60.
</v>
      </c>
      <c r="H1800" s="52" t="str">
        <f t="shared" ca="1" si="601"/>
        <v>New Construction/ Rehab APR</v>
      </c>
      <c r="I1800" s="52">
        <v>11</v>
      </c>
    </row>
    <row r="1801" spans="1:10" ht="15" customHeight="1">
      <c r="A1801" t="str">
        <f t="shared" ca="1" si="596"/>
        <v/>
      </c>
      <c r="B1801">
        <f t="shared" si="597"/>
        <v>17</v>
      </c>
      <c r="C1801">
        <f t="shared" ca="1" si="589"/>
        <v>14</v>
      </c>
      <c r="D1801" t="str">
        <f t="shared" si="598"/>
        <v>L17</v>
      </c>
      <c r="E1801" t="str">
        <f t="shared" ca="1" si="599"/>
        <v/>
      </c>
      <c r="F1801" t="str">
        <f t="shared" ca="1" si="600"/>
        <v xml:space="preserve">Enter a 'New Construction Eligible Basis' for  building 14 in cell L17.
</v>
      </c>
      <c r="G1801" s="9" t="str">
        <f t="shared" ca="1" si="587"/>
        <v xml:space="preserve">Enter a value for 'Number of Floors in the Tallest Building' in cell B60.
</v>
      </c>
      <c r="H1801" s="52" t="str">
        <f t="shared" ca="1" si="601"/>
        <v>New Construction Eligible Basis</v>
      </c>
      <c r="I1801" s="52">
        <v>12</v>
      </c>
    </row>
    <row r="1802" spans="1:10" ht="15" customHeight="1">
      <c r="A1802" t="str">
        <f ca="1">IF(AND(OFFSET(A1802, -I1802 + 2, 4) &gt;  0, E1802="", Calculations!$B$7), F1802, "")</f>
        <v/>
      </c>
      <c r="B1802">
        <f t="shared" si="597"/>
        <v>17</v>
      </c>
      <c r="C1802">
        <f t="shared" ca="1" si="589"/>
        <v>14</v>
      </c>
      <c r="D1802" t="str">
        <f t="shared" si="598"/>
        <v>M17</v>
      </c>
      <c r="E1802" t="str">
        <f t="shared" ca="1" si="599"/>
        <v/>
      </c>
      <c r="F1802" t="str">
        <f t="shared" ca="1" si="600"/>
        <v xml:space="preserve">Enter a 'Eligible Basis for Rehab' for  building 14 in cell M17.
</v>
      </c>
      <c r="G1802" s="9" t="str">
        <f t="shared" ca="1" si="587"/>
        <v xml:space="preserve">Enter a value for 'Number of Floors in the Tallest Building' in cell B60.
</v>
      </c>
      <c r="H1802" s="52" t="str">
        <f t="shared" ca="1" si="601"/>
        <v>Eligible Basis for Rehab</v>
      </c>
      <c r="I1802" s="52">
        <v>13</v>
      </c>
    </row>
    <row r="1803" spans="1:10" ht="15" customHeight="1">
      <c r="A1803" t="str">
        <f ca="1">IF(AND(OFFSET(A1803, -I1803 + 2, 4) &gt;  0, E1803="", Calculations!$B$7), F1803, "")</f>
        <v/>
      </c>
      <c r="B1803">
        <f t="shared" si="597"/>
        <v>17</v>
      </c>
      <c r="C1803">
        <f t="shared" ca="1" si="589"/>
        <v>14</v>
      </c>
      <c r="D1803" t="str">
        <f t="shared" si="598"/>
        <v>N17</v>
      </c>
      <c r="E1803" t="str">
        <f t="shared" ca="1" si="599"/>
        <v/>
      </c>
      <c r="F1803" t="str">
        <f t="shared" ca="1" si="600"/>
        <v xml:space="preserve">Enter a 'Cost of Acquiring the Building***' for  building 14 in cell N17.
</v>
      </c>
      <c r="G1803" s="9" t="str">
        <f t="shared" ca="1" si="587"/>
        <v xml:space="preserve">Enter a value for 'Number of Floors in the Tallest Building' in cell B60.
</v>
      </c>
      <c r="H1803" s="52" t="str">
        <f t="shared" ca="1" si="601"/>
        <v>Cost of Acquiring the Building***</v>
      </c>
      <c r="I1803" s="52">
        <v>14</v>
      </c>
    </row>
    <row r="1804" spans="1:10" ht="15" customHeight="1">
      <c r="A1804" t="str">
        <f ca="1">IF(AND(OFFSET(A1804, -I1804 + 2, 4) &gt;  0, E1804="", Calculations!$B$7), F1804, "")</f>
        <v/>
      </c>
      <c r="B1804">
        <f t="shared" si="597"/>
        <v>17</v>
      </c>
      <c r="C1804">
        <f t="shared" ca="1" si="589"/>
        <v>14</v>
      </c>
      <c r="D1804" t="str">
        <f t="shared" si="598"/>
        <v>O17</v>
      </c>
      <c r="E1804" t="str">
        <f t="shared" ca="1" si="599"/>
        <v/>
      </c>
      <c r="F1804" t="str">
        <f t="shared" ca="1" si="600"/>
        <v xml:space="preserve">Enter a 'Higher of Land Purchase Price or Land Appraised Value****' for  building 14 in cell O17.
</v>
      </c>
      <c r="G1804" s="9" t="str">
        <f t="shared" ca="1" si="587"/>
        <v xml:space="preserve">Enter a value for 'Number of Floors in the Tallest Building' in cell B60.
</v>
      </c>
      <c r="H1804" s="52" t="str">
        <f t="shared" ca="1" si="601"/>
        <v>Higher of Land Purchase Price or Land Appraised Value****</v>
      </c>
      <c r="I1804" s="52">
        <v>15</v>
      </c>
    </row>
    <row r="1805" spans="1:10" ht="15" customHeight="1">
      <c r="A1805" t="str">
        <f ca="1">IF(AND(OFFSET(A1805, -I1805 + 2, 4) &gt;  0, E1805="", Calculations!$B$7), F1805, "")</f>
        <v/>
      </c>
      <c r="B1805">
        <f t="shared" si="597"/>
        <v>17</v>
      </c>
      <c r="C1805">
        <f t="shared" ca="1" si="589"/>
        <v>14</v>
      </c>
      <c r="D1805" t="str">
        <f t="shared" si="598"/>
        <v>P17</v>
      </c>
      <c r="E1805" t="str">
        <f t="shared" ca="1" si="599"/>
        <v/>
      </c>
      <c r="F1805" t="str">
        <f t="shared" ca="1" si="600"/>
        <v xml:space="preserve">Enter a 'Acquisition Placed-in-Service Date' for  building 14 in cell P17.
</v>
      </c>
      <c r="G1805" s="9" t="str">
        <f t="shared" ca="1" si="587"/>
        <v xml:space="preserve">Enter a value for 'Number of Floors in the Tallest Building' in cell B60.
</v>
      </c>
      <c r="H1805" s="52" t="str">
        <f t="shared" ca="1" si="601"/>
        <v>Acquisition Placed-in-Service Date</v>
      </c>
      <c r="I1805" s="52">
        <v>16</v>
      </c>
    </row>
    <row r="1806" spans="1:10" ht="15" customHeight="1">
      <c r="A1806" t="str">
        <f ca="1">IF(AND(OFFSET(A1806, -I1806 + 2, 4) &gt;  0, E1806="", Calculations!$B$7), F1806, "")</f>
        <v/>
      </c>
      <c r="B1806">
        <f t="shared" si="597"/>
        <v>17</v>
      </c>
      <c r="C1806">
        <f t="shared" ca="1" si="589"/>
        <v>14</v>
      </c>
      <c r="D1806" t="str">
        <f t="shared" si="598"/>
        <v>Q17</v>
      </c>
      <c r="E1806" t="str">
        <f t="shared" ca="1" si="599"/>
        <v/>
      </c>
      <c r="F1806" t="str">
        <f t="shared" ca="1" si="600"/>
        <v xml:space="preserve">Enter a 'Acquisition APR' for  building 14 in cell Q17.
</v>
      </c>
      <c r="G1806" s="9" t="str">
        <f t="shared" ca="1" si="587"/>
        <v xml:space="preserve">Enter a value for 'Number of Floors in the Tallest Building' in cell B60.
</v>
      </c>
      <c r="H1806" s="52" t="str">
        <f t="shared" ca="1" si="601"/>
        <v>Acquisition APR</v>
      </c>
      <c r="I1806" s="52">
        <v>17</v>
      </c>
    </row>
    <row r="1807" spans="1:10" ht="15" customHeight="1">
      <c r="A1807" t="str">
        <f ca="1">IF(AND(Calculations!$B$4,Calculations!$B$29&gt;=C1807, E1807 &lt;&gt; 13),F1807,"")</f>
        <v/>
      </c>
      <c r="B1807">
        <f>ROW('Final Building Profile'!C18)</f>
        <v>18</v>
      </c>
      <c r="C1807">
        <f t="shared" ca="1" si="589"/>
        <v>15</v>
      </c>
      <c r="D1807" t="str">
        <f>ADDRESS(B1807, 3,4  )</f>
        <v>C18</v>
      </c>
      <c r="E1807" s="52">
        <f ca="1">H1807+I1807</f>
        <v>0</v>
      </c>
      <c r="F1807" t="str">
        <f ca="1">CONCATENATE("Based upon the number of buildings specified, information for  building ", C1807, " required for a final application in row ", B1807, ".", CHAR(10))</f>
        <v xml:space="preserve">Based upon the number of buildings specified, information for  building 15 required for a final application in row 18.
</v>
      </c>
      <c r="G1807" s="9" t="str">
        <f t="shared" ca="1" si="587"/>
        <v xml:space="preserve">Enter a value for 'Number of Floors in the Tallest Building' in cell B60.
</v>
      </c>
      <c r="H1807" s="52">
        <f ca="1">SUMPRODUCT(--ISTEXT(INDIRECT(J1807)))</f>
        <v>0</v>
      </c>
      <c r="I1807" s="52">
        <f ca="1">SUMPRODUCT(--ISNUMBER(INDIRECT(J1807)))</f>
        <v>0</v>
      </c>
      <c r="J1807" s="52" t="str">
        <f>$F$1565&amp; ADDRESS(B1807,3,4) &amp; ":" &amp; ADDRESS(B1807,15,4)</f>
        <v>'Final Building Profile'!C18:O18</v>
      </c>
    </row>
    <row r="1808" spans="1:10" ht="15" customHeight="1">
      <c r="A1808" t="str">
        <f t="shared" ref="A1808:A1817" ca="1" si="602">IF(AND(OFFSET(A1808, -I1808 + 2, 4) &gt;  0, E1808=""), F1808, "")</f>
        <v/>
      </c>
      <c r="B1808">
        <f t="shared" ref="B1808:B1822" si="603">B1807</f>
        <v>18</v>
      </c>
      <c r="C1808">
        <f t="shared" ca="1" si="589"/>
        <v>15</v>
      </c>
      <c r="D1808" t="str">
        <f t="shared" ref="D1808:D1822" si="604">ADDRESS(B1808, I1808,4  )</f>
        <v>C18</v>
      </c>
      <c r="E1808" t="str">
        <f t="shared" ref="E1808:E1822" ca="1" si="605">IF(ISBLANK( INDIRECT($F$1565 &amp; D1808)),"", INDIRECT($F$1565 &amp; D1808))</f>
        <v/>
      </c>
      <c r="F1808" t="str">
        <f t="shared" ref="F1808:F1822" ca="1" si="606">CONCATENATE("Enter a '"&amp; H1808 &amp;"' for  building ", C1808, " in cell ", D1808, ".", CHAR(10))</f>
        <v xml:space="preserve">Enter a 'Building Street Address Only 
(DO NOT ENTER CITY, STATE, OR ZIP)' for  building 15 in cell C18.
</v>
      </c>
      <c r="G1808" s="9" t="str">
        <f t="shared" ca="1" si="587"/>
        <v xml:space="preserve">Enter a value for 'Number of Floors in the Tallest Building' in cell B60.
</v>
      </c>
      <c r="H1808" s="52" t="str">
        <f t="shared" ref="H1808:H1822" ca="1" si="607">OFFSET(INDIRECT($F$1565 &amp; D1808), -B1808 + 3, 0)</f>
        <v>Building Street Address Only 
(DO NOT ENTER CITY, STATE, OR ZIP)</v>
      </c>
      <c r="I1808" s="52">
        <v>3</v>
      </c>
    </row>
    <row r="1809" spans="1:10" ht="15" customHeight="1">
      <c r="A1809" t="str">
        <f t="shared" ca="1" si="602"/>
        <v/>
      </c>
      <c r="B1809">
        <f t="shared" si="603"/>
        <v>18</v>
      </c>
      <c r="C1809">
        <f t="shared" ca="1" si="589"/>
        <v>15</v>
      </c>
      <c r="D1809" t="str">
        <f t="shared" si="604"/>
        <v>D18</v>
      </c>
      <c r="E1809" t="str">
        <f t="shared" ca="1" si="605"/>
        <v/>
      </c>
      <c r="F1809" t="str">
        <f t="shared" ca="1" si="606"/>
        <v xml:space="preserve">Enter a 'Total Units in Building*' for  building 15 in cell D18.
</v>
      </c>
      <c r="G1809" s="9" t="str">
        <f t="shared" ca="1" si="587"/>
        <v xml:space="preserve">Enter a value for 'Number of Floors in the Tallest Building' in cell B60.
</v>
      </c>
      <c r="H1809" s="52" t="str">
        <f t="shared" ca="1" si="607"/>
        <v>Total Units in Building*</v>
      </c>
      <c r="I1809" s="52">
        <v>4</v>
      </c>
    </row>
    <row r="1810" spans="1:10" ht="15" customHeight="1">
      <c r="A1810" t="str">
        <f t="shared" ca="1" si="602"/>
        <v/>
      </c>
      <c r="B1810">
        <f t="shared" si="603"/>
        <v>18</v>
      </c>
      <c r="C1810">
        <f t="shared" ca="1" si="589"/>
        <v>15</v>
      </c>
      <c r="D1810" t="str">
        <f t="shared" si="604"/>
        <v>E18</v>
      </c>
      <c r="E1810" t="str">
        <f t="shared" ca="1" si="605"/>
        <v/>
      </c>
      <c r="F1810" t="str">
        <f t="shared" ca="1" si="606"/>
        <v xml:space="preserve">Enter a 'Employee Units' for  building 15 in cell E18.
</v>
      </c>
      <c r="G1810" s="9" t="str">
        <f t="shared" ca="1" si="587"/>
        <v xml:space="preserve">Enter a value for 'Number of Floors in the Tallest Building' in cell B60.
</v>
      </c>
      <c r="H1810" s="52" t="str">
        <f t="shared" ca="1" si="607"/>
        <v>Employee Units</v>
      </c>
      <c r="I1810" s="52">
        <v>5</v>
      </c>
    </row>
    <row r="1811" spans="1:10" ht="15" customHeight="1">
      <c r="A1811" t="str">
        <f t="shared" ca="1" si="602"/>
        <v/>
      </c>
      <c r="B1811">
        <f t="shared" si="603"/>
        <v>18</v>
      </c>
      <c r="C1811">
        <f t="shared" ca="1" si="589"/>
        <v>15</v>
      </c>
      <c r="D1811" t="str">
        <f t="shared" si="604"/>
        <v>F18</v>
      </c>
      <c r="E1811" t="str">
        <f t="shared" ca="1" si="605"/>
        <v/>
      </c>
      <c r="F1811" t="str">
        <f t="shared" ca="1" si="606"/>
        <v xml:space="preserve">Enter a 'Low-Income Units' for  building 15 in cell F18.
</v>
      </c>
      <c r="G1811" s="9" t="str">
        <f t="shared" ca="1" si="587"/>
        <v xml:space="preserve">Enter a value for 'Number of Floors in the Tallest Building' in cell B60.
</v>
      </c>
      <c r="H1811" s="52" t="str">
        <f t="shared" ca="1" si="607"/>
        <v>Low-Income Units</v>
      </c>
      <c r="I1811" s="52">
        <v>6</v>
      </c>
    </row>
    <row r="1812" spans="1:10" ht="15" customHeight="1">
      <c r="A1812" t="str">
        <f t="shared" ca="1" si="602"/>
        <v/>
      </c>
      <c r="B1812">
        <f t="shared" si="603"/>
        <v>18</v>
      </c>
      <c r="C1812">
        <f t="shared" ca="1" si="589"/>
        <v>15</v>
      </c>
      <c r="D1812" t="str">
        <f t="shared" si="604"/>
        <v>G18</v>
      </c>
      <c r="E1812" t="str">
        <f t="shared" ca="1" si="605"/>
        <v/>
      </c>
      <c r="F1812" t="str">
        <f t="shared" ca="1" si="606"/>
        <v xml:space="preserve">Enter a 'Residential Square Footage**' for  building 15 in cell G18.
</v>
      </c>
      <c r="G1812" s="9" t="str">
        <f t="shared" ca="1" si="587"/>
        <v xml:space="preserve">Enter a value for 'Number of Floors in the Tallest Building' in cell B60.
</v>
      </c>
      <c r="H1812" s="52" t="str">
        <f t="shared" ca="1" si="607"/>
        <v>Residential Square Footage**</v>
      </c>
      <c r="I1812" s="52">
        <v>7</v>
      </c>
    </row>
    <row r="1813" spans="1:10" ht="15" customHeight="1">
      <c r="A1813" t="str">
        <f t="shared" ca="1" si="602"/>
        <v/>
      </c>
      <c r="B1813">
        <f t="shared" si="603"/>
        <v>18</v>
      </c>
      <c r="C1813">
        <f t="shared" ca="1" si="589"/>
        <v>15</v>
      </c>
      <c r="D1813" t="str">
        <f t="shared" si="604"/>
        <v>H18</v>
      </c>
      <c r="E1813" t="str">
        <f t="shared" ca="1" si="605"/>
        <v/>
      </c>
      <c r="F1813" t="str">
        <f t="shared" ca="1" si="606"/>
        <v xml:space="preserve">Enter a 'Square Footage of Employee Units' for  building 15 in cell H18.
</v>
      </c>
      <c r="G1813" s="9" t="str">
        <f t="shared" ca="1" si="587"/>
        <v xml:space="preserve">Enter a value for 'Number of Floors in the Tallest Building' in cell B60.
</v>
      </c>
      <c r="H1813" s="52" t="str">
        <f t="shared" ca="1" si="607"/>
        <v>Square Footage of Employee Units</v>
      </c>
      <c r="I1813" s="52">
        <v>8</v>
      </c>
    </row>
    <row r="1814" spans="1:10" ht="15" customHeight="1">
      <c r="A1814" t="str">
        <f t="shared" ca="1" si="602"/>
        <v/>
      </c>
      <c r="B1814">
        <f t="shared" si="603"/>
        <v>18</v>
      </c>
      <c r="C1814">
        <f t="shared" ca="1" si="589"/>
        <v>15</v>
      </c>
      <c r="D1814" t="str">
        <f t="shared" si="604"/>
        <v>I18</v>
      </c>
      <c r="E1814" t="str">
        <f t="shared" ca="1" si="605"/>
        <v/>
      </c>
      <c r="F1814" t="str">
        <f t="shared" ca="1" si="606"/>
        <v xml:space="preserve">Enter a 'Square Footage of Low-Income Units' for  building 15 in cell I18.
</v>
      </c>
      <c r="G1814" s="9" t="str">
        <f t="shared" ca="1" si="587"/>
        <v xml:space="preserve">Enter a value for 'Number of Floors in the Tallest Building' in cell B60.
</v>
      </c>
      <c r="H1814" s="52" t="str">
        <f t="shared" ca="1" si="607"/>
        <v>Square Footage of Low-Income Units</v>
      </c>
      <c r="I1814" s="52">
        <v>9</v>
      </c>
    </row>
    <row r="1815" spans="1:10" ht="15" customHeight="1">
      <c r="A1815" t="str">
        <f t="shared" ca="1" si="602"/>
        <v/>
      </c>
      <c r="B1815">
        <f t="shared" si="603"/>
        <v>18</v>
      </c>
      <c r="C1815">
        <f t="shared" ca="1" si="589"/>
        <v>15</v>
      </c>
      <c r="D1815" t="str">
        <f t="shared" si="604"/>
        <v>J18</v>
      </c>
      <c r="E1815" t="str">
        <f t="shared" ca="1" si="605"/>
        <v/>
      </c>
      <c r="F1815" t="str">
        <f t="shared" ca="1" si="606"/>
        <v xml:space="preserve">Enter a 'Placed-In-Service Date' for  building 15 in cell J18.
</v>
      </c>
      <c r="G1815" s="9" t="str">
        <f t="shared" ca="1" si="587"/>
        <v xml:space="preserve">Enter a value for 'Number of Floors in the Tallest Building' in cell B60.
</v>
      </c>
      <c r="H1815" s="52" t="str">
        <f t="shared" ca="1" si="607"/>
        <v>Placed-In-Service Date</v>
      </c>
      <c r="I1815" s="52">
        <v>10</v>
      </c>
    </row>
    <row r="1816" spans="1:10" ht="15" customHeight="1">
      <c r="A1816" t="str">
        <f t="shared" ca="1" si="602"/>
        <v/>
      </c>
      <c r="B1816">
        <f t="shared" si="603"/>
        <v>18</v>
      </c>
      <c r="C1816">
        <f t="shared" ca="1" si="589"/>
        <v>15</v>
      </c>
      <c r="D1816" t="str">
        <f t="shared" si="604"/>
        <v>K18</v>
      </c>
      <c r="E1816" t="str">
        <f t="shared" ca="1" si="605"/>
        <v/>
      </c>
      <c r="F1816" t="str">
        <f t="shared" ca="1" si="606"/>
        <v xml:space="preserve">Enter a 'New Construction/ Rehab APR' for  building 15 in cell K18.
</v>
      </c>
      <c r="G1816" s="9" t="str">
        <f t="shared" ca="1" si="587"/>
        <v xml:space="preserve">Enter a value for 'Number of Floors in the Tallest Building' in cell B60.
</v>
      </c>
      <c r="H1816" s="52" t="str">
        <f t="shared" ca="1" si="607"/>
        <v>New Construction/ Rehab APR</v>
      </c>
      <c r="I1816" s="52">
        <v>11</v>
      </c>
    </row>
    <row r="1817" spans="1:10" ht="15" customHeight="1">
      <c r="A1817" t="str">
        <f t="shared" ca="1" si="602"/>
        <v/>
      </c>
      <c r="B1817">
        <f t="shared" si="603"/>
        <v>18</v>
      </c>
      <c r="C1817">
        <f t="shared" ca="1" si="589"/>
        <v>15</v>
      </c>
      <c r="D1817" t="str">
        <f t="shared" si="604"/>
        <v>L18</v>
      </c>
      <c r="E1817" t="str">
        <f t="shared" ca="1" si="605"/>
        <v/>
      </c>
      <c r="F1817" t="str">
        <f t="shared" ca="1" si="606"/>
        <v xml:space="preserve">Enter a 'New Construction Eligible Basis' for  building 15 in cell L18.
</v>
      </c>
      <c r="G1817" s="9" t="str">
        <f t="shared" ca="1" si="587"/>
        <v xml:space="preserve">Enter a value for 'Number of Floors in the Tallest Building' in cell B60.
</v>
      </c>
      <c r="H1817" s="52" t="str">
        <f t="shared" ca="1" si="607"/>
        <v>New Construction Eligible Basis</v>
      </c>
      <c r="I1817" s="52">
        <v>12</v>
      </c>
    </row>
    <row r="1818" spans="1:10" ht="15" customHeight="1">
      <c r="A1818" t="str">
        <f ca="1">IF(AND(OFFSET(A1818, -I1818 + 2, 4) &gt;  0, E1818="", Calculations!$B$7), F1818, "")</f>
        <v/>
      </c>
      <c r="B1818">
        <f t="shared" si="603"/>
        <v>18</v>
      </c>
      <c r="C1818">
        <f t="shared" ca="1" si="589"/>
        <v>15</v>
      </c>
      <c r="D1818" t="str">
        <f t="shared" si="604"/>
        <v>M18</v>
      </c>
      <c r="E1818" t="str">
        <f t="shared" ca="1" si="605"/>
        <v/>
      </c>
      <c r="F1818" t="str">
        <f t="shared" ca="1" si="606"/>
        <v xml:space="preserve">Enter a 'Eligible Basis for Rehab' for  building 15 in cell M18.
</v>
      </c>
      <c r="G1818" s="9" t="str">
        <f t="shared" ca="1" si="587"/>
        <v xml:space="preserve">Enter a value for 'Number of Floors in the Tallest Building' in cell B60.
</v>
      </c>
      <c r="H1818" s="52" t="str">
        <f t="shared" ca="1" si="607"/>
        <v>Eligible Basis for Rehab</v>
      </c>
      <c r="I1818" s="52">
        <v>13</v>
      </c>
    </row>
    <row r="1819" spans="1:10" ht="15" customHeight="1">
      <c r="A1819" t="str">
        <f ca="1">IF(AND(OFFSET(A1819, -I1819 + 2, 4) &gt;  0, E1819="", Calculations!$B$7), F1819, "")</f>
        <v/>
      </c>
      <c r="B1819">
        <f t="shared" si="603"/>
        <v>18</v>
      </c>
      <c r="C1819">
        <f t="shared" ca="1" si="589"/>
        <v>15</v>
      </c>
      <c r="D1819" t="str">
        <f t="shared" si="604"/>
        <v>N18</v>
      </c>
      <c r="E1819" t="str">
        <f t="shared" ca="1" si="605"/>
        <v/>
      </c>
      <c r="F1819" t="str">
        <f t="shared" ca="1" si="606"/>
        <v xml:space="preserve">Enter a 'Cost of Acquiring the Building***' for  building 15 in cell N18.
</v>
      </c>
      <c r="G1819" s="9" t="str">
        <f t="shared" ca="1" si="587"/>
        <v xml:space="preserve">Enter a value for 'Number of Floors in the Tallest Building' in cell B60.
</v>
      </c>
      <c r="H1819" s="52" t="str">
        <f t="shared" ca="1" si="607"/>
        <v>Cost of Acquiring the Building***</v>
      </c>
      <c r="I1819" s="52">
        <v>14</v>
      </c>
    </row>
    <row r="1820" spans="1:10" ht="15" customHeight="1">
      <c r="A1820" t="str">
        <f ca="1">IF(AND(OFFSET(A1820, -I1820 + 2, 4) &gt;  0, E1820="", Calculations!$B$7), F1820, "")</f>
        <v/>
      </c>
      <c r="B1820">
        <f t="shared" si="603"/>
        <v>18</v>
      </c>
      <c r="C1820">
        <f t="shared" ca="1" si="589"/>
        <v>15</v>
      </c>
      <c r="D1820" t="str">
        <f t="shared" si="604"/>
        <v>O18</v>
      </c>
      <c r="E1820" t="str">
        <f t="shared" ca="1" si="605"/>
        <v/>
      </c>
      <c r="F1820" t="str">
        <f t="shared" ca="1" si="606"/>
        <v xml:space="preserve">Enter a 'Higher of Land Purchase Price or Land Appraised Value****' for  building 15 in cell O18.
</v>
      </c>
      <c r="G1820" s="9" t="str">
        <f t="shared" ca="1" si="587"/>
        <v xml:space="preserve">Enter a value for 'Number of Floors in the Tallest Building' in cell B60.
</v>
      </c>
      <c r="H1820" s="52" t="str">
        <f t="shared" ca="1" si="607"/>
        <v>Higher of Land Purchase Price or Land Appraised Value****</v>
      </c>
      <c r="I1820" s="52">
        <v>15</v>
      </c>
    </row>
    <row r="1821" spans="1:10" ht="15" customHeight="1">
      <c r="A1821" t="str">
        <f ca="1">IF(AND(OFFSET(A1821, -I1821 + 2, 4) &gt;  0, E1821="", Calculations!$B$7), F1821, "")</f>
        <v/>
      </c>
      <c r="B1821">
        <f t="shared" si="603"/>
        <v>18</v>
      </c>
      <c r="C1821">
        <f t="shared" ca="1" si="589"/>
        <v>15</v>
      </c>
      <c r="D1821" t="str">
        <f t="shared" si="604"/>
        <v>P18</v>
      </c>
      <c r="E1821" t="str">
        <f t="shared" ca="1" si="605"/>
        <v/>
      </c>
      <c r="F1821" t="str">
        <f t="shared" ca="1" si="606"/>
        <v xml:space="preserve">Enter a 'Acquisition Placed-in-Service Date' for  building 15 in cell P18.
</v>
      </c>
      <c r="G1821" s="9" t="str">
        <f t="shared" ca="1" si="587"/>
        <v xml:space="preserve">Enter a value for 'Number of Floors in the Tallest Building' in cell B60.
</v>
      </c>
      <c r="H1821" s="52" t="str">
        <f t="shared" ca="1" si="607"/>
        <v>Acquisition Placed-in-Service Date</v>
      </c>
      <c r="I1821" s="52">
        <v>16</v>
      </c>
    </row>
    <row r="1822" spans="1:10" ht="15" customHeight="1">
      <c r="A1822" t="str">
        <f ca="1">IF(AND(OFFSET(A1822, -I1822 + 2, 4) &gt;  0, E1822="", Calculations!$B$7), F1822, "")</f>
        <v/>
      </c>
      <c r="B1822">
        <f t="shared" si="603"/>
        <v>18</v>
      </c>
      <c r="C1822">
        <f t="shared" ca="1" si="589"/>
        <v>15</v>
      </c>
      <c r="D1822" t="str">
        <f t="shared" si="604"/>
        <v>Q18</v>
      </c>
      <c r="E1822" t="str">
        <f t="shared" ca="1" si="605"/>
        <v/>
      </c>
      <c r="F1822" t="str">
        <f t="shared" ca="1" si="606"/>
        <v xml:space="preserve">Enter a 'Acquisition APR' for  building 15 in cell Q18.
</v>
      </c>
      <c r="G1822" s="9" t="str">
        <f t="shared" ca="1" si="587"/>
        <v xml:space="preserve">Enter a value for 'Number of Floors in the Tallest Building' in cell B60.
</v>
      </c>
      <c r="H1822" s="52" t="str">
        <f t="shared" ca="1" si="607"/>
        <v>Acquisition APR</v>
      </c>
      <c r="I1822" s="52">
        <v>17</v>
      </c>
    </row>
    <row r="1823" spans="1:10" ht="15" customHeight="1">
      <c r="A1823" t="str">
        <f ca="1">IF(AND(Calculations!$B$4,Calculations!$B$29&gt;=C1823, E1823 &lt;&gt; 13),F1823,"")</f>
        <v/>
      </c>
      <c r="B1823">
        <f>ROW('Final Building Profile'!C19)</f>
        <v>19</v>
      </c>
      <c r="C1823">
        <f t="shared" ca="1" si="589"/>
        <v>16</v>
      </c>
      <c r="D1823" t="str">
        <f>ADDRESS(B1823, 3,4  )</f>
        <v>C19</v>
      </c>
      <c r="E1823" s="52">
        <f ca="1">H1823+I1823</f>
        <v>0</v>
      </c>
      <c r="F1823" t="str">
        <f ca="1">CONCATENATE("Based upon the number of buildings specified, information for  building ", C1823, " required for a final application in row ", B1823, ".", CHAR(10))</f>
        <v xml:space="preserve">Based upon the number of buildings specified, information for  building 16 required for a final application in row 19.
</v>
      </c>
      <c r="G1823" s="9" t="str">
        <f t="shared" ca="1" si="587"/>
        <v xml:space="preserve">Enter a value for 'Number of Floors in the Tallest Building' in cell B60.
</v>
      </c>
      <c r="H1823" s="52">
        <f ca="1">SUMPRODUCT(--ISTEXT(INDIRECT(J1823)))</f>
        <v>0</v>
      </c>
      <c r="I1823" s="52">
        <f ca="1">SUMPRODUCT(--ISNUMBER(INDIRECT(J1823)))</f>
        <v>0</v>
      </c>
      <c r="J1823" s="52" t="str">
        <f>$F$1565&amp; ADDRESS(B1823,3,4) &amp; ":" &amp; ADDRESS(B1823,15,4)</f>
        <v>'Final Building Profile'!C19:O19</v>
      </c>
    </row>
    <row r="1824" spans="1:10" ht="15" customHeight="1">
      <c r="A1824" t="str">
        <f t="shared" ref="A1824:A1833" ca="1" si="608">IF(AND(OFFSET(A1824, -I1824 + 2, 4) &gt;  0, E1824=""), F1824, "")</f>
        <v/>
      </c>
      <c r="B1824">
        <f t="shared" ref="B1824:B1838" si="609">B1823</f>
        <v>19</v>
      </c>
      <c r="C1824">
        <f t="shared" ca="1" si="589"/>
        <v>16</v>
      </c>
      <c r="D1824" t="str">
        <f t="shared" ref="D1824:D1838" si="610">ADDRESS(B1824, I1824,4  )</f>
        <v>C19</v>
      </c>
      <c r="E1824" t="str">
        <f t="shared" ref="E1824:E1838" ca="1" si="611">IF(ISBLANK( INDIRECT($F$1565 &amp; D1824)),"", INDIRECT($F$1565 &amp; D1824))</f>
        <v/>
      </c>
      <c r="F1824" t="str">
        <f t="shared" ref="F1824:F1838" ca="1" si="612">CONCATENATE("Enter a '"&amp; H1824 &amp;"' for  building ", C1824, " in cell ", D1824, ".", CHAR(10))</f>
        <v xml:space="preserve">Enter a 'Building Street Address Only 
(DO NOT ENTER CITY, STATE, OR ZIP)' for  building 16 in cell C19.
</v>
      </c>
      <c r="G1824" s="9" t="str">
        <f t="shared" ref="G1824:G1887" ca="1" si="613">OFFSET(G1824, -1, 0) &amp; A1824</f>
        <v xml:space="preserve">Enter a value for 'Number of Floors in the Tallest Building' in cell B60.
</v>
      </c>
      <c r="H1824" s="52" t="str">
        <f t="shared" ref="H1824:H1838" ca="1" si="614">OFFSET(INDIRECT($F$1565 &amp; D1824), -B1824 + 3, 0)</f>
        <v>Building Street Address Only 
(DO NOT ENTER CITY, STATE, OR ZIP)</v>
      </c>
      <c r="I1824" s="52">
        <v>3</v>
      </c>
    </row>
    <row r="1825" spans="1:10" ht="15" customHeight="1">
      <c r="A1825" t="str">
        <f t="shared" ca="1" si="608"/>
        <v/>
      </c>
      <c r="B1825">
        <f t="shared" si="609"/>
        <v>19</v>
      </c>
      <c r="C1825">
        <f t="shared" ca="1" si="589"/>
        <v>16</v>
      </c>
      <c r="D1825" t="str">
        <f t="shared" si="610"/>
        <v>D19</v>
      </c>
      <c r="E1825" t="str">
        <f t="shared" ca="1" si="611"/>
        <v/>
      </c>
      <c r="F1825" t="str">
        <f t="shared" ca="1" si="612"/>
        <v xml:space="preserve">Enter a 'Total Units in Building*' for  building 16 in cell D19.
</v>
      </c>
      <c r="G1825" s="9" t="str">
        <f t="shared" ca="1" si="613"/>
        <v xml:space="preserve">Enter a value for 'Number of Floors in the Tallest Building' in cell B60.
</v>
      </c>
      <c r="H1825" s="52" t="str">
        <f t="shared" ca="1" si="614"/>
        <v>Total Units in Building*</v>
      </c>
      <c r="I1825" s="52">
        <v>4</v>
      </c>
    </row>
    <row r="1826" spans="1:10" ht="15" customHeight="1">
      <c r="A1826" t="str">
        <f t="shared" ca="1" si="608"/>
        <v/>
      </c>
      <c r="B1826">
        <f t="shared" si="609"/>
        <v>19</v>
      </c>
      <c r="C1826">
        <f t="shared" ca="1" si="589"/>
        <v>16</v>
      </c>
      <c r="D1826" t="str">
        <f t="shared" si="610"/>
        <v>E19</v>
      </c>
      <c r="E1826" t="str">
        <f t="shared" ca="1" si="611"/>
        <v/>
      </c>
      <c r="F1826" t="str">
        <f t="shared" ca="1" si="612"/>
        <v xml:space="preserve">Enter a 'Employee Units' for  building 16 in cell E19.
</v>
      </c>
      <c r="G1826" s="9" t="str">
        <f t="shared" ca="1" si="613"/>
        <v xml:space="preserve">Enter a value for 'Number of Floors in the Tallest Building' in cell B60.
</v>
      </c>
      <c r="H1826" s="52" t="str">
        <f t="shared" ca="1" si="614"/>
        <v>Employee Units</v>
      </c>
      <c r="I1826" s="52">
        <v>5</v>
      </c>
    </row>
    <row r="1827" spans="1:10" ht="15" customHeight="1">
      <c r="A1827" t="str">
        <f t="shared" ca="1" si="608"/>
        <v/>
      </c>
      <c r="B1827">
        <f t="shared" si="609"/>
        <v>19</v>
      </c>
      <c r="C1827">
        <f t="shared" ca="1" si="589"/>
        <v>16</v>
      </c>
      <c r="D1827" t="str">
        <f t="shared" si="610"/>
        <v>F19</v>
      </c>
      <c r="E1827" t="str">
        <f t="shared" ca="1" si="611"/>
        <v/>
      </c>
      <c r="F1827" t="str">
        <f t="shared" ca="1" si="612"/>
        <v xml:space="preserve">Enter a 'Low-Income Units' for  building 16 in cell F19.
</v>
      </c>
      <c r="G1827" s="9" t="str">
        <f t="shared" ca="1" si="613"/>
        <v xml:space="preserve">Enter a value for 'Number of Floors in the Tallest Building' in cell B60.
</v>
      </c>
      <c r="H1827" s="52" t="str">
        <f t="shared" ca="1" si="614"/>
        <v>Low-Income Units</v>
      </c>
      <c r="I1827" s="52">
        <v>6</v>
      </c>
    </row>
    <row r="1828" spans="1:10" ht="15" customHeight="1">
      <c r="A1828" t="str">
        <f t="shared" ca="1" si="608"/>
        <v/>
      </c>
      <c r="B1828">
        <f t="shared" si="609"/>
        <v>19</v>
      </c>
      <c r="C1828">
        <f t="shared" ca="1" si="589"/>
        <v>16</v>
      </c>
      <c r="D1828" t="str">
        <f t="shared" si="610"/>
        <v>G19</v>
      </c>
      <c r="E1828" t="str">
        <f t="shared" ca="1" si="611"/>
        <v/>
      </c>
      <c r="F1828" t="str">
        <f t="shared" ca="1" si="612"/>
        <v xml:space="preserve">Enter a 'Residential Square Footage**' for  building 16 in cell G19.
</v>
      </c>
      <c r="G1828" s="9" t="str">
        <f t="shared" ca="1" si="613"/>
        <v xml:space="preserve">Enter a value for 'Number of Floors in the Tallest Building' in cell B60.
</v>
      </c>
      <c r="H1828" s="52" t="str">
        <f t="shared" ca="1" si="614"/>
        <v>Residential Square Footage**</v>
      </c>
      <c r="I1828" s="52">
        <v>7</v>
      </c>
    </row>
    <row r="1829" spans="1:10" ht="15" customHeight="1">
      <c r="A1829" t="str">
        <f t="shared" ca="1" si="608"/>
        <v/>
      </c>
      <c r="B1829">
        <f t="shared" si="609"/>
        <v>19</v>
      </c>
      <c r="C1829">
        <f t="shared" ca="1" si="589"/>
        <v>16</v>
      </c>
      <c r="D1829" t="str">
        <f t="shared" si="610"/>
        <v>H19</v>
      </c>
      <c r="E1829" t="str">
        <f t="shared" ca="1" si="611"/>
        <v/>
      </c>
      <c r="F1829" t="str">
        <f t="shared" ca="1" si="612"/>
        <v xml:space="preserve">Enter a 'Square Footage of Employee Units' for  building 16 in cell H19.
</v>
      </c>
      <c r="G1829" s="9" t="str">
        <f t="shared" ca="1" si="613"/>
        <v xml:space="preserve">Enter a value for 'Number of Floors in the Tallest Building' in cell B60.
</v>
      </c>
      <c r="H1829" s="52" t="str">
        <f t="shared" ca="1" si="614"/>
        <v>Square Footage of Employee Units</v>
      </c>
      <c r="I1829" s="52">
        <v>8</v>
      </c>
    </row>
    <row r="1830" spans="1:10" ht="15" customHeight="1">
      <c r="A1830" t="str">
        <f t="shared" ca="1" si="608"/>
        <v/>
      </c>
      <c r="B1830">
        <f t="shared" si="609"/>
        <v>19</v>
      </c>
      <c r="C1830">
        <f t="shared" ca="1" si="589"/>
        <v>16</v>
      </c>
      <c r="D1830" t="str">
        <f t="shared" si="610"/>
        <v>I19</v>
      </c>
      <c r="E1830" t="str">
        <f t="shared" ca="1" si="611"/>
        <v/>
      </c>
      <c r="F1830" t="str">
        <f t="shared" ca="1" si="612"/>
        <v xml:space="preserve">Enter a 'Square Footage of Low-Income Units' for  building 16 in cell I19.
</v>
      </c>
      <c r="G1830" s="9" t="str">
        <f t="shared" ca="1" si="613"/>
        <v xml:space="preserve">Enter a value for 'Number of Floors in the Tallest Building' in cell B60.
</v>
      </c>
      <c r="H1830" s="52" t="str">
        <f t="shared" ca="1" si="614"/>
        <v>Square Footage of Low-Income Units</v>
      </c>
      <c r="I1830" s="52">
        <v>9</v>
      </c>
    </row>
    <row r="1831" spans="1:10" ht="15" customHeight="1">
      <c r="A1831" t="str">
        <f t="shared" ca="1" si="608"/>
        <v/>
      </c>
      <c r="B1831">
        <f t="shared" si="609"/>
        <v>19</v>
      </c>
      <c r="C1831">
        <f t="shared" ca="1" si="589"/>
        <v>16</v>
      </c>
      <c r="D1831" t="str">
        <f t="shared" si="610"/>
        <v>J19</v>
      </c>
      <c r="E1831" t="str">
        <f t="shared" ca="1" si="611"/>
        <v/>
      </c>
      <c r="F1831" t="str">
        <f t="shared" ca="1" si="612"/>
        <v xml:space="preserve">Enter a 'Placed-In-Service Date' for  building 16 in cell J19.
</v>
      </c>
      <c r="G1831" s="9" t="str">
        <f t="shared" ca="1" si="613"/>
        <v xml:space="preserve">Enter a value for 'Number of Floors in the Tallest Building' in cell B60.
</v>
      </c>
      <c r="H1831" s="52" t="str">
        <f t="shared" ca="1" si="614"/>
        <v>Placed-In-Service Date</v>
      </c>
      <c r="I1831" s="52">
        <v>10</v>
      </c>
    </row>
    <row r="1832" spans="1:10" ht="15" customHeight="1">
      <c r="A1832" t="str">
        <f t="shared" ca="1" si="608"/>
        <v/>
      </c>
      <c r="B1832">
        <f t="shared" si="609"/>
        <v>19</v>
      </c>
      <c r="C1832">
        <f t="shared" ca="1" si="589"/>
        <v>16</v>
      </c>
      <c r="D1832" t="str">
        <f t="shared" si="610"/>
        <v>K19</v>
      </c>
      <c r="E1832" t="str">
        <f t="shared" ca="1" si="611"/>
        <v/>
      </c>
      <c r="F1832" t="str">
        <f t="shared" ca="1" si="612"/>
        <v xml:space="preserve">Enter a 'New Construction/ Rehab APR' for  building 16 in cell K19.
</v>
      </c>
      <c r="G1832" s="9" t="str">
        <f t="shared" ca="1" si="613"/>
        <v xml:space="preserve">Enter a value for 'Number of Floors in the Tallest Building' in cell B60.
</v>
      </c>
      <c r="H1832" s="52" t="str">
        <f t="shared" ca="1" si="614"/>
        <v>New Construction/ Rehab APR</v>
      </c>
      <c r="I1832" s="52">
        <v>11</v>
      </c>
    </row>
    <row r="1833" spans="1:10" ht="15" customHeight="1">
      <c r="A1833" t="str">
        <f t="shared" ca="1" si="608"/>
        <v/>
      </c>
      <c r="B1833">
        <f t="shared" si="609"/>
        <v>19</v>
      </c>
      <c r="C1833">
        <f t="shared" ca="1" si="589"/>
        <v>16</v>
      </c>
      <c r="D1833" t="str">
        <f t="shared" si="610"/>
        <v>L19</v>
      </c>
      <c r="E1833" t="str">
        <f t="shared" ca="1" si="611"/>
        <v/>
      </c>
      <c r="F1833" t="str">
        <f t="shared" ca="1" si="612"/>
        <v xml:space="preserve">Enter a 'New Construction Eligible Basis' for  building 16 in cell L19.
</v>
      </c>
      <c r="G1833" s="9" t="str">
        <f t="shared" ca="1" si="613"/>
        <v xml:space="preserve">Enter a value for 'Number of Floors in the Tallest Building' in cell B60.
</v>
      </c>
      <c r="H1833" s="52" t="str">
        <f t="shared" ca="1" si="614"/>
        <v>New Construction Eligible Basis</v>
      </c>
      <c r="I1833" s="52">
        <v>12</v>
      </c>
    </row>
    <row r="1834" spans="1:10" ht="15" customHeight="1">
      <c r="A1834" t="str">
        <f ca="1">IF(AND(OFFSET(A1834, -I1834 + 2, 4) &gt;  0, E1834="", Calculations!$B$7), F1834, "")</f>
        <v/>
      </c>
      <c r="B1834">
        <f t="shared" si="609"/>
        <v>19</v>
      </c>
      <c r="C1834">
        <f t="shared" ca="1" si="589"/>
        <v>16</v>
      </c>
      <c r="D1834" t="str">
        <f t="shared" si="610"/>
        <v>M19</v>
      </c>
      <c r="E1834" t="str">
        <f t="shared" ca="1" si="611"/>
        <v/>
      </c>
      <c r="F1834" t="str">
        <f t="shared" ca="1" si="612"/>
        <v xml:space="preserve">Enter a 'Eligible Basis for Rehab' for  building 16 in cell M19.
</v>
      </c>
      <c r="G1834" s="9" t="str">
        <f t="shared" ca="1" si="613"/>
        <v xml:space="preserve">Enter a value for 'Number of Floors in the Tallest Building' in cell B60.
</v>
      </c>
      <c r="H1834" s="52" t="str">
        <f t="shared" ca="1" si="614"/>
        <v>Eligible Basis for Rehab</v>
      </c>
      <c r="I1834" s="52">
        <v>13</v>
      </c>
    </row>
    <row r="1835" spans="1:10" ht="15" customHeight="1">
      <c r="A1835" t="str">
        <f ca="1">IF(AND(OFFSET(A1835, -I1835 + 2, 4) &gt;  0, E1835="", Calculations!$B$7), F1835, "")</f>
        <v/>
      </c>
      <c r="B1835">
        <f t="shared" si="609"/>
        <v>19</v>
      </c>
      <c r="C1835">
        <f t="shared" ca="1" si="589"/>
        <v>16</v>
      </c>
      <c r="D1835" t="str">
        <f t="shared" si="610"/>
        <v>N19</v>
      </c>
      <c r="E1835" t="str">
        <f t="shared" ca="1" si="611"/>
        <v/>
      </c>
      <c r="F1835" t="str">
        <f t="shared" ca="1" si="612"/>
        <v xml:space="preserve">Enter a 'Cost of Acquiring the Building***' for  building 16 in cell N19.
</v>
      </c>
      <c r="G1835" s="9" t="str">
        <f t="shared" ca="1" si="613"/>
        <v xml:space="preserve">Enter a value for 'Number of Floors in the Tallest Building' in cell B60.
</v>
      </c>
      <c r="H1835" s="52" t="str">
        <f t="shared" ca="1" si="614"/>
        <v>Cost of Acquiring the Building***</v>
      </c>
      <c r="I1835" s="52">
        <v>14</v>
      </c>
    </row>
    <row r="1836" spans="1:10" ht="15" customHeight="1">
      <c r="A1836" t="str">
        <f ca="1">IF(AND(OFFSET(A1836, -I1836 + 2, 4) &gt;  0, E1836="", Calculations!$B$7), F1836, "")</f>
        <v/>
      </c>
      <c r="B1836">
        <f t="shared" si="609"/>
        <v>19</v>
      </c>
      <c r="C1836">
        <f t="shared" ca="1" si="589"/>
        <v>16</v>
      </c>
      <c r="D1836" t="str">
        <f t="shared" si="610"/>
        <v>O19</v>
      </c>
      <c r="E1836" t="str">
        <f t="shared" ca="1" si="611"/>
        <v/>
      </c>
      <c r="F1836" t="str">
        <f t="shared" ca="1" si="612"/>
        <v xml:space="preserve">Enter a 'Higher of Land Purchase Price or Land Appraised Value****' for  building 16 in cell O19.
</v>
      </c>
      <c r="G1836" s="9" t="str">
        <f t="shared" ca="1" si="613"/>
        <v xml:space="preserve">Enter a value for 'Number of Floors in the Tallest Building' in cell B60.
</v>
      </c>
      <c r="H1836" s="52" t="str">
        <f t="shared" ca="1" si="614"/>
        <v>Higher of Land Purchase Price or Land Appraised Value****</v>
      </c>
      <c r="I1836" s="52">
        <v>15</v>
      </c>
    </row>
    <row r="1837" spans="1:10" ht="15" customHeight="1">
      <c r="A1837" t="str">
        <f ca="1">IF(AND(OFFSET(A1837, -I1837 + 2, 4) &gt;  0, E1837="", Calculations!$B$7), F1837, "")</f>
        <v/>
      </c>
      <c r="B1837">
        <f t="shared" si="609"/>
        <v>19</v>
      </c>
      <c r="C1837">
        <f t="shared" ca="1" si="589"/>
        <v>16</v>
      </c>
      <c r="D1837" t="str">
        <f t="shared" si="610"/>
        <v>P19</v>
      </c>
      <c r="E1837" t="str">
        <f t="shared" ca="1" si="611"/>
        <v/>
      </c>
      <c r="F1837" t="str">
        <f t="shared" ca="1" si="612"/>
        <v xml:space="preserve">Enter a 'Acquisition Placed-in-Service Date' for  building 16 in cell P19.
</v>
      </c>
      <c r="G1837" s="9" t="str">
        <f t="shared" ca="1" si="613"/>
        <v xml:space="preserve">Enter a value for 'Number of Floors in the Tallest Building' in cell B60.
</v>
      </c>
      <c r="H1837" s="52" t="str">
        <f t="shared" ca="1" si="614"/>
        <v>Acquisition Placed-in-Service Date</v>
      </c>
      <c r="I1837" s="52">
        <v>16</v>
      </c>
    </row>
    <row r="1838" spans="1:10" ht="15" customHeight="1">
      <c r="A1838" t="str">
        <f ca="1">IF(AND(OFFSET(A1838, -I1838 + 2, 4) &gt;  0, E1838="", Calculations!$B$7), F1838, "")</f>
        <v/>
      </c>
      <c r="B1838">
        <f t="shared" si="609"/>
        <v>19</v>
      </c>
      <c r="C1838">
        <f t="shared" ca="1" si="589"/>
        <v>16</v>
      </c>
      <c r="D1838" t="str">
        <f t="shared" si="610"/>
        <v>Q19</v>
      </c>
      <c r="E1838" t="str">
        <f t="shared" ca="1" si="611"/>
        <v/>
      </c>
      <c r="F1838" t="str">
        <f t="shared" ca="1" si="612"/>
        <v xml:space="preserve">Enter a 'Acquisition APR' for  building 16 in cell Q19.
</v>
      </c>
      <c r="G1838" s="9" t="str">
        <f t="shared" ca="1" si="613"/>
        <v xml:space="preserve">Enter a value for 'Number of Floors in the Tallest Building' in cell B60.
</v>
      </c>
      <c r="H1838" s="52" t="str">
        <f t="shared" ca="1" si="614"/>
        <v>Acquisition APR</v>
      </c>
      <c r="I1838" s="52">
        <v>17</v>
      </c>
    </row>
    <row r="1839" spans="1:10" ht="15" customHeight="1">
      <c r="A1839" t="str">
        <f ca="1">IF(AND(Calculations!$B$4,Calculations!$B$29&gt;=C1839, E1839 &lt;&gt; 13),F1839,"")</f>
        <v/>
      </c>
      <c r="B1839">
        <f>ROW('Final Building Profile'!C20)</f>
        <v>20</v>
      </c>
      <c r="C1839">
        <f t="shared" ref="C1839:C1902" ca="1" si="615">INDIRECT($F$1565 &amp; ADDRESS(B1839, 1,4  ))</f>
        <v>17</v>
      </c>
      <c r="D1839" t="str">
        <f>ADDRESS(B1839, 3,4  )</f>
        <v>C20</v>
      </c>
      <c r="E1839" s="52">
        <f ca="1">H1839+I1839</f>
        <v>0</v>
      </c>
      <c r="F1839" t="str">
        <f ca="1">CONCATENATE("Based upon the number of buildings specified, information for  building ", C1839, " required for a final application in row ", B1839, ".", CHAR(10))</f>
        <v xml:space="preserve">Based upon the number of buildings specified, information for  building 17 required for a final application in row 20.
</v>
      </c>
      <c r="G1839" s="9" t="str">
        <f t="shared" ca="1" si="613"/>
        <v xml:space="preserve">Enter a value for 'Number of Floors in the Tallest Building' in cell B60.
</v>
      </c>
      <c r="H1839" s="52">
        <f ca="1">SUMPRODUCT(--ISTEXT(INDIRECT(J1839)))</f>
        <v>0</v>
      </c>
      <c r="I1839" s="52">
        <f ca="1">SUMPRODUCT(--ISNUMBER(INDIRECT(J1839)))</f>
        <v>0</v>
      </c>
      <c r="J1839" s="52" t="str">
        <f>$F$1565&amp; ADDRESS(B1839,3,4) &amp; ":" &amp; ADDRESS(B1839,15,4)</f>
        <v>'Final Building Profile'!C20:O20</v>
      </c>
    </row>
    <row r="1840" spans="1:10" ht="15" customHeight="1">
      <c r="A1840" t="str">
        <f t="shared" ref="A1840:A1849" ca="1" si="616">IF(AND(OFFSET(A1840, -I1840 + 2, 4) &gt;  0, E1840=""), F1840, "")</f>
        <v/>
      </c>
      <c r="B1840">
        <f t="shared" ref="B1840:B1854" si="617">B1839</f>
        <v>20</v>
      </c>
      <c r="C1840">
        <f t="shared" ca="1" si="615"/>
        <v>17</v>
      </c>
      <c r="D1840" t="str">
        <f t="shared" ref="D1840:D1854" si="618">ADDRESS(B1840, I1840,4  )</f>
        <v>C20</v>
      </c>
      <c r="E1840" t="str">
        <f t="shared" ref="E1840:E1854" ca="1" si="619">IF(ISBLANK( INDIRECT($F$1565 &amp; D1840)),"", INDIRECT($F$1565 &amp; D1840))</f>
        <v/>
      </c>
      <c r="F1840" t="str">
        <f t="shared" ref="F1840:F1854" ca="1" si="620">CONCATENATE("Enter a '"&amp; H1840 &amp;"' for  building ", C1840, " in cell ", D1840, ".", CHAR(10))</f>
        <v xml:space="preserve">Enter a 'Building Street Address Only 
(DO NOT ENTER CITY, STATE, OR ZIP)' for  building 17 in cell C20.
</v>
      </c>
      <c r="G1840" s="9" t="str">
        <f t="shared" ca="1" si="613"/>
        <v xml:space="preserve">Enter a value for 'Number of Floors in the Tallest Building' in cell B60.
</v>
      </c>
      <c r="H1840" s="52" t="str">
        <f t="shared" ref="H1840:H1854" ca="1" si="621">OFFSET(INDIRECT($F$1565 &amp; D1840), -B1840 + 3, 0)</f>
        <v>Building Street Address Only 
(DO NOT ENTER CITY, STATE, OR ZIP)</v>
      </c>
      <c r="I1840" s="52">
        <v>3</v>
      </c>
    </row>
    <row r="1841" spans="1:10" ht="15" customHeight="1">
      <c r="A1841" t="str">
        <f t="shared" ca="1" si="616"/>
        <v/>
      </c>
      <c r="B1841">
        <f t="shared" si="617"/>
        <v>20</v>
      </c>
      <c r="C1841">
        <f t="shared" ca="1" si="615"/>
        <v>17</v>
      </c>
      <c r="D1841" t="str">
        <f t="shared" si="618"/>
        <v>D20</v>
      </c>
      <c r="E1841" t="str">
        <f t="shared" ca="1" si="619"/>
        <v/>
      </c>
      <c r="F1841" t="str">
        <f t="shared" ca="1" si="620"/>
        <v xml:space="preserve">Enter a 'Total Units in Building*' for  building 17 in cell D20.
</v>
      </c>
      <c r="G1841" s="9" t="str">
        <f t="shared" ca="1" si="613"/>
        <v xml:space="preserve">Enter a value for 'Number of Floors in the Tallest Building' in cell B60.
</v>
      </c>
      <c r="H1841" s="52" t="str">
        <f t="shared" ca="1" si="621"/>
        <v>Total Units in Building*</v>
      </c>
      <c r="I1841" s="52">
        <v>4</v>
      </c>
    </row>
    <row r="1842" spans="1:10" ht="15" customHeight="1">
      <c r="A1842" t="str">
        <f t="shared" ca="1" si="616"/>
        <v/>
      </c>
      <c r="B1842">
        <f t="shared" si="617"/>
        <v>20</v>
      </c>
      <c r="C1842">
        <f t="shared" ca="1" si="615"/>
        <v>17</v>
      </c>
      <c r="D1842" t="str">
        <f t="shared" si="618"/>
        <v>E20</v>
      </c>
      <c r="E1842" t="str">
        <f t="shared" ca="1" si="619"/>
        <v/>
      </c>
      <c r="F1842" t="str">
        <f t="shared" ca="1" si="620"/>
        <v xml:space="preserve">Enter a 'Employee Units' for  building 17 in cell E20.
</v>
      </c>
      <c r="G1842" s="9" t="str">
        <f t="shared" ca="1" si="613"/>
        <v xml:space="preserve">Enter a value for 'Number of Floors in the Tallest Building' in cell B60.
</v>
      </c>
      <c r="H1842" s="52" t="str">
        <f t="shared" ca="1" si="621"/>
        <v>Employee Units</v>
      </c>
      <c r="I1842" s="52">
        <v>5</v>
      </c>
    </row>
    <row r="1843" spans="1:10" ht="15" customHeight="1">
      <c r="A1843" t="str">
        <f t="shared" ca="1" si="616"/>
        <v/>
      </c>
      <c r="B1843">
        <f t="shared" si="617"/>
        <v>20</v>
      </c>
      <c r="C1843">
        <f t="shared" ca="1" si="615"/>
        <v>17</v>
      </c>
      <c r="D1843" t="str">
        <f t="shared" si="618"/>
        <v>F20</v>
      </c>
      <c r="E1843" t="str">
        <f t="shared" ca="1" si="619"/>
        <v/>
      </c>
      <c r="F1843" t="str">
        <f t="shared" ca="1" si="620"/>
        <v xml:space="preserve">Enter a 'Low-Income Units' for  building 17 in cell F20.
</v>
      </c>
      <c r="G1843" s="9" t="str">
        <f t="shared" ca="1" si="613"/>
        <v xml:space="preserve">Enter a value for 'Number of Floors in the Tallest Building' in cell B60.
</v>
      </c>
      <c r="H1843" s="52" t="str">
        <f t="shared" ca="1" si="621"/>
        <v>Low-Income Units</v>
      </c>
      <c r="I1843" s="52">
        <v>6</v>
      </c>
    </row>
    <row r="1844" spans="1:10" ht="15" customHeight="1">
      <c r="A1844" t="str">
        <f t="shared" ca="1" si="616"/>
        <v/>
      </c>
      <c r="B1844">
        <f t="shared" si="617"/>
        <v>20</v>
      </c>
      <c r="C1844">
        <f t="shared" ca="1" si="615"/>
        <v>17</v>
      </c>
      <c r="D1844" t="str">
        <f t="shared" si="618"/>
        <v>G20</v>
      </c>
      <c r="E1844" t="str">
        <f t="shared" ca="1" si="619"/>
        <v/>
      </c>
      <c r="F1844" t="str">
        <f t="shared" ca="1" si="620"/>
        <v xml:space="preserve">Enter a 'Residential Square Footage**' for  building 17 in cell G20.
</v>
      </c>
      <c r="G1844" s="9" t="str">
        <f t="shared" ca="1" si="613"/>
        <v xml:space="preserve">Enter a value for 'Number of Floors in the Tallest Building' in cell B60.
</v>
      </c>
      <c r="H1844" s="52" t="str">
        <f t="shared" ca="1" si="621"/>
        <v>Residential Square Footage**</v>
      </c>
      <c r="I1844" s="52">
        <v>7</v>
      </c>
    </row>
    <row r="1845" spans="1:10" ht="15" customHeight="1">
      <c r="A1845" t="str">
        <f t="shared" ca="1" si="616"/>
        <v/>
      </c>
      <c r="B1845">
        <f t="shared" si="617"/>
        <v>20</v>
      </c>
      <c r="C1845">
        <f t="shared" ca="1" si="615"/>
        <v>17</v>
      </c>
      <c r="D1845" t="str">
        <f t="shared" si="618"/>
        <v>H20</v>
      </c>
      <c r="E1845" t="str">
        <f t="shared" ca="1" si="619"/>
        <v/>
      </c>
      <c r="F1845" t="str">
        <f t="shared" ca="1" si="620"/>
        <v xml:space="preserve">Enter a 'Square Footage of Employee Units' for  building 17 in cell H20.
</v>
      </c>
      <c r="G1845" s="9" t="str">
        <f t="shared" ca="1" si="613"/>
        <v xml:space="preserve">Enter a value for 'Number of Floors in the Tallest Building' in cell B60.
</v>
      </c>
      <c r="H1845" s="52" t="str">
        <f t="shared" ca="1" si="621"/>
        <v>Square Footage of Employee Units</v>
      </c>
      <c r="I1845" s="52">
        <v>8</v>
      </c>
    </row>
    <row r="1846" spans="1:10" ht="15" customHeight="1">
      <c r="A1846" t="str">
        <f t="shared" ca="1" si="616"/>
        <v/>
      </c>
      <c r="B1846">
        <f t="shared" si="617"/>
        <v>20</v>
      </c>
      <c r="C1846">
        <f t="shared" ca="1" si="615"/>
        <v>17</v>
      </c>
      <c r="D1846" t="str">
        <f t="shared" si="618"/>
        <v>I20</v>
      </c>
      <c r="E1846" t="str">
        <f t="shared" ca="1" si="619"/>
        <v/>
      </c>
      <c r="F1846" t="str">
        <f t="shared" ca="1" si="620"/>
        <v xml:space="preserve">Enter a 'Square Footage of Low-Income Units' for  building 17 in cell I20.
</v>
      </c>
      <c r="G1846" s="9" t="str">
        <f t="shared" ca="1" si="613"/>
        <v xml:space="preserve">Enter a value for 'Number of Floors in the Tallest Building' in cell B60.
</v>
      </c>
      <c r="H1846" s="52" t="str">
        <f t="shared" ca="1" si="621"/>
        <v>Square Footage of Low-Income Units</v>
      </c>
      <c r="I1846" s="52">
        <v>9</v>
      </c>
    </row>
    <row r="1847" spans="1:10" ht="15" customHeight="1">
      <c r="A1847" t="str">
        <f t="shared" ca="1" si="616"/>
        <v/>
      </c>
      <c r="B1847">
        <f t="shared" si="617"/>
        <v>20</v>
      </c>
      <c r="C1847">
        <f t="shared" ca="1" si="615"/>
        <v>17</v>
      </c>
      <c r="D1847" t="str">
        <f t="shared" si="618"/>
        <v>J20</v>
      </c>
      <c r="E1847" t="str">
        <f t="shared" ca="1" si="619"/>
        <v/>
      </c>
      <c r="F1847" t="str">
        <f t="shared" ca="1" si="620"/>
        <v xml:space="preserve">Enter a 'Placed-In-Service Date' for  building 17 in cell J20.
</v>
      </c>
      <c r="G1847" s="9" t="str">
        <f t="shared" ca="1" si="613"/>
        <v xml:space="preserve">Enter a value for 'Number of Floors in the Tallest Building' in cell B60.
</v>
      </c>
      <c r="H1847" s="52" t="str">
        <f t="shared" ca="1" si="621"/>
        <v>Placed-In-Service Date</v>
      </c>
      <c r="I1847" s="52">
        <v>10</v>
      </c>
    </row>
    <row r="1848" spans="1:10" ht="15" customHeight="1">
      <c r="A1848" t="str">
        <f t="shared" ca="1" si="616"/>
        <v/>
      </c>
      <c r="B1848">
        <f t="shared" si="617"/>
        <v>20</v>
      </c>
      <c r="C1848">
        <f t="shared" ca="1" si="615"/>
        <v>17</v>
      </c>
      <c r="D1848" t="str">
        <f t="shared" si="618"/>
        <v>K20</v>
      </c>
      <c r="E1848" t="str">
        <f t="shared" ca="1" si="619"/>
        <v/>
      </c>
      <c r="F1848" t="str">
        <f t="shared" ca="1" si="620"/>
        <v xml:space="preserve">Enter a 'New Construction/ Rehab APR' for  building 17 in cell K20.
</v>
      </c>
      <c r="G1848" s="9" t="str">
        <f t="shared" ca="1" si="613"/>
        <v xml:space="preserve">Enter a value for 'Number of Floors in the Tallest Building' in cell B60.
</v>
      </c>
      <c r="H1848" s="52" t="str">
        <f t="shared" ca="1" si="621"/>
        <v>New Construction/ Rehab APR</v>
      </c>
      <c r="I1848" s="52">
        <v>11</v>
      </c>
    </row>
    <row r="1849" spans="1:10" ht="15" customHeight="1">
      <c r="A1849" t="str">
        <f t="shared" ca="1" si="616"/>
        <v/>
      </c>
      <c r="B1849">
        <f t="shared" si="617"/>
        <v>20</v>
      </c>
      <c r="C1849">
        <f t="shared" ca="1" si="615"/>
        <v>17</v>
      </c>
      <c r="D1849" t="str">
        <f t="shared" si="618"/>
        <v>L20</v>
      </c>
      <c r="E1849" t="str">
        <f t="shared" ca="1" si="619"/>
        <v/>
      </c>
      <c r="F1849" t="str">
        <f t="shared" ca="1" si="620"/>
        <v xml:space="preserve">Enter a 'New Construction Eligible Basis' for  building 17 in cell L20.
</v>
      </c>
      <c r="G1849" s="9" t="str">
        <f t="shared" ca="1" si="613"/>
        <v xml:space="preserve">Enter a value for 'Number of Floors in the Tallest Building' in cell B60.
</v>
      </c>
      <c r="H1849" s="52" t="str">
        <f t="shared" ca="1" si="621"/>
        <v>New Construction Eligible Basis</v>
      </c>
      <c r="I1849" s="52">
        <v>12</v>
      </c>
    </row>
    <row r="1850" spans="1:10" ht="15" customHeight="1">
      <c r="A1850" t="str">
        <f ca="1">IF(AND(OFFSET(A1850, -I1850 + 2, 4) &gt;  0, E1850="", Calculations!$B$7), F1850, "")</f>
        <v/>
      </c>
      <c r="B1850">
        <f t="shared" si="617"/>
        <v>20</v>
      </c>
      <c r="C1850">
        <f t="shared" ca="1" si="615"/>
        <v>17</v>
      </c>
      <c r="D1850" t="str">
        <f t="shared" si="618"/>
        <v>M20</v>
      </c>
      <c r="E1850" t="str">
        <f t="shared" ca="1" si="619"/>
        <v/>
      </c>
      <c r="F1850" t="str">
        <f t="shared" ca="1" si="620"/>
        <v xml:space="preserve">Enter a 'Eligible Basis for Rehab' for  building 17 in cell M20.
</v>
      </c>
      <c r="G1850" s="9" t="str">
        <f t="shared" ca="1" si="613"/>
        <v xml:space="preserve">Enter a value for 'Number of Floors in the Tallest Building' in cell B60.
</v>
      </c>
      <c r="H1850" s="52" t="str">
        <f t="shared" ca="1" si="621"/>
        <v>Eligible Basis for Rehab</v>
      </c>
      <c r="I1850" s="52">
        <v>13</v>
      </c>
    </row>
    <row r="1851" spans="1:10" ht="15" customHeight="1">
      <c r="A1851" t="str">
        <f ca="1">IF(AND(OFFSET(A1851, -I1851 + 2, 4) &gt;  0, E1851="", Calculations!$B$7), F1851, "")</f>
        <v/>
      </c>
      <c r="B1851">
        <f t="shared" si="617"/>
        <v>20</v>
      </c>
      <c r="C1851">
        <f t="shared" ca="1" si="615"/>
        <v>17</v>
      </c>
      <c r="D1851" t="str">
        <f t="shared" si="618"/>
        <v>N20</v>
      </c>
      <c r="E1851" t="str">
        <f t="shared" ca="1" si="619"/>
        <v/>
      </c>
      <c r="F1851" t="str">
        <f t="shared" ca="1" si="620"/>
        <v xml:space="preserve">Enter a 'Cost of Acquiring the Building***' for  building 17 in cell N20.
</v>
      </c>
      <c r="G1851" s="9" t="str">
        <f t="shared" ca="1" si="613"/>
        <v xml:space="preserve">Enter a value for 'Number of Floors in the Tallest Building' in cell B60.
</v>
      </c>
      <c r="H1851" s="52" t="str">
        <f t="shared" ca="1" si="621"/>
        <v>Cost of Acquiring the Building***</v>
      </c>
      <c r="I1851" s="52">
        <v>14</v>
      </c>
    </row>
    <row r="1852" spans="1:10" ht="15" customHeight="1">
      <c r="A1852" t="str">
        <f ca="1">IF(AND(OFFSET(A1852, -I1852 + 2, 4) &gt;  0, E1852="", Calculations!$B$7), F1852, "")</f>
        <v/>
      </c>
      <c r="B1852">
        <f t="shared" si="617"/>
        <v>20</v>
      </c>
      <c r="C1852">
        <f t="shared" ca="1" si="615"/>
        <v>17</v>
      </c>
      <c r="D1852" t="str">
        <f t="shared" si="618"/>
        <v>O20</v>
      </c>
      <c r="E1852" t="str">
        <f t="shared" ca="1" si="619"/>
        <v/>
      </c>
      <c r="F1852" t="str">
        <f t="shared" ca="1" si="620"/>
        <v xml:space="preserve">Enter a 'Higher of Land Purchase Price or Land Appraised Value****' for  building 17 in cell O20.
</v>
      </c>
      <c r="G1852" s="9" t="str">
        <f t="shared" ca="1" si="613"/>
        <v xml:space="preserve">Enter a value for 'Number of Floors in the Tallest Building' in cell B60.
</v>
      </c>
      <c r="H1852" s="52" t="str">
        <f t="shared" ca="1" si="621"/>
        <v>Higher of Land Purchase Price or Land Appraised Value****</v>
      </c>
      <c r="I1852" s="52">
        <v>15</v>
      </c>
    </row>
    <row r="1853" spans="1:10" ht="15" customHeight="1">
      <c r="A1853" t="str">
        <f ca="1">IF(AND(OFFSET(A1853, -I1853 + 2, 4) &gt;  0, E1853="", Calculations!$B$7), F1853, "")</f>
        <v/>
      </c>
      <c r="B1853">
        <f t="shared" si="617"/>
        <v>20</v>
      </c>
      <c r="C1853">
        <f t="shared" ca="1" si="615"/>
        <v>17</v>
      </c>
      <c r="D1853" t="str">
        <f t="shared" si="618"/>
        <v>P20</v>
      </c>
      <c r="E1853" t="str">
        <f t="shared" ca="1" si="619"/>
        <v/>
      </c>
      <c r="F1853" t="str">
        <f t="shared" ca="1" si="620"/>
        <v xml:space="preserve">Enter a 'Acquisition Placed-in-Service Date' for  building 17 in cell P20.
</v>
      </c>
      <c r="G1853" s="9" t="str">
        <f t="shared" ca="1" si="613"/>
        <v xml:space="preserve">Enter a value for 'Number of Floors in the Tallest Building' in cell B60.
</v>
      </c>
      <c r="H1853" s="52" t="str">
        <f t="shared" ca="1" si="621"/>
        <v>Acquisition Placed-in-Service Date</v>
      </c>
      <c r="I1853" s="52">
        <v>16</v>
      </c>
    </row>
    <row r="1854" spans="1:10" ht="15" customHeight="1">
      <c r="A1854" t="str">
        <f ca="1">IF(AND(OFFSET(A1854, -I1854 + 2, 4) &gt;  0, E1854="", Calculations!$B$7), F1854, "")</f>
        <v/>
      </c>
      <c r="B1854">
        <f t="shared" si="617"/>
        <v>20</v>
      </c>
      <c r="C1854">
        <f t="shared" ca="1" si="615"/>
        <v>17</v>
      </c>
      <c r="D1854" t="str">
        <f t="shared" si="618"/>
        <v>Q20</v>
      </c>
      <c r="E1854" t="str">
        <f t="shared" ca="1" si="619"/>
        <v/>
      </c>
      <c r="F1854" t="str">
        <f t="shared" ca="1" si="620"/>
        <v xml:space="preserve">Enter a 'Acquisition APR' for  building 17 in cell Q20.
</v>
      </c>
      <c r="G1854" s="9" t="str">
        <f t="shared" ca="1" si="613"/>
        <v xml:space="preserve">Enter a value for 'Number of Floors in the Tallest Building' in cell B60.
</v>
      </c>
      <c r="H1854" s="52" t="str">
        <f t="shared" ca="1" si="621"/>
        <v>Acquisition APR</v>
      </c>
      <c r="I1854" s="52">
        <v>17</v>
      </c>
    </row>
    <row r="1855" spans="1:10" ht="15" customHeight="1">
      <c r="A1855" t="str">
        <f ca="1">IF(AND(Calculations!$B$4,Calculations!$B$29&gt;=C1855, E1855 &lt;&gt; 13),F1855,"")</f>
        <v/>
      </c>
      <c r="B1855">
        <f>ROW('Final Building Profile'!C21)</f>
        <v>21</v>
      </c>
      <c r="C1855">
        <f t="shared" ca="1" si="615"/>
        <v>18</v>
      </c>
      <c r="D1855" t="str">
        <f>ADDRESS(B1855, 3,4  )</f>
        <v>C21</v>
      </c>
      <c r="E1855" s="52">
        <f ca="1">H1855+I1855</f>
        <v>0</v>
      </c>
      <c r="F1855" t="str">
        <f ca="1">CONCATENATE("Based upon the number of buildings specified, information for  building ", C1855, " required for a final application in row ", B1855, ".", CHAR(10))</f>
        <v xml:space="preserve">Based upon the number of buildings specified, information for  building 18 required for a final application in row 21.
</v>
      </c>
      <c r="G1855" s="9" t="str">
        <f t="shared" ca="1" si="613"/>
        <v xml:space="preserve">Enter a value for 'Number of Floors in the Tallest Building' in cell B60.
</v>
      </c>
      <c r="H1855" s="52">
        <f ca="1">SUMPRODUCT(--ISTEXT(INDIRECT(J1855)))</f>
        <v>0</v>
      </c>
      <c r="I1855" s="52">
        <f ca="1">SUMPRODUCT(--ISNUMBER(INDIRECT(J1855)))</f>
        <v>0</v>
      </c>
      <c r="J1855" s="52" t="str">
        <f>$F$1565&amp; ADDRESS(B1855,3,4) &amp; ":" &amp; ADDRESS(B1855,15,4)</f>
        <v>'Final Building Profile'!C21:O21</v>
      </c>
    </row>
    <row r="1856" spans="1:10" ht="15" customHeight="1">
      <c r="A1856" t="str">
        <f t="shared" ref="A1856:A1865" ca="1" si="622">IF(AND(OFFSET(A1856, -I1856 + 2, 4) &gt;  0, E1856=""), F1856, "")</f>
        <v/>
      </c>
      <c r="B1856">
        <f t="shared" ref="B1856:B1870" si="623">B1855</f>
        <v>21</v>
      </c>
      <c r="C1856">
        <f t="shared" ca="1" si="615"/>
        <v>18</v>
      </c>
      <c r="D1856" t="str">
        <f t="shared" ref="D1856:D1870" si="624">ADDRESS(B1856, I1856,4  )</f>
        <v>C21</v>
      </c>
      <c r="E1856" t="str">
        <f t="shared" ref="E1856:E1870" ca="1" si="625">IF(ISBLANK( INDIRECT($F$1565 &amp; D1856)),"", INDIRECT($F$1565 &amp; D1856))</f>
        <v/>
      </c>
      <c r="F1856" t="str">
        <f t="shared" ref="F1856:F1870" ca="1" si="626">CONCATENATE("Enter a '"&amp; H1856 &amp;"' for  building ", C1856, " in cell ", D1856, ".", CHAR(10))</f>
        <v xml:space="preserve">Enter a 'Building Street Address Only 
(DO NOT ENTER CITY, STATE, OR ZIP)' for  building 18 in cell C21.
</v>
      </c>
      <c r="G1856" s="9" t="str">
        <f t="shared" ca="1" si="613"/>
        <v xml:space="preserve">Enter a value for 'Number of Floors in the Tallest Building' in cell B60.
</v>
      </c>
      <c r="H1856" s="52" t="str">
        <f t="shared" ref="H1856:H1870" ca="1" si="627">OFFSET(INDIRECT($F$1565 &amp; D1856), -B1856 + 3, 0)</f>
        <v>Building Street Address Only 
(DO NOT ENTER CITY, STATE, OR ZIP)</v>
      </c>
      <c r="I1856" s="52">
        <v>3</v>
      </c>
    </row>
    <row r="1857" spans="1:10" ht="15" customHeight="1">
      <c r="A1857" t="str">
        <f t="shared" ca="1" si="622"/>
        <v/>
      </c>
      <c r="B1857">
        <f t="shared" si="623"/>
        <v>21</v>
      </c>
      <c r="C1857">
        <f t="shared" ca="1" si="615"/>
        <v>18</v>
      </c>
      <c r="D1857" t="str">
        <f t="shared" si="624"/>
        <v>D21</v>
      </c>
      <c r="E1857" t="str">
        <f t="shared" ca="1" si="625"/>
        <v/>
      </c>
      <c r="F1857" t="str">
        <f t="shared" ca="1" si="626"/>
        <v xml:space="preserve">Enter a 'Total Units in Building*' for  building 18 in cell D21.
</v>
      </c>
      <c r="G1857" s="9" t="str">
        <f t="shared" ca="1" si="613"/>
        <v xml:space="preserve">Enter a value for 'Number of Floors in the Tallest Building' in cell B60.
</v>
      </c>
      <c r="H1857" s="52" t="str">
        <f t="shared" ca="1" si="627"/>
        <v>Total Units in Building*</v>
      </c>
      <c r="I1857" s="52">
        <v>4</v>
      </c>
    </row>
    <row r="1858" spans="1:10" ht="15" customHeight="1">
      <c r="A1858" t="str">
        <f t="shared" ca="1" si="622"/>
        <v/>
      </c>
      <c r="B1858">
        <f t="shared" si="623"/>
        <v>21</v>
      </c>
      <c r="C1858">
        <f t="shared" ca="1" si="615"/>
        <v>18</v>
      </c>
      <c r="D1858" t="str">
        <f t="shared" si="624"/>
        <v>E21</v>
      </c>
      <c r="E1858" t="str">
        <f t="shared" ca="1" si="625"/>
        <v/>
      </c>
      <c r="F1858" t="str">
        <f t="shared" ca="1" si="626"/>
        <v xml:space="preserve">Enter a 'Employee Units' for  building 18 in cell E21.
</v>
      </c>
      <c r="G1858" s="9" t="str">
        <f t="shared" ca="1" si="613"/>
        <v xml:space="preserve">Enter a value for 'Number of Floors in the Tallest Building' in cell B60.
</v>
      </c>
      <c r="H1858" s="52" t="str">
        <f t="shared" ca="1" si="627"/>
        <v>Employee Units</v>
      </c>
      <c r="I1858" s="52">
        <v>5</v>
      </c>
    </row>
    <row r="1859" spans="1:10" ht="15" customHeight="1">
      <c r="A1859" t="str">
        <f t="shared" ca="1" si="622"/>
        <v/>
      </c>
      <c r="B1859">
        <f t="shared" si="623"/>
        <v>21</v>
      </c>
      <c r="C1859">
        <f t="shared" ca="1" si="615"/>
        <v>18</v>
      </c>
      <c r="D1859" t="str">
        <f t="shared" si="624"/>
        <v>F21</v>
      </c>
      <c r="E1859" t="str">
        <f t="shared" ca="1" si="625"/>
        <v/>
      </c>
      <c r="F1859" t="str">
        <f t="shared" ca="1" si="626"/>
        <v xml:space="preserve">Enter a 'Low-Income Units' for  building 18 in cell F21.
</v>
      </c>
      <c r="G1859" s="9" t="str">
        <f t="shared" ca="1" si="613"/>
        <v xml:space="preserve">Enter a value for 'Number of Floors in the Tallest Building' in cell B60.
</v>
      </c>
      <c r="H1859" s="52" t="str">
        <f t="shared" ca="1" si="627"/>
        <v>Low-Income Units</v>
      </c>
      <c r="I1859" s="52">
        <v>6</v>
      </c>
    </row>
    <row r="1860" spans="1:10" ht="15" customHeight="1">
      <c r="A1860" t="str">
        <f t="shared" ca="1" si="622"/>
        <v/>
      </c>
      <c r="B1860">
        <f t="shared" si="623"/>
        <v>21</v>
      </c>
      <c r="C1860">
        <f t="shared" ca="1" si="615"/>
        <v>18</v>
      </c>
      <c r="D1860" t="str">
        <f t="shared" si="624"/>
        <v>G21</v>
      </c>
      <c r="E1860" t="str">
        <f t="shared" ca="1" si="625"/>
        <v/>
      </c>
      <c r="F1860" t="str">
        <f t="shared" ca="1" si="626"/>
        <v xml:space="preserve">Enter a 'Residential Square Footage**' for  building 18 in cell G21.
</v>
      </c>
      <c r="G1860" s="9" t="str">
        <f t="shared" ca="1" si="613"/>
        <v xml:space="preserve">Enter a value for 'Number of Floors in the Tallest Building' in cell B60.
</v>
      </c>
      <c r="H1860" s="52" t="str">
        <f t="shared" ca="1" si="627"/>
        <v>Residential Square Footage**</v>
      </c>
      <c r="I1860" s="52">
        <v>7</v>
      </c>
    </row>
    <row r="1861" spans="1:10" ht="15" customHeight="1">
      <c r="A1861" t="str">
        <f t="shared" ca="1" si="622"/>
        <v/>
      </c>
      <c r="B1861">
        <f t="shared" si="623"/>
        <v>21</v>
      </c>
      <c r="C1861">
        <f t="shared" ca="1" si="615"/>
        <v>18</v>
      </c>
      <c r="D1861" t="str">
        <f t="shared" si="624"/>
        <v>H21</v>
      </c>
      <c r="E1861" t="str">
        <f t="shared" ca="1" si="625"/>
        <v/>
      </c>
      <c r="F1861" t="str">
        <f t="shared" ca="1" si="626"/>
        <v xml:space="preserve">Enter a 'Square Footage of Employee Units' for  building 18 in cell H21.
</v>
      </c>
      <c r="G1861" s="9" t="str">
        <f t="shared" ca="1" si="613"/>
        <v xml:space="preserve">Enter a value for 'Number of Floors in the Tallest Building' in cell B60.
</v>
      </c>
      <c r="H1861" s="52" t="str">
        <f t="shared" ca="1" si="627"/>
        <v>Square Footage of Employee Units</v>
      </c>
      <c r="I1861" s="52">
        <v>8</v>
      </c>
    </row>
    <row r="1862" spans="1:10" ht="15" customHeight="1">
      <c r="A1862" t="str">
        <f t="shared" ca="1" si="622"/>
        <v/>
      </c>
      <c r="B1862">
        <f t="shared" si="623"/>
        <v>21</v>
      </c>
      <c r="C1862">
        <f t="shared" ca="1" si="615"/>
        <v>18</v>
      </c>
      <c r="D1862" t="str">
        <f t="shared" si="624"/>
        <v>I21</v>
      </c>
      <c r="E1862" t="str">
        <f t="shared" ca="1" si="625"/>
        <v/>
      </c>
      <c r="F1862" t="str">
        <f t="shared" ca="1" si="626"/>
        <v xml:space="preserve">Enter a 'Square Footage of Low-Income Units' for  building 18 in cell I21.
</v>
      </c>
      <c r="G1862" s="9" t="str">
        <f t="shared" ca="1" si="613"/>
        <v xml:space="preserve">Enter a value for 'Number of Floors in the Tallest Building' in cell B60.
</v>
      </c>
      <c r="H1862" s="52" t="str">
        <f t="shared" ca="1" si="627"/>
        <v>Square Footage of Low-Income Units</v>
      </c>
      <c r="I1862" s="52">
        <v>9</v>
      </c>
    </row>
    <row r="1863" spans="1:10" ht="15" customHeight="1">
      <c r="A1863" t="str">
        <f t="shared" ca="1" si="622"/>
        <v/>
      </c>
      <c r="B1863">
        <f t="shared" si="623"/>
        <v>21</v>
      </c>
      <c r="C1863">
        <f t="shared" ca="1" si="615"/>
        <v>18</v>
      </c>
      <c r="D1863" t="str">
        <f t="shared" si="624"/>
        <v>J21</v>
      </c>
      <c r="E1863" t="str">
        <f t="shared" ca="1" si="625"/>
        <v/>
      </c>
      <c r="F1863" t="str">
        <f t="shared" ca="1" si="626"/>
        <v xml:space="preserve">Enter a 'Placed-In-Service Date' for  building 18 in cell J21.
</v>
      </c>
      <c r="G1863" s="9" t="str">
        <f t="shared" ca="1" si="613"/>
        <v xml:space="preserve">Enter a value for 'Number of Floors in the Tallest Building' in cell B60.
</v>
      </c>
      <c r="H1863" s="52" t="str">
        <f t="shared" ca="1" si="627"/>
        <v>Placed-In-Service Date</v>
      </c>
      <c r="I1863" s="52">
        <v>10</v>
      </c>
    </row>
    <row r="1864" spans="1:10" ht="15" customHeight="1">
      <c r="A1864" t="str">
        <f t="shared" ca="1" si="622"/>
        <v/>
      </c>
      <c r="B1864">
        <f t="shared" si="623"/>
        <v>21</v>
      </c>
      <c r="C1864">
        <f t="shared" ca="1" si="615"/>
        <v>18</v>
      </c>
      <c r="D1864" t="str">
        <f t="shared" si="624"/>
        <v>K21</v>
      </c>
      <c r="E1864" t="str">
        <f t="shared" ca="1" si="625"/>
        <v/>
      </c>
      <c r="F1864" t="str">
        <f t="shared" ca="1" si="626"/>
        <v xml:space="preserve">Enter a 'New Construction/ Rehab APR' for  building 18 in cell K21.
</v>
      </c>
      <c r="G1864" s="9" t="str">
        <f t="shared" ca="1" si="613"/>
        <v xml:space="preserve">Enter a value for 'Number of Floors in the Tallest Building' in cell B60.
</v>
      </c>
      <c r="H1864" s="52" t="str">
        <f t="shared" ca="1" si="627"/>
        <v>New Construction/ Rehab APR</v>
      </c>
      <c r="I1864" s="52">
        <v>11</v>
      </c>
    </row>
    <row r="1865" spans="1:10" ht="15" customHeight="1">
      <c r="A1865" t="str">
        <f t="shared" ca="1" si="622"/>
        <v/>
      </c>
      <c r="B1865">
        <f t="shared" si="623"/>
        <v>21</v>
      </c>
      <c r="C1865">
        <f t="shared" ca="1" si="615"/>
        <v>18</v>
      </c>
      <c r="D1865" t="str">
        <f t="shared" si="624"/>
        <v>L21</v>
      </c>
      <c r="E1865" t="str">
        <f t="shared" ca="1" si="625"/>
        <v/>
      </c>
      <c r="F1865" t="str">
        <f t="shared" ca="1" si="626"/>
        <v xml:space="preserve">Enter a 'New Construction Eligible Basis' for  building 18 in cell L21.
</v>
      </c>
      <c r="G1865" s="9" t="str">
        <f t="shared" ca="1" si="613"/>
        <v xml:space="preserve">Enter a value for 'Number of Floors in the Tallest Building' in cell B60.
</v>
      </c>
      <c r="H1865" s="52" t="str">
        <f t="shared" ca="1" si="627"/>
        <v>New Construction Eligible Basis</v>
      </c>
      <c r="I1865" s="52">
        <v>12</v>
      </c>
    </row>
    <row r="1866" spans="1:10" ht="15" customHeight="1">
      <c r="A1866" t="str">
        <f ca="1">IF(AND(OFFSET(A1866, -I1866 + 2, 4) &gt;  0, E1866="", Calculations!$B$7), F1866, "")</f>
        <v/>
      </c>
      <c r="B1866">
        <f t="shared" si="623"/>
        <v>21</v>
      </c>
      <c r="C1866">
        <f t="shared" ca="1" si="615"/>
        <v>18</v>
      </c>
      <c r="D1866" t="str">
        <f t="shared" si="624"/>
        <v>M21</v>
      </c>
      <c r="E1866" t="str">
        <f t="shared" ca="1" si="625"/>
        <v/>
      </c>
      <c r="F1866" t="str">
        <f t="shared" ca="1" si="626"/>
        <v xml:space="preserve">Enter a 'Eligible Basis for Rehab' for  building 18 in cell M21.
</v>
      </c>
      <c r="G1866" s="9" t="str">
        <f t="shared" ca="1" si="613"/>
        <v xml:space="preserve">Enter a value for 'Number of Floors in the Tallest Building' in cell B60.
</v>
      </c>
      <c r="H1866" s="52" t="str">
        <f t="shared" ca="1" si="627"/>
        <v>Eligible Basis for Rehab</v>
      </c>
      <c r="I1866" s="52">
        <v>13</v>
      </c>
    </row>
    <row r="1867" spans="1:10" ht="15" customHeight="1">
      <c r="A1867" t="str">
        <f ca="1">IF(AND(OFFSET(A1867, -I1867 + 2, 4) &gt;  0, E1867="", Calculations!$B$7), F1867, "")</f>
        <v/>
      </c>
      <c r="B1867">
        <f t="shared" si="623"/>
        <v>21</v>
      </c>
      <c r="C1867">
        <f t="shared" ca="1" si="615"/>
        <v>18</v>
      </c>
      <c r="D1867" t="str">
        <f t="shared" si="624"/>
        <v>N21</v>
      </c>
      <c r="E1867" t="str">
        <f t="shared" ca="1" si="625"/>
        <v/>
      </c>
      <c r="F1867" t="str">
        <f t="shared" ca="1" si="626"/>
        <v xml:space="preserve">Enter a 'Cost of Acquiring the Building***' for  building 18 in cell N21.
</v>
      </c>
      <c r="G1867" s="9" t="str">
        <f t="shared" ca="1" si="613"/>
        <v xml:space="preserve">Enter a value for 'Number of Floors in the Tallest Building' in cell B60.
</v>
      </c>
      <c r="H1867" s="52" t="str">
        <f t="shared" ca="1" si="627"/>
        <v>Cost of Acquiring the Building***</v>
      </c>
      <c r="I1867" s="52">
        <v>14</v>
      </c>
    </row>
    <row r="1868" spans="1:10" ht="15" customHeight="1">
      <c r="A1868" t="str">
        <f ca="1">IF(AND(OFFSET(A1868, -I1868 + 2, 4) &gt;  0, E1868="", Calculations!$B$7), F1868, "")</f>
        <v/>
      </c>
      <c r="B1868">
        <f t="shared" si="623"/>
        <v>21</v>
      </c>
      <c r="C1868">
        <f t="shared" ca="1" si="615"/>
        <v>18</v>
      </c>
      <c r="D1868" t="str">
        <f t="shared" si="624"/>
        <v>O21</v>
      </c>
      <c r="E1868" t="str">
        <f t="shared" ca="1" si="625"/>
        <v/>
      </c>
      <c r="F1868" t="str">
        <f t="shared" ca="1" si="626"/>
        <v xml:space="preserve">Enter a 'Higher of Land Purchase Price or Land Appraised Value****' for  building 18 in cell O21.
</v>
      </c>
      <c r="G1868" s="9" t="str">
        <f t="shared" ca="1" si="613"/>
        <v xml:space="preserve">Enter a value for 'Number of Floors in the Tallest Building' in cell B60.
</v>
      </c>
      <c r="H1868" s="52" t="str">
        <f t="shared" ca="1" si="627"/>
        <v>Higher of Land Purchase Price or Land Appraised Value****</v>
      </c>
      <c r="I1868" s="52">
        <v>15</v>
      </c>
    </row>
    <row r="1869" spans="1:10" ht="15" customHeight="1">
      <c r="A1869" t="str">
        <f ca="1">IF(AND(OFFSET(A1869, -I1869 + 2, 4) &gt;  0, E1869="", Calculations!$B$7), F1869, "")</f>
        <v/>
      </c>
      <c r="B1869">
        <f t="shared" si="623"/>
        <v>21</v>
      </c>
      <c r="C1869">
        <f t="shared" ca="1" si="615"/>
        <v>18</v>
      </c>
      <c r="D1869" t="str">
        <f t="shared" si="624"/>
        <v>P21</v>
      </c>
      <c r="E1869" t="str">
        <f t="shared" ca="1" si="625"/>
        <v/>
      </c>
      <c r="F1869" t="str">
        <f t="shared" ca="1" si="626"/>
        <v xml:space="preserve">Enter a 'Acquisition Placed-in-Service Date' for  building 18 in cell P21.
</v>
      </c>
      <c r="G1869" s="9" t="str">
        <f t="shared" ca="1" si="613"/>
        <v xml:space="preserve">Enter a value for 'Number of Floors in the Tallest Building' in cell B60.
</v>
      </c>
      <c r="H1869" s="52" t="str">
        <f t="shared" ca="1" si="627"/>
        <v>Acquisition Placed-in-Service Date</v>
      </c>
      <c r="I1869" s="52">
        <v>16</v>
      </c>
    </row>
    <row r="1870" spans="1:10" ht="15" customHeight="1">
      <c r="A1870" t="str">
        <f ca="1">IF(AND(OFFSET(A1870, -I1870 + 2, 4) &gt;  0, E1870="", Calculations!$B$7), F1870, "")</f>
        <v/>
      </c>
      <c r="B1870">
        <f t="shared" si="623"/>
        <v>21</v>
      </c>
      <c r="C1870">
        <f t="shared" ca="1" si="615"/>
        <v>18</v>
      </c>
      <c r="D1870" t="str">
        <f t="shared" si="624"/>
        <v>Q21</v>
      </c>
      <c r="E1870" t="str">
        <f t="shared" ca="1" si="625"/>
        <v/>
      </c>
      <c r="F1870" t="str">
        <f t="shared" ca="1" si="626"/>
        <v xml:space="preserve">Enter a 'Acquisition APR' for  building 18 in cell Q21.
</v>
      </c>
      <c r="G1870" s="9" t="str">
        <f t="shared" ca="1" si="613"/>
        <v xml:space="preserve">Enter a value for 'Number of Floors in the Tallest Building' in cell B60.
</v>
      </c>
      <c r="H1870" s="52" t="str">
        <f t="shared" ca="1" si="627"/>
        <v>Acquisition APR</v>
      </c>
      <c r="I1870" s="52">
        <v>17</v>
      </c>
    </row>
    <row r="1871" spans="1:10" ht="15" customHeight="1">
      <c r="A1871" t="str">
        <f ca="1">IF(AND(Calculations!$B$4,Calculations!$B$29&gt;=C1871, E1871 &lt;&gt; 13),F1871,"")</f>
        <v/>
      </c>
      <c r="B1871">
        <f>ROW('Final Building Profile'!C22)</f>
        <v>22</v>
      </c>
      <c r="C1871">
        <f t="shared" ca="1" si="615"/>
        <v>19</v>
      </c>
      <c r="D1871" t="str">
        <f>ADDRESS(B1871, 3,4  )</f>
        <v>C22</v>
      </c>
      <c r="E1871" s="52">
        <f ca="1">H1871+I1871</f>
        <v>0</v>
      </c>
      <c r="F1871" t="str">
        <f ca="1">CONCATENATE("Based upon the number of buildings specified, information for  building ", C1871, " required for a final application in row ", B1871, ".", CHAR(10))</f>
        <v xml:space="preserve">Based upon the number of buildings specified, information for  building 19 required for a final application in row 22.
</v>
      </c>
      <c r="G1871" s="9" t="str">
        <f t="shared" ca="1" si="613"/>
        <v xml:space="preserve">Enter a value for 'Number of Floors in the Tallest Building' in cell B60.
</v>
      </c>
      <c r="H1871" s="52">
        <f ca="1">SUMPRODUCT(--ISTEXT(INDIRECT(J1871)))</f>
        <v>0</v>
      </c>
      <c r="I1871" s="52">
        <f ca="1">SUMPRODUCT(--ISNUMBER(INDIRECT(J1871)))</f>
        <v>0</v>
      </c>
      <c r="J1871" s="52" t="str">
        <f>$F$1565&amp; ADDRESS(B1871,3,4) &amp; ":" &amp; ADDRESS(B1871,15,4)</f>
        <v>'Final Building Profile'!C22:O22</v>
      </c>
    </row>
    <row r="1872" spans="1:10" ht="15" customHeight="1">
      <c r="A1872" t="str">
        <f t="shared" ref="A1872:A1881" ca="1" si="628">IF(AND(OFFSET(A1872, -I1872 + 2, 4) &gt;  0, E1872=""), F1872, "")</f>
        <v/>
      </c>
      <c r="B1872">
        <f t="shared" ref="B1872:B1886" si="629">B1871</f>
        <v>22</v>
      </c>
      <c r="C1872">
        <f t="shared" ca="1" si="615"/>
        <v>19</v>
      </c>
      <c r="D1872" t="str">
        <f t="shared" ref="D1872:D1886" si="630">ADDRESS(B1872, I1872,4  )</f>
        <v>C22</v>
      </c>
      <c r="E1872" t="str">
        <f t="shared" ref="E1872:E1886" ca="1" si="631">IF(ISBLANK( INDIRECT($F$1565 &amp; D1872)),"", INDIRECT($F$1565 &amp; D1872))</f>
        <v/>
      </c>
      <c r="F1872" t="str">
        <f t="shared" ref="F1872:F1886" ca="1" si="632">CONCATENATE("Enter a '"&amp; H1872 &amp;"' for  building ", C1872, " in cell ", D1872, ".", CHAR(10))</f>
        <v xml:space="preserve">Enter a 'Building Street Address Only 
(DO NOT ENTER CITY, STATE, OR ZIP)' for  building 19 in cell C22.
</v>
      </c>
      <c r="G1872" s="9" t="str">
        <f t="shared" ca="1" si="613"/>
        <v xml:space="preserve">Enter a value for 'Number of Floors in the Tallest Building' in cell B60.
</v>
      </c>
      <c r="H1872" s="52" t="str">
        <f t="shared" ref="H1872:H1886" ca="1" si="633">OFFSET(INDIRECT($F$1565 &amp; D1872), -B1872 + 3, 0)</f>
        <v>Building Street Address Only 
(DO NOT ENTER CITY, STATE, OR ZIP)</v>
      </c>
      <c r="I1872" s="52">
        <v>3</v>
      </c>
    </row>
    <row r="1873" spans="1:10" ht="15" customHeight="1">
      <c r="A1873" t="str">
        <f t="shared" ca="1" si="628"/>
        <v/>
      </c>
      <c r="B1873">
        <f t="shared" si="629"/>
        <v>22</v>
      </c>
      <c r="C1873">
        <f t="shared" ca="1" si="615"/>
        <v>19</v>
      </c>
      <c r="D1873" t="str">
        <f t="shared" si="630"/>
        <v>D22</v>
      </c>
      <c r="E1873" t="str">
        <f t="shared" ca="1" si="631"/>
        <v/>
      </c>
      <c r="F1873" t="str">
        <f t="shared" ca="1" si="632"/>
        <v xml:space="preserve">Enter a 'Total Units in Building*' for  building 19 in cell D22.
</v>
      </c>
      <c r="G1873" s="9" t="str">
        <f t="shared" ca="1" si="613"/>
        <v xml:space="preserve">Enter a value for 'Number of Floors in the Tallest Building' in cell B60.
</v>
      </c>
      <c r="H1873" s="52" t="str">
        <f t="shared" ca="1" si="633"/>
        <v>Total Units in Building*</v>
      </c>
      <c r="I1873" s="52">
        <v>4</v>
      </c>
    </row>
    <row r="1874" spans="1:10" ht="15" customHeight="1">
      <c r="A1874" t="str">
        <f t="shared" ca="1" si="628"/>
        <v/>
      </c>
      <c r="B1874">
        <f t="shared" si="629"/>
        <v>22</v>
      </c>
      <c r="C1874">
        <f t="shared" ca="1" si="615"/>
        <v>19</v>
      </c>
      <c r="D1874" t="str">
        <f t="shared" si="630"/>
        <v>E22</v>
      </c>
      <c r="E1874" t="str">
        <f t="shared" ca="1" si="631"/>
        <v/>
      </c>
      <c r="F1874" t="str">
        <f t="shared" ca="1" si="632"/>
        <v xml:space="preserve">Enter a 'Employee Units' for  building 19 in cell E22.
</v>
      </c>
      <c r="G1874" s="9" t="str">
        <f t="shared" ca="1" si="613"/>
        <v xml:space="preserve">Enter a value for 'Number of Floors in the Tallest Building' in cell B60.
</v>
      </c>
      <c r="H1874" s="52" t="str">
        <f t="shared" ca="1" si="633"/>
        <v>Employee Units</v>
      </c>
      <c r="I1874" s="52">
        <v>5</v>
      </c>
    </row>
    <row r="1875" spans="1:10" ht="15" customHeight="1">
      <c r="A1875" t="str">
        <f t="shared" ca="1" si="628"/>
        <v/>
      </c>
      <c r="B1875">
        <f t="shared" si="629"/>
        <v>22</v>
      </c>
      <c r="C1875">
        <f t="shared" ca="1" si="615"/>
        <v>19</v>
      </c>
      <c r="D1875" t="str">
        <f t="shared" si="630"/>
        <v>F22</v>
      </c>
      <c r="E1875" t="str">
        <f t="shared" ca="1" si="631"/>
        <v/>
      </c>
      <c r="F1875" t="str">
        <f t="shared" ca="1" si="632"/>
        <v xml:space="preserve">Enter a 'Low-Income Units' for  building 19 in cell F22.
</v>
      </c>
      <c r="G1875" s="9" t="str">
        <f t="shared" ca="1" si="613"/>
        <v xml:space="preserve">Enter a value for 'Number of Floors in the Tallest Building' in cell B60.
</v>
      </c>
      <c r="H1875" s="52" t="str">
        <f t="shared" ca="1" si="633"/>
        <v>Low-Income Units</v>
      </c>
      <c r="I1875" s="52">
        <v>6</v>
      </c>
    </row>
    <row r="1876" spans="1:10" ht="15" customHeight="1">
      <c r="A1876" t="str">
        <f t="shared" ca="1" si="628"/>
        <v/>
      </c>
      <c r="B1876">
        <f t="shared" si="629"/>
        <v>22</v>
      </c>
      <c r="C1876">
        <f t="shared" ca="1" si="615"/>
        <v>19</v>
      </c>
      <c r="D1876" t="str">
        <f t="shared" si="630"/>
        <v>G22</v>
      </c>
      <c r="E1876" t="str">
        <f t="shared" ca="1" si="631"/>
        <v/>
      </c>
      <c r="F1876" t="str">
        <f t="shared" ca="1" si="632"/>
        <v xml:space="preserve">Enter a 'Residential Square Footage**' for  building 19 in cell G22.
</v>
      </c>
      <c r="G1876" s="9" t="str">
        <f t="shared" ca="1" si="613"/>
        <v xml:space="preserve">Enter a value for 'Number of Floors in the Tallest Building' in cell B60.
</v>
      </c>
      <c r="H1876" s="52" t="str">
        <f t="shared" ca="1" si="633"/>
        <v>Residential Square Footage**</v>
      </c>
      <c r="I1876" s="52">
        <v>7</v>
      </c>
    </row>
    <row r="1877" spans="1:10" ht="15" customHeight="1">
      <c r="A1877" t="str">
        <f t="shared" ca="1" si="628"/>
        <v/>
      </c>
      <c r="B1877">
        <f t="shared" si="629"/>
        <v>22</v>
      </c>
      <c r="C1877">
        <f t="shared" ca="1" si="615"/>
        <v>19</v>
      </c>
      <c r="D1877" t="str">
        <f t="shared" si="630"/>
        <v>H22</v>
      </c>
      <c r="E1877" t="str">
        <f t="shared" ca="1" si="631"/>
        <v/>
      </c>
      <c r="F1877" t="str">
        <f t="shared" ca="1" si="632"/>
        <v xml:space="preserve">Enter a 'Square Footage of Employee Units' for  building 19 in cell H22.
</v>
      </c>
      <c r="G1877" s="9" t="str">
        <f t="shared" ca="1" si="613"/>
        <v xml:space="preserve">Enter a value for 'Number of Floors in the Tallest Building' in cell B60.
</v>
      </c>
      <c r="H1877" s="52" t="str">
        <f t="shared" ca="1" si="633"/>
        <v>Square Footage of Employee Units</v>
      </c>
      <c r="I1877" s="52">
        <v>8</v>
      </c>
    </row>
    <row r="1878" spans="1:10" ht="15" customHeight="1">
      <c r="A1878" t="str">
        <f t="shared" ca="1" si="628"/>
        <v/>
      </c>
      <c r="B1878">
        <f t="shared" si="629"/>
        <v>22</v>
      </c>
      <c r="C1878">
        <f t="shared" ca="1" si="615"/>
        <v>19</v>
      </c>
      <c r="D1878" t="str">
        <f t="shared" si="630"/>
        <v>I22</v>
      </c>
      <c r="E1878" t="str">
        <f t="shared" ca="1" si="631"/>
        <v/>
      </c>
      <c r="F1878" t="str">
        <f t="shared" ca="1" si="632"/>
        <v xml:space="preserve">Enter a 'Square Footage of Low-Income Units' for  building 19 in cell I22.
</v>
      </c>
      <c r="G1878" s="9" t="str">
        <f t="shared" ca="1" si="613"/>
        <v xml:space="preserve">Enter a value for 'Number of Floors in the Tallest Building' in cell B60.
</v>
      </c>
      <c r="H1878" s="52" t="str">
        <f t="shared" ca="1" si="633"/>
        <v>Square Footage of Low-Income Units</v>
      </c>
      <c r="I1878" s="52">
        <v>9</v>
      </c>
    </row>
    <row r="1879" spans="1:10" ht="15" customHeight="1">
      <c r="A1879" t="str">
        <f t="shared" ca="1" si="628"/>
        <v/>
      </c>
      <c r="B1879">
        <f t="shared" si="629"/>
        <v>22</v>
      </c>
      <c r="C1879">
        <f t="shared" ca="1" si="615"/>
        <v>19</v>
      </c>
      <c r="D1879" t="str">
        <f t="shared" si="630"/>
        <v>J22</v>
      </c>
      <c r="E1879" t="str">
        <f t="shared" ca="1" si="631"/>
        <v/>
      </c>
      <c r="F1879" t="str">
        <f t="shared" ca="1" si="632"/>
        <v xml:space="preserve">Enter a 'Placed-In-Service Date' for  building 19 in cell J22.
</v>
      </c>
      <c r="G1879" s="9" t="str">
        <f t="shared" ca="1" si="613"/>
        <v xml:space="preserve">Enter a value for 'Number of Floors in the Tallest Building' in cell B60.
</v>
      </c>
      <c r="H1879" s="52" t="str">
        <f t="shared" ca="1" si="633"/>
        <v>Placed-In-Service Date</v>
      </c>
      <c r="I1879" s="52">
        <v>10</v>
      </c>
    </row>
    <row r="1880" spans="1:10" ht="15" customHeight="1">
      <c r="A1880" t="str">
        <f t="shared" ca="1" si="628"/>
        <v/>
      </c>
      <c r="B1880">
        <f t="shared" si="629"/>
        <v>22</v>
      </c>
      <c r="C1880">
        <f t="shared" ca="1" si="615"/>
        <v>19</v>
      </c>
      <c r="D1880" t="str">
        <f t="shared" si="630"/>
        <v>K22</v>
      </c>
      <c r="E1880" t="str">
        <f t="shared" ca="1" si="631"/>
        <v/>
      </c>
      <c r="F1880" t="str">
        <f t="shared" ca="1" si="632"/>
        <v xml:space="preserve">Enter a 'New Construction/ Rehab APR' for  building 19 in cell K22.
</v>
      </c>
      <c r="G1880" s="9" t="str">
        <f t="shared" ca="1" si="613"/>
        <v xml:space="preserve">Enter a value for 'Number of Floors in the Tallest Building' in cell B60.
</v>
      </c>
      <c r="H1880" s="52" t="str">
        <f t="shared" ca="1" si="633"/>
        <v>New Construction/ Rehab APR</v>
      </c>
      <c r="I1880" s="52">
        <v>11</v>
      </c>
    </row>
    <row r="1881" spans="1:10" ht="15" customHeight="1">
      <c r="A1881" t="str">
        <f t="shared" ca="1" si="628"/>
        <v/>
      </c>
      <c r="B1881">
        <f t="shared" si="629"/>
        <v>22</v>
      </c>
      <c r="C1881">
        <f t="shared" ca="1" si="615"/>
        <v>19</v>
      </c>
      <c r="D1881" t="str">
        <f t="shared" si="630"/>
        <v>L22</v>
      </c>
      <c r="E1881" t="str">
        <f t="shared" ca="1" si="631"/>
        <v/>
      </c>
      <c r="F1881" t="str">
        <f t="shared" ca="1" si="632"/>
        <v xml:space="preserve">Enter a 'New Construction Eligible Basis' for  building 19 in cell L22.
</v>
      </c>
      <c r="G1881" s="9" t="str">
        <f t="shared" ca="1" si="613"/>
        <v xml:space="preserve">Enter a value for 'Number of Floors in the Tallest Building' in cell B60.
</v>
      </c>
      <c r="H1881" s="52" t="str">
        <f t="shared" ca="1" si="633"/>
        <v>New Construction Eligible Basis</v>
      </c>
      <c r="I1881" s="52">
        <v>12</v>
      </c>
    </row>
    <row r="1882" spans="1:10" ht="15" customHeight="1">
      <c r="A1882" t="str">
        <f ca="1">IF(AND(OFFSET(A1882, -I1882 + 2, 4) &gt;  0, E1882="", Calculations!$B$7), F1882, "")</f>
        <v/>
      </c>
      <c r="B1882">
        <f t="shared" si="629"/>
        <v>22</v>
      </c>
      <c r="C1882">
        <f t="shared" ca="1" si="615"/>
        <v>19</v>
      </c>
      <c r="D1882" t="str">
        <f t="shared" si="630"/>
        <v>M22</v>
      </c>
      <c r="E1882" t="str">
        <f t="shared" ca="1" si="631"/>
        <v/>
      </c>
      <c r="F1882" t="str">
        <f t="shared" ca="1" si="632"/>
        <v xml:space="preserve">Enter a 'Eligible Basis for Rehab' for  building 19 in cell M22.
</v>
      </c>
      <c r="G1882" s="9" t="str">
        <f t="shared" ca="1" si="613"/>
        <v xml:space="preserve">Enter a value for 'Number of Floors in the Tallest Building' in cell B60.
</v>
      </c>
      <c r="H1882" s="52" t="str">
        <f t="shared" ca="1" si="633"/>
        <v>Eligible Basis for Rehab</v>
      </c>
      <c r="I1882" s="52">
        <v>13</v>
      </c>
    </row>
    <row r="1883" spans="1:10" ht="15" customHeight="1">
      <c r="A1883" t="str">
        <f ca="1">IF(AND(OFFSET(A1883, -I1883 + 2, 4) &gt;  0, E1883="", Calculations!$B$7), F1883, "")</f>
        <v/>
      </c>
      <c r="B1883">
        <f t="shared" si="629"/>
        <v>22</v>
      </c>
      <c r="C1883">
        <f t="shared" ca="1" si="615"/>
        <v>19</v>
      </c>
      <c r="D1883" t="str">
        <f t="shared" si="630"/>
        <v>N22</v>
      </c>
      <c r="E1883" t="str">
        <f t="shared" ca="1" si="631"/>
        <v/>
      </c>
      <c r="F1883" t="str">
        <f t="shared" ca="1" si="632"/>
        <v xml:space="preserve">Enter a 'Cost of Acquiring the Building***' for  building 19 in cell N22.
</v>
      </c>
      <c r="G1883" s="9" t="str">
        <f t="shared" ca="1" si="613"/>
        <v xml:space="preserve">Enter a value for 'Number of Floors in the Tallest Building' in cell B60.
</v>
      </c>
      <c r="H1883" s="52" t="str">
        <f t="shared" ca="1" si="633"/>
        <v>Cost of Acquiring the Building***</v>
      </c>
      <c r="I1883" s="52">
        <v>14</v>
      </c>
    </row>
    <row r="1884" spans="1:10" ht="15" customHeight="1">
      <c r="A1884" t="str">
        <f ca="1">IF(AND(OFFSET(A1884, -I1884 + 2, 4) &gt;  0, E1884="", Calculations!$B$7), F1884, "")</f>
        <v/>
      </c>
      <c r="B1884">
        <f t="shared" si="629"/>
        <v>22</v>
      </c>
      <c r="C1884">
        <f t="shared" ca="1" si="615"/>
        <v>19</v>
      </c>
      <c r="D1884" t="str">
        <f t="shared" si="630"/>
        <v>O22</v>
      </c>
      <c r="E1884" t="str">
        <f t="shared" ca="1" si="631"/>
        <v/>
      </c>
      <c r="F1884" t="str">
        <f t="shared" ca="1" si="632"/>
        <v xml:space="preserve">Enter a 'Higher of Land Purchase Price or Land Appraised Value****' for  building 19 in cell O22.
</v>
      </c>
      <c r="G1884" s="9" t="str">
        <f t="shared" ca="1" si="613"/>
        <v xml:space="preserve">Enter a value for 'Number of Floors in the Tallest Building' in cell B60.
</v>
      </c>
      <c r="H1884" s="52" t="str">
        <f t="shared" ca="1" si="633"/>
        <v>Higher of Land Purchase Price or Land Appraised Value****</v>
      </c>
      <c r="I1884" s="52">
        <v>15</v>
      </c>
    </row>
    <row r="1885" spans="1:10" ht="15" customHeight="1">
      <c r="A1885" t="str">
        <f ca="1">IF(AND(OFFSET(A1885, -I1885 + 2, 4) &gt;  0, E1885="", Calculations!$B$7), F1885, "")</f>
        <v/>
      </c>
      <c r="B1885">
        <f t="shared" si="629"/>
        <v>22</v>
      </c>
      <c r="C1885">
        <f t="shared" ca="1" si="615"/>
        <v>19</v>
      </c>
      <c r="D1885" t="str">
        <f t="shared" si="630"/>
        <v>P22</v>
      </c>
      <c r="E1885" t="str">
        <f t="shared" ca="1" si="631"/>
        <v/>
      </c>
      <c r="F1885" t="str">
        <f t="shared" ca="1" si="632"/>
        <v xml:space="preserve">Enter a 'Acquisition Placed-in-Service Date' for  building 19 in cell P22.
</v>
      </c>
      <c r="G1885" s="9" t="str">
        <f t="shared" ca="1" si="613"/>
        <v xml:space="preserve">Enter a value for 'Number of Floors in the Tallest Building' in cell B60.
</v>
      </c>
      <c r="H1885" s="52" t="str">
        <f t="shared" ca="1" si="633"/>
        <v>Acquisition Placed-in-Service Date</v>
      </c>
      <c r="I1885" s="52">
        <v>16</v>
      </c>
    </row>
    <row r="1886" spans="1:10" ht="15" customHeight="1">
      <c r="A1886" t="str">
        <f ca="1">IF(AND(OFFSET(A1886, -I1886 + 2, 4) &gt;  0, E1886="", Calculations!$B$7), F1886, "")</f>
        <v/>
      </c>
      <c r="B1886">
        <f t="shared" si="629"/>
        <v>22</v>
      </c>
      <c r="C1886">
        <f t="shared" ca="1" si="615"/>
        <v>19</v>
      </c>
      <c r="D1886" t="str">
        <f t="shared" si="630"/>
        <v>Q22</v>
      </c>
      <c r="E1886" t="str">
        <f t="shared" ca="1" si="631"/>
        <v/>
      </c>
      <c r="F1886" t="str">
        <f t="shared" ca="1" si="632"/>
        <v xml:space="preserve">Enter a 'Acquisition APR' for  building 19 in cell Q22.
</v>
      </c>
      <c r="G1886" s="9" t="str">
        <f t="shared" ca="1" si="613"/>
        <v xml:space="preserve">Enter a value for 'Number of Floors in the Tallest Building' in cell B60.
</v>
      </c>
      <c r="H1886" s="52" t="str">
        <f t="shared" ca="1" si="633"/>
        <v>Acquisition APR</v>
      </c>
      <c r="I1886" s="52">
        <v>17</v>
      </c>
    </row>
    <row r="1887" spans="1:10" ht="15" customHeight="1">
      <c r="A1887" t="str">
        <f ca="1">IF(AND(Calculations!$B$4,Calculations!$B$29&gt;=C1887, E1887 &lt;&gt; 13),F1887,"")</f>
        <v/>
      </c>
      <c r="B1887">
        <f>ROW('Final Building Profile'!C23)</f>
        <v>23</v>
      </c>
      <c r="C1887">
        <f t="shared" ca="1" si="615"/>
        <v>20</v>
      </c>
      <c r="D1887" t="str">
        <f>ADDRESS(B1887, 3,4  )</f>
        <v>C23</v>
      </c>
      <c r="E1887" s="52">
        <f ca="1">H1887+I1887</f>
        <v>0</v>
      </c>
      <c r="F1887" t="str">
        <f ca="1">CONCATENATE("Based upon the number of buildings specified, information for  building ", C1887, " required for a final application in row ", B1887, ".", CHAR(10))</f>
        <v xml:space="preserve">Based upon the number of buildings specified, information for  building 20 required for a final application in row 23.
</v>
      </c>
      <c r="G1887" s="9" t="str">
        <f t="shared" ca="1" si="613"/>
        <v xml:space="preserve">Enter a value for 'Number of Floors in the Tallest Building' in cell B60.
</v>
      </c>
      <c r="H1887" s="52">
        <f ca="1">SUMPRODUCT(--ISTEXT(INDIRECT(J1887)))</f>
        <v>0</v>
      </c>
      <c r="I1887" s="52">
        <f ca="1">SUMPRODUCT(--ISNUMBER(INDIRECT(J1887)))</f>
        <v>0</v>
      </c>
      <c r="J1887" s="52" t="str">
        <f>$F$1565&amp; ADDRESS(B1887,3,4) &amp; ":" &amp; ADDRESS(B1887,15,4)</f>
        <v>'Final Building Profile'!C23:O23</v>
      </c>
    </row>
    <row r="1888" spans="1:10" ht="15" customHeight="1">
      <c r="A1888" t="str">
        <f t="shared" ref="A1888:A1897" ca="1" si="634">IF(AND(OFFSET(A1888, -I1888 + 2, 4) &gt;  0, E1888=""), F1888, "")</f>
        <v/>
      </c>
      <c r="B1888">
        <f t="shared" ref="B1888:B1902" si="635">B1887</f>
        <v>23</v>
      </c>
      <c r="C1888">
        <f t="shared" ca="1" si="615"/>
        <v>20</v>
      </c>
      <c r="D1888" t="str">
        <f t="shared" ref="D1888:D1902" si="636">ADDRESS(B1888, I1888,4  )</f>
        <v>C23</v>
      </c>
      <c r="E1888" t="str">
        <f t="shared" ref="E1888:E1902" ca="1" si="637">IF(ISBLANK( INDIRECT($F$1565 &amp; D1888)),"", INDIRECT($F$1565 &amp; D1888))</f>
        <v/>
      </c>
      <c r="F1888" t="str">
        <f t="shared" ref="F1888:F1902" ca="1" si="638">CONCATENATE("Enter a '"&amp; H1888 &amp;"' for  building ", C1888, " in cell ", D1888, ".", CHAR(10))</f>
        <v xml:space="preserve">Enter a 'Building Street Address Only 
(DO NOT ENTER CITY, STATE, OR ZIP)' for  building 20 in cell C23.
</v>
      </c>
      <c r="G1888" s="9" t="str">
        <f t="shared" ref="G1888:G1951" ca="1" si="639">OFFSET(G1888, -1, 0) &amp; A1888</f>
        <v xml:space="preserve">Enter a value for 'Number of Floors in the Tallest Building' in cell B60.
</v>
      </c>
      <c r="H1888" s="52" t="str">
        <f t="shared" ref="H1888:H1902" ca="1" si="640">OFFSET(INDIRECT($F$1565 &amp; D1888), -B1888 + 3, 0)</f>
        <v>Building Street Address Only 
(DO NOT ENTER CITY, STATE, OR ZIP)</v>
      </c>
      <c r="I1888" s="52">
        <v>3</v>
      </c>
    </row>
    <row r="1889" spans="1:10" ht="15" customHeight="1">
      <c r="A1889" t="str">
        <f t="shared" ca="1" si="634"/>
        <v/>
      </c>
      <c r="B1889">
        <f t="shared" si="635"/>
        <v>23</v>
      </c>
      <c r="C1889">
        <f t="shared" ca="1" si="615"/>
        <v>20</v>
      </c>
      <c r="D1889" t="str">
        <f t="shared" si="636"/>
        <v>D23</v>
      </c>
      <c r="E1889" t="str">
        <f t="shared" ca="1" si="637"/>
        <v/>
      </c>
      <c r="F1889" t="str">
        <f t="shared" ca="1" si="638"/>
        <v xml:space="preserve">Enter a 'Total Units in Building*' for  building 20 in cell D23.
</v>
      </c>
      <c r="G1889" s="9" t="str">
        <f t="shared" ca="1" si="639"/>
        <v xml:space="preserve">Enter a value for 'Number of Floors in the Tallest Building' in cell B60.
</v>
      </c>
      <c r="H1889" s="52" t="str">
        <f t="shared" ca="1" si="640"/>
        <v>Total Units in Building*</v>
      </c>
      <c r="I1889" s="52">
        <v>4</v>
      </c>
    </row>
    <row r="1890" spans="1:10" ht="15" customHeight="1">
      <c r="A1890" t="str">
        <f t="shared" ca="1" si="634"/>
        <v/>
      </c>
      <c r="B1890">
        <f t="shared" si="635"/>
        <v>23</v>
      </c>
      <c r="C1890">
        <f t="shared" ca="1" si="615"/>
        <v>20</v>
      </c>
      <c r="D1890" t="str">
        <f t="shared" si="636"/>
        <v>E23</v>
      </c>
      <c r="E1890" t="str">
        <f t="shared" ca="1" si="637"/>
        <v/>
      </c>
      <c r="F1890" t="str">
        <f t="shared" ca="1" si="638"/>
        <v xml:space="preserve">Enter a 'Employee Units' for  building 20 in cell E23.
</v>
      </c>
      <c r="G1890" s="9" t="str">
        <f t="shared" ca="1" si="639"/>
        <v xml:space="preserve">Enter a value for 'Number of Floors in the Tallest Building' in cell B60.
</v>
      </c>
      <c r="H1890" s="52" t="str">
        <f t="shared" ca="1" si="640"/>
        <v>Employee Units</v>
      </c>
      <c r="I1890" s="52">
        <v>5</v>
      </c>
    </row>
    <row r="1891" spans="1:10" ht="15" customHeight="1">
      <c r="A1891" t="str">
        <f t="shared" ca="1" si="634"/>
        <v/>
      </c>
      <c r="B1891">
        <f t="shared" si="635"/>
        <v>23</v>
      </c>
      <c r="C1891">
        <f t="shared" ca="1" si="615"/>
        <v>20</v>
      </c>
      <c r="D1891" t="str">
        <f t="shared" si="636"/>
        <v>F23</v>
      </c>
      <c r="E1891" t="str">
        <f t="shared" ca="1" si="637"/>
        <v/>
      </c>
      <c r="F1891" t="str">
        <f t="shared" ca="1" si="638"/>
        <v xml:space="preserve">Enter a 'Low-Income Units' for  building 20 in cell F23.
</v>
      </c>
      <c r="G1891" s="9" t="str">
        <f t="shared" ca="1" si="639"/>
        <v xml:space="preserve">Enter a value for 'Number of Floors in the Tallest Building' in cell B60.
</v>
      </c>
      <c r="H1891" s="52" t="str">
        <f t="shared" ca="1" si="640"/>
        <v>Low-Income Units</v>
      </c>
      <c r="I1891" s="52">
        <v>6</v>
      </c>
    </row>
    <row r="1892" spans="1:10" ht="15" customHeight="1">
      <c r="A1892" t="str">
        <f t="shared" ca="1" si="634"/>
        <v/>
      </c>
      <c r="B1892">
        <f t="shared" si="635"/>
        <v>23</v>
      </c>
      <c r="C1892">
        <f t="shared" ca="1" si="615"/>
        <v>20</v>
      </c>
      <c r="D1892" t="str">
        <f t="shared" si="636"/>
        <v>G23</v>
      </c>
      <c r="E1892" t="str">
        <f t="shared" ca="1" si="637"/>
        <v/>
      </c>
      <c r="F1892" t="str">
        <f t="shared" ca="1" si="638"/>
        <v xml:space="preserve">Enter a 'Residential Square Footage**' for  building 20 in cell G23.
</v>
      </c>
      <c r="G1892" s="9" t="str">
        <f t="shared" ca="1" si="639"/>
        <v xml:space="preserve">Enter a value for 'Number of Floors in the Tallest Building' in cell B60.
</v>
      </c>
      <c r="H1892" s="52" t="str">
        <f t="shared" ca="1" si="640"/>
        <v>Residential Square Footage**</v>
      </c>
      <c r="I1892" s="52">
        <v>7</v>
      </c>
    </row>
    <row r="1893" spans="1:10" ht="15" customHeight="1">
      <c r="A1893" t="str">
        <f t="shared" ca="1" si="634"/>
        <v/>
      </c>
      <c r="B1893">
        <f t="shared" si="635"/>
        <v>23</v>
      </c>
      <c r="C1893">
        <f t="shared" ca="1" si="615"/>
        <v>20</v>
      </c>
      <c r="D1893" t="str">
        <f t="shared" si="636"/>
        <v>H23</v>
      </c>
      <c r="E1893" t="str">
        <f t="shared" ca="1" si="637"/>
        <v/>
      </c>
      <c r="F1893" t="str">
        <f t="shared" ca="1" si="638"/>
        <v xml:space="preserve">Enter a 'Square Footage of Employee Units' for  building 20 in cell H23.
</v>
      </c>
      <c r="G1893" s="9" t="str">
        <f t="shared" ca="1" si="639"/>
        <v xml:space="preserve">Enter a value for 'Number of Floors in the Tallest Building' in cell B60.
</v>
      </c>
      <c r="H1893" s="52" t="str">
        <f t="shared" ca="1" si="640"/>
        <v>Square Footage of Employee Units</v>
      </c>
      <c r="I1893" s="52">
        <v>8</v>
      </c>
    </row>
    <row r="1894" spans="1:10" ht="15" customHeight="1">
      <c r="A1894" t="str">
        <f t="shared" ca="1" si="634"/>
        <v/>
      </c>
      <c r="B1894">
        <f t="shared" si="635"/>
        <v>23</v>
      </c>
      <c r="C1894">
        <f t="shared" ca="1" si="615"/>
        <v>20</v>
      </c>
      <c r="D1894" t="str">
        <f t="shared" si="636"/>
        <v>I23</v>
      </c>
      <c r="E1894" t="str">
        <f t="shared" ca="1" si="637"/>
        <v/>
      </c>
      <c r="F1894" t="str">
        <f t="shared" ca="1" si="638"/>
        <v xml:space="preserve">Enter a 'Square Footage of Low-Income Units' for  building 20 in cell I23.
</v>
      </c>
      <c r="G1894" s="9" t="str">
        <f t="shared" ca="1" si="639"/>
        <v xml:space="preserve">Enter a value for 'Number of Floors in the Tallest Building' in cell B60.
</v>
      </c>
      <c r="H1894" s="52" t="str">
        <f t="shared" ca="1" si="640"/>
        <v>Square Footage of Low-Income Units</v>
      </c>
      <c r="I1894" s="52">
        <v>9</v>
      </c>
    </row>
    <row r="1895" spans="1:10" ht="15" customHeight="1">
      <c r="A1895" t="str">
        <f t="shared" ca="1" si="634"/>
        <v/>
      </c>
      <c r="B1895">
        <f t="shared" si="635"/>
        <v>23</v>
      </c>
      <c r="C1895">
        <f t="shared" ca="1" si="615"/>
        <v>20</v>
      </c>
      <c r="D1895" t="str">
        <f t="shared" si="636"/>
        <v>J23</v>
      </c>
      <c r="E1895" t="str">
        <f t="shared" ca="1" si="637"/>
        <v/>
      </c>
      <c r="F1895" t="str">
        <f t="shared" ca="1" si="638"/>
        <v xml:space="preserve">Enter a 'Placed-In-Service Date' for  building 20 in cell J23.
</v>
      </c>
      <c r="G1895" s="9" t="str">
        <f t="shared" ca="1" si="639"/>
        <v xml:space="preserve">Enter a value for 'Number of Floors in the Tallest Building' in cell B60.
</v>
      </c>
      <c r="H1895" s="52" t="str">
        <f t="shared" ca="1" si="640"/>
        <v>Placed-In-Service Date</v>
      </c>
      <c r="I1895" s="52">
        <v>10</v>
      </c>
    </row>
    <row r="1896" spans="1:10" ht="15" customHeight="1">
      <c r="A1896" t="str">
        <f t="shared" ca="1" si="634"/>
        <v/>
      </c>
      <c r="B1896">
        <f t="shared" si="635"/>
        <v>23</v>
      </c>
      <c r="C1896">
        <f t="shared" ca="1" si="615"/>
        <v>20</v>
      </c>
      <c r="D1896" t="str">
        <f t="shared" si="636"/>
        <v>K23</v>
      </c>
      <c r="E1896" t="str">
        <f t="shared" ca="1" si="637"/>
        <v/>
      </c>
      <c r="F1896" t="str">
        <f t="shared" ca="1" si="638"/>
        <v xml:space="preserve">Enter a 'New Construction/ Rehab APR' for  building 20 in cell K23.
</v>
      </c>
      <c r="G1896" s="9" t="str">
        <f t="shared" ca="1" si="639"/>
        <v xml:space="preserve">Enter a value for 'Number of Floors in the Tallest Building' in cell B60.
</v>
      </c>
      <c r="H1896" s="52" t="str">
        <f t="shared" ca="1" si="640"/>
        <v>New Construction/ Rehab APR</v>
      </c>
      <c r="I1896" s="52">
        <v>11</v>
      </c>
    </row>
    <row r="1897" spans="1:10" ht="15" customHeight="1">
      <c r="A1897" t="str">
        <f t="shared" ca="1" si="634"/>
        <v/>
      </c>
      <c r="B1897">
        <f t="shared" si="635"/>
        <v>23</v>
      </c>
      <c r="C1897">
        <f t="shared" ca="1" si="615"/>
        <v>20</v>
      </c>
      <c r="D1897" t="str">
        <f t="shared" si="636"/>
        <v>L23</v>
      </c>
      <c r="E1897" t="str">
        <f t="shared" ca="1" si="637"/>
        <v/>
      </c>
      <c r="F1897" t="str">
        <f t="shared" ca="1" si="638"/>
        <v xml:space="preserve">Enter a 'New Construction Eligible Basis' for  building 20 in cell L23.
</v>
      </c>
      <c r="G1897" s="9" t="str">
        <f t="shared" ca="1" si="639"/>
        <v xml:space="preserve">Enter a value for 'Number of Floors in the Tallest Building' in cell B60.
</v>
      </c>
      <c r="H1897" s="52" t="str">
        <f t="shared" ca="1" si="640"/>
        <v>New Construction Eligible Basis</v>
      </c>
      <c r="I1897" s="52">
        <v>12</v>
      </c>
    </row>
    <row r="1898" spans="1:10" ht="15" customHeight="1">
      <c r="A1898" t="str">
        <f ca="1">IF(AND(OFFSET(A1898, -I1898 + 2, 4) &gt;  0, E1898="", Calculations!$B$7), F1898, "")</f>
        <v/>
      </c>
      <c r="B1898">
        <f t="shared" si="635"/>
        <v>23</v>
      </c>
      <c r="C1898">
        <f t="shared" ca="1" si="615"/>
        <v>20</v>
      </c>
      <c r="D1898" t="str">
        <f t="shared" si="636"/>
        <v>M23</v>
      </c>
      <c r="E1898" t="str">
        <f t="shared" ca="1" si="637"/>
        <v/>
      </c>
      <c r="F1898" t="str">
        <f t="shared" ca="1" si="638"/>
        <v xml:space="preserve">Enter a 'Eligible Basis for Rehab' for  building 20 in cell M23.
</v>
      </c>
      <c r="G1898" s="9" t="str">
        <f t="shared" ca="1" si="639"/>
        <v xml:space="preserve">Enter a value for 'Number of Floors in the Tallest Building' in cell B60.
</v>
      </c>
      <c r="H1898" s="52" t="str">
        <f t="shared" ca="1" si="640"/>
        <v>Eligible Basis for Rehab</v>
      </c>
      <c r="I1898" s="52">
        <v>13</v>
      </c>
    </row>
    <row r="1899" spans="1:10" ht="15" customHeight="1">
      <c r="A1899" t="str">
        <f ca="1">IF(AND(OFFSET(A1899, -I1899 + 2, 4) &gt;  0, E1899="", Calculations!$B$7), F1899, "")</f>
        <v/>
      </c>
      <c r="B1899">
        <f t="shared" si="635"/>
        <v>23</v>
      </c>
      <c r="C1899">
        <f t="shared" ca="1" si="615"/>
        <v>20</v>
      </c>
      <c r="D1899" t="str">
        <f t="shared" si="636"/>
        <v>N23</v>
      </c>
      <c r="E1899" t="str">
        <f t="shared" ca="1" si="637"/>
        <v/>
      </c>
      <c r="F1899" t="str">
        <f t="shared" ca="1" si="638"/>
        <v xml:space="preserve">Enter a 'Cost of Acquiring the Building***' for  building 20 in cell N23.
</v>
      </c>
      <c r="G1899" s="9" t="str">
        <f t="shared" ca="1" si="639"/>
        <v xml:space="preserve">Enter a value for 'Number of Floors in the Tallest Building' in cell B60.
</v>
      </c>
      <c r="H1899" s="52" t="str">
        <f t="shared" ca="1" si="640"/>
        <v>Cost of Acquiring the Building***</v>
      </c>
      <c r="I1899" s="52">
        <v>14</v>
      </c>
    </row>
    <row r="1900" spans="1:10" ht="15" customHeight="1">
      <c r="A1900" t="str">
        <f ca="1">IF(AND(OFFSET(A1900, -I1900 + 2, 4) &gt;  0, E1900="", Calculations!$B$7), F1900, "")</f>
        <v/>
      </c>
      <c r="B1900">
        <f t="shared" si="635"/>
        <v>23</v>
      </c>
      <c r="C1900">
        <f t="shared" ca="1" si="615"/>
        <v>20</v>
      </c>
      <c r="D1900" t="str">
        <f t="shared" si="636"/>
        <v>O23</v>
      </c>
      <c r="E1900" t="str">
        <f t="shared" ca="1" si="637"/>
        <v/>
      </c>
      <c r="F1900" t="str">
        <f t="shared" ca="1" si="638"/>
        <v xml:space="preserve">Enter a 'Higher of Land Purchase Price or Land Appraised Value****' for  building 20 in cell O23.
</v>
      </c>
      <c r="G1900" s="9" t="str">
        <f t="shared" ca="1" si="639"/>
        <v xml:space="preserve">Enter a value for 'Number of Floors in the Tallest Building' in cell B60.
</v>
      </c>
      <c r="H1900" s="52" t="str">
        <f t="shared" ca="1" si="640"/>
        <v>Higher of Land Purchase Price or Land Appraised Value****</v>
      </c>
      <c r="I1900" s="52">
        <v>15</v>
      </c>
    </row>
    <row r="1901" spans="1:10" ht="15" customHeight="1">
      <c r="A1901" t="str">
        <f ca="1">IF(AND(OFFSET(A1901, -I1901 + 2, 4) &gt;  0, E1901="", Calculations!$B$7), F1901, "")</f>
        <v/>
      </c>
      <c r="B1901">
        <f t="shared" si="635"/>
        <v>23</v>
      </c>
      <c r="C1901">
        <f t="shared" ca="1" si="615"/>
        <v>20</v>
      </c>
      <c r="D1901" t="str">
        <f t="shared" si="636"/>
        <v>P23</v>
      </c>
      <c r="E1901" t="str">
        <f t="shared" ca="1" si="637"/>
        <v/>
      </c>
      <c r="F1901" t="str">
        <f t="shared" ca="1" si="638"/>
        <v xml:space="preserve">Enter a 'Acquisition Placed-in-Service Date' for  building 20 in cell P23.
</v>
      </c>
      <c r="G1901" s="9" t="str">
        <f t="shared" ca="1" si="639"/>
        <v xml:space="preserve">Enter a value for 'Number of Floors in the Tallest Building' in cell B60.
</v>
      </c>
      <c r="H1901" s="52" t="str">
        <f t="shared" ca="1" si="640"/>
        <v>Acquisition Placed-in-Service Date</v>
      </c>
      <c r="I1901" s="52">
        <v>16</v>
      </c>
    </row>
    <row r="1902" spans="1:10" ht="15" customHeight="1">
      <c r="A1902" t="str">
        <f ca="1">IF(AND(OFFSET(A1902, -I1902 + 2, 4) &gt;  0, E1902="", Calculations!$B$7), F1902, "")</f>
        <v/>
      </c>
      <c r="B1902">
        <f t="shared" si="635"/>
        <v>23</v>
      </c>
      <c r="C1902">
        <f t="shared" ca="1" si="615"/>
        <v>20</v>
      </c>
      <c r="D1902" t="str">
        <f t="shared" si="636"/>
        <v>Q23</v>
      </c>
      <c r="E1902" t="str">
        <f t="shared" ca="1" si="637"/>
        <v/>
      </c>
      <c r="F1902" t="str">
        <f t="shared" ca="1" si="638"/>
        <v xml:space="preserve">Enter a 'Acquisition APR' for  building 20 in cell Q23.
</v>
      </c>
      <c r="G1902" s="9" t="str">
        <f t="shared" ca="1" si="639"/>
        <v xml:space="preserve">Enter a value for 'Number of Floors in the Tallest Building' in cell B60.
</v>
      </c>
      <c r="H1902" s="52" t="str">
        <f t="shared" ca="1" si="640"/>
        <v>Acquisition APR</v>
      </c>
      <c r="I1902" s="52">
        <v>17</v>
      </c>
    </row>
    <row r="1903" spans="1:10" ht="15" customHeight="1">
      <c r="A1903" t="str">
        <f ca="1">IF(AND(Calculations!$B$4,Calculations!$B$29&gt;=C1903, E1903 &lt;&gt; 13),F1903,"")</f>
        <v/>
      </c>
      <c r="B1903">
        <f>ROW('Final Building Profile'!C24)</f>
        <v>24</v>
      </c>
      <c r="C1903">
        <f t="shared" ref="C1903:C1966" ca="1" si="641">INDIRECT($F$1565 &amp; ADDRESS(B1903, 1,4  ))</f>
        <v>21</v>
      </c>
      <c r="D1903" t="str">
        <f>ADDRESS(B1903, 3,4  )</f>
        <v>C24</v>
      </c>
      <c r="E1903" s="52">
        <f ca="1">H1903+I1903</f>
        <v>0</v>
      </c>
      <c r="F1903" t="str">
        <f ca="1">CONCATENATE("Based upon the number of buildings specified, information for  building ", C1903, " required for a final application in row ", B1903, ".", CHAR(10))</f>
        <v xml:space="preserve">Based upon the number of buildings specified, information for  building 21 required for a final application in row 24.
</v>
      </c>
      <c r="G1903" s="9" t="str">
        <f t="shared" ca="1" si="639"/>
        <v xml:space="preserve">Enter a value for 'Number of Floors in the Tallest Building' in cell B60.
</v>
      </c>
      <c r="H1903" s="52">
        <f ca="1">SUMPRODUCT(--ISTEXT(INDIRECT(J1903)))</f>
        <v>0</v>
      </c>
      <c r="I1903" s="52">
        <f ca="1">SUMPRODUCT(--ISNUMBER(INDIRECT(J1903)))</f>
        <v>0</v>
      </c>
      <c r="J1903" s="52" t="str">
        <f>$F$1565&amp; ADDRESS(B1903,3,4) &amp; ":" &amp; ADDRESS(B1903,15,4)</f>
        <v>'Final Building Profile'!C24:O24</v>
      </c>
    </row>
    <row r="1904" spans="1:10" ht="15" customHeight="1">
      <c r="A1904" t="str">
        <f t="shared" ref="A1904:A1913" ca="1" si="642">IF(AND(OFFSET(A1904, -I1904 + 2, 4) &gt;  0, E1904=""), F1904, "")</f>
        <v/>
      </c>
      <c r="B1904">
        <f t="shared" ref="B1904:B1918" si="643">B1903</f>
        <v>24</v>
      </c>
      <c r="C1904">
        <f t="shared" ca="1" si="641"/>
        <v>21</v>
      </c>
      <c r="D1904" t="str">
        <f t="shared" ref="D1904:D1918" si="644">ADDRESS(B1904, I1904,4  )</f>
        <v>C24</v>
      </c>
      <c r="E1904" t="str">
        <f t="shared" ref="E1904:E1918" ca="1" si="645">IF(ISBLANK( INDIRECT($F$1565 &amp; D1904)),"", INDIRECT($F$1565 &amp; D1904))</f>
        <v/>
      </c>
      <c r="F1904" t="str">
        <f t="shared" ref="F1904:F1918" ca="1" si="646">CONCATENATE("Enter a '"&amp; H1904 &amp;"' for  building ", C1904, " in cell ", D1904, ".", CHAR(10))</f>
        <v xml:space="preserve">Enter a 'Building Street Address Only 
(DO NOT ENTER CITY, STATE, OR ZIP)' for  building 21 in cell C24.
</v>
      </c>
      <c r="G1904" s="9" t="str">
        <f t="shared" ca="1" si="639"/>
        <v xml:space="preserve">Enter a value for 'Number of Floors in the Tallest Building' in cell B60.
</v>
      </c>
      <c r="H1904" s="52" t="str">
        <f t="shared" ref="H1904:H1918" ca="1" si="647">OFFSET(INDIRECT($F$1565 &amp; D1904), -B1904 + 3, 0)</f>
        <v>Building Street Address Only 
(DO NOT ENTER CITY, STATE, OR ZIP)</v>
      </c>
      <c r="I1904" s="52">
        <v>3</v>
      </c>
    </row>
    <row r="1905" spans="1:10" ht="15" customHeight="1">
      <c r="A1905" t="str">
        <f t="shared" ca="1" si="642"/>
        <v/>
      </c>
      <c r="B1905">
        <f t="shared" si="643"/>
        <v>24</v>
      </c>
      <c r="C1905">
        <f t="shared" ca="1" si="641"/>
        <v>21</v>
      </c>
      <c r="D1905" t="str">
        <f t="shared" si="644"/>
        <v>D24</v>
      </c>
      <c r="E1905" t="str">
        <f t="shared" ca="1" si="645"/>
        <v/>
      </c>
      <c r="F1905" t="str">
        <f t="shared" ca="1" si="646"/>
        <v xml:space="preserve">Enter a 'Total Units in Building*' for  building 21 in cell D24.
</v>
      </c>
      <c r="G1905" s="9" t="str">
        <f t="shared" ca="1" si="639"/>
        <v xml:space="preserve">Enter a value for 'Number of Floors in the Tallest Building' in cell B60.
</v>
      </c>
      <c r="H1905" s="52" t="str">
        <f t="shared" ca="1" si="647"/>
        <v>Total Units in Building*</v>
      </c>
      <c r="I1905" s="52">
        <v>4</v>
      </c>
    </row>
    <row r="1906" spans="1:10" ht="15" customHeight="1">
      <c r="A1906" t="str">
        <f t="shared" ca="1" si="642"/>
        <v/>
      </c>
      <c r="B1906">
        <f t="shared" si="643"/>
        <v>24</v>
      </c>
      <c r="C1906">
        <f t="shared" ca="1" si="641"/>
        <v>21</v>
      </c>
      <c r="D1906" t="str">
        <f t="shared" si="644"/>
        <v>E24</v>
      </c>
      <c r="E1906" t="str">
        <f t="shared" ca="1" si="645"/>
        <v/>
      </c>
      <c r="F1906" t="str">
        <f t="shared" ca="1" si="646"/>
        <v xml:space="preserve">Enter a 'Employee Units' for  building 21 in cell E24.
</v>
      </c>
      <c r="G1906" s="9" t="str">
        <f t="shared" ca="1" si="639"/>
        <v xml:space="preserve">Enter a value for 'Number of Floors in the Tallest Building' in cell B60.
</v>
      </c>
      <c r="H1906" s="52" t="str">
        <f t="shared" ca="1" si="647"/>
        <v>Employee Units</v>
      </c>
      <c r="I1906" s="52">
        <v>5</v>
      </c>
    </row>
    <row r="1907" spans="1:10" ht="15" customHeight="1">
      <c r="A1907" t="str">
        <f t="shared" ca="1" si="642"/>
        <v/>
      </c>
      <c r="B1907">
        <f t="shared" si="643"/>
        <v>24</v>
      </c>
      <c r="C1907">
        <f t="shared" ca="1" si="641"/>
        <v>21</v>
      </c>
      <c r="D1907" t="str">
        <f t="shared" si="644"/>
        <v>F24</v>
      </c>
      <c r="E1907" t="str">
        <f t="shared" ca="1" si="645"/>
        <v/>
      </c>
      <c r="F1907" t="str">
        <f t="shared" ca="1" si="646"/>
        <v xml:space="preserve">Enter a 'Low-Income Units' for  building 21 in cell F24.
</v>
      </c>
      <c r="G1907" s="9" t="str">
        <f t="shared" ca="1" si="639"/>
        <v xml:space="preserve">Enter a value for 'Number of Floors in the Tallest Building' in cell B60.
</v>
      </c>
      <c r="H1907" s="52" t="str">
        <f t="shared" ca="1" si="647"/>
        <v>Low-Income Units</v>
      </c>
      <c r="I1907" s="52">
        <v>6</v>
      </c>
    </row>
    <row r="1908" spans="1:10" ht="15" customHeight="1">
      <c r="A1908" t="str">
        <f t="shared" ca="1" si="642"/>
        <v/>
      </c>
      <c r="B1908">
        <f t="shared" si="643"/>
        <v>24</v>
      </c>
      <c r="C1908">
        <f t="shared" ca="1" si="641"/>
        <v>21</v>
      </c>
      <c r="D1908" t="str">
        <f t="shared" si="644"/>
        <v>G24</v>
      </c>
      <c r="E1908" t="str">
        <f t="shared" ca="1" si="645"/>
        <v/>
      </c>
      <c r="F1908" t="str">
        <f t="shared" ca="1" si="646"/>
        <v xml:space="preserve">Enter a 'Residential Square Footage**' for  building 21 in cell G24.
</v>
      </c>
      <c r="G1908" s="9" t="str">
        <f t="shared" ca="1" si="639"/>
        <v xml:space="preserve">Enter a value for 'Number of Floors in the Tallest Building' in cell B60.
</v>
      </c>
      <c r="H1908" s="52" t="str">
        <f t="shared" ca="1" si="647"/>
        <v>Residential Square Footage**</v>
      </c>
      <c r="I1908" s="52">
        <v>7</v>
      </c>
    </row>
    <row r="1909" spans="1:10" ht="15" customHeight="1">
      <c r="A1909" t="str">
        <f t="shared" ca="1" si="642"/>
        <v/>
      </c>
      <c r="B1909">
        <f t="shared" si="643"/>
        <v>24</v>
      </c>
      <c r="C1909">
        <f t="shared" ca="1" si="641"/>
        <v>21</v>
      </c>
      <c r="D1909" t="str">
        <f t="shared" si="644"/>
        <v>H24</v>
      </c>
      <c r="E1909" t="str">
        <f t="shared" ca="1" si="645"/>
        <v/>
      </c>
      <c r="F1909" t="str">
        <f t="shared" ca="1" si="646"/>
        <v xml:space="preserve">Enter a 'Square Footage of Employee Units' for  building 21 in cell H24.
</v>
      </c>
      <c r="G1909" s="9" t="str">
        <f t="shared" ca="1" si="639"/>
        <v xml:space="preserve">Enter a value for 'Number of Floors in the Tallest Building' in cell B60.
</v>
      </c>
      <c r="H1909" s="52" t="str">
        <f t="shared" ca="1" si="647"/>
        <v>Square Footage of Employee Units</v>
      </c>
      <c r="I1909" s="52">
        <v>8</v>
      </c>
    </row>
    <row r="1910" spans="1:10" ht="15" customHeight="1">
      <c r="A1910" t="str">
        <f t="shared" ca="1" si="642"/>
        <v/>
      </c>
      <c r="B1910">
        <f t="shared" si="643"/>
        <v>24</v>
      </c>
      <c r="C1910">
        <f t="shared" ca="1" si="641"/>
        <v>21</v>
      </c>
      <c r="D1910" t="str">
        <f t="shared" si="644"/>
        <v>I24</v>
      </c>
      <c r="E1910" t="str">
        <f t="shared" ca="1" si="645"/>
        <v/>
      </c>
      <c r="F1910" t="str">
        <f t="shared" ca="1" si="646"/>
        <v xml:space="preserve">Enter a 'Square Footage of Low-Income Units' for  building 21 in cell I24.
</v>
      </c>
      <c r="G1910" s="9" t="str">
        <f t="shared" ca="1" si="639"/>
        <v xml:space="preserve">Enter a value for 'Number of Floors in the Tallest Building' in cell B60.
</v>
      </c>
      <c r="H1910" s="52" t="str">
        <f t="shared" ca="1" si="647"/>
        <v>Square Footage of Low-Income Units</v>
      </c>
      <c r="I1910" s="52">
        <v>9</v>
      </c>
    </row>
    <row r="1911" spans="1:10" ht="15" customHeight="1">
      <c r="A1911" t="str">
        <f t="shared" ca="1" si="642"/>
        <v/>
      </c>
      <c r="B1911">
        <f t="shared" si="643"/>
        <v>24</v>
      </c>
      <c r="C1911">
        <f t="shared" ca="1" si="641"/>
        <v>21</v>
      </c>
      <c r="D1911" t="str">
        <f t="shared" si="644"/>
        <v>J24</v>
      </c>
      <c r="E1911" t="str">
        <f t="shared" ca="1" si="645"/>
        <v/>
      </c>
      <c r="F1911" t="str">
        <f t="shared" ca="1" si="646"/>
        <v xml:space="preserve">Enter a 'Placed-In-Service Date' for  building 21 in cell J24.
</v>
      </c>
      <c r="G1911" s="9" t="str">
        <f t="shared" ca="1" si="639"/>
        <v xml:space="preserve">Enter a value for 'Number of Floors in the Tallest Building' in cell B60.
</v>
      </c>
      <c r="H1911" s="52" t="str">
        <f t="shared" ca="1" si="647"/>
        <v>Placed-In-Service Date</v>
      </c>
      <c r="I1911" s="52">
        <v>10</v>
      </c>
    </row>
    <row r="1912" spans="1:10" ht="15" customHeight="1">
      <c r="A1912" t="str">
        <f t="shared" ca="1" si="642"/>
        <v/>
      </c>
      <c r="B1912">
        <f t="shared" si="643"/>
        <v>24</v>
      </c>
      <c r="C1912">
        <f t="shared" ca="1" si="641"/>
        <v>21</v>
      </c>
      <c r="D1912" t="str">
        <f t="shared" si="644"/>
        <v>K24</v>
      </c>
      <c r="E1912" t="str">
        <f t="shared" ca="1" si="645"/>
        <v/>
      </c>
      <c r="F1912" t="str">
        <f t="shared" ca="1" si="646"/>
        <v xml:space="preserve">Enter a 'New Construction/ Rehab APR' for  building 21 in cell K24.
</v>
      </c>
      <c r="G1912" s="9" t="str">
        <f t="shared" ca="1" si="639"/>
        <v xml:space="preserve">Enter a value for 'Number of Floors in the Tallest Building' in cell B60.
</v>
      </c>
      <c r="H1912" s="52" t="str">
        <f t="shared" ca="1" si="647"/>
        <v>New Construction/ Rehab APR</v>
      </c>
      <c r="I1912" s="52">
        <v>11</v>
      </c>
    </row>
    <row r="1913" spans="1:10" ht="15" customHeight="1">
      <c r="A1913" t="str">
        <f t="shared" ca="1" si="642"/>
        <v/>
      </c>
      <c r="B1913">
        <f t="shared" si="643"/>
        <v>24</v>
      </c>
      <c r="C1913">
        <f t="shared" ca="1" si="641"/>
        <v>21</v>
      </c>
      <c r="D1913" t="str">
        <f t="shared" si="644"/>
        <v>L24</v>
      </c>
      <c r="E1913" t="str">
        <f t="shared" ca="1" si="645"/>
        <v/>
      </c>
      <c r="F1913" t="str">
        <f t="shared" ca="1" si="646"/>
        <v xml:space="preserve">Enter a 'New Construction Eligible Basis' for  building 21 in cell L24.
</v>
      </c>
      <c r="G1913" s="9" t="str">
        <f t="shared" ca="1" si="639"/>
        <v xml:space="preserve">Enter a value for 'Number of Floors in the Tallest Building' in cell B60.
</v>
      </c>
      <c r="H1913" s="52" t="str">
        <f t="shared" ca="1" si="647"/>
        <v>New Construction Eligible Basis</v>
      </c>
      <c r="I1913" s="52">
        <v>12</v>
      </c>
    </row>
    <row r="1914" spans="1:10" ht="15" customHeight="1">
      <c r="A1914" t="str">
        <f ca="1">IF(AND(OFFSET(A1914, -I1914 + 2, 4) &gt;  0, E1914="", Calculations!$B$7), F1914, "")</f>
        <v/>
      </c>
      <c r="B1914">
        <f t="shared" si="643"/>
        <v>24</v>
      </c>
      <c r="C1914">
        <f t="shared" ca="1" si="641"/>
        <v>21</v>
      </c>
      <c r="D1914" t="str">
        <f t="shared" si="644"/>
        <v>M24</v>
      </c>
      <c r="E1914" t="str">
        <f t="shared" ca="1" si="645"/>
        <v/>
      </c>
      <c r="F1914" t="str">
        <f t="shared" ca="1" si="646"/>
        <v xml:space="preserve">Enter a 'Eligible Basis for Rehab' for  building 21 in cell M24.
</v>
      </c>
      <c r="G1914" s="9" t="str">
        <f t="shared" ca="1" si="639"/>
        <v xml:space="preserve">Enter a value for 'Number of Floors in the Tallest Building' in cell B60.
</v>
      </c>
      <c r="H1914" s="52" t="str">
        <f t="shared" ca="1" si="647"/>
        <v>Eligible Basis for Rehab</v>
      </c>
      <c r="I1914" s="52">
        <v>13</v>
      </c>
    </row>
    <row r="1915" spans="1:10" ht="15" customHeight="1">
      <c r="A1915" t="str">
        <f ca="1">IF(AND(OFFSET(A1915, -I1915 + 2, 4) &gt;  0, E1915="", Calculations!$B$7), F1915, "")</f>
        <v/>
      </c>
      <c r="B1915">
        <f t="shared" si="643"/>
        <v>24</v>
      </c>
      <c r="C1915">
        <f t="shared" ca="1" si="641"/>
        <v>21</v>
      </c>
      <c r="D1915" t="str">
        <f t="shared" si="644"/>
        <v>N24</v>
      </c>
      <c r="E1915" t="str">
        <f t="shared" ca="1" si="645"/>
        <v/>
      </c>
      <c r="F1915" t="str">
        <f t="shared" ca="1" si="646"/>
        <v xml:space="preserve">Enter a 'Cost of Acquiring the Building***' for  building 21 in cell N24.
</v>
      </c>
      <c r="G1915" s="9" t="str">
        <f t="shared" ca="1" si="639"/>
        <v xml:space="preserve">Enter a value for 'Number of Floors in the Tallest Building' in cell B60.
</v>
      </c>
      <c r="H1915" s="52" t="str">
        <f t="shared" ca="1" si="647"/>
        <v>Cost of Acquiring the Building***</v>
      </c>
      <c r="I1915" s="52">
        <v>14</v>
      </c>
    </row>
    <row r="1916" spans="1:10" ht="15" customHeight="1">
      <c r="A1916" t="str">
        <f ca="1">IF(AND(OFFSET(A1916, -I1916 + 2, 4) &gt;  0, E1916="", Calculations!$B$7), F1916, "")</f>
        <v/>
      </c>
      <c r="B1916">
        <f t="shared" si="643"/>
        <v>24</v>
      </c>
      <c r="C1916">
        <f t="shared" ca="1" si="641"/>
        <v>21</v>
      </c>
      <c r="D1916" t="str">
        <f t="shared" si="644"/>
        <v>O24</v>
      </c>
      <c r="E1916" t="str">
        <f t="shared" ca="1" si="645"/>
        <v/>
      </c>
      <c r="F1916" t="str">
        <f t="shared" ca="1" si="646"/>
        <v xml:space="preserve">Enter a 'Higher of Land Purchase Price or Land Appraised Value****' for  building 21 in cell O24.
</v>
      </c>
      <c r="G1916" s="9" t="str">
        <f t="shared" ca="1" si="639"/>
        <v xml:space="preserve">Enter a value for 'Number of Floors in the Tallest Building' in cell B60.
</v>
      </c>
      <c r="H1916" s="52" t="str">
        <f t="shared" ca="1" si="647"/>
        <v>Higher of Land Purchase Price or Land Appraised Value****</v>
      </c>
      <c r="I1916" s="52">
        <v>15</v>
      </c>
    </row>
    <row r="1917" spans="1:10" ht="15" customHeight="1">
      <c r="A1917" t="str">
        <f ca="1">IF(AND(OFFSET(A1917, -I1917 + 2, 4) &gt;  0, E1917="", Calculations!$B$7), F1917, "")</f>
        <v/>
      </c>
      <c r="B1917">
        <f t="shared" si="643"/>
        <v>24</v>
      </c>
      <c r="C1917">
        <f t="shared" ca="1" si="641"/>
        <v>21</v>
      </c>
      <c r="D1917" t="str">
        <f t="shared" si="644"/>
        <v>P24</v>
      </c>
      <c r="E1917" t="str">
        <f t="shared" ca="1" si="645"/>
        <v/>
      </c>
      <c r="F1917" t="str">
        <f t="shared" ca="1" si="646"/>
        <v xml:space="preserve">Enter a 'Acquisition Placed-in-Service Date' for  building 21 in cell P24.
</v>
      </c>
      <c r="G1917" s="9" t="str">
        <f t="shared" ca="1" si="639"/>
        <v xml:space="preserve">Enter a value for 'Number of Floors in the Tallest Building' in cell B60.
</v>
      </c>
      <c r="H1917" s="52" t="str">
        <f t="shared" ca="1" si="647"/>
        <v>Acquisition Placed-in-Service Date</v>
      </c>
      <c r="I1917" s="52">
        <v>16</v>
      </c>
    </row>
    <row r="1918" spans="1:10" ht="15" customHeight="1">
      <c r="A1918" t="str">
        <f ca="1">IF(AND(OFFSET(A1918, -I1918 + 2, 4) &gt;  0, E1918="", Calculations!$B$7), F1918, "")</f>
        <v/>
      </c>
      <c r="B1918">
        <f t="shared" si="643"/>
        <v>24</v>
      </c>
      <c r="C1918">
        <f t="shared" ca="1" si="641"/>
        <v>21</v>
      </c>
      <c r="D1918" t="str">
        <f t="shared" si="644"/>
        <v>Q24</v>
      </c>
      <c r="E1918" t="str">
        <f t="shared" ca="1" si="645"/>
        <v/>
      </c>
      <c r="F1918" t="str">
        <f t="shared" ca="1" si="646"/>
        <v xml:space="preserve">Enter a 'Acquisition APR' for  building 21 in cell Q24.
</v>
      </c>
      <c r="G1918" s="9" t="str">
        <f t="shared" ca="1" si="639"/>
        <v xml:space="preserve">Enter a value for 'Number of Floors in the Tallest Building' in cell B60.
</v>
      </c>
      <c r="H1918" s="52" t="str">
        <f t="shared" ca="1" si="647"/>
        <v>Acquisition APR</v>
      </c>
      <c r="I1918" s="52">
        <v>17</v>
      </c>
    </row>
    <row r="1919" spans="1:10" ht="15" customHeight="1">
      <c r="A1919" t="str">
        <f ca="1">IF(AND(Calculations!$B$4,Calculations!$B$29&gt;=C1919, E1919 &lt;&gt; 13),F1919,"")</f>
        <v/>
      </c>
      <c r="B1919">
        <f>ROW('Final Building Profile'!C25)</f>
        <v>25</v>
      </c>
      <c r="C1919">
        <f t="shared" ca="1" si="641"/>
        <v>22</v>
      </c>
      <c r="D1919" t="str">
        <f>ADDRESS(B1919, 3,4  )</f>
        <v>C25</v>
      </c>
      <c r="E1919" s="52">
        <f ca="1">H1919+I1919</f>
        <v>0</v>
      </c>
      <c r="F1919" t="str">
        <f ca="1">CONCATENATE("Based upon the number of buildings specified, information for  building ", C1919, " required for a final application in row ", B1919, ".", CHAR(10))</f>
        <v xml:space="preserve">Based upon the number of buildings specified, information for  building 22 required for a final application in row 25.
</v>
      </c>
      <c r="G1919" s="9" t="str">
        <f t="shared" ca="1" si="639"/>
        <v xml:space="preserve">Enter a value for 'Number of Floors in the Tallest Building' in cell B60.
</v>
      </c>
      <c r="H1919" s="52">
        <f ca="1">SUMPRODUCT(--ISTEXT(INDIRECT(J1919)))</f>
        <v>0</v>
      </c>
      <c r="I1919" s="52">
        <f ca="1">SUMPRODUCT(--ISNUMBER(INDIRECT(J1919)))</f>
        <v>0</v>
      </c>
      <c r="J1919" s="52" t="str">
        <f>$F$1565&amp; ADDRESS(B1919,3,4) &amp; ":" &amp; ADDRESS(B1919,15,4)</f>
        <v>'Final Building Profile'!C25:O25</v>
      </c>
    </row>
    <row r="1920" spans="1:10" ht="15" customHeight="1">
      <c r="A1920" t="str">
        <f t="shared" ref="A1920:A1929" ca="1" si="648">IF(AND(OFFSET(A1920, -I1920 + 2, 4) &gt;  0, E1920=""), F1920, "")</f>
        <v/>
      </c>
      <c r="B1920">
        <f t="shared" ref="B1920:B1934" si="649">B1919</f>
        <v>25</v>
      </c>
      <c r="C1920">
        <f t="shared" ca="1" si="641"/>
        <v>22</v>
      </c>
      <c r="D1920" t="str">
        <f t="shared" ref="D1920:D1934" si="650">ADDRESS(B1920, I1920,4  )</f>
        <v>C25</v>
      </c>
      <c r="E1920" t="str">
        <f t="shared" ref="E1920:E1934" ca="1" si="651">IF(ISBLANK( INDIRECT($F$1565 &amp; D1920)),"", INDIRECT($F$1565 &amp; D1920))</f>
        <v/>
      </c>
      <c r="F1920" t="str">
        <f t="shared" ref="F1920:F1934" ca="1" si="652">CONCATENATE("Enter a '"&amp; H1920 &amp;"' for  building ", C1920, " in cell ", D1920, ".", CHAR(10))</f>
        <v xml:space="preserve">Enter a 'Building Street Address Only 
(DO NOT ENTER CITY, STATE, OR ZIP)' for  building 22 in cell C25.
</v>
      </c>
      <c r="G1920" s="9" t="str">
        <f t="shared" ca="1" si="639"/>
        <v xml:space="preserve">Enter a value for 'Number of Floors in the Tallest Building' in cell B60.
</v>
      </c>
      <c r="H1920" s="52" t="str">
        <f t="shared" ref="H1920:H1934" ca="1" si="653">OFFSET(INDIRECT($F$1565 &amp; D1920), -B1920 + 3, 0)</f>
        <v>Building Street Address Only 
(DO NOT ENTER CITY, STATE, OR ZIP)</v>
      </c>
      <c r="I1920" s="52">
        <v>3</v>
      </c>
    </row>
    <row r="1921" spans="1:10" ht="15" customHeight="1">
      <c r="A1921" t="str">
        <f t="shared" ca="1" si="648"/>
        <v/>
      </c>
      <c r="B1921">
        <f t="shared" si="649"/>
        <v>25</v>
      </c>
      <c r="C1921">
        <f t="shared" ca="1" si="641"/>
        <v>22</v>
      </c>
      <c r="D1921" t="str">
        <f t="shared" si="650"/>
        <v>D25</v>
      </c>
      <c r="E1921" t="str">
        <f t="shared" ca="1" si="651"/>
        <v/>
      </c>
      <c r="F1921" t="str">
        <f t="shared" ca="1" si="652"/>
        <v xml:space="preserve">Enter a 'Total Units in Building*' for  building 22 in cell D25.
</v>
      </c>
      <c r="G1921" s="9" t="str">
        <f t="shared" ca="1" si="639"/>
        <v xml:space="preserve">Enter a value for 'Number of Floors in the Tallest Building' in cell B60.
</v>
      </c>
      <c r="H1921" s="52" t="str">
        <f t="shared" ca="1" si="653"/>
        <v>Total Units in Building*</v>
      </c>
      <c r="I1921" s="52">
        <v>4</v>
      </c>
    </row>
    <row r="1922" spans="1:10" ht="15" customHeight="1">
      <c r="A1922" t="str">
        <f t="shared" ca="1" si="648"/>
        <v/>
      </c>
      <c r="B1922">
        <f t="shared" si="649"/>
        <v>25</v>
      </c>
      <c r="C1922">
        <f t="shared" ca="1" si="641"/>
        <v>22</v>
      </c>
      <c r="D1922" t="str">
        <f t="shared" si="650"/>
        <v>E25</v>
      </c>
      <c r="E1922" t="str">
        <f t="shared" ca="1" si="651"/>
        <v/>
      </c>
      <c r="F1922" t="str">
        <f t="shared" ca="1" si="652"/>
        <v xml:space="preserve">Enter a 'Employee Units' for  building 22 in cell E25.
</v>
      </c>
      <c r="G1922" s="9" t="str">
        <f t="shared" ca="1" si="639"/>
        <v xml:space="preserve">Enter a value for 'Number of Floors in the Tallest Building' in cell B60.
</v>
      </c>
      <c r="H1922" s="52" t="str">
        <f t="shared" ca="1" si="653"/>
        <v>Employee Units</v>
      </c>
      <c r="I1922" s="52">
        <v>5</v>
      </c>
    </row>
    <row r="1923" spans="1:10" ht="15" customHeight="1">
      <c r="A1923" t="str">
        <f t="shared" ca="1" si="648"/>
        <v/>
      </c>
      <c r="B1923">
        <f t="shared" si="649"/>
        <v>25</v>
      </c>
      <c r="C1923">
        <f t="shared" ca="1" si="641"/>
        <v>22</v>
      </c>
      <c r="D1923" t="str">
        <f t="shared" si="650"/>
        <v>F25</v>
      </c>
      <c r="E1923" t="str">
        <f t="shared" ca="1" si="651"/>
        <v/>
      </c>
      <c r="F1923" t="str">
        <f t="shared" ca="1" si="652"/>
        <v xml:space="preserve">Enter a 'Low-Income Units' for  building 22 in cell F25.
</v>
      </c>
      <c r="G1923" s="9" t="str">
        <f t="shared" ca="1" si="639"/>
        <v xml:space="preserve">Enter a value for 'Number of Floors in the Tallest Building' in cell B60.
</v>
      </c>
      <c r="H1923" s="52" t="str">
        <f t="shared" ca="1" si="653"/>
        <v>Low-Income Units</v>
      </c>
      <c r="I1923" s="52">
        <v>6</v>
      </c>
    </row>
    <row r="1924" spans="1:10" ht="15" customHeight="1">
      <c r="A1924" t="str">
        <f t="shared" ca="1" si="648"/>
        <v/>
      </c>
      <c r="B1924">
        <f t="shared" si="649"/>
        <v>25</v>
      </c>
      <c r="C1924">
        <f t="shared" ca="1" si="641"/>
        <v>22</v>
      </c>
      <c r="D1924" t="str">
        <f t="shared" si="650"/>
        <v>G25</v>
      </c>
      <c r="E1924" t="str">
        <f t="shared" ca="1" si="651"/>
        <v/>
      </c>
      <c r="F1924" t="str">
        <f t="shared" ca="1" si="652"/>
        <v xml:space="preserve">Enter a 'Residential Square Footage**' for  building 22 in cell G25.
</v>
      </c>
      <c r="G1924" s="9" t="str">
        <f t="shared" ca="1" si="639"/>
        <v xml:space="preserve">Enter a value for 'Number of Floors in the Tallest Building' in cell B60.
</v>
      </c>
      <c r="H1924" s="52" t="str">
        <f t="shared" ca="1" si="653"/>
        <v>Residential Square Footage**</v>
      </c>
      <c r="I1924" s="52">
        <v>7</v>
      </c>
    </row>
    <row r="1925" spans="1:10" ht="15" customHeight="1">
      <c r="A1925" t="str">
        <f t="shared" ca="1" si="648"/>
        <v/>
      </c>
      <c r="B1925">
        <f t="shared" si="649"/>
        <v>25</v>
      </c>
      <c r="C1925">
        <f t="shared" ca="1" si="641"/>
        <v>22</v>
      </c>
      <c r="D1925" t="str">
        <f t="shared" si="650"/>
        <v>H25</v>
      </c>
      <c r="E1925" t="str">
        <f t="shared" ca="1" si="651"/>
        <v/>
      </c>
      <c r="F1925" t="str">
        <f t="shared" ca="1" si="652"/>
        <v xml:space="preserve">Enter a 'Square Footage of Employee Units' for  building 22 in cell H25.
</v>
      </c>
      <c r="G1925" s="9" t="str">
        <f t="shared" ca="1" si="639"/>
        <v xml:space="preserve">Enter a value for 'Number of Floors in the Tallest Building' in cell B60.
</v>
      </c>
      <c r="H1925" s="52" t="str">
        <f t="shared" ca="1" si="653"/>
        <v>Square Footage of Employee Units</v>
      </c>
      <c r="I1925" s="52">
        <v>8</v>
      </c>
    </row>
    <row r="1926" spans="1:10" ht="15" customHeight="1">
      <c r="A1926" t="str">
        <f t="shared" ca="1" si="648"/>
        <v/>
      </c>
      <c r="B1926">
        <f t="shared" si="649"/>
        <v>25</v>
      </c>
      <c r="C1926">
        <f t="shared" ca="1" si="641"/>
        <v>22</v>
      </c>
      <c r="D1926" t="str">
        <f t="shared" si="650"/>
        <v>I25</v>
      </c>
      <c r="E1926" t="str">
        <f t="shared" ca="1" si="651"/>
        <v/>
      </c>
      <c r="F1926" t="str">
        <f t="shared" ca="1" si="652"/>
        <v xml:space="preserve">Enter a 'Square Footage of Low-Income Units' for  building 22 in cell I25.
</v>
      </c>
      <c r="G1926" s="9" t="str">
        <f t="shared" ca="1" si="639"/>
        <v xml:space="preserve">Enter a value for 'Number of Floors in the Tallest Building' in cell B60.
</v>
      </c>
      <c r="H1926" s="52" t="str">
        <f t="shared" ca="1" si="653"/>
        <v>Square Footage of Low-Income Units</v>
      </c>
      <c r="I1926" s="52">
        <v>9</v>
      </c>
    </row>
    <row r="1927" spans="1:10" ht="15" customHeight="1">
      <c r="A1927" t="str">
        <f t="shared" ca="1" si="648"/>
        <v/>
      </c>
      <c r="B1927">
        <f t="shared" si="649"/>
        <v>25</v>
      </c>
      <c r="C1927">
        <f t="shared" ca="1" si="641"/>
        <v>22</v>
      </c>
      <c r="D1927" t="str">
        <f t="shared" si="650"/>
        <v>J25</v>
      </c>
      <c r="E1927" t="str">
        <f t="shared" ca="1" si="651"/>
        <v/>
      </c>
      <c r="F1927" t="str">
        <f t="shared" ca="1" si="652"/>
        <v xml:space="preserve">Enter a 'Placed-In-Service Date' for  building 22 in cell J25.
</v>
      </c>
      <c r="G1927" s="9" t="str">
        <f t="shared" ca="1" si="639"/>
        <v xml:space="preserve">Enter a value for 'Number of Floors in the Tallest Building' in cell B60.
</v>
      </c>
      <c r="H1927" s="52" t="str">
        <f t="shared" ca="1" si="653"/>
        <v>Placed-In-Service Date</v>
      </c>
      <c r="I1927" s="52">
        <v>10</v>
      </c>
    </row>
    <row r="1928" spans="1:10" ht="15" customHeight="1">
      <c r="A1928" t="str">
        <f t="shared" ca="1" si="648"/>
        <v/>
      </c>
      <c r="B1928">
        <f t="shared" si="649"/>
        <v>25</v>
      </c>
      <c r="C1928">
        <f t="shared" ca="1" si="641"/>
        <v>22</v>
      </c>
      <c r="D1928" t="str">
        <f t="shared" si="650"/>
        <v>K25</v>
      </c>
      <c r="E1928" t="str">
        <f t="shared" ca="1" si="651"/>
        <v/>
      </c>
      <c r="F1928" t="str">
        <f t="shared" ca="1" si="652"/>
        <v xml:space="preserve">Enter a 'New Construction/ Rehab APR' for  building 22 in cell K25.
</v>
      </c>
      <c r="G1928" s="9" t="str">
        <f t="shared" ca="1" si="639"/>
        <v xml:space="preserve">Enter a value for 'Number of Floors in the Tallest Building' in cell B60.
</v>
      </c>
      <c r="H1928" s="52" t="str">
        <f t="shared" ca="1" si="653"/>
        <v>New Construction/ Rehab APR</v>
      </c>
      <c r="I1928" s="52">
        <v>11</v>
      </c>
    </row>
    <row r="1929" spans="1:10" ht="15" customHeight="1">
      <c r="A1929" t="str">
        <f t="shared" ca="1" si="648"/>
        <v/>
      </c>
      <c r="B1929">
        <f t="shared" si="649"/>
        <v>25</v>
      </c>
      <c r="C1929">
        <f t="shared" ca="1" si="641"/>
        <v>22</v>
      </c>
      <c r="D1929" t="str">
        <f t="shared" si="650"/>
        <v>L25</v>
      </c>
      <c r="E1929" t="str">
        <f t="shared" ca="1" si="651"/>
        <v/>
      </c>
      <c r="F1929" t="str">
        <f t="shared" ca="1" si="652"/>
        <v xml:space="preserve">Enter a 'New Construction Eligible Basis' for  building 22 in cell L25.
</v>
      </c>
      <c r="G1929" s="9" t="str">
        <f t="shared" ca="1" si="639"/>
        <v xml:space="preserve">Enter a value for 'Number of Floors in the Tallest Building' in cell B60.
</v>
      </c>
      <c r="H1929" s="52" t="str">
        <f t="shared" ca="1" si="653"/>
        <v>New Construction Eligible Basis</v>
      </c>
      <c r="I1929" s="52">
        <v>12</v>
      </c>
    </row>
    <row r="1930" spans="1:10" ht="15" customHeight="1">
      <c r="A1930" t="str">
        <f ca="1">IF(AND(OFFSET(A1930, -I1930 + 2, 4) &gt;  0, E1930="", Calculations!$B$7), F1930, "")</f>
        <v/>
      </c>
      <c r="B1930">
        <f t="shared" si="649"/>
        <v>25</v>
      </c>
      <c r="C1930">
        <f t="shared" ca="1" si="641"/>
        <v>22</v>
      </c>
      <c r="D1930" t="str">
        <f t="shared" si="650"/>
        <v>M25</v>
      </c>
      <c r="E1930" t="str">
        <f t="shared" ca="1" si="651"/>
        <v/>
      </c>
      <c r="F1930" t="str">
        <f t="shared" ca="1" si="652"/>
        <v xml:space="preserve">Enter a 'Eligible Basis for Rehab' for  building 22 in cell M25.
</v>
      </c>
      <c r="G1930" s="9" t="str">
        <f t="shared" ca="1" si="639"/>
        <v xml:space="preserve">Enter a value for 'Number of Floors in the Tallest Building' in cell B60.
</v>
      </c>
      <c r="H1930" s="52" t="str">
        <f t="shared" ca="1" si="653"/>
        <v>Eligible Basis for Rehab</v>
      </c>
      <c r="I1930" s="52">
        <v>13</v>
      </c>
    </row>
    <row r="1931" spans="1:10" ht="15" customHeight="1">
      <c r="A1931" t="str">
        <f ca="1">IF(AND(OFFSET(A1931, -I1931 + 2, 4) &gt;  0, E1931="", Calculations!$B$7), F1931, "")</f>
        <v/>
      </c>
      <c r="B1931">
        <f t="shared" si="649"/>
        <v>25</v>
      </c>
      <c r="C1931">
        <f t="shared" ca="1" si="641"/>
        <v>22</v>
      </c>
      <c r="D1931" t="str">
        <f t="shared" si="650"/>
        <v>N25</v>
      </c>
      <c r="E1931" t="str">
        <f t="shared" ca="1" si="651"/>
        <v/>
      </c>
      <c r="F1931" t="str">
        <f t="shared" ca="1" si="652"/>
        <v xml:space="preserve">Enter a 'Cost of Acquiring the Building***' for  building 22 in cell N25.
</v>
      </c>
      <c r="G1931" s="9" t="str">
        <f t="shared" ca="1" si="639"/>
        <v xml:space="preserve">Enter a value for 'Number of Floors in the Tallest Building' in cell B60.
</v>
      </c>
      <c r="H1931" s="52" t="str">
        <f t="shared" ca="1" si="653"/>
        <v>Cost of Acquiring the Building***</v>
      </c>
      <c r="I1931" s="52">
        <v>14</v>
      </c>
    </row>
    <row r="1932" spans="1:10" ht="15" customHeight="1">
      <c r="A1932" t="str">
        <f ca="1">IF(AND(OFFSET(A1932, -I1932 + 2, 4) &gt;  0, E1932="", Calculations!$B$7), F1932, "")</f>
        <v/>
      </c>
      <c r="B1932">
        <f t="shared" si="649"/>
        <v>25</v>
      </c>
      <c r="C1932">
        <f t="shared" ca="1" si="641"/>
        <v>22</v>
      </c>
      <c r="D1932" t="str">
        <f t="shared" si="650"/>
        <v>O25</v>
      </c>
      <c r="E1932" t="str">
        <f t="shared" ca="1" si="651"/>
        <v/>
      </c>
      <c r="F1932" t="str">
        <f t="shared" ca="1" si="652"/>
        <v xml:space="preserve">Enter a 'Higher of Land Purchase Price or Land Appraised Value****' for  building 22 in cell O25.
</v>
      </c>
      <c r="G1932" s="9" t="str">
        <f t="shared" ca="1" si="639"/>
        <v xml:space="preserve">Enter a value for 'Number of Floors in the Tallest Building' in cell B60.
</v>
      </c>
      <c r="H1932" s="52" t="str">
        <f t="shared" ca="1" si="653"/>
        <v>Higher of Land Purchase Price or Land Appraised Value****</v>
      </c>
      <c r="I1932" s="52">
        <v>15</v>
      </c>
    </row>
    <row r="1933" spans="1:10" ht="15" customHeight="1">
      <c r="A1933" t="str">
        <f ca="1">IF(AND(OFFSET(A1933, -I1933 + 2, 4) &gt;  0, E1933="", Calculations!$B$7), F1933, "")</f>
        <v/>
      </c>
      <c r="B1933">
        <f t="shared" si="649"/>
        <v>25</v>
      </c>
      <c r="C1933">
        <f t="shared" ca="1" si="641"/>
        <v>22</v>
      </c>
      <c r="D1933" t="str">
        <f t="shared" si="650"/>
        <v>P25</v>
      </c>
      <c r="E1933" t="str">
        <f t="shared" ca="1" si="651"/>
        <v/>
      </c>
      <c r="F1933" t="str">
        <f t="shared" ca="1" si="652"/>
        <v xml:space="preserve">Enter a 'Acquisition Placed-in-Service Date' for  building 22 in cell P25.
</v>
      </c>
      <c r="G1933" s="9" t="str">
        <f t="shared" ca="1" si="639"/>
        <v xml:space="preserve">Enter a value for 'Number of Floors in the Tallest Building' in cell B60.
</v>
      </c>
      <c r="H1933" s="52" t="str">
        <f t="shared" ca="1" si="653"/>
        <v>Acquisition Placed-in-Service Date</v>
      </c>
      <c r="I1933" s="52">
        <v>16</v>
      </c>
    </row>
    <row r="1934" spans="1:10" ht="15" customHeight="1">
      <c r="A1934" t="str">
        <f ca="1">IF(AND(OFFSET(A1934, -I1934 + 2, 4) &gt;  0, E1934="", Calculations!$B$7), F1934, "")</f>
        <v/>
      </c>
      <c r="B1934">
        <f t="shared" si="649"/>
        <v>25</v>
      </c>
      <c r="C1934">
        <f t="shared" ca="1" si="641"/>
        <v>22</v>
      </c>
      <c r="D1934" t="str">
        <f t="shared" si="650"/>
        <v>Q25</v>
      </c>
      <c r="E1934" t="str">
        <f t="shared" ca="1" si="651"/>
        <v/>
      </c>
      <c r="F1934" t="str">
        <f t="shared" ca="1" si="652"/>
        <v xml:space="preserve">Enter a 'Acquisition APR' for  building 22 in cell Q25.
</v>
      </c>
      <c r="G1934" s="9" t="str">
        <f t="shared" ca="1" si="639"/>
        <v xml:space="preserve">Enter a value for 'Number of Floors in the Tallest Building' in cell B60.
</v>
      </c>
      <c r="H1934" s="52" t="str">
        <f t="shared" ca="1" si="653"/>
        <v>Acquisition APR</v>
      </c>
      <c r="I1934" s="52">
        <v>17</v>
      </c>
    </row>
    <row r="1935" spans="1:10" ht="15" customHeight="1">
      <c r="A1935" t="str">
        <f ca="1">IF(AND(Calculations!$B$4,Calculations!$B$29&gt;=C1935, E1935 &lt;&gt; 13),F1935,"")</f>
        <v/>
      </c>
      <c r="B1935">
        <f>ROW('Final Building Profile'!C26)</f>
        <v>26</v>
      </c>
      <c r="C1935">
        <f t="shared" ca="1" si="641"/>
        <v>23</v>
      </c>
      <c r="D1935" t="str">
        <f>ADDRESS(B1935, 3,4  )</f>
        <v>C26</v>
      </c>
      <c r="E1935" s="52">
        <f ca="1">H1935+I1935</f>
        <v>0</v>
      </c>
      <c r="F1935" t="str">
        <f ca="1">CONCATENATE("Based upon the number of buildings specified, information for  building ", C1935, " required for a final application in row ", B1935, ".", CHAR(10))</f>
        <v xml:space="preserve">Based upon the number of buildings specified, information for  building 23 required for a final application in row 26.
</v>
      </c>
      <c r="G1935" s="9" t="str">
        <f t="shared" ca="1" si="639"/>
        <v xml:space="preserve">Enter a value for 'Number of Floors in the Tallest Building' in cell B60.
</v>
      </c>
      <c r="H1935" s="52">
        <f ca="1">SUMPRODUCT(--ISTEXT(INDIRECT(J1935)))</f>
        <v>0</v>
      </c>
      <c r="I1935" s="52">
        <f ca="1">SUMPRODUCT(--ISNUMBER(INDIRECT(J1935)))</f>
        <v>0</v>
      </c>
      <c r="J1935" s="52" t="str">
        <f>$F$1565&amp; ADDRESS(B1935,3,4) &amp; ":" &amp; ADDRESS(B1935,15,4)</f>
        <v>'Final Building Profile'!C26:O26</v>
      </c>
    </row>
    <row r="1936" spans="1:10" ht="15" customHeight="1">
      <c r="A1936" t="str">
        <f t="shared" ref="A1936:A1945" ca="1" si="654">IF(AND(OFFSET(A1936, -I1936 + 2, 4) &gt;  0, E1936=""), F1936, "")</f>
        <v/>
      </c>
      <c r="B1936">
        <f t="shared" ref="B1936:B1950" si="655">B1935</f>
        <v>26</v>
      </c>
      <c r="C1936">
        <f t="shared" ca="1" si="641"/>
        <v>23</v>
      </c>
      <c r="D1936" t="str">
        <f t="shared" ref="D1936:D1950" si="656">ADDRESS(B1936, I1936,4  )</f>
        <v>C26</v>
      </c>
      <c r="E1936" t="str">
        <f t="shared" ref="E1936:E1950" ca="1" si="657">IF(ISBLANK( INDIRECT($F$1565 &amp; D1936)),"", INDIRECT($F$1565 &amp; D1936))</f>
        <v/>
      </c>
      <c r="F1936" t="str">
        <f t="shared" ref="F1936:F1950" ca="1" si="658">CONCATENATE("Enter a '"&amp; H1936 &amp;"' for  building ", C1936, " in cell ", D1936, ".", CHAR(10))</f>
        <v xml:space="preserve">Enter a 'Building Street Address Only 
(DO NOT ENTER CITY, STATE, OR ZIP)' for  building 23 in cell C26.
</v>
      </c>
      <c r="G1936" s="9" t="str">
        <f t="shared" ca="1" si="639"/>
        <v xml:space="preserve">Enter a value for 'Number of Floors in the Tallest Building' in cell B60.
</v>
      </c>
      <c r="H1936" s="52" t="str">
        <f t="shared" ref="H1936:H1950" ca="1" si="659">OFFSET(INDIRECT($F$1565 &amp; D1936), -B1936 + 3, 0)</f>
        <v>Building Street Address Only 
(DO NOT ENTER CITY, STATE, OR ZIP)</v>
      </c>
      <c r="I1936" s="52">
        <v>3</v>
      </c>
    </row>
    <row r="1937" spans="1:10" ht="15" customHeight="1">
      <c r="A1937" t="str">
        <f t="shared" ca="1" si="654"/>
        <v/>
      </c>
      <c r="B1937">
        <f t="shared" si="655"/>
        <v>26</v>
      </c>
      <c r="C1937">
        <f t="shared" ca="1" si="641"/>
        <v>23</v>
      </c>
      <c r="D1937" t="str">
        <f t="shared" si="656"/>
        <v>D26</v>
      </c>
      <c r="E1937" t="str">
        <f t="shared" ca="1" si="657"/>
        <v/>
      </c>
      <c r="F1937" t="str">
        <f t="shared" ca="1" si="658"/>
        <v xml:space="preserve">Enter a 'Total Units in Building*' for  building 23 in cell D26.
</v>
      </c>
      <c r="G1937" s="9" t="str">
        <f t="shared" ca="1" si="639"/>
        <v xml:space="preserve">Enter a value for 'Number of Floors in the Tallest Building' in cell B60.
</v>
      </c>
      <c r="H1937" s="52" t="str">
        <f t="shared" ca="1" si="659"/>
        <v>Total Units in Building*</v>
      </c>
      <c r="I1937" s="52">
        <v>4</v>
      </c>
    </row>
    <row r="1938" spans="1:10" ht="15" customHeight="1">
      <c r="A1938" t="str">
        <f t="shared" ca="1" si="654"/>
        <v/>
      </c>
      <c r="B1938">
        <f t="shared" si="655"/>
        <v>26</v>
      </c>
      <c r="C1938">
        <f t="shared" ca="1" si="641"/>
        <v>23</v>
      </c>
      <c r="D1938" t="str">
        <f t="shared" si="656"/>
        <v>E26</v>
      </c>
      <c r="E1938" t="str">
        <f t="shared" ca="1" si="657"/>
        <v/>
      </c>
      <c r="F1938" t="str">
        <f t="shared" ca="1" si="658"/>
        <v xml:space="preserve">Enter a 'Employee Units' for  building 23 in cell E26.
</v>
      </c>
      <c r="G1938" s="9" t="str">
        <f t="shared" ca="1" si="639"/>
        <v xml:space="preserve">Enter a value for 'Number of Floors in the Tallest Building' in cell B60.
</v>
      </c>
      <c r="H1938" s="52" t="str">
        <f t="shared" ca="1" si="659"/>
        <v>Employee Units</v>
      </c>
      <c r="I1938" s="52">
        <v>5</v>
      </c>
    </row>
    <row r="1939" spans="1:10" ht="15" customHeight="1">
      <c r="A1939" t="str">
        <f t="shared" ca="1" si="654"/>
        <v/>
      </c>
      <c r="B1939">
        <f t="shared" si="655"/>
        <v>26</v>
      </c>
      <c r="C1939">
        <f t="shared" ca="1" si="641"/>
        <v>23</v>
      </c>
      <c r="D1939" t="str">
        <f t="shared" si="656"/>
        <v>F26</v>
      </c>
      <c r="E1939" t="str">
        <f t="shared" ca="1" si="657"/>
        <v/>
      </c>
      <c r="F1939" t="str">
        <f t="shared" ca="1" si="658"/>
        <v xml:space="preserve">Enter a 'Low-Income Units' for  building 23 in cell F26.
</v>
      </c>
      <c r="G1939" s="9" t="str">
        <f t="shared" ca="1" si="639"/>
        <v xml:space="preserve">Enter a value for 'Number of Floors in the Tallest Building' in cell B60.
</v>
      </c>
      <c r="H1939" s="52" t="str">
        <f t="shared" ca="1" si="659"/>
        <v>Low-Income Units</v>
      </c>
      <c r="I1939" s="52">
        <v>6</v>
      </c>
    </row>
    <row r="1940" spans="1:10" ht="15" customHeight="1">
      <c r="A1940" t="str">
        <f t="shared" ca="1" si="654"/>
        <v/>
      </c>
      <c r="B1940">
        <f t="shared" si="655"/>
        <v>26</v>
      </c>
      <c r="C1940">
        <f t="shared" ca="1" si="641"/>
        <v>23</v>
      </c>
      <c r="D1940" t="str">
        <f t="shared" si="656"/>
        <v>G26</v>
      </c>
      <c r="E1940" t="str">
        <f t="shared" ca="1" si="657"/>
        <v/>
      </c>
      <c r="F1940" t="str">
        <f t="shared" ca="1" si="658"/>
        <v xml:space="preserve">Enter a 'Residential Square Footage**' for  building 23 in cell G26.
</v>
      </c>
      <c r="G1940" s="9" t="str">
        <f t="shared" ca="1" si="639"/>
        <v xml:space="preserve">Enter a value for 'Number of Floors in the Tallest Building' in cell B60.
</v>
      </c>
      <c r="H1940" s="52" t="str">
        <f t="shared" ca="1" si="659"/>
        <v>Residential Square Footage**</v>
      </c>
      <c r="I1940" s="52">
        <v>7</v>
      </c>
    </row>
    <row r="1941" spans="1:10" ht="15" customHeight="1">
      <c r="A1941" t="str">
        <f t="shared" ca="1" si="654"/>
        <v/>
      </c>
      <c r="B1941">
        <f t="shared" si="655"/>
        <v>26</v>
      </c>
      <c r="C1941">
        <f t="shared" ca="1" si="641"/>
        <v>23</v>
      </c>
      <c r="D1941" t="str">
        <f t="shared" si="656"/>
        <v>H26</v>
      </c>
      <c r="E1941" t="str">
        <f t="shared" ca="1" si="657"/>
        <v/>
      </c>
      <c r="F1941" t="str">
        <f t="shared" ca="1" si="658"/>
        <v xml:space="preserve">Enter a 'Square Footage of Employee Units' for  building 23 in cell H26.
</v>
      </c>
      <c r="G1941" s="9" t="str">
        <f t="shared" ca="1" si="639"/>
        <v xml:space="preserve">Enter a value for 'Number of Floors in the Tallest Building' in cell B60.
</v>
      </c>
      <c r="H1941" s="52" t="str">
        <f t="shared" ca="1" si="659"/>
        <v>Square Footage of Employee Units</v>
      </c>
      <c r="I1941" s="52">
        <v>8</v>
      </c>
    </row>
    <row r="1942" spans="1:10" ht="15" customHeight="1">
      <c r="A1942" t="str">
        <f t="shared" ca="1" si="654"/>
        <v/>
      </c>
      <c r="B1942">
        <f t="shared" si="655"/>
        <v>26</v>
      </c>
      <c r="C1942">
        <f t="shared" ca="1" si="641"/>
        <v>23</v>
      </c>
      <c r="D1942" t="str">
        <f t="shared" si="656"/>
        <v>I26</v>
      </c>
      <c r="E1942" t="str">
        <f t="shared" ca="1" si="657"/>
        <v/>
      </c>
      <c r="F1942" t="str">
        <f t="shared" ca="1" si="658"/>
        <v xml:space="preserve">Enter a 'Square Footage of Low-Income Units' for  building 23 in cell I26.
</v>
      </c>
      <c r="G1942" s="9" t="str">
        <f t="shared" ca="1" si="639"/>
        <v xml:space="preserve">Enter a value for 'Number of Floors in the Tallest Building' in cell B60.
</v>
      </c>
      <c r="H1942" s="52" t="str">
        <f t="shared" ca="1" si="659"/>
        <v>Square Footage of Low-Income Units</v>
      </c>
      <c r="I1942" s="52">
        <v>9</v>
      </c>
    </row>
    <row r="1943" spans="1:10" ht="15" customHeight="1">
      <c r="A1943" t="str">
        <f t="shared" ca="1" si="654"/>
        <v/>
      </c>
      <c r="B1943">
        <f t="shared" si="655"/>
        <v>26</v>
      </c>
      <c r="C1943">
        <f t="shared" ca="1" si="641"/>
        <v>23</v>
      </c>
      <c r="D1943" t="str">
        <f t="shared" si="656"/>
        <v>J26</v>
      </c>
      <c r="E1943" t="str">
        <f t="shared" ca="1" si="657"/>
        <v/>
      </c>
      <c r="F1943" t="str">
        <f t="shared" ca="1" si="658"/>
        <v xml:space="preserve">Enter a 'Placed-In-Service Date' for  building 23 in cell J26.
</v>
      </c>
      <c r="G1943" s="9" t="str">
        <f t="shared" ca="1" si="639"/>
        <v xml:space="preserve">Enter a value for 'Number of Floors in the Tallest Building' in cell B60.
</v>
      </c>
      <c r="H1943" s="52" t="str">
        <f t="shared" ca="1" si="659"/>
        <v>Placed-In-Service Date</v>
      </c>
      <c r="I1943" s="52">
        <v>10</v>
      </c>
    </row>
    <row r="1944" spans="1:10" ht="15" customHeight="1">
      <c r="A1944" t="str">
        <f t="shared" ca="1" si="654"/>
        <v/>
      </c>
      <c r="B1944">
        <f t="shared" si="655"/>
        <v>26</v>
      </c>
      <c r="C1944">
        <f t="shared" ca="1" si="641"/>
        <v>23</v>
      </c>
      <c r="D1944" t="str">
        <f t="shared" si="656"/>
        <v>K26</v>
      </c>
      <c r="E1944" t="str">
        <f t="shared" ca="1" si="657"/>
        <v/>
      </c>
      <c r="F1944" t="str">
        <f t="shared" ca="1" si="658"/>
        <v xml:space="preserve">Enter a 'New Construction/ Rehab APR' for  building 23 in cell K26.
</v>
      </c>
      <c r="G1944" s="9" t="str">
        <f t="shared" ca="1" si="639"/>
        <v xml:space="preserve">Enter a value for 'Number of Floors in the Tallest Building' in cell B60.
</v>
      </c>
      <c r="H1944" s="52" t="str">
        <f t="shared" ca="1" si="659"/>
        <v>New Construction/ Rehab APR</v>
      </c>
      <c r="I1944" s="52">
        <v>11</v>
      </c>
    </row>
    <row r="1945" spans="1:10" ht="15" customHeight="1">
      <c r="A1945" t="str">
        <f t="shared" ca="1" si="654"/>
        <v/>
      </c>
      <c r="B1945">
        <f t="shared" si="655"/>
        <v>26</v>
      </c>
      <c r="C1945">
        <f t="shared" ca="1" si="641"/>
        <v>23</v>
      </c>
      <c r="D1945" t="str">
        <f t="shared" si="656"/>
        <v>L26</v>
      </c>
      <c r="E1945" t="str">
        <f t="shared" ca="1" si="657"/>
        <v/>
      </c>
      <c r="F1945" t="str">
        <f t="shared" ca="1" si="658"/>
        <v xml:space="preserve">Enter a 'New Construction Eligible Basis' for  building 23 in cell L26.
</v>
      </c>
      <c r="G1945" s="9" t="str">
        <f t="shared" ca="1" si="639"/>
        <v xml:space="preserve">Enter a value for 'Number of Floors in the Tallest Building' in cell B60.
</v>
      </c>
      <c r="H1945" s="52" t="str">
        <f t="shared" ca="1" si="659"/>
        <v>New Construction Eligible Basis</v>
      </c>
      <c r="I1945" s="52">
        <v>12</v>
      </c>
    </row>
    <row r="1946" spans="1:10" ht="15" customHeight="1">
      <c r="A1946" t="str">
        <f ca="1">IF(AND(OFFSET(A1946, -I1946 + 2, 4) &gt;  0, E1946="", Calculations!$B$7), F1946, "")</f>
        <v/>
      </c>
      <c r="B1946">
        <f t="shared" si="655"/>
        <v>26</v>
      </c>
      <c r="C1946">
        <f t="shared" ca="1" si="641"/>
        <v>23</v>
      </c>
      <c r="D1946" t="str">
        <f t="shared" si="656"/>
        <v>M26</v>
      </c>
      <c r="E1946" t="str">
        <f t="shared" ca="1" si="657"/>
        <v/>
      </c>
      <c r="F1946" t="str">
        <f t="shared" ca="1" si="658"/>
        <v xml:space="preserve">Enter a 'Eligible Basis for Rehab' for  building 23 in cell M26.
</v>
      </c>
      <c r="G1946" s="9" t="str">
        <f t="shared" ca="1" si="639"/>
        <v xml:space="preserve">Enter a value for 'Number of Floors in the Tallest Building' in cell B60.
</v>
      </c>
      <c r="H1946" s="52" t="str">
        <f t="shared" ca="1" si="659"/>
        <v>Eligible Basis for Rehab</v>
      </c>
      <c r="I1946" s="52">
        <v>13</v>
      </c>
    </row>
    <row r="1947" spans="1:10" ht="15" customHeight="1">
      <c r="A1947" t="str">
        <f ca="1">IF(AND(OFFSET(A1947, -I1947 + 2, 4) &gt;  0, E1947="", Calculations!$B$7), F1947, "")</f>
        <v/>
      </c>
      <c r="B1947">
        <f t="shared" si="655"/>
        <v>26</v>
      </c>
      <c r="C1947">
        <f t="shared" ca="1" si="641"/>
        <v>23</v>
      </c>
      <c r="D1947" t="str">
        <f t="shared" si="656"/>
        <v>N26</v>
      </c>
      <c r="E1947" t="str">
        <f t="shared" ca="1" si="657"/>
        <v/>
      </c>
      <c r="F1947" t="str">
        <f t="shared" ca="1" si="658"/>
        <v xml:space="preserve">Enter a 'Cost of Acquiring the Building***' for  building 23 in cell N26.
</v>
      </c>
      <c r="G1947" s="9" t="str">
        <f t="shared" ca="1" si="639"/>
        <v xml:space="preserve">Enter a value for 'Number of Floors in the Tallest Building' in cell B60.
</v>
      </c>
      <c r="H1947" s="52" t="str">
        <f t="shared" ca="1" si="659"/>
        <v>Cost of Acquiring the Building***</v>
      </c>
      <c r="I1947" s="52">
        <v>14</v>
      </c>
    </row>
    <row r="1948" spans="1:10" ht="15" customHeight="1">
      <c r="A1948" t="str">
        <f ca="1">IF(AND(OFFSET(A1948, -I1948 + 2, 4) &gt;  0, E1948="", Calculations!$B$7), F1948, "")</f>
        <v/>
      </c>
      <c r="B1948">
        <f t="shared" si="655"/>
        <v>26</v>
      </c>
      <c r="C1948">
        <f t="shared" ca="1" si="641"/>
        <v>23</v>
      </c>
      <c r="D1948" t="str">
        <f t="shared" si="656"/>
        <v>O26</v>
      </c>
      <c r="E1948" t="str">
        <f t="shared" ca="1" si="657"/>
        <v/>
      </c>
      <c r="F1948" t="str">
        <f t="shared" ca="1" si="658"/>
        <v xml:space="preserve">Enter a 'Higher of Land Purchase Price or Land Appraised Value****' for  building 23 in cell O26.
</v>
      </c>
      <c r="G1948" s="9" t="str">
        <f t="shared" ca="1" si="639"/>
        <v xml:space="preserve">Enter a value for 'Number of Floors in the Tallest Building' in cell B60.
</v>
      </c>
      <c r="H1948" s="52" t="str">
        <f t="shared" ca="1" si="659"/>
        <v>Higher of Land Purchase Price or Land Appraised Value****</v>
      </c>
      <c r="I1948" s="52">
        <v>15</v>
      </c>
    </row>
    <row r="1949" spans="1:10" ht="15" customHeight="1">
      <c r="A1949" t="str">
        <f ca="1">IF(AND(OFFSET(A1949, -I1949 + 2, 4) &gt;  0, E1949="", Calculations!$B$7), F1949, "")</f>
        <v/>
      </c>
      <c r="B1949">
        <f t="shared" si="655"/>
        <v>26</v>
      </c>
      <c r="C1949">
        <f t="shared" ca="1" si="641"/>
        <v>23</v>
      </c>
      <c r="D1949" t="str">
        <f t="shared" si="656"/>
        <v>P26</v>
      </c>
      <c r="E1949" t="str">
        <f t="shared" ca="1" si="657"/>
        <v/>
      </c>
      <c r="F1949" t="str">
        <f t="shared" ca="1" si="658"/>
        <v xml:space="preserve">Enter a 'Acquisition Placed-in-Service Date' for  building 23 in cell P26.
</v>
      </c>
      <c r="G1949" s="9" t="str">
        <f t="shared" ca="1" si="639"/>
        <v xml:space="preserve">Enter a value for 'Number of Floors in the Tallest Building' in cell B60.
</v>
      </c>
      <c r="H1949" s="52" t="str">
        <f t="shared" ca="1" si="659"/>
        <v>Acquisition Placed-in-Service Date</v>
      </c>
      <c r="I1949" s="52">
        <v>16</v>
      </c>
    </row>
    <row r="1950" spans="1:10" ht="15" customHeight="1">
      <c r="A1950" t="str">
        <f ca="1">IF(AND(OFFSET(A1950, -I1950 + 2, 4) &gt;  0, E1950="", Calculations!$B$7), F1950, "")</f>
        <v/>
      </c>
      <c r="B1950">
        <f t="shared" si="655"/>
        <v>26</v>
      </c>
      <c r="C1950">
        <f t="shared" ca="1" si="641"/>
        <v>23</v>
      </c>
      <c r="D1950" t="str">
        <f t="shared" si="656"/>
        <v>Q26</v>
      </c>
      <c r="E1950" t="str">
        <f t="shared" ca="1" si="657"/>
        <v/>
      </c>
      <c r="F1950" t="str">
        <f t="shared" ca="1" si="658"/>
        <v xml:space="preserve">Enter a 'Acquisition APR' for  building 23 in cell Q26.
</v>
      </c>
      <c r="G1950" s="9" t="str">
        <f t="shared" ca="1" si="639"/>
        <v xml:space="preserve">Enter a value for 'Number of Floors in the Tallest Building' in cell B60.
</v>
      </c>
      <c r="H1950" s="52" t="str">
        <f t="shared" ca="1" si="659"/>
        <v>Acquisition APR</v>
      </c>
      <c r="I1950" s="52">
        <v>17</v>
      </c>
    </row>
    <row r="1951" spans="1:10" ht="15" customHeight="1">
      <c r="A1951" t="str">
        <f ca="1">IF(AND(Calculations!$B$4,Calculations!$B$29&gt;=C1951, E1951 &lt;&gt; 13),F1951,"")</f>
        <v/>
      </c>
      <c r="B1951">
        <f>ROW('Final Building Profile'!C27)</f>
        <v>27</v>
      </c>
      <c r="C1951">
        <f t="shared" ca="1" si="641"/>
        <v>24</v>
      </c>
      <c r="D1951" t="str">
        <f>ADDRESS(B1951, 3,4  )</f>
        <v>C27</v>
      </c>
      <c r="E1951" s="52">
        <f ca="1">H1951+I1951</f>
        <v>0</v>
      </c>
      <c r="F1951" t="str">
        <f ca="1">CONCATENATE("Based upon the number of buildings specified, information for  building ", C1951, " required for a final application in row ", B1951, ".", CHAR(10))</f>
        <v xml:space="preserve">Based upon the number of buildings specified, information for  building 24 required for a final application in row 27.
</v>
      </c>
      <c r="G1951" s="9" t="str">
        <f t="shared" ca="1" si="639"/>
        <v xml:space="preserve">Enter a value for 'Number of Floors in the Tallest Building' in cell B60.
</v>
      </c>
      <c r="H1951" s="52">
        <f ca="1">SUMPRODUCT(--ISTEXT(INDIRECT(J1951)))</f>
        <v>0</v>
      </c>
      <c r="I1951" s="52">
        <f ca="1">SUMPRODUCT(--ISNUMBER(INDIRECT(J1951)))</f>
        <v>0</v>
      </c>
      <c r="J1951" s="52" t="str">
        <f>$F$1565&amp; ADDRESS(B1951,3,4) &amp; ":" &amp; ADDRESS(B1951,15,4)</f>
        <v>'Final Building Profile'!C27:O27</v>
      </c>
    </row>
    <row r="1952" spans="1:10" ht="15" customHeight="1">
      <c r="A1952" t="str">
        <f t="shared" ref="A1952:A1961" ca="1" si="660">IF(AND(OFFSET(A1952, -I1952 + 2, 4) &gt;  0, E1952=""), F1952, "")</f>
        <v/>
      </c>
      <c r="B1952">
        <f t="shared" ref="B1952:B1966" si="661">B1951</f>
        <v>27</v>
      </c>
      <c r="C1952">
        <f t="shared" ca="1" si="641"/>
        <v>24</v>
      </c>
      <c r="D1952" t="str">
        <f t="shared" ref="D1952:D1966" si="662">ADDRESS(B1952, I1952,4  )</f>
        <v>C27</v>
      </c>
      <c r="E1952" t="str">
        <f t="shared" ref="E1952:E1966" ca="1" si="663">IF(ISBLANK( INDIRECT($F$1565 &amp; D1952)),"", INDIRECT($F$1565 &amp; D1952))</f>
        <v/>
      </c>
      <c r="F1952" t="str">
        <f t="shared" ref="F1952:F1966" ca="1" si="664">CONCATENATE("Enter a '"&amp; H1952 &amp;"' for  building ", C1952, " in cell ", D1952, ".", CHAR(10))</f>
        <v xml:space="preserve">Enter a 'Building Street Address Only 
(DO NOT ENTER CITY, STATE, OR ZIP)' for  building 24 in cell C27.
</v>
      </c>
      <c r="G1952" s="9" t="str">
        <f t="shared" ref="G1952:G2015" ca="1" si="665">OFFSET(G1952, -1, 0) &amp; A1952</f>
        <v xml:space="preserve">Enter a value for 'Number of Floors in the Tallest Building' in cell B60.
</v>
      </c>
      <c r="H1952" s="52" t="str">
        <f t="shared" ref="H1952:H1966" ca="1" si="666">OFFSET(INDIRECT($F$1565 &amp; D1952), -B1952 + 3, 0)</f>
        <v>Building Street Address Only 
(DO NOT ENTER CITY, STATE, OR ZIP)</v>
      </c>
      <c r="I1952" s="52">
        <v>3</v>
      </c>
    </row>
    <row r="1953" spans="1:10" ht="15" customHeight="1">
      <c r="A1953" t="str">
        <f t="shared" ca="1" si="660"/>
        <v/>
      </c>
      <c r="B1953">
        <f t="shared" si="661"/>
        <v>27</v>
      </c>
      <c r="C1953">
        <f t="shared" ca="1" si="641"/>
        <v>24</v>
      </c>
      <c r="D1953" t="str">
        <f t="shared" si="662"/>
        <v>D27</v>
      </c>
      <c r="E1953" t="str">
        <f t="shared" ca="1" si="663"/>
        <v/>
      </c>
      <c r="F1953" t="str">
        <f t="shared" ca="1" si="664"/>
        <v xml:space="preserve">Enter a 'Total Units in Building*' for  building 24 in cell D27.
</v>
      </c>
      <c r="G1953" s="9" t="str">
        <f t="shared" ca="1" si="665"/>
        <v xml:space="preserve">Enter a value for 'Number of Floors in the Tallest Building' in cell B60.
</v>
      </c>
      <c r="H1953" s="52" t="str">
        <f t="shared" ca="1" si="666"/>
        <v>Total Units in Building*</v>
      </c>
      <c r="I1953" s="52">
        <v>4</v>
      </c>
    </row>
    <row r="1954" spans="1:10" ht="15" customHeight="1">
      <c r="A1954" t="str">
        <f t="shared" ca="1" si="660"/>
        <v/>
      </c>
      <c r="B1954">
        <f t="shared" si="661"/>
        <v>27</v>
      </c>
      <c r="C1954">
        <f t="shared" ca="1" si="641"/>
        <v>24</v>
      </c>
      <c r="D1954" t="str">
        <f t="shared" si="662"/>
        <v>E27</v>
      </c>
      <c r="E1954" t="str">
        <f t="shared" ca="1" si="663"/>
        <v/>
      </c>
      <c r="F1954" t="str">
        <f t="shared" ca="1" si="664"/>
        <v xml:space="preserve">Enter a 'Employee Units' for  building 24 in cell E27.
</v>
      </c>
      <c r="G1954" s="9" t="str">
        <f t="shared" ca="1" si="665"/>
        <v xml:space="preserve">Enter a value for 'Number of Floors in the Tallest Building' in cell B60.
</v>
      </c>
      <c r="H1954" s="52" t="str">
        <f t="shared" ca="1" si="666"/>
        <v>Employee Units</v>
      </c>
      <c r="I1954" s="52">
        <v>5</v>
      </c>
    </row>
    <row r="1955" spans="1:10" ht="15" customHeight="1">
      <c r="A1955" t="str">
        <f t="shared" ca="1" si="660"/>
        <v/>
      </c>
      <c r="B1955">
        <f t="shared" si="661"/>
        <v>27</v>
      </c>
      <c r="C1955">
        <f t="shared" ca="1" si="641"/>
        <v>24</v>
      </c>
      <c r="D1955" t="str">
        <f t="shared" si="662"/>
        <v>F27</v>
      </c>
      <c r="E1955" t="str">
        <f t="shared" ca="1" si="663"/>
        <v/>
      </c>
      <c r="F1955" t="str">
        <f t="shared" ca="1" si="664"/>
        <v xml:space="preserve">Enter a 'Low-Income Units' for  building 24 in cell F27.
</v>
      </c>
      <c r="G1955" s="9" t="str">
        <f t="shared" ca="1" si="665"/>
        <v xml:space="preserve">Enter a value for 'Number of Floors in the Tallest Building' in cell B60.
</v>
      </c>
      <c r="H1955" s="52" t="str">
        <f t="shared" ca="1" si="666"/>
        <v>Low-Income Units</v>
      </c>
      <c r="I1955" s="52">
        <v>6</v>
      </c>
    </row>
    <row r="1956" spans="1:10" ht="15" customHeight="1">
      <c r="A1956" t="str">
        <f t="shared" ca="1" si="660"/>
        <v/>
      </c>
      <c r="B1956">
        <f t="shared" si="661"/>
        <v>27</v>
      </c>
      <c r="C1956">
        <f t="shared" ca="1" si="641"/>
        <v>24</v>
      </c>
      <c r="D1956" t="str">
        <f t="shared" si="662"/>
        <v>G27</v>
      </c>
      <c r="E1956" t="str">
        <f t="shared" ca="1" si="663"/>
        <v/>
      </c>
      <c r="F1956" t="str">
        <f t="shared" ca="1" si="664"/>
        <v xml:space="preserve">Enter a 'Residential Square Footage**' for  building 24 in cell G27.
</v>
      </c>
      <c r="G1956" s="9" t="str">
        <f t="shared" ca="1" si="665"/>
        <v xml:space="preserve">Enter a value for 'Number of Floors in the Tallest Building' in cell B60.
</v>
      </c>
      <c r="H1956" s="52" t="str">
        <f t="shared" ca="1" si="666"/>
        <v>Residential Square Footage**</v>
      </c>
      <c r="I1956" s="52">
        <v>7</v>
      </c>
    </row>
    <row r="1957" spans="1:10" ht="15" customHeight="1">
      <c r="A1957" t="str">
        <f t="shared" ca="1" si="660"/>
        <v/>
      </c>
      <c r="B1957">
        <f t="shared" si="661"/>
        <v>27</v>
      </c>
      <c r="C1957">
        <f t="shared" ca="1" si="641"/>
        <v>24</v>
      </c>
      <c r="D1957" t="str">
        <f t="shared" si="662"/>
        <v>H27</v>
      </c>
      <c r="E1957" t="str">
        <f t="shared" ca="1" si="663"/>
        <v/>
      </c>
      <c r="F1957" t="str">
        <f t="shared" ca="1" si="664"/>
        <v xml:space="preserve">Enter a 'Square Footage of Employee Units' for  building 24 in cell H27.
</v>
      </c>
      <c r="G1957" s="9" t="str">
        <f t="shared" ca="1" si="665"/>
        <v xml:space="preserve">Enter a value for 'Number of Floors in the Tallest Building' in cell B60.
</v>
      </c>
      <c r="H1957" s="52" t="str">
        <f t="shared" ca="1" si="666"/>
        <v>Square Footage of Employee Units</v>
      </c>
      <c r="I1957" s="52">
        <v>8</v>
      </c>
    </row>
    <row r="1958" spans="1:10" ht="15" customHeight="1">
      <c r="A1958" t="str">
        <f t="shared" ca="1" si="660"/>
        <v/>
      </c>
      <c r="B1958">
        <f t="shared" si="661"/>
        <v>27</v>
      </c>
      <c r="C1958">
        <f t="shared" ca="1" si="641"/>
        <v>24</v>
      </c>
      <c r="D1958" t="str">
        <f t="shared" si="662"/>
        <v>I27</v>
      </c>
      <c r="E1958" t="str">
        <f t="shared" ca="1" si="663"/>
        <v/>
      </c>
      <c r="F1958" t="str">
        <f t="shared" ca="1" si="664"/>
        <v xml:space="preserve">Enter a 'Square Footage of Low-Income Units' for  building 24 in cell I27.
</v>
      </c>
      <c r="G1958" s="9" t="str">
        <f t="shared" ca="1" si="665"/>
        <v xml:space="preserve">Enter a value for 'Number of Floors in the Tallest Building' in cell B60.
</v>
      </c>
      <c r="H1958" s="52" t="str">
        <f t="shared" ca="1" si="666"/>
        <v>Square Footage of Low-Income Units</v>
      </c>
      <c r="I1958" s="52">
        <v>9</v>
      </c>
    </row>
    <row r="1959" spans="1:10" ht="15" customHeight="1">
      <c r="A1959" t="str">
        <f t="shared" ca="1" si="660"/>
        <v/>
      </c>
      <c r="B1959">
        <f t="shared" si="661"/>
        <v>27</v>
      </c>
      <c r="C1959">
        <f t="shared" ca="1" si="641"/>
        <v>24</v>
      </c>
      <c r="D1959" t="str">
        <f t="shared" si="662"/>
        <v>J27</v>
      </c>
      <c r="E1959" t="str">
        <f t="shared" ca="1" si="663"/>
        <v/>
      </c>
      <c r="F1959" t="str">
        <f t="shared" ca="1" si="664"/>
        <v xml:space="preserve">Enter a 'Placed-In-Service Date' for  building 24 in cell J27.
</v>
      </c>
      <c r="G1959" s="9" t="str">
        <f t="shared" ca="1" si="665"/>
        <v xml:space="preserve">Enter a value for 'Number of Floors in the Tallest Building' in cell B60.
</v>
      </c>
      <c r="H1959" s="52" t="str">
        <f t="shared" ca="1" si="666"/>
        <v>Placed-In-Service Date</v>
      </c>
      <c r="I1959" s="52">
        <v>10</v>
      </c>
    </row>
    <row r="1960" spans="1:10" ht="15" customHeight="1">
      <c r="A1960" t="str">
        <f t="shared" ca="1" si="660"/>
        <v/>
      </c>
      <c r="B1960">
        <f t="shared" si="661"/>
        <v>27</v>
      </c>
      <c r="C1960">
        <f t="shared" ca="1" si="641"/>
        <v>24</v>
      </c>
      <c r="D1960" t="str">
        <f t="shared" si="662"/>
        <v>K27</v>
      </c>
      <c r="E1960" t="str">
        <f t="shared" ca="1" si="663"/>
        <v/>
      </c>
      <c r="F1960" t="str">
        <f t="shared" ca="1" si="664"/>
        <v xml:space="preserve">Enter a 'New Construction/ Rehab APR' for  building 24 in cell K27.
</v>
      </c>
      <c r="G1960" s="9" t="str">
        <f t="shared" ca="1" si="665"/>
        <v xml:space="preserve">Enter a value for 'Number of Floors in the Tallest Building' in cell B60.
</v>
      </c>
      <c r="H1960" s="52" t="str">
        <f t="shared" ca="1" si="666"/>
        <v>New Construction/ Rehab APR</v>
      </c>
      <c r="I1960" s="52">
        <v>11</v>
      </c>
    </row>
    <row r="1961" spans="1:10" ht="15" customHeight="1">
      <c r="A1961" t="str">
        <f t="shared" ca="1" si="660"/>
        <v/>
      </c>
      <c r="B1961">
        <f t="shared" si="661"/>
        <v>27</v>
      </c>
      <c r="C1961">
        <f t="shared" ca="1" si="641"/>
        <v>24</v>
      </c>
      <c r="D1961" t="str">
        <f t="shared" si="662"/>
        <v>L27</v>
      </c>
      <c r="E1961" t="str">
        <f t="shared" ca="1" si="663"/>
        <v/>
      </c>
      <c r="F1961" t="str">
        <f t="shared" ca="1" si="664"/>
        <v xml:space="preserve">Enter a 'New Construction Eligible Basis' for  building 24 in cell L27.
</v>
      </c>
      <c r="G1961" s="9" t="str">
        <f t="shared" ca="1" si="665"/>
        <v xml:space="preserve">Enter a value for 'Number of Floors in the Tallest Building' in cell B60.
</v>
      </c>
      <c r="H1961" s="52" t="str">
        <f t="shared" ca="1" si="666"/>
        <v>New Construction Eligible Basis</v>
      </c>
      <c r="I1961" s="52">
        <v>12</v>
      </c>
    </row>
    <row r="1962" spans="1:10" ht="15" customHeight="1">
      <c r="A1962" t="str">
        <f ca="1">IF(AND(OFFSET(A1962, -I1962 + 2, 4) &gt;  0, E1962="", Calculations!$B$7), F1962, "")</f>
        <v/>
      </c>
      <c r="B1962">
        <f t="shared" si="661"/>
        <v>27</v>
      </c>
      <c r="C1962">
        <f t="shared" ca="1" si="641"/>
        <v>24</v>
      </c>
      <c r="D1962" t="str">
        <f t="shared" si="662"/>
        <v>M27</v>
      </c>
      <c r="E1962" t="str">
        <f t="shared" ca="1" si="663"/>
        <v/>
      </c>
      <c r="F1962" t="str">
        <f t="shared" ca="1" si="664"/>
        <v xml:space="preserve">Enter a 'Eligible Basis for Rehab' for  building 24 in cell M27.
</v>
      </c>
      <c r="G1962" s="9" t="str">
        <f t="shared" ca="1" si="665"/>
        <v xml:space="preserve">Enter a value for 'Number of Floors in the Tallest Building' in cell B60.
</v>
      </c>
      <c r="H1962" s="52" t="str">
        <f t="shared" ca="1" si="666"/>
        <v>Eligible Basis for Rehab</v>
      </c>
      <c r="I1962" s="52">
        <v>13</v>
      </c>
    </row>
    <row r="1963" spans="1:10" ht="15" customHeight="1">
      <c r="A1963" t="str">
        <f ca="1">IF(AND(OFFSET(A1963, -I1963 + 2, 4) &gt;  0, E1963="", Calculations!$B$7), F1963, "")</f>
        <v/>
      </c>
      <c r="B1963">
        <f t="shared" si="661"/>
        <v>27</v>
      </c>
      <c r="C1963">
        <f t="shared" ca="1" si="641"/>
        <v>24</v>
      </c>
      <c r="D1963" t="str">
        <f t="shared" si="662"/>
        <v>N27</v>
      </c>
      <c r="E1963" t="str">
        <f t="shared" ca="1" si="663"/>
        <v/>
      </c>
      <c r="F1963" t="str">
        <f t="shared" ca="1" si="664"/>
        <v xml:space="preserve">Enter a 'Cost of Acquiring the Building***' for  building 24 in cell N27.
</v>
      </c>
      <c r="G1963" s="9" t="str">
        <f t="shared" ca="1" si="665"/>
        <v xml:space="preserve">Enter a value for 'Number of Floors in the Tallest Building' in cell B60.
</v>
      </c>
      <c r="H1963" s="52" t="str">
        <f t="shared" ca="1" si="666"/>
        <v>Cost of Acquiring the Building***</v>
      </c>
      <c r="I1963" s="52">
        <v>14</v>
      </c>
    </row>
    <row r="1964" spans="1:10" ht="15" customHeight="1">
      <c r="A1964" t="str">
        <f ca="1">IF(AND(OFFSET(A1964, -I1964 + 2, 4) &gt;  0, E1964="", Calculations!$B$7), F1964, "")</f>
        <v/>
      </c>
      <c r="B1964">
        <f t="shared" si="661"/>
        <v>27</v>
      </c>
      <c r="C1964">
        <f t="shared" ca="1" si="641"/>
        <v>24</v>
      </c>
      <c r="D1964" t="str">
        <f t="shared" si="662"/>
        <v>O27</v>
      </c>
      <c r="E1964" t="str">
        <f t="shared" ca="1" si="663"/>
        <v/>
      </c>
      <c r="F1964" t="str">
        <f t="shared" ca="1" si="664"/>
        <v xml:space="preserve">Enter a 'Higher of Land Purchase Price or Land Appraised Value****' for  building 24 in cell O27.
</v>
      </c>
      <c r="G1964" s="9" t="str">
        <f t="shared" ca="1" si="665"/>
        <v xml:space="preserve">Enter a value for 'Number of Floors in the Tallest Building' in cell B60.
</v>
      </c>
      <c r="H1964" s="52" t="str">
        <f t="shared" ca="1" si="666"/>
        <v>Higher of Land Purchase Price or Land Appraised Value****</v>
      </c>
      <c r="I1964" s="52">
        <v>15</v>
      </c>
    </row>
    <row r="1965" spans="1:10" ht="15" customHeight="1">
      <c r="A1965" t="str">
        <f ca="1">IF(AND(OFFSET(A1965, -I1965 + 2, 4) &gt;  0, E1965="", Calculations!$B$7), F1965, "")</f>
        <v/>
      </c>
      <c r="B1965">
        <f t="shared" si="661"/>
        <v>27</v>
      </c>
      <c r="C1965">
        <f t="shared" ca="1" si="641"/>
        <v>24</v>
      </c>
      <c r="D1965" t="str">
        <f t="shared" si="662"/>
        <v>P27</v>
      </c>
      <c r="E1965" t="str">
        <f t="shared" ca="1" si="663"/>
        <v/>
      </c>
      <c r="F1965" t="str">
        <f t="shared" ca="1" si="664"/>
        <v xml:space="preserve">Enter a 'Acquisition Placed-in-Service Date' for  building 24 in cell P27.
</v>
      </c>
      <c r="G1965" s="9" t="str">
        <f t="shared" ca="1" si="665"/>
        <v xml:space="preserve">Enter a value for 'Number of Floors in the Tallest Building' in cell B60.
</v>
      </c>
      <c r="H1965" s="52" t="str">
        <f t="shared" ca="1" si="666"/>
        <v>Acquisition Placed-in-Service Date</v>
      </c>
      <c r="I1965" s="52">
        <v>16</v>
      </c>
    </row>
    <row r="1966" spans="1:10" ht="15" customHeight="1">
      <c r="A1966" t="str">
        <f ca="1">IF(AND(OFFSET(A1966, -I1966 + 2, 4) &gt;  0, E1966="", Calculations!$B$7), F1966, "")</f>
        <v/>
      </c>
      <c r="B1966">
        <f t="shared" si="661"/>
        <v>27</v>
      </c>
      <c r="C1966">
        <f t="shared" ca="1" si="641"/>
        <v>24</v>
      </c>
      <c r="D1966" t="str">
        <f t="shared" si="662"/>
        <v>Q27</v>
      </c>
      <c r="E1966" t="str">
        <f t="shared" ca="1" si="663"/>
        <v/>
      </c>
      <c r="F1966" t="str">
        <f t="shared" ca="1" si="664"/>
        <v xml:space="preserve">Enter a 'Acquisition APR' for  building 24 in cell Q27.
</v>
      </c>
      <c r="G1966" s="9" t="str">
        <f t="shared" ca="1" si="665"/>
        <v xml:space="preserve">Enter a value for 'Number of Floors in the Tallest Building' in cell B60.
</v>
      </c>
      <c r="H1966" s="52" t="str">
        <f t="shared" ca="1" si="666"/>
        <v>Acquisition APR</v>
      </c>
      <c r="I1966" s="52">
        <v>17</v>
      </c>
    </row>
    <row r="1967" spans="1:10" ht="15" customHeight="1">
      <c r="A1967" t="str">
        <f ca="1">IF(AND(Calculations!$B$4,Calculations!$B$29&gt;=C1967, E1967 &lt;&gt; 13),F1967,"")</f>
        <v/>
      </c>
      <c r="B1967">
        <f>ROW('Final Building Profile'!C28)</f>
        <v>28</v>
      </c>
      <c r="C1967">
        <f t="shared" ref="C1967:C2030" ca="1" si="667">INDIRECT($F$1565 &amp; ADDRESS(B1967, 1,4  ))</f>
        <v>25</v>
      </c>
      <c r="D1967" t="str">
        <f>ADDRESS(B1967, 3,4  )</f>
        <v>C28</v>
      </c>
      <c r="E1967" s="52">
        <f ca="1">H1967+I1967</f>
        <v>0</v>
      </c>
      <c r="F1967" t="str">
        <f ca="1">CONCATENATE("Based upon the number of buildings specified, information for  building ", C1967, " required for a final application in row ", B1967, ".", CHAR(10))</f>
        <v xml:space="preserve">Based upon the number of buildings specified, information for  building 25 required for a final application in row 28.
</v>
      </c>
      <c r="G1967" s="9" t="str">
        <f t="shared" ca="1" si="665"/>
        <v xml:space="preserve">Enter a value for 'Number of Floors in the Tallest Building' in cell B60.
</v>
      </c>
      <c r="H1967" s="52">
        <f ca="1">SUMPRODUCT(--ISTEXT(INDIRECT(J1967)))</f>
        <v>0</v>
      </c>
      <c r="I1967" s="52">
        <f ca="1">SUMPRODUCT(--ISNUMBER(INDIRECT(J1967)))</f>
        <v>0</v>
      </c>
      <c r="J1967" s="52" t="str">
        <f>$F$1565&amp; ADDRESS(B1967,3,4) &amp; ":" &amp; ADDRESS(B1967,15,4)</f>
        <v>'Final Building Profile'!C28:O28</v>
      </c>
    </row>
    <row r="1968" spans="1:10" ht="15" customHeight="1">
      <c r="A1968" t="str">
        <f t="shared" ref="A1968:A1977" ca="1" si="668">IF(AND(OFFSET(A1968, -I1968 + 2, 4) &gt;  0, E1968=""), F1968, "")</f>
        <v/>
      </c>
      <c r="B1968">
        <f t="shared" ref="B1968:B1982" si="669">B1967</f>
        <v>28</v>
      </c>
      <c r="C1968">
        <f t="shared" ca="1" si="667"/>
        <v>25</v>
      </c>
      <c r="D1968" t="str">
        <f t="shared" ref="D1968:D1982" si="670">ADDRESS(B1968, I1968,4  )</f>
        <v>C28</v>
      </c>
      <c r="E1968" t="str">
        <f t="shared" ref="E1968:E1982" ca="1" si="671">IF(ISBLANK( INDIRECT($F$1565 &amp; D1968)),"", INDIRECT($F$1565 &amp; D1968))</f>
        <v/>
      </c>
      <c r="F1968" t="str">
        <f t="shared" ref="F1968:F1982" ca="1" si="672">CONCATENATE("Enter a '"&amp; H1968 &amp;"' for  building ", C1968, " in cell ", D1968, ".", CHAR(10))</f>
        <v xml:space="preserve">Enter a 'Building Street Address Only 
(DO NOT ENTER CITY, STATE, OR ZIP)' for  building 25 in cell C28.
</v>
      </c>
      <c r="G1968" s="9" t="str">
        <f t="shared" ca="1" si="665"/>
        <v xml:space="preserve">Enter a value for 'Number of Floors in the Tallest Building' in cell B60.
</v>
      </c>
      <c r="H1968" s="52" t="str">
        <f t="shared" ref="H1968:H1982" ca="1" si="673">OFFSET(INDIRECT($F$1565 &amp; D1968), -B1968 + 3, 0)</f>
        <v>Building Street Address Only 
(DO NOT ENTER CITY, STATE, OR ZIP)</v>
      </c>
      <c r="I1968" s="52">
        <v>3</v>
      </c>
    </row>
    <row r="1969" spans="1:10" ht="15" customHeight="1">
      <c r="A1969" t="str">
        <f t="shared" ca="1" si="668"/>
        <v/>
      </c>
      <c r="B1969">
        <f t="shared" si="669"/>
        <v>28</v>
      </c>
      <c r="C1969">
        <f t="shared" ca="1" si="667"/>
        <v>25</v>
      </c>
      <c r="D1969" t="str">
        <f t="shared" si="670"/>
        <v>D28</v>
      </c>
      <c r="E1969" t="str">
        <f t="shared" ca="1" si="671"/>
        <v/>
      </c>
      <c r="F1969" t="str">
        <f t="shared" ca="1" si="672"/>
        <v xml:space="preserve">Enter a 'Total Units in Building*' for  building 25 in cell D28.
</v>
      </c>
      <c r="G1969" s="9" t="str">
        <f t="shared" ca="1" si="665"/>
        <v xml:space="preserve">Enter a value for 'Number of Floors in the Tallest Building' in cell B60.
</v>
      </c>
      <c r="H1969" s="52" t="str">
        <f t="shared" ca="1" si="673"/>
        <v>Total Units in Building*</v>
      </c>
      <c r="I1969" s="52">
        <v>4</v>
      </c>
    </row>
    <row r="1970" spans="1:10" ht="15" customHeight="1">
      <c r="A1970" t="str">
        <f t="shared" ca="1" si="668"/>
        <v/>
      </c>
      <c r="B1970">
        <f t="shared" si="669"/>
        <v>28</v>
      </c>
      <c r="C1970">
        <f t="shared" ca="1" si="667"/>
        <v>25</v>
      </c>
      <c r="D1970" t="str">
        <f t="shared" si="670"/>
        <v>E28</v>
      </c>
      <c r="E1970" t="str">
        <f t="shared" ca="1" si="671"/>
        <v/>
      </c>
      <c r="F1970" t="str">
        <f t="shared" ca="1" si="672"/>
        <v xml:space="preserve">Enter a 'Employee Units' for  building 25 in cell E28.
</v>
      </c>
      <c r="G1970" s="9" t="str">
        <f t="shared" ca="1" si="665"/>
        <v xml:space="preserve">Enter a value for 'Number of Floors in the Tallest Building' in cell B60.
</v>
      </c>
      <c r="H1970" s="52" t="str">
        <f t="shared" ca="1" si="673"/>
        <v>Employee Units</v>
      </c>
      <c r="I1970" s="52">
        <v>5</v>
      </c>
    </row>
    <row r="1971" spans="1:10" ht="15" customHeight="1">
      <c r="A1971" t="str">
        <f t="shared" ca="1" si="668"/>
        <v/>
      </c>
      <c r="B1971">
        <f t="shared" si="669"/>
        <v>28</v>
      </c>
      <c r="C1971">
        <f t="shared" ca="1" si="667"/>
        <v>25</v>
      </c>
      <c r="D1971" t="str">
        <f t="shared" si="670"/>
        <v>F28</v>
      </c>
      <c r="E1971" t="str">
        <f t="shared" ca="1" si="671"/>
        <v/>
      </c>
      <c r="F1971" t="str">
        <f t="shared" ca="1" si="672"/>
        <v xml:space="preserve">Enter a 'Low-Income Units' for  building 25 in cell F28.
</v>
      </c>
      <c r="G1971" s="9" t="str">
        <f t="shared" ca="1" si="665"/>
        <v xml:space="preserve">Enter a value for 'Number of Floors in the Tallest Building' in cell B60.
</v>
      </c>
      <c r="H1971" s="52" t="str">
        <f t="shared" ca="1" si="673"/>
        <v>Low-Income Units</v>
      </c>
      <c r="I1971" s="52">
        <v>6</v>
      </c>
    </row>
    <row r="1972" spans="1:10" ht="15" customHeight="1">
      <c r="A1972" t="str">
        <f t="shared" ca="1" si="668"/>
        <v/>
      </c>
      <c r="B1972">
        <f t="shared" si="669"/>
        <v>28</v>
      </c>
      <c r="C1972">
        <f t="shared" ca="1" si="667"/>
        <v>25</v>
      </c>
      <c r="D1972" t="str">
        <f t="shared" si="670"/>
        <v>G28</v>
      </c>
      <c r="E1972" t="str">
        <f t="shared" ca="1" si="671"/>
        <v/>
      </c>
      <c r="F1972" t="str">
        <f t="shared" ca="1" si="672"/>
        <v xml:space="preserve">Enter a 'Residential Square Footage**' for  building 25 in cell G28.
</v>
      </c>
      <c r="G1972" s="9" t="str">
        <f t="shared" ca="1" si="665"/>
        <v xml:space="preserve">Enter a value for 'Number of Floors in the Tallest Building' in cell B60.
</v>
      </c>
      <c r="H1972" s="52" t="str">
        <f t="shared" ca="1" si="673"/>
        <v>Residential Square Footage**</v>
      </c>
      <c r="I1972" s="52">
        <v>7</v>
      </c>
    </row>
    <row r="1973" spans="1:10" ht="15" customHeight="1">
      <c r="A1973" t="str">
        <f t="shared" ca="1" si="668"/>
        <v/>
      </c>
      <c r="B1973">
        <f t="shared" si="669"/>
        <v>28</v>
      </c>
      <c r="C1973">
        <f t="shared" ca="1" si="667"/>
        <v>25</v>
      </c>
      <c r="D1973" t="str">
        <f t="shared" si="670"/>
        <v>H28</v>
      </c>
      <c r="E1973" t="str">
        <f t="shared" ca="1" si="671"/>
        <v/>
      </c>
      <c r="F1973" t="str">
        <f t="shared" ca="1" si="672"/>
        <v xml:space="preserve">Enter a 'Square Footage of Employee Units' for  building 25 in cell H28.
</v>
      </c>
      <c r="G1973" s="9" t="str">
        <f t="shared" ca="1" si="665"/>
        <v xml:space="preserve">Enter a value for 'Number of Floors in the Tallest Building' in cell B60.
</v>
      </c>
      <c r="H1973" s="52" t="str">
        <f t="shared" ca="1" si="673"/>
        <v>Square Footage of Employee Units</v>
      </c>
      <c r="I1973" s="52">
        <v>8</v>
      </c>
    </row>
    <row r="1974" spans="1:10" ht="15" customHeight="1">
      <c r="A1974" t="str">
        <f t="shared" ca="1" si="668"/>
        <v/>
      </c>
      <c r="B1974">
        <f t="shared" si="669"/>
        <v>28</v>
      </c>
      <c r="C1974">
        <f t="shared" ca="1" si="667"/>
        <v>25</v>
      </c>
      <c r="D1974" t="str">
        <f t="shared" si="670"/>
        <v>I28</v>
      </c>
      <c r="E1974" t="str">
        <f t="shared" ca="1" si="671"/>
        <v/>
      </c>
      <c r="F1974" t="str">
        <f t="shared" ca="1" si="672"/>
        <v xml:space="preserve">Enter a 'Square Footage of Low-Income Units' for  building 25 in cell I28.
</v>
      </c>
      <c r="G1974" s="9" t="str">
        <f t="shared" ca="1" si="665"/>
        <v xml:space="preserve">Enter a value for 'Number of Floors in the Tallest Building' in cell B60.
</v>
      </c>
      <c r="H1974" s="52" t="str">
        <f t="shared" ca="1" si="673"/>
        <v>Square Footage of Low-Income Units</v>
      </c>
      <c r="I1974" s="52">
        <v>9</v>
      </c>
    </row>
    <row r="1975" spans="1:10" ht="15" customHeight="1">
      <c r="A1975" t="str">
        <f t="shared" ca="1" si="668"/>
        <v/>
      </c>
      <c r="B1975">
        <f t="shared" si="669"/>
        <v>28</v>
      </c>
      <c r="C1975">
        <f t="shared" ca="1" si="667"/>
        <v>25</v>
      </c>
      <c r="D1975" t="str">
        <f t="shared" si="670"/>
        <v>J28</v>
      </c>
      <c r="E1975" t="str">
        <f t="shared" ca="1" si="671"/>
        <v/>
      </c>
      <c r="F1975" t="str">
        <f t="shared" ca="1" si="672"/>
        <v xml:space="preserve">Enter a 'Placed-In-Service Date' for  building 25 in cell J28.
</v>
      </c>
      <c r="G1975" s="9" t="str">
        <f t="shared" ca="1" si="665"/>
        <v xml:space="preserve">Enter a value for 'Number of Floors in the Tallest Building' in cell B60.
</v>
      </c>
      <c r="H1975" s="52" t="str">
        <f t="shared" ca="1" si="673"/>
        <v>Placed-In-Service Date</v>
      </c>
      <c r="I1975" s="52">
        <v>10</v>
      </c>
    </row>
    <row r="1976" spans="1:10" ht="15" customHeight="1">
      <c r="A1976" t="str">
        <f t="shared" ca="1" si="668"/>
        <v/>
      </c>
      <c r="B1976">
        <f t="shared" si="669"/>
        <v>28</v>
      </c>
      <c r="C1976">
        <f t="shared" ca="1" si="667"/>
        <v>25</v>
      </c>
      <c r="D1976" t="str">
        <f t="shared" si="670"/>
        <v>K28</v>
      </c>
      <c r="E1976" t="str">
        <f t="shared" ca="1" si="671"/>
        <v/>
      </c>
      <c r="F1976" t="str">
        <f t="shared" ca="1" si="672"/>
        <v xml:space="preserve">Enter a 'New Construction/ Rehab APR' for  building 25 in cell K28.
</v>
      </c>
      <c r="G1976" s="9" t="str">
        <f t="shared" ca="1" si="665"/>
        <v xml:space="preserve">Enter a value for 'Number of Floors in the Tallest Building' in cell B60.
</v>
      </c>
      <c r="H1976" s="52" t="str">
        <f t="shared" ca="1" si="673"/>
        <v>New Construction/ Rehab APR</v>
      </c>
      <c r="I1976" s="52">
        <v>11</v>
      </c>
    </row>
    <row r="1977" spans="1:10" ht="15" customHeight="1">
      <c r="A1977" t="str">
        <f t="shared" ca="1" si="668"/>
        <v/>
      </c>
      <c r="B1977">
        <f t="shared" si="669"/>
        <v>28</v>
      </c>
      <c r="C1977">
        <f t="shared" ca="1" si="667"/>
        <v>25</v>
      </c>
      <c r="D1977" t="str">
        <f t="shared" si="670"/>
        <v>L28</v>
      </c>
      <c r="E1977" t="str">
        <f t="shared" ca="1" si="671"/>
        <v/>
      </c>
      <c r="F1977" t="str">
        <f t="shared" ca="1" si="672"/>
        <v xml:space="preserve">Enter a 'New Construction Eligible Basis' for  building 25 in cell L28.
</v>
      </c>
      <c r="G1977" s="9" t="str">
        <f t="shared" ca="1" si="665"/>
        <v xml:space="preserve">Enter a value for 'Number of Floors in the Tallest Building' in cell B60.
</v>
      </c>
      <c r="H1977" s="52" t="str">
        <f t="shared" ca="1" si="673"/>
        <v>New Construction Eligible Basis</v>
      </c>
      <c r="I1977" s="52">
        <v>12</v>
      </c>
    </row>
    <row r="1978" spans="1:10" ht="15" customHeight="1">
      <c r="A1978" t="str">
        <f ca="1">IF(AND(OFFSET(A1978, -I1978 + 2, 4) &gt;  0, E1978="", Calculations!$B$7), F1978, "")</f>
        <v/>
      </c>
      <c r="B1978">
        <f t="shared" si="669"/>
        <v>28</v>
      </c>
      <c r="C1978">
        <f t="shared" ca="1" si="667"/>
        <v>25</v>
      </c>
      <c r="D1978" t="str">
        <f t="shared" si="670"/>
        <v>M28</v>
      </c>
      <c r="E1978" t="str">
        <f t="shared" ca="1" si="671"/>
        <v/>
      </c>
      <c r="F1978" t="str">
        <f t="shared" ca="1" si="672"/>
        <v xml:space="preserve">Enter a 'Eligible Basis for Rehab' for  building 25 in cell M28.
</v>
      </c>
      <c r="G1978" s="9" t="str">
        <f t="shared" ca="1" si="665"/>
        <v xml:space="preserve">Enter a value for 'Number of Floors in the Tallest Building' in cell B60.
</v>
      </c>
      <c r="H1978" s="52" t="str">
        <f t="shared" ca="1" si="673"/>
        <v>Eligible Basis for Rehab</v>
      </c>
      <c r="I1978" s="52">
        <v>13</v>
      </c>
    </row>
    <row r="1979" spans="1:10" ht="15" customHeight="1">
      <c r="A1979" t="str">
        <f ca="1">IF(AND(OFFSET(A1979, -I1979 + 2, 4) &gt;  0, E1979="", Calculations!$B$7), F1979, "")</f>
        <v/>
      </c>
      <c r="B1979">
        <f t="shared" si="669"/>
        <v>28</v>
      </c>
      <c r="C1979">
        <f t="shared" ca="1" si="667"/>
        <v>25</v>
      </c>
      <c r="D1979" t="str">
        <f t="shared" si="670"/>
        <v>N28</v>
      </c>
      <c r="E1979" t="str">
        <f t="shared" ca="1" si="671"/>
        <v/>
      </c>
      <c r="F1979" t="str">
        <f t="shared" ca="1" si="672"/>
        <v xml:space="preserve">Enter a 'Cost of Acquiring the Building***' for  building 25 in cell N28.
</v>
      </c>
      <c r="G1979" s="9" t="str">
        <f t="shared" ca="1" si="665"/>
        <v xml:space="preserve">Enter a value for 'Number of Floors in the Tallest Building' in cell B60.
</v>
      </c>
      <c r="H1979" s="52" t="str">
        <f t="shared" ca="1" si="673"/>
        <v>Cost of Acquiring the Building***</v>
      </c>
      <c r="I1979" s="52">
        <v>14</v>
      </c>
    </row>
    <row r="1980" spans="1:10" ht="15" customHeight="1">
      <c r="A1980" t="str">
        <f ca="1">IF(AND(OFFSET(A1980, -I1980 + 2, 4) &gt;  0, E1980="", Calculations!$B$7), F1980, "")</f>
        <v/>
      </c>
      <c r="B1980">
        <f t="shared" si="669"/>
        <v>28</v>
      </c>
      <c r="C1980">
        <f t="shared" ca="1" si="667"/>
        <v>25</v>
      </c>
      <c r="D1980" t="str">
        <f t="shared" si="670"/>
        <v>O28</v>
      </c>
      <c r="E1980" t="str">
        <f t="shared" ca="1" si="671"/>
        <v/>
      </c>
      <c r="F1980" t="str">
        <f t="shared" ca="1" si="672"/>
        <v xml:space="preserve">Enter a 'Higher of Land Purchase Price or Land Appraised Value****' for  building 25 in cell O28.
</v>
      </c>
      <c r="G1980" s="9" t="str">
        <f t="shared" ca="1" si="665"/>
        <v xml:space="preserve">Enter a value for 'Number of Floors in the Tallest Building' in cell B60.
</v>
      </c>
      <c r="H1980" s="52" t="str">
        <f t="shared" ca="1" si="673"/>
        <v>Higher of Land Purchase Price or Land Appraised Value****</v>
      </c>
      <c r="I1980" s="52">
        <v>15</v>
      </c>
    </row>
    <row r="1981" spans="1:10" ht="15" customHeight="1">
      <c r="A1981" t="str">
        <f ca="1">IF(AND(OFFSET(A1981, -I1981 + 2, 4) &gt;  0, E1981="", Calculations!$B$7), F1981, "")</f>
        <v/>
      </c>
      <c r="B1981">
        <f t="shared" si="669"/>
        <v>28</v>
      </c>
      <c r="C1981">
        <f t="shared" ca="1" si="667"/>
        <v>25</v>
      </c>
      <c r="D1981" t="str">
        <f t="shared" si="670"/>
        <v>P28</v>
      </c>
      <c r="E1981" t="str">
        <f t="shared" ca="1" si="671"/>
        <v/>
      </c>
      <c r="F1981" t="str">
        <f t="shared" ca="1" si="672"/>
        <v xml:space="preserve">Enter a 'Acquisition Placed-in-Service Date' for  building 25 in cell P28.
</v>
      </c>
      <c r="G1981" s="9" t="str">
        <f t="shared" ca="1" si="665"/>
        <v xml:space="preserve">Enter a value for 'Number of Floors in the Tallest Building' in cell B60.
</v>
      </c>
      <c r="H1981" s="52" t="str">
        <f t="shared" ca="1" si="673"/>
        <v>Acquisition Placed-in-Service Date</v>
      </c>
      <c r="I1981" s="52">
        <v>16</v>
      </c>
    </row>
    <row r="1982" spans="1:10" ht="15" customHeight="1">
      <c r="A1982" t="str">
        <f ca="1">IF(AND(OFFSET(A1982, -I1982 + 2, 4) &gt;  0, E1982="", Calculations!$B$7), F1982, "")</f>
        <v/>
      </c>
      <c r="B1982">
        <f t="shared" si="669"/>
        <v>28</v>
      </c>
      <c r="C1982">
        <f t="shared" ca="1" si="667"/>
        <v>25</v>
      </c>
      <c r="D1982" t="str">
        <f t="shared" si="670"/>
        <v>Q28</v>
      </c>
      <c r="E1982" t="str">
        <f t="shared" ca="1" si="671"/>
        <v/>
      </c>
      <c r="F1982" t="str">
        <f t="shared" ca="1" si="672"/>
        <v xml:space="preserve">Enter a 'Acquisition APR' for  building 25 in cell Q28.
</v>
      </c>
      <c r="G1982" s="9" t="str">
        <f t="shared" ca="1" si="665"/>
        <v xml:space="preserve">Enter a value for 'Number of Floors in the Tallest Building' in cell B60.
</v>
      </c>
      <c r="H1982" s="52" t="str">
        <f t="shared" ca="1" si="673"/>
        <v>Acquisition APR</v>
      </c>
      <c r="I1982" s="52">
        <v>17</v>
      </c>
    </row>
    <row r="1983" spans="1:10" ht="15" customHeight="1">
      <c r="A1983" t="str">
        <f ca="1">IF(AND(Calculations!$B$4,Calculations!$B$29&gt;=C1983, E1983 &lt;&gt; 13),F1983,"")</f>
        <v/>
      </c>
      <c r="B1983">
        <f>ROW('Final Building Profile'!C29)</f>
        <v>29</v>
      </c>
      <c r="C1983">
        <f t="shared" ca="1" si="667"/>
        <v>26</v>
      </c>
      <c r="D1983" t="str">
        <f>ADDRESS(B1983, 3,4  )</f>
        <v>C29</v>
      </c>
      <c r="E1983" s="52">
        <f ca="1">H1983+I1983</f>
        <v>0</v>
      </c>
      <c r="F1983" t="str">
        <f ca="1">CONCATENATE("Based upon the number of buildings specified, information for  building ", C1983, " required for a final application in row ", B1983, ".", CHAR(10))</f>
        <v xml:space="preserve">Based upon the number of buildings specified, information for  building 26 required for a final application in row 29.
</v>
      </c>
      <c r="G1983" s="9" t="str">
        <f t="shared" ca="1" si="665"/>
        <v xml:space="preserve">Enter a value for 'Number of Floors in the Tallest Building' in cell B60.
</v>
      </c>
      <c r="H1983" s="52">
        <f ca="1">SUMPRODUCT(--ISTEXT(INDIRECT(J1983)))</f>
        <v>0</v>
      </c>
      <c r="I1983" s="52">
        <f ca="1">SUMPRODUCT(--ISNUMBER(INDIRECT(J1983)))</f>
        <v>0</v>
      </c>
      <c r="J1983" s="52" t="str">
        <f>$F$1565&amp; ADDRESS(B1983,3,4) &amp; ":" &amp; ADDRESS(B1983,15,4)</f>
        <v>'Final Building Profile'!C29:O29</v>
      </c>
    </row>
    <row r="1984" spans="1:10" ht="15" customHeight="1">
      <c r="A1984" t="str">
        <f t="shared" ref="A1984:A1993" ca="1" si="674">IF(AND(OFFSET(A1984, -I1984 + 2, 4) &gt;  0, E1984=""), F1984, "")</f>
        <v/>
      </c>
      <c r="B1984">
        <f t="shared" ref="B1984:B1998" si="675">B1983</f>
        <v>29</v>
      </c>
      <c r="C1984">
        <f t="shared" ca="1" si="667"/>
        <v>26</v>
      </c>
      <c r="D1984" t="str">
        <f t="shared" ref="D1984:D1998" si="676">ADDRESS(B1984, I1984,4  )</f>
        <v>C29</v>
      </c>
      <c r="E1984" t="str">
        <f t="shared" ref="E1984:E1998" ca="1" si="677">IF(ISBLANK( INDIRECT($F$1565 &amp; D1984)),"", INDIRECT($F$1565 &amp; D1984))</f>
        <v/>
      </c>
      <c r="F1984" t="str">
        <f t="shared" ref="F1984:F1998" ca="1" si="678">CONCATENATE("Enter a '"&amp; H1984 &amp;"' for  building ", C1984, " in cell ", D1984, ".", CHAR(10))</f>
        <v xml:space="preserve">Enter a 'Building Street Address Only 
(DO NOT ENTER CITY, STATE, OR ZIP)' for  building 26 in cell C29.
</v>
      </c>
      <c r="G1984" s="9" t="str">
        <f t="shared" ca="1" si="665"/>
        <v xml:space="preserve">Enter a value for 'Number of Floors in the Tallest Building' in cell B60.
</v>
      </c>
      <c r="H1984" s="52" t="str">
        <f t="shared" ref="H1984:H1998" ca="1" si="679">OFFSET(INDIRECT($F$1565 &amp; D1984), -B1984 + 3, 0)</f>
        <v>Building Street Address Only 
(DO NOT ENTER CITY, STATE, OR ZIP)</v>
      </c>
      <c r="I1984" s="52">
        <v>3</v>
      </c>
    </row>
    <row r="1985" spans="1:10" ht="15" customHeight="1">
      <c r="A1985" t="str">
        <f t="shared" ca="1" si="674"/>
        <v/>
      </c>
      <c r="B1985">
        <f t="shared" si="675"/>
        <v>29</v>
      </c>
      <c r="C1985">
        <f t="shared" ca="1" si="667"/>
        <v>26</v>
      </c>
      <c r="D1985" t="str">
        <f t="shared" si="676"/>
        <v>D29</v>
      </c>
      <c r="E1985" t="str">
        <f t="shared" ca="1" si="677"/>
        <v/>
      </c>
      <c r="F1985" t="str">
        <f t="shared" ca="1" si="678"/>
        <v xml:space="preserve">Enter a 'Total Units in Building*' for  building 26 in cell D29.
</v>
      </c>
      <c r="G1985" s="9" t="str">
        <f t="shared" ca="1" si="665"/>
        <v xml:space="preserve">Enter a value for 'Number of Floors in the Tallest Building' in cell B60.
</v>
      </c>
      <c r="H1985" s="52" t="str">
        <f t="shared" ca="1" si="679"/>
        <v>Total Units in Building*</v>
      </c>
      <c r="I1985" s="52">
        <v>4</v>
      </c>
    </row>
    <row r="1986" spans="1:10" ht="15" customHeight="1">
      <c r="A1986" t="str">
        <f t="shared" ca="1" si="674"/>
        <v/>
      </c>
      <c r="B1986">
        <f t="shared" si="675"/>
        <v>29</v>
      </c>
      <c r="C1986">
        <f t="shared" ca="1" si="667"/>
        <v>26</v>
      </c>
      <c r="D1986" t="str">
        <f t="shared" si="676"/>
        <v>E29</v>
      </c>
      <c r="E1986" t="str">
        <f t="shared" ca="1" si="677"/>
        <v/>
      </c>
      <c r="F1986" t="str">
        <f t="shared" ca="1" si="678"/>
        <v xml:space="preserve">Enter a 'Employee Units' for  building 26 in cell E29.
</v>
      </c>
      <c r="G1986" s="9" t="str">
        <f t="shared" ca="1" si="665"/>
        <v xml:space="preserve">Enter a value for 'Number of Floors in the Tallest Building' in cell B60.
</v>
      </c>
      <c r="H1986" s="52" t="str">
        <f t="shared" ca="1" si="679"/>
        <v>Employee Units</v>
      </c>
      <c r="I1986" s="52">
        <v>5</v>
      </c>
    </row>
    <row r="1987" spans="1:10" ht="15" customHeight="1">
      <c r="A1987" t="str">
        <f t="shared" ca="1" si="674"/>
        <v/>
      </c>
      <c r="B1987">
        <f t="shared" si="675"/>
        <v>29</v>
      </c>
      <c r="C1987">
        <f t="shared" ca="1" si="667"/>
        <v>26</v>
      </c>
      <c r="D1987" t="str">
        <f t="shared" si="676"/>
        <v>F29</v>
      </c>
      <c r="E1987" t="str">
        <f t="shared" ca="1" si="677"/>
        <v/>
      </c>
      <c r="F1987" t="str">
        <f t="shared" ca="1" si="678"/>
        <v xml:space="preserve">Enter a 'Low-Income Units' for  building 26 in cell F29.
</v>
      </c>
      <c r="G1987" s="9" t="str">
        <f t="shared" ca="1" si="665"/>
        <v xml:space="preserve">Enter a value for 'Number of Floors in the Tallest Building' in cell B60.
</v>
      </c>
      <c r="H1987" s="52" t="str">
        <f t="shared" ca="1" si="679"/>
        <v>Low-Income Units</v>
      </c>
      <c r="I1987" s="52">
        <v>6</v>
      </c>
    </row>
    <row r="1988" spans="1:10" ht="15" customHeight="1">
      <c r="A1988" t="str">
        <f t="shared" ca="1" si="674"/>
        <v/>
      </c>
      <c r="B1988">
        <f t="shared" si="675"/>
        <v>29</v>
      </c>
      <c r="C1988">
        <f t="shared" ca="1" si="667"/>
        <v>26</v>
      </c>
      <c r="D1988" t="str">
        <f t="shared" si="676"/>
        <v>G29</v>
      </c>
      <c r="E1988" t="str">
        <f t="shared" ca="1" si="677"/>
        <v/>
      </c>
      <c r="F1988" t="str">
        <f t="shared" ca="1" si="678"/>
        <v xml:space="preserve">Enter a 'Residential Square Footage**' for  building 26 in cell G29.
</v>
      </c>
      <c r="G1988" s="9" t="str">
        <f t="shared" ca="1" si="665"/>
        <v xml:space="preserve">Enter a value for 'Number of Floors in the Tallest Building' in cell B60.
</v>
      </c>
      <c r="H1988" s="52" t="str">
        <f t="shared" ca="1" si="679"/>
        <v>Residential Square Footage**</v>
      </c>
      <c r="I1988" s="52">
        <v>7</v>
      </c>
    </row>
    <row r="1989" spans="1:10" ht="15" customHeight="1">
      <c r="A1989" t="str">
        <f t="shared" ca="1" si="674"/>
        <v/>
      </c>
      <c r="B1989">
        <f t="shared" si="675"/>
        <v>29</v>
      </c>
      <c r="C1989">
        <f t="shared" ca="1" si="667"/>
        <v>26</v>
      </c>
      <c r="D1989" t="str">
        <f t="shared" si="676"/>
        <v>H29</v>
      </c>
      <c r="E1989" t="str">
        <f t="shared" ca="1" si="677"/>
        <v/>
      </c>
      <c r="F1989" t="str">
        <f t="shared" ca="1" si="678"/>
        <v xml:space="preserve">Enter a 'Square Footage of Employee Units' for  building 26 in cell H29.
</v>
      </c>
      <c r="G1989" s="9" t="str">
        <f t="shared" ca="1" si="665"/>
        <v xml:space="preserve">Enter a value for 'Number of Floors in the Tallest Building' in cell B60.
</v>
      </c>
      <c r="H1989" s="52" t="str">
        <f t="shared" ca="1" si="679"/>
        <v>Square Footage of Employee Units</v>
      </c>
      <c r="I1989" s="52">
        <v>8</v>
      </c>
    </row>
    <row r="1990" spans="1:10" ht="15" customHeight="1">
      <c r="A1990" t="str">
        <f t="shared" ca="1" si="674"/>
        <v/>
      </c>
      <c r="B1990">
        <f t="shared" si="675"/>
        <v>29</v>
      </c>
      <c r="C1990">
        <f t="shared" ca="1" si="667"/>
        <v>26</v>
      </c>
      <c r="D1990" t="str">
        <f t="shared" si="676"/>
        <v>I29</v>
      </c>
      <c r="E1990" t="str">
        <f t="shared" ca="1" si="677"/>
        <v/>
      </c>
      <c r="F1990" t="str">
        <f t="shared" ca="1" si="678"/>
        <v xml:space="preserve">Enter a 'Square Footage of Low-Income Units' for  building 26 in cell I29.
</v>
      </c>
      <c r="G1990" s="9" t="str">
        <f t="shared" ca="1" si="665"/>
        <v xml:space="preserve">Enter a value for 'Number of Floors in the Tallest Building' in cell B60.
</v>
      </c>
      <c r="H1990" s="52" t="str">
        <f t="shared" ca="1" si="679"/>
        <v>Square Footage of Low-Income Units</v>
      </c>
      <c r="I1990" s="52">
        <v>9</v>
      </c>
    </row>
    <row r="1991" spans="1:10" ht="15" customHeight="1">
      <c r="A1991" t="str">
        <f t="shared" ca="1" si="674"/>
        <v/>
      </c>
      <c r="B1991">
        <f t="shared" si="675"/>
        <v>29</v>
      </c>
      <c r="C1991">
        <f t="shared" ca="1" si="667"/>
        <v>26</v>
      </c>
      <c r="D1991" t="str">
        <f t="shared" si="676"/>
        <v>J29</v>
      </c>
      <c r="E1991" t="str">
        <f t="shared" ca="1" si="677"/>
        <v/>
      </c>
      <c r="F1991" t="str">
        <f t="shared" ca="1" si="678"/>
        <v xml:space="preserve">Enter a 'Placed-In-Service Date' for  building 26 in cell J29.
</v>
      </c>
      <c r="G1991" s="9" t="str">
        <f t="shared" ca="1" si="665"/>
        <v xml:space="preserve">Enter a value for 'Number of Floors in the Tallest Building' in cell B60.
</v>
      </c>
      <c r="H1991" s="52" t="str">
        <f t="shared" ca="1" si="679"/>
        <v>Placed-In-Service Date</v>
      </c>
      <c r="I1991" s="52">
        <v>10</v>
      </c>
    </row>
    <row r="1992" spans="1:10" ht="15" customHeight="1">
      <c r="A1992" t="str">
        <f t="shared" ca="1" si="674"/>
        <v/>
      </c>
      <c r="B1992">
        <f t="shared" si="675"/>
        <v>29</v>
      </c>
      <c r="C1992">
        <f t="shared" ca="1" si="667"/>
        <v>26</v>
      </c>
      <c r="D1992" t="str">
        <f t="shared" si="676"/>
        <v>K29</v>
      </c>
      <c r="E1992" t="str">
        <f t="shared" ca="1" si="677"/>
        <v/>
      </c>
      <c r="F1992" t="str">
        <f t="shared" ca="1" si="678"/>
        <v xml:space="preserve">Enter a 'New Construction/ Rehab APR' for  building 26 in cell K29.
</v>
      </c>
      <c r="G1992" s="9" t="str">
        <f t="shared" ca="1" si="665"/>
        <v xml:space="preserve">Enter a value for 'Number of Floors in the Tallest Building' in cell B60.
</v>
      </c>
      <c r="H1992" s="52" t="str">
        <f t="shared" ca="1" si="679"/>
        <v>New Construction/ Rehab APR</v>
      </c>
      <c r="I1992" s="52">
        <v>11</v>
      </c>
    </row>
    <row r="1993" spans="1:10" ht="15" customHeight="1">
      <c r="A1993" t="str">
        <f t="shared" ca="1" si="674"/>
        <v/>
      </c>
      <c r="B1993">
        <f t="shared" si="675"/>
        <v>29</v>
      </c>
      <c r="C1993">
        <f t="shared" ca="1" si="667"/>
        <v>26</v>
      </c>
      <c r="D1993" t="str">
        <f t="shared" si="676"/>
        <v>L29</v>
      </c>
      <c r="E1993" t="str">
        <f t="shared" ca="1" si="677"/>
        <v/>
      </c>
      <c r="F1993" t="str">
        <f t="shared" ca="1" si="678"/>
        <v xml:space="preserve">Enter a 'New Construction Eligible Basis' for  building 26 in cell L29.
</v>
      </c>
      <c r="G1993" s="9" t="str">
        <f t="shared" ca="1" si="665"/>
        <v xml:space="preserve">Enter a value for 'Number of Floors in the Tallest Building' in cell B60.
</v>
      </c>
      <c r="H1993" s="52" t="str">
        <f t="shared" ca="1" si="679"/>
        <v>New Construction Eligible Basis</v>
      </c>
      <c r="I1993" s="52">
        <v>12</v>
      </c>
    </row>
    <row r="1994" spans="1:10" ht="15" customHeight="1">
      <c r="A1994" t="str">
        <f ca="1">IF(AND(OFFSET(A1994, -I1994 + 2, 4) &gt;  0, E1994="", Calculations!$B$7), F1994, "")</f>
        <v/>
      </c>
      <c r="B1994">
        <f t="shared" si="675"/>
        <v>29</v>
      </c>
      <c r="C1994">
        <f t="shared" ca="1" si="667"/>
        <v>26</v>
      </c>
      <c r="D1994" t="str">
        <f t="shared" si="676"/>
        <v>M29</v>
      </c>
      <c r="E1994" t="str">
        <f t="shared" ca="1" si="677"/>
        <v/>
      </c>
      <c r="F1994" t="str">
        <f t="shared" ca="1" si="678"/>
        <v xml:space="preserve">Enter a 'Eligible Basis for Rehab' for  building 26 in cell M29.
</v>
      </c>
      <c r="G1994" s="9" t="str">
        <f t="shared" ca="1" si="665"/>
        <v xml:space="preserve">Enter a value for 'Number of Floors in the Tallest Building' in cell B60.
</v>
      </c>
      <c r="H1994" s="52" t="str">
        <f t="shared" ca="1" si="679"/>
        <v>Eligible Basis for Rehab</v>
      </c>
      <c r="I1994" s="52">
        <v>13</v>
      </c>
    </row>
    <row r="1995" spans="1:10" ht="15" customHeight="1">
      <c r="A1995" t="str">
        <f ca="1">IF(AND(OFFSET(A1995, -I1995 + 2, 4) &gt;  0, E1995="", Calculations!$B$7), F1995, "")</f>
        <v/>
      </c>
      <c r="B1995">
        <f t="shared" si="675"/>
        <v>29</v>
      </c>
      <c r="C1995">
        <f t="shared" ca="1" si="667"/>
        <v>26</v>
      </c>
      <c r="D1995" t="str">
        <f t="shared" si="676"/>
        <v>N29</v>
      </c>
      <c r="E1995" t="str">
        <f t="shared" ca="1" si="677"/>
        <v/>
      </c>
      <c r="F1995" t="str">
        <f t="shared" ca="1" si="678"/>
        <v xml:space="preserve">Enter a 'Cost of Acquiring the Building***' for  building 26 in cell N29.
</v>
      </c>
      <c r="G1995" s="9" t="str">
        <f t="shared" ca="1" si="665"/>
        <v xml:space="preserve">Enter a value for 'Number of Floors in the Tallest Building' in cell B60.
</v>
      </c>
      <c r="H1995" s="52" t="str">
        <f t="shared" ca="1" si="679"/>
        <v>Cost of Acquiring the Building***</v>
      </c>
      <c r="I1995" s="52">
        <v>14</v>
      </c>
    </row>
    <row r="1996" spans="1:10" ht="15" customHeight="1">
      <c r="A1996" t="str">
        <f ca="1">IF(AND(OFFSET(A1996, -I1996 + 2, 4) &gt;  0, E1996="", Calculations!$B$7), F1996, "")</f>
        <v/>
      </c>
      <c r="B1996">
        <f t="shared" si="675"/>
        <v>29</v>
      </c>
      <c r="C1996">
        <f t="shared" ca="1" si="667"/>
        <v>26</v>
      </c>
      <c r="D1996" t="str">
        <f t="shared" si="676"/>
        <v>O29</v>
      </c>
      <c r="E1996" t="str">
        <f t="shared" ca="1" si="677"/>
        <v/>
      </c>
      <c r="F1996" t="str">
        <f t="shared" ca="1" si="678"/>
        <v xml:space="preserve">Enter a 'Higher of Land Purchase Price or Land Appraised Value****' for  building 26 in cell O29.
</v>
      </c>
      <c r="G1996" s="9" t="str">
        <f t="shared" ca="1" si="665"/>
        <v xml:space="preserve">Enter a value for 'Number of Floors in the Tallest Building' in cell B60.
</v>
      </c>
      <c r="H1996" s="52" t="str">
        <f t="shared" ca="1" si="679"/>
        <v>Higher of Land Purchase Price or Land Appraised Value****</v>
      </c>
      <c r="I1996" s="52">
        <v>15</v>
      </c>
    </row>
    <row r="1997" spans="1:10" ht="15" customHeight="1">
      <c r="A1997" t="str">
        <f ca="1">IF(AND(OFFSET(A1997, -I1997 + 2, 4) &gt;  0, E1997="", Calculations!$B$7), F1997, "")</f>
        <v/>
      </c>
      <c r="B1997">
        <f t="shared" si="675"/>
        <v>29</v>
      </c>
      <c r="C1997">
        <f t="shared" ca="1" si="667"/>
        <v>26</v>
      </c>
      <c r="D1997" t="str">
        <f t="shared" si="676"/>
        <v>P29</v>
      </c>
      <c r="E1997" t="str">
        <f t="shared" ca="1" si="677"/>
        <v/>
      </c>
      <c r="F1997" t="str">
        <f t="shared" ca="1" si="678"/>
        <v xml:space="preserve">Enter a 'Acquisition Placed-in-Service Date' for  building 26 in cell P29.
</v>
      </c>
      <c r="G1997" s="9" t="str">
        <f t="shared" ca="1" si="665"/>
        <v xml:space="preserve">Enter a value for 'Number of Floors in the Tallest Building' in cell B60.
</v>
      </c>
      <c r="H1997" s="52" t="str">
        <f t="shared" ca="1" si="679"/>
        <v>Acquisition Placed-in-Service Date</v>
      </c>
      <c r="I1997" s="52">
        <v>16</v>
      </c>
    </row>
    <row r="1998" spans="1:10" ht="15" customHeight="1">
      <c r="A1998" t="str">
        <f ca="1">IF(AND(OFFSET(A1998, -I1998 + 2, 4) &gt;  0, E1998="", Calculations!$B$7), F1998, "")</f>
        <v/>
      </c>
      <c r="B1998">
        <f t="shared" si="675"/>
        <v>29</v>
      </c>
      <c r="C1998">
        <f t="shared" ca="1" si="667"/>
        <v>26</v>
      </c>
      <c r="D1998" t="str">
        <f t="shared" si="676"/>
        <v>Q29</v>
      </c>
      <c r="E1998" t="str">
        <f t="shared" ca="1" si="677"/>
        <v/>
      </c>
      <c r="F1998" t="str">
        <f t="shared" ca="1" si="678"/>
        <v xml:space="preserve">Enter a 'Acquisition APR' for  building 26 in cell Q29.
</v>
      </c>
      <c r="G1998" s="9" t="str">
        <f t="shared" ca="1" si="665"/>
        <v xml:space="preserve">Enter a value for 'Number of Floors in the Tallest Building' in cell B60.
</v>
      </c>
      <c r="H1998" s="52" t="str">
        <f t="shared" ca="1" si="679"/>
        <v>Acquisition APR</v>
      </c>
      <c r="I1998" s="52">
        <v>17</v>
      </c>
    </row>
    <row r="1999" spans="1:10" ht="15" customHeight="1">
      <c r="A1999" t="str">
        <f ca="1">IF(AND(Calculations!$B$4,Calculations!$B$29&gt;=C1999, E1999 &lt;&gt; 13),F1999,"")</f>
        <v/>
      </c>
      <c r="B1999">
        <f>ROW('Final Building Profile'!C30)</f>
        <v>30</v>
      </c>
      <c r="C1999">
        <f t="shared" ca="1" si="667"/>
        <v>27</v>
      </c>
      <c r="D1999" t="str">
        <f>ADDRESS(B1999, 3,4  )</f>
        <v>C30</v>
      </c>
      <c r="E1999" s="52">
        <f ca="1">H1999+I1999</f>
        <v>0</v>
      </c>
      <c r="F1999" t="str">
        <f ca="1">CONCATENATE("Based upon the number of buildings specified, information for  building ", C1999, " required for a final application in row ", B1999, ".", CHAR(10))</f>
        <v xml:space="preserve">Based upon the number of buildings specified, information for  building 27 required for a final application in row 30.
</v>
      </c>
      <c r="G1999" s="9" t="str">
        <f t="shared" ca="1" si="665"/>
        <v xml:space="preserve">Enter a value for 'Number of Floors in the Tallest Building' in cell B60.
</v>
      </c>
      <c r="H1999" s="52">
        <f ca="1">SUMPRODUCT(--ISTEXT(INDIRECT(J1999)))</f>
        <v>0</v>
      </c>
      <c r="I1999" s="52">
        <f ca="1">SUMPRODUCT(--ISNUMBER(INDIRECT(J1999)))</f>
        <v>0</v>
      </c>
      <c r="J1999" s="52" t="str">
        <f>$F$1565&amp; ADDRESS(B1999,3,4) &amp; ":" &amp; ADDRESS(B1999,15,4)</f>
        <v>'Final Building Profile'!C30:O30</v>
      </c>
    </row>
    <row r="2000" spans="1:10" ht="15" customHeight="1">
      <c r="A2000" t="str">
        <f t="shared" ref="A2000:A2009" ca="1" si="680">IF(AND(OFFSET(A2000, -I2000 + 2, 4) &gt;  0, E2000=""), F2000, "")</f>
        <v/>
      </c>
      <c r="B2000">
        <f t="shared" ref="B2000:B2014" si="681">B1999</f>
        <v>30</v>
      </c>
      <c r="C2000">
        <f t="shared" ca="1" si="667"/>
        <v>27</v>
      </c>
      <c r="D2000" t="str">
        <f t="shared" ref="D2000:D2014" si="682">ADDRESS(B2000, I2000,4  )</f>
        <v>C30</v>
      </c>
      <c r="E2000" t="str">
        <f t="shared" ref="E2000:E2014" ca="1" si="683">IF(ISBLANK( INDIRECT($F$1565 &amp; D2000)),"", INDIRECT($F$1565 &amp; D2000))</f>
        <v/>
      </c>
      <c r="F2000" t="str">
        <f t="shared" ref="F2000:F2014" ca="1" si="684">CONCATENATE("Enter a '"&amp; H2000 &amp;"' for  building ", C2000, " in cell ", D2000, ".", CHAR(10))</f>
        <v xml:space="preserve">Enter a 'Building Street Address Only 
(DO NOT ENTER CITY, STATE, OR ZIP)' for  building 27 in cell C30.
</v>
      </c>
      <c r="G2000" s="9" t="str">
        <f t="shared" ca="1" si="665"/>
        <v xml:space="preserve">Enter a value for 'Number of Floors in the Tallest Building' in cell B60.
</v>
      </c>
      <c r="H2000" s="52" t="str">
        <f t="shared" ref="H2000:H2014" ca="1" si="685">OFFSET(INDIRECT($F$1565 &amp; D2000), -B2000 + 3, 0)</f>
        <v>Building Street Address Only 
(DO NOT ENTER CITY, STATE, OR ZIP)</v>
      </c>
      <c r="I2000" s="52">
        <v>3</v>
      </c>
    </row>
    <row r="2001" spans="1:10" ht="15" customHeight="1">
      <c r="A2001" t="str">
        <f t="shared" ca="1" si="680"/>
        <v/>
      </c>
      <c r="B2001">
        <f t="shared" si="681"/>
        <v>30</v>
      </c>
      <c r="C2001">
        <f t="shared" ca="1" si="667"/>
        <v>27</v>
      </c>
      <c r="D2001" t="str">
        <f t="shared" si="682"/>
        <v>D30</v>
      </c>
      <c r="E2001" t="str">
        <f t="shared" ca="1" si="683"/>
        <v/>
      </c>
      <c r="F2001" t="str">
        <f t="shared" ca="1" si="684"/>
        <v xml:space="preserve">Enter a 'Total Units in Building*' for  building 27 in cell D30.
</v>
      </c>
      <c r="G2001" s="9" t="str">
        <f t="shared" ca="1" si="665"/>
        <v xml:space="preserve">Enter a value for 'Number of Floors in the Tallest Building' in cell B60.
</v>
      </c>
      <c r="H2001" s="52" t="str">
        <f t="shared" ca="1" si="685"/>
        <v>Total Units in Building*</v>
      </c>
      <c r="I2001" s="52">
        <v>4</v>
      </c>
    </row>
    <row r="2002" spans="1:10" ht="15" customHeight="1">
      <c r="A2002" t="str">
        <f t="shared" ca="1" si="680"/>
        <v/>
      </c>
      <c r="B2002">
        <f t="shared" si="681"/>
        <v>30</v>
      </c>
      <c r="C2002">
        <f t="shared" ca="1" si="667"/>
        <v>27</v>
      </c>
      <c r="D2002" t="str">
        <f t="shared" si="682"/>
        <v>E30</v>
      </c>
      <c r="E2002" t="str">
        <f t="shared" ca="1" si="683"/>
        <v/>
      </c>
      <c r="F2002" t="str">
        <f t="shared" ca="1" si="684"/>
        <v xml:space="preserve">Enter a 'Employee Units' for  building 27 in cell E30.
</v>
      </c>
      <c r="G2002" s="9" t="str">
        <f t="shared" ca="1" si="665"/>
        <v xml:space="preserve">Enter a value for 'Number of Floors in the Tallest Building' in cell B60.
</v>
      </c>
      <c r="H2002" s="52" t="str">
        <f t="shared" ca="1" si="685"/>
        <v>Employee Units</v>
      </c>
      <c r="I2002" s="52">
        <v>5</v>
      </c>
    </row>
    <row r="2003" spans="1:10" ht="15" customHeight="1">
      <c r="A2003" t="str">
        <f t="shared" ca="1" si="680"/>
        <v/>
      </c>
      <c r="B2003">
        <f t="shared" si="681"/>
        <v>30</v>
      </c>
      <c r="C2003">
        <f t="shared" ca="1" si="667"/>
        <v>27</v>
      </c>
      <c r="D2003" t="str">
        <f t="shared" si="682"/>
        <v>F30</v>
      </c>
      <c r="E2003" t="str">
        <f t="shared" ca="1" si="683"/>
        <v/>
      </c>
      <c r="F2003" t="str">
        <f t="shared" ca="1" si="684"/>
        <v xml:space="preserve">Enter a 'Low-Income Units' for  building 27 in cell F30.
</v>
      </c>
      <c r="G2003" s="9" t="str">
        <f t="shared" ca="1" si="665"/>
        <v xml:space="preserve">Enter a value for 'Number of Floors in the Tallest Building' in cell B60.
</v>
      </c>
      <c r="H2003" s="52" t="str">
        <f t="shared" ca="1" si="685"/>
        <v>Low-Income Units</v>
      </c>
      <c r="I2003" s="52">
        <v>6</v>
      </c>
    </row>
    <row r="2004" spans="1:10" ht="15" customHeight="1">
      <c r="A2004" t="str">
        <f t="shared" ca="1" si="680"/>
        <v/>
      </c>
      <c r="B2004">
        <f t="shared" si="681"/>
        <v>30</v>
      </c>
      <c r="C2004">
        <f t="shared" ca="1" si="667"/>
        <v>27</v>
      </c>
      <c r="D2004" t="str">
        <f t="shared" si="682"/>
        <v>G30</v>
      </c>
      <c r="E2004" t="str">
        <f t="shared" ca="1" si="683"/>
        <v/>
      </c>
      <c r="F2004" t="str">
        <f t="shared" ca="1" si="684"/>
        <v xml:space="preserve">Enter a 'Residential Square Footage**' for  building 27 in cell G30.
</v>
      </c>
      <c r="G2004" s="9" t="str">
        <f t="shared" ca="1" si="665"/>
        <v xml:space="preserve">Enter a value for 'Number of Floors in the Tallest Building' in cell B60.
</v>
      </c>
      <c r="H2004" s="52" t="str">
        <f t="shared" ca="1" si="685"/>
        <v>Residential Square Footage**</v>
      </c>
      <c r="I2004" s="52">
        <v>7</v>
      </c>
    </row>
    <row r="2005" spans="1:10" ht="15" customHeight="1">
      <c r="A2005" t="str">
        <f t="shared" ca="1" si="680"/>
        <v/>
      </c>
      <c r="B2005">
        <f t="shared" si="681"/>
        <v>30</v>
      </c>
      <c r="C2005">
        <f t="shared" ca="1" si="667"/>
        <v>27</v>
      </c>
      <c r="D2005" t="str">
        <f t="shared" si="682"/>
        <v>H30</v>
      </c>
      <c r="E2005" t="str">
        <f t="shared" ca="1" si="683"/>
        <v/>
      </c>
      <c r="F2005" t="str">
        <f t="shared" ca="1" si="684"/>
        <v xml:space="preserve">Enter a 'Square Footage of Employee Units' for  building 27 in cell H30.
</v>
      </c>
      <c r="G2005" s="9" t="str">
        <f t="shared" ca="1" si="665"/>
        <v xml:space="preserve">Enter a value for 'Number of Floors in the Tallest Building' in cell B60.
</v>
      </c>
      <c r="H2005" s="52" t="str">
        <f t="shared" ca="1" si="685"/>
        <v>Square Footage of Employee Units</v>
      </c>
      <c r="I2005" s="52">
        <v>8</v>
      </c>
    </row>
    <row r="2006" spans="1:10" ht="15" customHeight="1">
      <c r="A2006" t="str">
        <f t="shared" ca="1" si="680"/>
        <v/>
      </c>
      <c r="B2006">
        <f t="shared" si="681"/>
        <v>30</v>
      </c>
      <c r="C2006">
        <f t="shared" ca="1" si="667"/>
        <v>27</v>
      </c>
      <c r="D2006" t="str">
        <f t="shared" si="682"/>
        <v>I30</v>
      </c>
      <c r="E2006" t="str">
        <f t="shared" ca="1" si="683"/>
        <v/>
      </c>
      <c r="F2006" t="str">
        <f t="shared" ca="1" si="684"/>
        <v xml:space="preserve">Enter a 'Square Footage of Low-Income Units' for  building 27 in cell I30.
</v>
      </c>
      <c r="G2006" s="9" t="str">
        <f t="shared" ca="1" si="665"/>
        <v xml:space="preserve">Enter a value for 'Number of Floors in the Tallest Building' in cell B60.
</v>
      </c>
      <c r="H2006" s="52" t="str">
        <f t="shared" ca="1" si="685"/>
        <v>Square Footage of Low-Income Units</v>
      </c>
      <c r="I2006" s="52">
        <v>9</v>
      </c>
    </row>
    <row r="2007" spans="1:10" ht="15" customHeight="1">
      <c r="A2007" t="str">
        <f t="shared" ca="1" si="680"/>
        <v/>
      </c>
      <c r="B2007">
        <f t="shared" si="681"/>
        <v>30</v>
      </c>
      <c r="C2007">
        <f t="shared" ca="1" si="667"/>
        <v>27</v>
      </c>
      <c r="D2007" t="str">
        <f t="shared" si="682"/>
        <v>J30</v>
      </c>
      <c r="E2007" t="str">
        <f t="shared" ca="1" si="683"/>
        <v/>
      </c>
      <c r="F2007" t="str">
        <f t="shared" ca="1" si="684"/>
        <v xml:space="preserve">Enter a 'Placed-In-Service Date' for  building 27 in cell J30.
</v>
      </c>
      <c r="G2007" s="9" t="str">
        <f t="shared" ca="1" si="665"/>
        <v xml:space="preserve">Enter a value for 'Number of Floors in the Tallest Building' in cell B60.
</v>
      </c>
      <c r="H2007" s="52" t="str">
        <f t="shared" ca="1" si="685"/>
        <v>Placed-In-Service Date</v>
      </c>
      <c r="I2007" s="52">
        <v>10</v>
      </c>
    </row>
    <row r="2008" spans="1:10" ht="15" customHeight="1">
      <c r="A2008" t="str">
        <f t="shared" ca="1" si="680"/>
        <v/>
      </c>
      <c r="B2008">
        <f t="shared" si="681"/>
        <v>30</v>
      </c>
      <c r="C2008">
        <f t="shared" ca="1" si="667"/>
        <v>27</v>
      </c>
      <c r="D2008" t="str">
        <f t="shared" si="682"/>
        <v>K30</v>
      </c>
      <c r="E2008" t="str">
        <f t="shared" ca="1" si="683"/>
        <v/>
      </c>
      <c r="F2008" t="str">
        <f t="shared" ca="1" si="684"/>
        <v xml:space="preserve">Enter a 'New Construction/ Rehab APR' for  building 27 in cell K30.
</v>
      </c>
      <c r="G2008" s="9" t="str">
        <f t="shared" ca="1" si="665"/>
        <v xml:space="preserve">Enter a value for 'Number of Floors in the Tallest Building' in cell B60.
</v>
      </c>
      <c r="H2008" s="52" t="str">
        <f t="shared" ca="1" si="685"/>
        <v>New Construction/ Rehab APR</v>
      </c>
      <c r="I2008" s="52">
        <v>11</v>
      </c>
    </row>
    <row r="2009" spans="1:10" ht="15" customHeight="1">
      <c r="A2009" t="str">
        <f t="shared" ca="1" si="680"/>
        <v/>
      </c>
      <c r="B2009">
        <f t="shared" si="681"/>
        <v>30</v>
      </c>
      <c r="C2009">
        <f t="shared" ca="1" si="667"/>
        <v>27</v>
      </c>
      <c r="D2009" t="str">
        <f t="shared" si="682"/>
        <v>L30</v>
      </c>
      <c r="E2009" t="str">
        <f t="shared" ca="1" si="683"/>
        <v/>
      </c>
      <c r="F2009" t="str">
        <f t="shared" ca="1" si="684"/>
        <v xml:space="preserve">Enter a 'New Construction Eligible Basis' for  building 27 in cell L30.
</v>
      </c>
      <c r="G2009" s="9" t="str">
        <f t="shared" ca="1" si="665"/>
        <v xml:space="preserve">Enter a value for 'Number of Floors in the Tallest Building' in cell B60.
</v>
      </c>
      <c r="H2009" s="52" t="str">
        <f t="shared" ca="1" si="685"/>
        <v>New Construction Eligible Basis</v>
      </c>
      <c r="I2009" s="52">
        <v>12</v>
      </c>
    </row>
    <row r="2010" spans="1:10" ht="15" customHeight="1">
      <c r="A2010" t="str">
        <f ca="1">IF(AND(OFFSET(A2010, -I2010 + 2, 4) &gt;  0, E2010="", Calculations!$B$7), F2010, "")</f>
        <v/>
      </c>
      <c r="B2010">
        <f t="shared" si="681"/>
        <v>30</v>
      </c>
      <c r="C2010">
        <f t="shared" ca="1" si="667"/>
        <v>27</v>
      </c>
      <c r="D2010" t="str">
        <f t="shared" si="682"/>
        <v>M30</v>
      </c>
      <c r="E2010" t="str">
        <f t="shared" ca="1" si="683"/>
        <v/>
      </c>
      <c r="F2010" t="str">
        <f t="shared" ca="1" si="684"/>
        <v xml:space="preserve">Enter a 'Eligible Basis for Rehab' for  building 27 in cell M30.
</v>
      </c>
      <c r="G2010" s="9" t="str">
        <f t="shared" ca="1" si="665"/>
        <v xml:space="preserve">Enter a value for 'Number of Floors in the Tallest Building' in cell B60.
</v>
      </c>
      <c r="H2010" s="52" t="str">
        <f t="shared" ca="1" si="685"/>
        <v>Eligible Basis for Rehab</v>
      </c>
      <c r="I2010" s="52">
        <v>13</v>
      </c>
    </row>
    <row r="2011" spans="1:10" ht="15" customHeight="1">
      <c r="A2011" t="str">
        <f ca="1">IF(AND(OFFSET(A2011, -I2011 + 2, 4) &gt;  0, E2011="", Calculations!$B$7), F2011, "")</f>
        <v/>
      </c>
      <c r="B2011">
        <f t="shared" si="681"/>
        <v>30</v>
      </c>
      <c r="C2011">
        <f t="shared" ca="1" si="667"/>
        <v>27</v>
      </c>
      <c r="D2011" t="str">
        <f t="shared" si="682"/>
        <v>N30</v>
      </c>
      <c r="E2011" t="str">
        <f t="shared" ca="1" si="683"/>
        <v/>
      </c>
      <c r="F2011" t="str">
        <f t="shared" ca="1" si="684"/>
        <v xml:space="preserve">Enter a 'Cost of Acquiring the Building***' for  building 27 in cell N30.
</v>
      </c>
      <c r="G2011" s="9" t="str">
        <f t="shared" ca="1" si="665"/>
        <v xml:space="preserve">Enter a value for 'Number of Floors in the Tallest Building' in cell B60.
</v>
      </c>
      <c r="H2011" s="52" t="str">
        <f t="shared" ca="1" si="685"/>
        <v>Cost of Acquiring the Building***</v>
      </c>
      <c r="I2011" s="52">
        <v>14</v>
      </c>
    </row>
    <row r="2012" spans="1:10" ht="15" customHeight="1">
      <c r="A2012" t="str">
        <f ca="1">IF(AND(OFFSET(A2012, -I2012 + 2, 4) &gt;  0, E2012="", Calculations!$B$7), F2012, "")</f>
        <v/>
      </c>
      <c r="B2012">
        <f t="shared" si="681"/>
        <v>30</v>
      </c>
      <c r="C2012">
        <f t="shared" ca="1" si="667"/>
        <v>27</v>
      </c>
      <c r="D2012" t="str">
        <f t="shared" si="682"/>
        <v>O30</v>
      </c>
      <c r="E2012" t="str">
        <f t="shared" ca="1" si="683"/>
        <v/>
      </c>
      <c r="F2012" t="str">
        <f t="shared" ca="1" si="684"/>
        <v xml:space="preserve">Enter a 'Higher of Land Purchase Price or Land Appraised Value****' for  building 27 in cell O30.
</v>
      </c>
      <c r="G2012" s="9" t="str">
        <f t="shared" ca="1" si="665"/>
        <v xml:space="preserve">Enter a value for 'Number of Floors in the Tallest Building' in cell B60.
</v>
      </c>
      <c r="H2012" s="52" t="str">
        <f t="shared" ca="1" si="685"/>
        <v>Higher of Land Purchase Price or Land Appraised Value****</v>
      </c>
      <c r="I2012" s="52">
        <v>15</v>
      </c>
    </row>
    <row r="2013" spans="1:10" ht="15" customHeight="1">
      <c r="A2013" t="str">
        <f ca="1">IF(AND(OFFSET(A2013, -I2013 + 2, 4) &gt;  0, E2013="", Calculations!$B$7), F2013, "")</f>
        <v/>
      </c>
      <c r="B2013">
        <f t="shared" si="681"/>
        <v>30</v>
      </c>
      <c r="C2013">
        <f t="shared" ca="1" si="667"/>
        <v>27</v>
      </c>
      <c r="D2013" t="str">
        <f t="shared" si="682"/>
        <v>P30</v>
      </c>
      <c r="E2013" t="str">
        <f t="shared" ca="1" si="683"/>
        <v/>
      </c>
      <c r="F2013" t="str">
        <f t="shared" ca="1" si="684"/>
        <v xml:space="preserve">Enter a 'Acquisition Placed-in-Service Date' for  building 27 in cell P30.
</v>
      </c>
      <c r="G2013" s="9" t="str">
        <f t="shared" ca="1" si="665"/>
        <v xml:space="preserve">Enter a value for 'Number of Floors in the Tallest Building' in cell B60.
</v>
      </c>
      <c r="H2013" s="52" t="str">
        <f t="shared" ca="1" si="685"/>
        <v>Acquisition Placed-in-Service Date</v>
      </c>
      <c r="I2013" s="52">
        <v>16</v>
      </c>
    </row>
    <row r="2014" spans="1:10" ht="15" customHeight="1">
      <c r="A2014" t="str">
        <f ca="1">IF(AND(OFFSET(A2014, -I2014 + 2, 4) &gt;  0, E2014="", Calculations!$B$7), F2014, "")</f>
        <v/>
      </c>
      <c r="B2014">
        <f t="shared" si="681"/>
        <v>30</v>
      </c>
      <c r="C2014">
        <f t="shared" ca="1" si="667"/>
        <v>27</v>
      </c>
      <c r="D2014" t="str">
        <f t="shared" si="682"/>
        <v>Q30</v>
      </c>
      <c r="E2014" t="str">
        <f t="shared" ca="1" si="683"/>
        <v/>
      </c>
      <c r="F2014" t="str">
        <f t="shared" ca="1" si="684"/>
        <v xml:space="preserve">Enter a 'Acquisition APR' for  building 27 in cell Q30.
</v>
      </c>
      <c r="G2014" s="9" t="str">
        <f t="shared" ca="1" si="665"/>
        <v xml:space="preserve">Enter a value for 'Number of Floors in the Tallest Building' in cell B60.
</v>
      </c>
      <c r="H2014" s="52" t="str">
        <f t="shared" ca="1" si="685"/>
        <v>Acquisition APR</v>
      </c>
      <c r="I2014" s="52">
        <v>17</v>
      </c>
    </row>
    <row r="2015" spans="1:10" ht="15" customHeight="1">
      <c r="A2015" t="str">
        <f ca="1">IF(AND(Calculations!$B$4,Calculations!$B$29&gt;=C2015, E2015 &lt;&gt; 13),F2015,"")</f>
        <v/>
      </c>
      <c r="B2015">
        <f>ROW('Final Building Profile'!C31)</f>
        <v>31</v>
      </c>
      <c r="C2015">
        <f t="shared" ca="1" si="667"/>
        <v>28</v>
      </c>
      <c r="D2015" t="str">
        <f>ADDRESS(B2015, 3,4  )</f>
        <v>C31</v>
      </c>
      <c r="E2015" s="52">
        <f ca="1">H2015+I2015</f>
        <v>0</v>
      </c>
      <c r="F2015" t="str">
        <f ca="1">CONCATENATE("Based upon the number of buildings specified, information for  building ", C2015, " required for a final application in row ", B2015, ".", CHAR(10))</f>
        <v xml:space="preserve">Based upon the number of buildings specified, information for  building 28 required for a final application in row 31.
</v>
      </c>
      <c r="G2015" s="9" t="str">
        <f t="shared" ca="1" si="665"/>
        <v xml:space="preserve">Enter a value for 'Number of Floors in the Tallest Building' in cell B60.
</v>
      </c>
      <c r="H2015" s="52">
        <f ca="1">SUMPRODUCT(--ISTEXT(INDIRECT(J2015)))</f>
        <v>0</v>
      </c>
      <c r="I2015" s="52">
        <f ca="1">SUMPRODUCT(--ISNUMBER(INDIRECT(J2015)))</f>
        <v>0</v>
      </c>
      <c r="J2015" s="52" t="str">
        <f>$F$1565&amp; ADDRESS(B2015,3,4) &amp; ":" &amp; ADDRESS(B2015,15,4)</f>
        <v>'Final Building Profile'!C31:O31</v>
      </c>
    </row>
    <row r="2016" spans="1:10" ht="15" customHeight="1">
      <c r="A2016" t="str">
        <f t="shared" ref="A2016:A2025" ca="1" si="686">IF(AND(OFFSET(A2016, -I2016 + 2, 4) &gt;  0, E2016=""), F2016, "")</f>
        <v/>
      </c>
      <c r="B2016">
        <f t="shared" ref="B2016:B2030" si="687">B2015</f>
        <v>31</v>
      </c>
      <c r="C2016">
        <f t="shared" ca="1" si="667"/>
        <v>28</v>
      </c>
      <c r="D2016" t="str">
        <f t="shared" ref="D2016:D2030" si="688">ADDRESS(B2016, I2016,4  )</f>
        <v>C31</v>
      </c>
      <c r="E2016" t="str">
        <f t="shared" ref="E2016:E2030" ca="1" si="689">IF(ISBLANK( INDIRECT($F$1565 &amp; D2016)),"", INDIRECT($F$1565 &amp; D2016))</f>
        <v/>
      </c>
      <c r="F2016" t="str">
        <f t="shared" ref="F2016:F2030" ca="1" si="690">CONCATENATE("Enter a '"&amp; H2016 &amp;"' for  building ", C2016, " in cell ", D2016, ".", CHAR(10))</f>
        <v xml:space="preserve">Enter a 'Building Street Address Only 
(DO NOT ENTER CITY, STATE, OR ZIP)' for  building 28 in cell C31.
</v>
      </c>
      <c r="G2016" s="9" t="str">
        <f t="shared" ref="G2016:G2079" ca="1" si="691">OFFSET(G2016, -1, 0) &amp; A2016</f>
        <v xml:space="preserve">Enter a value for 'Number of Floors in the Tallest Building' in cell B60.
</v>
      </c>
      <c r="H2016" s="52" t="str">
        <f t="shared" ref="H2016:H2030" ca="1" si="692">OFFSET(INDIRECT($F$1565 &amp; D2016), -B2016 + 3, 0)</f>
        <v>Building Street Address Only 
(DO NOT ENTER CITY, STATE, OR ZIP)</v>
      </c>
      <c r="I2016" s="52">
        <v>3</v>
      </c>
    </row>
    <row r="2017" spans="1:10" ht="15" customHeight="1">
      <c r="A2017" t="str">
        <f t="shared" ca="1" si="686"/>
        <v/>
      </c>
      <c r="B2017">
        <f t="shared" si="687"/>
        <v>31</v>
      </c>
      <c r="C2017">
        <f t="shared" ca="1" si="667"/>
        <v>28</v>
      </c>
      <c r="D2017" t="str">
        <f t="shared" si="688"/>
        <v>D31</v>
      </c>
      <c r="E2017" t="str">
        <f t="shared" ca="1" si="689"/>
        <v/>
      </c>
      <c r="F2017" t="str">
        <f t="shared" ca="1" si="690"/>
        <v xml:space="preserve">Enter a 'Total Units in Building*' for  building 28 in cell D31.
</v>
      </c>
      <c r="G2017" s="9" t="str">
        <f t="shared" ca="1" si="691"/>
        <v xml:space="preserve">Enter a value for 'Number of Floors in the Tallest Building' in cell B60.
</v>
      </c>
      <c r="H2017" s="52" t="str">
        <f t="shared" ca="1" si="692"/>
        <v>Total Units in Building*</v>
      </c>
      <c r="I2017" s="52">
        <v>4</v>
      </c>
    </row>
    <row r="2018" spans="1:10" ht="15" customHeight="1">
      <c r="A2018" t="str">
        <f t="shared" ca="1" si="686"/>
        <v/>
      </c>
      <c r="B2018">
        <f t="shared" si="687"/>
        <v>31</v>
      </c>
      <c r="C2018">
        <f t="shared" ca="1" si="667"/>
        <v>28</v>
      </c>
      <c r="D2018" t="str">
        <f t="shared" si="688"/>
        <v>E31</v>
      </c>
      <c r="E2018" t="str">
        <f t="shared" ca="1" si="689"/>
        <v/>
      </c>
      <c r="F2018" t="str">
        <f t="shared" ca="1" si="690"/>
        <v xml:space="preserve">Enter a 'Employee Units' for  building 28 in cell E31.
</v>
      </c>
      <c r="G2018" s="9" t="str">
        <f t="shared" ca="1" si="691"/>
        <v xml:space="preserve">Enter a value for 'Number of Floors in the Tallest Building' in cell B60.
</v>
      </c>
      <c r="H2018" s="52" t="str">
        <f t="shared" ca="1" si="692"/>
        <v>Employee Units</v>
      </c>
      <c r="I2018" s="52">
        <v>5</v>
      </c>
    </row>
    <row r="2019" spans="1:10" ht="15" customHeight="1">
      <c r="A2019" t="str">
        <f t="shared" ca="1" si="686"/>
        <v/>
      </c>
      <c r="B2019">
        <f t="shared" si="687"/>
        <v>31</v>
      </c>
      <c r="C2019">
        <f t="shared" ca="1" si="667"/>
        <v>28</v>
      </c>
      <c r="D2019" t="str">
        <f t="shared" si="688"/>
        <v>F31</v>
      </c>
      <c r="E2019" t="str">
        <f t="shared" ca="1" si="689"/>
        <v/>
      </c>
      <c r="F2019" t="str">
        <f t="shared" ca="1" si="690"/>
        <v xml:space="preserve">Enter a 'Low-Income Units' for  building 28 in cell F31.
</v>
      </c>
      <c r="G2019" s="9" t="str">
        <f t="shared" ca="1" si="691"/>
        <v xml:space="preserve">Enter a value for 'Number of Floors in the Tallest Building' in cell B60.
</v>
      </c>
      <c r="H2019" s="52" t="str">
        <f t="shared" ca="1" si="692"/>
        <v>Low-Income Units</v>
      </c>
      <c r="I2019" s="52">
        <v>6</v>
      </c>
    </row>
    <row r="2020" spans="1:10" ht="15" customHeight="1">
      <c r="A2020" t="str">
        <f t="shared" ca="1" si="686"/>
        <v/>
      </c>
      <c r="B2020">
        <f t="shared" si="687"/>
        <v>31</v>
      </c>
      <c r="C2020">
        <f t="shared" ca="1" si="667"/>
        <v>28</v>
      </c>
      <c r="D2020" t="str">
        <f t="shared" si="688"/>
        <v>G31</v>
      </c>
      <c r="E2020" t="str">
        <f t="shared" ca="1" si="689"/>
        <v/>
      </c>
      <c r="F2020" t="str">
        <f t="shared" ca="1" si="690"/>
        <v xml:space="preserve">Enter a 'Residential Square Footage**' for  building 28 in cell G31.
</v>
      </c>
      <c r="G2020" s="9" t="str">
        <f t="shared" ca="1" si="691"/>
        <v xml:space="preserve">Enter a value for 'Number of Floors in the Tallest Building' in cell B60.
</v>
      </c>
      <c r="H2020" s="52" t="str">
        <f t="shared" ca="1" si="692"/>
        <v>Residential Square Footage**</v>
      </c>
      <c r="I2020" s="52">
        <v>7</v>
      </c>
    </row>
    <row r="2021" spans="1:10" ht="15" customHeight="1">
      <c r="A2021" t="str">
        <f t="shared" ca="1" si="686"/>
        <v/>
      </c>
      <c r="B2021">
        <f t="shared" si="687"/>
        <v>31</v>
      </c>
      <c r="C2021">
        <f t="shared" ca="1" si="667"/>
        <v>28</v>
      </c>
      <c r="D2021" t="str">
        <f t="shared" si="688"/>
        <v>H31</v>
      </c>
      <c r="E2021" t="str">
        <f t="shared" ca="1" si="689"/>
        <v/>
      </c>
      <c r="F2021" t="str">
        <f t="shared" ca="1" si="690"/>
        <v xml:space="preserve">Enter a 'Square Footage of Employee Units' for  building 28 in cell H31.
</v>
      </c>
      <c r="G2021" s="9" t="str">
        <f t="shared" ca="1" si="691"/>
        <v xml:space="preserve">Enter a value for 'Number of Floors in the Tallest Building' in cell B60.
</v>
      </c>
      <c r="H2021" s="52" t="str">
        <f t="shared" ca="1" si="692"/>
        <v>Square Footage of Employee Units</v>
      </c>
      <c r="I2021" s="52">
        <v>8</v>
      </c>
    </row>
    <row r="2022" spans="1:10" ht="15" customHeight="1">
      <c r="A2022" t="str">
        <f t="shared" ca="1" si="686"/>
        <v/>
      </c>
      <c r="B2022">
        <f t="shared" si="687"/>
        <v>31</v>
      </c>
      <c r="C2022">
        <f t="shared" ca="1" si="667"/>
        <v>28</v>
      </c>
      <c r="D2022" t="str">
        <f t="shared" si="688"/>
        <v>I31</v>
      </c>
      <c r="E2022" t="str">
        <f t="shared" ca="1" si="689"/>
        <v/>
      </c>
      <c r="F2022" t="str">
        <f t="shared" ca="1" si="690"/>
        <v xml:space="preserve">Enter a 'Square Footage of Low-Income Units' for  building 28 in cell I31.
</v>
      </c>
      <c r="G2022" s="9" t="str">
        <f t="shared" ca="1" si="691"/>
        <v xml:space="preserve">Enter a value for 'Number of Floors in the Tallest Building' in cell B60.
</v>
      </c>
      <c r="H2022" s="52" t="str">
        <f t="shared" ca="1" si="692"/>
        <v>Square Footage of Low-Income Units</v>
      </c>
      <c r="I2022" s="52">
        <v>9</v>
      </c>
    </row>
    <row r="2023" spans="1:10" ht="15" customHeight="1">
      <c r="A2023" t="str">
        <f t="shared" ca="1" si="686"/>
        <v/>
      </c>
      <c r="B2023">
        <f t="shared" si="687"/>
        <v>31</v>
      </c>
      <c r="C2023">
        <f t="shared" ca="1" si="667"/>
        <v>28</v>
      </c>
      <c r="D2023" t="str">
        <f t="shared" si="688"/>
        <v>J31</v>
      </c>
      <c r="E2023" t="str">
        <f t="shared" ca="1" si="689"/>
        <v/>
      </c>
      <c r="F2023" t="str">
        <f t="shared" ca="1" si="690"/>
        <v xml:space="preserve">Enter a 'Placed-In-Service Date' for  building 28 in cell J31.
</v>
      </c>
      <c r="G2023" s="9" t="str">
        <f t="shared" ca="1" si="691"/>
        <v xml:space="preserve">Enter a value for 'Number of Floors in the Tallest Building' in cell B60.
</v>
      </c>
      <c r="H2023" s="52" t="str">
        <f t="shared" ca="1" si="692"/>
        <v>Placed-In-Service Date</v>
      </c>
      <c r="I2023" s="52">
        <v>10</v>
      </c>
    </row>
    <row r="2024" spans="1:10" ht="15" customHeight="1">
      <c r="A2024" t="str">
        <f t="shared" ca="1" si="686"/>
        <v/>
      </c>
      <c r="B2024">
        <f t="shared" si="687"/>
        <v>31</v>
      </c>
      <c r="C2024">
        <f t="shared" ca="1" si="667"/>
        <v>28</v>
      </c>
      <c r="D2024" t="str">
        <f t="shared" si="688"/>
        <v>K31</v>
      </c>
      <c r="E2024" t="str">
        <f t="shared" ca="1" si="689"/>
        <v/>
      </c>
      <c r="F2024" t="str">
        <f t="shared" ca="1" si="690"/>
        <v xml:space="preserve">Enter a 'New Construction/ Rehab APR' for  building 28 in cell K31.
</v>
      </c>
      <c r="G2024" s="9" t="str">
        <f t="shared" ca="1" si="691"/>
        <v xml:space="preserve">Enter a value for 'Number of Floors in the Tallest Building' in cell B60.
</v>
      </c>
      <c r="H2024" s="52" t="str">
        <f t="shared" ca="1" si="692"/>
        <v>New Construction/ Rehab APR</v>
      </c>
      <c r="I2024" s="52">
        <v>11</v>
      </c>
    </row>
    <row r="2025" spans="1:10" ht="15" customHeight="1">
      <c r="A2025" t="str">
        <f t="shared" ca="1" si="686"/>
        <v/>
      </c>
      <c r="B2025">
        <f t="shared" si="687"/>
        <v>31</v>
      </c>
      <c r="C2025">
        <f t="shared" ca="1" si="667"/>
        <v>28</v>
      </c>
      <c r="D2025" t="str">
        <f t="shared" si="688"/>
        <v>L31</v>
      </c>
      <c r="E2025" t="str">
        <f t="shared" ca="1" si="689"/>
        <v/>
      </c>
      <c r="F2025" t="str">
        <f t="shared" ca="1" si="690"/>
        <v xml:space="preserve">Enter a 'New Construction Eligible Basis' for  building 28 in cell L31.
</v>
      </c>
      <c r="G2025" s="9" t="str">
        <f t="shared" ca="1" si="691"/>
        <v xml:space="preserve">Enter a value for 'Number of Floors in the Tallest Building' in cell B60.
</v>
      </c>
      <c r="H2025" s="52" t="str">
        <f t="shared" ca="1" si="692"/>
        <v>New Construction Eligible Basis</v>
      </c>
      <c r="I2025" s="52">
        <v>12</v>
      </c>
    </row>
    <row r="2026" spans="1:10" ht="15" customHeight="1">
      <c r="A2026" t="str">
        <f ca="1">IF(AND(OFFSET(A2026, -I2026 + 2, 4) &gt;  0, E2026="", Calculations!$B$7), F2026, "")</f>
        <v/>
      </c>
      <c r="B2026">
        <f t="shared" si="687"/>
        <v>31</v>
      </c>
      <c r="C2026">
        <f t="shared" ca="1" si="667"/>
        <v>28</v>
      </c>
      <c r="D2026" t="str">
        <f t="shared" si="688"/>
        <v>M31</v>
      </c>
      <c r="E2026" t="str">
        <f t="shared" ca="1" si="689"/>
        <v/>
      </c>
      <c r="F2026" t="str">
        <f t="shared" ca="1" si="690"/>
        <v xml:space="preserve">Enter a 'Eligible Basis for Rehab' for  building 28 in cell M31.
</v>
      </c>
      <c r="G2026" s="9" t="str">
        <f t="shared" ca="1" si="691"/>
        <v xml:space="preserve">Enter a value for 'Number of Floors in the Tallest Building' in cell B60.
</v>
      </c>
      <c r="H2026" s="52" t="str">
        <f t="shared" ca="1" si="692"/>
        <v>Eligible Basis for Rehab</v>
      </c>
      <c r="I2026" s="52">
        <v>13</v>
      </c>
    </row>
    <row r="2027" spans="1:10" ht="15" customHeight="1">
      <c r="A2027" t="str">
        <f ca="1">IF(AND(OFFSET(A2027, -I2027 + 2, 4) &gt;  0, E2027="", Calculations!$B$7), F2027, "")</f>
        <v/>
      </c>
      <c r="B2027">
        <f t="shared" si="687"/>
        <v>31</v>
      </c>
      <c r="C2027">
        <f t="shared" ca="1" si="667"/>
        <v>28</v>
      </c>
      <c r="D2027" t="str">
        <f t="shared" si="688"/>
        <v>N31</v>
      </c>
      <c r="E2027" t="str">
        <f t="shared" ca="1" si="689"/>
        <v/>
      </c>
      <c r="F2027" t="str">
        <f t="shared" ca="1" si="690"/>
        <v xml:space="preserve">Enter a 'Cost of Acquiring the Building***' for  building 28 in cell N31.
</v>
      </c>
      <c r="G2027" s="9" t="str">
        <f t="shared" ca="1" si="691"/>
        <v xml:space="preserve">Enter a value for 'Number of Floors in the Tallest Building' in cell B60.
</v>
      </c>
      <c r="H2027" s="52" t="str">
        <f t="shared" ca="1" si="692"/>
        <v>Cost of Acquiring the Building***</v>
      </c>
      <c r="I2027" s="52">
        <v>14</v>
      </c>
    </row>
    <row r="2028" spans="1:10" ht="15" customHeight="1">
      <c r="A2028" t="str">
        <f ca="1">IF(AND(OFFSET(A2028, -I2028 + 2, 4) &gt;  0, E2028="", Calculations!$B$7), F2028, "")</f>
        <v/>
      </c>
      <c r="B2028">
        <f t="shared" si="687"/>
        <v>31</v>
      </c>
      <c r="C2028">
        <f t="shared" ca="1" si="667"/>
        <v>28</v>
      </c>
      <c r="D2028" t="str">
        <f t="shared" si="688"/>
        <v>O31</v>
      </c>
      <c r="E2028" t="str">
        <f t="shared" ca="1" si="689"/>
        <v/>
      </c>
      <c r="F2028" t="str">
        <f t="shared" ca="1" si="690"/>
        <v xml:space="preserve">Enter a 'Higher of Land Purchase Price or Land Appraised Value****' for  building 28 in cell O31.
</v>
      </c>
      <c r="G2028" s="9" t="str">
        <f t="shared" ca="1" si="691"/>
        <v xml:space="preserve">Enter a value for 'Number of Floors in the Tallest Building' in cell B60.
</v>
      </c>
      <c r="H2028" s="52" t="str">
        <f t="shared" ca="1" si="692"/>
        <v>Higher of Land Purchase Price or Land Appraised Value****</v>
      </c>
      <c r="I2028" s="52">
        <v>15</v>
      </c>
    </row>
    <row r="2029" spans="1:10" ht="15" customHeight="1">
      <c r="A2029" t="str">
        <f ca="1">IF(AND(OFFSET(A2029, -I2029 + 2, 4) &gt;  0, E2029="", Calculations!$B$7), F2029, "")</f>
        <v/>
      </c>
      <c r="B2029">
        <f t="shared" si="687"/>
        <v>31</v>
      </c>
      <c r="C2029">
        <f t="shared" ca="1" si="667"/>
        <v>28</v>
      </c>
      <c r="D2029" t="str">
        <f t="shared" si="688"/>
        <v>P31</v>
      </c>
      <c r="E2029" t="str">
        <f t="shared" ca="1" si="689"/>
        <v/>
      </c>
      <c r="F2029" t="str">
        <f t="shared" ca="1" si="690"/>
        <v xml:space="preserve">Enter a 'Acquisition Placed-in-Service Date' for  building 28 in cell P31.
</v>
      </c>
      <c r="G2029" s="9" t="str">
        <f t="shared" ca="1" si="691"/>
        <v xml:space="preserve">Enter a value for 'Number of Floors in the Tallest Building' in cell B60.
</v>
      </c>
      <c r="H2029" s="52" t="str">
        <f t="shared" ca="1" si="692"/>
        <v>Acquisition Placed-in-Service Date</v>
      </c>
      <c r="I2029" s="52">
        <v>16</v>
      </c>
    </row>
    <row r="2030" spans="1:10" ht="15" customHeight="1">
      <c r="A2030" t="str">
        <f ca="1">IF(AND(OFFSET(A2030, -I2030 + 2, 4) &gt;  0, E2030="", Calculations!$B$7), F2030, "")</f>
        <v/>
      </c>
      <c r="B2030">
        <f t="shared" si="687"/>
        <v>31</v>
      </c>
      <c r="C2030">
        <f t="shared" ca="1" si="667"/>
        <v>28</v>
      </c>
      <c r="D2030" t="str">
        <f t="shared" si="688"/>
        <v>Q31</v>
      </c>
      <c r="E2030" t="str">
        <f t="shared" ca="1" si="689"/>
        <v/>
      </c>
      <c r="F2030" t="str">
        <f t="shared" ca="1" si="690"/>
        <v xml:space="preserve">Enter a 'Acquisition APR' for  building 28 in cell Q31.
</v>
      </c>
      <c r="G2030" s="9" t="str">
        <f t="shared" ca="1" si="691"/>
        <v xml:space="preserve">Enter a value for 'Number of Floors in the Tallest Building' in cell B60.
</v>
      </c>
      <c r="H2030" s="52" t="str">
        <f t="shared" ca="1" si="692"/>
        <v>Acquisition APR</v>
      </c>
      <c r="I2030" s="52">
        <v>17</v>
      </c>
    </row>
    <row r="2031" spans="1:10" ht="15" customHeight="1">
      <c r="A2031" t="str">
        <f ca="1">IF(AND(Calculations!$B$4,Calculations!$B$29&gt;=C2031, E2031 &lt;&gt; 13),F2031,"")</f>
        <v/>
      </c>
      <c r="B2031">
        <f>ROW('Final Building Profile'!C32)</f>
        <v>32</v>
      </c>
      <c r="C2031">
        <f t="shared" ref="C2031:C2094" ca="1" si="693">INDIRECT($F$1565 &amp; ADDRESS(B2031, 1,4  ))</f>
        <v>29</v>
      </c>
      <c r="D2031" t="str">
        <f>ADDRESS(B2031, 3,4  )</f>
        <v>C32</v>
      </c>
      <c r="E2031" s="52">
        <f ca="1">H2031+I2031</f>
        <v>0</v>
      </c>
      <c r="F2031" t="str">
        <f ca="1">CONCATENATE("Based upon the number of buildings specified, information for  building ", C2031, " required for a final application in row ", B2031, ".", CHAR(10))</f>
        <v xml:space="preserve">Based upon the number of buildings specified, information for  building 29 required for a final application in row 32.
</v>
      </c>
      <c r="G2031" s="9" t="str">
        <f t="shared" ca="1" si="691"/>
        <v xml:space="preserve">Enter a value for 'Number of Floors in the Tallest Building' in cell B60.
</v>
      </c>
      <c r="H2031" s="52">
        <f ca="1">SUMPRODUCT(--ISTEXT(INDIRECT(J2031)))</f>
        <v>0</v>
      </c>
      <c r="I2031" s="52">
        <f ca="1">SUMPRODUCT(--ISNUMBER(INDIRECT(J2031)))</f>
        <v>0</v>
      </c>
      <c r="J2031" s="52" t="str">
        <f>$F$1565&amp; ADDRESS(B2031,3,4) &amp; ":" &amp; ADDRESS(B2031,15,4)</f>
        <v>'Final Building Profile'!C32:O32</v>
      </c>
    </row>
    <row r="2032" spans="1:10" ht="15" customHeight="1">
      <c r="A2032" t="str">
        <f t="shared" ref="A2032:A2041" ca="1" si="694">IF(AND(OFFSET(A2032, -I2032 + 2, 4) &gt;  0, E2032=""), F2032, "")</f>
        <v/>
      </c>
      <c r="B2032">
        <f t="shared" ref="B2032:B2046" si="695">B2031</f>
        <v>32</v>
      </c>
      <c r="C2032">
        <f t="shared" ca="1" si="693"/>
        <v>29</v>
      </c>
      <c r="D2032" t="str">
        <f t="shared" ref="D2032:D2046" si="696">ADDRESS(B2032, I2032,4  )</f>
        <v>C32</v>
      </c>
      <c r="E2032" t="str">
        <f t="shared" ref="E2032:E2046" ca="1" si="697">IF(ISBLANK( INDIRECT($F$1565 &amp; D2032)),"", INDIRECT($F$1565 &amp; D2032))</f>
        <v/>
      </c>
      <c r="F2032" t="str">
        <f t="shared" ref="F2032:F2046" ca="1" si="698">CONCATENATE("Enter a '"&amp; H2032 &amp;"' for  building ", C2032, " in cell ", D2032, ".", CHAR(10))</f>
        <v xml:space="preserve">Enter a 'Building Street Address Only 
(DO NOT ENTER CITY, STATE, OR ZIP)' for  building 29 in cell C32.
</v>
      </c>
      <c r="G2032" s="9" t="str">
        <f t="shared" ca="1" si="691"/>
        <v xml:space="preserve">Enter a value for 'Number of Floors in the Tallest Building' in cell B60.
</v>
      </c>
      <c r="H2032" s="52" t="str">
        <f t="shared" ref="H2032:H2046" ca="1" si="699">OFFSET(INDIRECT($F$1565 &amp; D2032), -B2032 + 3, 0)</f>
        <v>Building Street Address Only 
(DO NOT ENTER CITY, STATE, OR ZIP)</v>
      </c>
      <c r="I2032" s="52">
        <v>3</v>
      </c>
    </row>
    <row r="2033" spans="1:10" ht="15" customHeight="1">
      <c r="A2033" t="str">
        <f t="shared" ca="1" si="694"/>
        <v/>
      </c>
      <c r="B2033">
        <f t="shared" si="695"/>
        <v>32</v>
      </c>
      <c r="C2033">
        <f t="shared" ca="1" si="693"/>
        <v>29</v>
      </c>
      <c r="D2033" t="str">
        <f t="shared" si="696"/>
        <v>D32</v>
      </c>
      <c r="E2033" t="str">
        <f t="shared" ca="1" si="697"/>
        <v/>
      </c>
      <c r="F2033" t="str">
        <f t="shared" ca="1" si="698"/>
        <v xml:space="preserve">Enter a 'Total Units in Building*' for  building 29 in cell D32.
</v>
      </c>
      <c r="G2033" s="9" t="str">
        <f t="shared" ca="1" si="691"/>
        <v xml:space="preserve">Enter a value for 'Number of Floors in the Tallest Building' in cell B60.
</v>
      </c>
      <c r="H2033" s="52" t="str">
        <f t="shared" ca="1" si="699"/>
        <v>Total Units in Building*</v>
      </c>
      <c r="I2033" s="52">
        <v>4</v>
      </c>
    </row>
    <row r="2034" spans="1:10" ht="15" customHeight="1">
      <c r="A2034" t="str">
        <f t="shared" ca="1" si="694"/>
        <v/>
      </c>
      <c r="B2034">
        <f t="shared" si="695"/>
        <v>32</v>
      </c>
      <c r="C2034">
        <f t="shared" ca="1" si="693"/>
        <v>29</v>
      </c>
      <c r="D2034" t="str">
        <f t="shared" si="696"/>
        <v>E32</v>
      </c>
      <c r="E2034" t="str">
        <f t="shared" ca="1" si="697"/>
        <v/>
      </c>
      <c r="F2034" t="str">
        <f t="shared" ca="1" si="698"/>
        <v xml:space="preserve">Enter a 'Employee Units' for  building 29 in cell E32.
</v>
      </c>
      <c r="G2034" s="9" t="str">
        <f t="shared" ca="1" si="691"/>
        <v xml:space="preserve">Enter a value for 'Number of Floors in the Tallest Building' in cell B60.
</v>
      </c>
      <c r="H2034" s="52" t="str">
        <f t="shared" ca="1" si="699"/>
        <v>Employee Units</v>
      </c>
      <c r="I2034" s="52">
        <v>5</v>
      </c>
    </row>
    <row r="2035" spans="1:10" ht="15" customHeight="1">
      <c r="A2035" t="str">
        <f t="shared" ca="1" si="694"/>
        <v/>
      </c>
      <c r="B2035">
        <f t="shared" si="695"/>
        <v>32</v>
      </c>
      <c r="C2035">
        <f t="shared" ca="1" si="693"/>
        <v>29</v>
      </c>
      <c r="D2035" t="str">
        <f t="shared" si="696"/>
        <v>F32</v>
      </c>
      <c r="E2035" t="str">
        <f t="shared" ca="1" si="697"/>
        <v/>
      </c>
      <c r="F2035" t="str">
        <f t="shared" ca="1" si="698"/>
        <v xml:space="preserve">Enter a 'Low-Income Units' for  building 29 in cell F32.
</v>
      </c>
      <c r="G2035" s="9" t="str">
        <f t="shared" ca="1" si="691"/>
        <v xml:space="preserve">Enter a value for 'Number of Floors in the Tallest Building' in cell B60.
</v>
      </c>
      <c r="H2035" s="52" t="str">
        <f t="shared" ca="1" si="699"/>
        <v>Low-Income Units</v>
      </c>
      <c r="I2035" s="52">
        <v>6</v>
      </c>
    </row>
    <row r="2036" spans="1:10" ht="15" customHeight="1">
      <c r="A2036" t="str">
        <f t="shared" ca="1" si="694"/>
        <v/>
      </c>
      <c r="B2036">
        <f t="shared" si="695"/>
        <v>32</v>
      </c>
      <c r="C2036">
        <f t="shared" ca="1" si="693"/>
        <v>29</v>
      </c>
      <c r="D2036" t="str">
        <f t="shared" si="696"/>
        <v>G32</v>
      </c>
      <c r="E2036" t="str">
        <f t="shared" ca="1" si="697"/>
        <v/>
      </c>
      <c r="F2036" t="str">
        <f t="shared" ca="1" si="698"/>
        <v xml:space="preserve">Enter a 'Residential Square Footage**' for  building 29 in cell G32.
</v>
      </c>
      <c r="G2036" s="9" t="str">
        <f t="shared" ca="1" si="691"/>
        <v xml:space="preserve">Enter a value for 'Number of Floors in the Tallest Building' in cell B60.
</v>
      </c>
      <c r="H2036" s="52" t="str">
        <f t="shared" ca="1" si="699"/>
        <v>Residential Square Footage**</v>
      </c>
      <c r="I2036" s="52">
        <v>7</v>
      </c>
    </row>
    <row r="2037" spans="1:10" ht="15" customHeight="1">
      <c r="A2037" t="str">
        <f t="shared" ca="1" si="694"/>
        <v/>
      </c>
      <c r="B2037">
        <f t="shared" si="695"/>
        <v>32</v>
      </c>
      <c r="C2037">
        <f t="shared" ca="1" si="693"/>
        <v>29</v>
      </c>
      <c r="D2037" t="str">
        <f t="shared" si="696"/>
        <v>H32</v>
      </c>
      <c r="E2037" t="str">
        <f t="shared" ca="1" si="697"/>
        <v/>
      </c>
      <c r="F2037" t="str">
        <f t="shared" ca="1" si="698"/>
        <v xml:space="preserve">Enter a 'Square Footage of Employee Units' for  building 29 in cell H32.
</v>
      </c>
      <c r="G2037" s="9" t="str">
        <f t="shared" ca="1" si="691"/>
        <v xml:space="preserve">Enter a value for 'Number of Floors in the Tallest Building' in cell B60.
</v>
      </c>
      <c r="H2037" s="52" t="str">
        <f t="shared" ca="1" si="699"/>
        <v>Square Footage of Employee Units</v>
      </c>
      <c r="I2037" s="52">
        <v>8</v>
      </c>
    </row>
    <row r="2038" spans="1:10" ht="15" customHeight="1">
      <c r="A2038" t="str">
        <f t="shared" ca="1" si="694"/>
        <v/>
      </c>
      <c r="B2038">
        <f t="shared" si="695"/>
        <v>32</v>
      </c>
      <c r="C2038">
        <f t="shared" ca="1" si="693"/>
        <v>29</v>
      </c>
      <c r="D2038" t="str">
        <f t="shared" si="696"/>
        <v>I32</v>
      </c>
      <c r="E2038" t="str">
        <f t="shared" ca="1" si="697"/>
        <v/>
      </c>
      <c r="F2038" t="str">
        <f t="shared" ca="1" si="698"/>
        <v xml:space="preserve">Enter a 'Square Footage of Low-Income Units' for  building 29 in cell I32.
</v>
      </c>
      <c r="G2038" s="9" t="str">
        <f t="shared" ca="1" si="691"/>
        <v xml:space="preserve">Enter a value for 'Number of Floors in the Tallest Building' in cell B60.
</v>
      </c>
      <c r="H2038" s="52" t="str">
        <f t="shared" ca="1" si="699"/>
        <v>Square Footage of Low-Income Units</v>
      </c>
      <c r="I2038" s="52">
        <v>9</v>
      </c>
    </row>
    <row r="2039" spans="1:10" ht="15" customHeight="1">
      <c r="A2039" t="str">
        <f t="shared" ca="1" si="694"/>
        <v/>
      </c>
      <c r="B2039">
        <f t="shared" si="695"/>
        <v>32</v>
      </c>
      <c r="C2039">
        <f t="shared" ca="1" si="693"/>
        <v>29</v>
      </c>
      <c r="D2039" t="str">
        <f t="shared" si="696"/>
        <v>J32</v>
      </c>
      <c r="E2039" t="str">
        <f t="shared" ca="1" si="697"/>
        <v/>
      </c>
      <c r="F2039" t="str">
        <f t="shared" ca="1" si="698"/>
        <v xml:space="preserve">Enter a 'Placed-In-Service Date' for  building 29 in cell J32.
</v>
      </c>
      <c r="G2039" s="9" t="str">
        <f t="shared" ca="1" si="691"/>
        <v xml:space="preserve">Enter a value for 'Number of Floors in the Tallest Building' in cell B60.
</v>
      </c>
      <c r="H2039" s="52" t="str">
        <f t="shared" ca="1" si="699"/>
        <v>Placed-In-Service Date</v>
      </c>
      <c r="I2039" s="52">
        <v>10</v>
      </c>
    </row>
    <row r="2040" spans="1:10" ht="15" customHeight="1">
      <c r="A2040" t="str">
        <f t="shared" ca="1" si="694"/>
        <v/>
      </c>
      <c r="B2040">
        <f t="shared" si="695"/>
        <v>32</v>
      </c>
      <c r="C2040">
        <f t="shared" ca="1" si="693"/>
        <v>29</v>
      </c>
      <c r="D2040" t="str">
        <f t="shared" si="696"/>
        <v>K32</v>
      </c>
      <c r="E2040" t="str">
        <f t="shared" ca="1" si="697"/>
        <v/>
      </c>
      <c r="F2040" t="str">
        <f t="shared" ca="1" si="698"/>
        <v xml:space="preserve">Enter a 'New Construction/ Rehab APR' for  building 29 in cell K32.
</v>
      </c>
      <c r="G2040" s="9" t="str">
        <f t="shared" ca="1" si="691"/>
        <v xml:space="preserve">Enter a value for 'Number of Floors in the Tallest Building' in cell B60.
</v>
      </c>
      <c r="H2040" s="52" t="str">
        <f t="shared" ca="1" si="699"/>
        <v>New Construction/ Rehab APR</v>
      </c>
      <c r="I2040" s="52">
        <v>11</v>
      </c>
    </row>
    <row r="2041" spans="1:10" ht="15" customHeight="1">
      <c r="A2041" t="str">
        <f t="shared" ca="1" si="694"/>
        <v/>
      </c>
      <c r="B2041">
        <f t="shared" si="695"/>
        <v>32</v>
      </c>
      <c r="C2041">
        <f t="shared" ca="1" si="693"/>
        <v>29</v>
      </c>
      <c r="D2041" t="str">
        <f t="shared" si="696"/>
        <v>L32</v>
      </c>
      <c r="E2041" t="str">
        <f t="shared" ca="1" si="697"/>
        <v/>
      </c>
      <c r="F2041" t="str">
        <f t="shared" ca="1" si="698"/>
        <v xml:space="preserve">Enter a 'New Construction Eligible Basis' for  building 29 in cell L32.
</v>
      </c>
      <c r="G2041" s="9" t="str">
        <f t="shared" ca="1" si="691"/>
        <v xml:space="preserve">Enter a value for 'Number of Floors in the Tallest Building' in cell B60.
</v>
      </c>
      <c r="H2041" s="52" t="str">
        <f t="shared" ca="1" si="699"/>
        <v>New Construction Eligible Basis</v>
      </c>
      <c r="I2041" s="52">
        <v>12</v>
      </c>
    </row>
    <row r="2042" spans="1:10" ht="15" customHeight="1">
      <c r="A2042" t="str">
        <f ca="1">IF(AND(OFFSET(A2042, -I2042 + 2, 4) &gt;  0, E2042="", Calculations!$B$7), F2042, "")</f>
        <v/>
      </c>
      <c r="B2042">
        <f t="shared" si="695"/>
        <v>32</v>
      </c>
      <c r="C2042">
        <f t="shared" ca="1" si="693"/>
        <v>29</v>
      </c>
      <c r="D2042" t="str">
        <f t="shared" si="696"/>
        <v>M32</v>
      </c>
      <c r="E2042" t="str">
        <f t="shared" ca="1" si="697"/>
        <v/>
      </c>
      <c r="F2042" t="str">
        <f t="shared" ca="1" si="698"/>
        <v xml:space="preserve">Enter a 'Eligible Basis for Rehab' for  building 29 in cell M32.
</v>
      </c>
      <c r="G2042" s="9" t="str">
        <f t="shared" ca="1" si="691"/>
        <v xml:space="preserve">Enter a value for 'Number of Floors in the Tallest Building' in cell B60.
</v>
      </c>
      <c r="H2042" s="52" t="str">
        <f t="shared" ca="1" si="699"/>
        <v>Eligible Basis for Rehab</v>
      </c>
      <c r="I2042" s="52">
        <v>13</v>
      </c>
    </row>
    <row r="2043" spans="1:10" ht="15" customHeight="1">
      <c r="A2043" t="str">
        <f ca="1">IF(AND(OFFSET(A2043, -I2043 + 2, 4) &gt;  0, E2043="", Calculations!$B$7), F2043, "")</f>
        <v/>
      </c>
      <c r="B2043">
        <f t="shared" si="695"/>
        <v>32</v>
      </c>
      <c r="C2043">
        <f t="shared" ca="1" si="693"/>
        <v>29</v>
      </c>
      <c r="D2043" t="str">
        <f t="shared" si="696"/>
        <v>N32</v>
      </c>
      <c r="E2043" t="str">
        <f t="shared" ca="1" si="697"/>
        <v/>
      </c>
      <c r="F2043" t="str">
        <f t="shared" ca="1" si="698"/>
        <v xml:space="preserve">Enter a 'Cost of Acquiring the Building***' for  building 29 in cell N32.
</v>
      </c>
      <c r="G2043" s="9" t="str">
        <f t="shared" ca="1" si="691"/>
        <v xml:space="preserve">Enter a value for 'Number of Floors in the Tallest Building' in cell B60.
</v>
      </c>
      <c r="H2043" s="52" t="str">
        <f t="shared" ca="1" si="699"/>
        <v>Cost of Acquiring the Building***</v>
      </c>
      <c r="I2043" s="52">
        <v>14</v>
      </c>
    </row>
    <row r="2044" spans="1:10" ht="15" customHeight="1">
      <c r="A2044" t="str">
        <f ca="1">IF(AND(OFFSET(A2044, -I2044 + 2, 4) &gt;  0, E2044="", Calculations!$B$7), F2044, "")</f>
        <v/>
      </c>
      <c r="B2044">
        <f t="shared" si="695"/>
        <v>32</v>
      </c>
      <c r="C2044">
        <f t="shared" ca="1" si="693"/>
        <v>29</v>
      </c>
      <c r="D2044" t="str">
        <f t="shared" si="696"/>
        <v>O32</v>
      </c>
      <c r="E2044" t="str">
        <f t="shared" ca="1" si="697"/>
        <v/>
      </c>
      <c r="F2044" t="str">
        <f t="shared" ca="1" si="698"/>
        <v xml:space="preserve">Enter a 'Higher of Land Purchase Price or Land Appraised Value****' for  building 29 in cell O32.
</v>
      </c>
      <c r="G2044" s="9" t="str">
        <f t="shared" ca="1" si="691"/>
        <v xml:space="preserve">Enter a value for 'Number of Floors in the Tallest Building' in cell B60.
</v>
      </c>
      <c r="H2044" s="52" t="str">
        <f t="shared" ca="1" si="699"/>
        <v>Higher of Land Purchase Price or Land Appraised Value****</v>
      </c>
      <c r="I2044" s="52">
        <v>15</v>
      </c>
    </row>
    <row r="2045" spans="1:10" ht="15" customHeight="1">
      <c r="A2045" t="str">
        <f ca="1">IF(AND(OFFSET(A2045, -I2045 + 2, 4) &gt;  0, E2045="", Calculations!$B$7), F2045, "")</f>
        <v/>
      </c>
      <c r="B2045">
        <f t="shared" si="695"/>
        <v>32</v>
      </c>
      <c r="C2045">
        <f t="shared" ca="1" si="693"/>
        <v>29</v>
      </c>
      <c r="D2045" t="str">
        <f t="shared" si="696"/>
        <v>P32</v>
      </c>
      <c r="E2045" t="str">
        <f t="shared" ca="1" si="697"/>
        <v/>
      </c>
      <c r="F2045" t="str">
        <f t="shared" ca="1" si="698"/>
        <v xml:space="preserve">Enter a 'Acquisition Placed-in-Service Date' for  building 29 in cell P32.
</v>
      </c>
      <c r="G2045" s="9" t="str">
        <f t="shared" ca="1" si="691"/>
        <v xml:space="preserve">Enter a value for 'Number of Floors in the Tallest Building' in cell B60.
</v>
      </c>
      <c r="H2045" s="52" t="str">
        <f t="shared" ca="1" si="699"/>
        <v>Acquisition Placed-in-Service Date</v>
      </c>
      <c r="I2045" s="52">
        <v>16</v>
      </c>
    </row>
    <row r="2046" spans="1:10" ht="15" customHeight="1">
      <c r="A2046" t="str">
        <f ca="1">IF(AND(OFFSET(A2046, -I2046 + 2, 4) &gt;  0, E2046="", Calculations!$B$7), F2046, "")</f>
        <v/>
      </c>
      <c r="B2046">
        <f t="shared" si="695"/>
        <v>32</v>
      </c>
      <c r="C2046">
        <f t="shared" ca="1" si="693"/>
        <v>29</v>
      </c>
      <c r="D2046" t="str">
        <f t="shared" si="696"/>
        <v>Q32</v>
      </c>
      <c r="E2046" t="str">
        <f t="shared" ca="1" si="697"/>
        <v/>
      </c>
      <c r="F2046" t="str">
        <f t="shared" ca="1" si="698"/>
        <v xml:space="preserve">Enter a 'Acquisition APR' for  building 29 in cell Q32.
</v>
      </c>
      <c r="G2046" s="9" t="str">
        <f t="shared" ca="1" si="691"/>
        <v xml:space="preserve">Enter a value for 'Number of Floors in the Tallest Building' in cell B60.
</v>
      </c>
      <c r="H2046" s="52" t="str">
        <f t="shared" ca="1" si="699"/>
        <v>Acquisition APR</v>
      </c>
      <c r="I2046" s="52">
        <v>17</v>
      </c>
    </row>
    <row r="2047" spans="1:10" ht="15" customHeight="1">
      <c r="A2047" t="str">
        <f ca="1">IF(AND(Calculations!$B$4,Calculations!$B$29&gt;=C2047, E2047 &lt;&gt; 13),F2047,"")</f>
        <v/>
      </c>
      <c r="B2047">
        <f>ROW('Final Building Profile'!C33)</f>
        <v>33</v>
      </c>
      <c r="C2047">
        <f t="shared" ca="1" si="693"/>
        <v>30</v>
      </c>
      <c r="D2047" t="str">
        <f>ADDRESS(B2047, 3,4  )</f>
        <v>C33</v>
      </c>
      <c r="E2047" s="52">
        <f ca="1">H2047+I2047</f>
        <v>0</v>
      </c>
      <c r="F2047" t="str">
        <f ca="1">CONCATENATE("Based upon the number of buildings specified, information for  building ", C2047, " required for a final application in row ", B2047, ".", CHAR(10))</f>
        <v xml:space="preserve">Based upon the number of buildings specified, information for  building 30 required for a final application in row 33.
</v>
      </c>
      <c r="G2047" s="9" t="str">
        <f t="shared" ca="1" si="691"/>
        <v xml:space="preserve">Enter a value for 'Number of Floors in the Tallest Building' in cell B60.
</v>
      </c>
      <c r="H2047" s="52">
        <f ca="1">SUMPRODUCT(--ISTEXT(INDIRECT(J2047)))</f>
        <v>0</v>
      </c>
      <c r="I2047" s="52">
        <f ca="1">SUMPRODUCT(--ISNUMBER(INDIRECT(J2047)))</f>
        <v>0</v>
      </c>
      <c r="J2047" s="52" t="str">
        <f>$F$1565&amp; ADDRESS(B2047,3,4) &amp; ":" &amp; ADDRESS(B2047,15,4)</f>
        <v>'Final Building Profile'!C33:O33</v>
      </c>
    </row>
    <row r="2048" spans="1:10" ht="15" customHeight="1">
      <c r="A2048" t="str">
        <f t="shared" ref="A2048:A2057" ca="1" si="700">IF(AND(OFFSET(A2048, -I2048 + 2, 4) &gt;  0, E2048=""), F2048, "")</f>
        <v/>
      </c>
      <c r="B2048">
        <f t="shared" ref="B2048:B2062" si="701">B2047</f>
        <v>33</v>
      </c>
      <c r="C2048">
        <f t="shared" ca="1" si="693"/>
        <v>30</v>
      </c>
      <c r="D2048" t="str">
        <f t="shared" ref="D2048:D2062" si="702">ADDRESS(B2048, I2048,4  )</f>
        <v>C33</v>
      </c>
      <c r="E2048" t="str">
        <f t="shared" ref="E2048:E2062" ca="1" si="703">IF(ISBLANK( INDIRECT($F$1565 &amp; D2048)),"", INDIRECT($F$1565 &amp; D2048))</f>
        <v/>
      </c>
      <c r="F2048" t="str">
        <f t="shared" ref="F2048:F2062" ca="1" si="704">CONCATENATE("Enter a '"&amp; H2048 &amp;"' for  building ", C2048, " in cell ", D2048, ".", CHAR(10))</f>
        <v xml:space="preserve">Enter a 'Building Street Address Only 
(DO NOT ENTER CITY, STATE, OR ZIP)' for  building 30 in cell C33.
</v>
      </c>
      <c r="G2048" s="9" t="str">
        <f t="shared" ca="1" si="691"/>
        <v xml:space="preserve">Enter a value for 'Number of Floors in the Tallest Building' in cell B60.
</v>
      </c>
      <c r="H2048" s="52" t="str">
        <f t="shared" ref="H2048:H2062" ca="1" si="705">OFFSET(INDIRECT($F$1565 &amp; D2048), -B2048 + 3, 0)</f>
        <v>Building Street Address Only 
(DO NOT ENTER CITY, STATE, OR ZIP)</v>
      </c>
      <c r="I2048" s="52">
        <v>3</v>
      </c>
    </row>
    <row r="2049" spans="1:10" ht="15" customHeight="1">
      <c r="A2049" t="str">
        <f t="shared" ca="1" si="700"/>
        <v/>
      </c>
      <c r="B2049">
        <f t="shared" si="701"/>
        <v>33</v>
      </c>
      <c r="C2049">
        <f t="shared" ca="1" si="693"/>
        <v>30</v>
      </c>
      <c r="D2049" t="str">
        <f t="shared" si="702"/>
        <v>D33</v>
      </c>
      <c r="E2049" t="str">
        <f t="shared" ca="1" si="703"/>
        <v/>
      </c>
      <c r="F2049" t="str">
        <f t="shared" ca="1" si="704"/>
        <v xml:space="preserve">Enter a 'Total Units in Building*' for  building 30 in cell D33.
</v>
      </c>
      <c r="G2049" s="9" t="str">
        <f t="shared" ca="1" si="691"/>
        <v xml:space="preserve">Enter a value for 'Number of Floors in the Tallest Building' in cell B60.
</v>
      </c>
      <c r="H2049" s="52" t="str">
        <f t="shared" ca="1" si="705"/>
        <v>Total Units in Building*</v>
      </c>
      <c r="I2049" s="52">
        <v>4</v>
      </c>
    </row>
    <row r="2050" spans="1:10" ht="15" customHeight="1">
      <c r="A2050" t="str">
        <f t="shared" ca="1" si="700"/>
        <v/>
      </c>
      <c r="B2050">
        <f t="shared" si="701"/>
        <v>33</v>
      </c>
      <c r="C2050">
        <f t="shared" ca="1" si="693"/>
        <v>30</v>
      </c>
      <c r="D2050" t="str">
        <f t="shared" si="702"/>
        <v>E33</v>
      </c>
      <c r="E2050" t="str">
        <f t="shared" ca="1" si="703"/>
        <v/>
      </c>
      <c r="F2050" t="str">
        <f t="shared" ca="1" si="704"/>
        <v xml:space="preserve">Enter a 'Employee Units' for  building 30 in cell E33.
</v>
      </c>
      <c r="G2050" s="9" t="str">
        <f t="shared" ca="1" si="691"/>
        <v xml:space="preserve">Enter a value for 'Number of Floors in the Tallest Building' in cell B60.
</v>
      </c>
      <c r="H2050" s="52" t="str">
        <f t="shared" ca="1" si="705"/>
        <v>Employee Units</v>
      </c>
      <c r="I2050" s="52">
        <v>5</v>
      </c>
    </row>
    <row r="2051" spans="1:10" ht="15" customHeight="1">
      <c r="A2051" t="str">
        <f t="shared" ca="1" si="700"/>
        <v/>
      </c>
      <c r="B2051">
        <f t="shared" si="701"/>
        <v>33</v>
      </c>
      <c r="C2051">
        <f t="shared" ca="1" si="693"/>
        <v>30</v>
      </c>
      <c r="D2051" t="str">
        <f t="shared" si="702"/>
        <v>F33</v>
      </c>
      <c r="E2051" t="str">
        <f t="shared" ca="1" si="703"/>
        <v/>
      </c>
      <c r="F2051" t="str">
        <f t="shared" ca="1" si="704"/>
        <v xml:space="preserve">Enter a 'Low-Income Units' for  building 30 in cell F33.
</v>
      </c>
      <c r="G2051" s="9" t="str">
        <f t="shared" ca="1" si="691"/>
        <v xml:space="preserve">Enter a value for 'Number of Floors in the Tallest Building' in cell B60.
</v>
      </c>
      <c r="H2051" s="52" t="str">
        <f t="shared" ca="1" si="705"/>
        <v>Low-Income Units</v>
      </c>
      <c r="I2051" s="52">
        <v>6</v>
      </c>
    </row>
    <row r="2052" spans="1:10" ht="15" customHeight="1">
      <c r="A2052" t="str">
        <f t="shared" ca="1" si="700"/>
        <v/>
      </c>
      <c r="B2052">
        <f t="shared" si="701"/>
        <v>33</v>
      </c>
      <c r="C2052">
        <f t="shared" ca="1" si="693"/>
        <v>30</v>
      </c>
      <c r="D2052" t="str">
        <f t="shared" si="702"/>
        <v>G33</v>
      </c>
      <c r="E2052" t="str">
        <f t="shared" ca="1" si="703"/>
        <v/>
      </c>
      <c r="F2052" t="str">
        <f t="shared" ca="1" si="704"/>
        <v xml:space="preserve">Enter a 'Residential Square Footage**' for  building 30 in cell G33.
</v>
      </c>
      <c r="G2052" s="9" t="str">
        <f t="shared" ca="1" si="691"/>
        <v xml:space="preserve">Enter a value for 'Number of Floors in the Tallest Building' in cell B60.
</v>
      </c>
      <c r="H2052" s="52" t="str">
        <f t="shared" ca="1" si="705"/>
        <v>Residential Square Footage**</v>
      </c>
      <c r="I2052" s="52">
        <v>7</v>
      </c>
    </row>
    <row r="2053" spans="1:10" ht="15" customHeight="1">
      <c r="A2053" t="str">
        <f t="shared" ca="1" si="700"/>
        <v/>
      </c>
      <c r="B2053">
        <f t="shared" si="701"/>
        <v>33</v>
      </c>
      <c r="C2053">
        <f t="shared" ca="1" si="693"/>
        <v>30</v>
      </c>
      <c r="D2053" t="str">
        <f t="shared" si="702"/>
        <v>H33</v>
      </c>
      <c r="E2053" t="str">
        <f t="shared" ca="1" si="703"/>
        <v/>
      </c>
      <c r="F2053" t="str">
        <f t="shared" ca="1" si="704"/>
        <v xml:space="preserve">Enter a 'Square Footage of Employee Units' for  building 30 in cell H33.
</v>
      </c>
      <c r="G2053" s="9" t="str">
        <f t="shared" ca="1" si="691"/>
        <v xml:space="preserve">Enter a value for 'Number of Floors in the Tallest Building' in cell B60.
</v>
      </c>
      <c r="H2053" s="52" t="str">
        <f t="shared" ca="1" si="705"/>
        <v>Square Footage of Employee Units</v>
      </c>
      <c r="I2053" s="52">
        <v>8</v>
      </c>
    </row>
    <row r="2054" spans="1:10" ht="15" customHeight="1">
      <c r="A2054" t="str">
        <f t="shared" ca="1" si="700"/>
        <v/>
      </c>
      <c r="B2054">
        <f t="shared" si="701"/>
        <v>33</v>
      </c>
      <c r="C2054">
        <f t="shared" ca="1" si="693"/>
        <v>30</v>
      </c>
      <c r="D2054" t="str">
        <f t="shared" si="702"/>
        <v>I33</v>
      </c>
      <c r="E2054" t="str">
        <f t="shared" ca="1" si="703"/>
        <v/>
      </c>
      <c r="F2054" t="str">
        <f t="shared" ca="1" si="704"/>
        <v xml:space="preserve">Enter a 'Square Footage of Low-Income Units' for  building 30 in cell I33.
</v>
      </c>
      <c r="G2054" s="9" t="str">
        <f t="shared" ca="1" si="691"/>
        <v xml:space="preserve">Enter a value for 'Number of Floors in the Tallest Building' in cell B60.
</v>
      </c>
      <c r="H2054" s="52" t="str">
        <f t="shared" ca="1" si="705"/>
        <v>Square Footage of Low-Income Units</v>
      </c>
      <c r="I2054" s="52">
        <v>9</v>
      </c>
    </row>
    <row r="2055" spans="1:10" ht="15" customHeight="1">
      <c r="A2055" t="str">
        <f t="shared" ca="1" si="700"/>
        <v/>
      </c>
      <c r="B2055">
        <f t="shared" si="701"/>
        <v>33</v>
      </c>
      <c r="C2055">
        <f t="shared" ca="1" si="693"/>
        <v>30</v>
      </c>
      <c r="D2055" t="str">
        <f t="shared" si="702"/>
        <v>J33</v>
      </c>
      <c r="E2055" t="str">
        <f t="shared" ca="1" si="703"/>
        <v/>
      </c>
      <c r="F2055" t="str">
        <f t="shared" ca="1" si="704"/>
        <v xml:space="preserve">Enter a 'Placed-In-Service Date' for  building 30 in cell J33.
</v>
      </c>
      <c r="G2055" s="9" t="str">
        <f t="shared" ca="1" si="691"/>
        <v xml:space="preserve">Enter a value for 'Number of Floors in the Tallest Building' in cell B60.
</v>
      </c>
      <c r="H2055" s="52" t="str">
        <f t="shared" ca="1" si="705"/>
        <v>Placed-In-Service Date</v>
      </c>
      <c r="I2055" s="52">
        <v>10</v>
      </c>
    </row>
    <row r="2056" spans="1:10" ht="15" customHeight="1">
      <c r="A2056" t="str">
        <f t="shared" ca="1" si="700"/>
        <v/>
      </c>
      <c r="B2056">
        <f t="shared" si="701"/>
        <v>33</v>
      </c>
      <c r="C2056">
        <f t="shared" ca="1" si="693"/>
        <v>30</v>
      </c>
      <c r="D2056" t="str">
        <f t="shared" si="702"/>
        <v>K33</v>
      </c>
      <c r="E2056" t="str">
        <f t="shared" ca="1" si="703"/>
        <v/>
      </c>
      <c r="F2056" t="str">
        <f t="shared" ca="1" si="704"/>
        <v xml:space="preserve">Enter a 'New Construction/ Rehab APR' for  building 30 in cell K33.
</v>
      </c>
      <c r="G2056" s="9" t="str">
        <f t="shared" ca="1" si="691"/>
        <v xml:space="preserve">Enter a value for 'Number of Floors in the Tallest Building' in cell B60.
</v>
      </c>
      <c r="H2056" s="52" t="str">
        <f t="shared" ca="1" si="705"/>
        <v>New Construction/ Rehab APR</v>
      </c>
      <c r="I2056" s="52">
        <v>11</v>
      </c>
    </row>
    <row r="2057" spans="1:10" ht="15" customHeight="1">
      <c r="A2057" t="str">
        <f t="shared" ca="1" si="700"/>
        <v/>
      </c>
      <c r="B2057">
        <f t="shared" si="701"/>
        <v>33</v>
      </c>
      <c r="C2057">
        <f t="shared" ca="1" si="693"/>
        <v>30</v>
      </c>
      <c r="D2057" t="str">
        <f t="shared" si="702"/>
        <v>L33</v>
      </c>
      <c r="E2057" t="str">
        <f t="shared" ca="1" si="703"/>
        <v/>
      </c>
      <c r="F2057" t="str">
        <f t="shared" ca="1" si="704"/>
        <v xml:space="preserve">Enter a 'New Construction Eligible Basis' for  building 30 in cell L33.
</v>
      </c>
      <c r="G2057" s="9" t="str">
        <f t="shared" ca="1" si="691"/>
        <v xml:space="preserve">Enter a value for 'Number of Floors in the Tallest Building' in cell B60.
</v>
      </c>
      <c r="H2057" s="52" t="str">
        <f t="shared" ca="1" si="705"/>
        <v>New Construction Eligible Basis</v>
      </c>
      <c r="I2057" s="52">
        <v>12</v>
      </c>
    </row>
    <row r="2058" spans="1:10" ht="15" customHeight="1">
      <c r="A2058" t="str">
        <f ca="1">IF(AND(OFFSET(A2058, -I2058 + 2, 4) &gt;  0, E2058="", Calculations!$B$7), F2058, "")</f>
        <v/>
      </c>
      <c r="B2058">
        <f t="shared" si="701"/>
        <v>33</v>
      </c>
      <c r="C2058">
        <f t="shared" ca="1" si="693"/>
        <v>30</v>
      </c>
      <c r="D2058" t="str">
        <f t="shared" si="702"/>
        <v>M33</v>
      </c>
      <c r="E2058" t="str">
        <f t="shared" ca="1" si="703"/>
        <v/>
      </c>
      <c r="F2058" t="str">
        <f t="shared" ca="1" si="704"/>
        <v xml:space="preserve">Enter a 'Eligible Basis for Rehab' for  building 30 in cell M33.
</v>
      </c>
      <c r="G2058" s="9" t="str">
        <f t="shared" ca="1" si="691"/>
        <v xml:space="preserve">Enter a value for 'Number of Floors in the Tallest Building' in cell B60.
</v>
      </c>
      <c r="H2058" s="52" t="str">
        <f t="shared" ca="1" si="705"/>
        <v>Eligible Basis for Rehab</v>
      </c>
      <c r="I2058" s="52">
        <v>13</v>
      </c>
    </row>
    <row r="2059" spans="1:10" ht="15" customHeight="1">
      <c r="A2059" t="str">
        <f ca="1">IF(AND(OFFSET(A2059, -I2059 + 2, 4) &gt;  0, E2059="", Calculations!$B$7), F2059, "")</f>
        <v/>
      </c>
      <c r="B2059">
        <f t="shared" si="701"/>
        <v>33</v>
      </c>
      <c r="C2059">
        <f t="shared" ca="1" si="693"/>
        <v>30</v>
      </c>
      <c r="D2059" t="str">
        <f t="shared" si="702"/>
        <v>N33</v>
      </c>
      <c r="E2059" t="str">
        <f t="shared" ca="1" si="703"/>
        <v/>
      </c>
      <c r="F2059" t="str">
        <f t="shared" ca="1" si="704"/>
        <v xml:space="preserve">Enter a 'Cost of Acquiring the Building***' for  building 30 in cell N33.
</v>
      </c>
      <c r="G2059" s="9" t="str">
        <f t="shared" ca="1" si="691"/>
        <v xml:space="preserve">Enter a value for 'Number of Floors in the Tallest Building' in cell B60.
</v>
      </c>
      <c r="H2059" s="52" t="str">
        <f t="shared" ca="1" si="705"/>
        <v>Cost of Acquiring the Building***</v>
      </c>
      <c r="I2059" s="52">
        <v>14</v>
      </c>
    </row>
    <row r="2060" spans="1:10" ht="15" customHeight="1">
      <c r="A2060" t="str">
        <f ca="1">IF(AND(OFFSET(A2060, -I2060 + 2, 4) &gt;  0, E2060="", Calculations!$B$7), F2060, "")</f>
        <v/>
      </c>
      <c r="B2060">
        <f t="shared" si="701"/>
        <v>33</v>
      </c>
      <c r="C2060">
        <f t="shared" ca="1" si="693"/>
        <v>30</v>
      </c>
      <c r="D2060" t="str">
        <f t="shared" si="702"/>
        <v>O33</v>
      </c>
      <c r="E2060" t="str">
        <f t="shared" ca="1" si="703"/>
        <v/>
      </c>
      <c r="F2060" t="str">
        <f t="shared" ca="1" si="704"/>
        <v xml:space="preserve">Enter a 'Higher of Land Purchase Price or Land Appraised Value****' for  building 30 in cell O33.
</v>
      </c>
      <c r="G2060" s="9" t="str">
        <f t="shared" ca="1" si="691"/>
        <v xml:space="preserve">Enter a value for 'Number of Floors in the Tallest Building' in cell B60.
</v>
      </c>
      <c r="H2060" s="52" t="str">
        <f t="shared" ca="1" si="705"/>
        <v>Higher of Land Purchase Price or Land Appraised Value****</v>
      </c>
      <c r="I2060" s="52">
        <v>15</v>
      </c>
    </row>
    <row r="2061" spans="1:10" ht="15" customHeight="1">
      <c r="A2061" t="str">
        <f ca="1">IF(AND(OFFSET(A2061, -I2061 + 2, 4) &gt;  0, E2061="", Calculations!$B$7), F2061, "")</f>
        <v/>
      </c>
      <c r="B2061">
        <f t="shared" si="701"/>
        <v>33</v>
      </c>
      <c r="C2061">
        <f t="shared" ca="1" si="693"/>
        <v>30</v>
      </c>
      <c r="D2061" t="str">
        <f t="shared" si="702"/>
        <v>P33</v>
      </c>
      <c r="E2061" t="str">
        <f t="shared" ca="1" si="703"/>
        <v/>
      </c>
      <c r="F2061" t="str">
        <f t="shared" ca="1" si="704"/>
        <v xml:space="preserve">Enter a 'Acquisition Placed-in-Service Date' for  building 30 in cell P33.
</v>
      </c>
      <c r="G2061" s="9" t="str">
        <f t="shared" ca="1" si="691"/>
        <v xml:space="preserve">Enter a value for 'Number of Floors in the Tallest Building' in cell B60.
</v>
      </c>
      <c r="H2061" s="52" t="str">
        <f t="shared" ca="1" si="705"/>
        <v>Acquisition Placed-in-Service Date</v>
      </c>
      <c r="I2061" s="52">
        <v>16</v>
      </c>
    </row>
    <row r="2062" spans="1:10" ht="15" customHeight="1">
      <c r="A2062" t="str">
        <f ca="1">IF(AND(OFFSET(A2062, -I2062 + 2, 4) &gt;  0, E2062="", Calculations!$B$7), F2062, "")</f>
        <v/>
      </c>
      <c r="B2062">
        <f t="shared" si="701"/>
        <v>33</v>
      </c>
      <c r="C2062">
        <f t="shared" ca="1" si="693"/>
        <v>30</v>
      </c>
      <c r="D2062" t="str">
        <f t="shared" si="702"/>
        <v>Q33</v>
      </c>
      <c r="E2062" t="str">
        <f t="shared" ca="1" si="703"/>
        <v/>
      </c>
      <c r="F2062" t="str">
        <f t="shared" ca="1" si="704"/>
        <v xml:space="preserve">Enter a 'Acquisition APR' for  building 30 in cell Q33.
</v>
      </c>
      <c r="G2062" s="9" t="str">
        <f t="shared" ca="1" si="691"/>
        <v xml:space="preserve">Enter a value for 'Number of Floors in the Tallest Building' in cell B60.
</v>
      </c>
      <c r="H2062" s="52" t="str">
        <f t="shared" ca="1" si="705"/>
        <v>Acquisition APR</v>
      </c>
      <c r="I2062" s="52">
        <v>17</v>
      </c>
    </row>
    <row r="2063" spans="1:10" ht="15" customHeight="1">
      <c r="A2063" t="str">
        <f ca="1">IF(AND(Calculations!$B$4,Calculations!$B$29&gt;=C2063, E2063 &lt;&gt; 13),F2063,"")</f>
        <v/>
      </c>
      <c r="B2063">
        <f>ROW('Final Building Profile'!C34)</f>
        <v>34</v>
      </c>
      <c r="C2063">
        <f t="shared" ca="1" si="693"/>
        <v>31</v>
      </c>
      <c r="D2063" t="str">
        <f>ADDRESS(B2063, 3,4  )</f>
        <v>C34</v>
      </c>
      <c r="E2063" s="52">
        <f ca="1">H2063+I2063</f>
        <v>0</v>
      </c>
      <c r="F2063" t="str">
        <f ca="1">CONCATENATE("Based upon the number of buildings specified, information for  building ", C2063, " required for a final application in row ", B2063, ".", CHAR(10))</f>
        <v xml:space="preserve">Based upon the number of buildings specified, information for  building 31 required for a final application in row 34.
</v>
      </c>
      <c r="G2063" s="9" t="str">
        <f t="shared" ca="1" si="691"/>
        <v xml:space="preserve">Enter a value for 'Number of Floors in the Tallest Building' in cell B60.
</v>
      </c>
      <c r="H2063" s="52">
        <f ca="1">SUMPRODUCT(--ISTEXT(INDIRECT(J2063)))</f>
        <v>0</v>
      </c>
      <c r="I2063" s="52">
        <f ca="1">SUMPRODUCT(--ISNUMBER(INDIRECT(J2063)))</f>
        <v>0</v>
      </c>
      <c r="J2063" s="52" t="str">
        <f>$F$1565&amp; ADDRESS(B2063,3,4) &amp; ":" &amp; ADDRESS(B2063,15,4)</f>
        <v>'Final Building Profile'!C34:O34</v>
      </c>
    </row>
    <row r="2064" spans="1:10" ht="15" customHeight="1">
      <c r="A2064" t="str">
        <f t="shared" ref="A2064:A2073" ca="1" si="706">IF(AND(OFFSET(A2064, -I2064 + 2, 4) &gt;  0, E2064=""), F2064, "")</f>
        <v/>
      </c>
      <c r="B2064">
        <f t="shared" ref="B2064:B2078" si="707">B2063</f>
        <v>34</v>
      </c>
      <c r="C2064">
        <f t="shared" ca="1" si="693"/>
        <v>31</v>
      </c>
      <c r="D2064" t="str">
        <f t="shared" ref="D2064:D2078" si="708">ADDRESS(B2064, I2064,4  )</f>
        <v>C34</v>
      </c>
      <c r="E2064" t="str">
        <f t="shared" ref="E2064:E2078" ca="1" si="709">IF(ISBLANK( INDIRECT($F$1565 &amp; D2064)),"", INDIRECT($F$1565 &amp; D2064))</f>
        <v/>
      </c>
      <c r="F2064" t="str">
        <f t="shared" ref="F2064:F2078" ca="1" si="710">CONCATENATE("Enter a '"&amp; H2064 &amp;"' for  building ", C2064, " in cell ", D2064, ".", CHAR(10))</f>
        <v xml:space="preserve">Enter a 'Building Street Address Only 
(DO NOT ENTER CITY, STATE, OR ZIP)' for  building 31 in cell C34.
</v>
      </c>
      <c r="G2064" s="9" t="str">
        <f t="shared" ca="1" si="691"/>
        <v xml:space="preserve">Enter a value for 'Number of Floors in the Tallest Building' in cell B60.
</v>
      </c>
      <c r="H2064" s="52" t="str">
        <f t="shared" ref="H2064:H2078" ca="1" si="711">OFFSET(INDIRECT($F$1565 &amp; D2064), -B2064 + 3, 0)</f>
        <v>Building Street Address Only 
(DO NOT ENTER CITY, STATE, OR ZIP)</v>
      </c>
      <c r="I2064" s="52">
        <v>3</v>
      </c>
    </row>
    <row r="2065" spans="1:10" ht="15" customHeight="1">
      <c r="A2065" t="str">
        <f t="shared" ca="1" si="706"/>
        <v/>
      </c>
      <c r="B2065">
        <f t="shared" si="707"/>
        <v>34</v>
      </c>
      <c r="C2065">
        <f t="shared" ca="1" si="693"/>
        <v>31</v>
      </c>
      <c r="D2065" t="str">
        <f t="shared" si="708"/>
        <v>D34</v>
      </c>
      <c r="E2065" t="str">
        <f t="shared" ca="1" si="709"/>
        <v/>
      </c>
      <c r="F2065" t="str">
        <f t="shared" ca="1" si="710"/>
        <v xml:space="preserve">Enter a 'Total Units in Building*' for  building 31 in cell D34.
</v>
      </c>
      <c r="G2065" s="9" t="str">
        <f t="shared" ca="1" si="691"/>
        <v xml:space="preserve">Enter a value for 'Number of Floors in the Tallest Building' in cell B60.
</v>
      </c>
      <c r="H2065" s="52" t="str">
        <f t="shared" ca="1" si="711"/>
        <v>Total Units in Building*</v>
      </c>
      <c r="I2065" s="52">
        <v>4</v>
      </c>
    </row>
    <row r="2066" spans="1:10" ht="15" customHeight="1">
      <c r="A2066" t="str">
        <f t="shared" ca="1" si="706"/>
        <v/>
      </c>
      <c r="B2066">
        <f t="shared" si="707"/>
        <v>34</v>
      </c>
      <c r="C2066">
        <f t="shared" ca="1" si="693"/>
        <v>31</v>
      </c>
      <c r="D2066" t="str">
        <f t="shared" si="708"/>
        <v>E34</v>
      </c>
      <c r="E2066" t="str">
        <f t="shared" ca="1" si="709"/>
        <v/>
      </c>
      <c r="F2066" t="str">
        <f t="shared" ca="1" si="710"/>
        <v xml:space="preserve">Enter a 'Employee Units' for  building 31 in cell E34.
</v>
      </c>
      <c r="G2066" s="9" t="str">
        <f t="shared" ca="1" si="691"/>
        <v xml:space="preserve">Enter a value for 'Number of Floors in the Tallest Building' in cell B60.
</v>
      </c>
      <c r="H2066" s="52" t="str">
        <f t="shared" ca="1" si="711"/>
        <v>Employee Units</v>
      </c>
      <c r="I2066" s="52">
        <v>5</v>
      </c>
    </row>
    <row r="2067" spans="1:10" ht="15" customHeight="1">
      <c r="A2067" t="str">
        <f t="shared" ca="1" si="706"/>
        <v/>
      </c>
      <c r="B2067">
        <f t="shared" si="707"/>
        <v>34</v>
      </c>
      <c r="C2067">
        <f t="shared" ca="1" si="693"/>
        <v>31</v>
      </c>
      <c r="D2067" t="str">
        <f t="shared" si="708"/>
        <v>F34</v>
      </c>
      <c r="E2067" t="str">
        <f t="shared" ca="1" si="709"/>
        <v/>
      </c>
      <c r="F2067" t="str">
        <f t="shared" ca="1" si="710"/>
        <v xml:space="preserve">Enter a 'Low-Income Units' for  building 31 in cell F34.
</v>
      </c>
      <c r="G2067" s="9" t="str">
        <f t="shared" ca="1" si="691"/>
        <v xml:space="preserve">Enter a value for 'Number of Floors in the Tallest Building' in cell B60.
</v>
      </c>
      <c r="H2067" s="52" t="str">
        <f t="shared" ca="1" si="711"/>
        <v>Low-Income Units</v>
      </c>
      <c r="I2067" s="52">
        <v>6</v>
      </c>
    </row>
    <row r="2068" spans="1:10" ht="15" customHeight="1">
      <c r="A2068" t="str">
        <f t="shared" ca="1" si="706"/>
        <v/>
      </c>
      <c r="B2068">
        <f t="shared" si="707"/>
        <v>34</v>
      </c>
      <c r="C2068">
        <f t="shared" ca="1" si="693"/>
        <v>31</v>
      </c>
      <c r="D2068" t="str">
        <f t="shared" si="708"/>
        <v>G34</v>
      </c>
      <c r="E2068" t="str">
        <f t="shared" ca="1" si="709"/>
        <v/>
      </c>
      <c r="F2068" t="str">
        <f t="shared" ca="1" si="710"/>
        <v xml:space="preserve">Enter a 'Residential Square Footage**' for  building 31 in cell G34.
</v>
      </c>
      <c r="G2068" s="9" t="str">
        <f t="shared" ca="1" si="691"/>
        <v xml:space="preserve">Enter a value for 'Number of Floors in the Tallest Building' in cell B60.
</v>
      </c>
      <c r="H2068" s="52" t="str">
        <f t="shared" ca="1" si="711"/>
        <v>Residential Square Footage**</v>
      </c>
      <c r="I2068" s="52">
        <v>7</v>
      </c>
    </row>
    <row r="2069" spans="1:10" ht="15" customHeight="1">
      <c r="A2069" t="str">
        <f t="shared" ca="1" si="706"/>
        <v/>
      </c>
      <c r="B2069">
        <f t="shared" si="707"/>
        <v>34</v>
      </c>
      <c r="C2069">
        <f t="shared" ca="1" si="693"/>
        <v>31</v>
      </c>
      <c r="D2069" t="str">
        <f t="shared" si="708"/>
        <v>H34</v>
      </c>
      <c r="E2069" t="str">
        <f t="shared" ca="1" si="709"/>
        <v/>
      </c>
      <c r="F2069" t="str">
        <f t="shared" ca="1" si="710"/>
        <v xml:space="preserve">Enter a 'Square Footage of Employee Units' for  building 31 in cell H34.
</v>
      </c>
      <c r="G2069" s="9" t="str">
        <f t="shared" ca="1" si="691"/>
        <v xml:space="preserve">Enter a value for 'Number of Floors in the Tallest Building' in cell B60.
</v>
      </c>
      <c r="H2069" s="52" t="str">
        <f t="shared" ca="1" si="711"/>
        <v>Square Footage of Employee Units</v>
      </c>
      <c r="I2069" s="52">
        <v>8</v>
      </c>
    </row>
    <row r="2070" spans="1:10" ht="15" customHeight="1">
      <c r="A2070" t="str">
        <f t="shared" ca="1" si="706"/>
        <v/>
      </c>
      <c r="B2070">
        <f t="shared" si="707"/>
        <v>34</v>
      </c>
      <c r="C2070">
        <f t="shared" ca="1" si="693"/>
        <v>31</v>
      </c>
      <c r="D2070" t="str">
        <f t="shared" si="708"/>
        <v>I34</v>
      </c>
      <c r="E2070" t="str">
        <f t="shared" ca="1" si="709"/>
        <v/>
      </c>
      <c r="F2070" t="str">
        <f t="shared" ca="1" si="710"/>
        <v xml:space="preserve">Enter a 'Square Footage of Low-Income Units' for  building 31 in cell I34.
</v>
      </c>
      <c r="G2070" s="9" t="str">
        <f t="shared" ca="1" si="691"/>
        <v xml:space="preserve">Enter a value for 'Number of Floors in the Tallest Building' in cell B60.
</v>
      </c>
      <c r="H2070" s="52" t="str">
        <f t="shared" ca="1" si="711"/>
        <v>Square Footage of Low-Income Units</v>
      </c>
      <c r="I2070" s="52">
        <v>9</v>
      </c>
    </row>
    <row r="2071" spans="1:10" ht="15" customHeight="1">
      <c r="A2071" t="str">
        <f t="shared" ca="1" si="706"/>
        <v/>
      </c>
      <c r="B2071">
        <f t="shared" si="707"/>
        <v>34</v>
      </c>
      <c r="C2071">
        <f t="shared" ca="1" si="693"/>
        <v>31</v>
      </c>
      <c r="D2071" t="str">
        <f t="shared" si="708"/>
        <v>J34</v>
      </c>
      <c r="E2071" t="str">
        <f t="shared" ca="1" si="709"/>
        <v/>
      </c>
      <c r="F2071" t="str">
        <f t="shared" ca="1" si="710"/>
        <v xml:space="preserve">Enter a 'Placed-In-Service Date' for  building 31 in cell J34.
</v>
      </c>
      <c r="G2071" s="9" t="str">
        <f t="shared" ca="1" si="691"/>
        <v xml:space="preserve">Enter a value for 'Number of Floors in the Tallest Building' in cell B60.
</v>
      </c>
      <c r="H2071" s="52" t="str">
        <f t="shared" ca="1" si="711"/>
        <v>Placed-In-Service Date</v>
      </c>
      <c r="I2071" s="52">
        <v>10</v>
      </c>
    </row>
    <row r="2072" spans="1:10" ht="15" customHeight="1">
      <c r="A2072" t="str">
        <f t="shared" ca="1" si="706"/>
        <v/>
      </c>
      <c r="B2072">
        <f t="shared" si="707"/>
        <v>34</v>
      </c>
      <c r="C2072">
        <f t="shared" ca="1" si="693"/>
        <v>31</v>
      </c>
      <c r="D2072" t="str">
        <f t="shared" si="708"/>
        <v>K34</v>
      </c>
      <c r="E2072" t="str">
        <f t="shared" ca="1" si="709"/>
        <v/>
      </c>
      <c r="F2072" t="str">
        <f t="shared" ca="1" si="710"/>
        <v xml:space="preserve">Enter a 'New Construction/ Rehab APR' for  building 31 in cell K34.
</v>
      </c>
      <c r="G2072" s="9" t="str">
        <f t="shared" ca="1" si="691"/>
        <v xml:space="preserve">Enter a value for 'Number of Floors in the Tallest Building' in cell B60.
</v>
      </c>
      <c r="H2072" s="52" t="str">
        <f t="shared" ca="1" si="711"/>
        <v>New Construction/ Rehab APR</v>
      </c>
      <c r="I2072" s="52">
        <v>11</v>
      </c>
    </row>
    <row r="2073" spans="1:10" ht="15" customHeight="1">
      <c r="A2073" t="str">
        <f t="shared" ca="1" si="706"/>
        <v/>
      </c>
      <c r="B2073">
        <f t="shared" si="707"/>
        <v>34</v>
      </c>
      <c r="C2073">
        <f t="shared" ca="1" si="693"/>
        <v>31</v>
      </c>
      <c r="D2073" t="str">
        <f t="shared" si="708"/>
        <v>L34</v>
      </c>
      <c r="E2073" t="str">
        <f t="shared" ca="1" si="709"/>
        <v/>
      </c>
      <c r="F2073" t="str">
        <f t="shared" ca="1" si="710"/>
        <v xml:space="preserve">Enter a 'New Construction Eligible Basis' for  building 31 in cell L34.
</v>
      </c>
      <c r="G2073" s="9" t="str">
        <f t="shared" ca="1" si="691"/>
        <v xml:space="preserve">Enter a value for 'Number of Floors in the Tallest Building' in cell B60.
</v>
      </c>
      <c r="H2073" s="52" t="str">
        <f t="shared" ca="1" si="711"/>
        <v>New Construction Eligible Basis</v>
      </c>
      <c r="I2073" s="52">
        <v>12</v>
      </c>
    </row>
    <row r="2074" spans="1:10" ht="15" customHeight="1">
      <c r="A2074" t="str">
        <f ca="1">IF(AND(OFFSET(A2074, -I2074 + 2, 4) &gt;  0, E2074="", Calculations!$B$7), F2074, "")</f>
        <v/>
      </c>
      <c r="B2074">
        <f t="shared" si="707"/>
        <v>34</v>
      </c>
      <c r="C2074">
        <f t="shared" ca="1" si="693"/>
        <v>31</v>
      </c>
      <c r="D2074" t="str">
        <f t="shared" si="708"/>
        <v>M34</v>
      </c>
      <c r="E2074" t="str">
        <f t="shared" ca="1" si="709"/>
        <v/>
      </c>
      <c r="F2074" t="str">
        <f t="shared" ca="1" si="710"/>
        <v xml:space="preserve">Enter a 'Eligible Basis for Rehab' for  building 31 in cell M34.
</v>
      </c>
      <c r="G2074" s="9" t="str">
        <f t="shared" ca="1" si="691"/>
        <v xml:space="preserve">Enter a value for 'Number of Floors in the Tallest Building' in cell B60.
</v>
      </c>
      <c r="H2074" s="52" t="str">
        <f t="shared" ca="1" si="711"/>
        <v>Eligible Basis for Rehab</v>
      </c>
      <c r="I2074" s="52">
        <v>13</v>
      </c>
    </row>
    <row r="2075" spans="1:10" ht="15" customHeight="1">
      <c r="A2075" t="str">
        <f ca="1">IF(AND(OFFSET(A2075, -I2075 + 2, 4) &gt;  0, E2075="", Calculations!$B$7), F2075, "")</f>
        <v/>
      </c>
      <c r="B2075">
        <f t="shared" si="707"/>
        <v>34</v>
      </c>
      <c r="C2075">
        <f t="shared" ca="1" si="693"/>
        <v>31</v>
      </c>
      <c r="D2075" t="str">
        <f t="shared" si="708"/>
        <v>N34</v>
      </c>
      <c r="E2075" t="str">
        <f t="shared" ca="1" si="709"/>
        <v/>
      </c>
      <c r="F2075" t="str">
        <f t="shared" ca="1" si="710"/>
        <v xml:space="preserve">Enter a 'Cost of Acquiring the Building***' for  building 31 in cell N34.
</v>
      </c>
      <c r="G2075" s="9" t="str">
        <f t="shared" ca="1" si="691"/>
        <v xml:space="preserve">Enter a value for 'Number of Floors in the Tallest Building' in cell B60.
</v>
      </c>
      <c r="H2075" s="52" t="str">
        <f t="shared" ca="1" si="711"/>
        <v>Cost of Acquiring the Building***</v>
      </c>
      <c r="I2075" s="52">
        <v>14</v>
      </c>
    </row>
    <row r="2076" spans="1:10" ht="15" customHeight="1">
      <c r="A2076" t="str">
        <f ca="1">IF(AND(OFFSET(A2076, -I2076 + 2, 4) &gt;  0, E2076="", Calculations!$B$7), F2076, "")</f>
        <v/>
      </c>
      <c r="B2076">
        <f t="shared" si="707"/>
        <v>34</v>
      </c>
      <c r="C2076">
        <f t="shared" ca="1" si="693"/>
        <v>31</v>
      </c>
      <c r="D2076" t="str">
        <f t="shared" si="708"/>
        <v>O34</v>
      </c>
      <c r="E2076" t="str">
        <f t="shared" ca="1" si="709"/>
        <v/>
      </c>
      <c r="F2076" t="str">
        <f t="shared" ca="1" si="710"/>
        <v xml:space="preserve">Enter a 'Higher of Land Purchase Price or Land Appraised Value****' for  building 31 in cell O34.
</v>
      </c>
      <c r="G2076" s="9" t="str">
        <f t="shared" ca="1" si="691"/>
        <v xml:space="preserve">Enter a value for 'Number of Floors in the Tallest Building' in cell B60.
</v>
      </c>
      <c r="H2076" s="52" t="str">
        <f t="shared" ca="1" si="711"/>
        <v>Higher of Land Purchase Price or Land Appraised Value****</v>
      </c>
      <c r="I2076" s="52">
        <v>15</v>
      </c>
    </row>
    <row r="2077" spans="1:10" ht="15" customHeight="1">
      <c r="A2077" t="str">
        <f ca="1">IF(AND(OFFSET(A2077, -I2077 + 2, 4) &gt;  0, E2077="", Calculations!$B$7), F2077, "")</f>
        <v/>
      </c>
      <c r="B2077">
        <f t="shared" si="707"/>
        <v>34</v>
      </c>
      <c r="C2077">
        <f t="shared" ca="1" si="693"/>
        <v>31</v>
      </c>
      <c r="D2077" t="str">
        <f t="shared" si="708"/>
        <v>P34</v>
      </c>
      <c r="E2077" t="str">
        <f t="shared" ca="1" si="709"/>
        <v/>
      </c>
      <c r="F2077" t="str">
        <f t="shared" ca="1" si="710"/>
        <v xml:space="preserve">Enter a 'Acquisition Placed-in-Service Date' for  building 31 in cell P34.
</v>
      </c>
      <c r="G2077" s="9" t="str">
        <f t="shared" ca="1" si="691"/>
        <v xml:space="preserve">Enter a value for 'Number of Floors in the Tallest Building' in cell B60.
</v>
      </c>
      <c r="H2077" s="52" t="str">
        <f t="shared" ca="1" si="711"/>
        <v>Acquisition Placed-in-Service Date</v>
      </c>
      <c r="I2077" s="52">
        <v>16</v>
      </c>
    </row>
    <row r="2078" spans="1:10" ht="15" customHeight="1">
      <c r="A2078" t="str">
        <f ca="1">IF(AND(OFFSET(A2078, -I2078 + 2, 4) &gt;  0, E2078="", Calculations!$B$7), F2078, "")</f>
        <v/>
      </c>
      <c r="B2078">
        <f t="shared" si="707"/>
        <v>34</v>
      </c>
      <c r="C2078">
        <f t="shared" ca="1" si="693"/>
        <v>31</v>
      </c>
      <c r="D2078" t="str">
        <f t="shared" si="708"/>
        <v>Q34</v>
      </c>
      <c r="E2078" t="str">
        <f t="shared" ca="1" si="709"/>
        <v/>
      </c>
      <c r="F2078" t="str">
        <f t="shared" ca="1" si="710"/>
        <v xml:space="preserve">Enter a 'Acquisition APR' for  building 31 in cell Q34.
</v>
      </c>
      <c r="G2078" s="9" t="str">
        <f t="shared" ca="1" si="691"/>
        <v xml:space="preserve">Enter a value for 'Number of Floors in the Tallest Building' in cell B60.
</v>
      </c>
      <c r="H2078" s="52" t="str">
        <f t="shared" ca="1" si="711"/>
        <v>Acquisition APR</v>
      </c>
      <c r="I2078" s="52">
        <v>17</v>
      </c>
    </row>
    <row r="2079" spans="1:10" ht="15" customHeight="1">
      <c r="A2079" t="str">
        <f ca="1">IF(AND(Calculations!$B$4,Calculations!$B$29&gt;=C2079, E2079 &lt;&gt; 13),F2079,"")</f>
        <v/>
      </c>
      <c r="B2079">
        <f>ROW('Final Building Profile'!C35)</f>
        <v>35</v>
      </c>
      <c r="C2079">
        <f t="shared" ca="1" si="693"/>
        <v>32</v>
      </c>
      <c r="D2079" t="str">
        <f>ADDRESS(B2079, 3,4  )</f>
        <v>C35</v>
      </c>
      <c r="E2079" s="52">
        <f ca="1">H2079+I2079</f>
        <v>0</v>
      </c>
      <c r="F2079" t="str">
        <f ca="1">CONCATENATE("Based upon the number of buildings specified, information for  building ", C2079, " required for a final application in row ", B2079, ".", CHAR(10))</f>
        <v xml:space="preserve">Based upon the number of buildings specified, information for  building 32 required for a final application in row 35.
</v>
      </c>
      <c r="G2079" s="9" t="str">
        <f t="shared" ca="1" si="691"/>
        <v xml:space="preserve">Enter a value for 'Number of Floors in the Tallest Building' in cell B60.
</v>
      </c>
      <c r="H2079" s="52">
        <f ca="1">SUMPRODUCT(--ISTEXT(INDIRECT(J2079)))</f>
        <v>0</v>
      </c>
      <c r="I2079" s="52">
        <f ca="1">SUMPRODUCT(--ISNUMBER(INDIRECT(J2079)))</f>
        <v>0</v>
      </c>
      <c r="J2079" s="52" t="str">
        <f>$F$1565&amp; ADDRESS(B2079,3,4) &amp; ":" &amp; ADDRESS(B2079,15,4)</f>
        <v>'Final Building Profile'!C35:O35</v>
      </c>
    </row>
    <row r="2080" spans="1:10" ht="15" customHeight="1">
      <c r="A2080" t="str">
        <f t="shared" ref="A2080:A2089" ca="1" si="712">IF(AND(OFFSET(A2080, -I2080 + 2, 4) &gt;  0, E2080=""), F2080, "")</f>
        <v/>
      </c>
      <c r="B2080">
        <f t="shared" ref="B2080:B2094" si="713">B2079</f>
        <v>35</v>
      </c>
      <c r="C2080">
        <f t="shared" ca="1" si="693"/>
        <v>32</v>
      </c>
      <c r="D2080" t="str">
        <f t="shared" ref="D2080:D2094" si="714">ADDRESS(B2080, I2080,4  )</f>
        <v>C35</v>
      </c>
      <c r="E2080" t="str">
        <f t="shared" ref="E2080:E2094" ca="1" si="715">IF(ISBLANK( INDIRECT($F$1565 &amp; D2080)),"", INDIRECT($F$1565 &amp; D2080))</f>
        <v/>
      </c>
      <c r="F2080" t="str">
        <f t="shared" ref="F2080:F2094" ca="1" si="716">CONCATENATE("Enter a '"&amp; H2080 &amp;"' for  building ", C2080, " in cell ", D2080, ".", CHAR(10))</f>
        <v xml:space="preserve">Enter a 'Building Street Address Only 
(DO NOT ENTER CITY, STATE, OR ZIP)' for  building 32 in cell C35.
</v>
      </c>
      <c r="G2080" s="9" t="str">
        <f t="shared" ref="G2080:G2143" ca="1" si="717">OFFSET(G2080, -1, 0) &amp; A2080</f>
        <v xml:space="preserve">Enter a value for 'Number of Floors in the Tallest Building' in cell B60.
</v>
      </c>
      <c r="H2080" s="52" t="str">
        <f t="shared" ref="H2080:H2094" ca="1" si="718">OFFSET(INDIRECT($F$1565 &amp; D2080), -B2080 + 3, 0)</f>
        <v>Building Street Address Only 
(DO NOT ENTER CITY, STATE, OR ZIP)</v>
      </c>
      <c r="I2080" s="52">
        <v>3</v>
      </c>
    </row>
    <row r="2081" spans="1:10" ht="15" customHeight="1">
      <c r="A2081" t="str">
        <f t="shared" ca="1" si="712"/>
        <v/>
      </c>
      <c r="B2081">
        <f t="shared" si="713"/>
        <v>35</v>
      </c>
      <c r="C2081">
        <f t="shared" ca="1" si="693"/>
        <v>32</v>
      </c>
      <c r="D2081" t="str">
        <f t="shared" si="714"/>
        <v>D35</v>
      </c>
      <c r="E2081" t="str">
        <f t="shared" ca="1" si="715"/>
        <v/>
      </c>
      <c r="F2081" t="str">
        <f t="shared" ca="1" si="716"/>
        <v xml:space="preserve">Enter a 'Total Units in Building*' for  building 32 in cell D35.
</v>
      </c>
      <c r="G2081" s="9" t="str">
        <f t="shared" ca="1" si="717"/>
        <v xml:space="preserve">Enter a value for 'Number of Floors in the Tallest Building' in cell B60.
</v>
      </c>
      <c r="H2081" s="52" t="str">
        <f t="shared" ca="1" si="718"/>
        <v>Total Units in Building*</v>
      </c>
      <c r="I2081" s="52">
        <v>4</v>
      </c>
    </row>
    <row r="2082" spans="1:10" ht="15" customHeight="1">
      <c r="A2082" t="str">
        <f t="shared" ca="1" si="712"/>
        <v/>
      </c>
      <c r="B2082">
        <f t="shared" si="713"/>
        <v>35</v>
      </c>
      <c r="C2082">
        <f t="shared" ca="1" si="693"/>
        <v>32</v>
      </c>
      <c r="D2082" t="str">
        <f t="shared" si="714"/>
        <v>E35</v>
      </c>
      <c r="E2082" t="str">
        <f t="shared" ca="1" si="715"/>
        <v/>
      </c>
      <c r="F2082" t="str">
        <f t="shared" ca="1" si="716"/>
        <v xml:space="preserve">Enter a 'Employee Units' for  building 32 in cell E35.
</v>
      </c>
      <c r="G2082" s="9" t="str">
        <f t="shared" ca="1" si="717"/>
        <v xml:space="preserve">Enter a value for 'Number of Floors in the Tallest Building' in cell B60.
</v>
      </c>
      <c r="H2082" s="52" t="str">
        <f t="shared" ca="1" si="718"/>
        <v>Employee Units</v>
      </c>
      <c r="I2082" s="52">
        <v>5</v>
      </c>
    </row>
    <row r="2083" spans="1:10" ht="15" customHeight="1">
      <c r="A2083" t="str">
        <f t="shared" ca="1" si="712"/>
        <v/>
      </c>
      <c r="B2083">
        <f t="shared" si="713"/>
        <v>35</v>
      </c>
      <c r="C2083">
        <f t="shared" ca="1" si="693"/>
        <v>32</v>
      </c>
      <c r="D2083" t="str">
        <f t="shared" si="714"/>
        <v>F35</v>
      </c>
      <c r="E2083" t="str">
        <f t="shared" ca="1" si="715"/>
        <v/>
      </c>
      <c r="F2083" t="str">
        <f t="shared" ca="1" si="716"/>
        <v xml:space="preserve">Enter a 'Low-Income Units' for  building 32 in cell F35.
</v>
      </c>
      <c r="G2083" s="9" t="str">
        <f t="shared" ca="1" si="717"/>
        <v xml:space="preserve">Enter a value for 'Number of Floors in the Tallest Building' in cell B60.
</v>
      </c>
      <c r="H2083" s="52" t="str">
        <f t="shared" ca="1" si="718"/>
        <v>Low-Income Units</v>
      </c>
      <c r="I2083" s="52">
        <v>6</v>
      </c>
    </row>
    <row r="2084" spans="1:10" ht="15" customHeight="1">
      <c r="A2084" t="str">
        <f t="shared" ca="1" si="712"/>
        <v/>
      </c>
      <c r="B2084">
        <f t="shared" si="713"/>
        <v>35</v>
      </c>
      <c r="C2084">
        <f t="shared" ca="1" si="693"/>
        <v>32</v>
      </c>
      <c r="D2084" t="str">
        <f t="shared" si="714"/>
        <v>G35</v>
      </c>
      <c r="E2084" t="str">
        <f t="shared" ca="1" si="715"/>
        <v/>
      </c>
      <c r="F2084" t="str">
        <f t="shared" ca="1" si="716"/>
        <v xml:space="preserve">Enter a 'Residential Square Footage**' for  building 32 in cell G35.
</v>
      </c>
      <c r="G2084" s="9" t="str">
        <f t="shared" ca="1" si="717"/>
        <v xml:space="preserve">Enter a value for 'Number of Floors in the Tallest Building' in cell B60.
</v>
      </c>
      <c r="H2084" s="52" t="str">
        <f t="shared" ca="1" si="718"/>
        <v>Residential Square Footage**</v>
      </c>
      <c r="I2084" s="52">
        <v>7</v>
      </c>
    </row>
    <row r="2085" spans="1:10" ht="15" customHeight="1">
      <c r="A2085" t="str">
        <f t="shared" ca="1" si="712"/>
        <v/>
      </c>
      <c r="B2085">
        <f t="shared" si="713"/>
        <v>35</v>
      </c>
      <c r="C2085">
        <f t="shared" ca="1" si="693"/>
        <v>32</v>
      </c>
      <c r="D2085" t="str">
        <f t="shared" si="714"/>
        <v>H35</v>
      </c>
      <c r="E2085" t="str">
        <f t="shared" ca="1" si="715"/>
        <v/>
      </c>
      <c r="F2085" t="str">
        <f t="shared" ca="1" si="716"/>
        <v xml:space="preserve">Enter a 'Square Footage of Employee Units' for  building 32 in cell H35.
</v>
      </c>
      <c r="G2085" s="9" t="str">
        <f t="shared" ca="1" si="717"/>
        <v xml:space="preserve">Enter a value for 'Number of Floors in the Tallest Building' in cell B60.
</v>
      </c>
      <c r="H2085" s="52" t="str">
        <f t="shared" ca="1" si="718"/>
        <v>Square Footage of Employee Units</v>
      </c>
      <c r="I2085" s="52">
        <v>8</v>
      </c>
    </row>
    <row r="2086" spans="1:10" ht="15" customHeight="1">
      <c r="A2086" t="str">
        <f t="shared" ca="1" si="712"/>
        <v/>
      </c>
      <c r="B2086">
        <f t="shared" si="713"/>
        <v>35</v>
      </c>
      <c r="C2086">
        <f t="shared" ca="1" si="693"/>
        <v>32</v>
      </c>
      <c r="D2086" t="str">
        <f t="shared" si="714"/>
        <v>I35</v>
      </c>
      <c r="E2086" t="str">
        <f t="shared" ca="1" si="715"/>
        <v/>
      </c>
      <c r="F2086" t="str">
        <f t="shared" ca="1" si="716"/>
        <v xml:space="preserve">Enter a 'Square Footage of Low-Income Units' for  building 32 in cell I35.
</v>
      </c>
      <c r="G2086" s="9" t="str">
        <f t="shared" ca="1" si="717"/>
        <v xml:space="preserve">Enter a value for 'Number of Floors in the Tallest Building' in cell B60.
</v>
      </c>
      <c r="H2086" s="52" t="str">
        <f t="shared" ca="1" si="718"/>
        <v>Square Footage of Low-Income Units</v>
      </c>
      <c r="I2086" s="52">
        <v>9</v>
      </c>
    </row>
    <row r="2087" spans="1:10" ht="15" customHeight="1">
      <c r="A2087" t="str">
        <f t="shared" ca="1" si="712"/>
        <v/>
      </c>
      <c r="B2087">
        <f t="shared" si="713"/>
        <v>35</v>
      </c>
      <c r="C2087">
        <f t="shared" ca="1" si="693"/>
        <v>32</v>
      </c>
      <c r="D2087" t="str">
        <f t="shared" si="714"/>
        <v>J35</v>
      </c>
      <c r="E2087" t="str">
        <f t="shared" ca="1" si="715"/>
        <v/>
      </c>
      <c r="F2087" t="str">
        <f t="shared" ca="1" si="716"/>
        <v xml:space="preserve">Enter a 'Placed-In-Service Date' for  building 32 in cell J35.
</v>
      </c>
      <c r="G2087" s="9" t="str">
        <f t="shared" ca="1" si="717"/>
        <v xml:space="preserve">Enter a value for 'Number of Floors in the Tallest Building' in cell B60.
</v>
      </c>
      <c r="H2087" s="52" t="str">
        <f t="shared" ca="1" si="718"/>
        <v>Placed-In-Service Date</v>
      </c>
      <c r="I2087" s="52">
        <v>10</v>
      </c>
    </row>
    <row r="2088" spans="1:10" ht="15" customHeight="1">
      <c r="A2088" t="str">
        <f t="shared" ca="1" si="712"/>
        <v/>
      </c>
      <c r="B2088">
        <f t="shared" si="713"/>
        <v>35</v>
      </c>
      <c r="C2088">
        <f t="shared" ca="1" si="693"/>
        <v>32</v>
      </c>
      <c r="D2088" t="str">
        <f t="shared" si="714"/>
        <v>K35</v>
      </c>
      <c r="E2088" t="str">
        <f t="shared" ca="1" si="715"/>
        <v/>
      </c>
      <c r="F2088" t="str">
        <f t="shared" ca="1" si="716"/>
        <v xml:space="preserve">Enter a 'New Construction/ Rehab APR' for  building 32 in cell K35.
</v>
      </c>
      <c r="G2088" s="9" t="str">
        <f t="shared" ca="1" si="717"/>
        <v xml:space="preserve">Enter a value for 'Number of Floors in the Tallest Building' in cell B60.
</v>
      </c>
      <c r="H2088" s="52" t="str">
        <f t="shared" ca="1" si="718"/>
        <v>New Construction/ Rehab APR</v>
      </c>
      <c r="I2088" s="52">
        <v>11</v>
      </c>
    </row>
    <row r="2089" spans="1:10" ht="15" customHeight="1">
      <c r="A2089" t="str">
        <f t="shared" ca="1" si="712"/>
        <v/>
      </c>
      <c r="B2089">
        <f t="shared" si="713"/>
        <v>35</v>
      </c>
      <c r="C2089">
        <f t="shared" ca="1" si="693"/>
        <v>32</v>
      </c>
      <c r="D2089" t="str">
        <f t="shared" si="714"/>
        <v>L35</v>
      </c>
      <c r="E2089" t="str">
        <f t="shared" ca="1" si="715"/>
        <v/>
      </c>
      <c r="F2089" t="str">
        <f t="shared" ca="1" si="716"/>
        <v xml:space="preserve">Enter a 'New Construction Eligible Basis' for  building 32 in cell L35.
</v>
      </c>
      <c r="G2089" s="9" t="str">
        <f t="shared" ca="1" si="717"/>
        <v xml:space="preserve">Enter a value for 'Number of Floors in the Tallest Building' in cell B60.
</v>
      </c>
      <c r="H2089" s="52" t="str">
        <f t="shared" ca="1" si="718"/>
        <v>New Construction Eligible Basis</v>
      </c>
      <c r="I2089" s="52">
        <v>12</v>
      </c>
    </row>
    <row r="2090" spans="1:10" ht="15" customHeight="1">
      <c r="A2090" t="str">
        <f ca="1">IF(AND(OFFSET(A2090, -I2090 + 2, 4) &gt;  0, E2090="", Calculations!$B$7), F2090, "")</f>
        <v/>
      </c>
      <c r="B2090">
        <f t="shared" si="713"/>
        <v>35</v>
      </c>
      <c r="C2090">
        <f t="shared" ca="1" si="693"/>
        <v>32</v>
      </c>
      <c r="D2090" t="str">
        <f t="shared" si="714"/>
        <v>M35</v>
      </c>
      <c r="E2090" t="str">
        <f t="shared" ca="1" si="715"/>
        <v/>
      </c>
      <c r="F2090" t="str">
        <f t="shared" ca="1" si="716"/>
        <v xml:space="preserve">Enter a 'Eligible Basis for Rehab' for  building 32 in cell M35.
</v>
      </c>
      <c r="G2090" s="9" t="str">
        <f t="shared" ca="1" si="717"/>
        <v xml:space="preserve">Enter a value for 'Number of Floors in the Tallest Building' in cell B60.
</v>
      </c>
      <c r="H2090" s="52" t="str">
        <f t="shared" ca="1" si="718"/>
        <v>Eligible Basis for Rehab</v>
      </c>
      <c r="I2090" s="52">
        <v>13</v>
      </c>
    </row>
    <row r="2091" spans="1:10" ht="15" customHeight="1">
      <c r="A2091" t="str">
        <f ca="1">IF(AND(OFFSET(A2091, -I2091 + 2, 4) &gt;  0, E2091="", Calculations!$B$7), F2091, "")</f>
        <v/>
      </c>
      <c r="B2091">
        <f t="shared" si="713"/>
        <v>35</v>
      </c>
      <c r="C2091">
        <f t="shared" ca="1" si="693"/>
        <v>32</v>
      </c>
      <c r="D2091" t="str">
        <f t="shared" si="714"/>
        <v>N35</v>
      </c>
      <c r="E2091" t="str">
        <f t="shared" ca="1" si="715"/>
        <v/>
      </c>
      <c r="F2091" t="str">
        <f t="shared" ca="1" si="716"/>
        <v xml:space="preserve">Enter a 'Cost of Acquiring the Building***' for  building 32 in cell N35.
</v>
      </c>
      <c r="G2091" s="9" t="str">
        <f t="shared" ca="1" si="717"/>
        <v xml:space="preserve">Enter a value for 'Number of Floors in the Tallest Building' in cell B60.
</v>
      </c>
      <c r="H2091" s="52" t="str">
        <f t="shared" ca="1" si="718"/>
        <v>Cost of Acquiring the Building***</v>
      </c>
      <c r="I2091" s="52">
        <v>14</v>
      </c>
    </row>
    <row r="2092" spans="1:10" ht="15" customHeight="1">
      <c r="A2092" t="str">
        <f ca="1">IF(AND(OFFSET(A2092, -I2092 + 2, 4) &gt;  0, E2092="", Calculations!$B$7), F2092, "")</f>
        <v/>
      </c>
      <c r="B2092">
        <f t="shared" si="713"/>
        <v>35</v>
      </c>
      <c r="C2092">
        <f t="shared" ca="1" si="693"/>
        <v>32</v>
      </c>
      <c r="D2092" t="str">
        <f t="shared" si="714"/>
        <v>O35</v>
      </c>
      <c r="E2092" t="str">
        <f t="shared" ca="1" si="715"/>
        <v/>
      </c>
      <c r="F2092" t="str">
        <f t="shared" ca="1" si="716"/>
        <v xml:space="preserve">Enter a 'Higher of Land Purchase Price or Land Appraised Value****' for  building 32 in cell O35.
</v>
      </c>
      <c r="G2092" s="9" t="str">
        <f t="shared" ca="1" si="717"/>
        <v xml:space="preserve">Enter a value for 'Number of Floors in the Tallest Building' in cell B60.
</v>
      </c>
      <c r="H2092" s="52" t="str">
        <f t="shared" ca="1" si="718"/>
        <v>Higher of Land Purchase Price or Land Appraised Value****</v>
      </c>
      <c r="I2092" s="52">
        <v>15</v>
      </c>
    </row>
    <row r="2093" spans="1:10" ht="15" customHeight="1">
      <c r="A2093" t="str">
        <f ca="1">IF(AND(OFFSET(A2093, -I2093 + 2, 4) &gt;  0, E2093="", Calculations!$B$7), F2093, "")</f>
        <v/>
      </c>
      <c r="B2093">
        <f t="shared" si="713"/>
        <v>35</v>
      </c>
      <c r="C2093">
        <f t="shared" ca="1" si="693"/>
        <v>32</v>
      </c>
      <c r="D2093" t="str">
        <f t="shared" si="714"/>
        <v>P35</v>
      </c>
      <c r="E2093" t="str">
        <f t="shared" ca="1" si="715"/>
        <v/>
      </c>
      <c r="F2093" t="str">
        <f t="shared" ca="1" si="716"/>
        <v xml:space="preserve">Enter a 'Acquisition Placed-in-Service Date' for  building 32 in cell P35.
</v>
      </c>
      <c r="G2093" s="9" t="str">
        <f t="shared" ca="1" si="717"/>
        <v xml:space="preserve">Enter a value for 'Number of Floors in the Tallest Building' in cell B60.
</v>
      </c>
      <c r="H2093" s="52" t="str">
        <f t="shared" ca="1" si="718"/>
        <v>Acquisition Placed-in-Service Date</v>
      </c>
      <c r="I2093" s="52">
        <v>16</v>
      </c>
    </row>
    <row r="2094" spans="1:10" ht="15" customHeight="1">
      <c r="A2094" t="str">
        <f ca="1">IF(AND(OFFSET(A2094, -I2094 + 2, 4) &gt;  0, E2094="", Calculations!$B$7), F2094, "")</f>
        <v/>
      </c>
      <c r="B2094">
        <f t="shared" si="713"/>
        <v>35</v>
      </c>
      <c r="C2094">
        <f t="shared" ca="1" si="693"/>
        <v>32</v>
      </c>
      <c r="D2094" t="str">
        <f t="shared" si="714"/>
        <v>Q35</v>
      </c>
      <c r="E2094" t="str">
        <f t="shared" ca="1" si="715"/>
        <v/>
      </c>
      <c r="F2094" t="str">
        <f t="shared" ca="1" si="716"/>
        <v xml:space="preserve">Enter a 'Acquisition APR' for  building 32 in cell Q35.
</v>
      </c>
      <c r="G2094" s="9" t="str">
        <f t="shared" ca="1" si="717"/>
        <v xml:space="preserve">Enter a value for 'Number of Floors in the Tallest Building' in cell B60.
</v>
      </c>
      <c r="H2094" s="52" t="str">
        <f t="shared" ca="1" si="718"/>
        <v>Acquisition APR</v>
      </c>
      <c r="I2094" s="52">
        <v>17</v>
      </c>
    </row>
    <row r="2095" spans="1:10" ht="15" customHeight="1">
      <c r="A2095" t="str">
        <f ca="1">IF(AND(Calculations!$B$4,Calculations!$B$29&gt;=C2095, E2095 &lt;&gt; 13),F2095,"")</f>
        <v/>
      </c>
      <c r="B2095">
        <f>ROW('Final Building Profile'!C36)</f>
        <v>36</v>
      </c>
      <c r="C2095">
        <f t="shared" ref="C2095:C2158" ca="1" si="719">INDIRECT($F$1565 &amp; ADDRESS(B2095, 1,4  ))</f>
        <v>33</v>
      </c>
      <c r="D2095" t="str">
        <f>ADDRESS(B2095, 3,4  )</f>
        <v>C36</v>
      </c>
      <c r="E2095" s="52">
        <f ca="1">H2095+I2095</f>
        <v>0</v>
      </c>
      <c r="F2095" t="str">
        <f ca="1">CONCATENATE("Based upon the number of buildings specified, information for  building ", C2095, " required for a final application in row ", B2095, ".", CHAR(10))</f>
        <v xml:space="preserve">Based upon the number of buildings specified, information for  building 33 required for a final application in row 36.
</v>
      </c>
      <c r="G2095" s="9" t="str">
        <f t="shared" ca="1" si="717"/>
        <v xml:space="preserve">Enter a value for 'Number of Floors in the Tallest Building' in cell B60.
</v>
      </c>
      <c r="H2095" s="52">
        <f ca="1">SUMPRODUCT(--ISTEXT(INDIRECT(J2095)))</f>
        <v>0</v>
      </c>
      <c r="I2095" s="52">
        <f ca="1">SUMPRODUCT(--ISNUMBER(INDIRECT(J2095)))</f>
        <v>0</v>
      </c>
      <c r="J2095" s="52" t="str">
        <f>$F$1565&amp; ADDRESS(B2095,3,4) &amp; ":" &amp; ADDRESS(B2095,15,4)</f>
        <v>'Final Building Profile'!C36:O36</v>
      </c>
    </row>
    <row r="2096" spans="1:10" ht="15" customHeight="1">
      <c r="A2096" t="str">
        <f t="shared" ref="A2096:A2105" ca="1" si="720">IF(AND(OFFSET(A2096, -I2096 + 2, 4) &gt;  0, E2096=""), F2096, "")</f>
        <v/>
      </c>
      <c r="B2096">
        <f t="shared" ref="B2096:B2110" si="721">B2095</f>
        <v>36</v>
      </c>
      <c r="C2096">
        <f t="shared" ca="1" si="719"/>
        <v>33</v>
      </c>
      <c r="D2096" t="str">
        <f t="shared" ref="D2096:D2110" si="722">ADDRESS(B2096, I2096,4  )</f>
        <v>C36</v>
      </c>
      <c r="E2096" t="str">
        <f t="shared" ref="E2096:E2110" ca="1" si="723">IF(ISBLANK( INDIRECT($F$1565 &amp; D2096)),"", INDIRECT($F$1565 &amp; D2096))</f>
        <v/>
      </c>
      <c r="F2096" t="str">
        <f t="shared" ref="F2096:F2110" ca="1" si="724">CONCATENATE("Enter a '"&amp; H2096 &amp;"' for  building ", C2096, " in cell ", D2096, ".", CHAR(10))</f>
        <v xml:space="preserve">Enter a 'Building Street Address Only 
(DO NOT ENTER CITY, STATE, OR ZIP)' for  building 33 in cell C36.
</v>
      </c>
      <c r="G2096" s="9" t="str">
        <f t="shared" ca="1" si="717"/>
        <v xml:space="preserve">Enter a value for 'Number of Floors in the Tallest Building' in cell B60.
</v>
      </c>
      <c r="H2096" s="52" t="str">
        <f t="shared" ref="H2096:H2110" ca="1" si="725">OFFSET(INDIRECT($F$1565 &amp; D2096), -B2096 + 3, 0)</f>
        <v>Building Street Address Only 
(DO NOT ENTER CITY, STATE, OR ZIP)</v>
      </c>
      <c r="I2096" s="52">
        <v>3</v>
      </c>
    </row>
    <row r="2097" spans="1:10" ht="15" customHeight="1">
      <c r="A2097" t="str">
        <f t="shared" ca="1" si="720"/>
        <v/>
      </c>
      <c r="B2097">
        <f t="shared" si="721"/>
        <v>36</v>
      </c>
      <c r="C2097">
        <f t="shared" ca="1" si="719"/>
        <v>33</v>
      </c>
      <c r="D2097" t="str">
        <f t="shared" si="722"/>
        <v>D36</v>
      </c>
      <c r="E2097" t="str">
        <f t="shared" ca="1" si="723"/>
        <v/>
      </c>
      <c r="F2097" t="str">
        <f t="shared" ca="1" si="724"/>
        <v xml:space="preserve">Enter a 'Total Units in Building*' for  building 33 in cell D36.
</v>
      </c>
      <c r="G2097" s="9" t="str">
        <f t="shared" ca="1" si="717"/>
        <v xml:space="preserve">Enter a value for 'Number of Floors in the Tallest Building' in cell B60.
</v>
      </c>
      <c r="H2097" s="52" t="str">
        <f t="shared" ca="1" si="725"/>
        <v>Total Units in Building*</v>
      </c>
      <c r="I2097" s="52">
        <v>4</v>
      </c>
    </row>
    <row r="2098" spans="1:10" ht="15" customHeight="1">
      <c r="A2098" t="str">
        <f t="shared" ca="1" si="720"/>
        <v/>
      </c>
      <c r="B2098">
        <f t="shared" si="721"/>
        <v>36</v>
      </c>
      <c r="C2098">
        <f t="shared" ca="1" si="719"/>
        <v>33</v>
      </c>
      <c r="D2098" t="str">
        <f t="shared" si="722"/>
        <v>E36</v>
      </c>
      <c r="E2098" t="str">
        <f t="shared" ca="1" si="723"/>
        <v/>
      </c>
      <c r="F2098" t="str">
        <f t="shared" ca="1" si="724"/>
        <v xml:space="preserve">Enter a 'Employee Units' for  building 33 in cell E36.
</v>
      </c>
      <c r="G2098" s="9" t="str">
        <f t="shared" ca="1" si="717"/>
        <v xml:space="preserve">Enter a value for 'Number of Floors in the Tallest Building' in cell B60.
</v>
      </c>
      <c r="H2098" s="52" t="str">
        <f t="shared" ca="1" si="725"/>
        <v>Employee Units</v>
      </c>
      <c r="I2098" s="52">
        <v>5</v>
      </c>
    </row>
    <row r="2099" spans="1:10" ht="15" customHeight="1">
      <c r="A2099" t="str">
        <f t="shared" ca="1" si="720"/>
        <v/>
      </c>
      <c r="B2099">
        <f t="shared" si="721"/>
        <v>36</v>
      </c>
      <c r="C2099">
        <f t="shared" ca="1" si="719"/>
        <v>33</v>
      </c>
      <c r="D2099" t="str">
        <f t="shared" si="722"/>
        <v>F36</v>
      </c>
      <c r="E2099" t="str">
        <f t="shared" ca="1" si="723"/>
        <v/>
      </c>
      <c r="F2099" t="str">
        <f t="shared" ca="1" si="724"/>
        <v xml:space="preserve">Enter a 'Low-Income Units' for  building 33 in cell F36.
</v>
      </c>
      <c r="G2099" s="9" t="str">
        <f t="shared" ca="1" si="717"/>
        <v xml:space="preserve">Enter a value for 'Number of Floors in the Tallest Building' in cell B60.
</v>
      </c>
      <c r="H2099" s="52" t="str">
        <f t="shared" ca="1" si="725"/>
        <v>Low-Income Units</v>
      </c>
      <c r="I2099" s="52">
        <v>6</v>
      </c>
    </row>
    <row r="2100" spans="1:10" ht="15" customHeight="1">
      <c r="A2100" t="str">
        <f t="shared" ca="1" si="720"/>
        <v/>
      </c>
      <c r="B2100">
        <f t="shared" si="721"/>
        <v>36</v>
      </c>
      <c r="C2100">
        <f t="shared" ca="1" si="719"/>
        <v>33</v>
      </c>
      <c r="D2100" t="str">
        <f t="shared" si="722"/>
        <v>G36</v>
      </c>
      <c r="E2100" t="str">
        <f t="shared" ca="1" si="723"/>
        <v/>
      </c>
      <c r="F2100" t="str">
        <f t="shared" ca="1" si="724"/>
        <v xml:space="preserve">Enter a 'Residential Square Footage**' for  building 33 in cell G36.
</v>
      </c>
      <c r="G2100" s="9" t="str">
        <f t="shared" ca="1" si="717"/>
        <v xml:space="preserve">Enter a value for 'Number of Floors in the Tallest Building' in cell B60.
</v>
      </c>
      <c r="H2100" s="52" t="str">
        <f t="shared" ca="1" si="725"/>
        <v>Residential Square Footage**</v>
      </c>
      <c r="I2100" s="52">
        <v>7</v>
      </c>
    </row>
    <row r="2101" spans="1:10" ht="15" customHeight="1">
      <c r="A2101" t="str">
        <f t="shared" ca="1" si="720"/>
        <v/>
      </c>
      <c r="B2101">
        <f t="shared" si="721"/>
        <v>36</v>
      </c>
      <c r="C2101">
        <f t="shared" ca="1" si="719"/>
        <v>33</v>
      </c>
      <c r="D2101" t="str">
        <f t="shared" si="722"/>
        <v>H36</v>
      </c>
      <c r="E2101" t="str">
        <f t="shared" ca="1" si="723"/>
        <v/>
      </c>
      <c r="F2101" t="str">
        <f t="shared" ca="1" si="724"/>
        <v xml:space="preserve">Enter a 'Square Footage of Employee Units' for  building 33 in cell H36.
</v>
      </c>
      <c r="G2101" s="9" t="str">
        <f t="shared" ca="1" si="717"/>
        <v xml:space="preserve">Enter a value for 'Number of Floors in the Tallest Building' in cell B60.
</v>
      </c>
      <c r="H2101" s="52" t="str">
        <f t="shared" ca="1" si="725"/>
        <v>Square Footage of Employee Units</v>
      </c>
      <c r="I2101" s="52">
        <v>8</v>
      </c>
    </row>
    <row r="2102" spans="1:10" ht="15" customHeight="1">
      <c r="A2102" t="str">
        <f t="shared" ca="1" si="720"/>
        <v/>
      </c>
      <c r="B2102">
        <f t="shared" si="721"/>
        <v>36</v>
      </c>
      <c r="C2102">
        <f t="shared" ca="1" si="719"/>
        <v>33</v>
      </c>
      <c r="D2102" t="str">
        <f t="shared" si="722"/>
        <v>I36</v>
      </c>
      <c r="E2102" t="str">
        <f t="shared" ca="1" si="723"/>
        <v/>
      </c>
      <c r="F2102" t="str">
        <f t="shared" ca="1" si="724"/>
        <v xml:space="preserve">Enter a 'Square Footage of Low-Income Units' for  building 33 in cell I36.
</v>
      </c>
      <c r="G2102" s="9" t="str">
        <f t="shared" ca="1" si="717"/>
        <v xml:space="preserve">Enter a value for 'Number of Floors in the Tallest Building' in cell B60.
</v>
      </c>
      <c r="H2102" s="52" t="str">
        <f t="shared" ca="1" si="725"/>
        <v>Square Footage of Low-Income Units</v>
      </c>
      <c r="I2102" s="52">
        <v>9</v>
      </c>
    </row>
    <row r="2103" spans="1:10" ht="15" customHeight="1">
      <c r="A2103" t="str">
        <f t="shared" ca="1" si="720"/>
        <v/>
      </c>
      <c r="B2103">
        <f t="shared" si="721"/>
        <v>36</v>
      </c>
      <c r="C2103">
        <f t="shared" ca="1" si="719"/>
        <v>33</v>
      </c>
      <c r="D2103" t="str">
        <f t="shared" si="722"/>
        <v>J36</v>
      </c>
      <c r="E2103" t="str">
        <f t="shared" ca="1" si="723"/>
        <v/>
      </c>
      <c r="F2103" t="str">
        <f t="shared" ca="1" si="724"/>
        <v xml:space="preserve">Enter a 'Placed-In-Service Date' for  building 33 in cell J36.
</v>
      </c>
      <c r="G2103" s="9" t="str">
        <f t="shared" ca="1" si="717"/>
        <v xml:space="preserve">Enter a value for 'Number of Floors in the Tallest Building' in cell B60.
</v>
      </c>
      <c r="H2103" s="52" t="str">
        <f t="shared" ca="1" si="725"/>
        <v>Placed-In-Service Date</v>
      </c>
      <c r="I2103" s="52">
        <v>10</v>
      </c>
    </row>
    <row r="2104" spans="1:10" ht="15" customHeight="1">
      <c r="A2104" t="str">
        <f t="shared" ca="1" si="720"/>
        <v/>
      </c>
      <c r="B2104">
        <f t="shared" si="721"/>
        <v>36</v>
      </c>
      <c r="C2104">
        <f t="shared" ca="1" si="719"/>
        <v>33</v>
      </c>
      <c r="D2104" t="str">
        <f t="shared" si="722"/>
        <v>K36</v>
      </c>
      <c r="E2104" t="str">
        <f t="shared" ca="1" si="723"/>
        <v/>
      </c>
      <c r="F2104" t="str">
        <f t="shared" ca="1" si="724"/>
        <v xml:space="preserve">Enter a 'New Construction/ Rehab APR' for  building 33 in cell K36.
</v>
      </c>
      <c r="G2104" s="9" t="str">
        <f t="shared" ca="1" si="717"/>
        <v xml:space="preserve">Enter a value for 'Number of Floors in the Tallest Building' in cell B60.
</v>
      </c>
      <c r="H2104" s="52" t="str">
        <f t="shared" ca="1" si="725"/>
        <v>New Construction/ Rehab APR</v>
      </c>
      <c r="I2104" s="52">
        <v>11</v>
      </c>
    </row>
    <row r="2105" spans="1:10" ht="15" customHeight="1">
      <c r="A2105" t="str">
        <f t="shared" ca="1" si="720"/>
        <v/>
      </c>
      <c r="B2105">
        <f t="shared" si="721"/>
        <v>36</v>
      </c>
      <c r="C2105">
        <f t="shared" ca="1" si="719"/>
        <v>33</v>
      </c>
      <c r="D2105" t="str">
        <f t="shared" si="722"/>
        <v>L36</v>
      </c>
      <c r="E2105" t="str">
        <f t="shared" ca="1" si="723"/>
        <v/>
      </c>
      <c r="F2105" t="str">
        <f t="shared" ca="1" si="724"/>
        <v xml:space="preserve">Enter a 'New Construction Eligible Basis' for  building 33 in cell L36.
</v>
      </c>
      <c r="G2105" s="9" t="str">
        <f t="shared" ca="1" si="717"/>
        <v xml:space="preserve">Enter a value for 'Number of Floors in the Tallest Building' in cell B60.
</v>
      </c>
      <c r="H2105" s="52" t="str">
        <f t="shared" ca="1" si="725"/>
        <v>New Construction Eligible Basis</v>
      </c>
      <c r="I2105" s="52">
        <v>12</v>
      </c>
    </row>
    <row r="2106" spans="1:10" ht="15" customHeight="1">
      <c r="A2106" t="str">
        <f ca="1">IF(AND(OFFSET(A2106, -I2106 + 2, 4) &gt;  0, E2106="", Calculations!$B$7), F2106, "")</f>
        <v/>
      </c>
      <c r="B2106">
        <f t="shared" si="721"/>
        <v>36</v>
      </c>
      <c r="C2106">
        <f t="shared" ca="1" si="719"/>
        <v>33</v>
      </c>
      <c r="D2106" t="str">
        <f t="shared" si="722"/>
        <v>M36</v>
      </c>
      <c r="E2106" t="str">
        <f t="shared" ca="1" si="723"/>
        <v/>
      </c>
      <c r="F2106" t="str">
        <f t="shared" ca="1" si="724"/>
        <v xml:space="preserve">Enter a 'Eligible Basis for Rehab' for  building 33 in cell M36.
</v>
      </c>
      <c r="G2106" s="9" t="str">
        <f t="shared" ca="1" si="717"/>
        <v xml:space="preserve">Enter a value for 'Number of Floors in the Tallest Building' in cell B60.
</v>
      </c>
      <c r="H2106" s="52" t="str">
        <f t="shared" ca="1" si="725"/>
        <v>Eligible Basis for Rehab</v>
      </c>
      <c r="I2106" s="52">
        <v>13</v>
      </c>
    </row>
    <row r="2107" spans="1:10" ht="15" customHeight="1">
      <c r="A2107" t="str">
        <f ca="1">IF(AND(OFFSET(A2107, -I2107 + 2, 4) &gt;  0, E2107="", Calculations!$B$7), F2107, "")</f>
        <v/>
      </c>
      <c r="B2107">
        <f t="shared" si="721"/>
        <v>36</v>
      </c>
      <c r="C2107">
        <f t="shared" ca="1" si="719"/>
        <v>33</v>
      </c>
      <c r="D2107" t="str">
        <f t="shared" si="722"/>
        <v>N36</v>
      </c>
      <c r="E2107" t="str">
        <f t="shared" ca="1" si="723"/>
        <v/>
      </c>
      <c r="F2107" t="str">
        <f t="shared" ca="1" si="724"/>
        <v xml:space="preserve">Enter a 'Cost of Acquiring the Building***' for  building 33 in cell N36.
</v>
      </c>
      <c r="G2107" s="9" t="str">
        <f t="shared" ca="1" si="717"/>
        <v xml:space="preserve">Enter a value for 'Number of Floors in the Tallest Building' in cell B60.
</v>
      </c>
      <c r="H2107" s="52" t="str">
        <f t="shared" ca="1" si="725"/>
        <v>Cost of Acquiring the Building***</v>
      </c>
      <c r="I2107" s="52">
        <v>14</v>
      </c>
    </row>
    <row r="2108" spans="1:10" ht="15" customHeight="1">
      <c r="A2108" t="str">
        <f ca="1">IF(AND(OFFSET(A2108, -I2108 + 2, 4) &gt;  0, E2108="", Calculations!$B$7), F2108, "")</f>
        <v/>
      </c>
      <c r="B2108">
        <f t="shared" si="721"/>
        <v>36</v>
      </c>
      <c r="C2108">
        <f t="shared" ca="1" si="719"/>
        <v>33</v>
      </c>
      <c r="D2108" t="str">
        <f t="shared" si="722"/>
        <v>O36</v>
      </c>
      <c r="E2108" t="str">
        <f t="shared" ca="1" si="723"/>
        <v/>
      </c>
      <c r="F2108" t="str">
        <f t="shared" ca="1" si="724"/>
        <v xml:space="preserve">Enter a 'Higher of Land Purchase Price or Land Appraised Value****' for  building 33 in cell O36.
</v>
      </c>
      <c r="G2108" s="9" t="str">
        <f t="shared" ca="1" si="717"/>
        <v xml:space="preserve">Enter a value for 'Number of Floors in the Tallest Building' in cell B60.
</v>
      </c>
      <c r="H2108" s="52" t="str">
        <f t="shared" ca="1" si="725"/>
        <v>Higher of Land Purchase Price or Land Appraised Value****</v>
      </c>
      <c r="I2108" s="52">
        <v>15</v>
      </c>
    </row>
    <row r="2109" spans="1:10" ht="15" customHeight="1">
      <c r="A2109" t="str">
        <f ca="1">IF(AND(OFFSET(A2109, -I2109 + 2, 4) &gt;  0, E2109="", Calculations!$B$7), F2109, "")</f>
        <v/>
      </c>
      <c r="B2109">
        <f t="shared" si="721"/>
        <v>36</v>
      </c>
      <c r="C2109">
        <f t="shared" ca="1" si="719"/>
        <v>33</v>
      </c>
      <c r="D2109" t="str">
        <f t="shared" si="722"/>
        <v>P36</v>
      </c>
      <c r="E2109" t="str">
        <f t="shared" ca="1" si="723"/>
        <v/>
      </c>
      <c r="F2109" t="str">
        <f t="shared" ca="1" si="724"/>
        <v xml:space="preserve">Enter a 'Acquisition Placed-in-Service Date' for  building 33 in cell P36.
</v>
      </c>
      <c r="G2109" s="9" t="str">
        <f t="shared" ca="1" si="717"/>
        <v xml:space="preserve">Enter a value for 'Number of Floors in the Tallest Building' in cell B60.
</v>
      </c>
      <c r="H2109" s="52" t="str">
        <f t="shared" ca="1" si="725"/>
        <v>Acquisition Placed-in-Service Date</v>
      </c>
      <c r="I2109" s="52">
        <v>16</v>
      </c>
    </row>
    <row r="2110" spans="1:10" ht="15" customHeight="1">
      <c r="A2110" t="str">
        <f ca="1">IF(AND(OFFSET(A2110, -I2110 + 2, 4) &gt;  0, E2110="", Calculations!$B$7), F2110, "")</f>
        <v/>
      </c>
      <c r="B2110">
        <f t="shared" si="721"/>
        <v>36</v>
      </c>
      <c r="C2110">
        <f t="shared" ca="1" si="719"/>
        <v>33</v>
      </c>
      <c r="D2110" t="str">
        <f t="shared" si="722"/>
        <v>Q36</v>
      </c>
      <c r="E2110" t="str">
        <f t="shared" ca="1" si="723"/>
        <v/>
      </c>
      <c r="F2110" t="str">
        <f t="shared" ca="1" si="724"/>
        <v xml:space="preserve">Enter a 'Acquisition APR' for  building 33 in cell Q36.
</v>
      </c>
      <c r="G2110" s="9" t="str">
        <f t="shared" ca="1" si="717"/>
        <v xml:space="preserve">Enter a value for 'Number of Floors in the Tallest Building' in cell B60.
</v>
      </c>
      <c r="H2110" s="52" t="str">
        <f t="shared" ca="1" si="725"/>
        <v>Acquisition APR</v>
      </c>
      <c r="I2110" s="52">
        <v>17</v>
      </c>
    </row>
    <row r="2111" spans="1:10" ht="15" customHeight="1">
      <c r="A2111" t="str">
        <f ca="1">IF(AND(Calculations!$B$4,Calculations!$B$29&gt;=C2111, E2111 &lt;&gt; 13),F2111,"")</f>
        <v/>
      </c>
      <c r="B2111">
        <f>ROW('Final Building Profile'!C37)</f>
        <v>37</v>
      </c>
      <c r="C2111">
        <f t="shared" ca="1" si="719"/>
        <v>34</v>
      </c>
      <c r="D2111" t="str">
        <f>ADDRESS(B2111, 3,4  )</f>
        <v>C37</v>
      </c>
      <c r="E2111" s="52">
        <f ca="1">H2111+I2111</f>
        <v>0</v>
      </c>
      <c r="F2111" t="str">
        <f ca="1">CONCATENATE("Based upon the number of buildings specified, information for  building ", C2111, " required for a final application in row ", B2111, ".", CHAR(10))</f>
        <v xml:space="preserve">Based upon the number of buildings specified, information for  building 34 required for a final application in row 37.
</v>
      </c>
      <c r="G2111" s="9" t="str">
        <f t="shared" ca="1" si="717"/>
        <v xml:space="preserve">Enter a value for 'Number of Floors in the Tallest Building' in cell B60.
</v>
      </c>
      <c r="H2111" s="52">
        <f ca="1">SUMPRODUCT(--ISTEXT(INDIRECT(J2111)))</f>
        <v>0</v>
      </c>
      <c r="I2111" s="52">
        <f ca="1">SUMPRODUCT(--ISNUMBER(INDIRECT(J2111)))</f>
        <v>0</v>
      </c>
      <c r="J2111" s="52" t="str">
        <f>$F$1565&amp; ADDRESS(B2111,3,4) &amp; ":" &amp; ADDRESS(B2111,15,4)</f>
        <v>'Final Building Profile'!C37:O37</v>
      </c>
    </row>
    <row r="2112" spans="1:10" ht="15" customHeight="1">
      <c r="A2112" t="str">
        <f t="shared" ref="A2112:A2121" ca="1" si="726">IF(AND(OFFSET(A2112, -I2112 + 2, 4) &gt;  0, E2112=""), F2112, "")</f>
        <v/>
      </c>
      <c r="B2112">
        <f t="shared" ref="B2112:B2126" si="727">B2111</f>
        <v>37</v>
      </c>
      <c r="C2112">
        <f t="shared" ca="1" si="719"/>
        <v>34</v>
      </c>
      <c r="D2112" t="str">
        <f t="shared" ref="D2112:D2126" si="728">ADDRESS(B2112, I2112,4  )</f>
        <v>C37</v>
      </c>
      <c r="E2112" t="str">
        <f t="shared" ref="E2112:E2126" ca="1" si="729">IF(ISBLANK( INDIRECT($F$1565 &amp; D2112)),"", INDIRECT($F$1565 &amp; D2112))</f>
        <v/>
      </c>
      <c r="F2112" t="str">
        <f t="shared" ref="F2112:F2126" ca="1" si="730">CONCATENATE("Enter a '"&amp; H2112 &amp;"' for  building ", C2112, " in cell ", D2112, ".", CHAR(10))</f>
        <v xml:space="preserve">Enter a 'Building Street Address Only 
(DO NOT ENTER CITY, STATE, OR ZIP)' for  building 34 in cell C37.
</v>
      </c>
      <c r="G2112" s="9" t="str">
        <f t="shared" ca="1" si="717"/>
        <v xml:space="preserve">Enter a value for 'Number of Floors in the Tallest Building' in cell B60.
</v>
      </c>
      <c r="H2112" s="52" t="str">
        <f t="shared" ref="H2112:H2126" ca="1" si="731">OFFSET(INDIRECT($F$1565 &amp; D2112), -B2112 + 3, 0)</f>
        <v>Building Street Address Only 
(DO NOT ENTER CITY, STATE, OR ZIP)</v>
      </c>
      <c r="I2112" s="52">
        <v>3</v>
      </c>
    </row>
    <row r="2113" spans="1:10" ht="15" customHeight="1">
      <c r="A2113" t="str">
        <f t="shared" ca="1" si="726"/>
        <v/>
      </c>
      <c r="B2113">
        <f t="shared" si="727"/>
        <v>37</v>
      </c>
      <c r="C2113">
        <f t="shared" ca="1" si="719"/>
        <v>34</v>
      </c>
      <c r="D2113" t="str">
        <f t="shared" si="728"/>
        <v>D37</v>
      </c>
      <c r="E2113" t="str">
        <f t="shared" ca="1" si="729"/>
        <v/>
      </c>
      <c r="F2113" t="str">
        <f t="shared" ca="1" si="730"/>
        <v xml:space="preserve">Enter a 'Total Units in Building*' for  building 34 in cell D37.
</v>
      </c>
      <c r="G2113" s="9" t="str">
        <f t="shared" ca="1" si="717"/>
        <v xml:space="preserve">Enter a value for 'Number of Floors in the Tallest Building' in cell B60.
</v>
      </c>
      <c r="H2113" s="52" t="str">
        <f t="shared" ca="1" si="731"/>
        <v>Total Units in Building*</v>
      </c>
      <c r="I2113" s="52">
        <v>4</v>
      </c>
    </row>
    <row r="2114" spans="1:10" ht="15" customHeight="1">
      <c r="A2114" t="str">
        <f t="shared" ca="1" si="726"/>
        <v/>
      </c>
      <c r="B2114">
        <f t="shared" si="727"/>
        <v>37</v>
      </c>
      <c r="C2114">
        <f t="shared" ca="1" si="719"/>
        <v>34</v>
      </c>
      <c r="D2114" t="str">
        <f t="shared" si="728"/>
        <v>E37</v>
      </c>
      <c r="E2114" t="str">
        <f t="shared" ca="1" si="729"/>
        <v/>
      </c>
      <c r="F2114" t="str">
        <f t="shared" ca="1" si="730"/>
        <v xml:space="preserve">Enter a 'Employee Units' for  building 34 in cell E37.
</v>
      </c>
      <c r="G2114" s="9" t="str">
        <f t="shared" ca="1" si="717"/>
        <v xml:space="preserve">Enter a value for 'Number of Floors in the Tallest Building' in cell B60.
</v>
      </c>
      <c r="H2114" s="52" t="str">
        <f t="shared" ca="1" si="731"/>
        <v>Employee Units</v>
      </c>
      <c r="I2114" s="52">
        <v>5</v>
      </c>
    </row>
    <row r="2115" spans="1:10" ht="15" customHeight="1">
      <c r="A2115" t="str">
        <f t="shared" ca="1" si="726"/>
        <v/>
      </c>
      <c r="B2115">
        <f t="shared" si="727"/>
        <v>37</v>
      </c>
      <c r="C2115">
        <f t="shared" ca="1" si="719"/>
        <v>34</v>
      </c>
      <c r="D2115" t="str">
        <f t="shared" si="728"/>
        <v>F37</v>
      </c>
      <c r="E2115" t="str">
        <f t="shared" ca="1" si="729"/>
        <v/>
      </c>
      <c r="F2115" t="str">
        <f t="shared" ca="1" si="730"/>
        <v xml:space="preserve">Enter a 'Low-Income Units' for  building 34 in cell F37.
</v>
      </c>
      <c r="G2115" s="9" t="str">
        <f t="shared" ca="1" si="717"/>
        <v xml:space="preserve">Enter a value for 'Number of Floors in the Tallest Building' in cell B60.
</v>
      </c>
      <c r="H2115" s="52" t="str">
        <f t="shared" ca="1" si="731"/>
        <v>Low-Income Units</v>
      </c>
      <c r="I2115" s="52">
        <v>6</v>
      </c>
    </row>
    <row r="2116" spans="1:10" ht="15" customHeight="1">
      <c r="A2116" t="str">
        <f t="shared" ca="1" si="726"/>
        <v/>
      </c>
      <c r="B2116">
        <f t="shared" si="727"/>
        <v>37</v>
      </c>
      <c r="C2116">
        <f t="shared" ca="1" si="719"/>
        <v>34</v>
      </c>
      <c r="D2116" t="str">
        <f t="shared" si="728"/>
        <v>G37</v>
      </c>
      <c r="E2116" t="str">
        <f t="shared" ca="1" si="729"/>
        <v/>
      </c>
      <c r="F2116" t="str">
        <f t="shared" ca="1" si="730"/>
        <v xml:space="preserve">Enter a 'Residential Square Footage**' for  building 34 in cell G37.
</v>
      </c>
      <c r="G2116" s="9" t="str">
        <f t="shared" ca="1" si="717"/>
        <v xml:space="preserve">Enter a value for 'Number of Floors in the Tallest Building' in cell B60.
</v>
      </c>
      <c r="H2116" s="52" t="str">
        <f t="shared" ca="1" si="731"/>
        <v>Residential Square Footage**</v>
      </c>
      <c r="I2116" s="52">
        <v>7</v>
      </c>
    </row>
    <row r="2117" spans="1:10" ht="15" customHeight="1">
      <c r="A2117" t="str">
        <f t="shared" ca="1" si="726"/>
        <v/>
      </c>
      <c r="B2117">
        <f t="shared" si="727"/>
        <v>37</v>
      </c>
      <c r="C2117">
        <f t="shared" ca="1" si="719"/>
        <v>34</v>
      </c>
      <c r="D2117" t="str">
        <f t="shared" si="728"/>
        <v>H37</v>
      </c>
      <c r="E2117" t="str">
        <f t="shared" ca="1" si="729"/>
        <v/>
      </c>
      <c r="F2117" t="str">
        <f t="shared" ca="1" si="730"/>
        <v xml:space="preserve">Enter a 'Square Footage of Employee Units' for  building 34 in cell H37.
</v>
      </c>
      <c r="G2117" s="9" t="str">
        <f t="shared" ca="1" si="717"/>
        <v xml:space="preserve">Enter a value for 'Number of Floors in the Tallest Building' in cell B60.
</v>
      </c>
      <c r="H2117" s="52" t="str">
        <f t="shared" ca="1" si="731"/>
        <v>Square Footage of Employee Units</v>
      </c>
      <c r="I2117" s="52">
        <v>8</v>
      </c>
    </row>
    <row r="2118" spans="1:10" ht="15" customHeight="1">
      <c r="A2118" t="str">
        <f t="shared" ca="1" si="726"/>
        <v/>
      </c>
      <c r="B2118">
        <f t="shared" si="727"/>
        <v>37</v>
      </c>
      <c r="C2118">
        <f t="shared" ca="1" si="719"/>
        <v>34</v>
      </c>
      <c r="D2118" t="str">
        <f t="shared" si="728"/>
        <v>I37</v>
      </c>
      <c r="E2118" t="str">
        <f t="shared" ca="1" si="729"/>
        <v/>
      </c>
      <c r="F2118" t="str">
        <f t="shared" ca="1" si="730"/>
        <v xml:space="preserve">Enter a 'Square Footage of Low-Income Units' for  building 34 in cell I37.
</v>
      </c>
      <c r="G2118" s="9" t="str">
        <f t="shared" ca="1" si="717"/>
        <v xml:space="preserve">Enter a value for 'Number of Floors in the Tallest Building' in cell B60.
</v>
      </c>
      <c r="H2118" s="52" t="str">
        <f t="shared" ca="1" si="731"/>
        <v>Square Footage of Low-Income Units</v>
      </c>
      <c r="I2118" s="52">
        <v>9</v>
      </c>
    </row>
    <row r="2119" spans="1:10" ht="15" customHeight="1">
      <c r="A2119" t="str">
        <f t="shared" ca="1" si="726"/>
        <v/>
      </c>
      <c r="B2119">
        <f t="shared" si="727"/>
        <v>37</v>
      </c>
      <c r="C2119">
        <f t="shared" ca="1" si="719"/>
        <v>34</v>
      </c>
      <c r="D2119" t="str">
        <f t="shared" si="728"/>
        <v>J37</v>
      </c>
      <c r="E2119" t="str">
        <f t="shared" ca="1" si="729"/>
        <v/>
      </c>
      <c r="F2119" t="str">
        <f t="shared" ca="1" si="730"/>
        <v xml:space="preserve">Enter a 'Placed-In-Service Date' for  building 34 in cell J37.
</v>
      </c>
      <c r="G2119" s="9" t="str">
        <f t="shared" ca="1" si="717"/>
        <v xml:space="preserve">Enter a value for 'Number of Floors in the Tallest Building' in cell B60.
</v>
      </c>
      <c r="H2119" s="52" t="str">
        <f t="shared" ca="1" si="731"/>
        <v>Placed-In-Service Date</v>
      </c>
      <c r="I2119" s="52">
        <v>10</v>
      </c>
    </row>
    <row r="2120" spans="1:10" ht="15" customHeight="1">
      <c r="A2120" t="str">
        <f t="shared" ca="1" si="726"/>
        <v/>
      </c>
      <c r="B2120">
        <f t="shared" si="727"/>
        <v>37</v>
      </c>
      <c r="C2120">
        <f t="shared" ca="1" si="719"/>
        <v>34</v>
      </c>
      <c r="D2120" t="str">
        <f t="shared" si="728"/>
        <v>K37</v>
      </c>
      <c r="E2120" t="str">
        <f t="shared" ca="1" si="729"/>
        <v/>
      </c>
      <c r="F2120" t="str">
        <f t="shared" ca="1" si="730"/>
        <v xml:space="preserve">Enter a 'New Construction/ Rehab APR' for  building 34 in cell K37.
</v>
      </c>
      <c r="G2120" s="9" t="str">
        <f t="shared" ca="1" si="717"/>
        <v xml:space="preserve">Enter a value for 'Number of Floors in the Tallest Building' in cell B60.
</v>
      </c>
      <c r="H2120" s="52" t="str">
        <f t="shared" ca="1" si="731"/>
        <v>New Construction/ Rehab APR</v>
      </c>
      <c r="I2120" s="52">
        <v>11</v>
      </c>
    </row>
    <row r="2121" spans="1:10" ht="15" customHeight="1">
      <c r="A2121" t="str">
        <f t="shared" ca="1" si="726"/>
        <v/>
      </c>
      <c r="B2121">
        <f t="shared" si="727"/>
        <v>37</v>
      </c>
      <c r="C2121">
        <f t="shared" ca="1" si="719"/>
        <v>34</v>
      </c>
      <c r="D2121" t="str">
        <f t="shared" si="728"/>
        <v>L37</v>
      </c>
      <c r="E2121" t="str">
        <f t="shared" ca="1" si="729"/>
        <v/>
      </c>
      <c r="F2121" t="str">
        <f t="shared" ca="1" si="730"/>
        <v xml:space="preserve">Enter a 'New Construction Eligible Basis' for  building 34 in cell L37.
</v>
      </c>
      <c r="G2121" s="9" t="str">
        <f t="shared" ca="1" si="717"/>
        <v xml:space="preserve">Enter a value for 'Number of Floors in the Tallest Building' in cell B60.
</v>
      </c>
      <c r="H2121" s="52" t="str">
        <f t="shared" ca="1" si="731"/>
        <v>New Construction Eligible Basis</v>
      </c>
      <c r="I2121" s="52">
        <v>12</v>
      </c>
    </row>
    <row r="2122" spans="1:10" ht="15" customHeight="1">
      <c r="A2122" t="str">
        <f ca="1">IF(AND(OFFSET(A2122, -I2122 + 2, 4) &gt;  0, E2122="", Calculations!$B$7), F2122, "")</f>
        <v/>
      </c>
      <c r="B2122">
        <f t="shared" si="727"/>
        <v>37</v>
      </c>
      <c r="C2122">
        <f t="shared" ca="1" si="719"/>
        <v>34</v>
      </c>
      <c r="D2122" t="str">
        <f t="shared" si="728"/>
        <v>M37</v>
      </c>
      <c r="E2122" t="str">
        <f t="shared" ca="1" si="729"/>
        <v/>
      </c>
      <c r="F2122" t="str">
        <f t="shared" ca="1" si="730"/>
        <v xml:space="preserve">Enter a 'Eligible Basis for Rehab' for  building 34 in cell M37.
</v>
      </c>
      <c r="G2122" s="9" t="str">
        <f t="shared" ca="1" si="717"/>
        <v xml:space="preserve">Enter a value for 'Number of Floors in the Tallest Building' in cell B60.
</v>
      </c>
      <c r="H2122" s="52" t="str">
        <f t="shared" ca="1" si="731"/>
        <v>Eligible Basis for Rehab</v>
      </c>
      <c r="I2122" s="52">
        <v>13</v>
      </c>
    </row>
    <row r="2123" spans="1:10" ht="15" customHeight="1">
      <c r="A2123" t="str">
        <f ca="1">IF(AND(OFFSET(A2123, -I2123 + 2, 4) &gt;  0, E2123="", Calculations!$B$7), F2123, "")</f>
        <v/>
      </c>
      <c r="B2123">
        <f t="shared" si="727"/>
        <v>37</v>
      </c>
      <c r="C2123">
        <f t="shared" ca="1" si="719"/>
        <v>34</v>
      </c>
      <c r="D2123" t="str">
        <f t="shared" si="728"/>
        <v>N37</v>
      </c>
      <c r="E2123" t="str">
        <f t="shared" ca="1" si="729"/>
        <v/>
      </c>
      <c r="F2123" t="str">
        <f t="shared" ca="1" si="730"/>
        <v xml:space="preserve">Enter a 'Cost of Acquiring the Building***' for  building 34 in cell N37.
</v>
      </c>
      <c r="G2123" s="9" t="str">
        <f t="shared" ca="1" si="717"/>
        <v xml:space="preserve">Enter a value for 'Number of Floors in the Tallest Building' in cell B60.
</v>
      </c>
      <c r="H2123" s="52" t="str">
        <f t="shared" ca="1" si="731"/>
        <v>Cost of Acquiring the Building***</v>
      </c>
      <c r="I2123" s="52">
        <v>14</v>
      </c>
    </row>
    <row r="2124" spans="1:10" ht="15" customHeight="1">
      <c r="A2124" t="str">
        <f ca="1">IF(AND(OFFSET(A2124, -I2124 + 2, 4) &gt;  0, E2124="", Calculations!$B$7), F2124, "")</f>
        <v/>
      </c>
      <c r="B2124">
        <f t="shared" si="727"/>
        <v>37</v>
      </c>
      <c r="C2124">
        <f t="shared" ca="1" si="719"/>
        <v>34</v>
      </c>
      <c r="D2124" t="str">
        <f t="shared" si="728"/>
        <v>O37</v>
      </c>
      <c r="E2124" t="str">
        <f t="shared" ca="1" si="729"/>
        <v/>
      </c>
      <c r="F2124" t="str">
        <f t="shared" ca="1" si="730"/>
        <v xml:space="preserve">Enter a 'Higher of Land Purchase Price or Land Appraised Value****' for  building 34 in cell O37.
</v>
      </c>
      <c r="G2124" s="9" t="str">
        <f t="shared" ca="1" si="717"/>
        <v xml:space="preserve">Enter a value for 'Number of Floors in the Tallest Building' in cell B60.
</v>
      </c>
      <c r="H2124" s="52" t="str">
        <f t="shared" ca="1" si="731"/>
        <v>Higher of Land Purchase Price or Land Appraised Value****</v>
      </c>
      <c r="I2124" s="52">
        <v>15</v>
      </c>
    </row>
    <row r="2125" spans="1:10" ht="15" customHeight="1">
      <c r="A2125" t="str">
        <f ca="1">IF(AND(OFFSET(A2125, -I2125 + 2, 4) &gt;  0, E2125="", Calculations!$B$7), F2125, "")</f>
        <v/>
      </c>
      <c r="B2125">
        <f t="shared" si="727"/>
        <v>37</v>
      </c>
      <c r="C2125">
        <f t="shared" ca="1" si="719"/>
        <v>34</v>
      </c>
      <c r="D2125" t="str">
        <f t="shared" si="728"/>
        <v>P37</v>
      </c>
      <c r="E2125" t="str">
        <f t="shared" ca="1" si="729"/>
        <v/>
      </c>
      <c r="F2125" t="str">
        <f t="shared" ca="1" si="730"/>
        <v xml:space="preserve">Enter a 'Acquisition Placed-in-Service Date' for  building 34 in cell P37.
</v>
      </c>
      <c r="G2125" s="9" t="str">
        <f t="shared" ca="1" si="717"/>
        <v xml:space="preserve">Enter a value for 'Number of Floors in the Tallest Building' in cell B60.
</v>
      </c>
      <c r="H2125" s="52" t="str">
        <f t="shared" ca="1" si="731"/>
        <v>Acquisition Placed-in-Service Date</v>
      </c>
      <c r="I2125" s="52">
        <v>16</v>
      </c>
    </row>
    <row r="2126" spans="1:10" ht="15" customHeight="1">
      <c r="A2126" t="str">
        <f ca="1">IF(AND(OFFSET(A2126, -I2126 + 2, 4) &gt;  0, E2126="", Calculations!$B$7), F2126, "")</f>
        <v/>
      </c>
      <c r="B2126">
        <f t="shared" si="727"/>
        <v>37</v>
      </c>
      <c r="C2126">
        <f t="shared" ca="1" si="719"/>
        <v>34</v>
      </c>
      <c r="D2126" t="str">
        <f t="shared" si="728"/>
        <v>Q37</v>
      </c>
      <c r="E2126" t="str">
        <f t="shared" ca="1" si="729"/>
        <v/>
      </c>
      <c r="F2126" t="str">
        <f t="shared" ca="1" si="730"/>
        <v xml:space="preserve">Enter a 'Acquisition APR' for  building 34 in cell Q37.
</v>
      </c>
      <c r="G2126" s="9" t="str">
        <f t="shared" ca="1" si="717"/>
        <v xml:space="preserve">Enter a value for 'Number of Floors in the Tallest Building' in cell B60.
</v>
      </c>
      <c r="H2126" s="52" t="str">
        <f t="shared" ca="1" si="731"/>
        <v>Acquisition APR</v>
      </c>
      <c r="I2126" s="52">
        <v>17</v>
      </c>
    </row>
    <row r="2127" spans="1:10" ht="15" customHeight="1">
      <c r="A2127" t="str">
        <f ca="1">IF(AND(Calculations!$B$4,Calculations!$B$29&gt;=C2127, E2127 &lt;&gt; 13),F2127,"")</f>
        <v/>
      </c>
      <c r="B2127">
        <f>ROW('Final Building Profile'!C38)</f>
        <v>38</v>
      </c>
      <c r="C2127">
        <f t="shared" ca="1" si="719"/>
        <v>35</v>
      </c>
      <c r="D2127" t="str">
        <f>ADDRESS(B2127, 3,4  )</f>
        <v>C38</v>
      </c>
      <c r="E2127" s="52">
        <f ca="1">H2127+I2127</f>
        <v>0</v>
      </c>
      <c r="F2127" t="str">
        <f ca="1">CONCATENATE("Based upon the number of buildings specified, information for  building ", C2127, " required for a final application in row ", B2127, ".", CHAR(10))</f>
        <v xml:space="preserve">Based upon the number of buildings specified, information for  building 35 required for a final application in row 38.
</v>
      </c>
      <c r="G2127" s="9" t="str">
        <f t="shared" ca="1" si="717"/>
        <v xml:space="preserve">Enter a value for 'Number of Floors in the Tallest Building' in cell B60.
</v>
      </c>
      <c r="H2127" s="52">
        <f ca="1">SUMPRODUCT(--ISTEXT(INDIRECT(J2127)))</f>
        <v>0</v>
      </c>
      <c r="I2127" s="52">
        <f ca="1">SUMPRODUCT(--ISNUMBER(INDIRECT(J2127)))</f>
        <v>0</v>
      </c>
      <c r="J2127" s="52" t="str">
        <f>$F$1565&amp; ADDRESS(B2127,3,4) &amp; ":" &amp; ADDRESS(B2127,15,4)</f>
        <v>'Final Building Profile'!C38:O38</v>
      </c>
    </row>
    <row r="2128" spans="1:10" ht="15" customHeight="1">
      <c r="A2128" t="str">
        <f t="shared" ref="A2128:A2137" ca="1" si="732">IF(AND(OFFSET(A2128, -I2128 + 2, 4) &gt;  0, E2128=""), F2128, "")</f>
        <v/>
      </c>
      <c r="B2128">
        <f t="shared" ref="B2128:B2142" si="733">B2127</f>
        <v>38</v>
      </c>
      <c r="C2128">
        <f t="shared" ca="1" si="719"/>
        <v>35</v>
      </c>
      <c r="D2128" t="str">
        <f t="shared" ref="D2128:D2142" si="734">ADDRESS(B2128, I2128,4  )</f>
        <v>C38</v>
      </c>
      <c r="E2128" t="str">
        <f t="shared" ref="E2128:E2142" ca="1" si="735">IF(ISBLANK( INDIRECT($F$1565 &amp; D2128)),"", INDIRECT($F$1565 &amp; D2128))</f>
        <v/>
      </c>
      <c r="F2128" t="str">
        <f t="shared" ref="F2128:F2142" ca="1" si="736">CONCATENATE("Enter a '"&amp; H2128 &amp;"' for  building ", C2128, " in cell ", D2128, ".", CHAR(10))</f>
        <v xml:space="preserve">Enter a 'Building Street Address Only 
(DO NOT ENTER CITY, STATE, OR ZIP)' for  building 35 in cell C38.
</v>
      </c>
      <c r="G2128" s="9" t="str">
        <f t="shared" ca="1" si="717"/>
        <v xml:space="preserve">Enter a value for 'Number of Floors in the Tallest Building' in cell B60.
</v>
      </c>
      <c r="H2128" s="52" t="str">
        <f t="shared" ref="H2128:H2142" ca="1" si="737">OFFSET(INDIRECT($F$1565 &amp; D2128), -B2128 + 3, 0)</f>
        <v>Building Street Address Only 
(DO NOT ENTER CITY, STATE, OR ZIP)</v>
      </c>
      <c r="I2128" s="52">
        <v>3</v>
      </c>
    </row>
    <row r="2129" spans="1:10" ht="15" customHeight="1">
      <c r="A2129" t="str">
        <f t="shared" ca="1" si="732"/>
        <v/>
      </c>
      <c r="B2129">
        <f t="shared" si="733"/>
        <v>38</v>
      </c>
      <c r="C2129">
        <f t="shared" ca="1" si="719"/>
        <v>35</v>
      </c>
      <c r="D2129" t="str">
        <f t="shared" si="734"/>
        <v>D38</v>
      </c>
      <c r="E2129" t="str">
        <f t="shared" ca="1" si="735"/>
        <v/>
      </c>
      <c r="F2129" t="str">
        <f t="shared" ca="1" si="736"/>
        <v xml:space="preserve">Enter a 'Total Units in Building*' for  building 35 in cell D38.
</v>
      </c>
      <c r="G2129" s="9" t="str">
        <f t="shared" ca="1" si="717"/>
        <v xml:space="preserve">Enter a value for 'Number of Floors in the Tallest Building' in cell B60.
</v>
      </c>
      <c r="H2129" s="52" t="str">
        <f t="shared" ca="1" si="737"/>
        <v>Total Units in Building*</v>
      </c>
      <c r="I2129" s="52">
        <v>4</v>
      </c>
    </row>
    <row r="2130" spans="1:10" ht="15" customHeight="1">
      <c r="A2130" t="str">
        <f t="shared" ca="1" si="732"/>
        <v/>
      </c>
      <c r="B2130">
        <f t="shared" si="733"/>
        <v>38</v>
      </c>
      <c r="C2130">
        <f t="shared" ca="1" si="719"/>
        <v>35</v>
      </c>
      <c r="D2130" t="str">
        <f t="shared" si="734"/>
        <v>E38</v>
      </c>
      <c r="E2130" t="str">
        <f t="shared" ca="1" si="735"/>
        <v/>
      </c>
      <c r="F2130" t="str">
        <f t="shared" ca="1" si="736"/>
        <v xml:space="preserve">Enter a 'Employee Units' for  building 35 in cell E38.
</v>
      </c>
      <c r="G2130" s="9" t="str">
        <f t="shared" ca="1" si="717"/>
        <v xml:space="preserve">Enter a value for 'Number of Floors in the Tallest Building' in cell B60.
</v>
      </c>
      <c r="H2130" s="52" t="str">
        <f t="shared" ca="1" si="737"/>
        <v>Employee Units</v>
      </c>
      <c r="I2130" s="52">
        <v>5</v>
      </c>
    </row>
    <row r="2131" spans="1:10" ht="15" customHeight="1">
      <c r="A2131" t="str">
        <f t="shared" ca="1" si="732"/>
        <v/>
      </c>
      <c r="B2131">
        <f t="shared" si="733"/>
        <v>38</v>
      </c>
      <c r="C2131">
        <f t="shared" ca="1" si="719"/>
        <v>35</v>
      </c>
      <c r="D2131" t="str">
        <f t="shared" si="734"/>
        <v>F38</v>
      </c>
      <c r="E2131" t="str">
        <f t="shared" ca="1" si="735"/>
        <v/>
      </c>
      <c r="F2131" t="str">
        <f t="shared" ca="1" si="736"/>
        <v xml:space="preserve">Enter a 'Low-Income Units' for  building 35 in cell F38.
</v>
      </c>
      <c r="G2131" s="9" t="str">
        <f t="shared" ca="1" si="717"/>
        <v xml:space="preserve">Enter a value for 'Number of Floors in the Tallest Building' in cell B60.
</v>
      </c>
      <c r="H2131" s="52" t="str">
        <f t="shared" ca="1" si="737"/>
        <v>Low-Income Units</v>
      </c>
      <c r="I2131" s="52">
        <v>6</v>
      </c>
    </row>
    <row r="2132" spans="1:10" ht="15" customHeight="1">
      <c r="A2132" t="str">
        <f t="shared" ca="1" si="732"/>
        <v/>
      </c>
      <c r="B2132">
        <f t="shared" si="733"/>
        <v>38</v>
      </c>
      <c r="C2132">
        <f t="shared" ca="1" si="719"/>
        <v>35</v>
      </c>
      <c r="D2132" t="str">
        <f t="shared" si="734"/>
        <v>G38</v>
      </c>
      <c r="E2132" t="str">
        <f t="shared" ca="1" si="735"/>
        <v/>
      </c>
      <c r="F2132" t="str">
        <f t="shared" ca="1" si="736"/>
        <v xml:space="preserve">Enter a 'Residential Square Footage**' for  building 35 in cell G38.
</v>
      </c>
      <c r="G2132" s="9" t="str">
        <f t="shared" ca="1" si="717"/>
        <v xml:space="preserve">Enter a value for 'Number of Floors in the Tallest Building' in cell B60.
</v>
      </c>
      <c r="H2132" s="52" t="str">
        <f t="shared" ca="1" si="737"/>
        <v>Residential Square Footage**</v>
      </c>
      <c r="I2132" s="52">
        <v>7</v>
      </c>
    </row>
    <row r="2133" spans="1:10" ht="15" customHeight="1">
      <c r="A2133" t="str">
        <f t="shared" ca="1" si="732"/>
        <v/>
      </c>
      <c r="B2133">
        <f t="shared" si="733"/>
        <v>38</v>
      </c>
      <c r="C2133">
        <f t="shared" ca="1" si="719"/>
        <v>35</v>
      </c>
      <c r="D2133" t="str">
        <f t="shared" si="734"/>
        <v>H38</v>
      </c>
      <c r="E2133" t="str">
        <f t="shared" ca="1" si="735"/>
        <v/>
      </c>
      <c r="F2133" t="str">
        <f t="shared" ca="1" si="736"/>
        <v xml:space="preserve">Enter a 'Square Footage of Employee Units' for  building 35 in cell H38.
</v>
      </c>
      <c r="G2133" s="9" t="str">
        <f t="shared" ca="1" si="717"/>
        <v xml:space="preserve">Enter a value for 'Number of Floors in the Tallest Building' in cell B60.
</v>
      </c>
      <c r="H2133" s="52" t="str">
        <f t="shared" ca="1" si="737"/>
        <v>Square Footage of Employee Units</v>
      </c>
      <c r="I2133" s="52">
        <v>8</v>
      </c>
    </row>
    <row r="2134" spans="1:10" ht="15" customHeight="1">
      <c r="A2134" t="str">
        <f t="shared" ca="1" si="732"/>
        <v/>
      </c>
      <c r="B2134">
        <f t="shared" si="733"/>
        <v>38</v>
      </c>
      <c r="C2134">
        <f t="shared" ca="1" si="719"/>
        <v>35</v>
      </c>
      <c r="D2134" t="str">
        <f t="shared" si="734"/>
        <v>I38</v>
      </c>
      <c r="E2134" t="str">
        <f t="shared" ca="1" si="735"/>
        <v/>
      </c>
      <c r="F2134" t="str">
        <f t="shared" ca="1" si="736"/>
        <v xml:space="preserve">Enter a 'Square Footage of Low-Income Units' for  building 35 in cell I38.
</v>
      </c>
      <c r="G2134" s="9" t="str">
        <f t="shared" ca="1" si="717"/>
        <v xml:space="preserve">Enter a value for 'Number of Floors in the Tallest Building' in cell B60.
</v>
      </c>
      <c r="H2134" s="52" t="str">
        <f t="shared" ca="1" si="737"/>
        <v>Square Footage of Low-Income Units</v>
      </c>
      <c r="I2134" s="52">
        <v>9</v>
      </c>
    </row>
    <row r="2135" spans="1:10" ht="15" customHeight="1">
      <c r="A2135" t="str">
        <f t="shared" ca="1" si="732"/>
        <v/>
      </c>
      <c r="B2135">
        <f t="shared" si="733"/>
        <v>38</v>
      </c>
      <c r="C2135">
        <f t="shared" ca="1" si="719"/>
        <v>35</v>
      </c>
      <c r="D2135" t="str">
        <f t="shared" si="734"/>
        <v>J38</v>
      </c>
      <c r="E2135" t="str">
        <f t="shared" ca="1" si="735"/>
        <v/>
      </c>
      <c r="F2135" t="str">
        <f t="shared" ca="1" si="736"/>
        <v xml:space="preserve">Enter a 'Placed-In-Service Date' for  building 35 in cell J38.
</v>
      </c>
      <c r="G2135" s="9" t="str">
        <f t="shared" ca="1" si="717"/>
        <v xml:space="preserve">Enter a value for 'Number of Floors in the Tallest Building' in cell B60.
</v>
      </c>
      <c r="H2135" s="52" t="str">
        <f t="shared" ca="1" si="737"/>
        <v>Placed-In-Service Date</v>
      </c>
      <c r="I2135" s="52">
        <v>10</v>
      </c>
    </row>
    <row r="2136" spans="1:10" ht="15" customHeight="1">
      <c r="A2136" t="str">
        <f t="shared" ca="1" si="732"/>
        <v/>
      </c>
      <c r="B2136">
        <f t="shared" si="733"/>
        <v>38</v>
      </c>
      <c r="C2136">
        <f t="shared" ca="1" si="719"/>
        <v>35</v>
      </c>
      <c r="D2136" t="str">
        <f t="shared" si="734"/>
        <v>K38</v>
      </c>
      <c r="E2136" t="str">
        <f t="shared" ca="1" si="735"/>
        <v/>
      </c>
      <c r="F2136" t="str">
        <f t="shared" ca="1" si="736"/>
        <v xml:space="preserve">Enter a 'New Construction/ Rehab APR' for  building 35 in cell K38.
</v>
      </c>
      <c r="G2136" s="9" t="str">
        <f t="shared" ca="1" si="717"/>
        <v xml:space="preserve">Enter a value for 'Number of Floors in the Tallest Building' in cell B60.
</v>
      </c>
      <c r="H2136" s="52" t="str">
        <f t="shared" ca="1" si="737"/>
        <v>New Construction/ Rehab APR</v>
      </c>
      <c r="I2136" s="52">
        <v>11</v>
      </c>
    </row>
    <row r="2137" spans="1:10" ht="15" customHeight="1">
      <c r="A2137" t="str">
        <f t="shared" ca="1" si="732"/>
        <v/>
      </c>
      <c r="B2137">
        <f t="shared" si="733"/>
        <v>38</v>
      </c>
      <c r="C2137">
        <f t="shared" ca="1" si="719"/>
        <v>35</v>
      </c>
      <c r="D2137" t="str">
        <f t="shared" si="734"/>
        <v>L38</v>
      </c>
      <c r="E2137" t="str">
        <f t="shared" ca="1" si="735"/>
        <v/>
      </c>
      <c r="F2137" t="str">
        <f t="shared" ca="1" si="736"/>
        <v xml:space="preserve">Enter a 'New Construction Eligible Basis' for  building 35 in cell L38.
</v>
      </c>
      <c r="G2137" s="9" t="str">
        <f t="shared" ca="1" si="717"/>
        <v xml:space="preserve">Enter a value for 'Number of Floors in the Tallest Building' in cell B60.
</v>
      </c>
      <c r="H2137" s="52" t="str">
        <f t="shared" ca="1" si="737"/>
        <v>New Construction Eligible Basis</v>
      </c>
      <c r="I2137" s="52">
        <v>12</v>
      </c>
    </row>
    <row r="2138" spans="1:10" ht="15" customHeight="1">
      <c r="A2138" t="str">
        <f ca="1">IF(AND(OFFSET(A2138, -I2138 + 2, 4) &gt;  0, E2138="", Calculations!$B$7), F2138, "")</f>
        <v/>
      </c>
      <c r="B2138">
        <f t="shared" si="733"/>
        <v>38</v>
      </c>
      <c r="C2138">
        <f t="shared" ca="1" si="719"/>
        <v>35</v>
      </c>
      <c r="D2138" t="str">
        <f t="shared" si="734"/>
        <v>M38</v>
      </c>
      <c r="E2138" t="str">
        <f t="shared" ca="1" si="735"/>
        <v/>
      </c>
      <c r="F2138" t="str">
        <f t="shared" ca="1" si="736"/>
        <v xml:space="preserve">Enter a 'Eligible Basis for Rehab' for  building 35 in cell M38.
</v>
      </c>
      <c r="G2138" s="9" t="str">
        <f t="shared" ca="1" si="717"/>
        <v xml:space="preserve">Enter a value for 'Number of Floors in the Tallest Building' in cell B60.
</v>
      </c>
      <c r="H2138" s="52" t="str">
        <f t="shared" ca="1" si="737"/>
        <v>Eligible Basis for Rehab</v>
      </c>
      <c r="I2138" s="52">
        <v>13</v>
      </c>
    </row>
    <row r="2139" spans="1:10" ht="15" customHeight="1">
      <c r="A2139" t="str">
        <f ca="1">IF(AND(OFFSET(A2139, -I2139 + 2, 4) &gt;  0, E2139="", Calculations!$B$7), F2139, "")</f>
        <v/>
      </c>
      <c r="B2139">
        <f t="shared" si="733"/>
        <v>38</v>
      </c>
      <c r="C2139">
        <f t="shared" ca="1" si="719"/>
        <v>35</v>
      </c>
      <c r="D2139" t="str">
        <f t="shared" si="734"/>
        <v>N38</v>
      </c>
      <c r="E2139" t="str">
        <f t="shared" ca="1" si="735"/>
        <v/>
      </c>
      <c r="F2139" t="str">
        <f t="shared" ca="1" si="736"/>
        <v xml:space="preserve">Enter a 'Cost of Acquiring the Building***' for  building 35 in cell N38.
</v>
      </c>
      <c r="G2139" s="9" t="str">
        <f t="shared" ca="1" si="717"/>
        <v xml:space="preserve">Enter a value for 'Number of Floors in the Tallest Building' in cell B60.
</v>
      </c>
      <c r="H2139" s="52" t="str">
        <f t="shared" ca="1" si="737"/>
        <v>Cost of Acquiring the Building***</v>
      </c>
      <c r="I2139" s="52">
        <v>14</v>
      </c>
    </row>
    <row r="2140" spans="1:10" ht="15" customHeight="1">
      <c r="A2140" t="str">
        <f ca="1">IF(AND(OFFSET(A2140, -I2140 + 2, 4) &gt;  0, E2140="", Calculations!$B$7), F2140, "")</f>
        <v/>
      </c>
      <c r="B2140">
        <f t="shared" si="733"/>
        <v>38</v>
      </c>
      <c r="C2140">
        <f t="shared" ca="1" si="719"/>
        <v>35</v>
      </c>
      <c r="D2140" t="str">
        <f t="shared" si="734"/>
        <v>O38</v>
      </c>
      <c r="E2140" t="str">
        <f t="shared" ca="1" si="735"/>
        <v/>
      </c>
      <c r="F2140" t="str">
        <f t="shared" ca="1" si="736"/>
        <v xml:space="preserve">Enter a 'Higher of Land Purchase Price or Land Appraised Value****' for  building 35 in cell O38.
</v>
      </c>
      <c r="G2140" s="9" t="str">
        <f t="shared" ca="1" si="717"/>
        <v xml:space="preserve">Enter a value for 'Number of Floors in the Tallest Building' in cell B60.
</v>
      </c>
      <c r="H2140" s="52" t="str">
        <f t="shared" ca="1" si="737"/>
        <v>Higher of Land Purchase Price or Land Appraised Value****</v>
      </c>
      <c r="I2140" s="52">
        <v>15</v>
      </c>
    </row>
    <row r="2141" spans="1:10" ht="15" customHeight="1">
      <c r="A2141" t="str">
        <f ca="1">IF(AND(OFFSET(A2141, -I2141 + 2, 4) &gt;  0, E2141="", Calculations!$B$7), F2141, "")</f>
        <v/>
      </c>
      <c r="B2141">
        <f t="shared" si="733"/>
        <v>38</v>
      </c>
      <c r="C2141">
        <f t="shared" ca="1" si="719"/>
        <v>35</v>
      </c>
      <c r="D2141" t="str">
        <f t="shared" si="734"/>
        <v>P38</v>
      </c>
      <c r="E2141" t="str">
        <f t="shared" ca="1" si="735"/>
        <v/>
      </c>
      <c r="F2141" t="str">
        <f t="shared" ca="1" si="736"/>
        <v xml:space="preserve">Enter a 'Acquisition Placed-in-Service Date' for  building 35 in cell P38.
</v>
      </c>
      <c r="G2141" s="9" t="str">
        <f t="shared" ca="1" si="717"/>
        <v xml:space="preserve">Enter a value for 'Number of Floors in the Tallest Building' in cell B60.
</v>
      </c>
      <c r="H2141" s="52" t="str">
        <f t="shared" ca="1" si="737"/>
        <v>Acquisition Placed-in-Service Date</v>
      </c>
      <c r="I2141" s="52">
        <v>16</v>
      </c>
    </row>
    <row r="2142" spans="1:10" ht="15" customHeight="1">
      <c r="A2142" t="str">
        <f ca="1">IF(AND(OFFSET(A2142, -I2142 + 2, 4) &gt;  0, E2142="", Calculations!$B$7), F2142, "")</f>
        <v/>
      </c>
      <c r="B2142">
        <f t="shared" si="733"/>
        <v>38</v>
      </c>
      <c r="C2142">
        <f t="shared" ca="1" si="719"/>
        <v>35</v>
      </c>
      <c r="D2142" t="str">
        <f t="shared" si="734"/>
        <v>Q38</v>
      </c>
      <c r="E2142" t="str">
        <f t="shared" ca="1" si="735"/>
        <v/>
      </c>
      <c r="F2142" t="str">
        <f t="shared" ca="1" si="736"/>
        <v xml:space="preserve">Enter a 'Acquisition APR' for  building 35 in cell Q38.
</v>
      </c>
      <c r="G2142" s="9" t="str">
        <f t="shared" ca="1" si="717"/>
        <v xml:space="preserve">Enter a value for 'Number of Floors in the Tallest Building' in cell B60.
</v>
      </c>
      <c r="H2142" s="52" t="str">
        <f t="shared" ca="1" si="737"/>
        <v>Acquisition APR</v>
      </c>
      <c r="I2142" s="52">
        <v>17</v>
      </c>
    </row>
    <row r="2143" spans="1:10" ht="15" customHeight="1">
      <c r="A2143" t="str">
        <f ca="1">IF(AND(Calculations!$B$4,Calculations!$B$29&gt;=C2143, E2143 &lt;&gt; 13),F2143,"")</f>
        <v/>
      </c>
      <c r="B2143">
        <f>ROW('Final Building Profile'!C39)</f>
        <v>39</v>
      </c>
      <c r="C2143">
        <f t="shared" ca="1" si="719"/>
        <v>36</v>
      </c>
      <c r="D2143" t="str">
        <f>ADDRESS(B2143, 3,4  )</f>
        <v>C39</v>
      </c>
      <c r="E2143" s="52">
        <f ca="1">H2143+I2143</f>
        <v>0</v>
      </c>
      <c r="F2143" t="str">
        <f ca="1">CONCATENATE("Based upon the number of buildings specified, information for  building ", C2143, " required for a final application in row ", B2143, ".", CHAR(10))</f>
        <v xml:space="preserve">Based upon the number of buildings specified, information for  building 36 required for a final application in row 39.
</v>
      </c>
      <c r="G2143" s="9" t="str">
        <f t="shared" ca="1" si="717"/>
        <v xml:space="preserve">Enter a value for 'Number of Floors in the Tallest Building' in cell B60.
</v>
      </c>
      <c r="H2143" s="52">
        <f ca="1">SUMPRODUCT(--ISTEXT(INDIRECT(J2143)))</f>
        <v>0</v>
      </c>
      <c r="I2143" s="52">
        <f ca="1">SUMPRODUCT(--ISNUMBER(INDIRECT(J2143)))</f>
        <v>0</v>
      </c>
      <c r="J2143" s="52" t="str">
        <f>$F$1565&amp; ADDRESS(B2143,3,4) &amp; ":" &amp; ADDRESS(B2143,15,4)</f>
        <v>'Final Building Profile'!C39:O39</v>
      </c>
    </row>
    <row r="2144" spans="1:10" ht="15" customHeight="1">
      <c r="A2144" t="str">
        <f t="shared" ref="A2144:A2153" ca="1" si="738">IF(AND(OFFSET(A2144, -I2144 + 2, 4) &gt;  0, E2144=""), F2144, "")</f>
        <v/>
      </c>
      <c r="B2144">
        <f t="shared" ref="B2144:B2158" si="739">B2143</f>
        <v>39</v>
      </c>
      <c r="C2144">
        <f t="shared" ca="1" si="719"/>
        <v>36</v>
      </c>
      <c r="D2144" t="str">
        <f t="shared" ref="D2144:D2158" si="740">ADDRESS(B2144, I2144,4  )</f>
        <v>C39</v>
      </c>
      <c r="E2144" t="str">
        <f t="shared" ref="E2144:E2158" ca="1" si="741">IF(ISBLANK( INDIRECT($F$1565 &amp; D2144)),"", INDIRECT($F$1565 &amp; D2144))</f>
        <v/>
      </c>
      <c r="F2144" t="str">
        <f t="shared" ref="F2144:F2158" ca="1" si="742">CONCATENATE("Enter a '"&amp; H2144 &amp;"' for  building ", C2144, " in cell ", D2144, ".", CHAR(10))</f>
        <v xml:space="preserve">Enter a 'Building Street Address Only 
(DO NOT ENTER CITY, STATE, OR ZIP)' for  building 36 in cell C39.
</v>
      </c>
      <c r="G2144" s="9" t="str">
        <f t="shared" ref="G2144:G2207" ca="1" si="743">OFFSET(G2144, -1, 0) &amp; A2144</f>
        <v xml:space="preserve">Enter a value for 'Number of Floors in the Tallest Building' in cell B60.
</v>
      </c>
      <c r="H2144" s="52" t="str">
        <f t="shared" ref="H2144:H2158" ca="1" si="744">OFFSET(INDIRECT($F$1565 &amp; D2144), -B2144 + 3, 0)</f>
        <v>Building Street Address Only 
(DO NOT ENTER CITY, STATE, OR ZIP)</v>
      </c>
      <c r="I2144" s="52">
        <v>3</v>
      </c>
    </row>
    <row r="2145" spans="1:10" ht="15" customHeight="1">
      <c r="A2145" t="str">
        <f t="shared" ca="1" si="738"/>
        <v/>
      </c>
      <c r="B2145">
        <f t="shared" si="739"/>
        <v>39</v>
      </c>
      <c r="C2145">
        <f t="shared" ca="1" si="719"/>
        <v>36</v>
      </c>
      <c r="D2145" t="str">
        <f t="shared" si="740"/>
        <v>D39</v>
      </c>
      <c r="E2145" t="str">
        <f t="shared" ca="1" si="741"/>
        <v/>
      </c>
      <c r="F2145" t="str">
        <f t="shared" ca="1" si="742"/>
        <v xml:space="preserve">Enter a 'Total Units in Building*' for  building 36 in cell D39.
</v>
      </c>
      <c r="G2145" s="9" t="str">
        <f t="shared" ca="1" si="743"/>
        <v xml:space="preserve">Enter a value for 'Number of Floors in the Tallest Building' in cell B60.
</v>
      </c>
      <c r="H2145" s="52" t="str">
        <f t="shared" ca="1" si="744"/>
        <v>Total Units in Building*</v>
      </c>
      <c r="I2145" s="52">
        <v>4</v>
      </c>
    </row>
    <row r="2146" spans="1:10" ht="15" customHeight="1">
      <c r="A2146" t="str">
        <f t="shared" ca="1" si="738"/>
        <v/>
      </c>
      <c r="B2146">
        <f t="shared" si="739"/>
        <v>39</v>
      </c>
      <c r="C2146">
        <f t="shared" ca="1" si="719"/>
        <v>36</v>
      </c>
      <c r="D2146" t="str">
        <f t="shared" si="740"/>
        <v>E39</v>
      </c>
      <c r="E2146" t="str">
        <f t="shared" ca="1" si="741"/>
        <v/>
      </c>
      <c r="F2146" t="str">
        <f t="shared" ca="1" si="742"/>
        <v xml:space="preserve">Enter a 'Employee Units' for  building 36 in cell E39.
</v>
      </c>
      <c r="G2146" s="9" t="str">
        <f t="shared" ca="1" si="743"/>
        <v xml:space="preserve">Enter a value for 'Number of Floors in the Tallest Building' in cell B60.
</v>
      </c>
      <c r="H2146" s="52" t="str">
        <f t="shared" ca="1" si="744"/>
        <v>Employee Units</v>
      </c>
      <c r="I2146" s="52">
        <v>5</v>
      </c>
    </row>
    <row r="2147" spans="1:10" ht="15" customHeight="1">
      <c r="A2147" t="str">
        <f t="shared" ca="1" si="738"/>
        <v/>
      </c>
      <c r="B2147">
        <f t="shared" si="739"/>
        <v>39</v>
      </c>
      <c r="C2147">
        <f t="shared" ca="1" si="719"/>
        <v>36</v>
      </c>
      <c r="D2147" t="str">
        <f t="shared" si="740"/>
        <v>F39</v>
      </c>
      <c r="E2147" t="str">
        <f t="shared" ca="1" si="741"/>
        <v/>
      </c>
      <c r="F2147" t="str">
        <f t="shared" ca="1" si="742"/>
        <v xml:space="preserve">Enter a 'Low-Income Units' for  building 36 in cell F39.
</v>
      </c>
      <c r="G2147" s="9" t="str">
        <f t="shared" ca="1" si="743"/>
        <v xml:space="preserve">Enter a value for 'Number of Floors in the Tallest Building' in cell B60.
</v>
      </c>
      <c r="H2147" s="52" t="str">
        <f t="shared" ca="1" si="744"/>
        <v>Low-Income Units</v>
      </c>
      <c r="I2147" s="52">
        <v>6</v>
      </c>
    </row>
    <row r="2148" spans="1:10" ht="15" customHeight="1">
      <c r="A2148" t="str">
        <f t="shared" ca="1" si="738"/>
        <v/>
      </c>
      <c r="B2148">
        <f t="shared" si="739"/>
        <v>39</v>
      </c>
      <c r="C2148">
        <f t="shared" ca="1" si="719"/>
        <v>36</v>
      </c>
      <c r="D2148" t="str">
        <f t="shared" si="740"/>
        <v>G39</v>
      </c>
      <c r="E2148" t="str">
        <f t="shared" ca="1" si="741"/>
        <v/>
      </c>
      <c r="F2148" t="str">
        <f t="shared" ca="1" si="742"/>
        <v xml:space="preserve">Enter a 'Residential Square Footage**' for  building 36 in cell G39.
</v>
      </c>
      <c r="G2148" s="9" t="str">
        <f t="shared" ca="1" si="743"/>
        <v xml:space="preserve">Enter a value for 'Number of Floors in the Tallest Building' in cell B60.
</v>
      </c>
      <c r="H2148" s="52" t="str">
        <f t="shared" ca="1" si="744"/>
        <v>Residential Square Footage**</v>
      </c>
      <c r="I2148" s="52">
        <v>7</v>
      </c>
    </row>
    <row r="2149" spans="1:10" ht="15" customHeight="1">
      <c r="A2149" t="str">
        <f t="shared" ca="1" si="738"/>
        <v/>
      </c>
      <c r="B2149">
        <f t="shared" si="739"/>
        <v>39</v>
      </c>
      <c r="C2149">
        <f t="shared" ca="1" si="719"/>
        <v>36</v>
      </c>
      <c r="D2149" t="str">
        <f t="shared" si="740"/>
        <v>H39</v>
      </c>
      <c r="E2149" t="str">
        <f t="shared" ca="1" si="741"/>
        <v/>
      </c>
      <c r="F2149" t="str">
        <f t="shared" ca="1" si="742"/>
        <v xml:space="preserve">Enter a 'Square Footage of Employee Units' for  building 36 in cell H39.
</v>
      </c>
      <c r="G2149" s="9" t="str">
        <f t="shared" ca="1" si="743"/>
        <v xml:space="preserve">Enter a value for 'Number of Floors in the Tallest Building' in cell B60.
</v>
      </c>
      <c r="H2149" s="52" t="str">
        <f t="shared" ca="1" si="744"/>
        <v>Square Footage of Employee Units</v>
      </c>
      <c r="I2149" s="52">
        <v>8</v>
      </c>
    </row>
    <row r="2150" spans="1:10" ht="15" customHeight="1">
      <c r="A2150" t="str">
        <f t="shared" ca="1" si="738"/>
        <v/>
      </c>
      <c r="B2150">
        <f t="shared" si="739"/>
        <v>39</v>
      </c>
      <c r="C2150">
        <f t="shared" ca="1" si="719"/>
        <v>36</v>
      </c>
      <c r="D2150" t="str">
        <f t="shared" si="740"/>
        <v>I39</v>
      </c>
      <c r="E2150" t="str">
        <f t="shared" ca="1" si="741"/>
        <v/>
      </c>
      <c r="F2150" t="str">
        <f t="shared" ca="1" si="742"/>
        <v xml:space="preserve">Enter a 'Square Footage of Low-Income Units' for  building 36 in cell I39.
</v>
      </c>
      <c r="G2150" s="9" t="str">
        <f t="shared" ca="1" si="743"/>
        <v xml:space="preserve">Enter a value for 'Number of Floors in the Tallest Building' in cell B60.
</v>
      </c>
      <c r="H2150" s="52" t="str">
        <f t="shared" ca="1" si="744"/>
        <v>Square Footage of Low-Income Units</v>
      </c>
      <c r="I2150" s="52">
        <v>9</v>
      </c>
    </row>
    <row r="2151" spans="1:10" ht="15" customHeight="1">
      <c r="A2151" t="str">
        <f t="shared" ca="1" si="738"/>
        <v/>
      </c>
      <c r="B2151">
        <f t="shared" si="739"/>
        <v>39</v>
      </c>
      <c r="C2151">
        <f t="shared" ca="1" si="719"/>
        <v>36</v>
      </c>
      <c r="D2151" t="str">
        <f t="shared" si="740"/>
        <v>J39</v>
      </c>
      <c r="E2151" t="str">
        <f t="shared" ca="1" si="741"/>
        <v/>
      </c>
      <c r="F2151" t="str">
        <f t="shared" ca="1" si="742"/>
        <v xml:space="preserve">Enter a 'Placed-In-Service Date' for  building 36 in cell J39.
</v>
      </c>
      <c r="G2151" s="9" t="str">
        <f t="shared" ca="1" si="743"/>
        <v xml:space="preserve">Enter a value for 'Number of Floors in the Tallest Building' in cell B60.
</v>
      </c>
      <c r="H2151" s="52" t="str">
        <f t="shared" ca="1" si="744"/>
        <v>Placed-In-Service Date</v>
      </c>
      <c r="I2151" s="52">
        <v>10</v>
      </c>
    </row>
    <row r="2152" spans="1:10" ht="15" customHeight="1">
      <c r="A2152" t="str">
        <f t="shared" ca="1" si="738"/>
        <v/>
      </c>
      <c r="B2152">
        <f t="shared" si="739"/>
        <v>39</v>
      </c>
      <c r="C2152">
        <f t="shared" ca="1" si="719"/>
        <v>36</v>
      </c>
      <c r="D2152" t="str">
        <f t="shared" si="740"/>
        <v>K39</v>
      </c>
      <c r="E2152" t="str">
        <f t="shared" ca="1" si="741"/>
        <v/>
      </c>
      <c r="F2152" t="str">
        <f t="shared" ca="1" si="742"/>
        <v xml:space="preserve">Enter a 'New Construction/ Rehab APR' for  building 36 in cell K39.
</v>
      </c>
      <c r="G2152" s="9" t="str">
        <f t="shared" ca="1" si="743"/>
        <v xml:space="preserve">Enter a value for 'Number of Floors in the Tallest Building' in cell B60.
</v>
      </c>
      <c r="H2152" s="52" t="str">
        <f t="shared" ca="1" si="744"/>
        <v>New Construction/ Rehab APR</v>
      </c>
      <c r="I2152" s="52">
        <v>11</v>
      </c>
    </row>
    <row r="2153" spans="1:10" ht="15" customHeight="1">
      <c r="A2153" t="str">
        <f t="shared" ca="1" si="738"/>
        <v/>
      </c>
      <c r="B2153">
        <f t="shared" si="739"/>
        <v>39</v>
      </c>
      <c r="C2153">
        <f t="shared" ca="1" si="719"/>
        <v>36</v>
      </c>
      <c r="D2153" t="str">
        <f t="shared" si="740"/>
        <v>L39</v>
      </c>
      <c r="E2153" t="str">
        <f t="shared" ca="1" si="741"/>
        <v/>
      </c>
      <c r="F2153" t="str">
        <f t="shared" ca="1" si="742"/>
        <v xml:space="preserve">Enter a 'New Construction Eligible Basis' for  building 36 in cell L39.
</v>
      </c>
      <c r="G2153" s="9" t="str">
        <f t="shared" ca="1" si="743"/>
        <v xml:space="preserve">Enter a value for 'Number of Floors in the Tallest Building' in cell B60.
</v>
      </c>
      <c r="H2153" s="52" t="str">
        <f t="shared" ca="1" si="744"/>
        <v>New Construction Eligible Basis</v>
      </c>
      <c r="I2153" s="52">
        <v>12</v>
      </c>
    </row>
    <row r="2154" spans="1:10" ht="15" customHeight="1">
      <c r="A2154" t="str">
        <f ca="1">IF(AND(OFFSET(A2154, -I2154 + 2, 4) &gt;  0, E2154="", Calculations!$B$7), F2154, "")</f>
        <v/>
      </c>
      <c r="B2154">
        <f t="shared" si="739"/>
        <v>39</v>
      </c>
      <c r="C2154">
        <f t="shared" ca="1" si="719"/>
        <v>36</v>
      </c>
      <c r="D2154" t="str">
        <f t="shared" si="740"/>
        <v>M39</v>
      </c>
      <c r="E2154" t="str">
        <f t="shared" ca="1" si="741"/>
        <v/>
      </c>
      <c r="F2154" t="str">
        <f t="shared" ca="1" si="742"/>
        <v xml:space="preserve">Enter a 'Eligible Basis for Rehab' for  building 36 in cell M39.
</v>
      </c>
      <c r="G2154" s="9" t="str">
        <f t="shared" ca="1" si="743"/>
        <v xml:space="preserve">Enter a value for 'Number of Floors in the Tallest Building' in cell B60.
</v>
      </c>
      <c r="H2154" s="52" t="str">
        <f t="shared" ca="1" si="744"/>
        <v>Eligible Basis for Rehab</v>
      </c>
      <c r="I2154" s="52">
        <v>13</v>
      </c>
    </row>
    <row r="2155" spans="1:10" ht="15" customHeight="1">
      <c r="A2155" t="str">
        <f ca="1">IF(AND(OFFSET(A2155, -I2155 + 2, 4) &gt;  0, E2155="", Calculations!$B$7), F2155, "")</f>
        <v/>
      </c>
      <c r="B2155">
        <f t="shared" si="739"/>
        <v>39</v>
      </c>
      <c r="C2155">
        <f t="shared" ca="1" si="719"/>
        <v>36</v>
      </c>
      <c r="D2155" t="str">
        <f t="shared" si="740"/>
        <v>N39</v>
      </c>
      <c r="E2155" t="str">
        <f t="shared" ca="1" si="741"/>
        <v/>
      </c>
      <c r="F2155" t="str">
        <f t="shared" ca="1" si="742"/>
        <v xml:space="preserve">Enter a 'Cost of Acquiring the Building***' for  building 36 in cell N39.
</v>
      </c>
      <c r="G2155" s="9" t="str">
        <f t="shared" ca="1" si="743"/>
        <v xml:space="preserve">Enter a value for 'Number of Floors in the Tallest Building' in cell B60.
</v>
      </c>
      <c r="H2155" s="52" t="str">
        <f t="shared" ca="1" si="744"/>
        <v>Cost of Acquiring the Building***</v>
      </c>
      <c r="I2155" s="52">
        <v>14</v>
      </c>
    </row>
    <row r="2156" spans="1:10" ht="15" customHeight="1">
      <c r="A2156" t="str">
        <f ca="1">IF(AND(OFFSET(A2156, -I2156 + 2, 4) &gt;  0, E2156="", Calculations!$B$7), F2156, "")</f>
        <v/>
      </c>
      <c r="B2156">
        <f t="shared" si="739"/>
        <v>39</v>
      </c>
      <c r="C2156">
        <f t="shared" ca="1" si="719"/>
        <v>36</v>
      </c>
      <c r="D2156" t="str">
        <f t="shared" si="740"/>
        <v>O39</v>
      </c>
      <c r="E2156" t="str">
        <f t="shared" ca="1" si="741"/>
        <v/>
      </c>
      <c r="F2156" t="str">
        <f t="shared" ca="1" si="742"/>
        <v xml:space="preserve">Enter a 'Higher of Land Purchase Price or Land Appraised Value****' for  building 36 in cell O39.
</v>
      </c>
      <c r="G2156" s="9" t="str">
        <f t="shared" ca="1" si="743"/>
        <v xml:space="preserve">Enter a value for 'Number of Floors in the Tallest Building' in cell B60.
</v>
      </c>
      <c r="H2156" s="52" t="str">
        <f t="shared" ca="1" si="744"/>
        <v>Higher of Land Purchase Price or Land Appraised Value****</v>
      </c>
      <c r="I2156" s="52">
        <v>15</v>
      </c>
    </row>
    <row r="2157" spans="1:10" ht="15" customHeight="1">
      <c r="A2157" t="str">
        <f ca="1">IF(AND(OFFSET(A2157, -I2157 + 2, 4) &gt;  0, E2157="", Calculations!$B$7), F2157, "")</f>
        <v/>
      </c>
      <c r="B2157">
        <f t="shared" si="739"/>
        <v>39</v>
      </c>
      <c r="C2157">
        <f t="shared" ca="1" si="719"/>
        <v>36</v>
      </c>
      <c r="D2157" t="str">
        <f t="shared" si="740"/>
        <v>P39</v>
      </c>
      <c r="E2157" t="str">
        <f t="shared" ca="1" si="741"/>
        <v/>
      </c>
      <c r="F2157" t="str">
        <f t="shared" ca="1" si="742"/>
        <v xml:space="preserve">Enter a 'Acquisition Placed-in-Service Date' for  building 36 in cell P39.
</v>
      </c>
      <c r="G2157" s="9" t="str">
        <f t="shared" ca="1" si="743"/>
        <v xml:space="preserve">Enter a value for 'Number of Floors in the Tallest Building' in cell B60.
</v>
      </c>
      <c r="H2157" s="52" t="str">
        <f t="shared" ca="1" si="744"/>
        <v>Acquisition Placed-in-Service Date</v>
      </c>
      <c r="I2157" s="52">
        <v>16</v>
      </c>
    </row>
    <row r="2158" spans="1:10" ht="15" customHeight="1">
      <c r="A2158" t="str">
        <f ca="1">IF(AND(OFFSET(A2158, -I2158 + 2, 4) &gt;  0, E2158="", Calculations!$B$7), F2158, "")</f>
        <v/>
      </c>
      <c r="B2158">
        <f t="shared" si="739"/>
        <v>39</v>
      </c>
      <c r="C2158">
        <f t="shared" ca="1" si="719"/>
        <v>36</v>
      </c>
      <c r="D2158" t="str">
        <f t="shared" si="740"/>
        <v>Q39</v>
      </c>
      <c r="E2158" t="str">
        <f t="shared" ca="1" si="741"/>
        <v/>
      </c>
      <c r="F2158" t="str">
        <f t="shared" ca="1" si="742"/>
        <v xml:space="preserve">Enter a 'Acquisition APR' for  building 36 in cell Q39.
</v>
      </c>
      <c r="G2158" s="9" t="str">
        <f t="shared" ca="1" si="743"/>
        <v xml:space="preserve">Enter a value for 'Number of Floors in the Tallest Building' in cell B60.
</v>
      </c>
      <c r="H2158" s="52" t="str">
        <f t="shared" ca="1" si="744"/>
        <v>Acquisition APR</v>
      </c>
      <c r="I2158" s="52">
        <v>17</v>
      </c>
    </row>
    <row r="2159" spans="1:10" ht="15" customHeight="1">
      <c r="A2159" t="str">
        <f ca="1">IF(AND(Calculations!$B$4,Calculations!$B$29&gt;=C2159, E2159&lt;&gt; 13),F2159,"")</f>
        <v/>
      </c>
      <c r="B2159">
        <f>ROW('Final Building Profile'!C40)</f>
        <v>40</v>
      </c>
      <c r="C2159">
        <f t="shared" ref="C2159:C2222" ca="1" si="745">INDIRECT($F$1565 &amp; ADDRESS(B2159, 1,4  ))</f>
        <v>37</v>
      </c>
      <c r="D2159" t="str">
        <f>ADDRESS(B2159, 3,4  )</f>
        <v>C40</v>
      </c>
      <c r="E2159" s="52">
        <f ca="1">H2159+I2159</f>
        <v>0</v>
      </c>
      <c r="F2159" t="str">
        <f ca="1">CONCATENATE("Based upon the number of buildings specified, information for  building ", C2159, " required for a final application in row ", B2159, ".", CHAR(10))</f>
        <v xml:space="preserve">Based upon the number of buildings specified, information for  building 37 required for a final application in row 40.
</v>
      </c>
      <c r="G2159" s="9" t="str">
        <f t="shared" ca="1" si="743"/>
        <v xml:space="preserve">Enter a value for 'Number of Floors in the Tallest Building' in cell B60.
</v>
      </c>
      <c r="H2159" s="52">
        <f ca="1">SUMPRODUCT(--ISTEXT(INDIRECT(J2159)))</f>
        <v>0</v>
      </c>
      <c r="I2159" s="52">
        <f ca="1">SUMPRODUCT(--ISNUMBER(INDIRECT(J2159)))</f>
        <v>0</v>
      </c>
      <c r="J2159" s="52" t="str">
        <f>$F$1565&amp; ADDRESS(B2159,3,4) &amp; ":" &amp; ADDRESS(B2159,15,4)</f>
        <v>'Final Building Profile'!C40:O40</v>
      </c>
    </row>
    <row r="2160" spans="1:10" ht="15" customHeight="1">
      <c r="A2160" t="str">
        <f t="shared" ref="A2160:A2169" ca="1" si="746">IF(AND(OFFSET(A2160, -I2160 + 2, 4) &gt;  0, E2160=""), F2160, "")</f>
        <v/>
      </c>
      <c r="B2160">
        <f t="shared" ref="B2160:B2174" si="747">B2159</f>
        <v>40</v>
      </c>
      <c r="C2160">
        <f t="shared" ca="1" si="745"/>
        <v>37</v>
      </c>
      <c r="D2160" t="str">
        <f t="shared" ref="D2160:D2174" si="748">ADDRESS(B2160, I2160,4  )</f>
        <v>C40</v>
      </c>
      <c r="E2160" t="str">
        <f t="shared" ref="E2160:E2174" ca="1" si="749">IF(ISBLANK( INDIRECT($F$1565 &amp; D2160)),"", INDIRECT($F$1565 &amp; D2160))</f>
        <v/>
      </c>
      <c r="F2160" t="str">
        <f t="shared" ref="F2160:F2174" ca="1" si="750">CONCATENATE("Enter a '"&amp; H2160 &amp;"' for  building ", C2160, " in cell ", D2160, ".", CHAR(10))</f>
        <v xml:space="preserve">Enter a 'Building Street Address Only 
(DO NOT ENTER CITY, STATE, OR ZIP)' for  building 37 in cell C40.
</v>
      </c>
      <c r="G2160" s="9" t="str">
        <f t="shared" ca="1" si="743"/>
        <v xml:space="preserve">Enter a value for 'Number of Floors in the Tallest Building' in cell B60.
</v>
      </c>
      <c r="H2160" s="52" t="str">
        <f t="shared" ref="H2160:H2174" ca="1" si="751">OFFSET(INDIRECT($F$1565 &amp; D2160), -B2160 + 3, 0)</f>
        <v>Building Street Address Only 
(DO NOT ENTER CITY, STATE, OR ZIP)</v>
      </c>
      <c r="I2160" s="52">
        <v>3</v>
      </c>
    </row>
    <row r="2161" spans="1:10" ht="15" customHeight="1">
      <c r="A2161" t="str">
        <f t="shared" ca="1" si="746"/>
        <v/>
      </c>
      <c r="B2161">
        <f t="shared" si="747"/>
        <v>40</v>
      </c>
      <c r="C2161">
        <f t="shared" ca="1" si="745"/>
        <v>37</v>
      </c>
      <c r="D2161" t="str">
        <f t="shared" si="748"/>
        <v>D40</v>
      </c>
      <c r="E2161" t="str">
        <f t="shared" ca="1" si="749"/>
        <v/>
      </c>
      <c r="F2161" t="str">
        <f t="shared" ca="1" si="750"/>
        <v xml:space="preserve">Enter a 'Total Units in Building*' for  building 37 in cell D40.
</v>
      </c>
      <c r="G2161" s="9" t="str">
        <f t="shared" ca="1" si="743"/>
        <v xml:space="preserve">Enter a value for 'Number of Floors in the Tallest Building' in cell B60.
</v>
      </c>
      <c r="H2161" s="52" t="str">
        <f t="shared" ca="1" si="751"/>
        <v>Total Units in Building*</v>
      </c>
      <c r="I2161" s="52">
        <v>4</v>
      </c>
    </row>
    <row r="2162" spans="1:10" ht="15" customHeight="1">
      <c r="A2162" t="str">
        <f t="shared" ca="1" si="746"/>
        <v/>
      </c>
      <c r="B2162">
        <f t="shared" si="747"/>
        <v>40</v>
      </c>
      <c r="C2162">
        <f t="shared" ca="1" si="745"/>
        <v>37</v>
      </c>
      <c r="D2162" t="str">
        <f t="shared" si="748"/>
        <v>E40</v>
      </c>
      <c r="E2162" t="str">
        <f t="shared" ca="1" si="749"/>
        <v/>
      </c>
      <c r="F2162" t="str">
        <f t="shared" ca="1" si="750"/>
        <v xml:space="preserve">Enter a 'Employee Units' for  building 37 in cell E40.
</v>
      </c>
      <c r="G2162" s="9" t="str">
        <f t="shared" ca="1" si="743"/>
        <v xml:space="preserve">Enter a value for 'Number of Floors in the Tallest Building' in cell B60.
</v>
      </c>
      <c r="H2162" s="52" t="str">
        <f t="shared" ca="1" si="751"/>
        <v>Employee Units</v>
      </c>
      <c r="I2162" s="52">
        <v>5</v>
      </c>
    </row>
    <row r="2163" spans="1:10" ht="15" customHeight="1">
      <c r="A2163" t="str">
        <f t="shared" ca="1" si="746"/>
        <v/>
      </c>
      <c r="B2163">
        <f t="shared" si="747"/>
        <v>40</v>
      </c>
      <c r="C2163">
        <f t="shared" ca="1" si="745"/>
        <v>37</v>
      </c>
      <c r="D2163" t="str">
        <f t="shared" si="748"/>
        <v>F40</v>
      </c>
      <c r="E2163" t="str">
        <f t="shared" ca="1" si="749"/>
        <v/>
      </c>
      <c r="F2163" t="str">
        <f t="shared" ca="1" si="750"/>
        <v xml:space="preserve">Enter a 'Low-Income Units' for  building 37 in cell F40.
</v>
      </c>
      <c r="G2163" s="9" t="str">
        <f t="shared" ca="1" si="743"/>
        <v xml:space="preserve">Enter a value for 'Number of Floors in the Tallest Building' in cell B60.
</v>
      </c>
      <c r="H2163" s="52" t="str">
        <f t="shared" ca="1" si="751"/>
        <v>Low-Income Units</v>
      </c>
      <c r="I2163" s="52">
        <v>6</v>
      </c>
    </row>
    <row r="2164" spans="1:10" ht="15" customHeight="1">
      <c r="A2164" t="str">
        <f t="shared" ca="1" si="746"/>
        <v/>
      </c>
      <c r="B2164">
        <f t="shared" si="747"/>
        <v>40</v>
      </c>
      <c r="C2164">
        <f t="shared" ca="1" si="745"/>
        <v>37</v>
      </c>
      <c r="D2164" t="str">
        <f t="shared" si="748"/>
        <v>G40</v>
      </c>
      <c r="E2164" t="str">
        <f t="shared" ca="1" si="749"/>
        <v/>
      </c>
      <c r="F2164" t="str">
        <f t="shared" ca="1" si="750"/>
        <v xml:space="preserve">Enter a 'Residential Square Footage**' for  building 37 in cell G40.
</v>
      </c>
      <c r="G2164" s="9" t="str">
        <f t="shared" ca="1" si="743"/>
        <v xml:space="preserve">Enter a value for 'Number of Floors in the Tallest Building' in cell B60.
</v>
      </c>
      <c r="H2164" s="52" t="str">
        <f t="shared" ca="1" si="751"/>
        <v>Residential Square Footage**</v>
      </c>
      <c r="I2164" s="52">
        <v>7</v>
      </c>
    </row>
    <row r="2165" spans="1:10" ht="15" customHeight="1">
      <c r="A2165" t="str">
        <f t="shared" ca="1" si="746"/>
        <v/>
      </c>
      <c r="B2165">
        <f t="shared" si="747"/>
        <v>40</v>
      </c>
      <c r="C2165">
        <f t="shared" ca="1" si="745"/>
        <v>37</v>
      </c>
      <c r="D2165" t="str">
        <f t="shared" si="748"/>
        <v>H40</v>
      </c>
      <c r="E2165" t="str">
        <f t="shared" ca="1" si="749"/>
        <v/>
      </c>
      <c r="F2165" t="str">
        <f t="shared" ca="1" si="750"/>
        <v xml:space="preserve">Enter a 'Square Footage of Employee Units' for  building 37 in cell H40.
</v>
      </c>
      <c r="G2165" s="9" t="str">
        <f t="shared" ca="1" si="743"/>
        <v xml:space="preserve">Enter a value for 'Number of Floors in the Tallest Building' in cell B60.
</v>
      </c>
      <c r="H2165" s="52" t="str">
        <f t="shared" ca="1" si="751"/>
        <v>Square Footage of Employee Units</v>
      </c>
      <c r="I2165" s="52">
        <v>8</v>
      </c>
    </row>
    <row r="2166" spans="1:10" ht="15" customHeight="1">
      <c r="A2166" t="str">
        <f t="shared" ca="1" si="746"/>
        <v/>
      </c>
      <c r="B2166">
        <f t="shared" si="747"/>
        <v>40</v>
      </c>
      <c r="C2166">
        <f t="shared" ca="1" si="745"/>
        <v>37</v>
      </c>
      <c r="D2166" t="str">
        <f t="shared" si="748"/>
        <v>I40</v>
      </c>
      <c r="E2166" t="str">
        <f t="shared" ca="1" si="749"/>
        <v/>
      </c>
      <c r="F2166" t="str">
        <f t="shared" ca="1" si="750"/>
        <v xml:space="preserve">Enter a 'Square Footage of Low-Income Units' for  building 37 in cell I40.
</v>
      </c>
      <c r="G2166" s="9" t="str">
        <f t="shared" ca="1" si="743"/>
        <v xml:space="preserve">Enter a value for 'Number of Floors in the Tallest Building' in cell B60.
</v>
      </c>
      <c r="H2166" s="52" t="str">
        <f t="shared" ca="1" si="751"/>
        <v>Square Footage of Low-Income Units</v>
      </c>
      <c r="I2166" s="52">
        <v>9</v>
      </c>
    </row>
    <row r="2167" spans="1:10" ht="15" customHeight="1">
      <c r="A2167" t="str">
        <f t="shared" ca="1" si="746"/>
        <v/>
      </c>
      <c r="B2167">
        <f t="shared" si="747"/>
        <v>40</v>
      </c>
      <c r="C2167">
        <f t="shared" ca="1" si="745"/>
        <v>37</v>
      </c>
      <c r="D2167" t="str">
        <f t="shared" si="748"/>
        <v>J40</v>
      </c>
      <c r="E2167" t="str">
        <f t="shared" ca="1" si="749"/>
        <v/>
      </c>
      <c r="F2167" t="str">
        <f t="shared" ca="1" si="750"/>
        <v xml:space="preserve">Enter a 'Placed-In-Service Date' for  building 37 in cell J40.
</v>
      </c>
      <c r="G2167" s="9" t="str">
        <f t="shared" ca="1" si="743"/>
        <v xml:space="preserve">Enter a value for 'Number of Floors in the Tallest Building' in cell B60.
</v>
      </c>
      <c r="H2167" s="52" t="str">
        <f t="shared" ca="1" si="751"/>
        <v>Placed-In-Service Date</v>
      </c>
      <c r="I2167" s="52">
        <v>10</v>
      </c>
    </row>
    <row r="2168" spans="1:10" ht="15" customHeight="1">
      <c r="A2168" t="str">
        <f t="shared" ca="1" si="746"/>
        <v/>
      </c>
      <c r="B2168">
        <f t="shared" si="747"/>
        <v>40</v>
      </c>
      <c r="C2168">
        <f t="shared" ca="1" si="745"/>
        <v>37</v>
      </c>
      <c r="D2168" t="str">
        <f t="shared" si="748"/>
        <v>K40</v>
      </c>
      <c r="E2168" t="str">
        <f t="shared" ca="1" si="749"/>
        <v/>
      </c>
      <c r="F2168" t="str">
        <f t="shared" ca="1" si="750"/>
        <v xml:space="preserve">Enter a 'New Construction/ Rehab APR' for  building 37 in cell K40.
</v>
      </c>
      <c r="G2168" s="9" t="str">
        <f t="shared" ca="1" si="743"/>
        <v xml:space="preserve">Enter a value for 'Number of Floors in the Tallest Building' in cell B60.
</v>
      </c>
      <c r="H2168" s="52" t="str">
        <f t="shared" ca="1" si="751"/>
        <v>New Construction/ Rehab APR</v>
      </c>
      <c r="I2168" s="52">
        <v>11</v>
      </c>
    </row>
    <row r="2169" spans="1:10" ht="15" customHeight="1">
      <c r="A2169" t="str">
        <f t="shared" ca="1" si="746"/>
        <v/>
      </c>
      <c r="B2169">
        <f t="shared" si="747"/>
        <v>40</v>
      </c>
      <c r="C2169">
        <f t="shared" ca="1" si="745"/>
        <v>37</v>
      </c>
      <c r="D2169" t="str">
        <f t="shared" si="748"/>
        <v>L40</v>
      </c>
      <c r="E2169" t="str">
        <f t="shared" ca="1" si="749"/>
        <v/>
      </c>
      <c r="F2169" t="str">
        <f t="shared" ca="1" si="750"/>
        <v xml:space="preserve">Enter a 'New Construction Eligible Basis' for  building 37 in cell L40.
</v>
      </c>
      <c r="G2169" s="9" t="str">
        <f t="shared" ca="1" si="743"/>
        <v xml:space="preserve">Enter a value for 'Number of Floors in the Tallest Building' in cell B60.
</v>
      </c>
      <c r="H2169" s="52" t="str">
        <f t="shared" ca="1" si="751"/>
        <v>New Construction Eligible Basis</v>
      </c>
      <c r="I2169" s="52">
        <v>12</v>
      </c>
    </row>
    <row r="2170" spans="1:10" ht="15" customHeight="1">
      <c r="A2170" t="str">
        <f ca="1">IF(AND(OFFSET(A2170, -I2170 + 2, 4) &gt;  0, E2170="", Calculations!$B$7), F2170, "")</f>
        <v/>
      </c>
      <c r="B2170">
        <f t="shared" si="747"/>
        <v>40</v>
      </c>
      <c r="C2170">
        <f t="shared" ca="1" si="745"/>
        <v>37</v>
      </c>
      <c r="D2170" t="str">
        <f t="shared" si="748"/>
        <v>M40</v>
      </c>
      <c r="E2170" t="str">
        <f t="shared" ca="1" si="749"/>
        <v/>
      </c>
      <c r="F2170" t="str">
        <f t="shared" ca="1" si="750"/>
        <v xml:space="preserve">Enter a 'Eligible Basis for Rehab' for  building 37 in cell M40.
</v>
      </c>
      <c r="G2170" s="9" t="str">
        <f t="shared" ca="1" si="743"/>
        <v xml:space="preserve">Enter a value for 'Number of Floors in the Tallest Building' in cell B60.
</v>
      </c>
      <c r="H2170" s="52" t="str">
        <f t="shared" ca="1" si="751"/>
        <v>Eligible Basis for Rehab</v>
      </c>
      <c r="I2170" s="52">
        <v>13</v>
      </c>
    </row>
    <row r="2171" spans="1:10" ht="15" customHeight="1">
      <c r="A2171" t="str">
        <f ca="1">IF(AND(OFFSET(A2171, -I2171 + 2, 4) &gt;  0, E2171="", Calculations!$B$7), F2171, "")</f>
        <v/>
      </c>
      <c r="B2171">
        <f t="shared" si="747"/>
        <v>40</v>
      </c>
      <c r="C2171">
        <f t="shared" ca="1" si="745"/>
        <v>37</v>
      </c>
      <c r="D2171" t="str">
        <f t="shared" si="748"/>
        <v>N40</v>
      </c>
      <c r="E2171" t="str">
        <f t="shared" ca="1" si="749"/>
        <v/>
      </c>
      <c r="F2171" t="str">
        <f t="shared" ca="1" si="750"/>
        <v xml:space="preserve">Enter a 'Cost of Acquiring the Building***' for  building 37 in cell N40.
</v>
      </c>
      <c r="G2171" s="9" t="str">
        <f t="shared" ca="1" si="743"/>
        <v xml:space="preserve">Enter a value for 'Number of Floors in the Tallest Building' in cell B60.
</v>
      </c>
      <c r="H2171" s="52" t="str">
        <f t="shared" ca="1" si="751"/>
        <v>Cost of Acquiring the Building***</v>
      </c>
      <c r="I2171" s="52">
        <v>14</v>
      </c>
    </row>
    <row r="2172" spans="1:10" ht="15" customHeight="1">
      <c r="A2172" t="str">
        <f ca="1">IF(AND(OFFSET(A2172, -I2172 + 2, 4) &gt;  0, E2172="", Calculations!$B$7), F2172, "")</f>
        <v/>
      </c>
      <c r="B2172">
        <f t="shared" si="747"/>
        <v>40</v>
      </c>
      <c r="C2172">
        <f t="shared" ca="1" si="745"/>
        <v>37</v>
      </c>
      <c r="D2172" t="str">
        <f t="shared" si="748"/>
        <v>O40</v>
      </c>
      <c r="E2172" t="str">
        <f t="shared" ca="1" si="749"/>
        <v/>
      </c>
      <c r="F2172" t="str">
        <f t="shared" ca="1" si="750"/>
        <v xml:space="preserve">Enter a 'Higher of Land Purchase Price or Land Appraised Value****' for  building 37 in cell O40.
</v>
      </c>
      <c r="G2172" s="9" t="str">
        <f t="shared" ca="1" si="743"/>
        <v xml:space="preserve">Enter a value for 'Number of Floors in the Tallest Building' in cell B60.
</v>
      </c>
      <c r="H2172" s="52" t="str">
        <f t="shared" ca="1" si="751"/>
        <v>Higher of Land Purchase Price or Land Appraised Value****</v>
      </c>
      <c r="I2172" s="52">
        <v>15</v>
      </c>
    </row>
    <row r="2173" spans="1:10" ht="15" customHeight="1">
      <c r="A2173" t="str">
        <f ca="1">IF(AND(OFFSET(A2173, -I2173 + 2, 4) &gt;  0, E2173="", Calculations!$B$7), F2173, "")</f>
        <v/>
      </c>
      <c r="B2173">
        <f t="shared" si="747"/>
        <v>40</v>
      </c>
      <c r="C2173">
        <f t="shared" ca="1" si="745"/>
        <v>37</v>
      </c>
      <c r="D2173" t="str">
        <f t="shared" si="748"/>
        <v>P40</v>
      </c>
      <c r="E2173" t="str">
        <f t="shared" ca="1" si="749"/>
        <v/>
      </c>
      <c r="F2173" t="str">
        <f t="shared" ca="1" si="750"/>
        <v xml:space="preserve">Enter a 'Acquisition Placed-in-Service Date' for  building 37 in cell P40.
</v>
      </c>
      <c r="G2173" s="9" t="str">
        <f t="shared" ca="1" si="743"/>
        <v xml:space="preserve">Enter a value for 'Number of Floors in the Tallest Building' in cell B60.
</v>
      </c>
      <c r="H2173" s="52" t="str">
        <f t="shared" ca="1" si="751"/>
        <v>Acquisition Placed-in-Service Date</v>
      </c>
      <c r="I2173" s="52">
        <v>16</v>
      </c>
    </row>
    <row r="2174" spans="1:10" ht="15" customHeight="1">
      <c r="A2174" t="str">
        <f ca="1">IF(AND(OFFSET(A2174, -I2174 + 2, 4) &gt;  0, E2174="", Calculations!$B$7), F2174, "")</f>
        <v/>
      </c>
      <c r="B2174">
        <f t="shared" si="747"/>
        <v>40</v>
      </c>
      <c r="C2174">
        <f t="shared" ca="1" si="745"/>
        <v>37</v>
      </c>
      <c r="D2174" t="str">
        <f t="shared" si="748"/>
        <v>Q40</v>
      </c>
      <c r="E2174" t="str">
        <f t="shared" ca="1" si="749"/>
        <v/>
      </c>
      <c r="F2174" t="str">
        <f t="shared" ca="1" si="750"/>
        <v xml:space="preserve">Enter a 'Acquisition APR' for  building 37 in cell Q40.
</v>
      </c>
      <c r="G2174" s="9" t="str">
        <f t="shared" ca="1" si="743"/>
        <v xml:space="preserve">Enter a value for 'Number of Floors in the Tallest Building' in cell B60.
</v>
      </c>
      <c r="H2174" s="52" t="str">
        <f t="shared" ca="1" si="751"/>
        <v>Acquisition APR</v>
      </c>
      <c r="I2174" s="52">
        <v>17</v>
      </c>
    </row>
    <row r="2175" spans="1:10" ht="15" customHeight="1">
      <c r="A2175" t="str">
        <f ca="1">IF(AND(Calculations!$B$4,Calculations!$B$29&gt;=C2175, E2175 &lt;&gt; 13),F2175,"")</f>
        <v/>
      </c>
      <c r="B2175">
        <f>ROW('Final Building Profile'!C41)</f>
        <v>41</v>
      </c>
      <c r="C2175">
        <f t="shared" ca="1" si="745"/>
        <v>38</v>
      </c>
      <c r="D2175" t="str">
        <f>ADDRESS(B2175, 3,4  )</f>
        <v>C41</v>
      </c>
      <c r="E2175" s="52">
        <f ca="1">H2175+I2175</f>
        <v>0</v>
      </c>
      <c r="F2175" t="str">
        <f ca="1">CONCATENATE("Based upon the number of buildings specified, information for  building ", C2175, " required for a final application in row ", B2175, ".", CHAR(10))</f>
        <v xml:space="preserve">Based upon the number of buildings specified, information for  building 38 required for a final application in row 41.
</v>
      </c>
      <c r="G2175" s="9" t="str">
        <f t="shared" ca="1" si="743"/>
        <v xml:space="preserve">Enter a value for 'Number of Floors in the Tallest Building' in cell B60.
</v>
      </c>
      <c r="H2175" s="52">
        <f ca="1">SUMPRODUCT(--ISTEXT(INDIRECT(J2175)))</f>
        <v>0</v>
      </c>
      <c r="I2175" s="52">
        <f ca="1">SUMPRODUCT(--ISNUMBER(INDIRECT(J2175)))</f>
        <v>0</v>
      </c>
      <c r="J2175" s="52" t="str">
        <f>$F$1565&amp; ADDRESS(B2175,3,4) &amp; ":" &amp; ADDRESS(B2175,15,4)</f>
        <v>'Final Building Profile'!C41:O41</v>
      </c>
    </row>
    <row r="2176" spans="1:10" ht="15" customHeight="1">
      <c r="A2176" t="str">
        <f t="shared" ref="A2176:A2185" ca="1" si="752">IF(AND(OFFSET(A2176, -I2176 + 2, 4) &gt;  0, E2176=""), F2176, "")</f>
        <v/>
      </c>
      <c r="B2176">
        <f t="shared" ref="B2176:B2190" si="753">B2175</f>
        <v>41</v>
      </c>
      <c r="C2176">
        <f t="shared" ca="1" si="745"/>
        <v>38</v>
      </c>
      <c r="D2176" t="str">
        <f t="shared" ref="D2176:D2190" si="754">ADDRESS(B2176, I2176,4  )</f>
        <v>C41</v>
      </c>
      <c r="E2176" t="str">
        <f t="shared" ref="E2176:E2190" ca="1" si="755">IF(ISBLANK( INDIRECT($F$1565 &amp; D2176)),"", INDIRECT($F$1565 &amp; D2176))</f>
        <v/>
      </c>
      <c r="F2176" t="str">
        <f t="shared" ref="F2176:F2190" ca="1" si="756">CONCATENATE("Enter a '"&amp; H2176 &amp;"' for  building ", C2176, " in cell ", D2176, ".", CHAR(10))</f>
        <v xml:space="preserve">Enter a 'Building Street Address Only 
(DO NOT ENTER CITY, STATE, OR ZIP)' for  building 38 in cell C41.
</v>
      </c>
      <c r="G2176" s="9" t="str">
        <f t="shared" ca="1" si="743"/>
        <v xml:space="preserve">Enter a value for 'Number of Floors in the Tallest Building' in cell B60.
</v>
      </c>
      <c r="H2176" s="52" t="str">
        <f t="shared" ref="H2176:H2190" ca="1" si="757">OFFSET(INDIRECT($F$1565 &amp; D2176), -B2176 + 3, 0)</f>
        <v>Building Street Address Only 
(DO NOT ENTER CITY, STATE, OR ZIP)</v>
      </c>
      <c r="I2176" s="52">
        <v>3</v>
      </c>
    </row>
    <row r="2177" spans="1:10" ht="15" customHeight="1">
      <c r="A2177" t="str">
        <f t="shared" ca="1" si="752"/>
        <v/>
      </c>
      <c r="B2177">
        <f t="shared" si="753"/>
        <v>41</v>
      </c>
      <c r="C2177">
        <f t="shared" ca="1" si="745"/>
        <v>38</v>
      </c>
      <c r="D2177" t="str">
        <f t="shared" si="754"/>
        <v>D41</v>
      </c>
      <c r="E2177" t="str">
        <f t="shared" ca="1" si="755"/>
        <v/>
      </c>
      <c r="F2177" t="str">
        <f t="shared" ca="1" si="756"/>
        <v xml:space="preserve">Enter a 'Total Units in Building*' for  building 38 in cell D41.
</v>
      </c>
      <c r="G2177" s="9" t="str">
        <f t="shared" ca="1" si="743"/>
        <v xml:space="preserve">Enter a value for 'Number of Floors in the Tallest Building' in cell B60.
</v>
      </c>
      <c r="H2177" s="52" t="str">
        <f t="shared" ca="1" si="757"/>
        <v>Total Units in Building*</v>
      </c>
      <c r="I2177" s="52">
        <v>4</v>
      </c>
    </row>
    <row r="2178" spans="1:10" ht="15" customHeight="1">
      <c r="A2178" t="str">
        <f t="shared" ca="1" si="752"/>
        <v/>
      </c>
      <c r="B2178">
        <f t="shared" si="753"/>
        <v>41</v>
      </c>
      <c r="C2178">
        <f t="shared" ca="1" si="745"/>
        <v>38</v>
      </c>
      <c r="D2178" t="str">
        <f t="shared" si="754"/>
        <v>E41</v>
      </c>
      <c r="E2178" t="str">
        <f t="shared" ca="1" si="755"/>
        <v/>
      </c>
      <c r="F2178" t="str">
        <f t="shared" ca="1" si="756"/>
        <v xml:space="preserve">Enter a 'Employee Units' for  building 38 in cell E41.
</v>
      </c>
      <c r="G2178" s="9" t="str">
        <f t="shared" ca="1" si="743"/>
        <v xml:space="preserve">Enter a value for 'Number of Floors in the Tallest Building' in cell B60.
</v>
      </c>
      <c r="H2178" s="52" t="str">
        <f t="shared" ca="1" si="757"/>
        <v>Employee Units</v>
      </c>
      <c r="I2178" s="52">
        <v>5</v>
      </c>
    </row>
    <row r="2179" spans="1:10" ht="15" customHeight="1">
      <c r="A2179" t="str">
        <f t="shared" ca="1" si="752"/>
        <v/>
      </c>
      <c r="B2179">
        <f t="shared" si="753"/>
        <v>41</v>
      </c>
      <c r="C2179">
        <f t="shared" ca="1" si="745"/>
        <v>38</v>
      </c>
      <c r="D2179" t="str">
        <f t="shared" si="754"/>
        <v>F41</v>
      </c>
      <c r="E2179" t="str">
        <f t="shared" ca="1" si="755"/>
        <v/>
      </c>
      <c r="F2179" t="str">
        <f t="shared" ca="1" si="756"/>
        <v xml:space="preserve">Enter a 'Low-Income Units' for  building 38 in cell F41.
</v>
      </c>
      <c r="G2179" s="9" t="str">
        <f t="shared" ca="1" si="743"/>
        <v xml:space="preserve">Enter a value for 'Number of Floors in the Tallest Building' in cell B60.
</v>
      </c>
      <c r="H2179" s="52" t="str">
        <f t="shared" ca="1" si="757"/>
        <v>Low-Income Units</v>
      </c>
      <c r="I2179" s="52">
        <v>6</v>
      </c>
    </row>
    <row r="2180" spans="1:10" ht="15" customHeight="1">
      <c r="A2180" t="str">
        <f t="shared" ca="1" si="752"/>
        <v/>
      </c>
      <c r="B2180">
        <f t="shared" si="753"/>
        <v>41</v>
      </c>
      <c r="C2180">
        <f t="shared" ca="1" si="745"/>
        <v>38</v>
      </c>
      <c r="D2180" t="str">
        <f t="shared" si="754"/>
        <v>G41</v>
      </c>
      <c r="E2180" t="str">
        <f t="shared" ca="1" si="755"/>
        <v/>
      </c>
      <c r="F2180" t="str">
        <f t="shared" ca="1" si="756"/>
        <v xml:space="preserve">Enter a 'Residential Square Footage**' for  building 38 in cell G41.
</v>
      </c>
      <c r="G2180" s="9" t="str">
        <f t="shared" ca="1" si="743"/>
        <v xml:space="preserve">Enter a value for 'Number of Floors in the Tallest Building' in cell B60.
</v>
      </c>
      <c r="H2180" s="52" t="str">
        <f t="shared" ca="1" si="757"/>
        <v>Residential Square Footage**</v>
      </c>
      <c r="I2180" s="52">
        <v>7</v>
      </c>
    </row>
    <row r="2181" spans="1:10" ht="15" customHeight="1">
      <c r="A2181" t="str">
        <f t="shared" ca="1" si="752"/>
        <v/>
      </c>
      <c r="B2181">
        <f t="shared" si="753"/>
        <v>41</v>
      </c>
      <c r="C2181">
        <f t="shared" ca="1" si="745"/>
        <v>38</v>
      </c>
      <c r="D2181" t="str">
        <f t="shared" si="754"/>
        <v>H41</v>
      </c>
      <c r="E2181" t="str">
        <f t="shared" ca="1" si="755"/>
        <v/>
      </c>
      <c r="F2181" t="str">
        <f t="shared" ca="1" si="756"/>
        <v xml:space="preserve">Enter a 'Square Footage of Employee Units' for  building 38 in cell H41.
</v>
      </c>
      <c r="G2181" s="9" t="str">
        <f t="shared" ca="1" si="743"/>
        <v xml:space="preserve">Enter a value for 'Number of Floors in the Tallest Building' in cell B60.
</v>
      </c>
      <c r="H2181" s="52" t="str">
        <f t="shared" ca="1" si="757"/>
        <v>Square Footage of Employee Units</v>
      </c>
      <c r="I2181" s="52">
        <v>8</v>
      </c>
    </row>
    <row r="2182" spans="1:10" ht="15" customHeight="1">
      <c r="A2182" t="str">
        <f t="shared" ca="1" si="752"/>
        <v/>
      </c>
      <c r="B2182">
        <f t="shared" si="753"/>
        <v>41</v>
      </c>
      <c r="C2182">
        <f t="shared" ca="1" si="745"/>
        <v>38</v>
      </c>
      <c r="D2182" t="str">
        <f t="shared" si="754"/>
        <v>I41</v>
      </c>
      <c r="E2182" t="str">
        <f t="shared" ca="1" si="755"/>
        <v/>
      </c>
      <c r="F2182" t="str">
        <f t="shared" ca="1" si="756"/>
        <v xml:space="preserve">Enter a 'Square Footage of Low-Income Units' for  building 38 in cell I41.
</v>
      </c>
      <c r="G2182" s="9" t="str">
        <f t="shared" ca="1" si="743"/>
        <v xml:space="preserve">Enter a value for 'Number of Floors in the Tallest Building' in cell B60.
</v>
      </c>
      <c r="H2182" s="52" t="str">
        <f t="shared" ca="1" si="757"/>
        <v>Square Footage of Low-Income Units</v>
      </c>
      <c r="I2182" s="52">
        <v>9</v>
      </c>
    </row>
    <row r="2183" spans="1:10" ht="15" customHeight="1">
      <c r="A2183" t="str">
        <f t="shared" ca="1" si="752"/>
        <v/>
      </c>
      <c r="B2183">
        <f t="shared" si="753"/>
        <v>41</v>
      </c>
      <c r="C2183">
        <f t="shared" ca="1" si="745"/>
        <v>38</v>
      </c>
      <c r="D2183" t="str">
        <f t="shared" si="754"/>
        <v>J41</v>
      </c>
      <c r="E2183" t="str">
        <f t="shared" ca="1" si="755"/>
        <v/>
      </c>
      <c r="F2183" t="str">
        <f t="shared" ca="1" si="756"/>
        <v xml:space="preserve">Enter a 'Placed-In-Service Date' for  building 38 in cell J41.
</v>
      </c>
      <c r="G2183" s="9" t="str">
        <f t="shared" ca="1" si="743"/>
        <v xml:space="preserve">Enter a value for 'Number of Floors in the Tallest Building' in cell B60.
</v>
      </c>
      <c r="H2183" s="52" t="str">
        <f t="shared" ca="1" si="757"/>
        <v>Placed-In-Service Date</v>
      </c>
      <c r="I2183" s="52">
        <v>10</v>
      </c>
    </row>
    <row r="2184" spans="1:10" ht="15" customHeight="1">
      <c r="A2184" t="str">
        <f t="shared" ca="1" si="752"/>
        <v/>
      </c>
      <c r="B2184">
        <f t="shared" si="753"/>
        <v>41</v>
      </c>
      <c r="C2184">
        <f t="shared" ca="1" si="745"/>
        <v>38</v>
      </c>
      <c r="D2184" t="str">
        <f t="shared" si="754"/>
        <v>K41</v>
      </c>
      <c r="E2184" t="str">
        <f t="shared" ca="1" si="755"/>
        <v/>
      </c>
      <c r="F2184" t="str">
        <f t="shared" ca="1" si="756"/>
        <v xml:space="preserve">Enter a 'New Construction/ Rehab APR' for  building 38 in cell K41.
</v>
      </c>
      <c r="G2184" s="9" t="str">
        <f t="shared" ca="1" si="743"/>
        <v xml:space="preserve">Enter a value for 'Number of Floors in the Tallest Building' in cell B60.
</v>
      </c>
      <c r="H2184" s="52" t="str">
        <f t="shared" ca="1" si="757"/>
        <v>New Construction/ Rehab APR</v>
      </c>
      <c r="I2184" s="52">
        <v>11</v>
      </c>
    </row>
    <row r="2185" spans="1:10" ht="15" customHeight="1">
      <c r="A2185" t="str">
        <f t="shared" ca="1" si="752"/>
        <v/>
      </c>
      <c r="B2185">
        <f t="shared" si="753"/>
        <v>41</v>
      </c>
      <c r="C2185">
        <f t="shared" ca="1" si="745"/>
        <v>38</v>
      </c>
      <c r="D2185" t="str">
        <f t="shared" si="754"/>
        <v>L41</v>
      </c>
      <c r="E2185" t="str">
        <f t="shared" ca="1" si="755"/>
        <v/>
      </c>
      <c r="F2185" t="str">
        <f t="shared" ca="1" si="756"/>
        <v xml:space="preserve">Enter a 'New Construction Eligible Basis' for  building 38 in cell L41.
</v>
      </c>
      <c r="G2185" s="9" t="str">
        <f t="shared" ca="1" si="743"/>
        <v xml:space="preserve">Enter a value for 'Number of Floors in the Tallest Building' in cell B60.
</v>
      </c>
      <c r="H2185" s="52" t="str">
        <f t="shared" ca="1" si="757"/>
        <v>New Construction Eligible Basis</v>
      </c>
      <c r="I2185" s="52">
        <v>12</v>
      </c>
    </row>
    <row r="2186" spans="1:10" ht="15" customHeight="1">
      <c r="A2186" t="str">
        <f ca="1">IF(AND(OFFSET(A2186, -I2186 + 2, 4) &gt;  0, E2186="", Calculations!$B$7), F2186, "")</f>
        <v/>
      </c>
      <c r="B2186">
        <f t="shared" si="753"/>
        <v>41</v>
      </c>
      <c r="C2186">
        <f t="shared" ca="1" si="745"/>
        <v>38</v>
      </c>
      <c r="D2186" t="str">
        <f t="shared" si="754"/>
        <v>M41</v>
      </c>
      <c r="E2186" t="str">
        <f t="shared" ca="1" si="755"/>
        <v/>
      </c>
      <c r="F2186" t="str">
        <f t="shared" ca="1" si="756"/>
        <v xml:space="preserve">Enter a 'Eligible Basis for Rehab' for  building 38 in cell M41.
</v>
      </c>
      <c r="G2186" s="9" t="str">
        <f t="shared" ca="1" si="743"/>
        <v xml:space="preserve">Enter a value for 'Number of Floors in the Tallest Building' in cell B60.
</v>
      </c>
      <c r="H2186" s="52" t="str">
        <f t="shared" ca="1" si="757"/>
        <v>Eligible Basis for Rehab</v>
      </c>
      <c r="I2186" s="52">
        <v>13</v>
      </c>
    </row>
    <row r="2187" spans="1:10" ht="15" customHeight="1">
      <c r="A2187" t="str">
        <f ca="1">IF(AND(OFFSET(A2187, -I2187 + 2, 4) &gt;  0, E2187="", Calculations!$B$7), F2187, "")</f>
        <v/>
      </c>
      <c r="B2187">
        <f t="shared" si="753"/>
        <v>41</v>
      </c>
      <c r="C2187">
        <f t="shared" ca="1" si="745"/>
        <v>38</v>
      </c>
      <c r="D2187" t="str">
        <f t="shared" si="754"/>
        <v>N41</v>
      </c>
      <c r="E2187" t="str">
        <f t="shared" ca="1" si="755"/>
        <v/>
      </c>
      <c r="F2187" t="str">
        <f t="shared" ca="1" si="756"/>
        <v xml:space="preserve">Enter a 'Cost of Acquiring the Building***' for  building 38 in cell N41.
</v>
      </c>
      <c r="G2187" s="9" t="str">
        <f t="shared" ca="1" si="743"/>
        <v xml:space="preserve">Enter a value for 'Number of Floors in the Tallest Building' in cell B60.
</v>
      </c>
      <c r="H2187" s="52" t="str">
        <f t="shared" ca="1" si="757"/>
        <v>Cost of Acquiring the Building***</v>
      </c>
      <c r="I2187" s="52">
        <v>14</v>
      </c>
    </row>
    <row r="2188" spans="1:10" ht="15" customHeight="1">
      <c r="A2188" t="str">
        <f ca="1">IF(AND(OFFSET(A2188, -I2188 + 2, 4) &gt;  0, E2188="", Calculations!$B$7), F2188, "")</f>
        <v/>
      </c>
      <c r="B2188">
        <f t="shared" si="753"/>
        <v>41</v>
      </c>
      <c r="C2188">
        <f t="shared" ca="1" si="745"/>
        <v>38</v>
      </c>
      <c r="D2188" t="str">
        <f t="shared" si="754"/>
        <v>O41</v>
      </c>
      <c r="E2188" t="str">
        <f t="shared" ca="1" si="755"/>
        <v/>
      </c>
      <c r="F2188" t="str">
        <f t="shared" ca="1" si="756"/>
        <v xml:space="preserve">Enter a 'Higher of Land Purchase Price or Land Appraised Value****' for  building 38 in cell O41.
</v>
      </c>
      <c r="G2188" s="9" t="str">
        <f t="shared" ca="1" si="743"/>
        <v xml:space="preserve">Enter a value for 'Number of Floors in the Tallest Building' in cell B60.
</v>
      </c>
      <c r="H2188" s="52" t="str">
        <f t="shared" ca="1" si="757"/>
        <v>Higher of Land Purchase Price or Land Appraised Value****</v>
      </c>
      <c r="I2188" s="52">
        <v>15</v>
      </c>
    </row>
    <row r="2189" spans="1:10" ht="15" customHeight="1">
      <c r="A2189" t="str">
        <f ca="1">IF(AND(OFFSET(A2189, -I2189 + 2, 4) &gt;  0, E2189="", Calculations!$B$7), F2189, "")</f>
        <v/>
      </c>
      <c r="B2189">
        <f t="shared" si="753"/>
        <v>41</v>
      </c>
      <c r="C2189">
        <f t="shared" ca="1" si="745"/>
        <v>38</v>
      </c>
      <c r="D2189" t="str">
        <f t="shared" si="754"/>
        <v>P41</v>
      </c>
      <c r="E2189" t="str">
        <f t="shared" ca="1" si="755"/>
        <v/>
      </c>
      <c r="F2189" t="str">
        <f t="shared" ca="1" si="756"/>
        <v xml:space="preserve">Enter a 'Acquisition Placed-in-Service Date' for  building 38 in cell P41.
</v>
      </c>
      <c r="G2189" s="9" t="str">
        <f t="shared" ca="1" si="743"/>
        <v xml:space="preserve">Enter a value for 'Number of Floors in the Tallest Building' in cell B60.
</v>
      </c>
      <c r="H2189" s="52" t="str">
        <f t="shared" ca="1" si="757"/>
        <v>Acquisition Placed-in-Service Date</v>
      </c>
      <c r="I2189" s="52">
        <v>16</v>
      </c>
    </row>
    <row r="2190" spans="1:10" ht="15" customHeight="1">
      <c r="A2190" t="str">
        <f ca="1">IF(AND(OFFSET(A2190, -I2190 + 2, 4) &gt;  0, E2190="", Calculations!$B$7), F2190, "")</f>
        <v/>
      </c>
      <c r="B2190">
        <f t="shared" si="753"/>
        <v>41</v>
      </c>
      <c r="C2190">
        <f t="shared" ca="1" si="745"/>
        <v>38</v>
      </c>
      <c r="D2190" t="str">
        <f t="shared" si="754"/>
        <v>Q41</v>
      </c>
      <c r="E2190" t="str">
        <f t="shared" ca="1" si="755"/>
        <v/>
      </c>
      <c r="F2190" t="str">
        <f t="shared" ca="1" si="756"/>
        <v xml:space="preserve">Enter a 'Acquisition APR' for  building 38 in cell Q41.
</v>
      </c>
      <c r="G2190" s="9" t="str">
        <f t="shared" ca="1" si="743"/>
        <v xml:space="preserve">Enter a value for 'Number of Floors in the Tallest Building' in cell B60.
</v>
      </c>
      <c r="H2190" s="52" t="str">
        <f t="shared" ca="1" si="757"/>
        <v>Acquisition APR</v>
      </c>
      <c r="I2190" s="52">
        <v>17</v>
      </c>
    </row>
    <row r="2191" spans="1:10" ht="15" customHeight="1">
      <c r="A2191" t="str">
        <f ca="1">IF(AND(Calculations!$B$4,Calculations!$B$29&gt;=C2191, E2191 &lt;&gt; 13),F2191,"")</f>
        <v/>
      </c>
      <c r="B2191">
        <f>ROW('Final Building Profile'!C42)</f>
        <v>42</v>
      </c>
      <c r="C2191">
        <f t="shared" ca="1" si="745"/>
        <v>39</v>
      </c>
      <c r="D2191" t="str">
        <f>ADDRESS(B2191, 3,4  )</f>
        <v>C42</v>
      </c>
      <c r="E2191" s="52">
        <f ca="1">H2191+I2191</f>
        <v>0</v>
      </c>
      <c r="F2191" t="str">
        <f ca="1">CONCATENATE("Based upon the number of buildings specified, information for  building ", C2191, " required for a final application in row ", B2191, ".", CHAR(10))</f>
        <v xml:space="preserve">Based upon the number of buildings specified, information for  building 39 required for a final application in row 42.
</v>
      </c>
      <c r="G2191" s="9" t="str">
        <f t="shared" ca="1" si="743"/>
        <v xml:space="preserve">Enter a value for 'Number of Floors in the Tallest Building' in cell B60.
</v>
      </c>
      <c r="H2191" s="52">
        <f ca="1">SUMPRODUCT(--ISTEXT(INDIRECT(J2191)))</f>
        <v>0</v>
      </c>
      <c r="I2191" s="52">
        <f ca="1">SUMPRODUCT(--ISNUMBER(INDIRECT(J2191)))</f>
        <v>0</v>
      </c>
      <c r="J2191" s="52" t="str">
        <f>$F$1565&amp; ADDRESS(B2191,3,4) &amp; ":" &amp; ADDRESS(B2191,15,4)</f>
        <v>'Final Building Profile'!C42:O42</v>
      </c>
    </row>
    <row r="2192" spans="1:10" ht="15" customHeight="1">
      <c r="A2192" t="str">
        <f t="shared" ref="A2192:A2201" ca="1" si="758">IF(AND(OFFSET(A2192, -I2192 + 2, 4) &gt;  0, E2192=""), F2192, "")</f>
        <v/>
      </c>
      <c r="B2192">
        <f t="shared" ref="B2192:B2206" si="759">B2191</f>
        <v>42</v>
      </c>
      <c r="C2192">
        <f t="shared" ca="1" si="745"/>
        <v>39</v>
      </c>
      <c r="D2192" t="str">
        <f t="shared" ref="D2192:D2206" si="760">ADDRESS(B2192, I2192,4  )</f>
        <v>C42</v>
      </c>
      <c r="E2192" t="str">
        <f t="shared" ref="E2192:E2206" ca="1" si="761">IF(ISBLANK( INDIRECT($F$1565 &amp; D2192)),"", INDIRECT($F$1565 &amp; D2192))</f>
        <v/>
      </c>
      <c r="F2192" t="str">
        <f t="shared" ref="F2192:F2206" ca="1" si="762">CONCATENATE("Enter a '"&amp; H2192 &amp;"' for  building ", C2192, " in cell ", D2192, ".", CHAR(10))</f>
        <v xml:space="preserve">Enter a 'Building Street Address Only 
(DO NOT ENTER CITY, STATE, OR ZIP)' for  building 39 in cell C42.
</v>
      </c>
      <c r="G2192" s="9" t="str">
        <f t="shared" ca="1" si="743"/>
        <v xml:space="preserve">Enter a value for 'Number of Floors in the Tallest Building' in cell B60.
</v>
      </c>
      <c r="H2192" s="52" t="str">
        <f t="shared" ref="H2192:H2206" ca="1" si="763">OFFSET(INDIRECT($F$1565 &amp; D2192), -B2192 + 3, 0)</f>
        <v>Building Street Address Only 
(DO NOT ENTER CITY, STATE, OR ZIP)</v>
      </c>
      <c r="I2192" s="52">
        <v>3</v>
      </c>
    </row>
    <row r="2193" spans="1:10" ht="15" customHeight="1">
      <c r="A2193" t="str">
        <f t="shared" ca="1" si="758"/>
        <v/>
      </c>
      <c r="B2193">
        <f t="shared" si="759"/>
        <v>42</v>
      </c>
      <c r="C2193">
        <f t="shared" ca="1" si="745"/>
        <v>39</v>
      </c>
      <c r="D2193" t="str">
        <f t="shared" si="760"/>
        <v>D42</v>
      </c>
      <c r="E2193" t="str">
        <f t="shared" ca="1" si="761"/>
        <v/>
      </c>
      <c r="F2193" t="str">
        <f t="shared" ca="1" si="762"/>
        <v xml:space="preserve">Enter a 'Total Units in Building*' for  building 39 in cell D42.
</v>
      </c>
      <c r="G2193" s="9" t="str">
        <f t="shared" ca="1" si="743"/>
        <v xml:space="preserve">Enter a value for 'Number of Floors in the Tallest Building' in cell B60.
</v>
      </c>
      <c r="H2193" s="52" t="str">
        <f t="shared" ca="1" si="763"/>
        <v>Total Units in Building*</v>
      </c>
      <c r="I2193" s="52">
        <v>4</v>
      </c>
    </row>
    <row r="2194" spans="1:10" ht="15" customHeight="1">
      <c r="A2194" t="str">
        <f t="shared" ca="1" si="758"/>
        <v/>
      </c>
      <c r="B2194">
        <f t="shared" si="759"/>
        <v>42</v>
      </c>
      <c r="C2194">
        <f t="shared" ca="1" si="745"/>
        <v>39</v>
      </c>
      <c r="D2194" t="str">
        <f t="shared" si="760"/>
        <v>E42</v>
      </c>
      <c r="E2194" t="str">
        <f t="shared" ca="1" si="761"/>
        <v/>
      </c>
      <c r="F2194" t="str">
        <f t="shared" ca="1" si="762"/>
        <v xml:space="preserve">Enter a 'Employee Units' for  building 39 in cell E42.
</v>
      </c>
      <c r="G2194" s="9" t="str">
        <f t="shared" ca="1" si="743"/>
        <v xml:space="preserve">Enter a value for 'Number of Floors in the Tallest Building' in cell B60.
</v>
      </c>
      <c r="H2194" s="52" t="str">
        <f t="shared" ca="1" si="763"/>
        <v>Employee Units</v>
      </c>
      <c r="I2194" s="52">
        <v>5</v>
      </c>
    </row>
    <row r="2195" spans="1:10" ht="15" customHeight="1">
      <c r="A2195" t="str">
        <f t="shared" ca="1" si="758"/>
        <v/>
      </c>
      <c r="B2195">
        <f t="shared" si="759"/>
        <v>42</v>
      </c>
      <c r="C2195">
        <f t="shared" ca="1" si="745"/>
        <v>39</v>
      </c>
      <c r="D2195" t="str">
        <f t="shared" si="760"/>
        <v>F42</v>
      </c>
      <c r="E2195" t="str">
        <f t="shared" ca="1" si="761"/>
        <v/>
      </c>
      <c r="F2195" t="str">
        <f t="shared" ca="1" si="762"/>
        <v xml:space="preserve">Enter a 'Low-Income Units' for  building 39 in cell F42.
</v>
      </c>
      <c r="G2195" s="9" t="str">
        <f t="shared" ca="1" si="743"/>
        <v xml:space="preserve">Enter a value for 'Number of Floors in the Tallest Building' in cell B60.
</v>
      </c>
      <c r="H2195" s="52" t="str">
        <f t="shared" ca="1" si="763"/>
        <v>Low-Income Units</v>
      </c>
      <c r="I2195" s="52">
        <v>6</v>
      </c>
    </row>
    <row r="2196" spans="1:10" ht="15" customHeight="1">
      <c r="A2196" t="str">
        <f t="shared" ca="1" si="758"/>
        <v/>
      </c>
      <c r="B2196">
        <f t="shared" si="759"/>
        <v>42</v>
      </c>
      <c r="C2196">
        <f t="shared" ca="1" si="745"/>
        <v>39</v>
      </c>
      <c r="D2196" t="str">
        <f t="shared" si="760"/>
        <v>G42</v>
      </c>
      <c r="E2196" t="str">
        <f t="shared" ca="1" si="761"/>
        <v/>
      </c>
      <c r="F2196" t="str">
        <f t="shared" ca="1" si="762"/>
        <v xml:space="preserve">Enter a 'Residential Square Footage**' for  building 39 in cell G42.
</v>
      </c>
      <c r="G2196" s="9" t="str">
        <f t="shared" ca="1" si="743"/>
        <v xml:space="preserve">Enter a value for 'Number of Floors in the Tallest Building' in cell B60.
</v>
      </c>
      <c r="H2196" s="52" t="str">
        <f t="shared" ca="1" si="763"/>
        <v>Residential Square Footage**</v>
      </c>
      <c r="I2196" s="52">
        <v>7</v>
      </c>
    </row>
    <row r="2197" spans="1:10" ht="15" customHeight="1">
      <c r="A2197" t="str">
        <f t="shared" ca="1" si="758"/>
        <v/>
      </c>
      <c r="B2197">
        <f t="shared" si="759"/>
        <v>42</v>
      </c>
      <c r="C2197">
        <f t="shared" ca="1" si="745"/>
        <v>39</v>
      </c>
      <c r="D2197" t="str">
        <f t="shared" si="760"/>
        <v>H42</v>
      </c>
      <c r="E2197" t="str">
        <f t="shared" ca="1" si="761"/>
        <v/>
      </c>
      <c r="F2197" t="str">
        <f t="shared" ca="1" si="762"/>
        <v xml:space="preserve">Enter a 'Square Footage of Employee Units' for  building 39 in cell H42.
</v>
      </c>
      <c r="G2197" s="9" t="str">
        <f t="shared" ca="1" si="743"/>
        <v xml:space="preserve">Enter a value for 'Number of Floors in the Tallest Building' in cell B60.
</v>
      </c>
      <c r="H2197" s="52" t="str">
        <f t="shared" ca="1" si="763"/>
        <v>Square Footage of Employee Units</v>
      </c>
      <c r="I2197" s="52">
        <v>8</v>
      </c>
    </row>
    <row r="2198" spans="1:10" ht="15" customHeight="1">
      <c r="A2198" t="str">
        <f t="shared" ca="1" si="758"/>
        <v/>
      </c>
      <c r="B2198">
        <f t="shared" si="759"/>
        <v>42</v>
      </c>
      <c r="C2198">
        <f t="shared" ca="1" si="745"/>
        <v>39</v>
      </c>
      <c r="D2198" t="str">
        <f t="shared" si="760"/>
        <v>I42</v>
      </c>
      <c r="E2198" t="str">
        <f t="shared" ca="1" si="761"/>
        <v/>
      </c>
      <c r="F2198" t="str">
        <f t="shared" ca="1" si="762"/>
        <v xml:space="preserve">Enter a 'Square Footage of Low-Income Units' for  building 39 in cell I42.
</v>
      </c>
      <c r="G2198" s="9" t="str">
        <f t="shared" ca="1" si="743"/>
        <v xml:space="preserve">Enter a value for 'Number of Floors in the Tallest Building' in cell B60.
</v>
      </c>
      <c r="H2198" s="52" t="str">
        <f t="shared" ca="1" si="763"/>
        <v>Square Footage of Low-Income Units</v>
      </c>
      <c r="I2198" s="52">
        <v>9</v>
      </c>
    </row>
    <row r="2199" spans="1:10" ht="15" customHeight="1">
      <c r="A2199" t="str">
        <f t="shared" ca="1" si="758"/>
        <v/>
      </c>
      <c r="B2199">
        <f t="shared" si="759"/>
        <v>42</v>
      </c>
      <c r="C2199">
        <f t="shared" ca="1" si="745"/>
        <v>39</v>
      </c>
      <c r="D2199" t="str">
        <f t="shared" si="760"/>
        <v>J42</v>
      </c>
      <c r="E2199" t="str">
        <f t="shared" ca="1" si="761"/>
        <v/>
      </c>
      <c r="F2199" t="str">
        <f t="shared" ca="1" si="762"/>
        <v xml:space="preserve">Enter a 'Placed-In-Service Date' for  building 39 in cell J42.
</v>
      </c>
      <c r="G2199" s="9" t="str">
        <f t="shared" ca="1" si="743"/>
        <v xml:space="preserve">Enter a value for 'Number of Floors in the Tallest Building' in cell B60.
</v>
      </c>
      <c r="H2199" s="52" t="str">
        <f t="shared" ca="1" si="763"/>
        <v>Placed-In-Service Date</v>
      </c>
      <c r="I2199" s="52">
        <v>10</v>
      </c>
    </row>
    <row r="2200" spans="1:10" ht="15" customHeight="1">
      <c r="A2200" t="str">
        <f t="shared" ca="1" si="758"/>
        <v/>
      </c>
      <c r="B2200">
        <f t="shared" si="759"/>
        <v>42</v>
      </c>
      <c r="C2200">
        <f t="shared" ca="1" si="745"/>
        <v>39</v>
      </c>
      <c r="D2200" t="str">
        <f t="shared" si="760"/>
        <v>K42</v>
      </c>
      <c r="E2200" t="str">
        <f t="shared" ca="1" si="761"/>
        <v/>
      </c>
      <c r="F2200" t="str">
        <f t="shared" ca="1" si="762"/>
        <v xml:space="preserve">Enter a 'New Construction/ Rehab APR' for  building 39 in cell K42.
</v>
      </c>
      <c r="G2200" s="9" t="str">
        <f t="shared" ca="1" si="743"/>
        <v xml:space="preserve">Enter a value for 'Number of Floors in the Tallest Building' in cell B60.
</v>
      </c>
      <c r="H2200" s="52" t="str">
        <f t="shared" ca="1" si="763"/>
        <v>New Construction/ Rehab APR</v>
      </c>
      <c r="I2200" s="52">
        <v>11</v>
      </c>
    </row>
    <row r="2201" spans="1:10" ht="15" customHeight="1">
      <c r="A2201" t="str">
        <f t="shared" ca="1" si="758"/>
        <v/>
      </c>
      <c r="B2201">
        <f t="shared" si="759"/>
        <v>42</v>
      </c>
      <c r="C2201">
        <f t="shared" ca="1" si="745"/>
        <v>39</v>
      </c>
      <c r="D2201" t="str">
        <f t="shared" si="760"/>
        <v>L42</v>
      </c>
      <c r="E2201" t="str">
        <f t="shared" ca="1" si="761"/>
        <v/>
      </c>
      <c r="F2201" t="str">
        <f t="shared" ca="1" si="762"/>
        <v xml:space="preserve">Enter a 'New Construction Eligible Basis' for  building 39 in cell L42.
</v>
      </c>
      <c r="G2201" s="9" t="str">
        <f t="shared" ca="1" si="743"/>
        <v xml:space="preserve">Enter a value for 'Number of Floors in the Tallest Building' in cell B60.
</v>
      </c>
      <c r="H2201" s="52" t="str">
        <f t="shared" ca="1" si="763"/>
        <v>New Construction Eligible Basis</v>
      </c>
      <c r="I2201" s="52">
        <v>12</v>
      </c>
    </row>
    <row r="2202" spans="1:10" ht="15" customHeight="1">
      <c r="A2202" t="str">
        <f ca="1">IF(AND(OFFSET(A2202, -I2202 + 2, 4) &gt;  0, E2202="", Calculations!$B$7), F2202, "")</f>
        <v/>
      </c>
      <c r="B2202">
        <f t="shared" si="759"/>
        <v>42</v>
      </c>
      <c r="C2202">
        <f t="shared" ca="1" si="745"/>
        <v>39</v>
      </c>
      <c r="D2202" t="str">
        <f t="shared" si="760"/>
        <v>M42</v>
      </c>
      <c r="E2202" t="str">
        <f t="shared" ca="1" si="761"/>
        <v/>
      </c>
      <c r="F2202" t="str">
        <f t="shared" ca="1" si="762"/>
        <v xml:space="preserve">Enter a 'Eligible Basis for Rehab' for  building 39 in cell M42.
</v>
      </c>
      <c r="G2202" s="9" t="str">
        <f t="shared" ca="1" si="743"/>
        <v xml:space="preserve">Enter a value for 'Number of Floors in the Tallest Building' in cell B60.
</v>
      </c>
      <c r="H2202" s="52" t="str">
        <f t="shared" ca="1" si="763"/>
        <v>Eligible Basis for Rehab</v>
      </c>
      <c r="I2202" s="52">
        <v>13</v>
      </c>
    </row>
    <row r="2203" spans="1:10" ht="15" customHeight="1">
      <c r="A2203" t="str">
        <f ca="1">IF(AND(OFFSET(A2203, -I2203 + 2, 4) &gt;  0, E2203="", Calculations!$B$7), F2203, "")</f>
        <v/>
      </c>
      <c r="B2203">
        <f t="shared" si="759"/>
        <v>42</v>
      </c>
      <c r="C2203">
        <f t="shared" ca="1" si="745"/>
        <v>39</v>
      </c>
      <c r="D2203" t="str">
        <f t="shared" si="760"/>
        <v>N42</v>
      </c>
      <c r="E2203" t="str">
        <f t="shared" ca="1" si="761"/>
        <v/>
      </c>
      <c r="F2203" t="str">
        <f t="shared" ca="1" si="762"/>
        <v xml:space="preserve">Enter a 'Cost of Acquiring the Building***' for  building 39 in cell N42.
</v>
      </c>
      <c r="G2203" s="9" t="str">
        <f t="shared" ca="1" si="743"/>
        <v xml:space="preserve">Enter a value for 'Number of Floors in the Tallest Building' in cell B60.
</v>
      </c>
      <c r="H2203" s="52" t="str">
        <f t="shared" ca="1" si="763"/>
        <v>Cost of Acquiring the Building***</v>
      </c>
      <c r="I2203" s="52">
        <v>14</v>
      </c>
    </row>
    <row r="2204" spans="1:10" ht="15" customHeight="1">
      <c r="A2204" t="str">
        <f ca="1">IF(AND(OFFSET(A2204, -I2204 + 2, 4) &gt;  0, E2204="", Calculations!$B$7), F2204, "")</f>
        <v/>
      </c>
      <c r="B2204">
        <f t="shared" si="759"/>
        <v>42</v>
      </c>
      <c r="C2204">
        <f t="shared" ca="1" si="745"/>
        <v>39</v>
      </c>
      <c r="D2204" t="str">
        <f t="shared" si="760"/>
        <v>O42</v>
      </c>
      <c r="E2204" t="str">
        <f t="shared" ca="1" si="761"/>
        <v/>
      </c>
      <c r="F2204" t="str">
        <f t="shared" ca="1" si="762"/>
        <v xml:space="preserve">Enter a 'Higher of Land Purchase Price or Land Appraised Value****' for  building 39 in cell O42.
</v>
      </c>
      <c r="G2204" s="9" t="str">
        <f t="shared" ca="1" si="743"/>
        <v xml:space="preserve">Enter a value for 'Number of Floors in the Tallest Building' in cell B60.
</v>
      </c>
      <c r="H2204" s="52" t="str">
        <f t="shared" ca="1" si="763"/>
        <v>Higher of Land Purchase Price or Land Appraised Value****</v>
      </c>
      <c r="I2204" s="52">
        <v>15</v>
      </c>
    </row>
    <row r="2205" spans="1:10" ht="15" customHeight="1">
      <c r="A2205" t="str">
        <f ca="1">IF(AND(OFFSET(A2205, -I2205 + 2, 4) &gt;  0, E2205="", Calculations!$B$7), F2205, "")</f>
        <v/>
      </c>
      <c r="B2205">
        <f t="shared" si="759"/>
        <v>42</v>
      </c>
      <c r="C2205">
        <f t="shared" ca="1" si="745"/>
        <v>39</v>
      </c>
      <c r="D2205" t="str">
        <f t="shared" si="760"/>
        <v>P42</v>
      </c>
      <c r="E2205" t="str">
        <f t="shared" ca="1" si="761"/>
        <v/>
      </c>
      <c r="F2205" t="str">
        <f t="shared" ca="1" si="762"/>
        <v xml:space="preserve">Enter a 'Acquisition Placed-in-Service Date' for  building 39 in cell P42.
</v>
      </c>
      <c r="G2205" s="9" t="str">
        <f t="shared" ca="1" si="743"/>
        <v xml:space="preserve">Enter a value for 'Number of Floors in the Tallest Building' in cell B60.
</v>
      </c>
      <c r="H2205" s="52" t="str">
        <f t="shared" ca="1" si="763"/>
        <v>Acquisition Placed-in-Service Date</v>
      </c>
      <c r="I2205" s="52">
        <v>16</v>
      </c>
    </row>
    <row r="2206" spans="1:10" ht="15" customHeight="1">
      <c r="A2206" t="str">
        <f ca="1">IF(AND(OFFSET(A2206, -I2206 + 2, 4) &gt;  0, E2206="", Calculations!$B$7), F2206, "")</f>
        <v/>
      </c>
      <c r="B2206">
        <f t="shared" si="759"/>
        <v>42</v>
      </c>
      <c r="C2206">
        <f t="shared" ca="1" si="745"/>
        <v>39</v>
      </c>
      <c r="D2206" t="str">
        <f t="shared" si="760"/>
        <v>Q42</v>
      </c>
      <c r="E2206" t="str">
        <f t="shared" ca="1" si="761"/>
        <v/>
      </c>
      <c r="F2206" t="str">
        <f t="shared" ca="1" si="762"/>
        <v xml:space="preserve">Enter a 'Acquisition APR' for  building 39 in cell Q42.
</v>
      </c>
      <c r="G2206" s="9" t="str">
        <f t="shared" ca="1" si="743"/>
        <v xml:space="preserve">Enter a value for 'Number of Floors in the Tallest Building' in cell B60.
</v>
      </c>
      <c r="H2206" s="52" t="str">
        <f t="shared" ca="1" si="763"/>
        <v>Acquisition APR</v>
      </c>
      <c r="I2206" s="52">
        <v>17</v>
      </c>
    </row>
    <row r="2207" spans="1:10" ht="15" customHeight="1">
      <c r="A2207" t="str">
        <f ca="1">IF(AND(Calculations!$B$4,Calculations!$B$29&gt;=C2207, E2207 &lt;&gt; 13),F2207,"")</f>
        <v/>
      </c>
      <c r="B2207">
        <f>ROW('Final Building Profile'!C43)</f>
        <v>43</v>
      </c>
      <c r="C2207">
        <f t="shared" ca="1" si="745"/>
        <v>40</v>
      </c>
      <c r="D2207" t="str">
        <f>ADDRESS(B2207, 3,4  )</f>
        <v>C43</v>
      </c>
      <c r="E2207" s="52">
        <f ca="1">H2207+I2207</f>
        <v>0</v>
      </c>
      <c r="F2207" t="str">
        <f ca="1">CONCATENATE("Based upon the number of buildings specified, information for  building ", C2207, " required for a final application in row ", B2207, ".", CHAR(10))</f>
        <v xml:space="preserve">Based upon the number of buildings specified, information for  building 40 required for a final application in row 43.
</v>
      </c>
      <c r="G2207" s="9" t="str">
        <f t="shared" ca="1" si="743"/>
        <v xml:space="preserve">Enter a value for 'Number of Floors in the Tallest Building' in cell B60.
</v>
      </c>
      <c r="H2207" s="52">
        <f ca="1">SUMPRODUCT(--ISTEXT(INDIRECT(J2207)))</f>
        <v>0</v>
      </c>
      <c r="I2207" s="52">
        <f ca="1">SUMPRODUCT(--ISNUMBER(INDIRECT(J2207)))</f>
        <v>0</v>
      </c>
      <c r="J2207" s="52" t="str">
        <f>$F$1565&amp; ADDRESS(B2207,3,4) &amp; ":" &amp; ADDRESS(B2207,15,4)</f>
        <v>'Final Building Profile'!C43:O43</v>
      </c>
    </row>
    <row r="2208" spans="1:10" ht="15" customHeight="1">
      <c r="A2208" t="str">
        <f t="shared" ref="A2208:A2217" ca="1" si="764">IF(AND(OFFSET(A2208, -I2208 + 2, 4) &gt;  0, E2208=""), F2208, "")</f>
        <v/>
      </c>
      <c r="B2208">
        <f t="shared" ref="B2208:B2222" si="765">B2207</f>
        <v>43</v>
      </c>
      <c r="C2208">
        <f t="shared" ca="1" si="745"/>
        <v>40</v>
      </c>
      <c r="D2208" t="str">
        <f t="shared" ref="D2208:D2222" si="766">ADDRESS(B2208, I2208,4  )</f>
        <v>C43</v>
      </c>
      <c r="E2208" t="str">
        <f t="shared" ref="E2208:E2222" ca="1" si="767">IF(ISBLANK( INDIRECT($F$1565 &amp; D2208)),"", INDIRECT($F$1565 &amp; D2208))</f>
        <v/>
      </c>
      <c r="F2208" t="str">
        <f t="shared" ref="F2208:F2222" ca="1" si="768">CONCATENATE("Enter a '"&amp; H2208 &amp;"' for  building ", C2208, " in cell ", D2208, ".", CHAR(10))</f>
        <v xml:space="preserve">Enter a 'Building Street Address Only 
(DO NOT ENTER CITY, STATE, OR ZIP)' for  building 40 in cell C43.
</v>
      </c>
      <c r="G2208" s="9" t="str">
        <f t="shared" ref="G2208:G2271" ca="1" si="769">OFFSET(G2208, -1, 0) &amp; A2208</f>
        <v xml:space="preserve">Enter a value for 'Number of Floors in the Tallest Building' in cell B60.
</v>
      </c>
      <c r="H2208" s="52" t="str">
        <f t="shared" ref="H2208:H2222" ca="1" si="770">OFFSET(INDIRECT($F$1565 &amp; D2208), -B2208 + 3, 0)</f>
        <v>Building Street Address Only 
(DO NOT ENTER CITY, STATE, OR ZIP)</v>
      </c>
      <c r="I2208" s="52">
        <v>3</v>
      </c>
    </row>
    <row r="2209" spans="1:10" ht="15" customHeight="1">
      <c r="A2209" t="str">
        <f t="shared" ca="1" si="764"/>
        <v/>
      </c>
      <c r="B2209">
        <f t="shared" si="765"/>
        <v>43</v>
      </c>
      <c r="C2209">
        <f t="shared" ca="1" si="745"/>
        <v>40</v>
      </c>
      <c r="D2209" t="str">
        <f t="shared" si="766"/>
        <v>D43</v>
      </c>
      <c r="E2209" t="str">
        <f t="shared" ca="1" si="767"/>
        <v/>
      </c>
      <c r="F2209" t="str">
        <f t="shared" ca="1" si="768"/>
        <v xml:space="preserve">Enter a 'Total Units in Building*' for  building 40 in cell D43.
</v>
      </c>
      <c r="G2209" s="9" t="str">
        <f t="shared" ca="1" si="769"/>
        <v xml:space="preserve">Enter a value for 'Number of Floors in the Tallest Building' in cell B60.
</v>
      </c>
      <c r="H2209" s="52" t="str">
        <f t="shared" ca="1" si="770"/>
        <v>Total Units in Building*</v>
      </c>
      <c r="I2209" s="52">
        <v>4</v>
      </c>
    </row>
    <row r="2210" spans="1:10" ht="15" customHeight="1">
      <c r="A2210" t="str">
        <f t="shared" ca="1" si="764"/>
        <v/>
      </c>
      <c r="B2210">
        <f t="shared" si="765"/>
        <v>43</v>
      </c>
      <c r="C2210">
        <f t="shared" ca="1" si="745"/>
        <v>40</v>
      </c>
      <c r="D2210" t="str">
        <f t="shared" si="766"/>
        <v>E43</v>
      </c>
      <c r="E2210" t="str">
        <f t="shared" ca="1" si="767"/>
        <v/>
      </c>
      <c r="F2210" t="str">
        <f t="shared" ca="1" si="768"/>
        <v xml:space="preserve">Enter a 'Employee Units' for  building 40 in cell E43.
</v>
      </c>
      <c r="G2210" s="9" t="str">
        <f t="shared" ca="1" si="769"/>
        <v xml:space="preserve">Enter a value for 'Number of Floors in the Tallest Building' in cell B60.
</v>
      </c>
      <c r="H2210" s="52" t="str">
        <f t="shared" ca="1" si="770"/>
        <v>Employee Units</v>
      </c>
      <c r="I2210" s="52">
        <v>5</v>
      </c>
    </row>
    <row r="2211" spans="1:10" ht="15" customHeight="1">
      <c r="A2211" t="str">
        <f t="shared" ca="1" si="764"/>
        <v/>
      </c>
      <c r="B2211">
        <f t="shared" si="765"/>
        <v>43</v>
      </c>
      <c r="C2211">
        <f t="shared" ca="1" si="745"/>
        <v>40</v>
      </c>
      <c r="D2211" t="str">
        <f t="shared" si="766"/>
        <v>F43</v>
      </c>
      <c r="E2211" t="str">
        <f t="shared" ca="1" si="767"/>
        <v/>
      </c>
      <c r="F2211" t="str">
        <f t="shared" ca="1" si="768"/>
        <v xml:space="preserve">Enter a 'Low-Income Units' for  building 40 in cell F43.
</v>
      </c>
      <c r="G2211" s="9" t="str">
        <f t="shared" ca="1" si="769"/>
        <v xml:space="preserve">Enter a value for 'Number of Floors in the Tallest Building' in cell B60.
</v>
      </c>
      <c r="H2211" s="52" t="str">
        <f t="shared" ca="1" si="770"/>
        <v>Low-Income Units</v>
      </c>
      <c r="I2211" s="52">
        <v>6</v>
      </c>
    </row>
    <row r="2212" spans="1:10" ht="15" customHeight="1">
      <c r="A2212" t="str">
        <f t="shared" ca="1" si="764"/>
        <v/>
      </c>
      <c r="B2212">
        <f t="shared" si="765"/>
        <v>43</v>
      </c>
      <c r="C2212">
        <f t="shared" ca="1" si="745"/>
        <v>40</v>
      </c>
      <c r="D2212" t="str">
        <f t="shared" si="766"/>
        <v>G43</v>
      </c>
      <c r="E2212" t="str">
        <f t="shared" ca="1" si="767"/>
        <v/>
      </c>
      <c r="F2212" t="str">
        <f t="shared" ca="1" si="768"/>
        <v xml:space="preserve">Enter a 'Residential Square Footage**' for  building 40 in cell G43.
</v>
      </c>
      <c r="G2212" s="9" t="str">
        <f t="shared" ca="1" si="769"/>
        <v xml:space="preserve">Enter a value for 'Number of Floors in the Tallest Building' in cell B60.
</v>
      </c>
      <c r="H2212" s="52" t="str">
        <f t="shared" ca="1" si="770"/>
        <v>Residential Square Footage**</v>
      </c>
      <c r="I2212" s="52">
        <v>7</v>
      </c>
    </row>
    <row r="2213" spans="1:10" ht="15" customHeight="1">
      <c r="A2213" t="str">
        <f t="shared" ca="1" si="764"/>
        <v/>
      </c>
      <c r="B2213">
        <f t="shared" si="765"/>
        <v>43</v>
      </c>
      <c r="C2213">
        <f t="shared" ca="1" si="745"/>
        <v>40</v>
      </c>
      <c r="D2213" t="str">
        <f t="shared" si="766"/>
        <v>H43</v>
      </c>
      <c r="E2213" t="str">
        <f t="shared" ca="1" si="767"/>
        <v/>
      </c>
      <c r="F2213" t="str">
        <f t="shared" ca="1" si="768"/>
        <v xml:space="preserve">Enter a 'Square Footage of Employee Units' for  building 40 in cell H43.
</v>
      </c>
      <c r="G2213" s="9" t="str">
        <f t="shared" ca="1" si="769"/>
        <v xml:space="preserve">Enter a value for 'Number of Floors in the Tallest Building' in cell B60.
</v>
      </c>
      <c r="H2213" s="52" t="str">
        <f t="shared" ca="1" si="770"/>
        <v>Square Footage of Employee Units</v>
      </c>
      <c r="I2213" s="52">
        <v>8</v>
      </c>
    </row>
    <row r="2214" spans="1:10" ht="15" customHeight="1">
      <c r="A2214" t="str">
        <f t="shared" ca="1" si="764"/>
        <v/>
      </c>
      <c r="B2214">
        <f t="shared" si="765"/>
        <v>43</v>
      </c>
      <c r="C2214">
        <f t="shared" ca="1" si="745"/>
        <v>40</v>
      </c>
      <c r="D2214" t="str">
        <f t="shared" si="766"/>
        <v>I43</v>
      </c>
      <c r="E2214" t="str">
        <f t="shared" ca="1" si="767"/>
        <v/>
      </c>
      <c r="F2214" t="str">
        <f t="shared" ca="1" si="768"/>
        <v xml:space="preserve">Enter a 'Square Footage of Low-Income Units' for  building 40 in cell I43.
</v>
      </c>
      <c r="G2214" s="9" t="str">
        <f t="shared" ca="1" si="769"/>
        <v xml:space="preserve">Enter a value for 'Number of Floors in the Tallest Building' in cell B60.
</v>
      </c>
      <c r="H2214" s="52" t="str">
        <f t="shared" ca="1" si="770"/>
        <v>Square Footage of Low-Income Units</v>
      </c>
      <c r="I2214" s="52">
        <v>9</v>
      </c>
    </row>
    <row r="2215" spans="1:10" ht="15" customHeight="1">
      <c r="A2215" t="str">
        <f t="shared" ca="1" si="764"/>
        <v/>
      </c>
      <c r="B2215">
        <f t="shared" si="765"/>
        <v>43</v>
      </c>
      <c r="C2215">
        <f t="shared" ca="1" si="745"/>
        <v>40</v>
      </c>
      <c r="D2215" t="str">
        <f t="shared" si="766"/>
        <v>J43</v>
      </c>
      <c r="E2215" t="str">
        <f t="shared" ca="1" si="767"/>
        <v/>
      </c>
      <c r="F2215" t="str">
        <f t="shared" ca="1" si="768"/>
        <v xml:space="preserve">Enter a 'Placed-In-Service Date' for  building 40 in cell J43.
</v>
      </c>
      <c r="G2215" s="9" t="str">
        <f t="shared" ca="1" si="769"/>
        <v xml:space="preserve">Enter a value for 'Number of Floors in the Tallest Building' in cell B60.
</v>
      </c>
      <c r="H2215" s="52" t="str">
        <f t="shared" ca="1" si="770"/>
        <v>Placed-In-Service Date</v>
      </c>
      <c r="I2215" s="52">
        <v>10</v>
      </c>
    </row>
    <row r="2216" spans="1:10" ht="15" customHeight="1">
      <c r="A2216" t="str">
        <f t="shared" ca="1" si="764"/>
        <v/>
      </c>
      <c r="B2216">
        <f t="shared" si="765"/>
        <v>43</v>
      </c>
      <c r="C2216">
        <f t="shared" ca="1" si="745"/>
        <v>40</v>
      </c>
      <c r="D2216" t="str">
        <f t="shared" si="766"/>
        <v>K43</v>
      </c>
      <c r="E2216" t="str">
        <f t="shared" ca="1" si="767"/>
        <v/>
      </c>
      <c r="F2216" t="str">
        <f t="shared" ca="1" si="768"/>
        <v xml:space="preserve">Enter a 'New Construction/ Rehab APR' for  building 40 in cell K43.
</v>
      </c>
      <c r="G2216" s="9" t="str">
        <f t="shared" ca="1" si="769"/>
        <v xml:space="preserve">Enter a value for 'Number of Floors in the Tallest Building' in cell B60.
</v>
      </c>
      <c r="H2216" s="52" t="str">
        <f t="shared" ca="1" si="770"/>
        <v>New Construction/ Rehab APR</v>
      </c>
      <c r="I2216" s="52">
        <v>11</v>
      </c>
    </row>
    <row r="2217" spans="1:10" ht="15" customHeight="1">
      <c r="A2217" t="str">
        <f t="shared" ca="1" si="764"/>
        <v/>
      </c>
      <c r="B2217">
        <f t="shared" si="765"/>
        <v>43</v>
      </c>
      <c r="C2217">
        <f t="shared" ca="1" si="745"/>
        <v>40</v>
      </c>
      <c r="D2217" t="str">
        <f t="shared" si="766"/>
        <v>L43</v>
      </c>
      <c r="E2217" t="str">
        <f t="shared" ca="1" si="767"/>
        <v/>
      </c>
      <c r="F2217" t="str">
        <f t="shared" ca="1" si="768"/>
        <v xml:space="preserve">Enter a 'New Construction Eligible Basis' for  building 40 in cell L43.
</v>
      </c>
      <c r="G2217" s="9" t="str">
        <f t="shared" ca="1" si="769"/>
        <v xml:space="preserve">Enter a value for 'Number of Floors in the Tallest Building' in cell B60.
</v>
      </c>
      <c r="H2217" s="52" t="str">
        <f t="shared" ca="1" si="770"/>
        <v>New Construction Eligible Basis</v>
      </c>
      <c r="I2217" s="52">
        <v>12</v>
      </c>
    </row>
    <row r="2218" spans="1:10" ht="15" customHeight="1">
      <c r="A2218" t="str">
        <f ca="1">IF(AND(OFFSET(A2218, -I2218 + 2, 4) &gt;  0, E2218="", Calculations!$B$7), F2218, "")</f>
        <v/>
      </c>
      <c r="B2218">
        <f t="shared" si="765"/>
        <v>43</v>
      </c>
      <c r="C2218">
        <f t="shared" ca="1" si="745"/>
        <v>40</v>
      </c>
      <c r="D2218" t="str">
        <f t="shared" si="766"/>
        <v>M43</v>
      </c>
      <c r="E2218" t="str">
        <f t="shared" ca="1" si="767"/>
        <v/>
      </c>
      <c r="F2218" t="str">
        <f t="shared" ca="1" si="768"/>
        <v xml:space="preserve">Enter a 'Eligible Basis for Rehab' for  building 40 in cell M43.
</v>
      </c>
      <c r="G2218" s="9" t="str">
        <f t="shared" ca="1" si="769"/>
        <v xml:space="preserve">Enter a value for 'Number of Floors in the Tallest Building' in cell B60.
</v>
      </c>
      <c r="H2218" s="52" t="str">
        <f t="shared" ca="1" si="770"/>
        <v>Eligible Basis for Rehab</v>
      </c>
      <c r="I2218" s="52">
        <v>13</v>
      </c>
    </row>
    <row r="2219" spans="1:10" ht="15" customHeight="1">
      <c r="A2219" t="str">
        <f ca="1">IF(AND(OFFSET(A2219, -I2219 + 2, 4) &gt;  0, E2219="", Calculations!$B$7), F2219, "")</f>
        <v/>
      </c>
      <c r="B2219">
        <f t="shared" si="765"/>
        <v>43</v>
      </c>
      <c r="C2219">
        <f t="shared" ca="1" si="745"/>
        <v>40</v>
      </c>
      <c r="D2219" t="str">
        <f t="shared" si="766"/>
        <v>N43</v>
      </c>
      <c r="E2219" t="str">
        <f t="shared" ca="1" si="767"/>
        <v/>
      </c>
      <c r="F2219" t="str">
        <f t="shared" ca="1" si="768"/>
        <v xml:space="preserve">Enter a 'Cost of Acquiring the Building***' for  building 40 in cell N43.
</v>
      </c>
      <c r="G2219" s="9" t="str">
        <f t="shared" ca="1" si="769"/>
        <v xml:space="preserve">Enter a value for 'Number of Floors in the Tallest Building' in cell B60.
</v>
      </c>
      <c r="H2219" s="52" t="str">
        <f t="shared" ca="1" si="770"/>
        <v>Cost of Acquiring the Building***</v>
      </c>
      <c r="I2219" s="52">
        <v>14</v>
      </c>
    </row>
    <row r="2220" spans="1:10" ht="15" customHeight="1">
      <c r="A2220" t="str">
        <f ca="1">IF(AND(OFFSET(A2220, -I2220 + 2, 4) &gt;  0, E2220="", Calculations!$B$7), F2220, "")</f>
        <v/>
      </c>
      <c r="B2220">
        <f t="shared" si="765"/>
        <v>43</v>
      </c>
      <c r="C2220">
        <f t="shared" ca="1" si="745"/>
        <v>40</v>
      </c>
      <c r="D2220" t="str">
        <f t="shared" si="766"/>
        <v>O43</v>
      </c>
      <c r="E2220" t="str">
        <f t="shared" ca="1" si="767"/>
        <v/>
      </c>
      <c r="F2220" t="str">
        <f t="shared" ca="1" si="768"/>
        <v xml:space="preserve">Enter a 'Higher of Land Purchase Price or Land Appraised Value****' for  building 40 in cell O43.
</v>
      </c>
      <c r="G2220" s="9" t="str">
        <f t="shared" ca="1" si="769"/>
        <v xml:space="preserve">Enter a value for 'Number of Floors in the Tallest Building' in cell B60.
</v>
      </c>
      <c r="H2220" s="52" t="str">
        <f t="shared" ca="1" si="770"/>
        <v>Higher of Land Purchase Price or Land Appraised Value****</v>
      </c>
      <c r="I2220" s="52">
        <v>15</v>
      </c>
    </row>
    <row r="2221" spans="1:10" ht="15" customHeight="1">
      <c r="A2221" t="str">
        <f ca="1">IF(AND(OFFSET(A2221, -I2221 + 2, 4) &gt;  0, E2221="", Calculations!$B$7), F2221, "")</f>
        <v/>
      </c>
      <c r="B2221">
        <f t="shared" si="765"/>
        <v>43</v>
      </c>
      <c r="C2221">
        <f t="shared" ca="1" si="745"/>
        <v>40</v>
      </c>
      <c r="D2221" t="str">
        <f t="shared" si="766"/>
        <v>P43</v>
      </c>
      <c r="E2221" t="str">
        <f t="shared" ca="1" si="767"/>
        <v/>
      </c>
      <c r="F2221" t="str">
        <f t="shared" ca="1" si="768"/>
        <v xml:space="preserve">Enter a 'Acquisition Placed-in-Service Date' for  building 40 in cell P43.
</v>
      </c>
      <c r="G2221" s="9" t="str">
        <f t="shared" ca="1" si="769"/>
        <v xml:space="preserve">Enter a value for 'Number of Floors in the Tallest Building' in cell B60.
</v>
      </c>
      <c r="H2221" s="52" t="str">
        <f t="shared" ca="1" si="770"/>
        <v>Acquisition Placed-in-Service Date</v>
      </c>
      <c r="I2221" s="52">
        <v>16</v>
      </c>
    </row>
    <row r="2222" spans="1:10" ht="15" customHeight="1">
      <c r="A2222" t="str">
        <f ca="1">IF(AND(OFFSET(A2222, -I2222 + 2, 4) &gt;  0, E2222="", Calculations!$B$7), F2222, "")</f>
        <v/>
      </c>
      <c r="B2222">
        <f t="shared" si="765"/>
        <v>43</v>
      </c>
      <c r="C2222">
        <f t="shared" ca="1" si="745"/>
        <v>40</v>
      </c>
      <c r="D2222" t="str">
        <f t="shared" si="766"/>
        <v>Q43</v>
      </c>
      <c r="E2222" t="str">
        <f t="shared" ca="1" si="767"/>
        <v/>
      </c>
      <c r="F2222" t="str">
        <f t="shared" ca="1" si="768"/>
        <v xml:space="preserve">Enter a 'Acquisition APR' for  building 40 in cell Q43.
</v>
      </c>
      <c r="G2222" s="9" t="str">
        <f t="shared" ca="1" si="769"/>
        <v xml:space="preserve">Enter a value for 'Number of Floors in the Tallest Building' in cell B60.
</v>
      </c>
      <c r="H2222" s="52" t="str">
        <f t="shared" ca="1" si="770"/>
        <v>Acquisition APR</v>
      </c>
      <c r="I2222" s="52">
        <v>17</v>
      </c>
    </row>
    <row r="2223" spans="1:10" ht="15" customHeight="1">
      <c r="A2223" t="str">
        <f ca="1">IF(AND(Calculations!$B$4,Calculations!$B$29&gt;=C2223, E2223 &lt;&gt; 13),F2223,"")</f>
        <v/>
      </c>
      <c r="B2223">
        <f>ROW('Final Building Profile'!C44)</f>
        <v>44</v>
      </c>
      <c r="C2223">
        <f t="shared" ref="C2223:C2286" ca="1" si="771">INDIRECT($F$1565 &amp; ADDRESS(B2223, 1,4  ))</f>
        <v>41</v>
      </c>
      <c r="D2223" t="str">
        <f>ADDRESS(B2223, 3,4  )</f>
        <v>C44</v>
      </c>
      <c r="E2223" s="52">
        <f ca="1">H2223+I2223</f>
        <v>0</v>
      </c>
      <c r="F2223" t="str">
        <f ca="1">CONCATENATE("Based upon the number of buildings specified, information for  building ", C2223, " required for a final application in row ", B2223, ".", CHAR(10))</f>
        <v xml:space="preserve">Based upon the number of buildings specified, information for  building 41 required for a final application in row 44.
</v>
      </c>
      <c r="G2223" s="9" t="str">
        <f t="shared" ca="1" si="769"/>
        <v xml:space="preserve">Enter a value for 'Number of Floors in the Tallest Building' in cell B60.
</v>
      </c>
      <c r="H2223" s="52">
        <f ca="1">SUMPRODUCT(--ISTEXT(INDIRECT(J2223)))</f>
        <v>0</v>
      </c>
      <c r="I2223" s="52">
        <f ca="1">SUMPRODUCT(--ISNUMBER(INDIRECT(J2223)))</f>
        <v>0</v>
      </c>
      <c r="J2223" s="52" t="str">
        <f>$F$1565&amp; ADDRESS(B2223,3,4) &amp; ":" &amp; ADDRESS(B2223,15,4)</f>
        <v>'Final Building Profile'!C44:O44</v>
      </c>
    </row>
    <row r="2224" spans="1:10" ht="15" customHeight="1">
      <c r="A2224" t="str">
        <f t="shared" ref="A2224:A2233" ca="1" si="772">IF(AND(OFFSET(A2224, -I2224 + 2, 4) &gt;  0, E2224=""), F2224, "")</f>
        <v/>
      </c>
      <c r="B2224">
        <f t="shared" ref="B2224:B2238" si="773">B2223</f>
        <v>44</v>
      </c>
      <c r="C2224">
        <f t="shared" ca="1" si="771"/>
        <v>41</v>
      </c>
      <c r="D2224" t="str">
        <f t="shared" ref="D2224:D2238" si="774">ADDRESS(B2224, I2224,4  )</f>
        <v>C44</v>
      </c>
      <c r="E2224" t="str">
        <f t="shared" ref="E2224:E2238" ca="1" si="775">IF(ISBLANK( INDIRECT($F$1565 &amp; D2224)),"", INDIRECT($F$1565 &amp; D2224))</f>
        <v/>
      </c>
      <c r="F2224" t="str">
        <f t="shared" ref="F2224:F2238" ca="1" si="776">CONCATENATE("Enter a '"&amp; H2224 &amp;"' for  building ", C2224, " in cell ", D2224, ".", CHAR(10))</f>
        <v xml:space="preserve">Enter a 'Building Street Address Only 
(DO NOT ENTER CITY, STATE, OR ZIP)' for  building 41 in cell C44.
</v>
      </c>
      <c r="G2224" s="9" t="str">
        <f t="shared" ca="1" si="769"/>
        <v xml:space="preserve">Enter a value for 'Number of Floors in the Tallest Building' in cell B60.
</v>
      </c>
      <c r="H2224" s="52" t="str">
        <f t="shared" ref="H2224:H2238" ca="1" si="777">OFFSET(INDIRECT($F$1565 &amp; D2224), -B2224 + 3, 0)</f>
        <v>Building Street Address Only 
(DO NOT ENTER CITY, STATE, OR ZIP)</v>
      </c>
      <c r="I2224" s="52">
        <v>3</v>
      </c>
    </row>
    <row r="2225" spans="1:10" ht="15" customHeight="1">
      <c r="A2225" t="str">
        <f t="shared" ca="1" si="772"/>
        <v/>
      </c>
      <c r="B2225">
        <f t="shared" si="773"/>
        <v>44</v>
      </c>
      <c r="C2225">
        <f t="shared" ca="1" si="771"/>
        <v>41</v>
      </c>
      <c r="D2225" t="str">
        <f t="shared" si="774"/>
        <v>D44</v>
      </c>
      <c r="E2225" t="str">
        <f t="shared" ca="1" si="775"/>
        <v/>
      </c>
      <c r="F2225" t="str">
        <f t="shared" ca="1" si="776"/>
        <v xml:space="preserve">Enter a 'Total Units in Building*' for  building 41 in cell D44.
</v>
      </c>
      <c r="G2225" s="9" t="str">
        <f t="shared" ca="1" si="769"/>
        <v xml:space="preserve">Enter a value for 'Number of Floors in the Tallest Building' in cell B60.
</v>
      </c>
      <c r="H2225" s="52" t="str">
        <f t="shared" ca="1" si="777"/>
        <v>Total Units in Building*</v>
      </c>
      <c r="I2225" s="52">
        <v>4</v>
      </c>
    </row>
    <row r="2226" spans="1:10" ht="15" customHeight="1">
      <c r="A2226" t="str">
        <f t="shared" ca="1" si="772"/>
        <v/>
      </c>
      <c r="B2226">
        <f t="shared" si="773"/>
        <v>44</v>
      </c>
      <c r="C2226">
        <f t="shared" ca="1" si="771"/>
        <v>41</v>
      </c>
      <c r="D2226" t="str">
        <f t="shared" si="774"/>
        <v>E44</v>
      </c>
      <c r="E2226" t="str">
        <f t="shared" ca="1" si="775"/>
        <v/>
      </c>
      <c r="F2226" t="str">
        <f t="shared" ca="1" si="776"/>
        <v xml:space="preserve">Enter a 'Employee Units' for  building 41 in cell E44.
</v>
      </c>
      <c r="G2226" s="9" t="str">
        <f t="shared" ca="1" si="769"/>
        <v xml:space="preserve">Enter a value for 'Number of Floors in the Tallest Building' in cell B60.
</v>
      </c>
      <c r="H2226" s="52" t="str">
        <f t="shared" ca="1" si="777"/>
        <v>Employee Units</v>
      </c>
      <c r="I2226" s="52">
        <v>5</v>
      </c>
    </row>
    <row r="2227" spans="1:10" ht="15" customHeight="1">
      <c r="A2227" t="str">
        <f t="shared" ca="1" si="772"/>
        <v/>
      </c>
      <c r="B2227">
        <f t="shared" si="773"/>
        <v>44</v>
      </c>
      <c r="C2227">
        <f t="shared" ca="1" si="771"/>
        <v>41</v>
      </c>
      <c r="D2227" t="str">
        <f t="shared" si="774"/>
        <v>F44</v>
      </c>
      <c r="E2227" t="str">
        <f t="shared" ca="1" si="775"/>
        <v/>
      </c>
      <c r="F2227" t="str">
        <f t="shared" ca="1" si="776"/>
        <v xml:space="preserve">Enter a 'Low-Income Units' for  building 41 in cell F44.
</v>
      </c>
      <c r="G2227" s="9" t="str">
        <f t="shared" ca="1" si="769"/>
        <v xml:space="preserve">Enter a value for 'Number of Floors in the Tallest Building' in cell B60.
</v>
      </c>
      <c r="H2227" s="52" t="str">
        <f t="shared" ca="1" si="777"/>
        <v>Low-Income Units</v>
      </c>
      <c r="I2227" s="52">
        <v>6</v>
      </c>
    </row>
    <row r="2228" spans="1:10" ht="15" customHeight="1">
      <c r="A2228" t="str">
        <f t="shared" ca="1" si="772"/>
        <v/>
      </c>
      <c r="B2228">
        <f t="shared" si="773"/>
        <v>44</v>
      </c>
      <c r="C2228">
        <f t="shared" ca="1" si="771"/>
        <v>41</v>
      </c>
      <c r="D2228" t="str">
        <f t="shared" si="774"/>
        <v>G44</v>
      </c>
      <c r="E2228" t="str">
        <f t="shared" ca="1" si="775"/>
        <v/>
      </c>
      <c r="F2228" t="str">
        <f t="shared" ca="1" si="776"/>
        <v xml:space="preserve">Enter a 'Residential Square Footage**' for  building 41 in cell G44.
</v>
      </c>
      <c r="G2228" s="9" t="str">
        <f t="shared" ca="1" si="769"/>
        <v xml:space="preserve">Enter a value for 'Number of Floors in the Tallest Building' in cell B60.
</v>
      </c>
      <c r="H2228" s="52" t="str">
        <f t="shared" ca="1" si="777"/>
        <v>Residential Square Footage**</v>
      </c>
      <c r="I2228" s="52">
        <v>7</v>
      </c>
    </row>
    <row r="2229" spans="1:10" ht="15" customHeight="1">
      <c r="A2229" t="str">
        <f t="shared" ca="1" si="772"/>
        <v/>
      </c>
      <c r="B2229">
        <f t="shared" si="773"/>
        <v>44</v>
      </c>
      <c r="C2229">
        <f t="shared" ca="1" si="771"/>
        <v>41</v>
      </c>
      <c r="D2229" t="str">
        <f t="shared" si="774"/>
        <v>H44</v>
      </c>
      <c r="E2229" t="str">
        <f t="shared" ca="1" si="775"/>
        <v/>
      </c>
      <c r="F2229" t="str">
        <f t="shared" ca="1" si="776"/>
        <v xml:space="preserve">Enter a 'Square Footage of Employee Units' for  building 41 in cell H44.
</v>
      </c>
      <c r="G2229" s="9" t="str">
        <f t="shared" ca="1" si="769"/>
        <v xml:space="preserve">Enter a value for 'Number of Floors in the Tallest Building' in cell B60.
</v>
      </c>
      <c r="H2229" s="52" t="str">
        <f t="shared" ca="1" si="777"/>
        <v>Square Footage of Employee Units</v>
      </c>
      <c r="I2229" s="52">
        <v>8</v>
      </c>
    </row>
    <row r="2230" spans="1:10" ht="15" customHeight="1">
      <c r="A2230" t="str">
        <f t="shared" ca="1" si="772"/>
        <v/>
      </c>
      <c r="B2230">
        <f t="shared" si="773"/>
        <v>44</v>
      </c>
      <c r="C2230">
        <f t="shared" ca="1" si="771"/>
        <v>41</v>
      </c>
      <c r="D2230" t="str">
        <f t="shared" si="774"/>
        <v>I44</v>
      </c>
      <c r="E2230" t="str">
        <f t="shared" ca="1" si="775"/>
        <v/>
      </c>
      <c r="F2230" t="str">
        <f t="shared" ca="1" si="776"/>
        <v xml:space="preserve">Enter a 'Square Footage of Low-Income Units' for  building 41 in cell I44.
</v>
      </c>
      <c r="G2230" s="9" t="str">
        <f t="shared" ca="1" si="769"/>
        <v xml:space="preserve">Enter a value for 'Number of Floors in the Tallest Building' in cell B60.
</v>
      </c>
      <c r="H2230" s="52" t="str">
        <f t="shared" ca="1" si="777"/>
        <v>Square Footage of Low-Income Units</v>
      </c>
      <c r="I2230" s="52">
        <v>9</v>
      </c>
    </row>
    <row r="2231" spans="1:10" ht="15" customHeight="1">
      <c r="A2231" t="str">
        <f t="shared" ca="1" si="772"/>
        <v/>
      </c>
      <c r="B2231">
        <f t="shared" si="773"/>
        <v>44</v>
      </c>
      <c r="C2231">
        <f t="shared" ca="1" si="771"/>
        <v>41</v>
      </c>
      <c r="D2231" t="str">
        <f t="shared" si="774"/>
        <v>J44</v>
      </c>
      <c r="E2231" t="str">
        <f t="shared" ca="1" si="775"/>
        <v/>
      </c>
      <c r="F2231" t="str">
        <f t="shared" ca="1" si="776"/>
        <v xml:space="preserve">Enter a 'Placed-In-Service Date' for  building 41 in cell J44.
</v>
      </c>
      <c r="G2231" s="9" t="str">
        <f t="shared" ca="1" si="769"/>
        <v xml:space="preserve">Enter a value for 'Number of Floors in the Tallest Building' in cell B60.
</v>
      </c>
      <c r="H2231" s="52" t="str">
        <f t="shared" ca="1" si="777"/>
        <v>Placed-In-Service Date</v>
      </c>
      <c r="I2231" s="52">
        <v>10</v>
      </c>
    </row>
    <row r="2232" spans="1:10" ht="15" customHeight="1">
      <c r="A2232" t="str">
        <f t="shared" ca="1" si="772"/>
        <v/>
      </c>
      <c r="B2232">
        <f t="shared" si="773"/>
        <v>44</v>
      </c>
      <c r="C2232">
        <f t="shared" ca="1" si="771"/>
        <v>41</v>
      </c>
      <c r="D2232" t="str">
        <f t="shared" si="774"/>
        <v>K44</v>
      </c>
      <c r="E2232" t="str">
        <f t="shared" ca="1" si="775"/>
        <v/>
      </c>
      <c r="F2232" t="str">
        <f t="shared" ca="1" si="776"/>
        <v xml:space="preserve">Enter a 'New Construction/ Rehab APR' for  building 41 in cell K44.
</v>
      </c>
      <c r="G2232" s="9" t="str">
        <f t="shared" ca="1" si="769"/>
        <v xml:space="preserve">Enter a value for 'Number of Floors in the Tallest Building' in cell B60.
</v>
      </c>
      <c r="H2232" s="52" t="str">
        <f t="shared" ca="1" si="777"/>
        <v>New Construction/ Rehab APR</v>
      </c>
      <c r="I2232" s="52">
        <v>11</v>
      </c>
    </row>
    <row r="2233" spans="1:10" ht="15" customHeight="1">
      <c r="A2233" t="str">
        <f t="shared" ca="1" si="772"/>
        <v/>
      </c>
      <c r="B2233">
        <f t="shared" si="773"/>
        <v>44</v>
      </c>
      <c r="C2233">
        <f t="shared" ca="1" si="771"/>
        <v>41</v>
      </c>
      <c r="D2233" t="str">
        <f t="shared" si="774"/>
        <v>L44</v>
      </c>
      <c r="E2233" t="str">
        <f t="shared" ca="1" si="775"/>
        <v/>
      </c>
      <c r="F2233" t="str">
        <f t="shared" ca="1" si="776"/>
        <v xml:space="preserve">Enter a 'New Construction Eligible Basis' for  building 41 in cell L44.
</v>
      </c>
      <c r="G2233" s="9" t="str">
        <f t="shared" ca="1" si="769"/>
        <v xml:space="preserve">Enter a value for 'Number of Floors in the Tallest Building' in cell B60.
</v>
      </c>
      <c r="H2233" s="52" t="str">
        <f t="shared" ca="1" si="777"/>
        <v>New Construction Eligible Basis</v>
      </c>
      <c r="I2233" s="52">
        <v>12</v>
      </c>
    </row>
    <row r="2234" spans="1:10" ht="15" customHeight="1">
      <c r="A2234" t="str">
        <f ca="1">IF(AND(OFFSET(A2234, -I2234 + 2, 4) &gt;  0, E2234="", Calculations!$B$7), F2234, "")</f>
        <v/>
      </c>
      <c r="B2234">
        <f t="shared" si="773"/>
        <v>44</v>
      </c>
      <c r="C2234">
        <f t="shared" ca="1" si="771"/>
        <v>41</v>
      </c>
      <c r="D2234" t="str">
        <f t="shared" si="774"/>
        <v>M44</v>
      </c>
      <c r="E2234" t="str">
        <f t="shared" ca="1" si="775"/>
        <v/>
      </c>
      <c r="F2234" t="str">
        <f t="shared" ca="1" si="776"/>
        <v xml:space="preserve">Enter a 'Eligible Basis for Rehab' for  building 41 in cell M44.
</v>
      </c>
      <c r="G2234" s="9" t="str">
        <f t="shared" ca="1" si="769"/>
        <v xml:space="preserve">Enter a value for 'Number of Floors in the Tallest Building' in cell B60.
</v>
      </c>
      <c r="H2234" s="52" t="str">
        <f t="shared" ca="1" si="777"/>
        <v>Eligible Basis for Rehab</v>
      </c>
      <c r="I2234" s="52">
        <v>13</v>
      </c>
    </row>
    <row r="2235" spans="1:10" ht="15" customHeight="1">
      <c r="A2235" t="str">
        <f ca="1">IF(AND(OFFSET(A2235, -I2235 + 2, 4) &gt;  0, E2235="", Calculations!$B$7), F2235, "")</f>
        <v/>
      </c>
      <c r="B2235">
        <f t="shared" si="773"/>
        <v>44</v>
      </c>
      <c r="C2235">
        <f t="shared" ca="1" si="771"/>
        <v>41</v>
      </c>
      <c r="D2235" t="str">
        <f t="shared" si="774"/>
        <v>N44</v>
      </c>
      <c r="E2235" t="str">
        <f t="shared" ca="1" si="775"/>
        <v/>
      </c>
      <c r="F2235" t="str">
        <f t="shared" ca="1" si="776"/>
        <v xml:space="preserve">Enter a 'Cost of Acquiring the Building***' for  building 41 in cell N44.
</v>
      </c>
      <c r="G2235" s="9" t="str">
        <f t="shared" ca="1" si="769"/>
        <v xml:space="preserve">Enter a value for 'Number of Floors in the Tallest Building' in cell B60.
</v>
      </c>
      <c r="H2235" s="52" t="str">
        <f t="shared" ca="1" si="777"/>
        <v>Cost of Acquiring the Building***</v>
      </c>
      <c r="I2235" s="52">
        <v>14</v>
      </c>
    </row>
    <row r="2236" spans="1:10" ht="15" customHeight="1">
      <c r="A2236" t="str">
        <f ca="1">IF(AND(OFFSET(A2236, -I2236 + 2, 4) &gt;  0, E2236="", Calculations!$B$7), F2236, "")</f>
        <v/>
      </c>
      <c r="B2236">
        <f t="shared" si="773"/>
        <v>44</v>
      </c>
      <c r="C2236">
        <f t="shared" ca="1" si="771"/>
        <v>41</v>
      </c>
      <c r="D2236" t="str">
        <f t="shared" si="774"/>
        <v>O44</v>
      </c>
      <c r="E2236" t="str">
        <f t="shared" ca="1" si="775"/>
        <v/>
      </c>
      <c r="F2236" t="str">
        <f t="shared" ca="1" si="776"/>
        <v xml:space="preserve">Enter a 'Higher of Land Purchase Price or Land Appraised Value****' for  building 41 in cell O44.
</v>
      </c>
      <c r="G2236" s="9" t="str">
        <f t="shared" ca="1" si="769"/>
        <v xml:space="preserve">Enter a value for 'Number of Floors in the Tallest Building' in cell B60.
</v>
      </c>
      <c r="H2236" s="52" t="str">
        <f t="shared" ca="1" si="777"/>
        <v>Higher of Land Purchase Price or Land Appraised Value****</v>
      </c>
      <c r="I2236" s="52">
        <v>15</v>
      </c>
    </row>
    <row r="2237" spans="1:10" ht="15" customHeight="1">
      <c r="A2237" t="str">
        <f ca="1">IF(AND(OFFSET(A2237, -I2237 + 2, 4) &gt;  0, E2237="", Calculations!$B$7), F2237, "")</f>
        <v/>
      </c>
      <c r="B2237">
        <f t="shared" si="773"/>
        <v>44</v>
      </c>
      <c r="C2237">
        <f t="shared" ca="1" si="771"/>
        <v>41</v>
      </c>
      <c r="D2237" t="str">
        <f t="shared" si="774"/>
        <v>P44</v>
      </c>
      <c r="E2237" t="str">
        <f t="shared" ca="1" si="775"/>
        <v/>
      </c>
      <c r="F2237" t="str">
        <f t="shared" ca="1" si="776"/>
        <v xml:space="preserve">Enter a 'Acquisition Placed-in-Service Date' for  building 41 in cell P44.
</v>
      </c>
      <c r="G2237" s="9" t="str">
        <f t="shared" ca="1" si="769"/>
        <v xml:space="preserve">Enter a value for 'Number of Floors in the Tallest Building' in cell B60.
</v>
      </c>
      <c r="H2237" s="52" t="str">
        <f t="shared" ca="1" si="777"/>
        <v>Acquisition Placed-in-Service Date</v>
      </c>
      <c r="I2237" s="52">
        <v>16</v>
      </c>
    </row>
    <row r="2238" spans="1:10" ht="15" customHeight="1">
      <c r="A2238" t="str">
        <f ca="1">IF(AND(OFFSET(A2238, -I2238 + 2, 4) &gt;  0, E2238="", Calculations!$B$7), F2238, "")</f>
        <v/>
      </c>
      <c r="B2238">
        <f t="shared" si="773"/>
        <v>44</v>
      </c>
      <c r="C2238">
        <f t="shared" ca="1" si="771"/>
        <v>41</v>
      </c>
      <c r="D2238" t="str">
        <f t="shared" si="774"/>
        <v>Q44</v>
      </c>
      <c r="E2238" t="str">
        <f t="shared" ca="1" si="775"/>
        <v/>
      </c>
      <c r="F2238" t="str">
        <f t="shared" ca="1" si="776"/>
        <v xml:space="preserve">Enter a 'Acquisition APR' for  building 41 in cell Q44.
</v>
      </c>
      <c r="G2238" s="9" t="str">
        <f t="shared" ca="1" si="769"/>
        <v xml:space="preserve">Enter a value for 'Number of Floors in the Tallest Building' in cell B60.
</v>
      </c>
      <c r="H2238" s="52" t="str">
        <f t="shared" ca="1" si="777"/>
        <v>Acquisition APR</v>
      </c>
      <c r="I2238" s="52">
        <v>17</v>
      </c>
    </row>
    <row r="2239" spans="1:10" ht="15" customHeight="1">
      <c r="A2239" t="str">
        <f ca="1">IF(AND(Calculations!$B$4,Calculations!$B$29&gt;=C2239, E2239 &lt;&gt; 13),F2239,"")</f>
        <v/>
      </c>
      <c r="B2239">
        <f>ROW('Final Building Profile'!C45)</f>
        <v>45</v>
      </c>
      <c r="C2239">
        <f t="shared" ca="1" si="771"/>
        <v>42</v>
      </c>
      <c r="D2239" t="str">
        <f>ADDRESS(B2239, 3,4  )</f>
        <v>C45</v>
      </c>
      <c r="E2239" s="52">
        <f ca="1">H2239+I2239</f>
        <v>0</v>
      </c>
      <c r="F2239" t="str">
        <f ca="1">CONCATENATE("Based upon the number of buildings specified, information for  building ", C2239, " required for a final application in row ", B2239, ".", CHAR(10))</f>
        <v xml:space="preserve">Based upon the number of buildings specified, information for  building 42 required for a final application in row 45.
</v>
      </c>
      <c r="G2239" s="9" t="str">
        <f t="shared" ca="1" si="769"/>
        <v xml:space="preserve">Enter a value for 'Number of Floors in the Tallest Building' in cell B60.
</v>
      </c>
      <c r="H2239" s="52">
        <f ca="1">SUMPRODUCT(--ISTEXT(INDIRECT(J2239)))</f>
        <v>0</v>
      </c>
      <c r="I2239" s="52">
        <f ca="1">SUMPRODUCT(--ISNUMBER(INDIRECT(J2239)))</f>
        <v>0</v>
      </c>
      <c r="J2239" s="52" t="str">
        <f>$F$1565&amp; ADDRESS(B2239,3,4) &amp; ":" &amp; ADDRESS(B2239,15,4)</f>
        <v>'Final Building Profile'!C45:O45</v>
      </c>
    </row>
    <row r="2240" spans="1:10" ht="15" customHeight="1">
      <c r="A2240" t="str">
        <f t="shared" ref="A2240:A2249" ca="1" si="778">IF(AND(OFFSET(A2240, -I2240 + 2, 4) &gt;  0, E2240=""), F2240, "")</f>
        <v/>
      </c>
      <c r="B2240">
        <f t="shared" ref="B2240:B2254" si="779">B2239</f>
        <v>45</v>
      </c>
      <c r="C2240">
        <f t="shared" ca="1" si="771"/>
        <v>42</v>
      </c>
      <c r="D2240" t="str">
        <f t="shared" ref="D2240:D2254" si="780">ADDRESS(B2240, I2240,4  )</f>
        <v>C45</v>
      </c>
      <c r="E2240" t="str">
        <f t="shared" ref="E2240:E2254" ca="1" si="781">IF(ISBLANK( INDIRECT($F$1565 &amp; D2240)),"", INDIRECT($F$1565 &amp; D2240))</f>
        <v/>
      </c>
      <c r="F2240" t="str">
        <f t="shared" ref="F2240:F2254" ca="1" si="782">CONCATENATE("Enter a '"&amp; H2240 &amp;"' for  building ", C2240, " in cell ", D2240, ".", CHAR(10))</f>
        <v xml:space="preserve">Enter a 'Building Street Address Only 
(DO NOT ENTER CITY, STATE, OR ZIP)' for  building 42 in cell C45.
</v>
      </c>
      <c r="G2240" s="9" t="str">
        <f t="shared" ca="1" si="769"/>
        <v xml:space="preserve">Enter a value for 'Number of Floors in the Tallest Building' in cell B60.
</v>
      </c>
      <c r="H2240" s="52" t="str">
        <f t="shared" ref="H2240:H2254" ca="1" si="783">OFFSET(INDIRECT($F$1565 &amp; D2240), -B2240 + 3, 0)</f>
        <v>Building Street Address Only 
(DO NOT ENTER CITY, STATE, OR ZIP)</v>
      </c>
      <c r="I2240" s="52">
        <v>3</v>
      </c>
    </row>
    <row r="2241" spans="1:10" ht="15" customHeight="1">
      <c r="A2241" t="str">
        <f t="shared" ca="1" si="778"/>
        <v/>
      </c>
      <c r="B2241">
        <f t="shared" si="779"/>
        <v>45</v>
      </c>
      <c r="C2241">
        <f t="shared" ca="1" si="771"/>
        <v>42</v>
      </c>
      <c r="D2241" t="str">
        <f t="shared" si="780"/>
        <v>D45</v>
      </c>
      <c r="E2241" t="str">
        <f t="shared" ca="1" si="781"/>
        <v/>
      </c>
      <c r="F2241" t="str">
        <f t="shared" ca="1" si="782"/>
        <v xml:space="preserve">Enter a 'Total Units in Building*' for  building 42 in cell D45.
</v>
      </c>
      <c r="G2241" s="9" t="str">
        <f t="shared" ca="1" si="769"/>
        <v xml:space="preserve">Enter a value for 'Number of Floors in the Tallest Building' in cell B60.
</v>
      </c>
      <c r="H2241" s="52" t="str">
        <f t="shared" ca="1" si="783"/>
        <v>Total Units in Building*</v>
      </c>
      <c r="I2241" s="52">
        <v>4</v>
      </c>
    </row>
    <row r="2242" spans="1:10" ht="15" customHeight="1">
      <c r="A2242" t="str">
        <f t="shared" ca="1" si="778"/>
        <v/>
      </c>
      <c r="B2242">
        <f t="shared" si="779"/>
        <v>45</v>
      </c>
      <c r="C2242">
        <f t="shared" ca="1" si="771"/>
        <v>42</v>
      </c>
      <c r="D2242" t="str">
        <f t="shared" si="780"/>
        <v>E45</v>
      </c>
      <c r="E2242" t="str">
        <f t="shared" ca="1" si="781"/>
        <v/>
      </c>
      <c r="F2242" t="str">
        <f t="shared" ca="1" si="782"/>
        <v xml:space="preserve">Enter a 'Employee Units' for  building 42 in cell E45.
</v>
      </c>
      <c r="G2242" s="9" t="str">
        <f t="shared" ca="1" si="769"/>
        <v xml:space="preserve">Enter a value for 'Number of Floors in the Tallest Building' in cell B60.
</v>
      </c>
      <c r="H2242" s="52" t="str">
        <f t="shared" ca="1" si="783"/>
        <v>Employee Units</v>
      </c>
      <c r="I2242" s="52">
        <v>5</v>
      </c>
    </row>
    <row r="2243" spans="1:10" ht="15" customHeight="1">
      <c r="A2243" t="str">
        <f t="shared" ca="1" si="778"/>
        <v/>
      </c>
      <c r="B2243">
        <f t="shared" si="779"/>
        <v>45</v>
      </c>
      <c r="C2243">
        <f t="shared" ca="1" si="771"/>
        <v>42</v>
      </c>
      <c r="D2243" t="str">
        <f t="shared" si="780"/>
        <v>F45</v>
      </c>
      <c r="E2243" t="str">
        <f t="shared" ca="1" si="781"/>
        <v/>
      </c>
      <c r="F2243" t="str">
        <f t="shared" ca="1" si="782"/>
        <v xml:space="preserve">Enter a 'Low-Income Units' for  building 42 in cell F45.
</v>
      </c>
      <c r="G2243" s="9" t="str">
        <f t="shared" ca="1" si="769"/>
        <v xml:space="preserve">Enter a value for 'Number of Floors in the Tallest Building' in cell B60.
</v>
      </c>
      <c r="H2243" s="52" t="str">
        <f t="shared" ca="1" si="783"/>
        <v>Low-Income Units</v>
      </c>
      <c r="I2243" s="52">
        <v>6</v>
      </c>
    </row>
    <row r="2244" spans="1:10" ht="15" customHeight="1">
      <c r="A2244" t="str">
        <f t="shared" ca="1" si="778"/>
        <v/>
      </c>
      <c r="B2244">
        <f t="shared" si="779"/>
        <v>45</v>
      </c>
      <c r="C2244">
        <f t="shared" ca="1" si="771"/>
        <v>42</v>
      </c>
      <c r="D2244" t="str">
        <f t="shared" si="780"/>
        <v>G45</v>
      </c>
      <c r="E2244" t="str">
        <f t="shared" ca="1" si="781"/>
        <v/>
      </c>
      <c r="F2244" t="str">
        <f t="shared" ca="1" si="782"/>
        <v xml:space="preserve">Enter a 'Residential Square Footage**' for  building 42 in cell G45.
</v>
      </c>
      <c r="G2244" s="9" t="str">
        <f t="shared" ca="1" si="769"/>
        <v xml:space="preserve">Enter a value for 'Number of Floors in the Tallest Building' in cell B60.
</v>
      </c>
      <c r="H2244" s="52" t="str">
        <f t="shared" ca="1" si="783"/>
        <v>Residential Square Footage**</v>
      </c>
      <c r="I2244" s="52">
        <v>7</v>
      </c>
    </row>
    <row r="2245" spans="1:10" ht="15" customHeight="1">
      <c r="A2245" t="str">
        <f t="shared" ca="1" si="778"/>
        <v/>
      </c>
      <c r="B2245">
        <f t="shared" si="779"/>
        <v>45</v>
      </c>
      <c r="C2245">
        <f t="shared" ca="1" si="771"/>
        <v>42</v>
      </c>
      <c r="D2245" t="str">
        <f t="shared" si="780"/>
        <v>H45</v>
      </c>
      <c r="E2245" t="str">
        <f t="shared" ca="1" si="781"/>
        <v/>
      </c>
      <c r="F2245" t="str">
        <f t="shared" ca="1" si="782"/>
        <v xml:space="preserve">Enter a 'Square Footage of Employee Units' for  building 42 in cell H45.
</v>
      </c>
      <c r="G2245" s="9" t="str">
        <f t="shared" ca="1" si="769"/>
        <v xml:space="preserve">Enter a value for 'Number of Floors in the Tallest Building' in cell B60.
</v>
      </c>
      <c r="H2245" s="52" t="str">
        <f t="shared" ca="1" si="783"/>
        <v>Square Footage of Employee Units</v>
      </c>
      <c r="I2245" s="52">
        <v>8</v>
      </c>
    </row>
    <row r="2246" spans="1:10" ht="15" customHeight="1">
      <c r="A2246" t="str">
        <f t="shared" ca="1" si="778"/>
        <v/>
      </c>
      <c r="B2246">
        <f t="shared" si="779"/>
        <v>45</v>
      </c>
      <c r="C2246">
        <f t="shared" ca="1" si="771"/>
        <v>42</v>
      </c>
      <c r="D2246" t="str">
        <f t="shared" si="780"/>
        <v>I45</v>
      </c>
      <c r="E2246" t="str">
        <f t="shared" ca="1" si="781"/>
        <v/>
      </c>
      <c r="F2246" t="str">
        <f t="shared" ca="1" si="782"/>
        <v xml:space="preserve">Enter a 'Square Footage of Low-Income Units' for  building 42 in cell I45.
</v>
      </c>
      <c r="G2246" s="9" t="str">
        <f t="shared" ca="1" si="769"/>
        <v xml:space="preserve">Enter a value for 'Number of Floors in the Tallest Building' in cell B60.
</v>
      </c>
      <c r="H2246" s="52" t="str">
        <f t="shared" ca="1" si="783"/>
        <v>Square Footage of Low-Income Units</v>
      </c>
      <c r="I2246" s="52">
        <v>9</v>
      </c>
    </row>
    <row r="2247" spans="1:10" ht="15" customHeight="1">
      <c r="A2247" t="str">
        <f t="shared" ca="1" si="778"/>
        <v/>
      </c>
      <c r="B2247">
        <f t="shared" si="779"/>
        <v>45</v>
      </c>
      <c r="C2247">
        <f t="shared" ca="1" si="771"/>
        <v>42</v>
      </c>
      <c r="D2247" t="str">
        <f t="shared" si="780"/>
        <v>J45</v>
      </c>
      <c r="E2247" t="str">
        <f t="shared" ca="1" si="781"/>
        <v/>
      </c>
      <c r="F2247" t="str">
        <f t="shared" ca="1" si="782"/>
        <v xml:space="preserve">Enter a 'Placed-In-Service Date' for  building 42 in cell J45.
</v>
      </c>
      <c r="G2247" s="9" t="str">
        <f t="shared" ca="1" si="769"/>
        <v xml:space="preserve">Enter a value for 'Number of Floors in the Tallest Building' in cell B60.
</v>
      </c>
      <c r="H2247" s="52" t="str">
        <f t="shared" ca="1" si="783"/>
        <v>Placed-In-Service Date</v>
      </c>
      <c r="I2247" s="52">
        <v>10</v>
      </c>
    </row>
    <row r="2248" spans="1:10" ht="15" customHeight="1">
      <c r="A2248" t="str">
        <f t="shared" ca="1" si="778"/>
        <v/>
      </c>
      <c r="B2248">
        <f t="shared" si="779"/>
        <v>45</v>
      </c>
      <c r="C2248">
        <f t="shared" ca="1" si="771"/>
        <v>42</v>
      </c>
      <c r="D2248" t="str">
        <f t="shared" si="780"/>
        <v>K45</v>
      </c>
      <c r="E2248" t="str">
        <f t="shared" ca="1" si="781"/>
        <v/>
      </c>
      <c r="F2248" t="str">
        <f t="shared" ca="1" si="782"/>
        <v xml:space="preserve">Enter a 'New Construction/ Rehab APR' for  building 42 in cell K45.
</v>
      </c>
      <c r="G2248" s="9" t="str">
        <f t="shared" ca="1" si="769"/>
        <v xml:space="preserve">Enter a value for 'Number of Floors in the Tallest Building' in cell B60.
</v>
      </c>
      <c r="H2248" s="52" t="str">
        <f t="shared" ca="1" si="783"/>
        <v>New Construction/ Rehab APR</v>
      </c>
      <c r="I2248" s="52">
        <v>11</v>
      </c>
    </row>
    <row r="2249" spans="1:10" ht="15" customHeight="1">
      <c r="A2249" t="str">
        <f t="shared" ca="1" si="778"/>
        <v/>
      </c>
      <c r="B2249">
        <f t="shared" si="779"/>
        <v>45</v>
      </c>
      <c r="C2249">
        <f t="shared" ca="1" si="771"/>
        <v>42</v>
      </c>
      <c r="D2249" t="str">
        <f t="shared" si="780"/>
        <v>L45</v>
      </c>
      <c r="E2249" t="str">
        <f t="shared" ca="1" si="781"/>
        <v/>
      </c>
      <c r="F2249" t="str">
        <f t="shared" ca="1" si="782"/>
        <v xml:space="preserve">Enter a 'New Construction Eligible Basis' for  building 42 in cell L45.
</v>
      </c>
      <c r="G2249" s="9" t="str">
        <f t="shared" ca="1" si="769"/>
        <v xml:space="preserve">Enter a value for 'Number of Floors in the Tallest Building' in cell B60.
</v>
      </c>
      <c r="H2249" s="52" t="str">
        <f t="shared" ca="1" si="783"/>
        <v>New Construction Eligible Basis</v>
      </c>
      <c r="I2249" s="52">
        <v>12</v>
      </c>
    </row>
    <row r="2250" spans="1:10" ht="15" customHeight="1">
      <c r="A2250" t="str">
        <f ca="1">IF(AND(OFFSET(A2250, -I2250 + 2, 4) &gt;  0, E2250="", Calculations!$B$7), F2250, "")</f>
        <v/>
      </c>
      <c r="B2250">
        <f t="shared" si="779"/>
        <v>45</v>
      </c>
      <c r="C2250">
        <f t="shared" ca="1" si="771"/>
        <v>42</v>
      </c>
      <c r="D2250" t="str">
        <f t="shared" si="780"/>
        <v>M45</v>
      </c>
      <c r="E2250" t="str">
        <f t="shared" ca="1" si="781"/>
        <v/>
      </c>
      <c r="F2250" t="str">
        <f t="shared" ca="1" si="782"/>
        <v xml:space="preserve">Enter a 'Eligible Basis for Rehab' for  building 42 in cell M45.
</v>
      </c>
      <c r="G2250" s="9" t="str">
        <f t="shared" ca="1" si="769"/>
        <v xml:space="preserve">Enter a value for 'Number of Floors in the Tallest Building' in cell B60.
</v>
      </c>
      <c r="H2250" s="52" t="str">
        <f t="shared" ca="1" si="783"/>
        <v>Eligible Basis for Rehab</v>
      </c>
      <c r="I2250" s="52">
        <v>13</v>
      </c>
    </row>
    <row r="2251" spans="1:10" ht="15" customHeight="1">
      <c r="A2251" t="str">
        <f ca="1">IF(AND(OFFSET(A2251, -I2251 + 2, 4) &gt;  0, E2251="", Calculations!$B$7), F2251, "")</f>
        <v/>
      </c>
      <c r="B2251">
        <f t="shared" si="779"/>
        <v>45</v>
      </c>
      <c r="C2251">
        <f t="shared" ca="1" si="771"/>
        <v>42</v>
      </c>
      <c r="D2251" t="str">
        <f t="shared" si="780"/>
        <v>N45</v>
      </c>
      <c r="E2251" t="str">
        <f t="shared" ca="1" si="781"/>
        <v/>
      </c>
      <c r="F2251" t="str">
        <f t="shared" ca="1" si="782"/>
        <v xml:space="preserve">Enter a 'Cost of Acquiring the Building***' for  building 42 in cell N45.
</v>
      </c>
      <c r="G2251" s="9" t="str">
        <f t="shared" ca="1" si="769"/>
        <v xml:space="preserve">Enter a value for 'Number of Floors in the Tallest Building' in cell B60.
</v>
      </c>
      <c r="H2251" s="52" t="str">
        <f t="shared" ca="1" si="783"/>
        <v>Cost of Acquiring the Building***</v>
      </c>
      <c r="I2251" s="52">
        <v>14</v>
      </c>
    </row>
    <row r="2252" spans="1:10" ht="15" customHeight="1">
      <c r="A2252" t="str">
        <f ca="1">IF(AND(OFFSET(A2252, -I2252 + 2, 4) &gt;  0, E2252="", Calculations!$B$7), F2252, "")</f>
        <v/>
      </c>
      <c r="B2252">
        <f t="shared" si="779"/>
        <v>45</v>
      </c>
      <c r="C2252">
        <f t="shared" ca="1" si="771"/>
        <v>42</v>
      </c>
      <c r="D2252" t="str">
        <f t="shared" si="780"/>
        <v>O45</v>
      </c>
      <c r="E2252" t="str">
        <f t="shared" ca="1" si="781"/>
        <v/>
      </c>
      <c r="F2252" t="str">
        <f t="shared" ca="1" si="782"/>
        <v xml:space="preserve">Enter a 'Higher of Land Purchase Price or Land Appraised Value****' for  building 42 in cell O45.
</v>
      </c>
      <c r="G2252" s="9" t="str">
        <f t="shared" ca="1" si="769"/>
        <v xml:space="preserve">Enter a value for 'Number of Floors in the Tallest Building' in cell B60.
</v>
      </c>
      <c r="H2252" s="52" t="str">
        <f t="shared" ca="1" si="783"/>
        <v>Higher of Land Purchase Price or Land Appraised Value****</v>
      </c>
      <c r="I2252" s="52">
        <v>15</v>
      </c>
    </row>
    <row r="2253" spans="1:10" ht="15" customHeight="1">
      <c r="A2253" t="str">
        <f ca="1">IF(AND(OFFSET(A2253, -I2253 + 2, 4) &gt;  0, E2253="", Calculations!$B$7), F2253, "")</f>
        <v/>
      </c>
      <c r="B2253">
        <f t="shared" si="779"/>
        <v>45</v>
      </c>
      <c r="C2253">
        <f t="shared" ca="1" si="771"/>
        <v>42</v>
      </c>
      <c r="D2253" t="str">
        <f t="shared" si="780"/>
        <v>P45</v>
      </c>
      <c r="E2253" t="str">
        <f t="shared" ca="1" si="781"/>
        <v/>
      </c>
      <c r="F2253" t="str">
        <f t="shared" ca="1" si="782"/>
        <v xml:space="preserve">Enter a 'Acquisition Placed-in-Service Date' for  building 42 in cell P45.
</v>
      </c>
      <c r="G2253" s="9" t="str">
        <f t="shared" ca="1" si="769"/>
        <v xml:space="preserve">Enter a value for 'Number of Floors in the Tallest Building' in cell B60.
</v>
      </c>
      <c r="H2253" s="52" t="str">
        <f t="shared" ca="1" si="783"/>
        <v>Acquisition Placed-in-Service Date</v>
      </c>
      <c r="I2253" s="52">
        <v>16</v>
      </c>
    </row>
    <row r="2254" spans="1:10" ht="15" customHeight="1">
      <c r="A2254" t="str">
        <f ca="1">IF(AND(OFFSET(A2254, -I2254 + 2, 4) &gt;  0, E2254="", Calculations!$B$7), F2254, "")</f>
        <v/>
      </c>
      <c r="B2254">
        <f t="shared" si="779"/>
        <v>45</v>
      </c>
      <c r="C2254">
        <f t="shared" ca="1" si="771"/>
        <v>42</v>
      </c>
      <c r="D2254" t="str">
        <f t="shared" si="780"/>
        <v>Q45</v>
      </c>
      <c r="E2254" t="str">
        <f t="shared" ca="1" si="781"/>
        <v/>
      </c>
      <c r="F2254" t="str">
        <f t="shared" ca="1" si="782"/>
        <v xml:space="preserve">Enter a 'Acquisition APR' for  building 42 in cell Q45.
</v>
      </c>
      <c r="G2254" s="9" t="str">
        <f t="shared" ca="1" si="769"/>
        <v xml:space="preserve">Enter a value for 'Number of Floors in the Tallest Building' in cell B60.
</v>
      </c>
      <c r="H2254" s="52" t="str">
        <f t="shared" ca="1" si="783"/>
        <v>Acquisition APR</v>
      </c>
      <c r="I2254" s="52">
        <v>17</v>
      </c>
    </row>
    <row r="2255" spans="1:10" ht="15" customHeight="1">
      <c r="A2255" t="str">
        <f ca="1">IF(AND(Calculations!$B$4,Calculations!$B$29&gt;=C2255, E2255 &lt;&gt; 13),F2255,"")</f>
        <v/>
      </c>
      <c r="B2255">
        <f>ROW('Final Building Profile'!C46)</f>
        <v>46</v>
      </c>
      <c r="C2255">
        <f t="shared" ca="1" si="771"/>
        <v>43</v>
      </c>
      <c r="D2255" t="str">
        <f>ADDRESS(B2255, 3,4  )</f>
        <v>C46</v>
      </c>
      <c r="E2255" s="52">
        <f ca="1">H2255+I2255</f>
        <v>0</v>
      </c>
      <c r="F2255" t="str">
        <f ca="1">CONCATENATE("Based upon the number of buildings specified, information for  building ", C2255, " required for a final application in row ", B2255, ".", CHAR(10))</f>
        <v xml:space="preserve">Based upon the number of buildings specified, information for  building 43 required for a final application in row 46.
</v>
      </c>
      <c r="G2255" s="9" t="str">
        <f t="shared" ca="1" si="769"/>
        <v xml:space="preserve">Enter a value for 'Number of Floors in the Tallest Building' in cell B60.
</v>
      </c>
      <c r="H2255" s="52">
        <f ca="1">SUMPRODUCT(--ISTEXT(INDIRECT(J2255)))</f>
        <v>0</v>
      </c>
      <c r="I2255" s="52">
        <f ca="1">SUMPRODUCT(--ISNUMBER(INDIRECT(J2255)))</f>
        <v>0</v>
      </c>
      <c r="J2255" s="52" t="str">
        <f>$F$1565&amp; ADDRESS(B2255,3,4) &amp; ":" &amp; ADDRESS(B2255,15,4)</f>
        <v>'Final Building Profile'!C46:O46</v>
      </c>
    </row>
    <row r="2256" spans="1:10" ht="15" customHeight="1">
      <c r="A2256" t="str">
        <f t="shared" ref="A2256:A2265" ca="1" si="784">IF(AND(OFFSET(A2256, -I2256 + 2, 4) &gt;  0, E2256=""), F2256, "")</f>
        <v/>
      </c>
      <c r="B2256">
        <f t="shared" ref="B2256:B2270" si="785">B2255</f>
        <v>46</v>
      </c>
      <c r="C2256">
        <f t="shared" ca="1" si="771"/>
        <v>43</v>
      </c>
      <c r="D2256" t="str">
        <f t="shared" ref="D2256:D2270" si="786">ADDRESS(B2256, I2256,4  )</f>
        <v>C46</v>
      </c>
      <c r="E2256" t="str">
        <f t="shared" ref="E2256:E2270" ca="1" si="787">IF(ISBLANK( INDIRECT($F$1565 &amp; D2256)),"", INDIRECT($F$1565 &amp; D2256))</f>
        <v/>
      </c>
      <c r="F2256" t="str">
        <f t="shared" ref="F2256:F2270" ca="1" si="788">CONCATENATE("Enter a '"&amp; H2256 &amp;"' for  building ", C2256, " in cell ", D2256, ".", CHAR(10))</f>
        <v xml:space="preserve">Enter a 'Building Street Address Only 
(DO NOT ENTER CITY, STATE, OR ZIP)' for  building 43 in cell C46.
</v>
      </c>
      <c r="G2256" s="9" t="str">
        <f t="shared" ca="1" si="769"/>
        <v xml:space="preserve">Enter a value for 'Number of Floors in the Tallest Building' in cell B60.
</v>
      </c>
      <c r="H2256" s="52" t="str">
        <f t="shared" ref="H2256:H2270" ca="1" si="789">OFFSET(INDIRECT($F$1565 &amp; D2256), -B2256 + 3, 0)</f>
        <v>Building Street Address Only 
(DO NOT ENTER CITY, STATE, OR ZIP)</v>
      </c>
      <c r="I2256" s="52">
        <v>3</v>
      </c>
    </row>
    <row r="2257" spans="1:10" ht="15" customHeight="1">
      <c r="A2257" t="str">
        <f t="shared" ca="1" si="784"/>
        <v/>
      </c>
      <c r="B2257">
        <f t="shared" si="785"/>
        <v>46</v>
      </c>
      <c r="C2257">
        <f t="shared" ca="1" si="771"/>
        <v>43</v>
      </c>
      <c r="D2257" t="str">
        <f t="shared" si="786"/>
        <v>D46</v>
      </c>
      <c r="E2257" t="str">
        <f t="shared" ca="1" si="787"/>
        <v/>
      </c>
      <c r="F2257" t="str">
        <f t="shared" ca="1" si="788"/>
        <v xml:space="preserve">Enter a 'Total Units in Building*' for  building 43 in cell D46.
</v>
      </c>
      <c r="G2257" s="9" t="str">
        <f t="shared" ca="1" si="769"/>
        <v xml:space="preserve">Enter a value for 'Number of Floors in the Tallest Building' in cell B60.
</v>
      </c>
      <c r="H2257" s="52" t="str">
        <f t="shared" ca="1" si="789"/>
        <v>Total Units in Building*</v>
      </c>
      <c r="I2257" s="52">
        <v>4</v>
      </c>
    </row>
    <row r="2258" spans="1:10" ht="15" customHeight="1">
      <c r="A2258" t="str">
        <f t="shared" ca="1" si="784"/>
        <v/>
      </c>
      <c r="B2258">
        <f t="shared" si="785"/>
        <v>46</v>
      </c>
      <c r="C2258">
        <f t="shared" ca="1" si="771"/>
        <v>43</v>
      </c>
      <c r="D2258" t="str">
        <f t="shared" si="786"/>
        <v>E46</v>
      </c>
      <c r="E2258" t="str">
        <f t="shared" ca="1" si="787"/>
        <v/>
      </c>
      <c r="F2258" t="str">
        <f t="shared" ca="1" si="788"/>
        <v xml:space="preserve">Enter a 'Employee Units' for  building 43 in cell E46.
</v>
      </c>
      <c r="G2258" s="9" t="str">
        <f t="shared" ca="1" si="769"/>
        <v xml:space="preserve">Enter a value for 'Number of Floors in the Tallest Building' in cell B60.
</v>
      </c>
      <c r="H2258" s="52" t="str">
        <f t="shared" ca="1" si="789"/>
        <v>Employee Units</v>
      </c>
      <c r="I2258" s="52">
        <v>5</v>
      </c>
    </row>
    <row r="2259" spans="1:10" ht="15" customHeight="1">
      <c r="A2259" t="str">
        <f t="shared" ca="1" si="784"/>
        <v/>
      </c>
      <c r="B2259">
        <f t="shared" si="785"/>
        <v>46</v>
      </c>
      <c r="C2259">
        <f t="shared" ca="1" si="771"/>
        <v>43</v>
      </c>
      <c r="D2259" t="str">
        <f t="shared" si="786"/>
        <v>F46</v>
      </c>
      <c r="E2259" t="str">
        <f t="shared" ca="1" si="787"/>
        <v/>
      </c>
      <c r="F2259" t="str">
        <f t="shared" ca="1" si="788"/>
        <v xml:space="preserve">Enter a 'Low-Income Units' for  building 43 in cell F46.
</v>
      </c>
      <c r="G2259" s="9" t="str">
        <f t="shared" ca="1" si="769"/>
        <v xml:space="preserve">Enter a value for 'Number of Floors in the Tallest Building' in cell B60.
</v>
      </c>
      <c r="H2259" s="52" t="str">
        <f t="shared" ca="1" si="789"/>
        <v>Low-Income Units</v>
      </c>
      <c r="I2259" s="52">
        <v>6</v>
      </c>
    </row>
    <row r="2260" spans="1:10" ht="15" customHeight="1">
      <c r="A2260" t="str">
        <f t="shared" ca="1" si="784"/>
        <v/>
      </c>
      <c r="B2260">
        <f t="shared" si="785"/>
        <v>46</v>
      </c>
      <c r="C2260">
        <f t="shared" ca="1" si="771"/>
        <v>43</v>
      </c>
      <c r="D2260" t="str">
        <f t="shared" si="786"/>
        <v>G46</v>
      </c>
      <c r="E2260" t="str">
        <f t="shared" ca="1" si="787"/>
        <v/>
      </c>
      <c r="F2260" t="str">
        <f t="shared" ca="1" si="788"/>
        <v xml:space="preserve">Enter a 'Residential Square Footage**' for  building 43 in cell G46.
</v>
      </c>
      <c r="G2260" s="9" t="str">
        <f t="shared" ca="1" si="769"/>
        <v xml:space="preserve">Enter a value for 'Number of Floors in the Tallest Building' in cell B60.
</v>
      </c>
      <c r="H2260" s="52" t="str">
        <f t="shared" ca="1" si="789"/>
        <v>Residential Square Footage**</v>
      </c>
      <c r="I2260" s="52">
        <v>7</v>
      </c>
    </row>
    <row r="2261" spans="1:10" ht="15" customHeight="1">
      <c r="A2261" t="str">
        <f t="shared" ca="1" si="784"/>
        <v/>
      </c>
      <c r="B2261">
        <f t="shared" si="785"/>
        <v>46</v>
      </c>
      <c r="C2261">
        <f t="shared" ca="1" si="771"/>
        <v>43</v>
      </c>
      <c r="D2261" t="str">
        <f t="shared" si="786"/>
        <v>H46</v>
      </c>
      <c r="E2261" t="str">
        <f t="shared" ca="1" si="787"/>
        <v/>
      </c>
      <c r="F2261" t="str">
        <f t="shared" ca="1" si="788"/>
        <v xml:space="preserve">Enter a 'Square Footage of Employee Units' for  building 43 in cell H46.
</v>
      </c>
      <c r="G2261" s="9" t="str">
        <f t="shared" ca="1" si="769"/>
        <v xml:space="preserve">Enter a value for 'Number of Floors in the Tallest Building' in cell B60.
</v>
      </c>
      <c r="H2261" s="52" t="str">
        <f t="shared" ca="1" si="789"/>
        <v>Square Footage of Employee Units</v>
      </c>
      <c r="I2261" s="52">
        <v>8</v>
      </c>
    </row>
    <row r="2262" spans="1:10" ht="15" customHeight="1">
      <c r="A2262" t="str">
        <f t="shared" ca="1" si="784"/>
        <v/>
      </c>
      <c r="B2262">
        <f t="shared" si="785"/>
        <v>46</v>
      </c>
      <c r="C2262">
        <f t="shared" ca="1" si="771"/>
        <v>43</v>
      </c>
      <c r="D2262" t="str">
        <f t="shared" si="786"/>
        <v>I46</v>
      </c>
      <c r="E2262" t="str">
        <f t="shared" ca="1" si="787"/>
        <v/>
      </c>
      <c r="F2262" t="str">
        <f t="shared" ca="1" si="788"/>
        <v xml:space="preserve">Enter a 'Square Footage of Low-Income Units' for  building 43 in cell I46.
</v>
      </c>
      <c r="G2262" s="9" t="str">
        <f t="shared" ca="1" si="769"/>
        <v xml:space="preserve">Enter a value for 'Number of Floors in the Tallest Building' in cell B60.
</v>
      </c>
      <c r="H2262" s="52" t="str">
        <f t="shared" ca="1" si="789"/>
        <v>Square Footage of Low-Income Units</v>
      </c>
      <c r="I2262" s="52">
        <v>9</v>
      </c>
    </row>
    <row r="2263" spans="1:10" ht="15" customHeight="1">
      <c r="A2263" t="str">
        <f t="shared" ca="1" si="784"/>
        <v/>
      </c>
      <c r="B2263">
        <f t="shared" si="785"/>
        <v>46</v>
      </c>
      <c r="C2263">
        <f t="shared" ca="1" si="771"/>
        <v>43</v>
      </c>
      <c r="D2263" t="str">
        <f t="shared" si="786"/>
        <v>J46</v>
      </c>
      <c r="E2263" t="str">
        <f t="shared" ca="1" si="787"/>
        <v/>
      </c>
      <c r="F2263" t="str">
        <f t="shared" ca="1" si="788"/>
        <v xml:space="preserve">Enter a 'Placed-In-Service Date' for  building 43 in cell J46.
</v>
      </c>
      <c r="G2263" s="9" t="str">
        <f t="shared" ca="1" si="769"/>
        <v xml:space="preserve">Enter a value for 'Number of Floors in the Tallest Building' in cell B60.
</v>
      </c>
      <c r="H2263" s="52" t="str">
        <f t="shared" ca="1" si="789"/>
        <v>Placed-In-Service Date</v>
      </c>
      <c r="I2263" s="52">
        <v>10</v>
      </c>
    </row>
    <row r="2264" spans="1:10" ht="15" customHeight="1">
      <c r="A2264" t="str">
        <f t="shared" ca="1" si="784"/>
        <v/>
      </c>
      <c r="B2264">
        <f t="shared" si="785"/>
        <v>46</v>
      </c>
      <c r="C2264">
        <f t="shared" ca="1" si="771"/>
        <v>43</v>
      </c>
      <c r="D2264" t="str">
        <f t="shared" si="786"/>
        <v>K46</v>
      </c>
      <c r="E2264" t="str">
        <f t="shared" ca="1" si="787"/>
        <v/>
      </c>
      <c r="F2264" t="str">
        <f t="shared" ca="1" si="788"/>
        <v xml:space="preserve">Enter a 'New Construction/ Rehab APR' for  building 43 in cell K46.
</v>
      </c>
      <c r="G2264" s="9" t="str">
        <f t="shared" ca="1" si="769"/>
        <v xml:space="preserve">Enter a value for 'Number of Floors in the Tallest Building' in cell B60.
</v>
      </c>
      <c r="H2264" s="52" t="str">
        <f t="shared" ca="1" si="789"/>
        <v>New Construction/ Rehab APR</v>
      </c>
      <c r="I2264" s="52">
        <v>11</v>
      </c>
    </row>
    <row r="2265" spans="1:10" ht="15" customHeight="1">
      <c r="A2265" t="str">
        <f t="shared" ca="1" si="784"/>
        <v/>
      </c>
      <c r="B2265">
        <f t="shared" si="785"/>
        <v>46</v>
      </c>
      <c r="C2265">
        <f t="shared" ca="1" si="771"/>
        <v>43</v>
      </c>
      <c r="D2265" t="str">
        <f t="shared" si="786"/>
        <v>L46</v>
      </c>
      <c r="E2265" t="str">
        <f t="shared" ca="1" si="787"/>
        <v/>
      </c>
      <c r="F2265" t="str">
        <f t="shared" ca="1" si="788"/>
        <v xml:space="preserve">Enter a 'New Construction Eligible Basis' for  building 43 in cell L46.
</v>
      </c>
      <c r="G2265" s="9" t="str">
        <f t="shared" ca="1" si="769"/>
        <v xml:space="preserve">Enter a value for 'Number of Floors in the Tallest Building' in cell B60.
</v>
      </c>
      <c r="H2265" s="52" t="str">
        <f t="shared" ca="1" si="789"/>
        <v>New Construction Eligible Basis</v>
      </c>
      <c r="I2265" s="52">
        <v>12</v>
      </c>
    </row>
    <row r="2266" spans="1:10" ht="15" customHeight="1">
      <c r="A2266" t="str">
        <f ca="1">IF(AND(OFFSET(A2266, -I2266 + 2, 4) &gt;  0, E2266="", Calculations!$B$7), F2266, "")</f>
        <v/>
      </c>
      <c r="B2266">
        <f t="shared" si="785"/>
        <v>46</v>
      </c>
      <c r="C2266">
        <f t="shared" ca="1" si="771"/>
        <v>43</v>
      </c>
      <c r="D2266" t="str">
        <f t="shared" si="786"/>
        <v>M46</v>
      </c>
      <c r="E2266" t="str">
        <f t="shared" ca="1" si="787"/>
        <v/>
      </c>
      <c r="F2266" t="str">
        <f t="shared" ca="1" si="788"/>
        <v xml:space="preserve">Enter a 'Eligible Basis for Rehab' for  building 43 in cell M46.
</v>
      </c>
      <c r="G2266" s="9" t="str">
        <f t="shared" ca="1" si="769"/>
        <v xml:space="preserve">Enter a value for 'Number of Floors in the Tallest Building' in cell B60.
</v>
      </c>
      <c r="H2266" s="52" t="str">
        <f t="shared" ca="1" si="789"/>
        <v>Eligible Basis for Rehab</v>
      </c>
      <c r="I2266" s="52">
        <v>13</v>
      </c>
    </row>
    <row r="2267" spans="1:10" ht="15" customHeight="1">
      <c r="A2267" t="str">
        <f ca="1">IF(AND(OFFSET(A2267, -I2267 + 2, 4) &gt;  0, E2267="", Calculations!$B$7), F2267, "")</f>
        <v/>
      </c>
      <c r="B2267">
        <f t="shared" si="785"/>
        <v>46</v>
      </c>
      <c r="C2267">
        <f t="shared" ca="1" si="771"/>
        <v>43</v>
      </c>
      <c r="D2267" t="str">
        <f t="shared" si="786"/>
        <v>N46</v>
      </c>
      <c r="E2267" t="str">
        <f t="shared" ca="1" si="787"/>
        <v/>
      </c>
      <c r="F2267" t="str">
        <f t="shared" ca="1" si="788"/>
        <v xml:space="preserve">Enter a 'Cost of Acquiring the Building***' for  building 43 in cell N46.
</v>
      </c>
      <c r="G2267" s="9" t="str">
        <f t="shared" ca="1" si="769"/>
        <v xml:space="preserve">Enter a value for 'Number of Floors in the Tallest Building' in cell B60.
</v>
      </c>
      <c r="H2267" s="52" t="str">
        <f t="shared" ca="1" si="789"/>
        <v>Cost of Acquiring the Building***</v>
      </c>
      <c r="I2267" s="52">
        <v>14</v>
      </c>
    </row>
    <row r="2268" spans="1:10" ht="15" customHeight="1">
      <c r="A2268" t="str">
        <f ca="1">IF(AND(OFFSET(A2268, -I2268 + 2, 4) &gt;  0, E2268="", Calculations!$B$7), F2268, "")</f>
        <v/>
      </c>
      <c r="B2268">
        <f t="shared" si="785"/>
        <v>46</v>
      </c>
      <c r="C2268">
        <f t="shared" ca="1" si="771"/>
        <v>43</v>
      </c>
      <c r="D2268" t="str">
        <f t="shared" si="786"/>
        <v>O46</v>
      </c>
      <c r="E2268" t="str">
        <f t="shared" ca="1" si="787"/>
        <v/>
      </c>
      <c r="F2268" t="str">
        <f t="shared" ca="1" si="788"/>
        <v xml:space="preserve">Enter a 'Higher of Land Purchase Price or Land Appraised Value****' for  building 43 in cell O46.
</v>
      </c>
      <c r="G2268" s="9" t="str">
        <f t="shared" ca="1" si="769"/>
        <v xml:space="preserve">Enter a value for 'Number of Floors in the Tallest Building' in cell B60.
</v>
      </c>
      <c r="H2268" s="52" t="str">
        <f t="shared" ca="1" si="789"/>
        <v>Higher of Land Purchase Price or Land Appraised Value****</v>
      </c>
      <c r="I2268" s="52">
        <v>15</v>
      </c>
    </row>
    <row r="2269" spans="1:10" ht="15" customHeight="1">
      <c r="A2269" t="str">
        <f ca="1">IF(AND(OFFSET(A2269, -I2269 + 2, 4) &gt;  0, E2269="", Calculations!$B$7), F2269, "")</f>
        <v/>
      </c>
      <c r="B2269">
        <f t="shared" si="785"/>
        <v>46</v>
      </c>
      <c r="C2269">
        <f t="shared" ca="1" si="771"/>
        <v>43</v>
      </c>
      <c r="D2269" t="str">
        <f t="shared" si="786"/>
        <v>P46</v>
      </c>
      <c r="E2269" t="str">
        <f t="shared" ca="1" si="787"/>
        <v/>
      </c>
      <c r="F2269" t="str">
        <f t="shared" ca="1" si="788"/>
        <v xml:space="preserve">Enter a 'Acquisition Placed-in-Service Date' for  building 43 in cell P46.
</v>
      </c>
      <c r="G2269" s="9" t="str">
        <f t="shared" ca="1" si="769"/>
        <v xml:space="preserve">Enter a value for 'Number of Floors in the Tallest Building' in cell B60.
</v>
      </c>
      <c r="H2269" s="52" t="str">
        <f t="shared" ca="1" si="789"/>
        <v>Acquisition Placed-in-Service Date</v>
      </c>
      <c r="I2269" s="52">
        <v>16</v>
      </c>
    </row>
    <row r="2270" spans="1:10" ht="15" customHeight="1">
      <c r="A2270" t="str">
        <f ca="1">IF(AND(OFFSET(A2270, -I2270 + 2, 4) &gt;  0, E2270="", Calculations!$B$7), F2270, "")</f>
        <v/>
      </c>
      <c r="B2270">
        <f t="shared" si="785"/>
        <v>46</v>
      </c>
      <c r="C2270">
        <f t="shared" ca="1" si="771"/>
        <v>43</v>
      </c>
      <c r="D2270" t="str">
        <f t="shared" si="786"/>
        <v>Q46</v>
      </c>
      <c r="E2270" t="str">
        <f t="shared" ca="1" si="787"/>
        <v/>
      </c>
      <c r="F2270" t="str">
        <f t="shared" ca="1" si="788"/>
        <v xml:space="preserve">Enter a 'Acquisition APR' for  building 43 in cell Q46.
</v>
      </c>
      <c r="G2270" s="9" t="str">
        <f t="shared" ca="1" si="769"/>
        <v xml:space="preserve">Enter a value for 'Number of Floors in the Tallest Building' in cell B60.
</v>
      </c>
      <c r="H2270" s="52" t="str">
        <f t="shared" ca="1" si="789"/>
        <v>Acquisition APR</v>
      </c>
      <c r="I2270" s="52">
        <v>17</v>
      </c>
    </row>
    <row r="2271" spans="1:10" ht="15" customHeight="1">
      <c r="A2271" t="str">
        <f ca="1">IF(AND(Calculations!$B$4,Calculations!$B$29&gt;=C2271, E2271 &lt;&gt; 13),F2271,"")</f>
        <v/>
      </c>
      <c r="B2271">
        <f>ROW('Final Building Profile'!C47)</f>
        <v>47</v>
      </c>
      <c r="C2271">
        <f t="shared" ca="1" si="771"/>
        <v>44</v>
      </c>
      <c r="D2271" t="str">
        <f>ADDRESS(B2271, 3,4  )</f>
        <v>C47</v>
      </c>
      <c r="E2271" s="52">
        <f ca="1">H2271+I2271</f>
        <v>0</v>
      </c>
      <c r="F2271" t="str">
        <f ca="1">CONCATENATE("Based upon the number of buildings specified, information for  building ", C2271, " required for a final application in row ", B2271, ".", CHAR(10))</f>
        <v xml:space="preserve">Based upon the number of buildings specified, information for  building 44 required for a final application in row 47.
</v>
      </c>
      <c r="G2271" s="9" t="str">
        <f t="shared" ca="1" si="769"/>
        <v xml:space="preserve">Enter a value for 'Number of Floors in the Tallest Building' in cell B60.
</v>
      </c>
      <c r="H2271" s="52">
        <f ca="1">SUMPRODUCT(--ISTEXT(INDIRECT(J2271)))</f>
        <v>0</v>
      </c>
      <c r="I2271" s="52">
        <f ca="1">SUMPRODUCT(--ISNUMBER(INDIRECT(J2271)))</f>
        <v>0</v>
      </c>
      <c r="J2271" s="52" t="str">
        <f>$F$1565&amp; ADDRESS(B2271,3,4) &amp; ":" &amp; ADDRESS(B2271,15,4)</f>
        <v>'Final Building Profile'!C47:O47</v>
      </c>
    </row>
    <row r="2272" spans="1:10" ht="15" customHeight="1">
      <c r="A2272" t="str">
        <f t="shared" ref="A2272:A2281" ca="1" si="790">IF(AND(OFFSET(A2272, -I2272 + 2, 4) &gt;  0, E2272=""), F2272, "")</f>
        <v/>
      </c>
      <c r="B2272">
        <f t="shared" ref="B2272:B2286" si="791">B2271</f>
        <v>47</v>
      </c>
      <c r="C2272">
        <f t="shared" ca="1" si="771"/>
        <v>44</v>
      </c>
      <c r="D2272" t="str">
        <f t="shared" ref="D2272:D2286" si="792">ADDRESS(B2272, I2272,4  )</f>
        <v>C47</v>
      </c>
      <c r="E2272" t="str">
        <f t="shared" ref="E2272:E2286" ca="1" si="793">IF(ISBLANK( INDIRECT($F$1565 &amp; D2272)),"", INDIRECT($F$1565 &amp; D2272))</f>
        <v/>
      </c>
      <c r="F2272" t="str">
        <f t="shared" ref="F2272:F2286" ca="1" si="794">CONCATENATE("Enter a '"&amp; H2272 &amp;"' for  building ", C2272, " in cell ", D2272, ".", CHAR(10))</f>
        <v xml:space="preserve">Enter a 'Building Street Address Only 
(DO NOT ENTER CITY, STATE, OR ZIP)' for  building 44 in cell C47.
</v>
      </c>
      <c r="G2272" s="9" t="str">
        <f t="shared" ref="G2272:G2335" ca="1" si="795">OFFSET(G2272, -1, 0) &amp; A2272</f>
        <v xml:space="preserve">Enter a value for 'Number of Floors in the Tallest Building' in cell B60.
</v>
      </c>
      <c r="H2272" s="52" t="str">
        <f t="shared" ref="H2272:H2286" ca="1" si="796">OFFSET(INDIRECT($F$1565 &amp; D2272), -B2272 + 3, 0)</f>
        <v>Building Street Address Only 
(DO NOT ENTER CITY, STATE, OR ZIP)</v>
      </c>
      <c r="I2272" s="52">
        <v>3</v>
      </c>
    </row>
    <row r="2273" spans="1:10" ht="15" customHeight="1">
      <c r="A2273" t="str">
        <f t="shared" ca="1" si="790"/>
        <v/>
      </c>
      <c r="B2273">
        <f t="shared" si="791"/>
        <v>47</v>
      </c>
      <c r="C2273">
        <f t="shared" ca="1" si="771"/>
        <v>44</v>
      </c>
      <c r="D2273" t="str">
        <f t="shared" si="792"/>
        <v>D47</v>
      </c>
      <c r="E2273" t="str">
        <f t="shared" ca="1" si="793"/>
        <v/>
      </c>
      <c r="F2273" t="str">
        <f t="shared" ca="1" si="794"/>
        <v xml:space="preserve">Enter a 'Total Units in Building*' for  building 44 in cell D47.
</v>
      </c>
      <c r="G2273" s="9" t="str">
        <f t="shared" ca="1" si="795"/>
        <v xml:space="preserve">Enter a value for 'Number of Floors in the Tallest Building' in cell B60.
</v>
      </c>
      <c r="H2273" s="52" t="str">
        <f t="shared" ca="1" si="796"/>
        <v>Total Units in Building*</v>
      </c>
      <c r="I2273" s="52">
        <v>4</v>
      </c>
    </row>
    <row r="2274" spans="1:10" ht="15" customHeight="1">
      <c r="A2274" t="str">
        <f t="shared" ca="1" si="790"/>
        <v/>
      </c>
      <c r="B2274">
        <f t="shared" si="791"/>
        <v>47</v>
      </c>
      <c r="C2274">
        <f t="shared" ca="1" si="771"/>
        <v>44</v>
      </c>
      <c r="D2274" t="str">
        <f t="shared" si="792"/>
        <v>E47</v>
      </c>
      <c r="E2274" t="str">
        <f t="shared" ca="1" si="793"/>
        <v/>
      </c>
      <c r="F2274" t="str">
        <f t="shared" ca="1" si="794"/>
        <v xml:space="preserve">Enter a 'Employee Units' for  building 44 in cell E47.
</v>
      </c>
      <c r="G2274" s="9" t="str">
        <f t="shared" ca="1" si="795"/>
        <v xml:space="preserve">Enter a value for 'Number of Floors in the Tallest Building' in cell B60.
</v>
      </c>
      <c r="H2274" s="52" t="str">
        <f t="shared" ca="1" si="796"/>
        <v>Employee Units</v>
      </c>
      <c r="I2274" s="52">
        <v>5</v>
      </c>
    </row>
    <row r="2275" spans="1:10" ht="15" customHeight="1">
      <c r="A2275" t="str">
        <f t="shared" ca="1" si="790"/>
        <v/>
      </c>
      <c r="B2275">
        <f t="shared" si="791"/>
        <v>47</v>
      </c>
      <c r="C2275">
        <f t="shared" ca="1" si="771"/>
        <v>44</v>
      </c>
      <c r="D2275" t="str">
        <f t="shared" si="792"/>
        <v>F47</v>
      </c>
      <c r="E2275" t="str">
        <f t="shared" ca="1" si="793"/>
        <v/>
      </c>
      <c r="F2275" t="str">
        <f t="shared" ca="1" si="794"/>
        <v xml:space="preserve">Enter a 'Low-Income Units' for  building 44 in cell F47.
</v>
      </c>
      <c r="G2275" s="9" t="str">
        <f t="shared" ca="1" si="795"/>
        <v xml:space="preserve">Enter a value for 'Number of Floors in the Tallest Building' in cell B60.
</v>
      </c>
      <c r="H2275" s="52" t="str">
        <f t="shared" ca="1" si="796"/>
        <v>Low-Income Units</v>
      </c>
      <c r="I2275" s="52">
        <v>6</v>
      </c>
    </row>
    <row r="2276" spans="1:10" ht="15" customHeight="1">
      <c r="A2276" t="str">
        <f t="shared" ca="1" si="790"/>
        <v/>
      </c>
      <c r="B2276">
        <f t="shared" si="791"/>
        <v>47</v>
      </c>
      <c r="C2276">
        <f t="shared" ca="1" si="771"/>
        <v>44</v>
      </c>
      <c r="D2276" t="str">
        <f t="shared" si="792"/>
        <v>G47</v>
      </c>
      <c r="E2276" t="str">
        <f t="shared" ca="1" si="793"/>
        <v/>
      </c>
      <c r="F2276" t="str">
        <f t="shared" ca="1" si="794"/>
        <v xml:space="preserve">Enter a 'Residential Square Footage**' for  building 44 in cell G47.
</v>
      </c>
      <c r="G2276" s="9" t="str">
        <f t="shared" ca="1" si="795"/>
        <v xml:space="preserve">Enter a value for 'Number of Floors in the Tallest Building' in cell B60.
</v>
      </c>
      <c r="H2276" s="52" t="str">
        <f t="shared" ca="1" si="796"/>
        <v>Residential Square Footage**</v>
      </c>
      <c r="I2276" s="52">
        <v>7</v>
      </c>
    </row>
    <row r="2277" spans="1:10" ht="15" customHeight="1">
      <c r="A2277" t="str">
        <f t="shared" ca="1" si="790"/>
        <v/>
      </c>
      <c r="B2277">
        <f t="shared" si="791"/>
        <v>47</v>
      </c>
      <c r="C2277">
        <f t="shared" ca="1" si="771"/>
        <v>44</v>
      </c>
      <c r="D2277" t="str">
        <f t="shared" si="792"/>
        <v>H47</v>
      </c>
      <c r="E2277" t="str">
        <f t="shared" ca="1" si="793"/>
        <v/>
      </c>
      <c r="F2277" t="str">
        <f t="shared" ca="1" si="794"/>
        <v xml:space="preserve">Enter a 'Square Footage of Employee Units' for  building 44 in cell H47.
</v>
      </c>
      <c r="G2277" s="9" t="str">
        <f t="shared" ca="1" si="795"/>
        <v xml:space="preserve">Enter a value for 'Number of Floors in the Tallest Building' in cell B60.
</v>
      </c>
      <c r="H2277" s="52" t="str">
        <f t="shared" ca="1" si="796"/>
        <v>Square Footage of Employee Units</v>
      </c>
      <c r="I2277" s="52">
        <v>8</v>
      </c>
    </row>
    <row r="2278" spans="1:10" ht="15" customHeight="1">
      <c r="A2278" t="str">
        <f t="shared" ca="1" si="790"/>
        <v/>
      </c>
      <c r="B2278">
        <f t="shared" si="791"/>
        <v>47</v>
      </c>
      <c r="C2278">
        <f t="shared" ca="1" si="771"/>
        <v>44</v>
      </c>
      <c r="D2278" t="str">
        <f t="shared" si="792"/>
        <v>I47</v>
      </c>
      <c r="E2278" t="str">
        <f t="shared" ca="1" si="793"/>
        <v/>
      </c>
      <c r="F2278" t="str">
        <f t="shared" ca="1" si="794"/>
        <v xml:space="preserve">Enter a 'Square Footage of Low-Income Units' for  building 44 in cell I47.
</v>
      </c>
      <c r="G2278" s="9" t="str">
        <f t="shared" ca="1" si="795"/>
        <v xml:space="preserve">Enter a value for 'Number of Floors in the Tallest Building' in cell B60.
</v>
      </c>
      <c r="H2278" s="52" t="str">
        <f t="shared" ca="1" si="796"/>
        <v>Square Footage of Low-Income Units</v>
      </c>
      <c r="I2278" s="52">
        <v>9</v>
      </c>
    </row>
    <row r="2279" spans="1:10" ht="15" customHeight="1">
      <c r="A2279" t="str">
        <f t="shared" ca="1" si="790"/>
        <v/>
      </c>
      <c r="B2279">
        <f t="shared" si="791"/>
        <v>47</v>
      </c>
      <c r="C2279">
        <f t="shared" ca="1" si="771"/>
        <v>44</v>
      </c>
      <c r="D2279" t="str">
        <f t="shared" si="792"/>
        <v>J47</v>
      </c>
      <c r="E2279" t="str">
        <f t="shared" ca="1" si="793"/>
        <v/>
      </c>
      <c r="F2279" t="str">
        <f t="shared" ca="1" si="794"/>
        <v xml:space="preserve">Enter a 'Placed-In-Service Date' for  building 44 in cell J47.
</v>
      </c>
      <c r="G2279" s="9" t="str">
        <f t="shared" ca="1" si="795"/>
        <v xml:space="preserve">Enter a value for 'Number of Floors in the Tallest Building' in cell B60.
</v>
      </c>
      <c r="H2279" s="52" t="str">
        <f t="shared" ca="1" si="796"/>
        <v>Placed-In-Service Date</v>
      </c>
      <c r="I2279" s="52">
        <v>10</v>
      </c>
    </row>
    <row r="2280" spans="1:10" ht="15" customHeight="1">
      <c r="A2280" t="str">
        <f t="shared" ca="1" si="790"/>
        <v/>
      </c>
      <c r="B2280">
        <f t="shared" si="791"/>
        <v>47</v>
      </c>
      <c r="C2280">
        <f t="shared" ca="1" si="771"/>
        <v>44</v>
      </c>
      <c r="D2280" t="str">
        <f t="shared" si="792"/>
        <v>K47</v>
      </c>
      <c r="E2280" t="str">
        <f t="shared" ca="1" si="793"/>
        <v/>
      </c>
      <c r="F2280" t="str">
        <f t="shared" ca="1" si="794"/>
        <v xml:space="preserve">Enter a 'New Construction/ Rehab APR' for  building 44 in cell K47.
</v>
      </c>
      <c r="G2280" s="9" t="str">
        <f t="shared" ca="1" si="795"/>
        <v xml:space="preserve">Enter a value for 'Number of Floors in the Tallest Building' in cell B60.
</v>
      </c>
      <c r="H2280" s="52" t="str">
        <f t="shared" ca="1" si="796"/>
        <v>New Construction/ Rehab APR</v>
      </c>
      <c r="I2280" s="52">
        <v>11</v>
      </c>
    </row>
    <row r="2281" spans="1:10" ht="15" customHeight="1">
      <c r="A2281" t="str">
        <f t="shared" ca="1" si="790"/>
        <v/>
      </c>
      <c r="B2281">
        <f t="shared" si="791"/>
        <v>47</v>
      </c>
      <c r="C2281">
        <f t="shared" ca="1" si="771"/>
        <v>44</v>
      </c>
      <c r="D2281" t="str">
        <f t="shared" si="792"/>
        <v>L47</v>
      </c>
      <c r="E2281" t="str">
        <f t="shared" ca="1" si="793"/>
        <v/>
      </c>
      <c r="F2281" t="str">
        <f t="shared" ca="1" si="794"/>
        <v xml:space="preserve">Enter a 'New Construction Eligible Basis' for  building 44 in cell L47.
</v>
      </c>
      <c r="G2281" s="9" t="str">
        <f t="shared" ca="1" si="795"/>
        <v xml:space="preserve">Enter a value for 'Number of Floors in the Tallest Building' in cell B60.
</v>
      </c>
      <c r="H2281" s="52" t="str">
        <f t="shared" ca="1" si="796"/>
        <v>New Construction Eligible Basis</v>
      </c>
      <c r="I2281" s="52">
        <v>12</v>
      </c>
    </row>
    <row r="2282" spans="1:10" ht="15" customHeight="1">
      <c r="A2282" t="str">
        <f ca="1">IF(AND(OFFSET(A2282, -I2282 + 2, 4) &gt;  0, E2282="", Calculations!$B$7), F2282, "")</f>
        <v/>
      </c>
      <c r="B2282">
        <f t="shared" si="791"/>
        <v>47</v>
      </c>
      <c r="C2282">
        <f t="shared" ca="1" si="771"/>
        <v>44</v>
      </c>
      <c r="D2282" t="str">
        <f t="shared" si="792"/>
        <v>M47</v>
      </c>
      <c r="E2282" t="str">
        <f t="shared" ca="1" si="793"/>
        <v/>
      </c>
      <c r="F2282" t="str">
        <f t="shared" ca="1" si="794"/>
        <v xml:space="preserve">Enter a 'Eligible Basis for Rehab' for  building 44 in cell M47.
</v>
      </c>
      <c r="G2282" s="9" t="str">
        <f t="shared" ca="1" si="795"/>
        <v xml:space="preserve">Enter a value for 'Number of Floors in the Tallest Building' in cell B60.
</v>
      </c>
      <c r="H2282" s="52" t="str">
        <f t="shared" ca="1" si="796"/>
        <v>Eligible Basis for Rehab</v>
      </c>
      <c r="I2282" s="52">
        <v>13</v>
      </c>
    </row>
    <row r="2283" spans="1:10" ht="15" customHeight="1">
      <c r="A2283" t="str">
        <f ca="1">IF(AND(OFFSET(A2283, -I2283 + 2, 4) &gt;  0, E2283="", Calculations!$B$7), F2283, "")</f>
        <v/>
      </c>
      <c r="B2283">
        <f t="shared" si="791"/>
        <v>47</v>
      </c>
      <c r="C2283">
        <f t="shared" ca="1" si="771"/>
        <v>44</v>
      </c>
      <c r="D2283" t="str">
        <f t="shared" si="792"/>
        <v>N47</v>
      </c>
      <c r="E2283" t="str">
        <f t="shared" ca="1" si="793"/>
        <v/>
      </c>
      <c r="F2283" t="str">
        <f t="shared" ca="1" si="794"/>
        <v xml:space="preserve">Enter a 'Cost of Acquiring the Building***' for  building 44 in cell N47.
</v>
      </c>
      <c r="G2283" s="9" t="str">
        <f t="shared" ca="1" si="795"/>
        <v xml:space="preserve">Enter a value for 'Number of Floors in the Tallest Building' in cell B60.
</v>
      </c>
      <c r="H2283" s="52" t="str">
        <f t="shared" ca="1" si="796"/>
        <v>Cost of Acquiring the Building***</v>
      </c>
      <c r="I2283" s="52">
        <v>14</v>
      </c>
    </row>
    <row r="2284" spans="1:10" ht="15" customHeight="1">
      <c r="A2284" t="str">
        <f ca="1">IF(AND(OFFSET(A2284, -I2284 + 2, 4) &gt;  0, E2284="", Calculations!$B$7), F2284, "")</f>
        <v/>
      </c>
      <c r="B2284">
        <f t="shared" si="791"/>
        <v>47</v>
      </c>
      <c r="C2284">
        <f t="shared" ca="1" si="771"/>
        <v>44</v>
      </c>
      <c r="D2284" t="str">
        <f t="shared" si="792"/>
        <v>O47</v>
      </c>
      <c r="E2284" t="str">
        <f t="shared" ca="1" si="793"/>
        <v/>
      </c>
      <c r="F2284" t="str">
        <f t="shared" ca="1" si="794"/>
        <v xml:space="preserve">Enter a 'Higher of Land Purchase Price or Land Appraised Value****' for  building 44 in cell O47.
</v>
      </c>
      <c r="G2284" s="9" t="str">
        <f t="shared" ca="1" si="795"/>
        <v xml:space="preserve">Enter a value for 'Number of Floors in the Tallest Building' in cell B60.
</v>
      </c>
      <c r="H2284" s="52" t="str">
        <f t="shared" ca="1" si="796"/>
        <v>Higher of Land Purchase Price or Land Appraised Value****</v>
      </c>
      <c r="I2284" s="52">
        <v>15</v>
      </c>
    </row>
    <row r="2285" spans="1:10" ht="15" customHeight="1">
      <c r="A2285" t="str">
        <f ca="1">IF(AND(OFFSET(A2285, -I2285 + 2, 4) &gt;  0, E2285="", Calculations!$B$7), F2285, "")</f>
        <v/>
      </c>
      <c r="B2285">
        <f t="shared" si="791"/>
        <v>47</v>
      </c>
      <c r="C2285">
        <f t="shared" ca="1" si="771"/>
        <v>44</v>
      </c>
      <c r="D2285" t="str">
        <f t="shared" si="792"/>
        <v>P47</v>
      </c>
      <c r="E2285" t="str">
        <f t="shared" ca="1" si="793"/>
        <v/>
      </c>
      <c r="F2285" t="str">
        <f t="shared" ca="1" si="794"/>
        <v xml:space="preserve">Enter a 'Acquisition Placed-in-Service Date' for  building 44 in cell P47.
</v>
      </c>
      <c r="G2285" s="9" t="str">
        <f t="shared" ca="1" si="795"/>
        <v xml:space="preserve">Enter a value for 'Number of Floors in the Tallest Building' in cell B60.
</v>
      </c>
      <c r="H2285" s="52" t="str">
        <f t="shared" ca="1" si="796"/>
        <v>Acquisition Placed-in-Service Date</v>
      </c>
      <c r="I2285" s="52">
        <v>16</v>
      </c>
    </row>
    <row r="2286" spans="1:10" ht="15" customHeight="1">
      <c r="A2286" t="str">
        <f ca="1">IF(AND(OFFSET(A2286, -I2286 + 2, 4) &gt;  0, E2286="", Calculations!$B$7), F2286, "")</f>
        <v/>
      </c>
      <c r="B2286">
        <f t="shared" si="791"/>
        <v>47</v>
      </c>
      <c r="C2286">
        <f t="shared" ca="1" si="771"/>
        <v>44</v>
      </c>
      <c r="D2286" t="str">
        <f t="shared" si="792"/>
        <v>Q47</v>
      </c>
      <c r="E2286" t="str">
        <f t="shared" ca="1" si="793"/>
        <v/>
      </c>
      <c r="F2286" t="str">
        <f t="shared" ca="1" si="794"/>
        <v xml:space="preserve">Enter a 'Acquisition APR' for  building 44 in cell Q47.
</v>
      </c>
      <c r="G2286" s="9" t="str">
        <f t="shared" ca="1" si="795"/>
        <v xml:space="preserve">Enter a value for 'Number of Floors in the Tallest Building' in cell B60.
</v>
      </c>
      <c r="H2286" s="52" t="str">
        <f t="shared" ca="1" si="796"/>
        <v>Acquisition APR</v>
      </c>
      <c r="I2286" s="52">
        <v>17</v>
      </c>
    </row>
    <row r="2287" spans="1:10" ht="15" customHeight="1">
      <c r="A2287" t="str">
        <f ca="1">IF(AND(Calculations!$B$4,Calculations!$B$29&gt;=C2287, E2287 &lt;&gt; 13),F2287,"")</f>
        <v/>
      </c>
      <c r="B2287">
        <f>ROW('Final Building Profile'!C48)</f>
        <v>48</v>
      </c>
      <c r="C2287">
        <f t="shared" ref="C2287:C2350" ca="1" si="797">INDIRECT($F$1565 &amp; ADDRESS(B2287, 1,4  ))</f>
        <v>45</v>
      </c>
      <c r="D2287" t="str">
        <f>ADDRESS(B2287, 3,4  )</f>
        <v>C48</v>
      </c>
      <c r="E2287" s="52">
        <f ca="1">H2287+I2287</f>
        <v>0</v>
      </c>
      <c r="F2287" t="str">
        <f ca="1">CONCATENATE("Based upon the number of buildings specified, information for  building ", C2287, " required for a final application in row ", B2287, ".", CHAR(10))</f>
        <v xml:space="preserve">Based upon the number of buildings specified, information for  building 45 required for a final application in row 48.
</v>
      </c>
      <c r="G2287" s="9" t="str">
        <f t="shared" ca="1" si="795"/>
        <v xml:space="preserve">Enter a value for 'Number of Floors in the Tallest Building' in cell B60.
</v>
      </c>
      <c r="H2287" s="52">
        <f ca="1">SUMPRODUCT(--ISTEXT(INDIRECT(J2287)))</f>
        <v>0</v>
      </c>
      <c r="I2287" s="52">
        <f ca="1">SUMPRODUCT(--ISNUMBER(INDIRECT(J2287)))</f>
        <v>0</v>
      </c>
      <c r="J2287" s="52" t="str">
        <f>$F$1565&amp; ADDRESS(B2287,3,4) &amp; ":" &amp; ADDRESS(B2287,15,4)</f>
        <v>'Final Building Profile'!C48:O48</v>
      </c>
    </row>
    <row r="2288" spans="1:10" ht="15" customHeight="1">
      <c r="A2288" t="str">
        <f t="shared" ref="A2288:A2297" ca="1" si="798">IF(AND(OFFSET(A2288, -I2288 + 2, 4) &gt;  0, E2288=""), F2288, "")</f>
        <v/>
      </c>
      <c r="B2288">
        <f t="shared" ref="B2288:B2302" si="799">B2287</f>
        <v>48</v>
      </c>
      <c r="C2288">
        <f t="shared" ca="1" si="797"/>
        <v>45</v>
      </c>
      <c r="D2288" t="str">
        <f t="shared" ref="D2288:D2302" si="800">ADDRESS(B2288, I2288,4  )</f>
        <v>C48</v>
      </c>
      <c r="E2288" t="str">
        <f t="shared" ref="E2288:E2302" ca="1" si="801">IF(ISBLANK( INDIRECT($F$1565 &amp; D2288)),"", INDIRECT($F$1565 &amp; D2288))</f>
        <v/>
      </c>
      <c r="F2288" t="str">
        <f t="shared" ref="F2288:F2302" ca="1" si="802">CONCATENATE("Enter a '"&amp; H2288 &amp;"' for  building ", C2288, " in cell ", D2288, ".", CHAR(10))</f>
        <v xml:space="preserve">Enter a 'Building Street Address Only 
(DO NOT ENTER CITY, STATE, OR ZIP)' for  building 45 in cell C48.
</v>
      </c>
      <c r="G2288" s="9" t="str">
        <f t="shared" ca="1" si="795"/>
        <v xml:space="preserve">Enter a value for 'Number of Floors in the Tallest Building' in cell B60.
</v>
      </c>
      <c r="H2288" s="52" t="str">
        <f t="shared" ref="H2288:H2302" ca="1" si="803">OFFSET(INDIRECT($F$1565 &amp; D2288), -B2288 + 3, 0)</f>
        <v>Building Street Address Only 
(DO NOT ENTER CITY, STATE, OR ZIP)</v>
      </c>
      <c r="I2288" s="52">
        <v>3</v>
      </c>
    </row>
    <row r="2289" spans="1:10" ht="15" customHeight="1">
      <c r="A2289" t="str">
        <f t="shared" ca="1" si="798"/>
        <v/>
      </c>
      <c r="B2289">
        <f t="shared" si="799"/>
        <v>48</v>
      </c>
      <c r="C2289">
        <f t="shared" ca="1" si="797"/>
        <v>45</v>
      </c>
      <c r="D2289" t="str">
        <f t="shared" si="800"/>
        <v>D48</v>
      </c>
      <c r="E2289" t="str">
        <f t="shared" ca="1" si="801"/>
        <v/>
      </c>
      <c r="F2289" t="str">
        <f t="shared" ca="1" si="802"/>
        <v xml:space="preserve">Enter a 'Total Units in Building*' for  building 45 in cell D48.
</v>
      </c>
      <c r="G2289" s="9" t="str">
        <f t="shared" ca="1" si="795"/>
        <v xml:space="preserve">Enter a value for 'Number of Floors in the Tallest Building' in cell B60.
</v>
      </c>
      <c r="H2289" s="52" t="str">
        <f t="shared" ca="1" si="803"/>
        <v>Total Units in Building*</v>
      </c>
      <c r="I2289" s="52">
        <v>4</v>
      </c>
    </row>
    <row r="2290" spans="1:10" ht="15" customHeight="1">
      <c r="A2290" t="str">
        <f t="shared" ca="1" si="798"/>
        <v/>
      </c>
      <c r="B2290">
        <f t="shared" si="799"/>
        <v>48</v>
      </c>
      <c r="C2290">
        <f t="shared" ca="1" si="797"/>
        <v>45</v>
      </c>
      <c r="D2290" t="str">
        <f t="shared" si="800"/>
        <v>E48</v>
      </c>
      <c r="E2290" t="str">
        <f t="shared" ca="1" si="801"/>
        <v/>
      </c>
      <c r="F2290" t="str">
        <f t="shared" ca="1" si="802"/>
        <v xml:space="preserve">Enter a 'Employee Units' for  building 45 in cell E48.
</v>
      </c>
      <c r="G2290" s="9" t="str">
        <f t="shared" ca="1" si="795"/>
        <v xml:space="preserve">Enter a value for 'Number of Floors in the Tallest Building' in cell B60.
</v>
      </c>
      <c r="H2290" s="52" t="str">
        <f t="shared" ca="1" si="803"/>
        <v>Employee Units</v>
      </c>
      <c r="I2290" s="52">
        <v>5</v>
      </c>
    </row>
    <row r="2291" spans="1:10" ht="15" customHeight="1">
      <c r="A2291" t="str">
        <f t="shared" ca="1" si="798"/>
        <v/>
      </c>
      <c r="B2291">
        <f t="shared" si="799"/>
        <v>48</v>
      </c>
      <c r="C2291">
        <f t="shared" ca="1" si="797"/>
        <v>45</v>
      </c>
      <c r="D2291" t="str">
        <f t="shared" si="800"/>
        <v>F48</v>
      </c>
      <c r="E2291" t="str">
        <f t="shared" ca="1" si="801"/>
        <v/>
      </c>
      <c r="F2291" t="str">
        <f t="shared" ca="1" si="802"/>
        <v xml:space="preserve">Enter a 'Low-Income Units' for  building 45 in cell F48.
</v>
      </c>
      <c r="G2291" s="9" t="str">
        <f t="shared" ca="1" si="795"/>
        <v xml:space="preserve">Enter a value for 'Number of Floors in the Tallest Building' in cell B60.
</v>
      </c>
      <c r="H2291" s="52" t="str">
        <f t="shared" ca="1" si="803"/>
        <v>Low-Income Units</v>
      </c>
      <c r="I2291" s="52">
        <v>6</v>
      </c>
    </row>
    <row r="2292" spans="1:10" ht="15" customHeight="1">
      <c r="A2292" t="str">
        <f t="shared" ca="1" si="798"/>
        <v/>
      </c>
      <c r="B2292">
        <f t="shared" si="799"/>
        <v>48</v>
      </c>
      <c r="C2292">
        <f t="shared" ca="1" si="797"/>
        <v>45</v>
      </c>
      <c r="D2292" t="str">
        <f t="shared" si="800"/>
        <v>G48</v>
      </c>
      <c r="E2292" t="str">
        <f t="shared" ca="1" si="801"/>
        <v/>
      </c>
      <c r="F2292" t="str">
        <f t="shared" ca="1" si="802"/>
        <v xml:space="preserve">Enter a 'Residential Square Footage**' for  building 45 in cell G48.
</v>
      </c>
      <c r="G2292" s="9" t="str">
        <f t="shared" ca="1" si="795"/>
        <v xml:space="preserve">Enter a value for 'Number of Floors in the Tallest Building' in cell B60.
</v>
      </c>
      <c r="H2292" s="52" t="str">
        <f t="shared" ca="1" si="803"/>
        <v>Residential Square Footage**</v>
      </c>
      <c r="I2292" s="52">
        <v>7</v>
      </c>
    </row>
    <row r="2293" spans="1:10" ht="15" customHeight="1">
      <c r="A2293" t="str">
        <f t="shared" ca="1" si="798"/>
        <v/>
      </c>
      <c r="B2293">
        <f t="shared" si="799"/>
        <v>48</v>
      </c>
      <c r="C2293">
        <f t="shared" ca="1" si="797"/>
        <v>45</v>
      </c>
      <c r="D2293" t="str">
        <f t="shared" si="800"/>
        <v>H48</v>
      </c>
      <c r="E2293" t="str">
        <f t="shared" ca="1" si="801"/>
        <v/>
      </c>
      <c r="F2293" t="str">
        <f t="shared" ca="1" si="802"/>
        <v xml:space="preserve">Enter a 'Square Footage of Employee Units' for  building 45 in cell H48.
</v>
      </c>
      <c r="G2293" s="9" t="str">
        <f t="shared" ca="1" si="795"/>
        <v xml:space="preserve">Enter a value for 'Number of Floors in the Tallest Building' in cell B60.
</v>
      </c>
      <c r="H2293" s="52" t="str">
        <f t="shared" ca="1" si="803"/>
        <v>Square Footage of Employee Units</v>
      </c>
      <c r="I2293" s="52">
        <v>8</v>
      </c>
    </row>
    <row r="2294" spans="1:10" ht="15" customHeight="1">
      <c r="A2294" t="str">
        <f t="shared" ca="1" si="798"/>
        <v/>
      </c>
      <c r="B2294">
        <f t="shared" si="799"/>
        <v>48</v>
      </c>
      <c r="C2294">
        <f t="shared" ca="1" si="797"/>
        <v>45</v>
      </c>
      <c r="D2294" t="str">
        <f t="shared" si="800"/>
        <v>I48</v>
      </c>
      <c r="E2294" t="str">
        <f t="shared" ca="1" si="801"/>
        <v/>
      </c>
      <c r="F2294" t="str">
        <f t="shared" ca="1" si="802"/>
        <v xml:space="preserve">Enter a 'Square Footage of Low-Income Units' for  building 45 in cell I48.
</v>
      </c>
      <c r="G2294" s="9" t="str">
        <f t="shared" ca="1" si="795"/>
        <v xml:space="preserve">Enter a value for 'Number of Floors in the Tallest Building' in cell B60.
</v>
      </c>
      <c r="H2294" s="52" t="str">
        <f t="shared" ca="1" si="803"/>
        <v>Square Footage of Low-Income Units</v>
      </c>
      <c r="I2294" s="52">
        <v>9</v>
      </c>
    </row>
    <row r="2295" spans="1:10" ht="15" customHeight="1">
      <c r="A2295" t="str">
        <f t="shared" ca="1" si="798"/>
        <v/>
      </c>
      <c r="B2295">
        <f t="shared" si="799"/>
        <v>48</v>
      </c>
      <c r="C2295">
        <f t="shared" ca="1" si="797"/>
        <v>45</v>
      </c>
      <c r="D2295" t="str">
        <f t="shared" si="800"/>
        <v>J48</v>
      </c>
      <c r="E2295" t="str">
        <f t="shared" ca="1" si="801"/>
        <v/>
      </c>
      <c r="F2295" t="str">
        <f t="shared" ca="1" si="802"/>
        <v xml:space="preserve">Enter a 'Placed-In-Service Date' for  building 45 in cell J48.
</v>
      </c>
      <c r="G2295" s="9" t="str">
        <f t="shared" ca="1" si="795"/>
        <v xml:space="preserve">Enter a value for 'Number of Floors in the Tallest Building' in cell B60.
</v>
      </c>
      <c r="H2295" s="52" t="str">
        <f t="shared" ca="1" si="803"/>
        <v>Placed-In-Service Date</v>
      </c>
      <c r="I2295" s="52">
        <v>10</v>
      </c>
    </row>
    <row r="2296" spans="1:10" ht="15" customHeight="1">
      <c r="A2296" t="str">
        <f t="shared" ca="1" si="798"/>
        <v/>
      </c>
      <c r="B2296">
        <f t="shared" si="799"/>
        <v>48</v>
      </c>
      <c r="C2296">
        <f t="shared" ca="1" si="797"/>
        <v>45</v>
      </c>
      <c r="D2296" t="str">
        <f t="shared" si="800"/>
        <v>K48</v>
      </c>
      <c r="E2296" t="str">
        <f t="shared" ca="1" si="801"/>
        <v/>
      </c>
      <c r="F2296" t="str">
        <f t="shared" ca="1" si="802"/>
        <v xml:space="preserve">Enter a 'New Construction/ Rehab APR' for  building 45 in cell K48.
</v>
      </c>
      <c r="G2296" s="9" t="str">
        <f t="shared" ca="1" si="795"/>
        <v xml:space="preserve">Enter a value for 'Number of Floors in the Tallest Building' in cell B60.
</v>
      </c>
      <c r="H2296" s="52" t="str">
        <f t="shared" ca="1" si="803"/>
        <v>New Construction/ Rehab APR</v>
      </c>
      <c r="I2296" s="52">
        <v>11</v>
      </c>
    </row>
    <row r="2297" spans="1:10" ht="15" customHeight="1">
      <c r="A2297" t="str">
        <f t="shared" ca="1" si="798"/>
        <v/>
      </c>
      <c r="B2297">
        <f t="shared" si="799"/>
        <v>48</v>
      </c>
      <c r="C2297">
        <f t="shared" ca="1" si="797"/>
        <v>45</v>
      </c>
      <c r="D2297" t="str">
        <f t="shared" si="800"/>
        <v>L48</v>
      </c>
      <c r="E2297" t="str">
        <f t="shared" ca="1" si="801"/>
        <v/>
      </c>
      <c r="F2297" t="str">
        <f t="shared" ca="1" si="802"/>
        <v xml:space="preserve">Enter a 'New Construction Eligible Basis' for  building 45 in cell L48.
</v>
      </c>
      <c r="G2297" s="9" t="str">
        <f t="shared" ca="1" si="795"/>
        <v xml:space="preserve">Enter a value for 'Number of Floors in the Tallest Building' in cell B60.
</v>
      </c>
      <c r="H2297" s="52" t="str">
        <f t="shared" ca="1" si="803"/>
        <v>New Construction Eligible Basis</v>
      </c>
      <c r="I2297" s="52">
        <v>12</v>
      </c>
    </row>
    <row r="2298" spans="1:10" ht="15" customHeight="1">
      <c r="A2298" t="str">
        <f ca="1">IF(AND(OFFSET(A2298, -I2298 + 2, 4) &gt;  0, E2298="", Calculations!$B$7), F2298, "")</f>
        <v/>
      </c>
      <c r="B2298">
        <f t="shared" si="799"/>
        <v>48</v>
      </c>
      <c r="C2298">
        <f t="shared" ca="1" si="797"/>
        <v>45</v>
      </c>
      <c r="D2298" t="str">
        <f t="shared" si="800"/>
        <v>M48</v>
      </c>
      <c r="E2298" t="str">
        <f t="shared" ca="1" si="801"/>
        <v/>
      </c>
      <c r="F2298" t="str">
        <f t="shared" ca="1" si="802"/>
        <v xml:space="preserve">Enter a 'Eligible Basis for Rehab' for  building 45 in cell M48.
</v>
      </c>
      <c r="G2298" s="9" t="str">
        <f t="shared" ca="1" si="795"/>
        <v xml:space="preserve">Enter a value for 'Number of Floors in the Tallest Building' in cell B60.
</v>
      </c>
      <c r="H2298" s="52" t="str">
        <f t="shared" ca="1" si="803"/>
        <v>Eligible Basis for Rehab</v>
      </c>
      <c r="I2298" s="52">
        <v>13</v>
      </c>
    </row>
    <row r="2299" spans="1:10" ht="15" customHeight="1">
      <c r="A2299" t="str">
        <f ca="1">IF(AND(OFFSET(A2299, -I2299 + 2, 4) &gt;  0, E2299="", Calculations!$B$7), F2299, "")</f>
        <v/>
      </c>
      <c r="B2299">
        <f t="shared" si="799"/>
        <v>48</v>
      </c>
      <c r="C2299">
        <f t="shared" ca="1" si="797"/>
        <v>45</v>
      </c>
      <c r="D2299" t="str">
        <f t="shared" si="800"/>
        <v>N48</v>
      </c>
      <c r="E2299" t="str">
        <f t="shared" ca="1" si="801"/>
        <v/>
      </c>
      <c r="F2299" t="str">
        <f t="shared" ca="1" si="802"/>
        <v xml:space="preserve">Enter a 'Cost of Acquiring the Building***' for  building 45 in cell N48.
</v>
      </c>
      <c r="G2299" s="9" t="str">
        <f t="shared" ca="1" si="795"/>
        <v xml:space="preserve">Enter a value for 'Number of Floors in the Tallest Building' in cell B60.
</v>
      </c>
      <c r="H2299" s="52" t="str">
        <f t="shared" ca="1" si="803"/>
        <v>Cost of Acquiring the Building***</v>
      </c>
      <c r="I2299" s="52">
        <v>14</v>
      </c>
    </row>
    <row r="2300" spans="1:10" ht="15" customHeight="1">
      <c r="A2300" t="str">
        <f ca="1">IF(AND(OFFSET(A2300, -I2300 + 2, 4) &gt;  0, E2300="", Calculations!$B$7), F2300, "")</f>
        <v/>
      </c>
      <c r="B2300">
        <f t="shared" si="799"/>
        <v>48</v>
      </c>
      <c r="C2300">
        <f t="shared" ca="1" si="797"/>
        <v>45</v>
      </c>
      <c r="D2300" t="str">
        <f t="shared" si="800"/>
        <v>O48</v>
      </c>
      <c r="E2300" t="str">
        <f t="shared" ca="1" si="801"/>
        <v/>
      </c>
      <c r="F2300" t="str">
        <f t="shared" ca="1" si="802"/>
        <v xml:space="preserve">Enter a 'Higher of Land Purchase Price or Land Appraised Value****' for  building 45 in cell O48.
</v>
      </c>
      <c r="G2300" s="9" t="str">
        <f t="shared" ca="1" si="795"/>
        <v xml:space="preserve">Enter a value for 'Number of Floors in the Tallest Building' in cell B60.
</v>
      </c>
      <c r="H2300" s="52" t="str">
        <f t="shared" ca="1" si="803"/>
        <v>Higher of Land Purchase Price or Land Appraised Value****</v>
      </c>
      <c r="I2300" s="52">
        <v>15</v>
      </c>
    </row>
    <row r="2301" spans="1:10" ht="15" customHeight="1">
      <c r="A2301" t="str">
        <f ca="1">IF(AND(OFFSET(A2301, -I2301 + 2, 4) &gt;  0, E2301="", Calculations!$B$7), F2301, "")</f>
        <v/>
      </c>
      <c r="B2301">
        <f t="shared" si="799"/>
        <v>48</v>
      </c>
      <c r="C2301">
        <f t="shared" ca="1" si="797"/>
        <v>45</v>
      </c>
      <c r="D2301" t="str">
        <f t="shared" si="800"/>
        <v>P48</v>
      </c>
      <c r="E2301" t="str">
        <f t="shared" ca="1" si="801"/>
        <v/>
      </c>
      <c r="F2301" t="str">
        <f t="shared" ca="1" si="802"/>
        <v xml:space="preserve">Enter a 'Acquisition Placed-in-Service Date' for  building 45 in cell P48.
</v>
      </c>
      <c r="G2301" s="9" t="str">
        <f t="shared" ca="1" si="795"/>
        <v xml:space="preserve">Enter a value for 'Number of Floors in the Tallest Building' in cell B60.
</v>
      </c>
      <c r="H2301" s="52" t="str">
        <f t="shared" ca="1" si="803"/>
        <v>Acquisition Placed-in-Service Date</v>
      </c>
      <c r="I2301" s="52">
        <v>16</v>
      </c>
    </row>
    <row r="2302" spans="1:10" ht="15" customHeight="1">
      <c r="A2302" t="str">
        <f ca="1">IF(AND(OFFSET(A2302, -I2302 + 2, 4) &gt;  0, E2302="", Calculations!$B$7), F2302, "")</f>
        <v/>
      </c>
      <c r="B2302">
        <f t="shared" si="799"/>
        <v>48</v>
      </c>
      <c r="C2302">
        <f t="shared" ca="1" si="797"/>
        <v>45</v>
      </c>
      <c r="D2302" t="str">
        <f t="shared" si="800"/>
        <v>Q48</v>
      </c>
      <c r="E2302" t="str">
        <f t="shared" ca="1" si="801"/>
        <v/>
      </c>
      <c r="F2302" t="str">
        <f t="shared" ca="1" si="802"/>
        <v xml:space="preserve">Enter a 'Acquisition APR' for  building 45 in cell Q48.
</v>
      </c>
      <c r="G2302" s="9" t="str">
        <f t="shared" ca="1" si="795"/>
        <v xml:space="preserve">Enter a value for 'Number of Floors in the Tallest Building' in cell B60.
</v>
      </c>
      <c r="H2302" s="52" t="str">
        <f t="shared" ca="1" si="803"/>
        <v>Acquisition APR</v>
      </c>
      <c r="I2302" s="52">
        <v>17</v>
      </c>
    </row>
    <row r="2303" spans="1:10" ht="15" customHeight="1">
      <c r="A2303" t="str">
        <f ca="1">IF(AND(Calculations!$B$4,Calculations!$B$29&gt;=C2303, E2303 &lt;&gt; 13),F2303,"")</f>
        <v/>
      </c>
      <c r="B2303">
        <f>ROW('Final Building Profile'!C49)</f>
        <v>49</v>
      </c>
      <c r="C2303">
        <f t="shared" ca="1" si="797"/>
        <v>46</v>
      </c>
      <c r="D2303" t="str">
        <f>ADDRESS(B2303, 3,4  )</f>
        <v>C49</v>
      </c>
      <c r="E2303" s="52">
        <f ca="1">H2303+I2303</f>
        <v>0</v>
      </c>
      <c r="F2303" t="str">
        <f ca="1">CONCATENATE("Based upon the number of buildings specified, information for  building ", C2303, " required for a final application in row ", B2303, ".", CHAR(10))</f>
        <v xml:space="preserve">Based upon the number of buildings specified, information for  building 46 required for a final application in row 49.
</v>
      </c>
      <c r="G2303" s="9" t="str">
        <f t="shared" ca="1" si="795"/>
        <v xml:space="preserve">Enter a value for 'Number of Floors in the Tallest Building' in cell B60.
</v>
      </c>
      <c r="H2303" s="52">
        <f ca="1">SUMPRODUCT(--ISTEXT(INDIRECT(J2303)))</f>
        <v>0</v>
      </c>
      <c r="I2303" s="52">
        <f ca="1">SUMPRODUCT(--ISNUMBER(INDIRECT(J2303)))</f>
        <v>0</v>
      </c>
      <c r="J2303" s="52" t="str">
        <f>$F$1565&amp; ADDRESS(B2303,3,4) &amp; ":" &amp; ADDRESS(B2303,15,4)</f>
        <v>'Final Building Profile'!C49:O49</v>
      </c>
    </row>
    <row r="2304" spans="1:10" ht="15" customHeight="1">
      <c r="A2304" t="str">
        <f t="shared" ref="A2304:A2313" ca="1" si="804">IF(AND(OFFSET(A2304, -I2304 + 2, 4) &gt;  0, E2304=""), F2304, "")</f>
        <v/>
      </c>
      <c r="B2304">
        <f t="shared" ref="B2304:B2318" si="805">B2303</f>
        <v>49</v>
      </c>
      <c r="C2304">
        <f t="shared" ca="1" si="797"/>
        <v>46</v>
      </c>
      <c r="D2304" t="str">
        <f t="shared" ref="D2304:D2318" si="806">ADDRESS(B2304, I2304,4  )</f>
        <v>C49</v>
      </c>
      <c r="E2304" t="str">
        <f t="shared" ref="E2304:E2318" ca="1" si="807">IF(ISBLANK( INDIRECT($F$1565 &amp; D2304)),"", INDIRECT($F$1565 &amp; D2304))</f>
        <v/>
      </c>
      <c r="F2304" t="str">
        <f t="shared" ref="F2304:F2318" ca="1" si="808">CONCATENATE("Enter a '"&amp; H2304 &amp;"' for  building ", C2304, " in cell ", D2304, ".", CHAR(10))</f>
        <v xml:space="preserve">Enter a 'Building Street Address Only 
(DO NOT ENTER CITY, STATE, OR ZIP)' for  building 46 in cell C49.
</v>
      </c>
      <c r="G2304" s="9" t="str">
        <f t="shared" ca="1" si="795"/>
        <v xml:space="preserve">Enter a value for 'Number of Floors in the Tallest Building' in cell B60.
</v>
      </c>
      <c r="H2304" s="52" t="str">
        <f t="shared" ref="H2304:H2318" ca="1" si="809">OFFSET(INDIRECT($F$1565 &amp; D2304), -B2304 + 3, 0)</f>
        <v>Building Street Address Only 
(DO NOT ENTER CITY, STATE, OR ZIP)</v>
      </c>
      <c r="I2304" s="52">
        <v>3</v>
      </c>
    </row>
    <row r="2305" spans="1:10" ht="15" customHeight="1">
      <c r="A2305" t="str">
        <f t="shared" ca="1" si="804"/>
        <v/>
      </c>
      <c r="B2305">
        <f t="shared" si="805"/>
        <v>49</v>
      </c>
      <c r="C2305">
        <f t="shared" ca="1" si="797"/>
        <v>46</v>
      </c>
      <c r="D2305" t="str">
        <f t="shared" si="806"/>
        <v>D49</v>
      </c>
      <c r="E2305" t="str">
        <f t="shared" ca="1" si="807"/>
        <v/>
      </c>
      <c r="F2305" t="str">
        <f t="shared" ca="1" si="808"/>
        <v xml:space="preserve">Enter a 'Total Units in Building*' for  building 46 in cell D49.
</v>
      </c>
      <c r="G2305" s="9" t="str">
        <f t="shared" ca="1" si="795"/>
        <v xml:space="preserve">Enter a value for 'Number of Floors in the Tallest Building' in cell B60.
</v>
      </c>
      <c r="H2305" s="52" t="str">
        <f t="shared" ca="1" si="809"/>
        <v>Total Units in Building*</v>
      </c>
      <c r="I2305" s="52">
        <v>4</v>
      </c>
    </row>
    <row r="2306" spans="1:10" ht="15" customHeight="1">
      <c r="A2306" t="str">
        <f t="shared" ca="1" si="804"/>
        <v/>
      </c>
      <c r="B2306">
        <f t="shared" si="805"/>
        <v>49</v>
      </c>
      <c r="C2306">
        <f t="shared" ca="1" si="797"/>
        <v>46</v>
      </c>
      <c r="D2306" t="str">
        <f t="shared" si="806"/>
        <v>E49</v>
      </c>
      <c r="E2306" t="str">
        <f t="shared" ca="1" si="807"/>
        <v/>
      </c>
      <c r="F2306" t="str">
        <f t="shared" ca="1" si="808"/>
        <v xml:space="preserve">Enter a 'Employee Units' for  building 46 in cell E49.
</v>
      </c>
      <c r="G2306" s="9" t="str">
        <f t="shared" ca="1" si="795"/>
        <v xml:space="preserve">Enter a value for 'Number of Floors in the Tallest Building' in cell B60.
</v>
      </c>
      <c r="H2306" s="52" t="str">
        <f t="shared" ca="1" si="809"/>
        <v>Employee Units</v>
      </c>
      <c r="I2306" s="52">
        <v>5</v>
      </c>
    </row>
    <row r="2307" spans="1:10" ht="15" customHeight="1">
      <c r="A2307" t="str">
        <f t="shared" ca="1" si="804"/>
        <v/>
      </c>
      <c r="B2307">
        <f t="shared" si="805"/>
        <v>49</v>
      </c>
      <c r="C2307">
        <f t="shared" ca="1" si="797"/>
        <v>46</v>
      </c>
      <c r="D2307" t="str">
        <f t="shared" si="806"/>
        <v>F49</v>
      </c>
      <c r="E2307" t="str">
        <f t="shared" ca="1" si="807"/>
        <v/>
      </c>
      <c r="F2307" t="str">
        <f t="shared" ca="1" si="808"/>
        <v xml:space="preserve">Enter a 'Low-Income Units' for  building 46 in cell F49.
</v>
      </c>
      <c r="G2307" s="9" t="str">
        <f t="shared" ca="1" si="795"/>
        <v xml:space="preserve">Enter a value for 'Number of Floors in the Tallest Building' in cell B60.
</v>
      </c>
      <c r="H2307" s="52" t="str">
        <f t="shared" ca="1" si="809"/>
        <v>Low-Income Units</v>
      </c>
      <c r="I2307" s="52">
        <v>6</v>
      </c>
    </row>
    <row r="2308" spans="1:10" ht="15" customHeight="1">
      <c r="A2308" t="str">
        <f t="shared" ca="1" si="804"/>
        <v/>
      </c>
      <c r="B2308">
        <f t="shared" si="805"/>
        <v>49</v>
      </c>
      <c r="C2308">
        <f t="shared" ca="1" si="797"/>
        <v>46</v>
      </c>
      <c r="D2308" t="str">
        <f t="shared" si="806"/>
        <v>G49</v>
      </c>
      <c r="E2308" t="str">
        <f t="shared" ca="1" si="807"/>
        <v/>
      </c>
      <c r="F2308" t="str">
        <f t="shared" ca="1" si="808"/>
        <v xml:space="preserve">Enter a 'Residential Square Footage**' for  building 46 in cell G49.
</v>
      </c>
      <c r="G2308" s="9" t="str">
        <f t="shared" ca="1" si="795"/>
        <v xml:space="preserve">Enter a value for 'Number of Floors in the Tallest Building' in cell B60.
</v>
      </c>
      <c r="H2308" s="52" t="str">
        <f t="shared" ca="1" si="809"/>
        <v>Residential Square Footage**</v>
      </c>
      <c r="I2308" s="52">
        <v>7</v>
      </c>
    </row>
    <row r="2309" spans="1:10" ht="15" customHeight="1">
      <c r="A2309" t="str">
        <f t="shared" ca="1" si="804"/>
        <v/>
      </c>
      <c r="B2309">
        <f t="shared" si="805"/>
        <v>49</v>
      </c>
      <c r="C2309">
        <f t="shared" ca="1" si="797"/>
        <v>46</v>
      </c>
      <c r="D2309" t="str">
        <f t="shared" si="806"/>
        <v>H49</v>
      </c>
      <c r="E2309" t="str">
        <f t="shared" ca="1" si="807"/>
        <v/>
      </c>
      <c r="F2309" t="str">
        <f t="shared" ca="1" si="808"/>
        <v xml:space="preserve">Enter a 'Square Footage of Employee Units' for  building 46 in cell H49.
</v>
      </c>
      <c r="G2309" s="9" t="str">
        <f t="shared" ca="1" si="795"/>
        <v xml:space="preserve">Enter a value for 'Number of Floors in the Tallest Building' in cell B60.
</v>
      </c>
      <c r="H2309" s="52" t="str">
        <f t="shared" ca="1" si="809"/>
        <v>Square Footage of Employee Units</v>
      </c>
      <c r="I2309" s="52">
        <v>8</v>
      </c>
    </row>
    <row r="2310" spans="1:10" ht="15" customHeight="1">
      <c r="A2310" t="str">
        <f t="shared" ca="1" si="804"/>
        <v/>
      </c>
      <c r="B2310">
        <f t="shared" si="805"/>
        <v>49</v>
      </c>
      <c r="C2310">
        <f t="shared" ca="1" si="797"/>
        <v>46</v>
      </c>
      <c r="D2310" t="str">
        <f t="shared" si="806"/>
        <v>I49</v>
      </c>
      <c r="E2310" t="str">
        <f t="shared" ca="1" si="807"/>
        <v/>
      </c>
      <c r="F2310" t="str">
        <f t="shared" ca="1" si="808"/>
        <v xml:space="preserve">Enter a 'Square Footage of Low-Income Units' for  building 46 in cell I49.
</v>
      </c>
      <c r="G2310" s="9" t="str">
        <f t="shared" ca="1" si="795"/>
        <v xml:space="preserve">Enter a value for 'Number of Floors in the Tallest Building' in cell B60.
</v>
      </c>
      <c r="H2310" s="52" t="str">
        <f t="shared" ca="1" si="809"/>
        <v>Square Footage of Low-Income Units</v>
      </c>
      <c r="I2310" s="52">
        <v>9</v>
      </c>
    </row>
    <row r="2311" spans="1:10" ht="15" customHeight="1">
      <c r="A2311" t="str">
        <f t="shared" ca="1" si="804"/>
        <v/>
      </c>
      <c r="B2311">
        <f t="shared" si="805"/>
        <v>49</v>
      </c>
      <c r="C2311">
        <f t="shared" ca="1" si="797"/>
        <v>46</v>
      </c>
      <c r="D2311" t="str">
        <f t="shared" si="806"/>
        <v>J49</v>
      </c>
      <c r="E2311" t="str">
        <f t="shared" ca="1" si="807"/>
        <v/>
      </c>
      <c r="F2311" t="str">
        <f t="shared" ca="1" si="808"/>
        <v xml:space="preserve">Enter a 'Placed-In-Service Date' for  building 46 in cell J49.
</v>
      </c>
      <c r="G2311" s="9" t="str">
        <f t="shared" ca="1" si="795"/>
        <v xml:space="preserve">Enter a value for 'Number of Floors in the Tallest Building' in cell B60.
</v>
      </c>
      <c r="H2311" s="52" t="str">
        <f t="shared" ca="1" si="809"/>
        <v>Placed-In-Service Date</v>
      </c>
      <c r="I2311" s="52">
        <v>10</v>
      </c>
    </row>
    <row r="2312" spans="1:10" ht="15" customHeight="1">
      <c r="A2312" t="str">
        <f t="shared" ca="1" si="804"/>
        <v/>
      </c>
      <c r="B2312">
        <f t="shared" si="805"/>
        <v>49</v>
      </c>
      <c r="C2312">
        <f t="shared" ca="1" si="797"/>
        <v>46</v>
      </c>
      <c r="D2312" t="str">
        <f t="shared" si="806"/>
        <v>K49</v>
      </c>
      <c r="E2312" t="str">
        <f t="shared" ca="1" si="807"/>
        <v/>
      </c>
      <c r="F2312" t="str">
        <f t="shared" ca="1" si="808"/>
        <v xml:space="preserve">Enter a 'New Construction/ Rehab APR' for  building 46 in cell K49.
</v>
      </c>
      <c r="G2312" s="9" t="str">
        <f t="shared" ca="1" si="795"/>
        <v xml:space="preserve">Enter a value for 'Number of Floors in the Tallest Building' in cell B60.
</v>
      </c>
      <c r="H2312" s="52" t="str">
        <f t="shared" ca="1" si="809"/>
        <v>New Construction/ Rehab APR</v>
      </c>
      <c r="I2312" s="52">
        <v>11</v>
      </c>
    </row>
    <row r="2313" spans="1:10" ht="15" customHeight="1">
      <c r="A2313" t="str">
        <f t="shared" ca="1" si="804"/>
        <v/>
      </c>
      <c r="B2313">
        <f t="shared" si="805"/>
        <v>49</v>
      </c>
      <c r="C2313">
        <f t="shared" ca="1" si="797"/>
        <v>46</v>
      </c>
      <c r="D2313" t="str">
        <f t="shared" si="806"/>
        <v>L49</v>
      </c>
      <c r="E2313" t="str">
        <f t="shared" ca="1" si="807"/>
        <v/>
      </c>
      <c r="F2313" t="str">
        <f t="shared" ca="1" si="808"/>
        <v xml:space="preserve">Enter a 'New Construction Eligible Basis' for  building 46 in cell L49.
</v>
      </c>
      <c r="G2313" s="9" t="str">
        <f t="shared" ca="1" si="795"/>
        <v xml:space="preserve">Enter a value for 'Number of Floors in the Tallest Building' in cell B60.
</v>
      </c>
      <c r="H2313" s="52" t="str">
        <f t="shared" ca="1" si="809"/>
        <v>New Construction Eligible Basis</v>
      </c>
      <c r="I2313" s="52">
        <v>12</v>
      </c>
    </row>
    <row r="2314" spans="1:10" ht="15" customHeight="1">
      <c r="A2314" t="str">
        <f ca="1">IF(AND(OFFSET(A2314, -I2314 + 2, 4) &gt;  0, E2314="", Calculations!$B$7), F2314, "")</f>
        <v/>
      </c>
      <c r="B2314">
        <f t="shared" si="805"/>
        <v>49</v>
      </c>
      <c r="C2314">
        <f t="shared" ca="1" si="797"/>
        <v>46</v>
      </c>
      <c r="D2314" t="str">
        <f t="shared" si="806"/>
        <v>M49</v>
      </c>
      <c r="E2314" t="str">
        <f t="shared" ca="1" si="807"/>
        <v/>
      </c>
      <c r="F2314" t="str">
        <f t="shared" ca="1" si="808"/>
        <v xml:space="preserve">Enter a 'Eligible Basis for Rehab' for  building 46 in cell M49.
</v>
      </c>
      <c r="G2314" s="9" t="str">
        <f t="shared" ca="1" si="795"/>
        <v xml:space="preserve">Enter a value for 'Number of Floors in the Tallest Building' in cell B60.
</v>
      </c>
      <c r="H2314" s="52" t="str">
        <f t="shared" ca="1" si="809"/>
        <v>Eligible Basis for Rehab</v>
      </c>
      <c r="I2314" s="52">
        <v>13</v>
      </c>
    </row>
    <row r="2315" spans="1:10" ht="15" customHeight="1">
      <c r="A2315" t="str">
        <f ca="1">IF(AND(OFFSET(A2315, -I2315 + 2, 4) &gt;  0, E2315="", Calculations!$B$7), F2315, "")</f>
        <v/>
      </c>
      <c r="B2315">
        <f t="shared" si="805"/>
        <v>49</v>
      </c>
      <c r="C2315">
        <f t="shared" ca="1" si="797"/>
        <v>46</v>
      </c>
      <c r="D2315" t="str">
        <f t="shared" si="806"/>
        <v>N49</v>
      </c>
      <c r="E2315" t="str">
        <f t="shared" ca="1" si="807"/>
        <v/>
      </c>
      <c r="F2315" t="str">
        <f t="shared" ca="1" si="808"/>
        <v xml:space="preserve">Enter a 'Cost of Acquiring the Building***' for  building 46 in cell N49.
</v>
      </c>
      <c r="G2315" s="9" t="str">
        <f t="shared" ca="1" si="795"/>
        <v xml:space="preserve">Enter a value for 'Number of Floors in the Tallest Building' in cell B60.
</v>
      </c>
      <c r="H2315" s="52" t="str">
        <f t="shared" ca="1" si="809"/>
        <v>Cost of Acquiring the Building***</v>
      </c>
      <c r="I2315" s="52">
        <v>14</v>
      </c>
    </row>
    <row r="2316" spans="1:10" ht="15" customHeight="1">
      <c r="A2316" t="str">
        <f ca="1">IF(AND(OFFSET(A2316, -I2316 + 2, 4) &gt;  0, E2316="", Calculations!$B$7), F2316, "")</f>
        <v/>
      </c>
      <c r="B2316">
        <f t="shared" si="805"/>
        <v>49</v>
      </c>
      <c r="C2316">
        <f t="shared" ca="1" si="797"/>
        <v>46</v>
      </c>
      <c r="D2316" t="str">
        <f t="shared" si="806"/>
        <v>O49</v>
      </c>
      <c r="E2316" t="str">
        <f t="shared" ca="1" si="807"/>
        <v/>
      </c>
      <c r="F2316" t="str">
        <f t="shared" ca="1" si="808"/>
        <v xml:space="preserve">Enter a 'Higher of Land Purchase Price or Land Appraised Value****' for  building 46 in cell O49.
</v>
      </c>
      <c r="G2316" s="9" t="str">
        <f t="shared" ca="1" si="795"/>
        <v xml:space="preserve">Enter a value for 'Number of Floors in the Tallest Building' in cell B60.
</v>
      </c>
      <c r="H2316" s="52" t="str">
        <f t="shared" ca="1" si="809"/>
        <v>Higher of Land Purchase Price or Land Appraised Value****</v>
      </c>
      <c r="I2316" s="52">
        <v>15</v>
      </c>
    </row>
    <row r="2317" spans="1:10" ht="15" customHeight="1">
      <c r="A2317" t="str">
        <f ca="1">IF(AND(OFFSET(A2317, -I2317 + 2, 4) &gt;  0, E2317="", Calculations!$B$7), F2317, "")</f>
        <v/>
      </c>
      <c r="B2317">
        <f t="shared" si="805"/>
        <v>49</v>
      </c>
      <c r="C2317">
        <f t="shared" ca="1" si="797"/>
        <v>46</v>
      </c>
      <c r="D2317" t="str">
        <f t="shared" si="806"/>
        <v>P49</v>
      </c>
      <c r="E2317" t="str">
        <f t="shared" ca="1" si="807"/>
        <v/>
      </c>
      <c r="F2317" t="str">
        <f t="shared" ca="1" si="808"/>
        <v xml:space="preserve">Enter a 'Acquisition Placed-in-Service Date' for  building 46 in cell P49.
</v>
      </c>
      <c r="G2317" s="9" t="str">
        <f t="shared" ca="1" si="795"/>
        <v xml:space="preserve">Enter a value for 'Number of Floors in the Tallest Building' in cell B60.
</v>
      </c>
      <c r="H2317" s="52" t="str">
        <f t="shared" ca="1" si="809"/>
        <v>Acquisition Placed-in-Service Date</v>
      </c>
      <c r="I2317" s="52">
        <v>16</v>
      </c>
    </row>
    <row r="2318" spans="1:10" ht="15" customHeight="1">
      <c r="A2318" t="str">
        <f ca="1">IF(AND(OFFSET(A2318, -I2318 + 2, 4) &gt;  0, E2318="", Calculations!$B$7), F2318, "")</f>
        <v/>
      </c>
      <c r="B2318">
        <f t="shared" si="805"/>
        <v>49</v>
      </c>
      <c r="C2318">
        <f t="shared" ca="1" si="797"/>
        <v>46</v>
      </c>
      <c r="D2318" t="str">
        <f t="shared" si="806"/>
        <v>Q49</v>
      </c>
      <c r="E2318" t="str">
        <f t="shared" ca="1" si="807"/>
        <v/>
      </c>
      <c r="F2318" t="str">
        <f t="shared" ca="1" si="808"/>
        <v xml:space="preserve">Enter a 'Acquisition APR' for  building 46 in cell Q49.
</v>
      </c>
      <c r="G2318" s="9" t="str">
        <f t="shared" ca="1" si="795"/>
        <v xml:space="preserve">Enter a value for 'Number of Floors in the Tallest Building' in cell B60.
</v>
      </c>
      <c r="H2318" s="52" t="str">
        <f t="shared" ca="1" si="809"/>
        <v>Acquisition APR</v>
      </c>
      <c r="I2318" s="52">
        <v>17</v>
      </c>
    </row>
    <row r="2319" spans="1:10" ht="15" customHeight="1">
      <c r="A2319" t="str">
        <f ca="1">IF(AND(Calculations!$B$4,Calculations!$B$29&gt;=C2319, E2319 &lt;&gt; 13),F2319,"")</f>
        <v/>
      </c>
      <c r="B2319">
        <f>ROW('Final Building Profile'!C50)</f>
        <v>50</v>
      </c>
      <c r="C2319">
        <f t="shared" ca="1" si="797"/>
        <v>47</v>
      </c>
      <c r="D2319" t="str">
        <f>ADDRESS(B2319, 3,4  )</f>
        <v>C50</v>
      </c>
      <c r="E2319" s="52">
        <f ca="1">H2319+I2319</f>
        <v>0</v>
      </c>
      <c r="F2319" t="str">
        <f ca="1">CONCATENATE("Based upon the number of buildings specified, information for  building ", C2319, " required for a final application in row ", B2319, ".", CHAR(10))</f>
        <v xml:space="preserve">Based upon the number of buildings specified, information for  building 47 required for a final application in row 50.
</v>
      </c>
      <c r="G2319" s="9" t="str">
        <f t="shared" ca="1" si="795"/>
        <v xml:space="preserve">Enter a value for 'Number of Floors in the Tallest Building' in cell B60.
</v>
      </c>
      <c r="H2319" s="52">
        <f ca="1">SUMPRODUCT(--ISTEXT(INDIRECT(J2319)))</f>
        <v>0</v>
      </c>
      <c r="I2319" s="52">
        <f ca="1">SUMPRODUCT(--ISNUMBER(INDIRECT(J2319)))</f>
        <v>0</v>
      </c>
      <c r="J2319" s="52" t="str">
        <f>$F$1565&amp; ADDRESS(B2319,3,4) &amp; ":" &amp; ADDRESS(B2319,15,4)</f>
        <v>'Final Building Profile'!C50:O50</v>
      </c>
    </row>
    <row r="2320" spans="1:10" ht="15" customHeight="1">
      <c r="A2320" t="str">
        <f t="shared" ref="A2320:A2329" ca="1" si="810">IF(AND(OFFSET(A2320, -I2320 + 2, 4) &gt;  0, E2320=""), F2320, "")</f>
        <v/>
      </c>
      <c r="B2320">
        <f t="shared" ref="B2320:B2334" si="811">B2319</f>
        <v>50</v>
      </c>
      <c r="C2320">
        <f t="shared" ca="1" si="797"/>
        <v>47</v>
      </c>
      <c r="D2320" t="str">
        <f t="shared" ref="D2320:D2334" si="812">ADDRESS(B2320, I2320,4  )</f>
        <v>C50</v>
      </c>
      <c r="E2320" t="str">
        <f t="shared" ref="E2320:E2334" ca="1" si="813">IF(ISBLANK( INDIRECT($F$1565 &amp; D2320)),"", INDIRECT($F$1565 &amp; D2320))</f>
        <v/>
      </c>
      <c r="F2320" t="str">
        <f t="shared" ref="F2320:F2334" ca="1" si="814">CONCATENATE("Enter a '"&amp; H2320 &amp;"' for  building ", C2320, " in cell ", D2320, ".", CHAR(10))</f>
        <v xml:space="preserve">Enter a 'Building Street Address Only 
(DO NOT ENTER CITY, STATE, OR ZIP)' for  building 47 in cell C50.
</v>
      </c>
      <c r="G2320" s="9" t="str">
        <f t="shared" ca="1" si="795"/>
        <v xml:space="preserve">Enter a value for 'Number of Floors in the Tallest Building' in cell B60.
</v>
      </c>
      <c r="H2320" s="52" t="str">
        <f t="shared" ref="H2320:H2334" ca="1" si="815">OFFSET(INDIRECT($F$1565 &amp; D2320), -B2320 + 3, 0)</f>
        <v>Building Street Address Only 
(DO NOT ENTER CITY, STATE, OR ZIP)</v>
      </c>
      <c r="I2320" s="52">
        <v>3</v>
      </c>
    </row>
    <row r="2321" spans="1:10" ht="15" customHeight="1">
      <c r="A2321" t="str">
        <f t="shared" ca="1" si="810"/>
        <v/>
      </c>
      <c r="B2321">
        <f t="shared" si="811"/>
        <v>50</v>
      </c>
      <c r="C2321">
        <f t="shared" ca="1" si="797"/>
        <v>47</v>
      </c>
      <c r="D2321" t="str">
        <f t="shared" si="812"/>
        <v>D50</v>
      </c>
      <c r="E2321" t="str">
        <f t="shared" ca="1" si="813"/>
        <v/>
      </c>
      <c r="F2321" t="str">
        <f t="shared" ca="1" si="814"/>
        <v xml:space="preserve">Enter a 'Total Units in Building*' for  building 47 in cell D50.
</v>
      </c>
      <c r="G2321" s="9" t="str">
        <f t="shared" ca="1" si="795"/>
        <v xml:space="preserve">Enter a value for 'Number of Floors in the Tallest Building' in cell B60.
</v>
      </c>
      <c r="H2321" s="52" t="str">
        <f t="shared" ca="1" si="815"/>
        <v>Total Units in Building*</v>
      </c>
      <c r="I2321" s="52">
        <v>4</v>
      </c>
    </row>
    <row r="2322" spans="1:10" ht="15" customHeight="1">
      <c r="A2322" t="str">
        <f t="shared" ca="1" si="810"/>
        <v/>
      </c>
      <c r="B2322">
        <f t="shared" si="811"/>
        <v>50</v>
      </c>
      <c r="C2322">
        <f t="shared" ca="1" si="797"/>
        <v>47</v>
      </c>
      <c r="D2322" t="str">
        <f t="shared" si="812"/>
        <v>E50</v>
      </c>
      <c r="E2322" t="str">
        <f t="shared" ca="1" si="813"/>
        <v/>
      </c>
      <c r="F2322" t="str">
        <f t="shared" ca="1" si="814"/>
        <v xml:space="preserve">Enter a 'Employee Units' for  building 47 in cell E50.
</v>
      </c>
      <c r="G2322" s="9" t="str">
        <f t="shared" ca="1" si="795"/>
        <v xml:space="preserve">Enter a value for 'Number of Floors in the Tallest Building' in cell B60.
</v>
      </c>
      <c r="H2322" s="52" t="str">
        <f t="shared" ca="1" si="815"/>
        <v>Employee Units</v>
      </c>
      <c r="I2322" s="52">
        <v>5</v>
      </c>
    </row>
    <row r="2323" spans="1:10" ht="15" customHeight="1">
      <c r="A2323" t="str">
        <f t="shared" ca="1" si="810"/>
        <v/>
      </c>
      <c r="B2323">
        <f t="shared" si="811"/>
        <v>50</v>
      </c>
      <c r="C2323">
        <f t="shared" ca="1" si="797"/>
        <v>47</v>
      </c>
      <c r="D2323" t="str">
        <f t="shared" si="812"/>
        <v>F50</v>
      </c>
      <c r="E2323" t="str">
        <f t="shared" ca="1" si="813"/>
        <v/>
      </c>
      <c r="F2323" t="str">
        <f t="shared" ca="1" si="814"/>
        <v xml:space="preserve">Enter a 'Low-Income Units' for  building 47 in cell F50.
</v>
      </c>
      <c r="G2323" s="9" t="str">
        <f t="shared" ca="1" si="795"/>
        <v xml:space="preserve">Enter a value for 'Number of Floors in the Tallest Building' in cell B60.
</v>
      </c>
      <c r="H2323" s="52" t="str">
        <f t="shared" ca="1" si="815"/>
        <v>Low-Income Units</v>
      </c>
      <c r="I2323" s="52">
        <v>6</v>
      </c>
    </row>
    <row r="2324" spans="1:10" ht="15" customHeight="1">
      <c r="A2324" t="str">
        <f t="shared" ca="1" si="810"/>
        <v/>
      </c>
      <c r="B2324">
        <f t="shared" si="811"/>
        <v>50</v>
      </c>
      <c r="C2324">
        <f t="shared" ca="1" si="797"/>
        <v>47</v>
      </c>
      <c r="D2324" t="str">
        <f t="shared" si="812"/>
        <v>G50</v>
      </c>
      <c r="E2324" t="str">
        <f t="shared" ca="1" si="813"/>
        <v/>
      </c>
      <c r="F2324" t="str">
        <f t="shared" ca="1" si="814"/>
        <v xml:space="preserve">Enter a 'Residential Square Footage**' for  building 47 in cell G50.
</v>
      </c>
      <c r="G2324" s="9" t="str">
        <f t="shared" ca="1" si="795"/>
        <v xml:space="preserve">Enter a value for 'Number of Floors in the Tallest Building' in cell B60.
</v>
      </c>
      <c r="H2324" s="52" t="str">
        <f t="shared" ca="1" si="815"/>
        <v>Residential Square Footage**</v>
      </c>
      <c r="I2324" s="52">
        <v>7</v>
      </c>
    </row>
    <row r="2325" spans="1:10" ht="15" customHeight="1">
      <c r="A2325" t="str">
        <f t="shared" ca="1" si="810"/>
        <v/>
      </c>
      <c r="B2325">
        <f t="shared" si="811"/>
        <v>50</v>
      </c>
      <c r="C2325">
        <f t="shared" ca="1" si="797"/>
        <v>47</v>
      </c>
      <c r="D2325" t="str">
        <f t="shared" si="812"/>
        <v>H50</v>
      </c>
      <c r="E2325" t="str">
        <f t="shared" ca="1" si="813"/>
        <v/>
      </c>
      <c r="F2325" t="str">
        <f t="shared" ca="1" si="814"/>
        <v xml:space="preserve">Enter a 'Square Footage of Employee Units' for  building 47 in cell H50.
</v>
      </c>
      <c r="G2325" s="9" t="str">
        <f t="shared" ca="1" si="795"/>
        <v xml:space="preserve">Enter a value for 'Number of Floors in the Tallest Building' in cell B60.
</v>
      </c>
      <c r="H2325" s="52" t="str">
        <f t="shared" ca="1" si="815"/>
        <v>Square Footage of Employee Units</v>
      </c>
      <c r="I2325" s="52">
        <v>8</v>
      </c>
    </row>
    <row r="2326" spans="1:10" ht="15" customHeight="1">
      <c r="A2326" t="str">
        <f t="shared" ca="1" si="810"/>
        <v/>
      </c>
      <c r="B2326">
        <f t="shared" si="811"/>
        <v>50</v>
      </c>
      <c r="C2326">
        <f t="shared" ca="1" si="797"/>
        <v>47</v>
      </c>
      <c r="D2326" t="str">
        <f t="shared" si="812"/>
        <v>I50</v>
      </c>
      <c r="E2326" t="str">
        <f t="shared" ca="1" si="813"/>
        <v/>
      </c>
      <c r="F2326" t="str">
        <f t="shared" ca="1" si="814"/>
        <v xml:space="preserve">Enter a 'Square Footage of Low-Income Units' for  building 47 in cell I50.
</v>
      </c>
      <c r="G2326" s="9" t="str">
        <f t="shared" ca="1" si="795"/>
        <v xml:space="preserve">Enter a value for 'Number of Floors in the Tallest Building' in cell B60.
</v>
      </c>
      <c r="H2326" s="52" t="str">
        <f t="shared" ca="1" si="815"/>
        <v>Square Footage of Low-Income Units</v>
      </c>
      <c r="I2326" s="52">
        <v>9</v>
      </c>
    </row>
    <row r="2327" spans="1:10" ht="15" customHeight="1">
      <c r="A2327" t="str">
        <f t="shared" ca="1" si="810"/>
        <v/>
      </c>
      <c r="B2327">
        <f t="shared" si="811"/>
        <v>50</v>
      </c>
      <c r="C2327">
        <f t="shared" ca="1" si="797"/>
        <v>47</v>
      </c>
      <c r="D2327" t="str">
        <f t="shared" si="812"/>
        <v>J50</v>
      </c>
      <c r="E2327" t="str">
        <f t="shared" ca="1" si="813"/>
        <v/>
      </c>
      <c r="F2327" t="str">
        <f t="shared" ca="1" si="814"/>
        <v xml:space="preserve">Enter a 'Placed-In-Service Date' for  building 47 in cell J50.
</v>
      </c>
      <c r="G2327" s="9" t="str">
        <f t="shared" ca="1" si="795"/>
        <v xml:space="preserve">Enter a value for 'Number of Floors in the Tallest Building' in cell B60.
</v>
      </c>
      <c r="H2327" s="52" t="str">
        <f t="shared" ca="1" si="815"/>
        <v>Placed-In-Service Date</v>
      </c>
      <c r="I2327" s="52">
        <v>10</v>
      </c>
    </row>
    <row r="2328" spans="1:10" ht="15" customHeight="1">
      <c r="A2328" t="str">
        <f t="shared" ca="1" si="810"/>
        <v/>
      </c>
      <c r="B2328">
        <f t="shared" si="811"/>
        <v>50</v>
      </c>
      <c r="C2328">
        <f t="shared" ca="1" si="797"/>
        <v>47</v>
      </c>
      <c r="D2328" t="str">
        <f t="shared" si="812"/>
        <v>K50</v>
      </c>
      <c r="E2328" t="str">
        <f t="shared" ca="1" si="813"/>
        <v/>
      </c>
      <c r="F2328" t="str">
        <f t="shared" ca="1" si="814"/>
        <v xml:space="preserve">Enter a 'New Construction/ Rehab APR' for  building 47 in cell K50.
</v>
      </c>
      <c r="G2328" s="9" t="str">
        <f t="shared" ca="1" si="795"/>
        <v xml:space="preserve">Enter a value for 'Number of Floors in the Tallest Building' in cell B60.
</v>
      </c>
      <c r="H2328" s="52" t="str">
        <f t="shared" ca="1" si="815"/>
        <v>New Construction/ Rehab APR</v>
      </c>
      <c r="I2328" s="52">
        <v>11</v>
      </c>
    </row>
    <row r="2329" spans="1:10" ht="15" customHeight="1">
      <c r="A2329" t="str">
        <f t="shared" ca="1" si="810"/>
        <v/>
      </c>
      <c r="B2329">
        <f t="shared" si="811"/>
        <v>50</v>
      </c>
      <c r="C2329">
        <f t="shared" ca="1" si="797"/>
        <v>47</v>
      </c>
      <c r="D2329" t="str">
        <f t="shared" si="812"/>
        <v>L50</v>
      </c>
      <c r="E2329" t="str">
        <f t="shared" ca="1" si="813"/>
        <v/>
      </c>
      <c r="F2329" t="str">
        <f t="shared" ca="1" si="814"/>
        <v xml:space="preserve">Enter a 'New Construction Eligible Basis' for  building 47 in cell L50.
</v>
      </c>
      <c r="G2329" s="9" t="str">
        <f t="shared" ca="1" si="795"/>
        <v xml:space="preserve">Enter a value for 'Number of Floors in the Tallest Building' in cell B60.
</v>
      </c>
      <c r="H2329" s="52" t="str">
        <f t="shared" ca="1" si="815"/>
        <v>New Construction Eligible Basis</v>
      </c>
      <c r="I2329" s="52">
        <v>12</v>
      </c>
    </row>
    <row r="2330" spans="1:10" ht="15" customHeight="1">
      <c r="A2330" t="str">
        <f ca="1">IF(AND(OFFSET(A2330, -I2330 + 2, 4) &gt;  0, E2330="", Calculations!$B$7), F2330, "")</f>
        <v/>
      </c>
      <c r="B2330">
        <f t="shared" si="811"/>
        <v>50</v>
      </c>
      <c r="C2330">
        <f t="shared" ca="1" si="797"/>
        <v>47</v>
      </c>
      <c r="D2330" t="str">
        <f t="shared" si="812"/>
        <v>M50</v>
      </c>
      <c r="E2330" t="str">
        <f t="shared" ca="1" si="813"/>
        <v/>
      </c>
      <c r="F2330" t="str">
        <f t="shared" ca="1" si="814"/>
        <v xml:space="preserve">Enter a 'Eligible Basis for Rehab' for  building 47 in cell M50.
</v>
      </c>
      <c r="G2330" s="9" t="str">
        <f t="shared" ca="1" si="795"/>
        <v xml:space="preserve">Enter a value for 'Number of Floors in the Tallest Building' in cell B60.
</v>
      </c>
      <c r="H2330" s="52" t="str">
        <f t="shared" ca="1" si="815"/>
        <v>Eligible Basis for Rehab</v>
      </c>
      <c r="I2330" s="52">
        <v>13</v>
      </c>
    </row>
    <row r="2331" spans="1:10" ht="15" customHeight="1">
      <c r="A2331" t="str">
        <f ca="1">IF(AND(OFFSET(A2331, -I2331 + 2, 4) &gt;  0, E2331="", Calculations!$B$7), F2331, "")</f>
        <v/>
      </c>
      <c r="B2331">
        <f t="shared" si="811"/>
        <v>50</v>
      </c>
      <c r="C2331">
        <f t="shared" ca="1" si="797"/>
        <v>47</v>
      </c>
      <c r="D2331" t="str">
        <f t="shared" si="812"/>
        <v>N50</v>
      </c>
      <c r="E2331" t="str">
        <f t="shared" ca="1" si="813"/>
        <v/>
      </c>
      <c r="F2331" t="str">
        <f t="shared" ca="1" si="814"/>
        <v xml:space="preserve">Enter a 'Cost of Acquiring the Building***' for  building 47 in cell N50.
</v>
      </c>
      <c r="G2331" s="9" t="str">
        <f t="shared" ca="1" si="795"/>
        <v xml:space="preserve">Enter a value for 'Number of Floors in the Tallest Building' in cell B60.
</v>
      </c>
      <c r="H2331" s="52" t="str">
        <f t="shared" ca="1" si="815"/>
        <v>Cost of Acquiring the Building***</v>
      </c>
      <c r="I2331" s="52">
        <v>14</v>
      </c>
    </row>
    <row r="2332" spans="1:10" ht="15" customHeight="1">
      <c r="A2332" t="str">
        <f ca="1">IF(AND(OFFSET(A2332, -I2332 + 2, 4) &gt;  0, E2332="", Calculations!$B$7), F2332, "")</f>
        <v/>
      </c>
      <c r="B2332">
        <f t="shared" si="811"/>
        <v>50</v>
      </c>
      <c r="C2332">
        <f t="shared" ca="1" si="797"/>
        <v>47</v>
      </c>
      <c r="D2332" t="str">
        <f t="shared" si="812"/>
        <v>O50</v>
      </c>
      <c r="E2332" t="str">
        <f t="shared" ca="1" si="813"/>
        <v/>
      </c>
      <c r="F2332" t="str">
        <f t="shared" ca="1" si="814"/>
        <v xml:space="preserve">Enter a 'Higher of Land Purchase Price or Land Appraised Value****' for  building 47 in cell O50.
</v>
      </c>
      <c r="G2332" s="9" t="str">
        <f t="shared" ca="1" si="795"/>
        <v xml:space="preserve">Enter a value for 'Number of Floors in the Tallest Building' in cell B60.
</v>
      </c>
      <c r="H2332" s="52" t="str">
        <f t="shared" ca="1" si="815"/>
        <v>Higher of Land Purchase Price or Land Appraised Value****</v>
      </c>
      <c r="I2332" s="52">
        <v>15</v>
      </c>
    </row>
    <row r="2333" spans="1:10" ht="15" customHeight="1">
      <c r="A2333" t="str">
        <f ca="1">IF(AND(OFFSET(A2333, -I2333 + 2, 4) &gt;  0, E2333="", Calculations!$B$7), F2333, "")</f>
        <v/>
      </c>
      <c r="B2333">
        <f t="shared" si="811"/>
        <v>50</v>
      </c>
      <c r="C2333">
        <f t="shared" ca="1" si="797"/>
        <v>47</v>
      </c>
      <c r="D2333" t="str">
        <f t="shared" si="812"/>
        <v>P50</v>
      </c>
      <c r="E2333" t="str">
        <f t="shared" ca="1" si="813"/>
        <v/>
      </c>
      <c r="F2333" t="str">
        <f t="shared" ca="1" si="814"/>
        <v xml:space="preserve">Enter a 'Acquisition Placed-in-Service Date' for  building 47 in cell P50.
</v>
      </c>
      <c r="G2333" s="9" t="str">
        <f t="shared" ca="1" si="795"/>
        <v xml:space="preserve">Enter a value for 'Number of Floors in the Tallest Building' in cell B60.
</v>
      </c>
      <c r="H2333" s="52" t="str">
        <f t="shared" ca="1" si="815"/>
        <v>Acquisition Placed-in-Service Date</v>
      </c>
      <c r="I2333" s="52">
        <v>16</v>
      </c>
    </row>
    <row r="2334" spans="1:10" ht="15" customHeight="1">
      <c r="A2334" t="str">
        <f ca="1">IF(AND(OFFSET(A2334, -I2334 + 2, 4) &gt;  0, E2334="", Calculations!$B$7), F2334, "")</f>
        <v/>
      </c>
      <c r="B2334">
        <f t="shared" si="811"/>
        <v>50</v>
      </c>
      <c r="C2334">
        <f t="shared" ca="1" si="797"/>
        <v>47</v>
      </c>
      <c r="D2334" t="str">
        <f t="shared" si="812"/>
        <v>Q50</v>
      </c>
      <c r="E2334" t="str">
        <f t="shared" ca="1" si="813"/>
        <v/>
      </c>
      <c r="F2334" t="str">
        <f t="shared" ca="1" si="814"/>
        <v xml:space="preserve">Enter a 'Acquisition APR' for  building 47 in cell Q50.
</v>
      </c>
      <c r="G2334" s="9" t="str">
        <f t="shared" ca="1" si="795"/>
        <v xml:space="preserve">Enter a value for 'Number of Floors in the Tallest Building' in cell B60.
</v>
      </c>
      <c r="H2334" s="52" t="str">
        <f t="shared" ca="1" si="815"/>
        <v>Acquisition APR</v>
      </c>
      <c r="I2334" s="52">
        <v>17</v>
      </c>
    </row>
    <row r="2335" spans="1:10" ht="15" customHeight="1">
      <c r="A2335" t="str">
        <f ca="1">IF(AND(Calculations!$B$4,Calculations!$B$29&gt;=C2335, E2335 &lt;&gt; 13),F2335,"")</f>
        <v/>
      </c>
      <c r="B2335">
        <f>ROW('Final Building Profile'!C51)</f>
        <v>51</v>
      </c>
      <c r="C2335">
        <f t="shared" ca="1" si="797"/>
        <v>48</v>
      </c>
      <c r="D2335" t="str">
        <f>ADDRESS(B2335, 3,4  )</f>
        <v>C51</v>
      </c>
      <c r="E2335" s="52">
        <f ca="1">H2335+I2335</f>
        <v>0</v>
      </c>
      <c r="F2335" t="str">
        <f ca="1">CONCATENATE("Based upon the number of buildings specified, information for  building ", C2335, " required for a final application in row ", B2335, ".", CHAR(10))</f>
        <v xml:space="preserve">Based upon the number of buildings specified, information for  building 48 required for a final application in row 51.
</v>
      </c>
      <c r="G2335" s="9" t="str">
        <f t="shared" ca="1" si="795"/>
        <v xml:space="preserve">Enter a value for 'Number of Floors in the Tallest Building' in cell B60.
</v>
      </c>
      <c r="H2335" s="52">
        <f ca="1">SUMPRODUCT(--ISTEXT(INDIRECT(J2335)))</f>
        <v>0</v>
      </c>
      <c r="I2335" s="52">
        <f ca="1">SUMPRODUCT(--ISNUMBER(INDIRECT(J2335)))</f>
        <v>0</v>
      </c>
      <c r="J2335" s="52" t="str">
        <f>$F$1565&amp; ADDRESS(B2335,3,4) &amp; ":" &amp; ADDRESS(B2335,15,4)</f>
        <v>'Final Building Profile'!C51:O51</v>
      </c>
    </row>
    <row r="2336" spans="1:10" ht="15" customHeight="1">
      <c r="A2336" t="str">
        <f t="shared" ref="A2336:A2345" ca="1" si="816">IF(AND(OFFSET(A2336, -I2336 + 2, 4) &gt;  0, E2336=""), F2336, "")</f>
        <v/>
      </c>
      <c r="B2336">
        <f t="shared" ref="B2336:B2350" si="817">B2335</f>
        <v>51</v>
      </c>
      <c r="C2336">
        <f t="shared" ca="1" si="797"/>
        <v>48</v>
      </c>
      <c r="D2336" t="str">
        <f t="shared" ref="D2336:D2350" si="818">ADDRESS(B2336, I2336,4  )</f>
        <v>C51</v>
      </c>
      <c r="E2336" t="str">
        <f t="shared" ref="E2336:E2350" ca="1" si="819">IF(ISBLANK( INDIRECT($F$1565 &amp; D2336)),"", INDIRECT($F$1565 &amp; D2336))</f>
        <v/>
      </c>
      <c r="F2336" t="str">
        <f t="shared" ref="F2336:F2350" ca="1" si="820">CONCATENATE("Enter a '"&amp; H2336 &amp;"' for  building ", C2336, " in cell ", D2336, ".", CHAR(10))</f>
        <v xml:space="preserve">Enter a 'Building Street Address Only 
(DO NOT ENTER CITY, STATE, OR ZIP)' for  building 48 in cell C51.
</v>
      </c>
      <c r="G2336" s="9" t="str">
        <f t="shared" ref="G2336:G2399" ca="1" si="821">OFFSET(G2336, -1, 0) &amp; A2336</f>
        <v xml:space="preserve">Enter a value for 'Number of Floors in the Tallest Building' in cell B60.
</v>
      </c>
      <c r="H2336" s="52" t="str">
        <f t="shared" ref="H2336:H2350" ca="1" si="822">OFFSET(INDIRECT($F$1565 &amp; D2336), -B2336 + 3, 0)</f>
        <v>Building Street Address Only 
(DO NOT ENTER CITY, STATE, OR ZIP)</v>
      </c>
      <c r="I2336" s="52">
        <v>3</v>
      </c>
    </row>
    <row r="2337" spans="1:10" ht="15" customHeight="1">
      <c r="A2337" t="str">
        <f t="shared" ca="1" si="816"/>
        <v/>
      </c>
      <c r="B2337">
        <f t="shared" si="817"/>
        <v>51</v>
      </c>
      <c r="C2337">
        <f t="shared" ca="1" si="797"/>
        <v>48</v>
      </c>
      <c r="D2337" t="str">
        <f t="shared" si="818"/>
        <v>D51</v>
      </c>
      <c r="E2337" t="str">
        <f t="shared" ca="1" si="819"/>
        <v/>
      </c>
      <c r="F2337" t="str">
        <f t="shared" ca="1" si="820"/>
        <v xml:space="preserve">Enter a 'Total Units in Building*' for  building 48 in cell D51.
</v>
      </c>
      <c r="G2337" s="9" t="str">
        <f t="shared" ca="1" si="821"/>
        <v xml:space="preserve">Enter a value for 'Number of Floors in the Tallest Building' in cell B60.
</v>
      </c>
      <c r="H2337" s="52" t="str">
        <f t="shared" ca="1" si="822"/>
        <v>Total Units in Building*</v>
      </c>
      <c r="I2337" s="52">
        <v>4</v>
      </c>
    </row>
    <row r="2338" spans="1:10" ht="15" customHeight="1">
      <c r="A2338" t="str">
        <f t="shared" ca="1" si="816"/>
        <v/>
      </c>
      <c r="B2338">
        <f t="shared" si="817"/>
        <v>51</v>
      </c>
      <c r="C2338">
        <f t="shared" ca="1" si="797"/>
        <v>48</v>
      </c>
      <c r="D2338" t="str">
        <f t="shared" si="818"/>
        <v>E51</v>
      </c>
      <c r="E2338" t="str">
        <f t="shared" ca="1" si="819"/>
        <v/>
      </c>
      <c r="F2338" t="str">
        <f t="shared" ca="1" si="820"/>
        <v xml:space="preserve">Enter a 'Employee Units' for  building 48 in cell E51.
</v>
      </c>
      <c r="G2338" s="9" t="str">
        <f t="shared" ca="1" si="821"/>
        <v xml:space="preserve">Enter a value for 'Number of Floors in the Tallest Building' in cell B60.
</v>
      </c>
      <c r="H2338" s="52" t="str">
        <f t="shared" ca="1" si="822"/>
        <v>Employee Units</v>
      </c>
      <c r="I2338" s="52">
        <v>5</v>
      </c>
    </row>
    <row r="2339" spans="1:10" ht="15" customHeight="1">
      <c r="A2339" t="str">
        <f t="shared" ca="1" si="816"/>
        <v/>
      </c>
      <c r="B2339">
        <f t="shared" si="817"/>
        <v>51</v>
      </c>
      <c r="C2339">
        <f t="shared" ca="1" si="797"/>
        <v>48</v>
      </c>
      <c r="D2339" t="str">
        <f t="shared" si="818"/>
        <v>F51</v>
      </c>
      <c r="E2339" t="str">
        <f t="shared" ca="1" si="819"/>
        <v/>
      </c>
      <c r="F2339" t="str">
        <f t="shared" ca="1" si="820"/>
        <v xml:space="preserve">Enter a 'Low-Income Units' for  building 48 in cell F51.
</v>
      </c>
      <c r="G2339" s="9" t="str">
        <f t="shared" ca="1" si="821"/>
        <v xml:space="preserve">Enter a value for 'Number of Floors in the Tallest Building' in cell B60.
</v>
      </c>
      <c r="H2339" s="52" t="str">
        <f t="shared" ca="1" si="822"/>
        <v>Low-Income Units</v>
      </c>
      <c r="I2339" s="52">
        <v>6</v>
      </c>
    </row>
    <row r="2340" spans="1:10" ht="15" customHeight="1">
      <c r="A2340" t="str">
        <f t="shared" ca="1" si="816"/>
        <v/>
      </c>
      <c r="B2340">
        <f t="shared" si="817"/>
        <v>51</v>
      </c>
      <c r="C2340">
        <f t="shared" ca="1" si="797"/>
        <v>48</v>
      </c>
      <c r="D2340" t="str">
        <f t="shared" si="818"/>
        <v>G51</v>
      </c>
      <c r="E2340" t="str">
        <f t="shared" ca="1" si="819"/>
        <v/>
      </c>
      <c r="F2340" t="str">
        <f t="shared" ca="1" si="820"/>
        <v xml:space="preserve">Enter a 'Residential Square Footage**' for  building 48 in cell G51.
</v>
      </c>
      <c r="G2340" s="9" t="str">
        <f t="shared" ca="1" si="821"/>
        <v xml:space="preserve">Enter a value for 'Number of Floors in the Tallest Building' in cell B60.
</v>
      </c>
      <c r="H2340" s="52" t="str">
        <f t="shared" ca="1" si="822"/>
        <v>Residential Square Footage**</v>
      </c>
      <c r="I2340" s="52">
        <v>7</v>
      </c>
    </row>
    <row r="2341" spans="1:10" ht="15" customHeight="1">
      <c r="A2341" t="str">
        <f t="shared" ca="1" si="816"/>
        <v/>
      </c>
      <c r="B2341">
        <f t="shared" si="817"/>
        <v>51</v>
      </c>
      <c r="C2341">
        <f t="shared" ca="1" si="797"/>
        <v>48</v>
      </c>
      <c r="D2341" t="str">
        <f t="shared" si="818"/>
        <v>H51</v>
      </c>
      <c r="E2341" t="str">
        <f t="shared" ca="1" si="819"/>
        <v/>
      </c>
      <c r="F2341" t="str">
        <f t="shared" ca="1" si="820"/>
        <v xml:space="preserve">Enter a 'Square Footage of Employee Units' for  building 48 in cell H51.
</v>
      </c>
      <c r="G2341" s="9" t="str">
        <f t="shared" ca="1" si="821"/>
        <v xml:space="preserve">Enter a value for 'Number of Floors in the Tallest Building' in cell B60.
</v>
      </c>
      <c r="H2341" s="52" t="str">
        <f t="shared" ca="1" si="822"/>
        <v>Square Footage of Employee Units</v>
      </c>
      <c r="I2341" s="52">
        <v>8</v>
      </c>
    </row>
    <row r="2342" spans="1:10" ht="15" customHeight="1">
      <c r="A2342" t="str">
        <f t="shared" ca="1" si="816"/>
        <v/>
      </c>
      <c r="B2342">
        <f t="shared" si="817"/>
        <v>51</v>
      </c>
      <c r="C2342">
        <f t="shared" ca="1" si="797"/>
        <v>48</v>
      </c>
      <c r="D2342" t="str">
        <f t="shared" si="818"/>
        <v>I51</v>
      </c>
      <c r="E2342" t="str">
        <f t="shared" ca="1" si="819"/>
        <v/>
      </c>
      <c r="F2342" t="str">
        <f t="shared" ca="1" si="820"/>
        <v xml:space="preserve">Enter a 'Square Footage of Low-Income Units' for  building 48 in cell I51.
</v>
      </c>
      <c r="G2342" s="9" t="str">
        <f t="shared" ca="1" si="821"/>
        <v xml:space="preserve">Enter a value for 'Number of Floors in the Tallest Building' in cell B60.
</v>
      </c>
      <c r="H2342" s="52" t="str">
        <f t="shared" ca="1" si="822"/>
        <v>Square Footage of Low-Income Units</v>
      </c>
      <c r="I2342" s="52">
        <v>9</v>
      </c>
    </row>
    <row r="2343" spans="1:10" ht="15" customHeight="1">
      <c r="A2343" t="str">
        <f t="shared" ca="1" si="816"/>
        <v/>
      </c>
      <c r="B2343">
        <f t="shared" si="817"/>
        <v>51</v>
      </c>
      <c r="C2343">
        <f t="shared" ca="1" si="797"/>
        <v>48</v>
      </c>
      <c r="D2343" t="str">
        <f t="shared" si="818"/>
        <v>J51</v>
      </c>
      <c r="E2343" t="str">
        <f t="shared" ca="1" si="819"/>
        <v/>
      </c>
      <c r="F2343" t="str">
        <f t="shared" ca="1" si="820"/>
        <v xml:space="preserve">Enter a 'Placed-In-Service Date' for  building 48 in cell J51.
</v>
      </c>
      <c r="G2343" s="9" t="str">
        <f t="shared" ca="1" si="821"/>
        <v xml:space="preserve">Enter a value for 'Number of Floors in the Tallest Building' in cell B60.
</v>
      </c>
      <c r="H2343" s="52" t="str">
        <f t="shared" ca="1" si="822"/>
        <v>Placed-In-Service Date</v>
      </c>
      <c r="I2343" s="52">
        <v>10</v>
      </c>
    </row>
    <row r="2344" spans="1:10" ht="15" customHeight="1">
      <c r="A2344" t="str">
        <f t="shared" ca="1" si="816"/>
        <v/>
      </c>
      <c r="B2344">
        <f t="shared" si="817"/>
        <v>51</v>
      </c>
      <c r="C2344">
        <f t="shared" ca="1" si="797"/>
        <v>48</v>
      </c>
      <c r="D2344" t="str">
        <f t="shared" si="818"/>
        <v>K51</v>
      </c>
      <c r="E2344" t="str">
        <f t="shared" ca="1" si="819"/>
        <v/>
      </c>
      <c r="F2344" t="str">
        <f t="shared" ca="1" si="820"/>
        <v xml:space="preserve">Enter a 'New Construction/ Rehab APR' for  building 48 in cell K51.
</v>
      </c>
      <c r="G2344" s="9" t="str">
        <f t="shared" ca="1" si="821"/>
        <v xml:space="preserve">Enter a value for 'Number of Floors in the Tallest Building' in cell B60.
</v>
      </c>
      <c r="H2344" s="52" t="str">
        <f t="shared" ca="1" si="822"/>
        <v>New Construction/ Rehab APR</v>
      </c>
      <c r="I2344" s="52">
        <v>11</v>
      </c>
    </row>
    <row r="2345" spans="1:10" ht="15" customHeight="1">
      <c r="A2345" t="str">
        <f t="shared" ca="1" si="816"/>
        <v/>
      </c>
      <c r="B2345">
        <f t="shared" si="817"/>
        <v>51</v>
      </c>
      <c r="C2345">
        <f t="shared" ca="1" si="797"/>
        <v>48</v>
      </c>
      <c r="D2345" t="str">
        <f t="shared" si="818"/>
        <v>L51</v>
      </c>
      <c r="E2345" t="str">
        <f t="shared" ca="1" si="819"/>
        <v/>
      </c>
      <c r="F2345" t="str">
        <f t="shared" ca="1" si="820"/>
        <v xml:space="preserve">Enter a 'New Construction Eligible Basis' for  building 48 in cell L51.
</v>
      </c>
      <c r="G2345" s="9" t="str">
        <f t="shared" ca="1" si="821"/>
        <v xml:space="preserve">Enter a value for 'Number of Floors in the Tallest Building' in cell B60.
</v>
      </c>
      <c r="H2345" s="52" t="str">
        <f t="shared" ca="1" si="822"/>
        <v>New Construction Eligible Basis</v>
      </c>
      <c r="I2345" s="52">
        <v>12</v>
      </c>
    </row>
    <row r="2346" spans="1:10" ht="15" customHeight="1">
      <c r="A2346" t="str">
        <f ca="1">IF(AND(OFFSET(A2346, -I2346 + 2, 4) &gt;  0, E2346="", Calculations!$B$7), F2346, "")</f>
        <v/>
      </c>
      <c r="B2346">
        <f t="shared" si="817"/>
        <v>51</v>
      </c>
      <c r="C2346">
        <f t="shared" ca="1" si="797"/>
        <v>48</v>
      </c>
      <c r="D2346" t="str">
        <f t="shared" si="818"/>
        <v>M51</v>
      </c>
      <c r="E2346" t="str">
        <f t="shared" ca="1" si="819"/>
        <v/>
      </c>
      <c r="F2346" t="str">
        <f t="shared" ca="1" si="820"/>
        <v xml:space="preserve">Enter a 'Eligible Basis for Rehab' for  building 48 in cell M51.
</v>
      </c>
      <c r="G2346" s="9" t="str">
        <f t="shared" ca="1" si="821"/>
        <v xml:space="preserve">Enter a value for 'Number of Floors in the Tallest Building' in cell B60.
</v>
      </c>
      <c r="H2346" s="52" t="str">
        <f t="shared" ca="1" si="822"/>
        <v>Eligible Basis for Rehab</v>
      </c>
      <c r="I2346" s="52">
        <v>13</v>
      </c>
    </row>
    <row r="2347" spans="1:10" ht="15" customHeight="1">
      <c r="A2347" t="str">
        <f ca="1">IF(AND(OFFSET(A2347, -I2347 + 2, 4) &gt;  0, E2347="", Calculations!$B$7), F2347, "")</f>
        <v/>
      </c>
      <c r="B2347">
        <f t="shared" si="817"/>
        <v>51</v>
      </c>
      <c r="C2347">
        <f t="shared" ca="1" si="797"/>
        <v>48</v>
      </c>
      <c r="D2347" t="str">
        <f t="shared" si="818"/>
        <v>N51</v>
      </c>
      <c r="E2347" t="str">
        <f t="shared" ca="1" si="819"/>
        <v/>
      </c>
      <c r="F2347" t="str">
        <f t="shared" ca="1" si="820"/>
        <v xml:space="preserve">Enter a 'Cost of Acquiring the Building***' for  building 48 in cell N51.
</v>
      </c>
      <c r="G2347" s="9" t="str">
        <f t="shared" ca="1" si="821"/>
        <v xml:space="preserve">Enter a value for 'Number of Floors in the Tallest Building' in cell B60.
</v>
      </c>
      <c r="H2347" s="52" t="str">
        <f t="shared" ca="1" si="822"/>
        <v>Cost of Acquiring the Building***</v>
      </c>
      <c r="I2347" s="52">
        <v>14</v>
      </c>
    </row>
    <row r="2348" spans="1:10" ht="15" customHeight="1">
      <c r="A2348" t="str">
        <f ca="1">IF(AND(OFFSET(A2348, -I2348 + 2, 4) &gt;  0, E2348="", Calculations!$B$7), F2348, "")</f>
        <v/>
      </c>
      <c r="B2348">
        <f t="shared" si="817"/>
        <v>51</v>
      </c>
      <c r="C2348">
        <f t="shared" ca="1" si="797"/>
        <v>48</v>
      </c>
      <c r="D2348" t="str">
        <f t="shared" si="818"/>
        <v>O51</v>
      </c>
      <c r="E2348" t="str">
        <f t="shared" ca="1" si="819"/>
        <v/>
      </c>
      <c r="F2348" t="str">
        <f t="shared" ca="1" si="820"/>
        <v xml:space="preserve">Enter a 'Higher of Land Purchase Price or Land Appraised Value****' for  building 48 in cell O51.
</v>
      </c>
      <c r="G2348" s="9" t="str">
        <f t="shared" ca="1" si="821"/>
        <v xml:space="preserve">Enter a value for 'Number of Floors in the Tallest Building' in cell B60.
</v>
      </c>
      <c r="H2348" s="52" t="str">
        <f t="shared" ca="1" si="822"/>
        <v>Higher of Land Purchase Price or Land Appraised Value****</v>
      </c>
      <c r="I2348" s="52">
        <v>15</v>
      </c>
    </row>
    <row r="2349" spans="1:10" ht="15" customHeight="1">
      <c r="A2349" t="str">
        <f ca="1">IF(AND(OFFSET(A2349, -I2349 + 2, 4) &gt;  0, E2349="", Calculations!$B$7), F2349, "")</f>
        <v/>
      </c>
      <c r="B2349">
        <f t="shared" si="817"/>
        <v>51</v>
      </c>
      <c r="C2349">
        <f t="shared" ca="1" si="797"/>
        <v>48</v>
      </c>
      <c r="D2349" t="str">
        <f t="shared" si="818"/>
        <v>P51</v>
      </c>
      <c r="E2349" t="str">
        <f t="shared" ca="1" si="819"/>
        <v/>
      </c>
      <c r="F2349" t="str">
        <f t="shared" ca="1" si="820"/>
        <v xml:space="preserve">Enter a 'Acquisition Placed-in-Service Date' for  building 48 in cell P51.
</v>
      </c>
      <c r="G2349" s="9" t="str">
        <f t="shared" ca="1" si="821"/>
        <v xml:space="preserve">Enter a value for 'Number of Floors in the Tallest Building' in cell B60.
</v>
      </c>
      <c r="H2349" s="52" t="str">
        <f t="shared" ca="1" si="822"/>
        <v>Acquisition Placed-in-Service Date</v>
      </c>
      <c r="I2349" s="52">
        <v>16</v>
      </c>
    </row>
    <row r="2350" spans="1:10" ht="15" customHeight="1">
      <c r="A2350" t="str">
        <f ca="1">IF(AND(OFFSET(A2350, -I2350 + 2, 4) &gt;  0, E2350="", Calculations!$B$7), F2350, "")</f>
        <v/>
      </c>
      <c r="B2350">
        <f t="shared" si="817"/>
        <v>51</v>
      </c>
      <c r="C2350">
        <f t="shared" ca="1" si="797"/>
        <v>48</v>
      </c>
      <c r="D2350" t="str">
        <f t="shared" si="818"/>
        <v>Q51</v>
      </c>
      <c r="E2350" t="str">
        <f t="shared" ca="1" si="819"/>
        <v/>
      </c>
      <c r="F2350" t="str">
        <f t="shared" ca="1" si="820"/>
        <v xml:space="preserve">Enter a 'Acquisition APR' for  building 48 in cell Q51.
</v>
      </c>
      <c r="G2350" s="9" t="str">
        <f t="shared" ca="1" si="821"/>
        <v xml:space="preserve">Enter a value for 'Number of Floors in the Tallest Building' in cell B60.
</v>
      </c>
      <c r="H2350" s="52" t="str">
        <f t="shared" ca="1" si="822"/>
        <v>Acquisition APR</v>
      </c>
      <c r="I2350" s="52">
        <v>17</v>
      </c>
    </row>
    <row r="2351" spans="1:10" ht="15" customHeight="1">
      <c r="A2351" t="str">
        <f ca="1">IF(AND(Calculations!$B$4,Calculations!$B$29&gt;=C2351, E2351 &lt;&gt; 13),F2351,"")</f>
        <v/>
      </c>
      <c r="B2351">
        <f>ROW('Final Building Profile'!C52)</f>
        <v>52</v>
      </c>
      <c r="C2351">
        <f t="shared" ref="C2351:C2414" ca="1" si="823">INDIRECT($F$1565 &amp; ADDRESS(B2351, 1,4  ))</f>
        <v>49</v>
      </c>
      <c r="D2351" t="str">
        <f>ADDRESS(B2351, 3,4  )</f>
        <v>C52</v>
      </c>
      <c r="E2351" s="52">
        <f ca="1">H2351+I2351</f>
        <v>0</v>
      </c>
      <c r="F2351" t="str">
        <f ca="1">CONCATENATE("Based upon the number of buildings specified, information for  building ", C2351, " required for a final application in row ", B2351, ".", CHAR(10))</f>
        <v xml:space="preserve">Based upon the number of buildings specified, information for  building 49 required for a final application in row 52.
</v>
      </c>
      <c r="G2351" s="9" t="str">
        <f t="shared" ca="1" si="821"/>
        <v xml:space="preserve">Enter a value for 'Number of Floors in the Tallest Building' in cell B60.
</v>
      </c>
      <c r="H2351" s="52">
        <f ca="1">SUMPRODUCT(--ISTEXT(INDIRECT(J2351)))</f>
        <v>0</v>
      </c>
      <c r="I2351" s="52">
        <f ca="1">SUMPRODUCT(--ISNUMBER(INDIRECT(J2351)))</f>
        <v>0</v>
      </c>
      <c r="J2351" s="52" t="str">
        <f>$F$1565&amp; ADDRESS(B2351,3,4) &amp; ":" &amp; ADDRESS(B2351,15,4)</f>
        <v>'Final Building Profile'!C52:O52</v>
      </c>
    </row>
    <row r="2352" spans="1:10" ht="15" customHeight="1">
      <c r="A2352" t="str">
        <f t="shared" ref="A2352:A2361" ca="1" si="824">IF(AND(OFFSET(A2352, -I2352 + 2, 4) &gt;  0, E2352=""), F2352, "")</f>
        <v/>
      </c>
      <c r="B2352">
        <f t="shared" ref="B2352:B2366" si="825">B2351</f>
        <v>52</v>
      </c>
      <c r="C2352">
        <f t="shared" ca="1" si="823"/>
        <v>49</v>
      </c>
      <c r="D2352" t="str">
        <f t="shared" ref="D2352:D2366" si="826">ADDRESS(B2352, I2352,4  )</f>
        <v>C52</v>
      </c>
      <c r="E2352" t="str">
        <f t="shared" ref="E2352:E2366" ca="1" si="827">IF(ISBLANK( INDIRECT($F$1565 &amp; D2352)),"", INDIRECT($F$1565 &amp; D2352))</f>
        <v/>
      </c>
      <c r="F2352" t="str">
        <f t="shared" ref="F2352:F2366" ca="1" si="828">CONCATENATE("Enter a '"&amp; H2352 &amp;"' for  building ", C2352, " in cell ", D2352, ".", CHAR(10))</f>
        <v xml:space="preserve">Enter a 'Building Street Address Only 
(DO NOT ENTER CITY, STATE, OR ZIP)' for  building 49 in cell C52.
</v>
      </c>
      <c r="G2352" s="9" t="str">
        <f t="shared" ca="1" si="821"/>
        <v xml:space="preserve">Enter a value for 'Number of Floors in the Tallest Building' in cell B60.
</v>
      </c>
      <c r="H2352" s="52" t="str">
        <f t="shared" ref="H2352:H2366" ca="1" si="829">OFFSET(INDIRECT($F$1565 &amp; D2352), -B2352 + 3, 0)</f>
        <v>Building Street Address Only 
(DO NOT ENTER CITY, STATE, OR ZIP)</v>
      </c>
      <c r="I2352" s="52">
        <v>3</v>
      </c>
    </row>
    <row r="2353" spans="1:10" ht="15" customHeight="1">
      <c r="A2353" t="str">
        <f t="shared" ca="1" si="824"/>
        <v/>
      </c>
      <c r="B2353">
        <f t="shared" si="825"/>
        <v>52</v>
      </c>
      <c r="C2353">
        <f t="shared" ca="1" si="823"/>
        <v>49</v>
      </c>
      <c r="D2353" t="str">
        <f t="shared" si="826"/>
        <v>D52</v>
      </c>
      <c r="E2353" t="str">
        <f t="shared" ca="1" si="827"/>
        <v/>
      </c>
      <c r="F2353" t="str">
        <f t="shared" ca="1" si="828"/>
        <v xml:space="preserve">Enter a 'Total Units in Building*' for  building 49 in cell D52.
</v>
      </c>
      <c r="G2353" s="9" t="str">
        <f t="shared" ca="1" si="821"/>
        <v xml:space="preserve">Enter a value for 'Number of Floors in the Tallest Building' in cell B60.
</v>
      </c>
      <c r="H2353" s="52" t="str">
        <f t="shared" ca="1" si="829"/>
        <v>Total Units in Building*</v>
      </c>
      <c r="I2353" s="52">
        <v>4</v>
      </c>
    </row>
    <row r="2354" spans="1:10" ht="15" customHeight="1">
      <c r="A2354" t="str">
        <f t="shared" ca="1" si="824"/>
        <v/>
      </c>
      <c r="B2354">
        <f t="shared" si="825"/>
        <v>52</v>
      </c>
      <c r="C2354">
        <f t="shared" ca="1" si="823"/>
        <v>49</v>
      </c>
      <c r="D2354" t="str">
        <f t="shared" si="826"/>
        <v>E52</v>
      </c>
      <c r="E2354" t="str">
        <f t="shared" ca="1" si="827"/>
        <v/>
      </c>
      <c r="F2354" t="str">
        <f t="shared" ca="1" si="828"/>
        <v xml:space="preserve">Enter a 'Employee Units' for  building 49 in cell E52.
</v>
      </c>
      <c r="G2354" s="9" t="str">
        <f t="shared" ca="1" si="821"/>
        <v xml:space="preserve">Enter a value for 'Number of Floors in the Tallest Building' in cell B60.
</v>
      </c>
      <c r="H2354" s="52" t="str">
        <f t="shared" ca="1" si="829"/>
        <v>Employee Units</v>
      </c>
      <c r="I2354" s="52">
        <v>5</v>
      </c>
    </row>
    <row r="2355" spans="1:10" ht="15" customHeight="1">
      <c r="A2355" t="str">
        <f t="shared" ca="1" si="824"/>
        <v/>
      </c>
      <c r="B2355">
        <f t="shared" si="825"/>
        <v>52</v>
      </c>
      <c r="C2355">
        <f t="shared" ca="1" si="823"/>
        <v>49</v>
      </c>
      <c r="D2355" t="str">
        <f t="shared" si="826"/>
        <v>F52</v>
      </c>
      <c r="E2355" t="str">
        <f t="shared" ca="1" si="827"/>
        <v/>
      </c>
      <c r="F2355" t="str">
        <f t="shared" ca="1" si="828"/>
        <v xml:space="preserve">Enter a 'Low-Income Units' for  building 49 in cell F52.
</v>
      </c>
      <c r="G2355" s="9" t="str">
        <f t="shared" ca="1" si="821"/>
        <v xml:space="preserve">Enter a value for 'Number of Floors in the Tallest Building' in cell B60.
</v>
      </c>
      <c r="H2355" s="52" t="str">
        <f t="shared" ca="1" si="829"/>
        <v>Low-Income Units</v>
      </c>
      <c r="I2355" s="52">
        <v>6</v>
      </c>
    </row>
    <row r="2356" spans="1:10" ht="15" customHeight="1">
      <c r="A2356" t="str">
        <f t="shared" ca="1" si="824"/>
        <v/>
      </c>
      <c r="B2356">
        <f t="shared" si="825"/>
        <v>52</v>
      </c>
      <c r="C2356">
        <f t="shared" ca="1" si="823"/>
        <v>49</v>
      </c>
      <c r="D2356" t="str">
        <f t="shared" si="826"/>
        <v>G52</v>
      </c>
      <c r="E2356" t="str">
        <f t="shared" ca="1" si="827"/>
        <v/>
      </c>
      <c r="F2356" t="str">
        <f t="shared" ca="1" si="828"/>
        <v xml:space="preserve">Enter a 'Residential Square Footage**' for  building 49 in cell G52.
</v>
      </c>
      <c r="G2356" s="9" t="str">
        <f t="shared" ca="1" si="821"/>
        <v xml:space="preserve">Enter a value for 'Number of Floors in the Tallest Building' in cell B60.
</v>
      </c>
      <c r="H2356" s="52" t="str">
        <f t="shared" ca="1" si="829"/>
        <v>Residential Square Footage**</v>
      </c>
      <c r="I2356" s="52">
        <v>7</v>
      </c>
    </row>
    <row r="2357" spans="1:10" ht="15" customHeight="1">
      <c r="A2357" t="str">
        <f t="shared" ca="1" si="824"/>
        <v/>
      </c>
      <c r="B2357">
        <f t="shared" si="825"/>
        <v>52</v>
      </c>
      <c r="C2357">
        <f t="shared" ca="1" si="823"/>
        <v>49</v>
      </c>
      <c r="D2357" t="str">
        <f t="shared" si="826"/>
        <v>H52</v>
      </c>
      <c r="E2357" t="str">
        <f t="shared" ca="1" si="827"/>
        <v/>
      </c>
      <c r="F2357" t="str">
        <f t="shared" ca="1" si="828"/>
        <v xml:space="preserve">Enter a 'Square Footage of Employee Units' for  building 49 in cell H52.
</v>
      </c>
      <c r="G2357" s="9" t="str">
        <f t="shared" ca="1" si="821"/>
        <v xml:space="preserve">Enter a value for 'Number of Floors in the Tallest Building' in cell B60.
</v>
      </c>
      <c r="H2357" s="52" t="str">
        <f t="shared" ca="1" si="829"/>
        <v>Square Footage of Employee Units</v>
      </c>
      <c r="I2357" s="52">
        <v>8</v>
      </c>
    </row>
    <row r="2358" spans="1:10" ht="15" customHeight="1">
      <c r="A2358" t="str">
        <f t="shared" ca="1" si="824"/>
        <v/>
      </c>
      <c r="B2358">
        <f t="shared" si="825"/>
        <v>52</v>
      </c>
      <c r="C2358">
        <f t="shared" ca="1" si="823"/>
        <v>49</v>
      </c>
      <c r="D2358" t="str">
        <f t="shared" si="826"/>
        <v>I52</v>
      </c>
      <c r="E2358" t="str">
        <f t="shared" ca="1" si="827"/>
        <v/>
      </c>
      <c r="F2358" t="str">
        <f t="shared" ca="1" si="828"/>
        <v xml:space="preserve">Enter a 'Square Footage of Low-Income Units' for  building 49 in cell I52.
</v>
      </c>
      <c r="G2358" s="9" t="str">
        <f t="shared" ca="1" si="821"/>
        <v xml:space="preserve">Enter a value for 'Number of Floors in the Tallest Building' in cell B60.
</v>
      </c>
      <c r="H2358" s="52" t="str">
        <f t="shared" ca="1" si="829"/>
        <v>Square Footage of Low-Income Units</v>
      </c>
      <c r="I2358" s="52">
        <v>9</v>
      </c>
    </row>
    <row r="2359" spans="1:10" ht="15" customHeight="1">
      <c r="A2359" t="str">
        <f t="shared" ca="1" si="824"/>
        <v/>
      </c>
      <c r="B2359">
        <f t="shared" si="825"/>
        <v>52</v>
      </c>
      <c r="C2359">
        <f t="shared" ca="1" si="823"/>
        <v>49</v>
      </c>
      <c r="D2359" t="str">
        <f t="shared" si="826"/>
        <v>J52</v>
      </c>
      <c r="E2359" t="str">
        <f t="shared" ca="1" si="827"/>
        <v/>
      </c>
      <c r="F2359" t="str">
        <f t="shared" ca="1" si="828"/>
        <v xml:space="preserve">Enter a 'Placed-In-Service Date' for  building 49 in cell J52.
</v>
      </c>
      <c r="G2359" s="9" t="str">
        <f t="shared" ca="1" si="821"/>
        <v xml:space="preserve">Enter a value for 'Number of Floors in the Tallest Building' in cell B60.
</v>
      </c>
      <c r="H2359" s="52" t="str">
        <f t="shared" ca="1" si="829"/>
        <v>Placed-In-Service Date</v>
      </c>
      <c r="I2359" s="52">
        <v>10</v>
      </c>
    </row>
    <row r="2360" spans="1:10" ht="15" customHeight="1">
      <c r="A2360" t="str">
        <f t="shared" ca="1" si="824"/>
        <v/>
      </c>
      <c r="B2360">
        <f t="shared" si="825"/>
        <v>52</v>
      </c>
      <c r="C2360">
        <f t="shared" ca="1" si="823"/>
        <v>49</v>
      </c>
      <c r="D2360" t="str">
        <f t="shared" si="826"/>
        <v>K52</v>
      </c>
      <c r="E2360" t="str">
        <f t="shared" ca="1" si="827"/>
        <v/>
      </c>
      <c r="F2360" t="str">
        <f t="shared" ca="1" si="828"/>
        <v xml:space="preserve">Enter a 'New Construction/ Rehab APR' for  building 49 in cell K52.
</v>
      </c>
      <c r="G2360" s="9" t="str">
        <f t="shared" ca="1" si="821"/>
        <v xml:space="preserve">Enter a value for 'Number of Floors in the Tallest Building' in cell B60.
</v>
      </c>
      <c r="H2360" s="52" t="str">
        <f t="shared" ca="1" si="829"/>
        <v>New Construction/ Rehab APR</v>
      </c>
      <c r="I2360" s="52">
        <v>11</v>
      </c>
    </row>
    <row r="2361" spans="1:10" ht="15" customHeight="1">
      <c r="A2361" t="str">
        <f t="shared" ca="1" si="824"/>
        <v/>
      </c>
      <c r="B2361">
        <f t="shared" si="825"/>
        <v>52</v>
      </c>
      <c r="C2361">
        <f t="shared" ca="1" si="823"/>
        <v>49</v>
      </c>
      <c r="D2361" t="str">
        <f t="shared" si="826"/>
        <v>L52</v>
      </c>
      <c r="E2361" t="str">
        <f t="shared" ca="1" si="827"/>
        <v/>
      </c>
      <c r="F2361" t="str">
        <f t="shared" ca="1" si="828"/>
        <v xml:space="preserve">Enter a 'New Construction Eligible Basis' for  building 49 in cell L52.
</v>
      </c>
      <c r="G2361" s="9" t="str">
        <f t="shared" ca="1" si="821"/>
        <v xml:space="preserve">Enter a value for 'Number of Floors in the Tallest Building' in cell B60.
</v>
      </c>
      <c r="H2361" s="52" t="str">
        <f t="shared" ca="1" si="829"/>
        <v>New Construction Eligible Basis</v>
      </c>
      <c r="I2361" s="52">
        <v>12</v>
      </c>
    </row>
    <row r="2362" spans="1:10" ht="15" customHeight="1">
      <c r="A2362" t="str">
        <f ca="1">IF(AND(OFFSET(A2362, -I2362 + 2, 4) &gt;  0, E2362="", Calculations!$B$7), F2362, "")</f>
        <v/>
      </c>
      <c r="B2362">
        <f t="shared" si="825"/>
        <v>52</v>
      </c>
      <c r="C2362">
        <f t="shared" ca="1" si="823"/>
        <v>49</v>
      </c>
      <c r="D2362" t="str">
        <f t="shared" si="826"/>
        <v>M52</v>
      </c>
      <c r="E2362" t="str">
        <f t="shared" ca="1" si="827"/>
        <v/>
      </c>
      <c r="F2362" t="str">
        <f t="shared" ca="1" si="828"/>
        <v xml:space="preserve">Enter a 'Eligible Basis for Rehab' for  building 49 in cell M52.
</v>
      </c>
      <c r="G2362" s="9" t="str">
        <f t="shared" ca="1" si="821"/>
        <v xml:space="preserve">Enter a value for 'Number of Floors in the Tallest Building' in cell B60.
</v>
      </c>
      <c r="H2362" s="52" t="str">
        <f t="shared" ca="1" si="829"/>
        <v>Eligible Basis for Rehab</v>
      </c>
      <c r="I2362" s="52">
        <v>13</v>
      </c>
    </row>
    <row r="2363" spans="1:10" ht="15" customHeight="1">
      <c r="A2363" t="str">
        <f ca="1">IF(AND(OFFSET(A2363, -I2363 + 2, 4) &gt;  0, E2363="", Calculations!$B$7), F2363, "")</f>
        <v/>
      </c>
      <c r="B2363">
        <f t="shared" si="825"/>
        <v>52</v>
      </c>
      <c r="C2363">
        <f t="shared" ca="1" si="823"/>
        <v>49</v>
      </c>
      <c r="D2363" t="str">
        <f t="shared" si="826"/>
        <v>N52</v>
      </c>
      <c r="E2363" t="str">
        <f t="shared" ca="1" si="827"/>
        <v/>
      </c>
      <c r="F2363" t="str">
        <f t="shared" ca="1" si="828"/>
        <v xml:space="preserve">Enter a 'Cost of Acquiring the Building***' for  building 49 in cell N52.
</v>
      </c>
      <c r="G2363" s="9" t="str">
        <f t="shared" ca="1" si="821"/>
        <v xml:space="preserve">Enter a value for 'Number of Floors in the Tallest Building' in cell B60.
</v>
      </c>
      <c r="H2363" s="52" t="str">
        <f t="shared" ca="1" si="829"/>
        <v>Cost of Acquiring the Building***</v>
      </c>
      <c r="I2363" s="52">
        <v>14</v>
      </c>
    </row>
    <row r="2364" spans="1:10" ht="15" customHeight="1">
      <c r="A2364" t="str">
        <f ca="1">IF(AND(OFFSET(A2364, -I2364 + 2, 4) &gt;  0, E2364="", Calculations!$B$7), F2364, "")</f>
        <v/>
      </c>
      <c r="B2364">
        <f t="shared" si="825"/>
        <v>52</v>
      </c>
      <c r="C2364">
        <f t="shared" ca="1" si="823"/>
        <v>49</v>
      </c>
      <c r="D2364" t="str">
        <f t="shared" si="826"/>
        <v>O52</v>
      </c>
      <c r="E2364" t="str">
        <f t="shared" ca="1" si="827"/>
        <v/>
      </c>
      <c r="F2364" t="str">
        <f t="shared" ca="1" si="828"/>
        <v xml:space="preserve">Enter a 'Higher of Land Purchase Price or Land Appraised Value****' for  building 49 in cell O52.
</v>
      </c>
      <c r="G2364" s="9" t="str">
        <f t="shared" ca="1" si="821"/>
        <v xml:space="preserve">Enter a value for 'Number of Floors in the Tallest Building' in cell B60.
</v>
      </c>
      <c r="H2364" s="52" t="str">
        <f t="shared" ca="1" si="829"/>
        <v>Higher of Land Purchase Price or Land Appraised Value****</v>
      </c>
      <c r="I2364" s="52">
        <v>15</v>
      </c>
    </row>
    <row r="2365" spans="1:10" ht="15" customHeight="1">
      <c r="A2365" t="str">
        <f ca="1">IF(AND(OFFSET(A2365, -I2365 + 2, 4) &gt;  0, E2365="", Calculations!$B$7), F2365, "")</f>
        <v/>
      </c>
      <c r="B2365">
        <f t="shared" si="825"/>
        <v>52</v>
      </c>
      <c r="C2365">
        <f t="shared" ca="1" si="823"/>
        <v>49</v>
      </c>
      <c r="D2365" t="str">
        <f t="shared" si="826"/>
        <v>P52</v>
      </c>
      <c r="E2365" t="str">
        <f t="shared" ca="1" si="827"/>
        <v/>
      </c>
      <c r="F2365" t="str">
        <f t="shared" ca="1" si="828"/>
        <v xml:space="preserve">Enter a 'Acquisition Placed-in-Service Date' for  building 49 in cell P52.
</v>
      </c>
      <c r="G2365" s="9" t="str">
        <f t="shared" ca="1" si="821"/>
        <v xml:space="preserve">Enter a value for 'Number of Floors in the Tallest Building' in cell B60.
</v>
      </c>
      <c r="H2365" s="52" t="str">
        <f t="shared" ca="1" si="829"/>
        <v>Acquisition Placed-in-Service Date</v>
      </c>
      <c r="I2365" s="52">
        <v>16</v>
      </c>
    </row>
    <row r="2366" spans="1:10" ht="15" customHeight="1">
      <c r="A2366" t="str">
        <f ca="1">IF(AND(OFFSET(A2366, -I2366 + 2, 4) &gt;  0, E2366="", Calculations!$B$7), F2366, "")</f>
        <v/>
      </c>
      <c r="B2366">
        <f t="shared" si="825"/>
        <v>52</v>
      </c>
      <c r="C2366">
        <f t="shared" ca="1" si="823"/>
        <v>49</v>
      </c>
      <c r="D2366" t="str">
        <f t="shared" si="826"/>
        <v>Q52</v>
      </c>
      <c r="E2366" t="str">
        <f t="shared" ca="1" si="827"/>
        <v/>
      </c>
      <c r="F2366" t="str">
        <f t="shared" ca="1" si="828"/>
        <v xml:space="preserve">Enter a 'Acquisition APR' for  building 49 in cell Q52.
</v>
      </c>
      <c r="G2366" s="9" t="str">
        <f t="shared" ca="1" si="821"/>
        <v xml:space="preserve">Enter a value for 'Number of Floors in the Tallest Building' in cell B60.
</v>
      </c>
      <c r="H2366" s="52" t="str">
        <f t="shared" ca="1" si="829"/>
        <v>Acquisition APR</v>
      </c>
      <c r="I2366" s="52">
        <v>17</v>
      </c>
    </row>
    <row r="2367" spans="1:10" ht="15" customHeight="1">
      <c r="A2367" t="str">
        <f ca="1">IF(AND(Calculations!$B$4,Calculations!$B$29&gt;=C2367, E2367 &lt;&gt; 13),F2367,"")</f>
        <v/>
      </c>
      <c r="B2367">
        <f>ROW('Final Building Profile'!C53)</f>
        <v>53</v>
      </c>
      <c r="C2367">
        <f t="shared" ca="1" si="823"/>
        <v>50</v>
      </c>
      <c r="D2367" t="str">
        <f>ADDRESS(B2367, 3,4  )</f>
        <v>C53</v>
      </c>
      <c r="E2367" s="52">
        <f ca="1">H2367+I2367</f>
        <v>0</v>
      </c>
      <c r="F2367" t="str">
        <f ca="1">CONCATENATE("Based upon the number of buildings specified, information for  building ", C2367, " required for a final application in row ", B2367, ".", CHAR(10))</f>
        <v xml:space="preserve">Based upon the number of buildings specified, information for  building 50 required for a final application in row 53.
</v>
      </c>
      <c r="G2367" s="9" t="str">
        <f t="shared" ca="1" si="821"/>
        <v xml:space="preserve">Enter a value for 'Number of Floors in the Tallest Building' in cell B60.
</v>
      </c>
      <c r="H2367" s="52">
        <f ca="1">SUMPRODUCT(--ISTEXT(INDIRECT(J2367)))</f>
        <v>0</v>
      </c>
      <c r="I2367" s="52">
        <f ca="1">SUMPRODUCT(--ISNUMBER(INDIRECT(J2367)))</f>
        <v>0</v>
      </c>
      <c r="J2367" s="52" t="str">
        <f>$F$1565&amp; ADDRESS(B2367,3,4) &amp; ":" &amp; ADDRESS(B2367,15,4)</f>
        <v>'Final Building Profile'!C53:O53</v>
      </c>
    </row>
    <row r="2368" spans="1:10" ht="15" customHeight="1">
      <c r="A2368" t="str">
        <f t="shared" ref="A2368:A2377" ca="1" si="830">IF(AND(OFFSET(A2368, -I2368 + 2, 4) &gt;  0, E2368=""), F2368, "")</f>
        <v/>
      </c>
      <c r="B2368">
        <f t="shared" ref="B2368:B2382" si="831">B2367</f>
        <v>53</v>
      </c>
      <c r="C2368">
        <f t="shared" ca="1" si="823"/>
        <v>50</v>
      </c>
      <c r="D2368" t="str">
        <f t="shared" ref="D2368:D2382" si="832">ADDRESS(B2368, I2368,4  )</f>
        <v>C53</v>
      </c>
      <c r="E2368" t="str">
        <f t="shared" ref="E2368:E2382" ca="1" si="833">IF(ISBLANK( INDIRECT($F$1565 &amp; D2368)),"", INDIRECT($F$1565 &amp; D2368))</f>
        <v/>
      </c>
      <c r="F2368" t="str">
        <f t="shared" ref="F2368:F2382" ca="1" si="834">CONCATENATE("Enter a '"&amp; H2368 &amp;"' for  building ", C2368, " in cell ", D2368, ".", CHAR(10))</f>
        <v xml:space="preserve">Enter a 'Building Street Address Only 
(DO NOT ENTER CITY, STATE, OR ZIP)' for  building 50 in cell C53.
</v>
      </c>
      <c r="G2368" s="9" t="str">
        <f t="shared" ca="1" si="821"/>
        <v xml:space="preserve">Enter a value for 'Number of Floors in the Tallest Building' in cell B60.
</v>
      </c>
      <c r="H2368" s="52" t="str">
        <f t="shared" ref="H2368:H2382" ca="1" si="835">OFFSET(INDIRECT($F$1565 &amp; D2368), -B2368 + 3, 0)</f>
        <v>Building Street Address Only 
(DO NOT ENTER CITY, STATE, OR ZIP)</v>
      </c>
      <c r="I2368" s="52">
        <v>3</v>
      </c>
    </row>
    <row r="2369" spans="1:10" ht="15" customHeight="1">
      <c r="A2369" t="str">
        <f t="shared" ca="1" si="830"/>
        <v/>
      </c>
      <c r="B2369">
        <f t="shared" si="831"/>
        <v>53</v>
      </c>
      <c r="C2369">
        <f t="shared" ca="1" si="823"/>
        <v>50</v>
      </c>
      <c r="D2369" t="str">
        <f t="shared" si="832"/>
        <v>D53</v>
      </c>
      <c r="E2369" t="str">
        <f t="shared" ca="1" si="833"/>
        <v/>
      </c>
      <c r="F2369" t="str">
        <f t="shared" ca="1" si="834"/>
        <v xml:space="preserve">Enter a 'Total Units in Building*' for  building 50 in cell D53.
</v>
      </c>
      <c r="G2369" s="9" t="str">
        <f t="shared" ca="1" si="821"/>
        <v xml:space="preserve">Enter a value for 'Number of Floors in the Tallest Building' in cell B60.
</v>
      </c>
      <c r="H2369" s="52" t="str">
        <f t="shared" ca="1" si="835"/>
        <v>Total Units in Building*</v>
      </c>
      <c r="I2369" s="52">
        <v>4</v>
      </c>
    </row>
    <row r="2370" spans="1:10" ht="15" customHeight="1">
      <c r="A2370" t="str">
        <f t="shared" ca="1" si="830"/>
        <v/>
      </c>
      <c r="B2370">
        <f t="shared" si="831"/>
        <v>53</v>
      </c>
      <c r="C2370">
        <f t="shared" ca="1" si="823"/>
        <v>50</v>
      </c>
      <c r="D2370" t="str">
        <f t="shared" si="832"/>
        <v>E53</v>
      </c>
      <c r="E2370" t="str">
        <f t="shared" ca="1" si="833"/>
        <v/>
      </c>
      <c r="F2370" t="str">
        <f t="shared" ca="1" si="834"/>
        <v xml:space="preserve">Enter a 'Employee Units' for  building 50 in cell E53.
</v>
      </c>
      <c r="G2370" s="9" t="str">
        <f t="shared" ca="1" si="821"/>
        <v xml:space="preserve">Enter a value for 'Number of Floors in the Tallest Building' in cell B60.
</v>
      </c>
      <c r="H2370" s="52" t="str">
        <f t="shared" ca="1" si="835"/>
        <v>Employee Units</v>
      </c>
      <c r="I2370" s="52">
        <v>5</v>
      </c>
    </row>
    <row r="2371" spans="1:10" ht="15" customHeight="1">
      <c r="A2371" t="str">
        <f t="shared" ca="1" si="830"/>
        <v/>
      </c>
      <c r="B2371">
        <f t="shared" si="831"/>
        <v>53</v>
      </c>
      <c r="C2371">
        <f t="shared" ca="1" si="823"/>
        <v>50</v>
      </c>
      <c r="D2371" t="str">
        <f t="shared" si="832"/>
        <v>F53</v>
      </c>
      <c r="E2371" t="str">
        <f t="shared" ca="1" si="833"/>
        <v/>
      </c>
      <c r="F2371" t="str">
        <f t="shared" ca="1" si="834"/>
        <v xml:space="preserve">Enter a 'Low-Income Units' for  building 50 in cell F53.
</v>
      </c>
      <c r="G2371" s="9" t="str">
        <f t="shared" ca="1" si="821"/>
        <v xml:space="preserve">Enter a value for 'Number of Floors in the Tallest Building' in cell B60.
</v>
      </c>
      <c r="H2371" s="52" t="str">
        <f t="shared" ca="1" si="835"/>
        <v>Low-Income Units</v>
      </c>
      <c r="I2371" s="52">
        <v>6</v>
      </c>
    </row>
    <row r="2372" spans="1:10" ht="15" customHeight="1">
      <c r="A2372" t="str">
        <f t="shared" ca="1" si="830"/>
        <v/>
      </c>
      <c r="B2372">
        <f t="shared" si="831"/>
        <v>53</v>
      </c>
      <c r="C2372">
        <f t="shared" ca="1" si="823"/>
        <v>50</v>
      </c>
      <c r="D2372" t="str">
        <f t="shared" si="832"/>
        <v>G53</v>
      </c>
      <c r="E2372" t="str">
        <f t="shared" ca="1" si="833"/>
        <v/>
      </c>
      <c r="F2372" t="str">
        <f t="shared" ca="1" si="834"/>
        <v xml:space="preserve">Enter a 'Residential Square Footage**' for  building 50 in cell G53.
</v>
      </c>
      <c r="G2372" s="9" t="str">
        <f t="shared" ca="1" si="821"/>
        <v xml:space="preserve">Enter a value for 'Number of Floors in the Tallest Building' in cell B60.
</v>
      </c>
      <c r="H2372" s="52" t="str">
        <f t="shared" ca="1" si="835"/>
        <v>Residential Square Footage**</v>
      </c>
      <c r="I2372" s="52">
        <v>7</v>
      </c>
    </row>
    <row r="2373" spans="1:10" ht="15" customHeight="1">
      <c r="A2373" t="str">
        <f t="shared" ca="1" si="830"/>
        <v/>
      </c>
      <c r="B2373">
        <f t="shared" si="831"/>
        <v>53</v>
      </c>
      <c r="C2373">
        <f t="shared" ca="1" si="823"/>
        <v>50</v>
      </c>
      <c r="D2373" t="str">
        <f t="shared" si="832"/>
        <v>H53</v>
      </c>
      <c r="E2373" t="str">
        <f t="shared" ca="1" si="833"/>
        <v/>
      </c>
      <c r="F2373" t="str">
        <f t="shared" ca="1" si="834"/>
        <v xml:space="preserve">Enter a 'Square Footage of Employee Units' for  building 50 in cell H53.
</v>
      </c>
      <c r="G2373" s="9" t="str">
        <f t="shared" ca="1" si="821"/>
        <v xml:space="preserve">Enter a value for 'Number of Floors in the Tallest Building' in cell B60.
</v>
      </c>
      <c r="H2373" s="52" t="str">
        <f t="shared" ca="1" si="835"/>
        <v>Square Footage of Employee Units</v>
      </c>
      <c r="I2373" s="52">
        <v>8</v>
      </c>
    </row>
    <row r="2374" spans="1:10" ht="15" customHeight="1">
      <c r="A2374" t="str">
        <f t="shared" ca="1" si="830"/>
        <v/>
      </c>
      <c r="B2374">
        <f t="shared" si="831"/>
        <v>53</v>
      </c>
      <c r="C2374">
        <f t="shared" ca="1" si="823"/>
        <v>50</v>
      </c>
      <c r="D2374" t="str">
        <f t="shared" si="832"/>
        <v>I53</v>
      </c>
      <c r="E2374" t="str">
        <f t="shared" ca="1" si="833"/>
        <v/>
      </c>
      <c r="F2374" t="str">
        <f t="shared" ca="1" si="834"/>
        <v xml:space="preserve">Enter a 'Square Footage of Low-Income Units' for  building 50 in cell I53.
</v>
      </c>
      <c r="G2374" s="9" t="str">
        <f t="shared" ca="1" si="821"/>
        <v xml:space="preserve">Enter a value for 'Number of Floors in the Tallest Building' in cell B60.
</v>
      </c>
      <c r="H2374" s="52" t="str">
        <f t="shared" ca="1" si="835"/>
        <v>Square Footage of Low-Income Units</v>
      </c>
      <c r="I2374" s="52">
        <v>9</v>
      </c>
    </row>
    <row r="2375" spans="1:10" ht="15" customHeight="1">
      <c r="A2375" t="str">
        <f t="shared" ca="1" si="830"/>
        <v/>
      </c>
      <c r="B2375">
        <f t="shared" si="831"/>
        <v>53</v>
      </c>
      <c r="C2375">
        <f t="shared" ca="1" si="823"/>
        <v>50</v>
      </c>
      <c r="D2375" t="str">
        <f t="shared" si="832"/>
        <v>J53</v>
      </c>
      <c r="E2375" t="str">
        <f t="shared" ca="1" si="833"/>
        <v/>
      </c>
      <c r="F2375" t="str">
        <f t="shared" ca="1" si="834"/>
        <v xml:space="preserve">Enter a 'Placed-In-Service Date' for  building 50 in cell J53.
</v>
      </c>
      <c r="G2375" s="9" t="str">
        <f t="shared" ca="1" si="821"/>
        <v xml:space="preserve">Enter a value for 'Number of Floors in the Tallest Building' in cell B60.
</v>
      </c>
      <c r="H2375" s="52" t="str">
        <f t="shared" ca="1" si="835"/>
        <v>Placed-In-Service Date</v>
      </c>
      <c r="I2375" s="52">
        <v>10</v>
      </c>
    </row>
    <row r="2376" spans="1:10" ht="15" customHeight="1">
      <c r="A2376" t="str">
        <f t="shared" ca="1" si="830"/>
        <v/>
      </c>
      <c r="B2376">
        <f t="shared" si="831"/>
        <v>53</v>
      </c>
      <c r="C2376">
        <f t="shared" ca="1" si="823"/>
        <v>50</v>
      </c>
      <c r="D2376" t="str">
        <f t="shared" si="832"/>
        <v>K53</v>
      </c>
      <c r="E2376" t="str">
        <f t="shared" ca="1" si="833"/>
        <v/>
      </c>
      <c r="F2376" t="str">
        <f t="shared" ca="1" si="834"/>
        <v xml:space="preserve">Enter a 'New Construction/ Rehab APR' for  building 50 in cell K53.
</v>
      </c>
      <c r="G2376" s="9" t="str">
        <f t="shared" ca="1" si="821"/>
        <v xml:space="preserve">Enter a value for 'Number of Floors in the Tallest Building' in cell B60.
</v>
      </c>
      <c r="H2376" s="52" t="str">
        <f t="shared" ca="1" si="835"/>
        <v>New Construction/ Rehab APR</v>
      </c>
      <c r="I2376" s="52">
        <v>11</v>
      </c>
    </row>
    <row r="2377" spans="1:10" ht="15" customHeight="1">
      <c r="A2377" t="str">
        <f t="shared" ca="1" si="830"/>
        <v/>
      </c>
      <c r="B2377">
        <f t="shared" si="831"/>
        <v>53</v>
      </c>
      <c r="C2377">
        <f t="shared" ca="1" si="823"/>
        <v>50</v>
      </c>
      <c r="D2377" t="str">
        <f t="shared" si="832"/>
        <v>L53</v>
      </c>
      <c r="E2377" t="str">
        <f t="shared" ca="1" si="833"/>
        <v/>
      </c>
      <c r="F2377" t="str">
        <f t="shared" ca="1" si="834"/>
        <v xml:space="preserve">Enter a 'New Construction Eligible Basis' for  building 50 in cell L53.
</v>
      </c>
      <c r="G2377" s="9" t="str">
        <f t="shared" ca="1" si="821"/>
        <v xml:space="preserve">Enter a value for 'Number of Floors in the Tallest Building' in cell B60.
</v>
      </c>
      <c r="H2377" s="52" t="str">
        <f t="shared" ca="1" si="835"/>
        <v>New Construction Eligible Basis</v>
      </c>
      <c r="I2377" s="52">
        <v>12</v>
      </c>
    </row>
    <row r="2378" spans="1:10" ht="15" customHeight="1">
      <c r="A2378" t="str">
        <f ca="1">IF(AND(OFFSET(A2378, -I2378 + 2, 4) &gt;  0, E2378="", Calculations!$B$7), F2378, "")</f>
        <v/>
      </c>
      <c r="B2378">
        <f t="shared" si="831"/>
        <v>53</v>
      </c>
      <c r="C2378">
        <f t="shared" ca="1" si="823"/>
        <v>50</v>
      </c>
      <c r="D2378" t="str">
        <f t="shared" si="832"/>
        <v>M53</v>
      </c>
      <c r="E2378" t="str">
        <f t="shared" ca="1" si="833"/>
        <v/>
      </c>
      <c r="F2378" t="str">
        <f t="shared" ca="1" si="834"/>
        <v xml:space="preserve">Enter a 'Eligible Basis for Rehab' for  building 50 in cell M53.
</v>
      </c>
      <c r="G2378" s="9" t="str">
        <f t="shared" ca="1" si="821"/>
        <v xml:space="preserve">Enter a value for 'Number of Floors in the Tallest Building' in cell B60.
</v>
      </c>
      <c r="H2378" s="52" t="str">
        <f t="shared" ca="1" si="835"/>
        <v>Eligible Basis for Rehab</v>
      </c>
      <c r="I2378" s="52">
        <v>13</v>
      </c>
    </row>
    <row r="2379" spans="1:10" ht="15" customHeight="1">
      <c r="A2379" t="str">
        <f ca="1">IF(AND(OFFSET(A2379, -I2379 + 2, 4) &gt;  0, E2379="", Calculations!$B$7), F2379, "")</f>
        <v/>
      </c>
      <c r="B2379">
        <f t="shared" si="831"/>
        <v>53</v>
      </c>
      <c r="C2379">
        <f t="shared" ca="1" si="823"/>
        <v>50</v>
      </c>
      <c r="D2379" t="str">
        <f t="shared" si="832"/>
        <v>N53</v>
      </c>
      <c r="E2379" t="str">
        <f t="shared" ca="1" si="833"/>
        <v/>
      </c>
      <c r="F2379" t="str">
        <f t="shared" ca="1" si="834"/>
        <v xml:space="preserve">Enter a 'Cost of Acquiring the Building***' for  building 50 in cell N53.
</v>
      </c>
      <c r="G2379" s="9" t="str">
        <f t="shared" ca="1" si="821"/>
        <v xml:space="preserve">Enter a value for 'Number of Floors in the Tallest Building' in cell B60.
</v>
      </c>
      <c r="H2379" s="52" t="str">
        <f t="shared" ca="1" si="835"/>
        <v>Cost of Acquiring the Building***</v>
      </c>
      <c r="I2379" s="52">
        <v>14</v>
      </c>
    </row>
    <row r="2380" spans="1:10" ht="15" customHeight="1">
      <c r="A2380" t="str">
        <f ca="1">IF(AND(OFFSET(A2380, -I2380 + 2, 4) &gt;  0, E2380="", Calculations!$B$7), F2380, "")</f>
        <v/>
      </c>
      <c r="B2380">
        <f t="shared" si="831"/>
        <v>53</v>
      </c>
      <c r="C2380">
        <f t="shared" ca="1" si="823"/>
        <v>50</v>
      </c>
      <c r="D2380" t="str">
        <f t="shared" si="832"/>
        <v>O53</v>
      </c>
      <c r="E2380" t="str">
        <f t="shared" ca="1" si="833"/>
        <v/>
      </c>
      <c r="F2380" t="str">
        <f t="shared" ca="1" si="834"/>
        <v xml:space="preserve">Enter a 'Higher of Land Purchase Price or Land Appraised Value****' for  building 50 in cell O53.
</v>
      </c>
      <c r="G2380" s="9" t="str">
        <f t="shared" ca="1" si="821"/>
        <v xml:space="preserve">Enter a value for 'Number of Floors in the Tallest Building' in cell B60.
</v>
      </c>
      <c r="H2380" s="52" t="str">
        <f t="shared" ca="1" si="835"/>
        <v>Higher of Land Purchase Price or Land Appraised Value****</v>
      </c>
      <c r="I2380" s="52">
        <v>15</v>
      </c>
    </row>
    <row r="2381" spans="1:10" ht="15" customHeight="1">
      <c r="A2381" t="str">
        <f ca="1">IF(AND(OFFSET(A2381, -I2381 + 2, 4) &gt;  0, E2381="", Calculations!$B$7), F2381, "")</f>
        <v/>
      </c>
      <c r="B2381">
        <f t="shared" si="831"/>
        <v>53</v>
      </c>
      <c r="C2381">
        <f t="shared" ca="1" si="823"/>
        <v>50</v>
      </c>
      <c r="D2381" t="str">
        <f t="shared" si="832"/>
        <v>P53</v>
      </c>
      <c r="E2381" t="str">
        <f t="shared" ca="1" si="833"/>
        <v/>
      </c>
      <c r="F2381" t="str">
        <f t="shared" ca="1" si="834"/>
        <v xml:space="preserve">Enter a 'Acquisition Placed-in-Service Date' for  building 50 in cell P53.
</v>
      </c>
      <c r="G2381" s="9" t="str">
        <f t="shared" ca="1" si="821"/>
        <v xml:space="preserve">Enter a value for 'Number of Floors in the Tallest Building' in cell B60.
</v>
      </c>
      <c r="H2381" s="52" t="str">
        <f t="shared" ca="1" si="835"/>
        <v>Acquisition Placed-in-Service Date</v>
      </c>
      <c r="I2381" s="52">
        <v>16</v>
      </c>
    </row>
    <row r="2382" spans="1:10" ht="15" customHeight="1">
      <c r="A2382" t="str">
        <f ca="1">IF(AND(OFFSET(A2382, -I2382 + 2, 4) &gt;  0, E2382="", Calculations!$B$7), F2382, "")</f>
        <v/>
      </c>
      <c r="B2382">
        <f t="shared" si="831"/>
        <v>53</v>
      </c>
      <c r="C2382">
        <f t="shared" ca="1" si="823"/>
        <v>50</v>
      </c>
      <c r="D2382" t="str">
        <f t="shared" si="832"/>
        <v>Q53</v>
      </c>
      <c r="E2382" t="str">
        <f t="shared" ca="1" si="833"/>
        <v/>
      </c>
      <c r="F2382" t="str">
        <f t="shared" ca="1" si="834"/>
        <v xml:space="preserve">Enter a 'Acquisition APR' for  building 50 in cell Q53.
</v>
      </c>
      <c r="G2382" s="9" t="str">
        <f t="shared" ca="1" si="821"/>
        <v xml:space="preserve">Enter a value for 'Number of Floors in the Tallest Building' in cell B60.
</v>
      </c>
      <c r="H2382" s="52" t="str">
        <f t="shared" ca="1" si="835"/>
        <v>Acquisition APR</v>
      </c>
      <c r="I2382" s="52">
        <v>17</v>
      </c>
    </row>
    <row r="2383" spans="1:10" ht="15" customHeight="1">
      <c r="A2383" t="str">
        <f ca="1">IF(AND(Calculations!$B$4,Calculations!$B$29&gt;=C2383, E2383 &lt;&gt; 13),F2383,"")</f>
        <v/>
      </c>
      <c r="B2383">
        <f>ROW('Final Building Profile'!C54)</f>
        <v>54</v>
      </c>
      <c r="C2383">
        <f t="shared" ca="1" si="823"/>
        <v>51</v>
      </c>
      <c r="D2383" t="str">
        <f>ADDRESS(B2383, 3,4  )</f>
        <v>C54</v>
      </c>
      <c r="E2383" s="52">
        <f ca="1">H2383+I2383</f>
        <v>0</v>
      </c>
      <c r="F2383" t="str">
        <f ca="1">CONCATENATE("Based upon the number of buildings specified, information for  building ", C2383, " required for a final application in row ", B2383, ".", CHAR(10))</f>
        <v xml:space="preserve">Based upon the number of buildings specified, information for  building 51 required for a final application in row 54.
</v>
      </c>
      <c r="G2383" s="9" t="str">
        <f t="shared" ca="1" si="821"/>
        <v xml:space="preserve">Enter a value for 'Number of Floors in the Tallest Building' in cell B60.
</v>
      </c>
      <c r="H2383" s="52">
        <f ca="1">SUMPRODUCT(--ISTEXT(INDIRECT(J2383)))</f>
        <v>0</v>
      </c>
      <c r="I2383" s="52">
        <f ca="1">SUMPRODUCT(--ISNUMBER(INDIRECT(J2383)))</f>
        <v>0</v>
      </c>
      <c r="J2383" s="52" t="str">
        <f>$F$1565&amp; ADDRESS(B2383,3,4) &amp; ":" &amp; ADDRESS(B2383,15,4)</f>
        <v>'Final Building Profile'!C54:O54</v>
      </c>
    </row>
    <row r="2384" spans="1:10" ht="15" customHeight="1">
      <c r="A2384" t="str">
        <f t="shared" ref="A2384:A2393" ca="1" si="836">IF(AND(OFFSET(A2384, -I2384 + 2, 4) &gt;  0, E2384=""), F2384, "")</f>
        <v/>
      </c>
      <c r="B2384">
        <f t="shared" ref="B2384:B2398" si="837">B2383</f>
        <v>54</v>
      </c>
      <c r="C2384">
        <f t="shared" ca="1" si="823"/>
        <v>51</v>
      </c>
      <c r="D2384" t="str">
        <f t="shared" ref="D2384:D2398" si="838">ADDRESS(B2384, I2384,4  )</f>
        <v>C54</v>
      </c>
      <c r="E2384" t="str">
        <f t="shared" ref="E2384:E2398" ca="1" si="839">IF(ISBLANK( INDIRECT($F$1565 &amp; D2384)),"", INDIRECT($F$1565 &amp; D2384))</f>
        <v/>
      </c>
      <c r="F2384" t="str">
        <f t="shared" ref="F2384:F2398" ca="1" si="840">CONCATENATE("Enter a '"&amp; H2384 &amp;"' for  building ", C2384, " in cell ", D2384, ".", CHAR(10))</f>
        <v xml:space="preserve">Enter a 'Building Street Address Only 
(DO NOT ENTER CITY, STATE, OR ZIP)' for  building 51 in cell C54.
</v>
      </c>
      <c r="G2384" s="9" t="str">
        <f t="shared" ca="1" si="821"/>
        <v xml:space="preserve">Enter a value for 'Number of Floors in the Tallest Building' in cell B60.
</v>
      </c>
      <c r="H2384" s="52" t="str">
        <f t="shared" ref="H2384:H2398" ca="1" si="841">OFFSET(INDIRECT($F$1565 &amp; D2384), -B2384 + 3, 0)</f>
        <v>Building Street Address Only 
(DO NOT ENTER CITY, STATE, OR ZIP)</v>
      </c>
      <c r="I2384" s="52">
        <v>3</v>
      </c>
    </row>
    <row r="2385" spans="1:10" ht="15" customHeight="1">
      <c r="A2385" t="str">
        <f t="shared" ca="1" si="836"/>
        <v/>
      </c>
      <c r="B2385">
        <f t="shared" si="837"/>
        <v>54</v>
      </c>
      <c r="C2385">
        <f t="shared" ca="1" si="823"/>
        <v>51</v>
      </c>
      <c r="D2385" t="str">
        <f t="shared" si="838"/>
        <v>D54</v>
      </c>
      <c r="E2385" t="str">
        <f t="shared" ca="1" si="839"/>
        <v/>
      </c>
      <c r="F2385" t="str">
        <f t="shared" ca="1" si="840"/>
        <v xml:space="preserve">Enter a 'Total Units in Building*' for  building 51 in cell D54.
</v>
      </c>
      <c r="G2385" s="9" t="str">
        <f t="shared" ca="1" si="821"/>
        <v xml:space="preserve">Enter a value for 'Number of Floors in the Tallest Building' in cell B60.
</v>
      </c>
      <c r="H2385" s="52" t="str">
        <f t="shared" ca="1" si="841"/>
        <v>Total Units in Building*</v>
      </c>
      <c r="I2385" s="52">
        <v>4</v>
      </c>
    </row>
    <row r="2386" spans="1:10" ht="15" customHeight="1">
      <c r="A2386" t="str">
        <f t="shared" ca="1" si="836"/>
        <v/>
      </c>
      <c r="B2386">
        <f t="shared" si="837"/>
        <v>54</v>
      </c>
      <c r="C2386">
        <f t="shared" ca="1" si="823"/>
        <v>51</v>
      </c>
      <c r="D2386" t="str">
        <f t="shared" si="838"/>
        <v>E54</v>
      </c>
      <c r="E2386" t="str">
        <f t="shared" ca="1" si="839"/>
        <v/>
      </c>
      <c r="F2386" t="str">
        <f t="shared" ca="1" si="840"/>
        <v xml:space="preserve">Enter a 'Employee Units' for  building 51 in cell E54.
</v>
      </c>
      <c r="G2386" s="9" t="str">
        <f t="shared" ca="1" si="821"/>
        <v xml:space="preserve">Enter a value for 'Number of Floors in the Tallest Building' in cell B60.
</v>
      </c>
      <c r="H2386" s="52" t="str">
        <f t="shared" ca="1" si="841"/>
        <v>Employee Units</v>
      </c>
      <c r="I2386" s="52">
        <v>5</v>
      </c>
    </row>
    <row r="2387" spans="1:10" ht="15" customHeight="1">
      <c r="A2387" t="str">
        <f t="shared" ca="1" si="836"/>
        <v/>
      </c>
      <c r="B2387">
        <f t="shared" si="837"/>
        <v>54</v>
      </c>
      <c r="C2387">
        <f t="shared" ca="1" si="823"/>
        <v>51</v>
      </c>
      <c r="D2387" t="str">
        <f t="shared" si="838"/>
        <v>F54</v>
      </c>
      <c r="E2387" t="str">
        <f t="shared" ca="1" si="839"/>
        <v/>
      </c>
      <c r="F2387" t="str">
        <f t="shared" ca="1" si="840"/>
        <v xml:space="preserve">Enter a 'Low-Income Units' for  building 51 in cell F54.
</v>
      </c>
      <c r="G2387" s="9" t="str">
        <f t="shared" ca="1" si="821"/>
        <v xml:space="preserve">Enter a value for 'Number of Floors in the Tallest Building' in cell B60.
</v>
      </c>
      <c r="H2387" s="52" t="str">
        <f t="shared" ca="1" si="841"/>
        <v>Low-Income Units</v>
      </c>
      <c r="I2387" s="52">
        <v>6</v>
      </c>
    </row>
    <row r="2388" spans="1:10" ht="15" customHeight="1">
      <c r="A2388" t="str">
        <f t="shared" ca="1" si="836"/>
        <v/>
      </c>
      <c r="B2388">
        <f t="shared" si="837"/>
        <v>54</v>
      </c>
      <c r="C2388">
        <f t="shared" ca="1" si="823"/>
        <v>51</v>
      </c>
      <c r="D2388" t="str">
        <f t="shared" si="838"/>
        <v>G54</v>
      </c>
      <c r="E2388" t="str">
        <f t="shared" ca="1" si="839"/>
        <v/>
      </c>
      <c r="F2388" t="str">
        <f t="shared" ca="1" si="840"/>
        <v xml:space="preserve">Enter a 'Residential Square Footage**' for  building 51 in cell G54.
</v>
      </c>
      <c r="G2388" s="9" t="str">
        <f t="shared" ca="1" si="821"/>
        <v xml:space="preserve">Enter a value for 'Number of Floors in the Tallest Building' in cell B60.
</v>
      </c>
      <c r="H2388" s="52" t="str">
        <f t="shared" ca="1" si="841"/>
        <v>Residential Square Footage**</v>
      </c>
      <c r="I2388" s="52">
        <v>7</v>
      </c>
    </row>
    <row r="2389" spans="1:10" ht="15" customHeight="1">
      <c r="A2389" t="str">
        <f t="shared" ca="1" si="836"/>
        <v/>
      </c>
      <c r="B2389">
        <f t="shared" si="837"/>
        <v>54</v>
      </c>
      <c r="C2389">
        <f t="shared" ca="1" si="823"/>
        <v>51</v>
      </c>
      <c r="D2389" t="str">
        <f t="shared" si="838"/>
        <v>H54</v>
      </c>
      <c r="E2389" t="str">
        <f t="shared" ca="1" si="839"/>
        <v/>
      </c>
      <c r="F2389" t="str">
        <f t="shared" ca="1" si="840"/>
        <v xml:space="preserve">Enter a 'Square Footage of Employee Units' for  building 51 in cell H54.
</v>
      </c>
      <c r="G2389" s="9" t="str">
        <f t="shared" ca="1" si="821"/>
        <v xml:space="preserve">Enter a value for 'Number of Floors in the Tallest Building' in cell B60.
</v>
      </c>
      <c r="H2389" s="52" t="str">
        <f t="shared" ca="1" si="841"/>
        <v>Square Footage of Employee Units</v>
      </c>
      <c r="I2389" s="52">
        <v>8</v>
      </c>
    </row>
    <row r="2390" spans="1:10" ht="15" customHeight="1">
      <c r="A2390" t="str">
        <f t="shared" ca="1" si="836"/>
        <v/>
      </c>
      <c r="B2390">
        <f t="shared" si="837"/>
        <v>54</v>
      </c>
      <c r="C2390">
        <f t="shared" ca="1" si="823"/>
        <v>51</v>
      </c>
      <c r="D2390" t="str">
        <f t="shared" si="838"/>
        <v>I54</v>
      </c>
      <c r="E2390" t="str">
        <f t="shared" ca="1" si="839"/>
        <v/>
      </c>
      <c r="F2390" t="str">
        <f t="shared" ca="1" si="840"/>
        <v xml:space="preserve">Enter a 'Square Footage of Low-Income Units' for  building 51 in cell I54.
</v>
      </c>
      <c r="G2390" s="9" t="str">
        <f t="shared" ca="1" si="821"/>
        <v xml:space="preserve">Enter a value for 'Number of Floors in the Tallest Building' in cell B60.
</v>
      </c>
      <c r="H2390" s="52" t="str">
        <f t="shared" ca="1" si="841"/>
        <v>Square Footage of Low-Income Units</v>
      </c>
      <c r="I2390" s="52">
        <v>9</v>
      </c>
    </row>
    <row r="2391" spans="1:10" ht="15" customHeight="1">
      <c r="A2391" t="str">
        <f t="shared" ca="1" si="836"/>
        <v/>
      </c>
      <c r="B2391">
        <f t="shared" si="837"/>
        <v>54</v>
      </c>
      <c r="C2391">
        <f t="shared" ca="1" si="823"/>
        <v>51</v>
      </c>
      <c r="D2391" t="str">
        <f t="shared" si="838"/>
        <v>J54</v>
      </c>
      <c r="E2391" t="str">
        <f t="shared" ca="1" si="839"/>
        <v/>
      </c>
      <c r="F2391" t="str">
        <f t="shared" ca="1" si="840"/>
        <v xml:space="preserve">Enter a 'Placed-In-Service Date' for  building 51 in cell J54.
</v>
      </c>
      <c r="G2391" s="9" t="str">
        <f t="shared" ca="1" si="821"/>
        <v xml:space="preserve">Enter a value for 'Number of Floors in the Tallest Building' in cell B60.
</v>
      </c>
      <c r="H2391" s="52" t="str">
        <f t="shared" ca="1" si="841"/>
        <v>Placed-In-Service Date</v>
      </c>
      <c r="I2391" s="52">
        <v>10</v>
      </c>
    </row>
    <row r="2392" spans="1:10" ht="15" customHeight="1">
      <c r="A2392" t="str">
        <f t="shared" ca="1" si="836"/>
        <v/>
      </c>
      <c r="B2392">
        <f t="shared" si="837"/>
        <v>54</v>
      </c>
      <c r="C2392">
        <f t="shared" ca="1" si="823"/>
        <v>51</v>
      </c>
      <c r="D2392" t="str">
        <f t="shared" si="838"/>
        <v>K54</v>
      </c>
      <c r="E2392" t="str">
        <f t="shared" ca="1" si="839"/>
        <v/>
      </c>
      <c r="F2392" t="str">
        <f t="shared" ca="1" si="840"/>
        <v xml:space="preserve">Enter a 'New Construction/ Rehab APR' for  building 51 in cell K54.
</v>
      </c>
      <c r="G2392" s="9" t="str">
        <f t="shared" ca="1" si="821"/>
        <v xml:space="preserve">Enter a value for 'Number of Floors in the Tallest Building' in cell B60.
</v>
      </c>
      <c r="H2392" s="52" t="str">
        <f t="shared" ca="1" si="841"/>
        <v>New Construction/ Rehab APR</v>
      </c>
      <c r="I2392" s="52">
        <v>11</v>
      </c>
    </row>
    <row r="2393" spans="1:10" ht="15" customHeight="1">
      <c r="A2393" t="str">
        <f t="shared" ca="1" si="836"/>
        <v/>
      </c>
      <c r="B2393">
        <f t="shared" si="837"/>
        <v>54</v>
      </c>
      <c r="C2393">
        <f t="shared" ca="1" si="823"/>
        <v>51</v>
      </c>
      <c r="D2393" t="str">
        <f t="shared" si="838"/>
        <v>L54</v>
      </c>
      <c r="E2393" t="str">
        <f t="shared" ca="1" si="839"/>
        <v/>
      </c>
      <c r="F2393" t="str">
        <f t="shared" ca="1" si="840"/>
        <v xml:space="preserve">Enter a 'New Construction Eligible Basis' for  building 51 in cell L54.
</v>
      </c>
      <c r="G2393" s="9" t="str">
        <f t="shared" ca="1" si="821"/>
        <v xml:space="preserve">Enter a value for 'Number of Floors in the Tallest Building' in cell B60.
</v>
      </c>
      <c r="H2393" s="52" t="str">
        <f t="shared" ca="1" si="841"/>
        <v>New Construction Eligible Basis</v>
      </c>
      <c r="I2393" s="52">
        <v>12</v>
      </c>
    </row>
    <row r="2394" spans="1:10" ht="15" customHeight="1">
      <c r="A2394" t="str">
        <f ca="1">IF(AND(OFFSET(A2394, -I2394 + 2, 4) &gt;  0, E2394="", Calculations!$B$7), F2394, "")</f>
        <v/>
      </c>
      <c r="B2394">
        <f t="shared" si="837"/>
        <v>54</v>
      </c>
      <c r="C2394">
        <f t="shared" ca="1" si="823"/>
        <v>51</v>
      </c>
      <c r="D2394" t="str">
        <f t="shared" si="838"/>
        <v>M54</v>
      </c>
      <c r="E2394" t="str">
        <f t="shared" ca="1" si="839"/>
        <v/>
      </c>
      <c r="F2394" t="str">
        <f t="shared" ca="1" si="840"/>
        <v xml:space="preserve">Enter a 'Eligible Basis for Rehab' for  building 51 in cell M54.
</v>
      </c>
      <c r="G2394" s="9" t="str">
        <f t="shared" ca="1" si="821"/>
        <v xml:space="preserve">Enter a value for 'Number of Floors in the Tallest Building' in cell B60.
</v>
      </c>
      <c r="H2394" s="52" t="str">
        <f t="shared" ca="1" si="841"/>
        <v>Eligible Basis for Rehab</v>
      </c>
      <c r="I2394" s="52">
        <v>13</v>
      </c>
    </row>
    <row r="2395" spans="1:10" ht="15" customHeight="1">
      <c r="A2395" t="str">
        <f ca="1">IF(AND(OFFSET(A2395, -I2395 + 2, 4) &gt;  0, E2395="", Calculations!$B$7), F2395, "")</f>
        <v/>
      </c>
      <c r="B2395">
        <f t="shared" si="837"/>
        <v>54</v>
      </c>
      <c r="C2395">
        <f t="shared" ca="1" si="823"/>
        <v>51</v>
      </c>
      <c r="D2395" t="str">
        <f t="shared" si="838"/>
        <v>N54</v>
      </c>
      <c r="E2395" t="str">
        <f t="shared" ca="1" si="839"/>
        <v/>
      </c>
      <c r="F2395" t="str">
        <f t="shared" ca="1" si="840"/>
        <v xml:space="preserve">Enter a 'Cost of Acquiring the Building***' for  building 51 in cell N54.
</v>
      </c>
      <c r="G2395" s="9" t="str">
        <f t="shared" ca="1" si="821"/>
        <v xml:space="preserve">Enter a value for 'Number of Floors in the Tallest Building' in cell B60.
</v>
      </c>
      <c r="H2395" s="52" t="str">
        <f t="shared" ca="1" si="841"/>
        <v>Cost of Acquiring the Building***</v>
      </c>
      <c r="I2395" s="52">
        <v>14</v>
      </c>
    </row>
    <row r="2396" spans="1:10" ht="15" customHeight="1">
      <c r="A2396" t="str">
        <f ca="1">IF(AND(OFFSET(A2396, -I2396 + 2, 4) &gt;  0, E2396="", Calculations!$B$7), F2396, "")</f>
        <v/>
      </c>
      <c r="B2396">
        <f t="shared" si="837"/>
        <v>54</v>
      </c>
      <c r="C2396">
        <f t="shared" ca="1" si="823"/>
        <v>51</v>
      </c>
      <c r="D2396" t="str">
        <f t="shared" si="838"/>
        <v>O54</v>
      </c>
      <c r="E2396" t="str">
        <f t="shared" ca="1" si="839"/>
        <v/>
      </c>
      <c r="F2396" t="str">
        <f t="shared" ca="1" si="840"/>
        <v xml:space="preserve">Enter a 'Higher of Land Purchase Price or Land Appraised Value****' for  building 51 in cell O54.
</v>
      </c>
      <c r="G2396" s="9" t="str">
        <f t="shared" ca="1" si="821"/>
        <v xml:space="preserve">Enter a value for 'Number of Floors in the Tallest Building' in cell B60.
</v>
      </c>
      <c r="H2396" s="52" t="str">
        <f t="shared" ca="1" si="841"/>
        <v>Higher of Land Purchase Price or Land Appraised Value****</v>
      </c>
      <c r="I2396" s="52">
        <v>15</v>
      </c>
    </row>
    <row r="2397" spans="1:10" ht="15" customHeight="1">
      <c r="A2397" t="str">
        <f ca="1">IF(AND(OFFSET(A2397, -I2397 + 2, 4) &gt;  0, E2397="", Calculations!$B$7), F2397, "")</f>
        <v/>
      </c>
      <c r="B2397">
        <f t="shared" si="837"/>
        <v>54</v>
      </c>
      <c r="C2397">
        <f t="shared" ca="1" si="823"/>
        <v>51</v>
      </c>
      <c r="D2397" t="str">
        <f t="shared" si="838"/>
        <v>P54</v>
      </c>
      <c r="E2397" t="str">
        <f t="shared" ca="1" si="839"/>
        <v/>
      </c>
      <c r="F2397" t="str">
        <f t="shared" ca="1" si="840"/>
        <v xml:space="preserve">Enter a 'Acquisition Placed-in-Service Date' for  building 51 in cell P54.
</v>
      </c>
      <c r="G2397" s="9" t="str">
        <f t="shared" ca="1" si="821"/>
        <v xml:space="preserve">Enter a value for 'Number of Floors in the Tallest Building' in cell B60.
</v>
      </c>
      <c r="H2397" s="52" t="str">
        <f t="shared" ca="1" si="841"/>
        <v>Acquisition Placed-in-Service Date</v>
      </c>
      <c r="I2397" s="52">
        <v>16</v>
      </c>
    </row>
    <row r="2398" spans="1:10" ht="15" customHeight="1">
      <c r="A2398" t="str">
        <f ca="1">IF(AND(OFFSET(A2398, -I2398 + 2, 4) &gt;  0, E2398="", Calculations!$B$7), F2398, "")</f>
        <v/>
      </c>
      <c r="B2398">
        <f t="shared" si="837"/>
        <v>54</v>
      </c>
      <c r="C2398">
        <f t="shared" ca="1" si="823"/>
        <v>51</v>
      </c>
      <c r="D2398" t="str">
        <f t="shared" si="838"/>
        <v>Q54</v>
      </c>
      <c r="E2398" t="str">
        <f t="shared" ca="1" si="839"/>
        <v/>
      </c>
      <c r="F2398" t="str">
        <f t="shared" ca="1" si="840"/>
        <v xml:space="preserve">Enter a 'Acquisition APR' for  building 51 in cell Q54.
</v>
      </c>
      <c r="G2398" s="9" t="str">
        <f t="shared" ca="1" si="821"/>
        <v xml:space="preserve">Enter a value for 'Number of Floors in the Tallest Building' in cell B60.
</v>
      </c>
      <c r="H2398" s="52" t="str">
        <f t="shared" ca="1" si="841"/>
        <v>Acquisition APR</v>
      </c>
      <c r="I2398" s="52">
        <v>17</v>
      </c>
    </row>
    <row r="2399" spans="1:10" ht="15" customHeight="1">
      <c r="A2399" t="str">
        <f ca="1">IF(AND(Calculations!$B$4,Calculations!$B$29&gt;=C2399, E2399 &lt;&gt; 13),F2399,"")</f>
        <v/>
      </c>
      <c r="B2399">
        <f>ROW('Final Building Profile'!C55)</f>
        <v>55</v>
      </c>
      <c r="C2399">
        <f t="shared" ca="1" si="823"/>
        <v>52</v>
      </c>
      <c r="D2399" t="str">
        <f>ADDRESS(B2399, 3,4  )</f>
        <v>C55</v>
      </c>
      <c r="E2399" s="52">
        <f ca="1">H2399+I2399</f>
        <v>0</v>
      </c>
      <c r="F2399" t="str">
        <f ca="1">CONCATENATE("Based upon the number of buildings specified, information for  building ", C2399, " required for a final application in row ", B2399, ".", CHAR(10))</f>
        <v xml:space="preserve">Based upon the number of buildings specified, information for  building 52 required for a final application in row 55.
</v>
      </c>
      <c r="G2399" s="9" t="str">
        <f t="shared" ca="1" si="821"/>
        <v xml:space="preserve">Enter a value for 'Number of Floors in the Tallest Building' in cell B60.
</v>
      </c>
      <c r="H2399" s="52">
        <f ca="1">SUMPRODUCT(--ISTEXT(INDIRECT(J2399)))</f>
        <v>0</v>
      </c>
      <c r="I2399" s="52">
        <f ca="1">SUMPRODUCT(--ISNUMBER(INDIRECT(J2399)))</f>
        <v>0</v>
      </c>
      <c r="J2399" s="52" t="str">
        <f>$F$1565&amp; ADDRESS(B2399,3,4) &amp; ":" &amp; ADDRESS(B2399,15,4)</f>
        <v>'Final Building Profile'!C55:O55</v>
      </c>
    </row>
    <row r="2400" spans="1:10" ht="15" customHeight="1">
      <c r="A2400" t="str">
        <f t="shared" ref="A2400:A2409" ca="1" si="842">IF(AND(OFFSET(A2400, -I2400 + 2, 4) &gt;  0, E2400=""), F2400, "")</f>
        <v/>
      </c>
      <c r="B2400">
        <f t="shared" ref="B2400:B2414" si="843">B2399</f>
        <v>55</v>
      </c>
      <c r="C2400">
        <f t="shared" ca="1" si="823"/>
        <v>52</v>
      </c>
      <c r="D2400" t="str">
        <f t="shared" ref="D2400:D2414" si="844">ADDRESS(B2400, I2400,4  )</f>
        <v>C55</v>
      </c>
      <c r="E2400" t="str">
        <f t="shared" ref="E2400:E2414" ca="1" si="845">IF(ISBLANK( INDIRECT($F$1565 &amp; D2400)),"", INDIRECT($F$1565 &amp; D2400))</f>
        <v/>
      </c>
      <c r="F2400" t="str">
        <f t="shared" ref="F2400:F2414" ca="1" si="846">CONCATENATE("Enter a '"&amp; H2400 &amp;"' for  building ", C2400, " in cell ", D2400, ".", CHAR(10))</f>
        <v xml:space="preserve">Enter a 'Building Street Address Only 
(DO NOT ENTER CITY, STATE, OR ZIP)' for  building 52 in cell C55.
</v>
      </c>
      <c r="G2400" s="9" t="str">
        <f t="shared" ref="G2400:G2463" ca="1" si="847">OFFSET(G2400, -1, 0) &amp; A2400</f>
        <v xml:space="preserve">Enter a value for 'Number of Floors in the Tallest Building' in cell B60.
</v>
      </c>
      <c r="H2400" s="52" t="str">
        <f t="shared" ref="H2400:H2414" ca="1" si="848">OFFSET(INDIRECT($F$1565 &amp; D2400), -B2400 + 3, 0)</f>
        <v>Building Street Address Only 
(DO NOT ENTER CITY, STATE, OR ZIP)</v>
      </c>
      <c r="I2400" s="52">
        <v>3</v>
      </c>
    </row>
    <row r="2401" spans="1:10" ht="15" customHeight="1">
      <c r="A2401" t="str">
        <f t="shared" ca="1" si="842"/>
        <v/>
      </c>
      <c r="B2401">
        <f t="shared" si="843"/>
        <v>55</v>
      </c>
      <c r="C2401">
        <f t="shared" ca="1" si="823"/>
        <v>52</v>
      </c>
      <c r="D2401" t="str">
        <f t="shared" si="844"/>
        <v>D55</v>
      </c>
      <c r="E2401" t="str">
        <f t="shared" ca="1" si="845"/>
        <v/>
      </c>
      <c r="F2401" t="str">
        <f t="shared" ca="1" si="846"/>
        <v xml:space="preserve">Enter a 'Total Units in Building*' for  building 52 in cell D55.
</v>
      </c>
      <c r="G2401" s="9" t="str">
        <f t="shared" ca="1" si="847"/>
        <v xml:space="preserve">Enter a value for 'Number of Floors in the Tallest Building' in cell B60.
</v>
      </c>
      <c r="H2401" s="52" t="str">
        <f t="shared" ca="1" si="848"/>
        <v>Total Units in Building*</v>
      </c>
      <c r="I2401" s="52">
        <v>4</v>
      </c>
    </row>
    <row r="2402" spans="1:10" ht="15" customHeight="1">
      <c r="A2402" t="str">
        <f t="shared" ca="1" si="842"/>
        <v/>
      </c>
      <c r="B2402">
        <f t="shared" si="843"/>
        <v>55</v>
      </c>
      <c r="C2402">
        <f t="shared" ca="1" si="823"/>
        <v>52</v>
      </c>
      <c r="D2402" t="str">
        <f t="shared" si="844"/>
        <v>E55</v>
      </c>
      <c r="E2402" t="str">
        <f t="shared" ca="1" si="845"/>
        <v/>
      </c>
      <c r="F2402" t="str">
        <f t="shared" ca="1" si="846"/>
        <v xml:space="preserve">Enter a 'Employee Units' for  building 52 in cell E55.
</v>
      </c>
      <c r="G2402" s="9" t="str">
        <f t="shared" ca="1" si="847"/>
        <v xml:space="preserve">Enter a value for 'Number of Floors in the Tallest Building' in cell B60.
</v>
      </c>
      <c r="H2402" s="52" t="str">
        <f t="shared" ca="1" si="848"/>
        <v>Employee Units</v>
      </c>
      <c r="I2402" s="52">
        <v>5</v>
      </c>
    </row>
    <row r="2403" spans="1:10" ht="15" customHeight="1">
      <c r="A2403" t="str">
        <f t="shared" ca="1" si="842"/>
        <v/>
      </c>
      <c r="B2403">
        <f t="shared" si="843"/>
        <v>55</v>
      </c>
      <c r="C2403">
        <f t="shared" ca="1" si="823"/>
        <v>52</v>
      </c>
      <c r="D2403" t="str">
        <f t="shared" si="844"/>
        <v>F55</v>
      </c>
      <c r="E2403" t="str">
        <f t="shared" ca="1" si="845"/>
        <v/>
      </c>
      <c r="F2403" t="str">
        <f t="shared" ca="1" si="846"/>
        <v xml:space="preserve">Enter a 'Low-Income Units' for  building 52 in cell F55.
</v>
      </c>
      <c r="G2403" s="9" t="str">
        <f t="shared" ca="1" si="847"/>
        <v xml:space="preserve">Enter a value for 'Number of Floors in the Tallest Building' in cell B60.
</v>
      </c>
      <c r="H2403" s="52" t="str">
        <f t="shared" ca="1" si="848"/>
        <v>Low-Income Units</v>
      </c>
      <c r="I2403" s="52">
        <v>6</v>
      </c>
    </row>
    <row r="2404" spans="1:10" ht="15" customHeight="1">
      <c r="A2404" t="str">
        <f t="shared" ca="1" si="842"/>
        <v/>
      </c>
      <c r="B2404">
        <f t="shared" si="843"/>
        <v>55</v>
      </c>
      <c r="C2404">
        <f t="shared" ca="1" si="823"/>
        <v>52</v>
      </c>
      <c r="D2404" t="str">
        <f t="shared" si="844"/>
        <v>G55</v>
      </c>
      <c r="E2404" t="str">
        <f t="shared" ca="1" si="845"/>
        <v/>
      </c>
      <c r="F2404" t="str">
        <f t="shared" ca="1" si="846"/>
        <v xml:space="preserve">Enter a 'Residential Square Footage**' for  building 52 in cell G55.
</v>
      </c>
      <c r="G2404" s="9" t="str">
        <f t="shared" ca="1" si="847"/>
        <v xml:space="preserve">Enter a value for 'Number of Floors in the Tallest Building' in cell B60.
</v>
      </c>
      <c r="H2404" s="52" t="str">
        <f t="shared" ca="1" si="848"/>
        <v>Residential Square Footage**</v>
      </c>
      <c r="I2404" s="52">
        <v>7</v>
      </c>
    </row>
    <row r="2405" spans="1:10" ht="15" customHeight="1">
      <c r="A2405" t="str">
        <f t="shared" ca="1" si="842"/>
        <v/>
      </c>
      <c r="B2405">
        <f t="shared" si="843"/>
        <v>55</v>
      </c>
      <c r="C2405">
        <f t="shared" ca="1" si="823"/>
        <v>52</v>
      </c>
      <c r="D2405" t="str">
        <f t="shared" si="844"/>
        <v>H55</v>
      </c>
      <c r="E2405" t="str">
        <f t="shared" ca="1" si="845"/>
        <v/>
      </c>
      <c r="F2405" t="str">
        <f t="shared" ca="1" si="846"/>
        <v xml:space="preserve">Enter a 'Square Footage of Employee Units' for  building 52 in cell H55.
</v>
      </c>
      <c r="G2405" s="9" t="str">
        <f t="shared" ca="1" si="847"/>
        <v xml:space="preserve">Enter a value for 'Number of Floors in the Tallest Building' in cell B60.
</v>
      </c>
      <c r="H2405" s="52" t="str">
        <f t="shared" ca="1" si="848"/>
        <v>Square Footage of Employee Units</v>
      </c>
      <c r="I2405" s="52">
        <v>8</v>
      </c>
    </row>
    <row r="2406" spans="1:10" ht="15" customHeight="1">
      <c r="A2406" t="str">
        <f t="shared" ca="1" si="842"/>
        <v/>
      </c>
      <c r="B2406">
        <f t="shared" si="843"/>
        <v>55</v>
      </c>
      <c r="C2406">
        <f t="shared" ca="1" si="823"/>
        <v>52</v>
      </c>
      <c r="D2406" t="str">
        <f t="shared" si="844"/>
        <v>I55</v>
      </c>
      <c r="E2406" t="str">
        <f t="shared" ca="1" si="845"/>
        <v/>
      </c>
      <c r="F2406" t="str">
        <f t="shared" ca="1" si="846"/>
        <v xml:space="preserve">Enter a 'Square Footage of Low-Income Units' for  building 52 in cell I55.
</v>
      </c>
      <c r="G2406" s="9" t="str">
        <f t="shared" ca="1" si="847"/>
        <v xml:space="preserve">Enter a value for 'Number of Floors in the Tallest Building' in cell B60.
</v>
      </c>
      <c r="H2406" s="52" t="str">
        <f t="shared" ca="1" si="848"/>
        <v>Square Footage of Low-Income Units</v>
      </c>
      <c r="I2406" s="52">
        <v>9</v>
      </c>
    </row>
    <row r="2407" spans="1:10" ht="15" customHeight="1">
      <c r="A2407" t="str">
        <f t="shared" ca="1" si="842"/>
        <v/>
      </c>
      <c r="B2407">
        <f t="shared" si="843"/>
        <v>55</v>
      </c>
      <c r="C2407">
        <f t="shared" ca="1" si="823"/>
        <v>52</v>
      </c>
      <c r="D2407" t="str">
        <f t="shared" si="844"/>
        <v>J55</v>
      </c>
      <c r="E2407" t="str">
        <f t="shared" ca="1" si="845"/>
        <v/>
      </c>
      <c r="F2407" t="str">
        <f t="shared" ca="1" si="846"/>
        <v xml:space="preserve">Enter a 'Placed-In-Service Date' for  building 52 in cell J55.
</v>
      </c>
      <c r="G2407" s="9" t="str">
        <f t="shared" ca="1" si="847"/>
        <v xml:space="preserve">Enter a value for 'Number of Floors in the Tallest Building' in cell B60.
</v>
      </c>
      <c r="H2407" s="52" t="str">
        <f t="shared" ca="1" si="848"/>
        <v>Placed-In-Service Date</v>
      </c>
      <c r="I2407" s="52">
        <v>10</v>
      </c>
    </row>
    <row r="2408" spans="1:10" ht="15" customHeight="1">
      <c r="A2408" t="str">
        <f t="shared" ca="1" si="842"/>
        <v/>
      </c>
      <c r="B2408">
        <f t="shared" si="843"/>
        <v>55</v>
      </c>
      <c r="C2408">
        <f t="shared" ca="1" si="823"/>
        <v>52</v>
      </c>
      <c r="D2408" t="str">
        <f t="shared" si="844"/>
        <v>K55</v>
      </c>
      <c r="E2408" t="str">
        <f t="shared" ca="1" si="845"/>
        <v/>
      </c>
      <c r="F2408" t="str">
        <f t="shared" ca="1" si="846"/>
        <v xml:space="preserve">Enter a 'New Construction/ Rehab APR' for  building 52 in cell K55.
</v>
      </c>
      <c r="G2408" s="9" t="str">
        <f t="shared" ca="1" si="847"/>
        <v xml:space="preserve">Enter a value for 'Number of Floors in the Tallest Building' in cell B60.
</v>
      </c>
      <c r="H2408" s="52" t="str">
        <f t="shared" ca="1" si="848"/>
        <v>New Construction/ Rehab APR</v>
      </c>
      <c r="I2408" s="52">
        <v>11</v>
      </c>
    </row>
    <row r="2409" spans="1:10" ht="15" customHeight="1">
      <c r="A2409" t="str">
        <f t="shared" ca="1" si="842"/>
        <v/>
      </c>
      <c r="B2409">
        <f t="shared" si="843"/>
        <v>55</v>
      </c>
      <c r="C2409">
        <f t="shared" ca="1" si="823"/>
        <v>52</v>
      </c>
      <c r="D2409" t="str">
        <f t="shared" si="844"/>
        <v>L55</v>
      </c>
      <c r="E2409" t="str">
        <f t="shared" ca="1" si="845"/>
        <v/>
      </c>
      <c r="F2409" t="str">
        <f t="shared" ca="1" si="846"/>
        <v xml:space="preserve">Enter a 'New Construction Eligible Basis' for  building 52 in cell L55.
</v>
      </c>
      <c r="G2409" s="9" t="str">
        <f t="shared" ca="1" si="847"/>
        <v xml:space="preserve">Enter a value for 'Number of Floors in the Tallest Building' in cell B60.
</v>
      </c>
      <c r="H2409" s="52" t="str">
        <f t="shared" ca="1" si="848"/>
        <v>New Construction Eligible Basis</v>
      </c>
      <c r="I2409" s="52">
        <v>12</v>
      </c>
    </row>
    <row r="2410" spans="1:10" ht="15" customHeight="1">
      <c r="A2410" t="str">
        <f ca="1">IF(AND(OFFSET(A2410, -I2410 + 2, 4) &gt;  0, E2410="", Calculations!$B$7), F2410, "")</f>
        <v/>
      </c>
      <c r="B2410">
        <f t="shared" si="843"/>
        <v>55</v>
      </c>
      <c r="C2410">
        <f t="shared" ca="1" si="823"/>
        <v>52</v>
      </c>
      <c r="D2410" t="str">
        <f t="shared" si="844"/>
        <v>M55</v>
      </c>
      <c r="E2410" t="str">
        <f t="shared" ca="1" si="845"/>
        <v/>
      </c>
      <c r="F2410" t="str">
        <f t="shared" ca="1" si="846"/>
        <v xml:space="preserve">Enter a 'Eligible Basis for Rehab' for  building 52 in cell M55.
</v>
      </c>
      <c r="G2410" s="9" t="str">
        <f t="shared" ca="1" si="847"/>
        <v xml:space="preserve">Enter a value for 'Number of Floors in the Tallest Building' in cell B60.
</v>
      </c>
      <c r="H2410" s="52" t="str">
        <f t="shared" ca="1" si="848"/>
        <v>Eligible Basis for Rehab</v>
      </c>
      <c r="I2410" s="52">
        <v>13</v>
      </c>
    </row>
    <row r="2411" spans="1:10" ht="15" customHeight="1">
      <c r="A2411" t="str">
        <f ca="1">IF(AND(OFFSET(A2411, -I2411 + 2, 4) &gt;  0, E2411="", Calculations!$B$7), F2411, "")</f>
        <v/>
      </c>
      <c r="B2411">
        <f t="shared" si="843"/>
        <v>55</v>
      </c>
      <c r="C2411">
        <f t="shared" ca="1" si="823"/>
        <v>52</v>
      </c>
      <c r="D2411" t="str">
        <f t="shared" si="844"/>
        <v>N55</v>
      </c>
      <c r="E2411" t="str">
        <f t="shared" ca="1" si="845"/>
        <v/>
      </c>
      <c r="F2411" t="str">
        <f t="shared" ca="1" si="846"/>
        <v xml:space="preserve">Enter a 'Cost of Acquiring the Building***' for  building 52 in cell N55.
</v>
      </c>
      <c r="G2411" s="9" t="str">
        <f t="shared" ca="1" si="847"/>
        <v xml:space="preserve">Enter a value for 'Number of Floors in the Tallest Building' in cell B60.
</v>
      </c>
      <c r="H2411" s="52" t="str">
        <f t="shared" ca="1" si="848"/>
        <v>Cost of Acquiring the Building***</v>
      </c>
      <c r="I2411" s="52">
        <v>14</v>
      </c>
    </row>
    <row r="2412" spans="1:10" ht="15" customHeight="1">
      <c r="A2412" t="str">
        <f ca="1">IF(AND(OFFSET(A2412, -I2412 + 2, 4) &gt;  0, E2412="", Calculations!$B$7), F2412, "")</f>
        <v/>
      </c>
      <c r="B2412">
        <f t="shared" si="843"/>
        <v>55</v>
      </c>
      <c r="C2412">
        <f t="shared" ca="1" si="823"/>
        <v>52</v>
      </c>
      <c r="D2412" t="str">
        <f t="shared" si="844"/>
        <v>O55</v>
      </c>
      <c r="E2412" t="str">
        <f t="shared" ca="1" si="845"/>
        <v/>
      </c>
      <c r="F2412" t="str">
        <f t="shared" ca="1" si="846"/>
        <v xml:space="preserve">Enter a 'Higher of Land Purchase Price or Land Appraised Value****' for  building 52 in cell O55.
</v>
      </c>
      <c r="G2412" s="9" t="str">
        <f t="shared" ca="1" si="847"/>
        <v xml:space="preserve">Enter a value for 'Number of Floors in the Tallest Building' in cell B60.
</v>
      </c>
      <c r="H2412" s="52" t="str">
        <f t="shared" ca="1" si="848"/>
        <v>Higher of Land Purchase Price or Land Appraised Value****</v>
      </c>
      <c r="I2412" s="52">
        <v>15</v>
      </c>
    </row>
    <row r="2413" spans="1:10" ht="15" customHeight="1">
      <c r="A2413" t="str">
        <f ca="1">IF(AND(OFFSET(A2413, -I2413 + 2, 4) &gt;  0, E2413="", Calculations!$B$7), F2413, "")</f>
        <v/>
      </c>
      <c r="B2413">
        <f t="shared" si="843"/>
        <v>55</v>
      </c>
      <c r="C2413">
        <f t="shared" ca="1" si="823"/>
        <v>52</v>
      </c>
      <c r="D2413" t="str">
        <f t="shared" si="844"/>
        <v>P55</v>
      </c>
      <c r="E2413" t="str">
        <f t="shared" ca="1" si="845"/>
        <v/>
      </c>
      <c r="F2413" t="str">
        <f t="shared" ca="1" si="846"/>
        <v xml:space="preserve">Enter a 'Acquisition Placed-in-Service Date' for  building 52 in cell P55.
</v>
      </c>
      <c r="G2413" s="9" t="str">
        <f t="shared" ca="1" si="847"/>
        <v xml:space="preserve">Enter a value for 'Number of Floors in the Tallest Building' in cell B60.
</v>
      </c>
      <c r="H2413" s="52" t="str">
        <f t="shared" ca="1" si="848"/>
        <v>Acquisition Placed-in-Service Date</v>
      </c>
      <c r="I2413" s="52">
        <v>16</v>
      </c>
    </row>
    <row r="2414" spans="1:10" ht="15" customHeight="1">
      <c r="A2414" t="str">
        <f ca="1">IF(AND(OFFSET(A2414, -I2414 + 2, 4) &gt;  0, E2414="", Calculations!$B$7), F2414, "")</f>
        <v/>
      </c>
      <c r="B2414">
        <f t="shared" si="843"/>
        <v>55</v>
      </c>
      <c r="C2414">
        <f t="shared" ca="1" si="823"/>
        <v>52</v>
      </c>
      <c r="D2414" t="str">
        <f t="shared" si="844"/>
        <v>Q55</v>
      </c>
      <c r="E2414" t="str">
        <f t="shared" ca="1" si="845"/>
        <v/>
      </c>
      <c r="F2414" t="str">
        <f t="shared" ca="1" si="846"/>
        <v xml:space="preserve">Enter a 'Acquisition APR' for  building 52 in cell Q55.
</v>
      </c>
      <c r="G2414" s="9" t="str">
        <f t="shared" ca="1" si="847"/>
        <v xml:space="preserve">Enter a value for 'Number of Floors in the Tallest Building' in cell B60.
</v>
      </c>
      <c r="H2414" s="52" t="str">
        <f t="shared" ca="1" si="848"/>
        <v>Acquisition APR</v>
      </c>
      <c r="I2414" s="52">
        <v>17</v>
      </c>
    </row>
    <row r="2415" spans="1:10" ht="15" customHeight="1">
      <c r="A2415" t="str">
        <f ca="1">IF(AND(Calculations!$B$4,Calculations!$B$29&gt;=C2415, E2415 &lt;&gt; 13),F2415,"")</f>
        <v/>
      </c>
      <c r="B2415">
        <f>ROW('Final Building Profile'!C56)</f>
        <v>56</v>
      </c>
      <c r="C2415">
        <f t="shared" ref="C2415:C2478" ca="1" si="849">INDIRECT($F$1565 &amp; ADDRESS(B2415, 1,4  ))</f>
        <v>53</v>
      </c>
      <c r="D2415" t="str">
        <f>ADDRESS(B2415, 3,4  )</f>
        <v>C56</v>
      </c>
      <c r="E2415" s="52">
        <f ca="1">H2415+I2415</f>
        <v>0</v>
      </c>
      <c r="F2415" t="str">
        <f ca="1">CONCATENATE("Based upon the number of buildings specified, information for  building ", C2415, " required for a final application in row ", B2415, ".", CHAR(10))</f>
        <v xml:space="preserve">Based upon the number of buildings specified, information for  building 53 required for a final application in row 56.
</v>
      </c>
      <c r="G2415" s="9" t="str">
        <f t="shared" ca="1" si="847"/>
        <v xml:space="preserve">Enter a value for 'Number of Floors in the Tallest Building' in cell B60.
</v>
      </c>
      <c r="H2415" s="52">
        <f ca="1">SUMPRODUCT(--ISTEXT(INDIRECT(J2415)))</f>
        <v>0</v>
      </c>
      <c r="I2415" s="52">
        <f ca="1">SUMPRODUCT(--ISNUMBER(INDIRECT(J2415)))</f>
        <v>0</v>
      </c>
      <c r="J2415" s="52" t="str">
        <f>$F$1565&amp; ADDRESS(B2415,3,4) &amp; ":" &amp; ADDRESS(B2415,15,4)</f>
        <v>'Final Building Profile'!C56:O56</v>
      </c>
    </row>
    <row r="2416" spans="1:10" ht="15" customHeight="1">
      <c r="A2416" t="str">
        <f t="shared" ref="A2416:A2425" ca="1" si="850">IF(AND(OFFSET(A2416, -I2416 + 2, 4) &gt;  0, E2416=""), F2416, "")</f>
        <v/>
      </c>
      <c r="B2416">
        <f t="shared" ref="B2416:B2430" si="851">B2415</f>
        <v>56</v>
      </c>
      <c r="C2416">
        <f t="shared" ca="1" si="849"/>
        <v>53</v>
      </c>
      <c r="D2416" t="str">
        <f t="shared" ref="D2416:D2430" si="852">ADDRESS(B2416, I2416,4  )</f>
        <v>C56</v>
      </c>
      <c r="E2416" t="str">
        <f t="shared" ref="E2416:E2430" ca="1" si="853">IF(ISBLANK( INDIRECT($F$1565 &amp; D2416)),"", INDIRECT($F$1565 &amp; D2416))</f>
        <v/>
      </c>
      <c r="F2416" t="str">
        <f t="shared" ref="F2416:F2430" ca="1" si="854">CONCATENATE("Enter a '"&amp; H2416 &amp;"' for  building ", C2416, " in cell ", D2416, ".", CHAR(10))</f>
        <v xml:space="preserve">Enter a 'Building Street Address Only 
(DO NOT ENTER CITY, STATE, OR ZIP)' for  building 53 in cell C56.
</v>
      </c>
      <c r="G2416" s="9" t="str">
        <f t="shared" ca="1" si="847"/>
        <v xml:space="preserve">Enter a value for 'Number of Floors in the Tallest Building' in cell B60.
</v>
      </c>
      <c r="H2416" s="52" t="str">
        <f t="shared" ref="H2416:H2430" ca="1" si="855">OFFSET(INDIRECT($F$1565 &amp; D2416), -B2416 + 3, 0)</f>
        <v>Building Street Address Only 
(DO NOT ENTER CITY, STATE, OR ZIP)</v>
      </c>
      <c r="I2416" s="52">
        <v>3</v>
      </c>
    </row>
    <row r="2417" spans="1:10" ht="15" customHeight="1">
      <c r="A2417" t="str">
        <f t="shared" ca="1" si="850"/>
        <v/>
      </c>
      <c r="B2417">
        <f t="shared" si="851"/>
        <v>56</v>
      </c>
      <c r="C2417">
        <f t="shared" ca="1" si="849"/>
        <v>53</v>
      </c>
      <c r="D2417" t="str">
        <f t="shared" si="852"/>
        <v>D56</v>
      </c>
      <c r="E2417" t="str">
        <f t="shared" ca="1" si="853"/>
        <v/>
      </c>
      <c r="F2417" t="str">
        <f t="shared" ca="1" si="854"/>
        <v xml:space="preserve">Enter a 'Total Units in Building*' for  building 53 in cell D56.
</v>
      </c>
      <c r="G2417" s="9" t="str">
        <f t="shared" ca="1" si="847"/>
        <v xml:space="preserve">Enter a value for 'Number of Floors in the Tallest Building' in cell B60.
</v>
      </c>
      <c r="H2417" s="52" t="str">
        <f t="shared" ca="1" si="855"/>
        <v>Total Units in Building*</v>
      </c>
      <c r="I2417" s="52">
        <v>4</v>
      </c>
    </row>
    <row r="2418" spans="1:10" ht="15" customHeight="1">
      <c r="A2418" t="str">
        <f t="shared" ca="1" si="850"/>
        <v/>
      </c>
      <c r="B2418">
        <f t="shared" si="851"/>
        <v>56</v>
      </c>
      <c r="C2418">
        <f t="shared" ca="1" si="849"/>
        <v>53</v>
      </c>
      <c r="D2418" t="str">
        <f t="shared" si="852"/>
        <v>E56</v>
      </c>
      <c r="E2418" t="str">
        <f t="shared" ca="1" si="853"/>
        <v/>
      </c>
      <c r="F2418" t="str">
        <f t="shared" ca="1" si="854"/>
        <v xml:space="preserve">Enter a 'Employee Units' for  building 53 in cell E56.
</v>
      </c>
      <c r="G2418" s="9" t="str">
        <f t="shared" ca="1" si="847"/>
        <v xml:space="preserve">Enter a value for 'Number of Floors in the Tallest Building' in cell B60.
</v>
      </c>
      <c r="H2418" s="52" t="str">
        <f t="shared" ca="1" si="855"/>
        <v>Employee Units</v>
      </c>
      <c r="I2418" s="52">
        <v>5</v>
      </c>
    </row>
    <row r="2419" spans="1:10" ht="15" customHeight="1">
      <c r="A2419" t="str">
        <f t="shared" ca="1" si="850"/>
        <v/>
      </c>
      <c r="B2419">
        <f t="shared" si="851"/>
        <v>56</v>
      </c>
      <c r="C2419">
        <f t="shared" ca="1" si="849"/>
        <v>53</v>
      </c>
      <c r="D2419" t="str">
        <f t="shared" si="852"/>
        <v>F56</v>
      </c>
      <c r="E2419" t="str">
        <f t="shared" ca="1" si="853"/>
        <v/>
      </c>
      <c r="F2419" t="str">
        <f t="shared" ca="1" si="854"/>
        <v xml:space="preserve">Enter a 'Low-Income Units' for  building 53 in cell F56.
</v>
      </c>
      <c r="G2419" s="9" t="str">
        <f t="shared" ca="1" si="847"/>
        <v xml:space="preserve">Enter a value for 'Number of Floors in the Tallest Building' in cell B60.
</v>
      </c>
      <c r="H2419" s="52" t="str">
        <f t="shared" ca="1" si="855"/>
        <v>Low-Income Units</v>
      </c>
      <c r="I2419" s="52">
        <v>6</v>
      </c>
    </row>
    <row r="2420" spans="1:10" ht="15" customHeight="1">
      <c r="A2420" t="str">
        <f t="shared" ca="1" si="850"/>
        <v/>
      </c>
      <c r="B2420">
        <f t="shared" si="851"/>
        <v>56</v>
      </c>
      <c r="C2420">
        <f t="shared" ca="1" si="849"/>
        <v>53</v>
      </c>
      <c r="D2420" t="str">
        <f t="shared" si="852"/>
        <v>G56</v>
      </c>
      <c r="E2420" t="str">
        <f t="shared" ca="1" si="853"/>
        <v/>
      </c>
      <c r="F2420" t="str">
        <f t="shared" ca="1" si="854"/>
        <v xml:space="preserve">Enter a 'Residential Square Footage**' for  building 53 in cell G56.
</v>
      </c>
      <c r="G2420" s="9" t="str">
        <f t="shared" ca="1" si="847"/>
        <v xml:space="preserve">Enter a value for 'Number of Floors in the Tallest Building' in cell B60.
</v>
      </c>
      <c r="H2420" s="52" t="str">
        <f t="shared" ca="1" si="855"/>
        <v>Residential Square Footage**</v>
      </c>
      <c r="I2420" s="52">
        <v>7</v>
      </c>
    </row>
    <row r="2421" spans="1:10" ht="15" customHeight="1">
      <c r="A2421" t="str">
        <f t="shared" ca="1" si="850"/>
        <v/>
      </c>
      <c r="B2421">
        <f t="shared" si="851"/>
        <v>56</v>
      </c>
      <c r="C2421">
        <f t="shared" ca="1" si="849"/>
        <v>53</v>
      </c>
      <c r="D2421" t="str">
        <f t="shared" si="852"/>
        <v>H56</v>
      </c>
      <c r="E2421" t="str">
        <f t="shared" ca="1" si="853"/>
        <v/>
      </c>
      <c r="F2421" t="str">
        <f t="shared" ca="1" si="854"/>
        <v xml:space="preserve">Enter a 'Square Footage of Employee Units' for  building 53 in cell H56.
</v>
      </c>
      <c r="G2421" s="9" t="str">
        <f t="shared" ca="1" si="847"/>
        <v xml:space="preserve">Enter a value for 'Number of Floors in the Tallest Building' in cell B60.
</v>
      </c>
      <c r="H2421" s="52" t="str">
        <f t="shared" ca="1" si="855"/>
        <v>Square Footage of Employee Units</v>
      </c>
      <c r="I2421" s="52">
        <v>8</v>
      </c>
    </row>
    <row r="2422" spans="1:10" ht="15" customHeight="1">
      <c r="A2422" t="str">
        <f t="shared" ca="1" si="850"/>
        <v/>
      </c>
      <c r="B2422">
        <f t="shared" si="851"/>
        <v>56</v>
      </c>
      <c r="C2422">
        <f t="shared" ca="1" si="849"/>
        <v>53</v>
      </c>
      <c r="D2422" t="str">
        <f t="shared" si="852"/>
        <v>I56</v>
      </c>
      <c r="E2422" t="str">
        <f t="shared" ca="1" si="853"/>
        <v/>
      </c>
      <c r="F2422" t="str">
        <f t="shared" ca="1" si="854"/>
        <v xml:space="preserve">Enter a 'Square Footage of Low-Income Units' for  building 53 in cell I56.
</v>
      </c>
      <c r="G2422" s="9" t="str">
        <f t="shared" ca="1" si="847"/>
        <v xml:space="preserve">Enter a value for 'Number of Floors in the Tallest Building' in cell B60.
</v>
      </c>
      <c r="H2422" s="52" t="str">
        <f t="shared" ca="1" si="855"/>
        <v>Square Footage of Low-Income Units</v>
      </c>
      <c r="I2422" s="52">
        <v>9</v>
      </c>
    </row>
    <row r="2423" spans="1:10" ht="15" customHeight="1">
      <c r="A2423" t="str">
        <f t="shared" ca="1" si="850"/>
        <v/>
      </c>
      <c r="B2423">
        <f t="shared" si="851"/>
        <v>56</v>
      </c>
      <c r="C2423">
        <f t="shared" ca="1" si="849"/>
        <v>53</v>
      </c>
      <c r="D2423" t="str">
        <f t="shared" si="852"/>
        <v>J56</v>
      </c>
      <c r="E2423" t="str">
        <f t="shared" ca="1" si="853"/>
        <v/>
      </c>
      <c r="F2423" t="str">
        <f t="shared" ca="1" si="854"/>
        <v xml:space="preserve">Enter a 'Placed-In-Service Date' for  building 53 in cell J56.
</v>
      </c>
      <c r="G2423" s="9" t="str">
        <f t="shared" ca="1" si="847"/>
        <v xml:space="preserve">Enter a value for 'Number of Floors in the Tallest Building' in cell B60.
</v>
      </c>
      <c r="H2423" s="52" t="str">
        <f t="shared" ca="1" si="855"/>
        <v>Placed-In-Service Date</v>
      </c>
      <c r="I2423" s="52">
        <v>10</v>
      </c>
    </row>
    <row r="2424" spans="1:10" ht="15" customHeight="1">
      <c r="A2424" t="str">
        <f t="shared" ca="1" si="850"/>
        <v/>
      </c>
      <c r="B2424">
        <f t="shared" si="851"/>
        <v>56</v>
      </c>
      <c r="C2424">
        <f t="shared" ca="1" si="849"/>
        <v>53</v>
      </c>
      <c r="D2424" t="str">
        <f t="shared" si="852"/>
        <v>K56</v>
      </c>
      <c r="E2424" t="str">
        <f t="shared" ca="1" si="853"/>
        <v/>
      </c>
      <c r="F2424" t="str">
        <f t="shared" ca="1" si="854"/>
        <v xml:space="preserve">Enter a 'New Construction/ Rehab APR' for  building 53 in cell K56.
</v>
      </c>
      <c r="G2424" s="9" t="str">
        <f t="shared" ca="1" si="847"/>
        <v xml:space="preserve">Enter a value for 'Number of Floors in the Tallest Building' in cell B60.
</v>
      </c>
      <c r="H2424" s="52" t="str">
        <f t="shared" ca="1" si="855"/>
        <v>New Construction/ Rehab APR</v>
      </c>
      <c r="I2424" s="52">
        <v>11</v>
      </c>
    </row>
    <row r="2425" spans="1:10" ht="15" customHeight="1">
      <c r="A2425" t="str">
        <f t="shared" ca="1" si="850"/>
        <v/>
      </c>
      <c r="B2425">
        <f t="shared" si="851"/>
        <v>56</v>
      </c>
      <c r="C2425">
        <f t="shared" ca="1" si="849"/>
        <v>53</v>
      </c>
      <c r="D2425" t="str">
        <f t="shared" si="852"/>
        <v>L56</v>
      </c>
      <c r="E2425" t="str">
        <f t="shared" ca="1" si="853"/>
        <v/>
      </c>
      <c r="F2425" t="str">
        <f t="shared" ca="1" si="854"/>
        <v xml:space="preserve">Enter a 'New Construction Eligible Basis' for  building 53 in cell L56.
</v>
      </c>
      <c r="G2425" s="9" t="str">
        <f t="shared" ca="1" si="847"/>
        <v xml:space="preserve">Enter a value for 'Number of Floors in the Tallest Building' in cell B60.
</v>
      </c>
      <c r="H2425" s="52" t="str">
        <f t="shared" ca="1" si="855"/>
        <v>New Construction Eligible Basis</v>
      </c>
      <c r="I2425" s="52">
        <v>12</v>
      </c>
    </row>
    <row r="2426" spans="1:10" ht="15" customHeight="1">
      <c r="A2426" t="str">
        <f ca="1">IF(AND(OFFSET(A2426, -I2426 + 2, 4) &gt;  0, E2426="", Calculations!$B$7), F2426, "")</f>
        <v/>
      </c>
      <c r="B2426">
        <f t="shared" si="851"/>
        <v>56</v>
      </c>
      <c r="C2426">
        <f t="shared" ca="1" si="849"/>
        <v>53</v>
      </c>
      <c r="D2426" t="str">
        <f t="shared" si="852"/>
        <v>M56</v>
      </c>
      <c r="E2426" t="str">
        <f t="shared" ca="1" si="853"/>
        <v/>
      </c>
      <c r="F2426" t="str">
        <f t="shared" ca="1" si="854"/>
        <v xml:space="preserve">Enter a 'Eligible Basis for Rehab' for  building 53 in cell M56.
</v>
      </c>
      <c r="G2426" s="9" t="str">
        <f t="shared" ca="1" si="847"/>
        <v xml:space="preserve">Enter a value for 'Number of Floors in the Tallest Building' in cell B60.
</v>
      </c>
      <c r="H2426" s="52" t="str">
        <f t="shared" ca="1" si="855"/>
        <v>Eligible Basis for Rehab</v>
      </c>
      <c r="I2426" s="52">
        <v>13</v>
      </c>
    </row>
    <row r="2427" spans="1:10" ht="15" customHeight="1">
      <c r="A2427" t="str">
        <f ca="1">IF(AND(OFFSET(A2427, -I2427 + 2, 4) &gt;  0, E2427="", Calculations!$B$7), F2427, "")</f>
        <v/>
      </c>
      <c r="B2427">
        <f t="shared" si="851"/>
        <v>56</v>
      </c>
      <c r="C2427">
        <f t="shared" ca="1" si="849"/>
        <v>53</v>
      </c>
      <c r="D2427" t="str">
        <f t="shared" si="852"/>
        <v>N56</v>
      </c>
      <c r="E2427" t="str">
        <f t="shared" ca="1" si="853"/>
        <v/>
      </c>
      <c r="F2427" t="str">
        <f t="shared" ca="1" si="854"/>
        <v xml:space="preserve">Enter a 'Cost of Acquiring the Building***' for  building 53 in cell N56.
</v>
      </c>
      <c r="G2427" s="9" t="str">
        <f t="shared" ca="1" si="847"/>
        <v xml:space="preserve">Enter a value for 'Number of Floors in the Tallest Building' in cell B60.
</v>
      </c>
      <c r="H2427" s="52" t="str">
        <f t="shared" ca="1" si="855"/>
        <v>Cost of Acquiring the Building***</v>
      </c>
      <c r="I2427" s="52">
        <v>14</v>
      </c>
    </row>
    <row r="2428" spans="1:10" ht="15" customHeight="1">
      <c r="A2428" t="str">
        <f ca="1">IF(AND(OFFSET(A2428, -I2428 + 2, 4) &gt;  0, E2428="", Calculations!$B$7), F2428, "")</f>
        <v/>
      </c>
      <c r="B2428">
        <f t="shared" si="851"/>
        <v>56</v>
      </c>
      <c r="C2428">
        <f t="shared" ca="1" si="849"/>
        <v>53</v>
      </c>
      <c r="D2428" t="str">
        <f t="shared" si="852"/>
        <v>O56</v>
      </c>
      <c r="E2428" t="str">
        <f t="shared" ca="1" si="853"/>
        <v/>
      </c>
      <c r="F2428" t="str">
        <f t="shared" ca="1" si="854"/>
        <v xml:space="preserve">Enter a 'Higher of Land Purchase Price or Land Appraised Value****' for  building 53 in cell O56.
</v>
      </c>
      <c r="G2428" s="9" t="str">
        <f t="shared" ca="1" si="847"/>
        <v xml:space="preserve">Enter a value for 'Number of Floors in the Tallest Building' in cell B60.
</v>
      </c>
      <c r="H2428" s="52" t="str">
        <f t="shared" ca="1" si="855"/>
        <v>Higher of Land Purchase Price or Land Appraised Value****</v>
      </c>
      <c r="I2428" s="52">
        <v>15</v>
      </c>
    </row>
    <row r="2429" spans="1:10" ht="15" customHeight="1">
      <c r="A2429" t="str">
        <f ca="1">IF(AND(OFFSET(A2429, -I2429 + 2, 4) &gt;  0, E2429="", Calculations!$B$7), F2429, "")</f>
        <v/>
      </c>
      <c r="B2429">
        <f t="shared" si="851"/>
        <v>56</v>
      </c>
      <c r="C2429">
        <f t="shared" ca="1" si="849"/>
        <v>53</v>
      </c>
      <c r="D2429" t="str">
        <f t="shared" si="852"/>
        <v>P56</v>
      </c>
      <c r="E2429" t="str">
        <f t="shared" ca="1" si="853"/>
        <v/>
      </c>
      <c r="F2429" t="str">
        <f t="shared" ca="1" si="854"/>
        <v xml:space="preserve">Enter a 'Acquisition Placed-in-Service Date' for  building 53 in cell P56.
</v>
      </c>
      <c r="G2429" s="9" t="str">
        <f t="shared" ca="1" si="847"/>
        <v xml:space="preserve">Enter a value for 'Number of Floors in the Tallest Building' in cell B60.
</v>
      </c>
      <c r="H2429" s="52" t="str">
        <f t="shared" ca="1" si="855"/>
        <v>Acquisition Placed-in-Service Date</v>
      </c>
      <c r="I2429" s="52">
        <v>16</v>
      </c>
    </row>
    <row r="2430" spans="1:10" ht="15" customHeight="1">
      <c r="A2430" t="str">
        <f ca="1">IF(AND(OFFSET(A2430, -I2430 + 2, 4) &gt;  0, E2430="", Calculations!$B$7), F2430, "")</f>
        <v/>
      </c>
      <c r="B2430">
        <f t="shared" si="851"/>
        <v>56</v>
      </c>
      <c r="C2430">
        <f t="shared" ca="1" si="849"/>
        <v>53</v>
      </c>
      <c r="D2430" t="str">
        <f t="shared" si="852"/>
        <v>Q56</v>
      </c>
      <c r="E2430" t="str">
        <f t="shared" ca="1" si="853"/>
        <v/>
      </c>
      <c r="F2430" t="str">
        <f t="shared" ca="1" si="854"/>
        <v xml:space="preserve">Enter a 'Acquisition APR' for  building 53 in cell Q56.
</v>
      </c>
      <c r="G2430" s="9" t="str">
        <f t="shared" ca="1" si="847"/>
        <v xml:space="preserve">Enter a value for 'Number of Floors in the Tallest Building' in cell B60.
</v>
      </c>
      <c r="H2430" s="52" t="str">
        <f t="shared" ca="1" si="855"/>
        <v>Acquisition APR</v>
      </c>
      <c r="I2430" s="52">
        <v>17</v>
      </c>
    </row>
    <row r="2431" spans="1:10" ht="15" customHeight="1">
      <c r="A2431" t="str">
        <f ca="1">IF(AND(Calculations!$B$4,Calculations!$B$29&gt;=C2431, E2431 &lt;&gt; 13),F2431,"")</f>
        <v/>
      </c>
      <c r="B2431">
        <f>ROW('Final Building Profile'!C57)</f>
        <v>57</v>
      </c>
      <c r="C2431">
        <f t="shared" ca="1" si="849"/>
        <v>54</v>
      </c>
      <c r="D2431" t="str">
        <f>ADDRESS(B2431, 3,4  )</f>
        <v>C57</v>
      </c>
      <c r="E2431" s="52">
        <f ca="1">H2431+I2431</f>
        <v>0</v>
      </c>
      <c r="F2431" t="str">
        <f ca="1">CONCATENATE("Based upon the number of buildings specified, information for  building ", C2431, " required for a final application in row ", B2431, ".", CHAR(10))</f>
        <v xml:space="preserve">Based upon the number of buildings specified, information for  building 54 required for a final application in row 57.
</v>
      </c>
      <c r="G2431" s="9" t="str">
        <f t="shared" ca="1" si="847"/>
        <v xml:space="preserve">Enter a value for 'Number of Floors in the Tallest Building' in cell B60.
</v>
      </c>
      <c r="H2431" s="52">
        <f ca="1">SUMPRODUCT(--ISTEXT(INDIRECT(J2431)))</f>
        <v>0</v>
      </c>
      <c r="I2431" s="52">
        <f ca="1">SUMPRODUCT(--ISNUMBER(INDIRECT(J2431)))</f>
        <v>0</v>
      </c>
      <c r="J2431" s="52" t="str">
        <f>$F$1565&amp; ADDRESS(B2431,3,4) &amp; ":" &amp; ADDRESS(B2431,15,4)</f>
        <v>'Final Building Profile'!C57:O57</v>
      </c>
    </row>
    <row r="2432" spans="1:10" ht="15" customHeight="1">
      <c r="A2432" t="str">
        <f t="shared" ref="A2432:A2441" ca="1" si="856">IF(AND(OFFSET(A2432, -I2432 + 2, 4) &gt;  0, E2432=""), F2432, "")</f>
        <v/>
      </c>
      <c r="B2432">
        <f t="shared" ref="B2432:B2446" si="857">B2431</f>
        <v>57</v>
      </c>
      <c r="C2432">
        <f t="shared" ca="1" si="849"/>
        <v>54</v>
      </c>
      <c r="D2432" t="str">
        <f t="shared" ref="D2432:D2446" si="858">ADDRESS(B2432, I2432,4  )</f>
        <v>C57</v>
      </c>
      <c r="E2432" t="str">
        <f t="shared" ref="E2432:E2446" ca="1" si="859">IF(ISBLANK( INDIRECT($F$1565 &amp; D2432)),"", INDIRECT($F$1565 &amp; D2432))</f>
        <v/>
      </c>
      <c r="F2432" t="str">
        <f t="shared" ref="F2432:F2446" ca="1" si="860">CONCATENATE("Enter a '"&amp; H2432 &amp;"' for  building ", C2432, " in cell ", D2432, ".", CHAR(10))</f>
        <v xml:space="preserve">Enter a 'Building Street Address Only 
(DO NOT ENTER CITY, STATE, OR ZIP)' for  building 54 in cell C57.
</v>
      </c>
      <c r="G2432" s="9" t="str">
        <f t="shared" ca="1" si="847"/>
        <v xml:space="preserve">Enter a value for 'Number of Floors in the Tallest Building' in cell B60.
</v>
      </c>
      <c r="H2432" s="52" t="str">
        <f t="shared" ref="H2432:H2446" ca="1" si="861">OFFSET(INDIRECT($F$1565 &amp; D2432), -B2432 + 3, 0)</f>
        <v>Building Street Address Only 
(DO NOT ENTER CITY, STATE, OR ZIP)</v>
      </c>
      <c r="I2432" s="52">
        <v>3</v>
      </c>
    </row>
    <row r="2433" spans="1:10" ht="15" customHeight="1">
      <c r="A2433" t="str">
        <f t="shared" ca="1" si="856"/>
        <v/>
      </c>
      <c r="B2433">
        <f t="shared" si="857"/>
        <v>57</v>
      </c>
      <c r="C2433">
        <f t="shared" ca="1" si="849"/>
        <v>54</v>
      </c>
      <c r="D2433" t="str">
        <f t="shared" si="858"/>
        <v>D57</v>
      </c>
      <c r="E2433" t="str">
        <f t="shared" ca="1" si="859"/>
        <v/>
      </c>
      <c r="F2433" t="str">
        <f t="shared" ca="1" si="860"/>
        <v xml:space="preserve">Enter a 'Total Units in Building*' for  building 54 in cell D57.
</v>
      </c>
      <c r="G2433" s="9" t="str">
        <f t="shared" ca="1" si="847"/>
        <v xml:space="preserve">Enter a value for 'Number of Floors in the Tallest Building' in cell B60.
</v>
      </c>
      <c r="H2433" s="52" t="str">
        <f t="shared" ca="1" si="861"/>
        <v>Total Units in Building*</v>
      </c>
      <c r="I2433" s="52">
        <v>4</v>
      </c>
    </row>
    <row r="2434" spans="1:10" ht="15" customHeight="1">
      <c r="A2434" t="str">
        <f t="shared" ca="1" si="856"/>
        <v/>
      </c>
      <c r="B2434">
        <f t="shared" si="857"/>
        <v>57</v>
      </c>
      <c r="C2434">
        <f t="shared" ca="1" si="849"/>
        <v>54</v>
      </c>
      <c r="D2434" t="str">
        <f t="shared" si="858"/>
        <v>E57</v>
      </c>
      <c r="E2434" t="str">
        <f t="shared" ca="1" si="859"/>
        <v/>
      </c>
      <c r="F2434" t="str">
        <f t="shared" ca="1" si="860"/>
        <v xml:space="preserve">Enter a 'Employee Units' for  building 54 in cell E57.
</v>
      </c>
      <c r="G2434" s="9" t="str">
        <f t="shared" ca="1" si="847"/>
        <v xml:space="preserve">Enter a value for 'Number of Floors in the Tallest Building' in cell B60.
</v>
      </c>
      <c r="H2434" s="52" t="str">
        <f t="shared" ca="1" si="861"/>
        <v>Employee Units</v>
      </c>
      <c r="I2434" s="52">
        <v>5</v>
      </c>
    </row>
    <row r="2435" spans="1:10" ht="15" customHeight="1">
      <c r="A2435" t="str">
        <f t="shared" ca="1" si="856"/>
        <v/>
      </c>
      <c r="B2435">
        <f t="shared" si="857"/>
        <v>57</v>
      </c>
      <c r="C2435">
        <f t="shared" ca="1" si="849"/>
        <v>54</v>
      </c>
      <c r="D2435" t="str">
        <f t="shared" si="858"/>
        <v>F57</v>
      </c>
      <c r="E2435" t="str">
        <f t="shared" ca="1" si="859"/>
        <v/>
      </c>
      <c r="F2435" t="str">
        <f t="shared" ca="1" si="860"/>
        <v xml:space="preserve">Enter a 'Low-Income Units' for  building 54 in cell F57.
</v>
      </c>
      <c r="G2435" s="9" t="str">
        <f t="shared" ca="1" si="847"/>
        <v xml:space="preserve">Enter a value for 'Number of Floors in the Tallest Building' in cell B60.
</v>
      </c>
      <c r="H2435" s="52" t="str">
        <f t="shared" ca="1" si="861"/>
        <v>Low-Income Units</v>
      </c>
      <c r="I2435" s="52">
        <v>6</v>
      </c>
    </row>
    <row r="2436" spans="1:10" ht="15" customHeight="1">
      <c r="A2436" t="str">
        <f t="shared" ca="1" si="856"/>
        <v/>
      </c>
      <c r="B2436">
        <f t="shared" si="857"/>
        <v>57</v>
      </c>
      <c r="C2436">
        <f t="shared" ca="1" si="849"/>
        <v>54</v>
      </c>
      <c r="D2436" t="str">
        <f t="shared" si="858"/>
        <v>G57</v>
      </c>
      <c r="E2436" t="str">
        <f t="shared" ca="1" si="859"/>
        <v/>
      </c>
      <c r="F2436" t="str">
        <f t="shared" ca="1" si="860"/>
        <v xml:space="preserve">Enter a 'Residential Square Footage**' for  building 54 in cell G57.
</v>
      </c>
      <c r="G2436" s="9" t="str">
        <f t="shared" ca="1" si="847"/>
        <v xml:space="preserve">Enter a value for 'Number of Floors in the Tallest Building' in cell B60.
</v>
      </c>
      <c r="H2436" s="52" t="str">
        <f t="shared" ca="1" si="861"/>
        <v>Residential Square Footage**</v>
      </c>
      <c r="I2436" s="52">
        <v>7</v>
      </c>
    </row>
    <row r="2437" spans="1:10" ht="15" customHeight="1">
      <c r="A2437" t="str">
        <f t="shared" ca="1" si="856"/>
        <v/>
      </c>
      <c r="B2437">
        <f t="shared" si="857"/>
        <v>57</v>
      </c>
      <c r="C2437">
        <f t="shared" ca="1" si="849"/>
        <v>54</v>
      </c>
      <c r="D2437" t="str">
        <f t="shared" si="858"/>
        <v>H57</v>
      </c>
      <c r="E2437" t="str">
        <f t="shared" ca="1" si="859"/>
        <v/>
      </c>
      <c r="F2437" t="str">
        <f t="shared" ca="1" si="860"/>
        <v xml:space="preserve">Enter a 'Square Footage of Employee Units' for  building 54 in cell H57.
</v>
      </c>
      <c r="G2437" s="9" t="str">
        <f t="shared" ca="1" si="847"/>
        <v xml:space="preserve">Enter a value for 'Number of Floors in the Tallest Building' in cell B60.
</v>
      </c>
      <c r="H2437" s="52" t="str">
        <f t="shared" ca="1" si="861"/>
        <v>Square Footage of Employee Units</v>
      </c>
      <c r="I2437" s="52">
        <v>8</v>
      </c>
    </row>
    <row r="2438" spans="1:10" ht="15" customHeight="1">
      <c r="A2438" t="str">
        <f t="shared" ca="1" si="856"/>
        <v/>
      </c>
      <c r="B2438">
        <f t="shared" si="857"/>
        <v>57</v>
      </c>
      <c r="C2438">
        <f t="shared" ca="1" si="849"/>
        <v>54</v>
      </c>
      <c r="D2438" t="str">
        <f t="shared" si="858"/>
        <v>I57</v>
      </c>
      <c r="E2438" t="str">
        <f t="shared" ca="1" si="859"/>
        <v/>
      </c>
      <c r="F2438" t="str">
        <f t="shared" ca="1" si="860"/>
        <v xml:space="preserve">Enter a 'Square Footage of Low-Income Units' for  building 54 in cell I57.
</v>
      </c>
      <c r="G2438" s="9" t="str">
        <f t="shared" ca="1" si="847"/>
        <v xml:space="preserve">Enter a value for 'Number of Floors in the Tallest Building' in cell B60.
</v>
      </c>
      <c r="H2438" s="52" t="str">
        <f t="shared" ca="1" si="861"/>
        <v>Square Footage of Low-Income Units</v>
      </c>
      <c r="I2438" s="52">
        <v>9</v>
      </c>
    </row>
    <row r="2439" spans="1:10" ht="15" customHeight="1">
      <c r="A2439" t="str">
        <f t="shared" ca="1" si="856"/>
        <v/>
      </c>
      <c r="B2439">
        <f t="shared" si="857"/>
        <v>57</v>
      </c>
      <c r="C2439">
        <f t="shared" ca="1" si="849"/>
        <v>54</v>
      </c>
      <c r="D2439" t="str">
        <f t="shared" si="858"/>
        <v>J57</v>
      </c>
      <c r="E2439" t="str">
        <f t="shared" ca="1" si="859"/>
        <v/>
      </c>
      <c r="F2439" t="str">
        <f t="shared" ca="1" si="860"/>
        <v xml:space="preserve">Enter a 'Placed-In-Service Date' for  building 54 in cell J57.
</v>
      </c>
      <c r="G2439" s="9" t="str">
        <f t="shared" ca="1" si="847"/>
        <v xml:space="preserve">Enter a value for 'Number of Floors in the Tallest Building' in cell B60.
</v>
      </c>
      <c r="H2439" s="52" t="str">
        <f t="shared" ca="1" si="861"/>
        <v>Placed-In-Service Date</v>
      </c>
      <c r="I2439" s="52">
        <v>10</v>
      </c>
    </row>
    <row r="2440" spans="1:10" ht="15" customHeight="1">
      <c r="A2440" t="str">
        <f t="shared" ca="1" si="856"/>
        <v/>
      </c>
      <c r="B2440">
        <f t="shared" si="857"/>
        <v>57</v>
      </c>
      <c r="C2440">
        <f t="shared" ca="1" si="849"/>
        <v>54</v>
      </c>
      <c r="D2440" t="str">
        <f t="shared" si="858"/>
        <v>K57</v>
      </c>
      <c r="E2440" t="str">
        <f t="shared" ca="1" si="859"/>
        <v/>
      </c>
      <c r="F2440" t="str">
        <f t="shared" ca="1" si="860"/>
        <v xml:space="preserve">Enter a 'New Construction/ Rehab APR' for  building 54 in cell K57.
</v>
      </c>
      <c r="G2440" s="9" t="str">
        <f t="shared" ca="1" si="847"/>
        <v xml:space="preserve">Enter a value for 'Number of Floors in the Tallest Building' in cell B60.
</v>
      </c>
      <c r="H2440" s="52" t="str">
        <f t="shared" ca="1" si="861"/>
        <v>New Construction/ Rehab APR</v>
      </c>
      <c r="I2440" s="52">
        <v>11</v>
      </c>
    </row>
    <row r="2441" spans="1:10" ht="15" customHeight="1">
      <c r="A2441" t="str">
        <f t="shared" ca="1" si="856"/>
        <v/>
      </c>
      <c r="B2441">
        <f t="shared" si="857"/>
        <v>57</v>
      </c>
      <c r="C2441">
        <f t="shared" ca="1" si="849"/>
        <v>54</v>
      </c>
      <c r="D2441" t="str">
        <f t="shared" si="858"/>
        <v>L57</v>
      </c>
      <c r="E2441" t="str">
        <f t="shared" ca="1" si="859"/>
        <v/>
      </c>
      <c r="F2441" t="str">
        <f t="shared" ca="1" si="860"/>
        <v xml:space="preserve">Enter a 'New Construction Eligible Basis' for  building 54 in cell L57.
</v>
      </c>
      <c r="G2441" s="9" t="str">
        <f t="shared" ca="1" si="847"/>
        <v xml:space="preserve">Enter a value for 'Number of Floors in the Tallest Building' in cell B60.
</v>
      </c>
      <c r="H2441" s="52" t="str">
        <f t="shared" ca="1" si="861"/>
        <v>New Construction Eligible Basis</v>
      </c>
      <c r="I2441" s="52">
        <v>12</v>
      </c>
    </row>
    <row r="2442" spans="1:10" ht="15" customHeight="1">
      <c r="A2442" t="str">
        <f ca="1">IF(AND(OFFSET(A2442, -I2442 + 2, 4) &gt;  0, E2442="", Calculations!$B$7), F2442, "")</f>
        <v/>
      </c>
      <c r="B2442">
        <f t="shared" si="857"/>
        <v>57</v>
      </c>
      <c r="C2442">
        <f t="shared" ca="1" si="849"/>
        <v>54</v>
      </c>
      <c r="D2442" t="str">
        <f t="shared" si="858"/>
        <v>M57</v>
      </c>
      <c r="E2442" t="str">
        <f t="shared" ca="1" si="859"/>
        <v/>
      </c>
      <c r="F2442" t="str">
        <f t="shared" ca="1" si="860"/>
        <v xml:space="preserve">Enter a 'Eligible Basis for Rehab' for  building 54 in cell M57.
</v>
      </c>
      <c r="G2442" s="9" t="str">
        <f t="shared" ca="1" si="847"/>
        <v xml:space="preserve">Enter a value for 'Number of Floors in the Tallest Building' in cell B60.
</v>
      </c>
      <c r="H2442" s="52" t="str">
        <f t="shared" ca="1" si="861"/>
        <v>Eligible Basis for Rehab</v>
      </c>
      <c r="I2442" s="52">
        <v>13</v>
      </c>
    </row>
    <row r="2443" spans="1:10" ht="15" customHeight="1">
      <c r="A2443" t="str">
        <f ca="1">IF(AND(OFFSET(A2443, -I2443 + 2, 4) &gt;  0, E2443="", Calculations!$B$7), F2443, "")</f>
        <v/>
      </c>
      <c r="B2443">
        <f t="shared" si="857"/>
        <v>57</v>
      </c>
      <c r="C2443">
        <f t="shared" ca="1" si="849"/>
        <v>54</v>
      </c>
      <c r="D2443" t="str">
        <f t="shared" si="858"/>
        <v>N57</v>
      </c>
      <c r="E2443" t="str">
        <f t="shared" ca="1" si="859"/>
        <v/>
      </c>
      <c r="F2443" t="str">
        <f t="shared" ca="1" si="860"/>
        <v xml:space="preserve">Enter a 'Cost of Acquiring the Building***' for  building 54 in cell N57.
</v>
      </c>
      <c r="G2443" s="9" t="str">
        <f t="shared" ca="1" si="847"/>
        <v xml:space="preserve">Enter a value for 'Number of Floors in the Tallest Building' in cell B60.
</v>
      </c>
      <c r="H2443" s="52" t="str">
        <f t="shared" ca="1" si="861"/>
        <v>Cost of Acquiring the Building***</v>
      </c>
      <c r="I2443" s="52">
        <v>14</v>
      </c>
    </row>
    <row r="2444" spans="1:10" ht="15" customHeight="1">
      <c r="A2444" t="str">
        <f ca="1">IF(AND(OFFSET(A2444, -I2444 + 2, 4) &gt;  0, E2444="", Calculations!$B$7), F2444, "")</f>
        <v/>
      </c>
      <c r="B2444">
        <f t="shared" si="857"/>
        <v>57</v>
      </c>
      <c r="C2444">
        <f t="shared" ca="1" si="849"/>
        <v>54</v>
      </c>
      <c r="D2444" t="str">
        <f t="shared" si="858"/>
        <v>O57</v>
      </c>
      <c r="E2444" t="str">
        <f t="shared" ca="1" si="859"/>
        <v/>
      </c>
      <c r="F2444" t="str">
        <f t="shared" ca="1" si="860"/>
        <v xml:space="preserve">Enter a 'Higher of Land Purchase Price or Land Appraised Value****' for  building 54 in cell O57.
</v>
      </c>
      <c r="G2444" s="9" t="str">
        <f t="shared" ca="1" si="847"/>
        <v xml:space="preserve">Enter a value for 'Number of Floors in the Tallest Building' in cell B60.
</v>
      </c>
      <c r="H2444" s="52" t="str">
        <f t="shared" ca="1" si="861"/>
        <v>Higher of Land Purchase Price or Land Appraised Value****</v>
      </c>
      <c r="I2444" s="52">
        <v>15</v>
      </c>
    </row>
    <row r="2445" spans="1:10" ht="15" customHeight="1">
      <c r="A2445" t="str">
        <f ca="1">IF(AND(OFFSET(A2445, -I2445 + 2, 4) &gt;  0, E2445="", Calculations!$B$7), F2445, "")</f>
        <v/>
      </c>
      <c r="B2445">
        <f t="shared" si="857"/>
        <v>57</v>
      </c>
      <c r="C2445">
        <f t="shared" ca="1" si="849"/>
        <v>54</v>
      </c>
      <c r="D2445" t="str">
        <f t="shared" si="858"/>
        <v>P57</v>
      </c>
      <c r="E2445" t="str">
        <f t="shared" ca="1" si="859"/>
        <v/>
      </c>
      <c r="F2445" t="str">
        <f t="shared" ca="1" si="860"/>
        <v xml:space="preserve">Enter a 'Acquisition Placed-in-Service Date' for  building 54 in cell P57.
</v>
      </c>
      <c r="G2445" s="9" t="str">
        <f t="shared" ca="1" si="847"/>
        <v xml:space="preserve">Enter a value for 'Number of Floors in the Tallest Building' in cell B60.
</v>
      </c>
      <c r="H2445" s="52" t="str">
        <f t="shared" ca="1" si="861"/>
        <v>Acquisition Placed-in-Service Date</v>
      </c>
      <c r="I2445" s="52">
        <v>16</v>
      </c>
    </row>
    <row r="2446" spans="1:10" ht="15" customHeight="1">
      <c r="A2446" t="str">
        <f ca="1">IF(AND(OFFSET(A2446, -I2446 + 2, 4) &gt;  0, E2446="", Calculations!$B$7), F2446, "")</f>
        <v/>
      </c>
      <c r="B2446">
        <f t="shared" si="857"/>
        <v>57</v>
      </c>
      <c r="C2446">
        <f t="shared" ca="1" si="849"/>
        <v>54</v>
      </c>
      <c r="D2446" t="str">
        <f t="shared" si="858"/>
        <v>Q57</v>
      </c>
      <c r="E2446" t="str">
        <f t="shared" ca="1" si="859"/>
        <v/>
      </c>
      <c r="F2446" t="str">
        <f t="shared" ca="1" si="860"/>
        <v xml:space="preserve">Enter a 'Acquisition APR' for  building 54 in cell Q57.
</v>
      </c>
      <c r="G2446" s="9" t="str">
        <f t="shared" ca="1" si="847"/>
        <v xml:space="preserve">Enter a value for 'Number of Floors in the Tallest Building' in cell B60.
</v>
      </c>
      <c r="H2446" s="52" t="str">
        <f t="shared" ca="1" si="861"/>
        <v>Acquisition APR</v>
      </c>
      <c r="I2446" s="52">
        <v>17</v>
      </c>
    </row>
    <row r="2447" spans="1:10" ht="15" customHeight="1">
      <c r="A2447" t="str">
        <f ca="1">IF(AND(Calculations!$B$4,Calculations!$B$29&gt;=C2447, E2447 &lt;&gt; 13),F2447,"")</f>
        <v/>
      </c>
      <c r="B2447">
        <f>ROW('Final Building Profile'!C58)</f>
        <v>58</v>
      </c>
      <c r="C2447">
        <f t="shared" ca="1" si="849"/>
        <v>55</v>
      </c>
      <c r="D2447" t="str">
        <f>ADDRESS(B2447, 3,4  )</f>
        <v>C58</v>
      </c>
      <c r="E2447" s="52">
        <f ca="1">H2447+I2447</f>
        <v>0</v>
      </c>
      <c r="F2447" t="str">
        <f ca="1">CONCATENATE("Based upon the number of buildings specified, information for  building ", C2447, " required for a final application in row ", B2447, ".", CHAR(10))</f>
        <v xml:space="preserve">Based upon the number of buildings specified, information for  building 55 required for a final application in row 58.
</v>
      </c>
      <c r="G2447" s="9" t="str">
        <f t="shared" ca="1" si="847"/>
        <v xml:space="preserve">Enter a value for 'Number of Floors in the Tallest Building' in cell B60.
</v>
      </c>
      <c r="H2447" s="52">
        <f ca="1">SUMPRODUCT(--ISTEXT(INDIRECT(J2447)))</f>
        <v>0</v>
      </c>
      <c r="I2447" s="52">
        <f ca="1">SUMPRODUCT(--ISNUMBER(INDIRECT(J2447)))</f>
        <v>0</v>
      </c>
      <c r="J2447" s="52" t="str">
        <f>$F$1565&amp; ADDRESS(B2447,3,4) &amp; ":" &amp; ADDRESS(B2447,15,4)</f>
        <v>'Final Building Profile'!C58:O58</v>
      </c>
    </row>
    <row r="2448" spans="1:10" ht="15" customHeight="1">
      <c r="A2448" t="str">
        <f t="shared" ref="A2448:A2457" ca="1" si="862">IF(AND(OFFSET(A2448, -I2448 + 2, 4) &gt;  0, E2448=""), F2448, "")</f>
        <v/>
      </c>
      <c r="B2448">
        <f t="shared" ref="B2448:B2462" si="863">B2447</f>
        <v>58</v>
      </c>
      <c r="C2448">
        <f t="shared" ca="1" si="849"/>
        <v>55</v>
      </c>
      <c r="D2448" t="str">
        <f t="shared" ref="D2448:D2462" si="864">ADDRESS(B2448, I2448,4  )</f>
        <v>C58</v>
      </c>
      <c r="E2448" t="str">
        <f t="shared" ref="E2448:E2462" ca="1" si="865">IF(ISBLANK( INDIRECT($F$1565 &amp; D2448)),"", INDIRECT($F$1565 &amp; D2448))</f>
        <v/>
      </c>
      <c r="F2448" t="str">
        <f t="shared" ref="F2448:F2462" ca="1" si="866">CONCATENATE("Enter a '"&amp; H2448 &amp;"' for  building ", C2448, " in cell ", D2448, ".", CHAR(10))</f>
        <v xml:space="preserve">Enter a 'Building Street Address Only 
(DO NOT ENTER CITY, STATE, OR ZIP)' for  building 55 in cell C58.
</v>
      </c>
      <c r="G2448" s="9" t="str">
        <f t="shared" ca="1" si="847"/>
        <v xml:space="preserve">Enter a value for 'Number of Floors in the Tallest Building' in cell B60.
</v>
      </c>
      <c r="H2448" s="52" t="str">
        <f t="shared" ref="H2448:H2462" ca="1" si="867">OFFSET(INDIRECT($F$1565 &amp; D2448), -B2448 + 3, 0)</f>
        <v>Building Street Address Only 
(DO NOT ENTER CITY, STATE, OR ZIP)</v>
      </c>
      <c r="I2448" s="52">
        <v>3</v>
      </c>
    </row>
    <row r="2449" spans="1:10" ht="15" customHeight="1">
      <c r="A2449" t="str">
        <f t="shared" ca="1" si="862"/>
        <v/>
      </c>
      <c r="B2449">
        <f t="shared" si="863"/>
        <v>58</v>
      </c>
      <c r="C2449">
        <f t="shared" ca="1" si="849"/>
        <v>55</v>
      </c>
      <c r="D2449" t="str">
        <f t="shared" si="864"/>
        <v>D58</v>
      </c>
      <c r="E2449" t="str">
        <f t="shared" ca="1" si="865"/>
        <v/>
      </c>
      <c r="F2449" t="str">
        <f t="shared" ca="1" si="866"/>
        <v xml:space="preserve">Enter a 'Total Units in Building*' for  building 55 in cell D58.
</v>
      </c>
      <c r="G2449" s="9" t="str">
        <f t="shared" ca="1" si="847"/>
        <v xml:space="preserve">Enter a value for 'Number of Floors in the Tallest Building' in cell B60.
</v>
      </c>
      <c r="H2449" s="52" t="str">
        <f t="shared" ca="1" si="867"/>
        <v>Total Units in Building*</v>
      </c>
      <c r="I2449" s="52">
        <v>4</v>
      </c>
    </row>
    <row r="2450" spans="1:10" ht="15" customHeight="1">
      <c r="A2450" t="str">
        <f t="shared" ca="1" si="862"/>
        <v/>
      </c>
      <c r="B2450">
        <f t="shared" si="863"/>
        <v>58</v>
      </c>
      <c r="C2450">
        <f t="shared" ca="1" si="849"/>
        <v>55</v>
      </c>
      <c r="D2450" t="str">
        <f t="shared" si="864"/>
        <v>E58</v>
      </c>
      <c r="E2450" t="str">
        <f t="shared" ca="1" si="865"/>
        <v/>
      </c>
      <c r="F2450" t="str">
        <f t="shared" ca="1" si="866"/>
        <v xml:space="preserve">Enter a 'Employee Units' for  building 55 in cell E58.
</v>
      </c>
      <c r="G2450" s="9" t="str">
        <f t="shared" ca="1" si="847"/>
        <v xml:space="preserve">Enter a value for 'Number of Floors in the Tallest Building' in cell B60.
</v>
      </c>
      <c r="H2450" s="52" t="str">
        <f t="shared" ca="1" si="867"/>
        <v>Employee Units</v>
      </c>
      <c r="I2450" s="52">
        <v>5</v>
      </c>
    </row>
    <row r="2451" spans="1:10" ht="15" customHeight="1">
      <c r="A2451" t="str">
        <f t="shared" ca="1" si="862"/>
        <v/>
      </c>
      <c r="B2451">
        <f t="shared" si="863"/>
        <v>58</v>
      </c>
      <c r="C2451">
        <f t="shared" ca="1" si="849"/>
        <v>55</v>
      </c>
      <c r="D2451" t="str">
        <f t="shared" si="864"/>
        <v>F58</v>
      </c>
      <c r="E2451" t="str">
        <f t="shared" ca="1" si="865"/>
        <v/>
      </c>
      <c r="F2451" t="str">
        <f t="shared" ca="1" si="866"/>
        <v xml:space="preserve">Enter a 'Low-Income Units' for  building 55 in cell F58.
</v>
      </c>
      <c r="G2451" s="9" t="str">
        <f t="shared" ca="1" si="847"/>
        <v xml:space="preserve">Enter a value for 'Number of Floors in the Tallest Building' in cell B60.
</v>
      </c>
      <c r="H2451" s="52" t="str">
        <f t="shared" ca="1" si="867"/>
        <v>Low-Income Units</v>
      </c>
      <c r="I2451" s="52">
        <v>6</v>
      </c>
    </row>
    <row r="2452" spans="1:10" ht="15" customHeight="1">
      <c r="A2452" t="str">
        <f t="shared" ca="1" si="862"/>
        <v/>
      </c>
      <c r="B2452">
        <f t="shared" si="863"/>
        <v>58</v>
      </c>
      <c r="C2452">
        <f t="shared" ca="1" si="849"/>
        <v>55</v>
      </c>
      <c r="D2452" t="str">
        <f t="shared" si="864"/>
        <v>G58</v>
      </c>
      <c r="E2452" t="str">
        <f t="shared" ca="1" si="865"/>
        <v/>
      </c>
      <c r="F2452" t="str">
        <f t="shared" ca="1" si="866"/>
        <v xml:space="preserve">Enter a 'Residential Square Footage**' for  building 55 in cell G58.
</v>
      </c>
      <c r="G2452" s="9" t="str">
        <f t="shared" ca="1" si="847"/>
        <v xml:space="preserve">Enter a value for 'Number of Floors in the Tallest Building' in cell B60.
</v>
      </c>
      <c r="H2452" s="52" t="str">
        <f t="shared" ca="1" si="867"/>
        <v>Residential Square Footage**</v>
      </c>
      <c r="I2452" s="52">
        <v>7</v>
      </c>
    </row>
    <row r="2453" spans="1:10" ht="15" customHeight="1">
      <c r="A2453" t="str">
        <f t="shared" ca="1" si="862"/>
        <v/>
      </c>
      <c r="B2453">
        <f t="shared" si="863"/>
        <v>58</v>
      </c>
      <c r="C2453">
        <f t="shared" ca="1" si="849"/>
        <v>55</v>
      </c>
      <c r="D2453" t="str">
        <f t="shared" si="864"/>
        <v>H58</v>
      </c>
      <c r="E2453" t="str">
        <f t="shared" ca="1" si="865"/>
        <v/>
      </c>
      <c r="F2453" t="str">
        <f t="shared" ca="1" si="866"/>
        <v xml:space="preserve">Enter a 'Square Footage of Employee Units' for  building 55 in cell H58.
</v>
      </c>
      <c r="G2453" s="9" t="str">
        <f t="shared" ca="1" si="847"/>
        <v xml:space="preserve">Enter a value for 'Number of Floors in the Tallest Building' in cell B60.
</v>
      </c>
      <c r="H2453" s="52" t="str">
        <f t="shared" ca="1" si="867"/>
        <v>Square Footage of Employee Units</v>
      </c>
      <c r="I2453" s="52">
        <v>8</v>
      </c>
    </row>
    <row r="2454" spans="1:10" ht="15" customHeight="1">
      <c r="A2454" t="str">
        <f t="shared" ca="1" si="862"/>
        <v/>
      </c>
      <c r="B2454">
        <f t="shared" si="863"/>
        <v>58</v>
      </c>
      <c r="C2454">
        <f t="shared" ca="1" si="849"/>
        <v>55</v>
      </c>
      <c r="D2454" t="str">
        <f t="shared" si="864"/>
        <v>I58</v>
      </c>
      <c r="E2454" t="str">
        <f t="shared" ca="1" si="865"/>
        <v/>
      </c>
      <c r="F2454" t="str">
        <f t="shared" ca="1" si="866"/>
        <v xml:space="preserve">Enter a 'Square Footage of Low-Income Units' for  building 55 in cell I58.
</v>
      </c>
      <c r="G2454" s="9" t="str">
        <f t="shared" ca="1" si="847"/>
        <v xml:space="preserve">Enter a value for 'Number of Floors in the Tallest Building' in cell B60.
</v>
      </c>
      <c r="H2454" s="52" t="str">
        <f t="shared" ca="1" si="867"/>
        <v>Square Footage of Low-Income Units</v>
      </c>
      <c r="I2454" s="52">
        <v>9</v>
      </c>
    </row>
    <row r="2455" spans="1:10" ht="15" customHeight="1">
      <c r="A2455" t="str">
        <f t="shared" ca="1" si="862"/>
        <v/>
      </c>
      <c r="B2455">
        <f t="shared" si="863"/>
        <v>58</v>
      </c>
      <c r="C2455">
        <f t="shared" ca="1" si="849"/>
        <v>55</v>
      </c>
      <c r="D2455" t="str">
        <f t="shared" si="864"/>
        <v>J58</v>
      </c>
      <c r="E2455" t="str">
        <f t="shared" ca="1" si="865"/>
        <v/>
      </c>
      <c r="F2455" t="str">
        <f t="shared" ca="1" si="866"/>
        <v xml:space="preserve">Enter a 'Placed-In-Service Date' for  building 55 in cell J58.
</v>
      </c>
      <c r="G2455" s="9" t="str">
        <f t="shared" ca="1" si="847"/>
        <v xml:space="preserve">Enter a value for 'Number of Floors in the Tallest Building' in cell B60.
</v>
      </c>
      <c r="H2455" s="52" t="str">
        <f t="shared" ca="1" si="867"/>
        <v>Placed-In-Service Date</v>
      </c>
      <c r="I2455" s="52">
        <v>10</v>
      </c>
    </row>
    <row r="2456" spans="1:10" ht="15" customHeight="1">
      <c r="A2456" t="str">
        <f t="shared" ca="1" si="862"/>
        <v/>
      </c>
      <c r="B2456">
        <f t="shared" si="863"/>
        <v>58</v>
      </c>
      <c r="C2456">
        <f t="shared" ca="1" si="849"/>
        <v>55</v>
      </c>
      <c r="D2456" t="str">
        <f t="shared" si="864"/>
        <v>K58</v>
      </c>
      <c r="E2456" t="str">
        <f t="shared" ca="1" si="865"/>
        <v/>
      </c>
      <c r="F2456" t="str">
        <f t="shared" ca="1" si="866"/>
        <v xml:space="preserve">Enter a 'New Construction/ Rehab APR' for  building 55 in cell K58.
</v>
      </c>
      <c r="G2456" s="9" t="str">
        <f t="shared" ca="1" si="847"/>
        <v xml:space="preserve">Enter a value for 'Number of Floors in the Tallest Building' in cell B60.
</v>
      </c>
      <c r="H2456" s="52" t="str">
        <f t="shared" ca="1" si="867"/>
        <v>New Construction/ Rehab APR</v>
      </c>
      <c r="I2456" s="52">
        <v>11</v>
      </c>
    </row>
    <row r="2457" spans="1:10" ht="15" customHeight="1">
      <c r="A2457" t="str">
        <f t="shared" ca="1" si="862"/>
        <v/>
      </c>
      <c r="B2457">
        <f t="shared" si="863"/>
        <v>58</v>
      </c>
      <c r="C2457">
        <f t="shared" ca="1" si="849"/>
        <v>55</v>
      </c>
      <c r="D2457" t="str">
        <f t="shared" si="864"/>
        <v>L58</v>
      </c>
      <c r="E2457" t="str">
        <f t="shared" ca="1" si="865"/>
        <v/>
      </c>
      <c r="F2457" t="str">
        <f t="shared" ca="1" si="866"/>
        <v xml:space="preserve">Enter a 'New Construction Eligible Basis' for  building 55 in cell L58.
</v>
      </c>
      <c r="G2457" s="9" t="str">
        <f t="shared" ca="1" si="847"/>
        <v xml:space="preserve">Enter a value for 'Number of Floors in the Tallest Building' in cell B60.
</v>
      </c>
      <c r="H2457" s="52" t="str">
        <f t="shared" ca="1" si="867"/>
        <v>New Construction Eligible Basis</v>
      </c>
      <c r="I2457" s="52">
        <v>12</v>
      </c>
    </row>
    <row r="2458" spans="1:10" ht="15" customHeight="1">
      <c r="A2458" t="str">
        <f ca="1">IF(AND(OFFSET(A2458, -I2458 + 2, 4) &gt;  0, E2458="", Calculations!$B$7), F2458, "")</f>
        <v/>
      </c>
      <c r="B2458">
        <f t="shared" si="863"/>
        <v>58</v>
      </c>
      <c r="C2458">
        <f t="shared" ca="1" si="849"/>
        <v>55</v>
      </c>
      <c r="D2458" t="str">
        <f t="shared" si="864"/>
        <v>M58</v>
      </c>
      <c r="E2458" t="str">
        <f t="shared" ca="1" si="865"/>
        <v/>
      </c>
      <c r="F2458" t="str">
        <f t="shared" ca="1" si="866"/>
        <v xml:space="preserve">Enter a 'Eligible Basis for Rehab' for  building 55 in cell M58.
</v>
      </c>
      <c r="G2458" s="9" t="str">
        <f t="shared" ca="1" si="847"/>
        <v xml:space="preserve">Enter a value for 'Number of Floors in the Tallest Building' in cell B60.
</v>
      </c>
      <c r="H2458" s="52" t="str">
        <f t="shared" ca="1" si="867"/>
        <v>Eligible Basis for Rehab</v>
      </c>
      <c r="I2458" s="52">
        <v>13</v>
      </c>
    </row>
    <row r="2459" spans="1:10" ht="15" customHeight="1">
      <c r="A2459" t="str">
        <f ca="1">IF(AND(OFFSET(A2459, -I2459 + 2, 4) &gt;  0, E2459="", Calculations!$B$7), F2459, "")</f>
        <v/>
      </c>
      <c r="B2459">
        <f t="shared" si="863"/>
        <v>58</v>
      </c>
      <c r="C2459">
        <f t="shared" ca="1" si="849"/>
        <v>55</v>
      </c>
      <c r="D2459" t="str">
        <f t="shared" si="864"/>
        <v>N58</v>
      </c>
      <c r="E2459" t="str">
        <f t="shared" ca="1" si="865"/>
        <v/>
      </c>
      <c r="F2459" t="str">
        <f t="shared" ca="1" si="866"/>
        <v xml:space="preserve">Enter a 'Cost of Acquiring the Building***' for  building 55 in cell N58.
</v>
      </c>
      <c r="G2459" s="9" t="str">
        <f t="shared" ca="1" si="847"/>
        <v xml:space="preserve">Enter a value for 'Number of Floors in the Tallest Building' in cell B60.
</v>
      </c>
      <c r="H2459" s="52" t="str">
        <f t="shared" ca="1" si="867"/>
        <v>Cost of Acquiring the Building***</v>
      </c>
      <c r="I2459" s="52">
        <v>14</v>
      </c>
    </row>
    <row r="2460" spans="1:10" ht="15" customHeight="1">
      <c r="A2460" t="str">
        <f ca="1">IF(AND(OFFSET(A2460, -I2460 + 2, 4) &gt;  0, E2460="", Calculations!$B$7), F2460, "")</f>
        <v/>
      </c>
      <c r="B2460">
        <f t="shared" si="863"/>
        <v>58</v>
      </c>
      <c r="C2460">
        <f t="shared" ca="1" si="849"/>
        <v>55</v>
      </c>
      <c r="D2460" t="str">
        <f t="shared" si="864"/>
        <v>O58</v>
      </c>
      <c r="E2460" t="str">
        <f t="shared" ca="1" si="865"/>
        <v/>
      </c>
      <c r="F2460" t="str">
        <f t="shared" ca="1" si="866"/>
        <v xml:space="preserve">Enter a 'Higher of Land Purchase Price or Land Appraised Value****' for  building 55 in cell O58.
</v>
      </c>
      <c r="G2460" s="9" t="str">
        <f t="shared" ca="1" si="847"/>
        <v xml:space="preserve">Enter a value for 'Number of Floors in the Tallest Building' in cell B60.
</v>
      </c>
      <c r="H2460" s="52" t="str">
        <f t="shared" ca="1" si="867"/>
        <v>Higher of Land Purchase Price or Land Appraised Value****</v>
      </c>
      <c r="I2460" s="52">
        <v>15</v>
      </c>
    </row>
    <row r="2461" spans="1:10" ht="15" customHeight="1">
      <c r="A2461" t="str">
        <f ca="1">IF(AND(OFFSET(A2461, -I2461 + 2, 4) &gt;  0, E2461="", Calculations!$B$7), F2461, "")</f>
        <v/>
      </c>
      <c r="B2461">
        <f t="shared" si="863"/>
        <v>58</v>
      </c>
      <c r="C2461">
        <f t="shared" ca="1" si="849"/>
        <v>55</v>
      </c>
      <c r="D2461" t="str">
        <f t="shared" si="864"/>
        <v>P58</v>
      </c>
      <c r="E2461" t="str">
        <f t="shared" ca="1" si="865"/>
        <v/>
      </c>
      <c r="F2461" t="str">
        <f t="shared" ca="1" si="866"/>
        <v xml:space="preserve">Enter a 'Acquisition Placed-in-Service Date' for  building 55 in cell P58.
</v>
      </c>
      <c r="G2461" s="9" t="str">
        <f t="shared" ca="1" si="847"/>
        <v xml:space="preserve">Enter a value for 'Number of Floors in the Tallest Building' in cell B60.
</v>
      </c>
      <c r="H2461" s="52" t="str">
        <f t="shared" ca="1" si="867"/>
        <v>Acquisition Placed-in-Service Date</v>
      </c>
      <c r="I2461" s="52">
        <v>16</v>
      </c>
    </row>
    <row r="2462" spans="1:10" ht="15" customHeight="1">
      <c r="A2462" t="str">
        <f ca="1">IF(AND(OFFSET(A2462, -I2462 + 2, 4) &gt;  0, E2462="", Calculations!$B$7), F2462, "")</f>
        <v/>
      </c>
      <c r="B2462">
        <f t="shared" si="863"/>
        <v>58</v>
      </c>
      <c r="C2462">
        <f t="shared" ca="1" si="849"/>
        <v>55</v>
      </c>
      <c r="D2462" t="str">
        <f t="shared" si="864"/>
        <v>Q58</v>
      </c>
      <c r="E2462" t="str">
        <f t="shared" ca="1" si="865"/>
        <v/>
      </c>
      <c r="F2462" t="str">
        <f t="shared" ca="1" si="866"/>
        <v xml:space="preserve">Enter a 'Acquisition APR' for  building 55 in cell Q58.
</v>
      </c>
      <c r="G2462" s="9" t="str">
        <f t="shared" ca="1" si="847"/>
        <v xml:space="preserve">Enter a value for 'Number of Floors in the Tallest Building' in cell B60.
</v>
      </c>
      <c r="H2462" s="52" t="str">
        <f t="shared" ca="1" si="867"/>
        <v>Acquisition APR</v>
      </c>
      <c r="I2462" s="52">
        <v>17</v>
      </c>
    </row>
    <row r="2463" spans="1:10" ht="15" customHeight="1">
      <c r="A2463" t="str">
        <f ca="1">IF(AND(Calculations!$B$4,Calculations!$B$29&gt;=C2463, E2463 &lt;&gt; 13),F2463,"")</f>
        <v/>
      </c>
      <c r="B2463">
        <f>ROW('Final Building Profile'!C59)</f>
        <v>59</v>
      </c>
      <c r="C2463">
        <f t="shared" ca="1" si="849"/>
        <v>56</v>
      </c>
      <c r="D2463" t="str">
        <f>ADDRESS(B2463, 3,4  )</f>
        <v>C59</v>
      </c>
      <c r="E2463" s="52">
        <f ca="1">H2463+I2463</f>
        <v>0</v>
      </c>
      <c r="F2463" t="str">
        <f ca="1">CONCATENATE("Based upon the number of buildings specified, information for  building ", C2463, " required for a final application in row ", B2463, ".", CHAR(10))</f>
        <v xml:space="preserve">Based upon the number of buildings specified, information for  building 56 required for a final application in row 59.
</v>
      </c>
      <c r="G2463" s="9" t="str">
        <f t="shared" ca="1" si="847"/>
        <v xml:space="preserve">Enter a value for 'Number of Floors in the Tallest Building' in cell B60.
</v>
      </c>
      <c r="H2463" s="52">
        <f ca="1">SUMPRODUCT(--ISTEXT(INDIRECT(J2463)))</f>
        <v>0</v>
      </c>
      <c r="I2463" s="52">
        <f ca="1">SUMPRODUCT(--ISNUMBER(INDIRECT(J2463)))</f>
        <v>0</v>
      </c>
      <c r="J2463" s="52" t="str">
        <f>$F$1565&amp; ADDRESS(B2463,3,4) &amp; ":" &amp; ADDRESS(B2463,15,4)</f>
        <v>'Final Building Profile'!C59:O59</v>
      </c>
    </row>
    <row r="2464" spans="1:10" ht="15" customHeight="1">
      <c r="A2464" t="str">
        <f t="shared" ref="A2464:A2473" ca="1" si="868">IF(AND(OFFSET(A2464, -I2464 + 2, 4) &gt;  0, E2464=""), F2464, "")</f>
        <v/>
      </c>
      <c r="B2464">
        <f t="shared" ref="B2464:B2478" si="869">B2463</f>
        <v>59</v>
      </c>
      <c r="C2464">
        <f t="shared" ca="1" si="849"/>
        <v>56</v>
      </c>
      <c r="D2464" t="str">
        <f t="shared" ref="D2464:D2478" si="870">ADDRESS(B2464, I2464,4  )</f>
        <v>C59</v>
      </c>
      <c r="E2464" t="str">
        <f t="shared" ref="E2464:E2478" ca="1" si="871">IF(ISBLANK( INDIRECT($F$1565 &amp; D2464)),"", INDIRECT($F$1565 &amp; D2464))</f>
        <v/>
      </c>
      <c r="F2464" t="str">
        <f t="shared" ref="F2464:F2478" ca="1" si="872">CONCATENATE("Enter a '"&amp; H2464 &amp;"' for  building ", C2464, " in cell ", D2464, ".", CHAR(10))</f>
        <v xml:space="preserve">Enter a 'Building Street Address Only 
(DO NOT ENTER CITY, STATE, OR ZIP)' for  building 56 in cell C59.
</v>
      </c>
      <c r="G2464" s="9" t="str">
        <f t="shared" ref="G2464:G2527" ca="1" si="873">OFFSET(G2464, -1, 0) &amp; A2464</f>
        <v xml:space="preserve">Enter a value for 'Number of Floors in the Tallest Building' in cell B60.
</v>
      </c>
      <c r="H2464" s="52" t="str">
        <f t="shared" ref="H2464:H2478" ca="1" si="874">OFFSET(INDIRECT($F$1565 &amp; D2464), -B2464 + 3, 0)</f>
        <v>Building Street Address Only 
(DO NOT ENTER CITY, STATE, OR ZIP)</v>
      </c>
      <c r="I2464" s="52">
        <v>3</v>
      </c>
    </row>
    <row r="2465" spans="1:10" ht="15" customHeight="1">
      <c r="A2465" t="str">
        <f t="shared" ca="1" si="868"/>
        <v/>
      </c>
      <c r="B2465">
        <f t="shared" si="869"/>
        <v>59</v>
      </c>
      <c r="C2465">
        <f t="shared" ca="1" si="849"/>
        <v>56</v>
      </c>
      <c r="D2465" t="str">
        <f t="shared" si="870"/>
        <v>D59</v>
      </c>
      <c r="E2465" t="str">
        <f t="shared" ca="1" si="871"/>
        <v/>
      </c>
      <c r="F2465" t="str">
        <f t="shared" ca="1" si="872"/>
        <v xml:space="preserve">Enter a 'Total Units in Building*' for  building 56 in cell D59.
</v>
      </c>
      <c r="G2465" s="9" t="str">
        <f t="shared" ca="1" si="873"/>
        <v xml:space="preserve">Enter a value for 'Number of Floors in the Tallest Building' in cell B60.
</v>
      </c>
      <c r="H2465" s="52" t="str">
        <f t="shared" ca="1" si="874"/>
        <v>Total Units in Building*</v>
      </c>
      <c r="I2465" s="52">
        <v>4</v>
      </c>
    </row>
    <row r="2466" spans="1:10" ht="15" customHeight="1">
      <c r="A2466" t="str">
        <f t="shared" ca="1" si="868"/>
        <v/>
      </c>
      <c r="B2466">
        <f t="shared" si="869"/>
        <v>59</v>
      </c>
      <c r="C2466">
        <f t="shared" ca="1" si="849"/>
        <v>56</v>
      </c>
      <c r="D2466" t="str">
        <f t="shared" si="870"/>
        <v>E59</v>
      </c>
      <c r="E2466" t="str">
        <f t="shared" ca="1" si="871"/>
        <v/>
      </c>
      <c r="F2466" t="str">
        <f t="shared" ca="1" si="872"/>
        <v xml:space="preserve">Enter a 'Employee Units' for  building 56 in cell E59.
</v>
      </c>
      <c r="G2466" s="9" t="str">
        <f t="shared" ca="1" si="873"/>
        <v xml:space="preserve">Enter a value for 'Number of Floors in the Tallest Building' in cell B60.
</v>
      </c>
      <c r="H2466" s="52" t="str">
        <f t="shared" ca="1" si="874"/>
        <v>Employee Units</v>
      </c>
      <c r="I2466" s="52">
        <v>5</v>
      </c>
    </row>
    <row r="2467" spans="1:10" ht="15" customHeight="1">
      <c r="A2467" t="str">
        <f t="shared" ca="1" si="868"/>
        <v/>
      </c>
      <c r="B2467">
        <f t="shared" si="869"/>
        <v>59</v>
      </c>
      <c r="C2467">
        <f t="shared" ca="1" si="849"/>
        <v>56</v>
      </c>
      <c r="D2467" t="str">
        <f t="shared" si="870"/>
        <v>F59</v>
      </c>
      <c r="E2467" t="str">
        <f t="shared" ca="1" si="871"/>
        <v/>
      </c>
      <c r="F2467" t="str">
        <f t="shared" ca="1" si="872"/>
        <v xml:space="preserve">Enter a 'Low-Income Units' for  building 56 in cell F59.
</v>
      </c>
      <c r="G2467" s="9" t="str">
        <f t="shared" ca="1" si="873"/>
        <v xml:space="preserve">Enter a value for 'Number of Floors in the Tallest Building' in cell B60.
</v>
      </c>
      <c r="H2467" s="52" t="str">
        <f t="shared" ca="1" si="874"/>
        <v>Low-Income Units</v>
      </c>
      <c r="I2467" s="52">
        <v>6</v>
      </c>
    </row>
    <row r="2468" spans="1:10" ht="15" customHeight="1">
      <c r="A2468" t="str">
        <f t="shared" ca="1" si="868"/>
        <v/>
      </c>
      <c r="B2468">
        <f t="shared" si="869"/>
        <v>59</v>
      </c>
      <c r="C2468">
        <f t="shared" ca="1" si="849"/>
        <v>56</v>
      </c>
      <c r="D2468" t="str">
        <f t="shared" si="870"/>
        <v>G59</v>
      </c>
      <c r="E2468" t="str">
        <f t="shared" ca="1" si="871"/>
        <v/>
      </c>
      <c r="F2468" t="str">
        <f t="shared" ca="1" si="872"/>
        <v xml:space="preserve">Enter a 'Residential Square Footage**' for  building 56 in cell G59.
</v>
      </c>
      <c r="G2468" s="9" t="str">
        <f t="shared" ca="1" si="873"/>
        <v xml:space="preserve">Enter a value for 'Number of Floors in the Tallest Building' in cell B60.
</v>
      </c>
      <c r="H2468" s="52" t="str">
        <f t="shared" ca="1" si="874"/>
        <v>Residential Square Footage**</v>
      </c>
      <c r="I2468" s="52">
        <v>7</v>
      </c>
    </row>
    <row r="2469" spans="1:10" ht="15" customHeight="1">
      <c r="A2469" t="str">
        <f t="shared" ca="1" si="868"/>
        <v/>
      </c>
      <c r="B2469">
        <f t="shared" si="869"/>
        <v>59</v>
      </c>
      <c r="C2469">
        <f t="shared" ca="1" si="849"/>
        <v>56</v>
      </c>
      <c r="D2469" t="str">
        <f t="shared" si="870"/>
        <v>H59</v>
      </c>
      <c r="E2469" t="str">
        <f t="shared" ca="1" si="871"/>
        <v/>
      </c>
      <c r="F2469" t="str">
        <f t="shared" ca="1" si="872"/>
        <v xml:space="preserve">Enter a 'Square Footage of Employee Units' for  building 56 in cell H59.
</v>
      </c>
      <c r="G2469" s="9" t="str">
        <f t="shared" ca="1" si="873"/>
        <v xml:space="preserve">Enter a value for 'Number of Floors in the Tallest Building' in cell B60.
</v>
      </c>
      <c r="H2469" s="52" t="str">
        <f t="shared" ca="1" si="874"/>
        <v>Square Footage of Employee Units</v>
      </c>
      <c r="I2469" s="52">
        <v>8</v>
      </c>
    </row>
    <row r="2470" spans="1:10" ht="15" customHeight="1">
      <c r="A2470" t="str">
        <f t="shared" ca="1" si="868"/>
        <v/>
      </c>
      <c r="B2470">
        <f t="shared" si="869"/>
        <v>59</v>
      </c>
      <c r="C2470">
        <f t="shared" ca="1" si="849"/>
        <v>56</v>
      </c>
      <c r="D2470" t="str">
        <f t="shared" si="870"/>
        <v>I59</v>
      </c>
      <c r="E2470" t="str">
        <f t="shared" ca="1" si="871"/>
        <v/>
      </c>
      <c r="F2470" t="str">
        <f t="shared" ca="1" si="872"/>
        <v xml:space="preserve">Enter a 'Square Footage of Low-Income Units' for  building 56 in cell I59.
</v>
      </c>
      <c r="G2470" s="9" t="str">
        <f t="shared" ca="1" si="873"/>
        <v xml:space="preserve">Enter a value for 'Number of Floors in the Tallest Building' in cell B60.
</v>
      </c>
      <c r="H2470" s="52" t="str">
        <f t="shared" ca="1" si="874"/>
        <v>Square Footage of Low-Income Units</v>
      </c>
      <c r="I2470" s="52">
        <v>9</v>
      </c>
    </row>
    <row r="2471" spans="1:10" ht="15" customHeight="1">
      <c r="A2471" t="str">
        <f t="shared" ca="1" si="868"/>
        <v/>
      </c>
      <c r="B2471">
        <f t="shared" si="869"/>
        <v>59</v>
      </c>
      <c r="C2471">
        <f t="shared" ca="1" si="849"/>
        <v>56</v>
      </c>
      <c r="D2471" t="str">
        <f t="shared" si="870"/>
        <v>J59</v>
      </c>
      <c r="E2471" t="str">
        <f t="shared" ca="1" si="871"/>
        <v/>
      </c>
      <c r="F2471" t="str">
        <f t="shared" ca="1" si="872"/>
        <v xml:space="preserve">Enter a 'Placed-In-Service Date' for  building 56 in cell J59.
</v>
      </c>
      <c r="G2471" s="9" t="str">
        <f t="shared" ca="1" si="873"/>
        <v xml:space="preserve">Enter a value for 'Number of Floors in the Tallest Building' in cell B60.
</v>
      </c>
      <c r="H2471" s="52" t="str">
        <f t="shared" ca="1" si="874"/>
        <v>Placed-In-Service Date</v>
      </c>
      <c r="I2471" s="52">
        <v>10</v>
      </c>
    </row>
    <row r="2472" spans="1:10" ht="15" customHeight="1">
      <c r="A2472" t="str">
        <f t="shared" ca="1" si="868"/>
        <v/>
      </c>
      <c r="B2472">
        <f t="shared" si="869"/>
        <v>59</v>
      </c>
      <c r="C2472">
        <f t="shared" ca="1" si="849"/>
        <v>56</v>
      </c>
      <c r="D2472" t="str">
        <f t="shared" si="870"/>
        <v>K59</v>
      </c>
      <c r="E2472" t="str">
        <f t="shared" ca="1" si="871"/>
        <v/>
      </c>
      <c r="F2472" t="str">
        <f t="shared" ca="1" si="872"/>
        <v xml:space="preserve">Enter a 'New Construction/ Rehab APR' for  building 56 in cell K59.
</v>
      </c>
      <c r="G2472" s="9" t="str">
        <f t="shared" ca="1" si="873"/>
        <v xml:space="preserve">Enter a value for 'Number of Floors in the Tallest Building' in cell B60.
</v>
      </c>
      <c r="H2472" s="52" t="str">
        <f t="shared" ca="1" si="874"/>
        <v>New Construction/ Rehab APR</v>
      </c>
      <c r="I2472" s="52">
        <v>11</v>
      </c>
    </row>
    <row r="2473" spans="1:10" ht="15" customHeight="1">
      <c r="A2473" t="str">
        <f t="shared" ca="1" si="868"/>
        <v/>
      </c>
      <c r="B2473">
        <f t="shared" si="869"/>
        <v>59</v>
      </c>
      <c r="C2473">
        <f t="shared" ca="1" si="849"/>
        <v>56</v>
      </c>
      <c r="D2473" t="str">
        <f t="shared" si="870"/>
        <v>L59</v>
      </c>
      <c r="E2473" t="str">
        <f t="shared" ca="1" si="871"/>
        <v/>
      </c>
      <c r="F2473" t="str">
        <f t="shared" ca="1" si="872"/>
        <v xml:space="preserve">Enter a 'New Construction Eligible Basis' for  building 56 in cell L59.
</v>
      </c>
      <c r="G2473" s="9" t="str">
        <f t="shared" ca="1" si="873"/>
        <v xml:space="preserve">Enter a value for 'Number of Floors in the Tallest Building' in cell B60.
</v>
      </c>
      <c r="H2473" s="52" t="str">
        <f t="shared" ca="1" si="874"/>
        <v>New Construction Eligible Basis</v>
      </c>
      <c r="I2473" s="52">
        <v>12</v>
      </c>
    </row>
    <row r="2474" spans="1:10" ht="15" customHeight="1">
      <c r="A2474" t="str">
        <f ca="1">IF(AND(OFFSET(A2474, -I2474 + 2, 4) &gt;  0, E2474="", Calculations!$B$7), F2474, "")</f>
        <v/>
      </c>
      <c r="B2474">
        <f t="shared" si="869"/>
        <v>59</v>
      </c>
      <c r="C2474">
        <f t="shared" ca="1" si="849"/>
        <v>56</v>
      </c>
      <c r="D2474" t="str">
        <f t="shared" si="870"/>
        <v>M59</v>
      </c>
      <c r="E2474" t="str">
        <f t="shared" ca="1" si="871"/>
        <v/>
      </c>
      <c r="F2474" t="str">
        <f t="shared" ca="1" si="872"/>
        <v xml:space="preserve">Enter a 'Eligible Basis for Rehab' for  building 56 in cell M59.
</v>
      </c>
      <c r="G2474" s="9" t="str">
        <f t="shared" ca="1" si="873"/>
        <v xml:space="preserve">Enter a value for 'Number of Floors in the Tallest Building' in cell B60.
</v>
      </c>
      <c r="H2474" s="52" t="str">
        <f t="shared" ca="1" si="874"/>
        <v>Eligible Basis for Rehab</v>
      </c>
      <c r="I2474" s="52">
        <v>13</v>
      </c>
    </row>
    <row r="2475" spans="1:10" ht="15" customHeight="1">
      <c r="A2475" t="str">
        <f ca="1">IF(AND(OFFSET(A2475, -I2475 + 2, 4) &gt;  0, E2475="", Calculations!$B$7), F2475, "")</f>
        <v/>
      </c>
      <c r="B2475">
        <f t="shared" si="869"/>
        <v>59</v>
      </c>
      <c r="C2475">
        <f t="shared" ca="1" si="849"/>
        <v>56</v>
      </c>
      <c r="D2475" t="str">
        <f t="shared" si="870"/>
        <v>N59</v>
      </c>
      <c r="E2475" t="str">
        <f t="shared" ca="1" si="871"/>
        <v/>
      </c>
      <c r="F2475" t="str">
        <f t="shared" ca="1" si="872"/>
        <v xml:space="preserve">Enter a 'Cost of Acquiring the Building***' for  building 56 in cell N59.
</v>
      </c>
      <c r="G2475" s="9" t="str">
        <f t="shared" ca="1" si="873"/>
        <v xml:space="preserve">Enter a value for 'Number of Floors in the Tallest Building' in cell B60.
</v>
      </c>
      <c r="H2475" s="52" t="str">
        <f t="shared" ca="1" si="874"/>
        <v>Cost of Acquiring the Building***</v>
      </c>
      <c r="I2475" s="52">
        <v>14</v>
      </c>
    </row>
    <row r="2476" spans="1:10" ht="15" customHeight="1">
      <c r="A2476" t="str">
        <f ca="1">IF(AND(OFFSET(A2476, -I2476 + 2, 4) &gt;  0, E2476="", Calculations!$B$7), F2476, "")</f>
        <v/>
      </c>
      <c r="B2476">
        <f t="shared" si="869"/>
        <v>59</v>
      </c>
      <c r="C2476">
        <f t="shared" ca="1" si="849"/>
        <v>56</v>
      </c>
      <c r="D2476" t="str">
        <f t="shared" si="870"/>
        <v>O59</v>
      </c>
      <c r="E2476" t="str">
        <f t="shared" ca="1" si="871"/>
        <v/>
      </c>
      <c r="F2476" t="str">
        <f t="shared" ca="1" si="872"/>
        <v xml:space="preserve">Enter a 'Higher of Land Purchase Price or Land Appraised Value****' for  building 56 in cell O59.
</v>
      </c>
      <c r="G2476" s="9" t="str">
        <f t="shared" ca="1" si="873"/>
        <v xml:space="preserve">Enter a value for 'Number of Floors in the Tallest Building' in cell B60.
</v>
      </c>
      <c r="H2476" s="52" t="str">
        <f t="shared" ca="1" si="874"/>
        <v>Higher of Land Purchase Price or Land Appraised Value****</v>
      </c>
      <c r="I2476" s="52">
        <v>15</v>
      </c>
    </row>
    <row r="2477" spans="1:10" ht="15" customHeight="1">
      <c r="A2477" t="str">
        <f ca="1">IF(AND(OFFSET(A2477, -I2477 + 2, 4) &gt;  0, E2477="", Calculations!$B$7), F2477, "")</f>
        <v/>
      </c>
      <c r="B2477">
        <f t="shared" si="869"/>
        <v>59</v>
      </c>
      <c r="C2477">
        <f t="shared" ca="1" si="849"/>
        <v>56</v>
      </c>
      <c r="D2477" t="str">
        <f t="shared" si="870"/>
        <v>P59</v>
      </c>
      <c r="E2477" t="str">
        <f t="shared" ca="1" si="871"/>
        <v/>
      </c>
      <c r="F2477" t="str">
        <f t="shared" ca="1" si="872"/>
        <v xml:space="preserve">Enter a 'Acquisition Placed-in-Service Date' for  building 56 in cell P59.
</v>
      </c>
      <c r="G2477" s="9" t="str">
        <f t="shared" ca="1" si="873"/>
        <v xml:space="preserve">Enter a value for 'Number of Floors in the Tallest Building' in cell B60.
</v>
      </c>
      <c r="H2477" s="52" t="str">
        <f t="shared" ca="1" si="874"/>
        <v>Acquisition Placed-in-Service Date</v>
      </c>
      <c r="I2477" s="52">
        <v>16</v>
      </c>
    </row>
    <row r="2478" spans="1:10" ht="15" customHeight="1">
      <c r="A2478" t="str">
        <f ca="1">IF(AND(OFFSET(A2478, -I2478 + 2, 4) &gt;  0, E2478="", Calculations!$B$7), F2478, "")</f>
        <v/>
      </c>
      <c r="B2478">
        <f t="shared" si="869"/>
        <v>59</v>
      </c>
      <c r="C2478">
        <f t="shared" ca="1" si="849"/>
        <v>56</v>
      </c>
      <c r="D2478" t="str">
        <f t="shared" si="870"/>
        <v>Q59</v>
      </c>
      <c r="E2478" t="str">
        <f t="shared" ca="1" si="871"/>
        <v/>
      </c>
      <c r="F2478" t="str">
        <f t="shared" ca="1" si="872"/>
        <v xml:space="preserve">Enter a 'Acquisition APR' for  building 56 in cell Q59.
</v>
      </c>
      <c r="G2478" s="9" t="str">
        <f t="shared" ca="1" si="873"/>
        <v xml:space="preserve">Enter a value for 'Number of Floors in the Tallest Building' in cell B60.
</v>
      </c>
      <c r="H2478" s="52" t="str">
        <f t="shared" ca="1" si="874"/>
        <v>Acquisition APR</v>
      </c>
      <c r="I2478" s="52">
        <v>17</v>
      </c>
    </row>
    <row r="2479" spans="1:10" ht="15" customHeight="1">
      <c r="A2479" t="str">
        <f ca="1">IF(AND(Calculations!$B$4,Calculations!$B$29&gt;=C2479, E2479 &lt;&gt; 13),F2479,"")</f>
        <v/>
      </c>
      <c r="B2479">
        <f>ROW('Final Building Profile'!C60)</f>
        <v>60</v>
      </c>
      <c r="C2479">
        <f t="shared" ref="C2479:C2542" ca="1" si="875">INDIRECT($F$1565 &amp; ADDRESS(B2479, 1,4  ))</f>
        <v>57</v>
      </c>
      <c r="D2479" t="str">
        <f>ADDRESS(B2479, 3,4  )</f>
        <v>C60</v>
      </c>
      <c r="E2479" s="52">
        <f ca="1">H2479+I2479</f>
        <v>0</v>
      </c>
      <c r="F2479" t="str">
        <f ca="1">CONCATENATE("Based upon the number of buildings specified, information for  building ", C2479, " required for a final application in row ", B2479, ".", CHAR(10))</f>
        <v xml:space="preserve">Based upon the number of buildings specified, information for  building 57 required for a final application in row 60.
</v>
      </c>
      <c r="G2479" s="9" t="str">
        <f t="shared" ca="1" si="873"/>
        <v xml:space="preserve">Enter a value for 'Number of Floors in the Tallest Building' in cell B60.
</v>
      </c>
      <c r="H2479" s="52">
        <f ca="1">SUMPRODUCT(--ISTEXT(INDIRECT(J2479)))</f>
        <v>0</v>
      </c>
      <c r="I2479" s="52">
        <f ca="1">SUMPRODUCT(--ISNUMBER(INDIRECT(J2479)))</f>
        <v>0</v>
      </c>
      <c r="J2479" s="52" t="str">
        <f>$F$1565&amp; ADDRESS(B2479,3,4) &amp; ":" &amp; ADDRESS(B2479,15,4)</f>
        <v>'Final Building Profile'!C60:O60</v>
      </c>
    </row>
    <row r="2480" spans="1:10" ht="15" customHeight="1">
      <c r="A2480" t="str">
        <f t="shared" ref="A2480:A2489" ca="1" si="876">IF(AND(OFFSET(A2480, -I2480 + 2, 4) &gt;  0, E2480=""), F2480, "")</f>
        <v/>
      </c>
      <c r="B2480">
        <f t="shared" ref="B2480:B2494" si="877">B2479</f>
        <v>60</v>
      </c>
      <c r="C2480">
        <f t="shared" ca="1" si="875"/>
        <v>57</v>
      </c>
      <c r="D2480" t="str">
        <f t="shared" ref="D2480:D2494" si="878">ADDRESS(B2480, I2480,4  )</f>
        <v>C60</v>
      </c>
      <c r="E2480" t="str">
        <f t="shared" ref="E2480:E2494" ca="1" si="879">IF(ISBLANK( INDIRECT($F$1565 &amp; D2480)),"", INDIRECT($F$1565 &amp; D2480))</f>
        <v/>
      </c>
      <c r="F2480" t="str">
        <f t="shared" ref="F2480:F2494" ca="1" si="880">CONCATENATE("Enter a '"&amp; H2480 &amp;"' for  building ", C2480, " in cell ", D2480, ".", CHAR(10))</f>
        <v xml:space="preserve">Enter a 'Building Street Address Only 
(DO NOT ENTER CITY, STATE, OR ZIP)' for  building 57 in cell C60.
</v>
      </c>
      <c r="G2480" s="9" t="str">
        <f t="shared" ca="1" si="873"/>
        <v xml:space="preserve">Enter a value for 'Number of Floors in the Tallest Building' in cell B60.
</v>
      </c>
      <c r="H2480" s="52" t="str">
        <f t="shared" ref="H2480:H2494" ca="1" si="881">OFFSET(INDIRECT($F$1565 &amp; D2480), -B2480 + 3, 0)</f>
        <v>Building Street Address Only 
(DO NOT ENTER CITY, STATE, OR ZIP)</v>
      </c>
      <c r="I2480" s="52">
        <v>3</v>
      </c>
    </row>
    <row r="2481" spans="1:10" ht="15" customHeight="1">
      <c r="A2481" t="str">
        <f t="shared" ca="1" si="876"/>
        <v/>
      </c>
      <c r="B2481">
        <f t="shared" si="877"/>
        <v>60</v>
      </c>
      <c r="C2481">
        <f t="shared" ca="1" si="875"/>
        <v>57</v>
      </c>
      <c r="D2481" t="str">
        <f t="shared" si="878"/>
        <v>D60</v>
      </c>
      <c r="E2481" t="str">
        <f t="shared" ca="1" si="879"/>
        <v/>
      </c>
      <c r="F2481" t="str">
        <f t="shared" ca="1" si="880"/>
        <v xml:space="preserve">Enter a 'Total Units in Building*' for  building 57 in cell D60.
</v>
      </c>
      <c r="G2481" s="9" t="str">
        <f t="shared" ca="1" si="873"/>
        <v xml:space="preserve">Enter a value for 'Number of Floors in the Tallest Building' in cell B60.
</v>
      </c>
      <c r="H2481" s="52" t="str">
        <f t="shared" ca="1" si="881"/>
        <v>Total Units in Building*</v>
      </c>
      <c r="I2481" s="52">
        <v>4</v>
      </c>
    </row>
    <row r="2482" spans="1:10" ht="15" customHeight="1">
      <c r="A2482" t="str">
        <f t="shared" ca="1" si="876"/>
        <v/>
      </c>
      <c r="B2482">
        <f t="shared" si="877"/>
        <v>60</v>
      </c>
      <c r="C2482">
        <f t="shared" ca="1" si="875"/>
        <v>57</v>
      </c>
      <c r="D2482" t="str">
        <f t="shared" si="878"/>
        <v>E60</v>
      </c>
      <c r="E2482" t="str">
        <f t="shared" ca="1" si="879"/>
        <v/>
      </c>
      <c r="F2482" t="str">
        <f t="shared" ca="1" si="880"/>
        <v xml:space="preserve">Enter a 'Employee Units' for  building 57 in cell E60.
</v>
      </c>
      <c r="G2482" s="9" t="str">
        <f t="shared" ca="1" si="873"/>
        <v xml:space="preserve">Enter a value for 'Number of Floors in the Tallest Building' in cell B60.
</v>
      </c>
      <c r="H2482" s="52" t="str">
        <f t="shared" ca="1" si="881"/>
        <v>Employee Units</v>
      </c>
      <c r="I2482" s="52">
        <v>5</v>
      </c>
    </row>
    <row r="2483" spans="1:10" ht="15" customHeight="1">
      <c r="A2483" t="str">
        <f t="shared" ca="1" si="876"/>
        <v/>
      </c>
      <c r="B2483">
        <f t="shared" si="877"/>
        <v>60</v>
      </c>
      <c r="C2483">
        <f t="shared" ca="1" si="875"/>
        <v>57</v>
      </c>
      <c r="D2483" t="str">
        <f t="shared" si="878"/>
        <v>F60</v>
      </c>
      <c r="E2483" t="str">
        <f t="shared" ca="1" si="879"/>
        <v/>
      </c>
      <c r="F2483" t="str">
        <f t="shared" ca="1" si="880"/>
        <v xml:space="preserve">Enter a 'Low-Income Units' for  building 57 in cell F60.
</v>
      </c>
      <c r="G2483" s="9" t="str">
        <f t="shared" ca="1" si="873"/>
        <v xml:space="preserve">Enter a value for 'Number of Floors in the Tallest Building' in cell B60.
</v>
      </c>
      <c r="H2483" s="52" t="str">
        <f t="shared" ca="1" si="881"/>
        <v>Low-Income Units</v>
      </c>
      <c r="I2483" s="52">
        <v>6</v>
      </c>
    </row>
    <row r="2484" spans="1:10" ht="15" customHeight="1">
      <c r="A2484" t="str">
        <f t="shared" ca="1" si="876"/>
        <v/>
      </c>
      <c r="B2484">
        <f t="shared" si="877"/>
        <v>60</v>
      </c>
      <c r="C2484">
        <f t="shared" ca="1" si="875"/>
        <v>57</v>
      </c>
      <c r="D2484" t="str">
        <f t="shared" si="878"/>
        <v>G60</v>
      </c>
      <c r="E2484" t="str">
        <f t="shared" ca="1" si="879"/>
        <v/>
      </c>
      <c r="F2484" t="str">
        <f t="shared" ca="1" si="880"/>
        <v xml:space="preserve">Enter a 'Residential Square Footage**' for  building 57 in cell G60.
</v>
      </c>
      <c r="G2484" s="9" t="str">
        <f t="shared" ca="1" si="873"/>
        <v xml:space="preserve">Enter a value for 'Number of Floors in the Tallest Building' in cell B60.
</v>
      </c>
      <c r="H2484" s="52" t="str">
        <f t="shared" ca="1" si="881"/>
        <v>Residential Square Footage**</v>
      </c>
      <c r="I2484" s="52">
        <v>7</v>
      </c>
    </row>
    <row r="2485" spans="1:10" ht="15" customHeight="1">
      <c r="A2485" t="str">
        <f t="shared" ca="1" si="876"/>
        <v/>
      </c>
      <c r="B2485">
        <f t="shared" si="877"/>
        <v>60</v>
      </c>
      <c r="C2485">
        <f t="shared" ca="1" si="875"/>
        <v>57</v>
      </c>
      <c r="D2485" t="str">
        <f t="shared" si="878"/>
        <v>H60</v>
      </c>
      <c r="E2485" t="str">
        <f t="shared" ca="1" si="879"/>
        <v/>
      </c>
      <c r="F2485" t="str">
        <f t="shared" ca="1" si="880"/>
        <v xml:space="preserve">Enter a 'Square Footage of Employee Units' for  building 57 in cell H60.
</v>
      </c>
      <c r="G2485" s="9" t="str">
        <f t="shared" ca="1" si="873"/>
        <v xml:space="preserve">Enter a value for 'Number of Floors in the Tallest Building' in cell B60.
</v>
      </c>
      <c r="H2485" s="52" t="str">
        <f t="shared" ca="1" si="881"/>
        <v>Square Footage of Employee Units</v>
      </c>
      <c r="I2485" s="52">
        <v>8</v>
      </c>
    </row>
    <row r="2486" spans="1:10" ht="15" customHeight="1">
      <c r="A2486" t="str">
        <f t="shared" ca="1" si="876"/>
        <v/>
      </c>
      <c r="B2486">
        <f t="shared" si="877"/>
        <v>60</v>
      </c>
      <c r="C2486">
        <f t="shared" ca="1" si="875"/>
        <v>57</v>
      </c>
      <c r="D2486" t="str">
        <f t="shared" si="878"/>
        <v>I60</v>
      </c>
      <c r="E2486" t="str">
        <f t="shared" ca="1" si="879"/>
        <v/>
      </c>
      <c r="F2486" t="str">
        <f t="shared" ca="1" si="880"/>
        <v xml:space="preserve">Enter a 'Square Footage of Low-Income Units' for  building 57 in cell I60.
</v>
      </c>
      <c r="G2486" s="9" t="str">
        <f t="shared" ca="1" si="873"/>
        <v xml:space="preserve">Enter a value for 'Number of Floors in the Tallest Building' in cell B60.
</v>
      </c>
      <c r="H2486" s="52" t="str">
        <f t="shared" ca="1" si="881"/>
        <v>Square Footage of Low-Income Units</v>
      </c>
      <c r="I2486" s="52">
        <v>9</v>
      </c>
    </row>
    <row r="2487" spans="1:10" ht="15" customHeight="1">
      <c r="A2487" t="str">
        <f t="shared" ca="1" si="876"/>
        <v/>
      </c>
      <c r="B2487">
        <f t="shared" si="877"/>
        <v>60</v>
      </c>
      <c r="C2487">
        <f t="shared" ca="1" si="875"/>
        <v>57</v>
      </c>
      <c r="D2487" t="str">
        <f t="shared" si="878"/>
        <v>J60</v>
      </c>
      <c r="E2487" t="str">
        <f t="shared" ca="1" si="879"/>
        <v/>
      </c>
      <c r="F2487" t="str">
        <f t="shared" ca="1" si="880"/>
        <v xml:space="preserve">Enter a 'Placed-In-Service Date' for  building 57 in cell J60.
</v>
      </c>
      <c r="G2487" s="9" t="str">
        <f t="shared" ca="1" si="873"/>
        <v xml:space="preserve">Enter a value for 'Number of Floors in the Tallest Building' in cell B60.
</v>
      </c>
      <c r="H2487" s="52" t="str">
        <f t="shared" ca="1" si="881"/>
        <v>Placed-In-Service Date</v>
      </c>
      <c r="I2487" s="52">
        <v>10</v>
      </c>
    </row>
    <row r="2488" spans="1:10" ht="15" customHeight="1">
      <c r="A2488" t="str">
        <f t="shared" ca="1" si="876"/>
        <v/>
      </c>
      <c r="B2488">
        <f t="shared" si="877"/>
        <v>60</v>
      </c>
      <c r="C2488">
        <f t="shared" ca="1" si="875"/>
        <v>57</v>
      </c>
      <c r="D2488" t="str">
        <f t="shared" si="878"/>
        <v>K60</v>
      </c>
      <c r="E2488" t="str">
        <f t="shared" ca="1" si="879"/>
        <v/>
      </c>
      <c r="F2488" t="str">
        <f t="shared" ca="1" si="880"/>
        <v xml:space="preserve">Enter a 'New Construction/ Rehab APR' for  building 57 in cell K60.
</v>
      </c>
      <c r="G2488" s="9" t="str">
        <f t="shared" ca="1" si="873"/>
        <v xml:space="preserve">Enter a value for 'Number of Floors in the Tallest Building' in cell B60.
</v>
      </c>
      <c r="H2488" s="52" t="str">
        <f t="shared" ca="1" si="881"/>
        <v>New Construction/ Rehab APR</v>
      </c>
      <c r="I2488" s="52">
        <v>11</v>
      </c>
    </row>
    <row r="2489" spans="1:10" ht="15" customHeight="1">
      <c r="A2489" t="str">
        <f t="shared" ca="1" si="876"/>
        <v/>
      </c>
      <c r="B2489">
        <f t="shared" si="877"/>
        <v>60</v>
      </c>
      <c r="C2489">
        <f t="shared" ca="1" si="875"/>
        <v>57</v>
      </c>
      <c r="D2489" t="str">
        <f t="shared" si="878"/>
        <v>L60</v>
      </c>
      <c r="E2489" t="str">
        <f t="shared" ca="1" si="879"/>
        <v/>
      </c>
      <c r="F2489" t="str">
        <f t="shared" ca="1" si="880"/>
        <v xml:space="preserve">Enter a 'New Construction Eligible Basis' for  building 57 in cell L60.
</v>
      </c>
      <c r="G2489" s="9" t="str">
        <f t="shared" ca="1" si="873"/>
        <v xml:space="preserve">Enter a value for 'Number of Floors in the Tallest Building' in cell B60.
</v>
      </c>
      <c r="H2489" s="52" t="str">
        <f t="shared" ca="1" si="881"/>
        <v>New Construction Eligible Basis</v>
      </c>
      <c r="I2489" s="52">
        <v>12</v>
      </c>
    </row>
    <row r="2490" spans="1:10" ht="15" customHeight="1">
      <c r="A2490" t="str">
        <f ca="1">IF(AND(OFFSET(A2490, -I2490 + 2, 4) &gt;  0, E2490="", Calculations!$B$7), F2490, "")</f>
        <v/>
      </c>
      <c r="B2490">
        <f t="shared" si="877"/>
        <v>60</v>
      </c>
      <c r="C2490">
        <f t="shared" ca="1" si="875"/>
        <v>57</v>
      </c>
      <c r="D2490" t="str">
        <f t="shared" si="878"/>
        <v>M60</v>
      </c>
      <c r="E2490" t="str">
        <f t="shared" ca="1" si="879"/>
        <v/>
      </c>
      <c r="F2490" t="str">
        <f t="shared" ca="1" si="880"/>
        <v xml:space="preserve">Enter a 'Eligible Basis for Rehab' for  building 57 in cell M60.
</v>
      </c>
      <c r="G2490" s="9" t="str">
        <f t="shared" ca="1" si="873"/>
        <v xml:space="preserve">Enter a value for 'Number of Floors in the Tallest Building' in cell B60.
</v>
      </c>
      <c r="H2490" s="52" t="str">
        <f t="shared" ca="1" si="881"/>
        <v>Eligible Basis for Rehab</v>
      </c>
      <c r="I2490" s="52">
        <v>13</v>
      </c>
    </row>
    <row r="2491" spans="1:10" ht="15" customHeight="1">
      <c r="A2491" t="str">
        <f ca="1">IF(AND(OFFSET(A2491, -I2491 + 2, 4) &gt;  0, E2491="", Calculations!$B$7), F2491, "")</f>
        <v/>
      </c>
      <c r="B2491">
        <f t="shared" si="877"/>
        <v>60</v>
      </c>
      <c r="C2491">
        <f t="shared" ca="1" si="875"/>
        <v>57</v>
      </c>
      <c r="D2491" t="str">
        <f t="shared" si="878"/>
        <v>N60</v>
      </c>
      <c r="E2491" t="str">
        <f t="shared" ca="1" si="879"/>
        <v/>
      </c>
      <c r="F2491" t="str">
        <f t="shared" ca="1" si="880"/>
        <v xml:space="preserve">Enter a 'Cost of Acquiring the Building***' for  building 57 in cell N60.
</v>
      </c>
      <c r="G2491" s="9" t="str">
        <f t="shared" ca="1" si="873"/>
        <v xml:space="preserve">Enter a value for 'Number of Floors in the Tallest Building' in cell B60.
</v>
      </c>
      <c r="H2491" s="52" t="str">
        <f t="shared" ca="1" si="881"/>
        <v>Cost of Acquiring the Building***</v>
      </c>
      <c r="I2491" s="52">
        <v>14</v>
      </c>
    </row>
    <row r="2492" spans="1:10" ht="15" customHeight="1">
      <c r="A2492" t="str">
        <f ca="1">IF(AND(OFFSET(A2492, -I2492 + 2, 4) &gt;  0, E2492="", Calculations!$B$7), F2492, "")</f>
        <v/>
      </c>
      <c r="B2492">
        <f t="shared" si="877"/>
        <v>60</v>
      </c>
      <c r="C2492">
        <f t="shared" ca="1" si="875"/>
        <v>57</v>
      </c>
      <c r="D2492" t="str">
        <f t="shared" si="878"/>
        <v>O60</v>
      </c>
      <c r="E2492" t="str">
        <f t="shared" ca="1" si="879"/>
        <v/>
      </c>
      <c r="F2492" t="str">
        <f t="shared" ca="1" si="880"/>
        <v xml:space="preserve">Enter a 'Higher of Land Purchase Price or Land Appraised Value****' for  building 57 in cell O60.
</v>
      </c>
      <c r="G2492" s="9" t="str">
        <f t="shared" ca="1" si="873"/>
        <v xml:space="preserve">Enter a value for 'Number of Floors in the Tallest Building' in cell B60.
</v>
      </c>
      <c r="H2492" s="52" t="str">
        <f t="shared" ca="1" si="881"/>
        <v>Higher of Land Purchase Price or Land Appraised Value****</v>
      </c>
      <c r="I2492" s="52">
        <v>15</v>
      </c>
    </row>
    <row r="2493" spans="1:10" ht="15" customHeight="1">
      <c r="A2493" t="str">
        <f ca="1">IF(AND(OFFSET(A2493, -I2493 + 2, 4) &gt;  0, E2493="", Calculations!$B$7), F2493, "")</f>
        <v/>
      </c>
      <c r="B2493">
        <f t="shared" si="877"/>
        <v>60</v>
      </c>
      <c r="C2493">
        <f t="shared" ca="1" si="875"/>
        <v>57</v>
      </c>
      <c r="D2493" t="str">
        <f t="shared" si="878"/>
        <v>P60</v>
      </c>
      <c r="E2493" t="str">
        <f t="shared" ca="1" si="879"/>
        <v/>
      </c>
      <c r="F2493" t="str">
        <f t="shared" ca="1" si="880"/>
        <v xml:space="preserve">Enter a 'Acquisition Placed-in-Service Date' for  building 57 in cell P60.
</v>
      </c>
      <c r="G2493" s="9" t="str">
        <f t="shared" ca="1" si="873"/>
        <v xml:space="preserve">Enter a value for 'Number of Floors in the Tallest Building' in cell B60.
</v>
      </c>
      <c r="H2493" s="52" t="str">
        <f t="shared" ca="1" si="881"/>
        <v>Acquisition Placed-in-Service Date</v>
      </c>
      <c r="I2493" s="52">
        <v>16</v>
      </c>
    </row>
    <row r="2494" spans="1:10" ht="15" customHeight="1">
      <c r="A2494" t="str">
        <f ca="1">IF(AND(OFFSET(A2494, -I2494 + 2, 4) &gt;  0, E2494="", Calculations!$B$7), F2494, "")</f>
        <v/>
      </c>
      <c r="B2494">
        <f t="shared" si="877"/>
        <v>60</v>
      </c>
      <c r="C2494">
        <f t="shared" ca="1" si="875"/>
        <v>57</v>
      </c>
      <c r="D2494" t="str">
        <f t="shared" si="878"/>
        <v>Q60</v>
      </c>
      <c r="E2494" t="str">
        <f t="shared" ca="1" si="879"/>
        <v/>
      </c>
      <c r="F2494" t="str">
        <f t="shared" ca="1" si="880"/>
        <v xml:space="preserve">Enter a 'Acquisition APR' for  building 57 in cell Q60.
</v>
      </c>
      <c r="G2494" s="9" t="str">
        <f t="shared" ca="1" si="873"/>
        <v xml:space="preserve">Enter a value for 'Number of Floors in the Tallest Building' in cell B60.
</v>
      </c>
      <c r="H2494" s="52" t="str">
        <f t="shared" ca="1" si="881"/>
        <v>Acquisition APR</v>
      </c>
      <c r="I2494" s="52">
        <v>17</v>
      </c>
    </row>
    <row r="2495" spans="1:10" ht="15" customHeight="1">
      <c r="A2495" t="str">
        <f ca="1">IF(AND(Calculations!$B$4,Calculations!$B$29&gt;=C2495, E2495 &lt;&gt; 13),F2495,"")</f>
        <v/>
      </c>
      <c r="B2495">
        <f>ROW('Final Building Profile'!C61)</f>
        <v>61</v>
      </c>
      <c r="C2495">
        <f t="shared" ca="1" si="875"/>
        <v>58</v>
      </c>
      <c r="D2495" t="str">
        <f>ADDRESS(B2495, 3,4  )</f>
        <v>C61</v>
      </c>
      <c r="E2495" s="52">
        <f ca="1">H2495+I2495</f>
        <v>0</v>
      </c>
      <c r="F2495" t="str">
        <f ca="1">CONCATENATE("Based upon the number of buildings specified, information for  building ", C2495, " required for a final application in row ", B2495, ".", CHAR(10))</f>
        <v xml:space="preserve">Based upon the number of buildings specified, information for  building 58 required for a final application in row 61.
</v>
      </c>
      <c r="G2495" s="9" t="str">
        <f t="shared" ca="1" si="873"/>
        <v xml:space="preserve">Enter a value for 'Number of Floors in the Tallest Building' in cell B60.
</v>
      </c>
      <c r="H2495" s="52">
        <f ca="1">SUMPRODUCT(--ISTEXT(INDIRECT(J2495)))</f>
        <v>0</v>
      </c>
      <c r="I2495" s="52">
        <f ca="1">SUMPRODUCT(--ISNUMBER(INDIRECT(J2495)))</f>
        <v>0</v>
      </c>
      <c r="J2495" s="52" t="str">
        <f>$F$1565&amp; ADDRESS(B2495,3,4) &amp; ":" &amp; ADDRESS(B2495,15,4)</f>
        <v>'Final Building Profile'!C61:O61</v>
      </c>
    </row>
    <row r="2496" spans="1:10" ht="15" customHeight="1">
      <c r="A2496" t="str">
        <f t="shared" ref="A2496:A2505" ca="1" si="882">IF(AND(OFFSET(A2496, -I2496 + 2, 4) &gt;  0, E2496=""), F2496, "")</f>
        <v/>
      </c>
      <c r="B2496">
        <f t="shared" ref="B2496:B2510" si="883">B2495</f>
        <v>61</v>
      </c>
      <c r="C2496">
        <f t="shared" ca="1" si="875"/>
        <v>58</v>
      </c>
      <c r="D2496" t="str">
        <f t="shared" ref="D2496:D2510" si="884">ADDRESS(B2496, I2496,4  )</f>
        <v>C61</v>
      </c>
      <c r="E2496" t="str">
        <f t="shared" ref="E2496:E2510" ca="1" si="885">IF(ISBLANK( INDIRECT($F$1565 &amp; D2496)),"", INDIRECT($F$1565 &amp; D2496))</f>
        <v/>
      </c>
      <c r="F2496" t="str">
        <f t="shared" ref="F2496:F2510" ca="1" si="886">CONCATENATE("Enter a '"&amp; H2496 &amp;"' for  building ", C2496, " in cell ", D2496, ".", CHAR(10))</f>
        <v xml:space="preserve">Enter a 'Building Street Address Only 
(DO NOT ENTER CITY, STATE, OR ZIP)' for  building 58 in cell C61.
</v>
      </c>
      <c r="G2496" s="9" t="str">
        <f t="shared" ca="1" si="873"/>
        <v xml:space="preserve">Enter a value for 'Number of Floors in the Tallest Building' in cell B60.
</v>
      </c>
      <c r="H2496" s="52" t="str">
        <f t="shared" ref="H2496:H2510" ca="1" si="887">OFFSET(INDIRECT($F$1565 &amp; D2496), -B2496 + 3, 0)</f>
        <v>Building Street Address Only 
(DO NOT ENTER CITY, STATE, OR ZIP)</v>
      </c>
      <c r="I2496" s="52">
        <v>3</v>
      </c>
    </row>
    <row r="2497" spans="1:10" ht="15" customHeight="1">
      <c r="A2497" t="str">
        <f t="shared" ca="1" si="882"/>
        <v/>
      </c>
      <c r="B2497">
        <f t="shared" si="883"/>
        <v>61</v>
      </c>
      <c r="C2497">
        <f t="shared" ca="1" si="875"/>
        <v>58</v>
      </c>
      <c r="D2497" t="str">
        <f t="shared" si="884"/>
        <v>D61</v>
      </c>
      <c r="E2497" t="str">
        <f t="shared" ca="1" si="885"/>
        <v/>
      </c>
      <c r="F2497" t="str">
        <f t="shared" ca="1" si="886"/>
        <v xml:space="preserve">Enter a 'Total Units in Building*' for  building 58 in cell D61.
</v>
      </c>
      <c r="G2497" s="9" t="str">
        <f t="shared" ca="1" si="873"/>
        <v xml:space="preserve">Enter a value for 'Number of Floors in the Tallest Building' in cell B60.
</v>
      </c>
      <c r="H2497" s="52" t="str">
        <f t="shared" ca="1" si="887"/>
        <v>Total Units in Building*</v>
      </c>
      <c r="I2497" s="52">
        <v>4</v>
      </c>
    </row>
    <row r="2498" spans="1:10" ht="15" customHeight="1">
      <c r="A2498" t="str">
        <f t="shared" ca="1" si="882"/>
        <v/>
      </c>
      <c r="B2498">
        <f t="shared" si="883"/>
        <v>61</v>
      </c>
      <c r="C2498">
        <f t="shared" ca="1" si="875"/>
        <v>58</v>
      </c>
      <c r="D2498" t="str">
        <f t="shared" si="884"/>
        <v>E61</v>
      </c>
      <c r="E2498" t="str">
        <f t="shared" ca="1" si="885"/>
        <v/>
      </c>
      <c r="F2498" t="str">
        <f t="shared" ca="1" si="886"/>
        <v xml:space="preserve">Enter a 'Employee Units' for  building 58 in cell E61.
</v>
      </c>
      <c r="G2498" s="9" t="str">
        <f t="shared" ca="1" si="873"/>
        <v xml:space="preserve">Enter a value for 'Number of Floors in the Tallest Building' in cell B60.
</v>
      </c>
      <c r="H2498" s="52" t="str">
        <f t="shared" ca="1" si="887"/>
        <v>Employee Units</v>
      </c>
      <c r="I2498" s="52">
        <v>5</v>
      </c>
    </row>
    <row r="2499" spans="1:10" ht="15" customHeight="1">
      <c r="A2499" t="str">
        <f t="shared" ca="1" si="882"/>
        <v/>
      </c>
      <c r="B2499">
        <f t="shared" si="883"/>
        <v>61</v>
      </c>
      <c r="C2499">
        <f t="shared" ca="1" si="875"/>
        <v>58</v>
      </c>
      <c r="D2499" t="str">
        <f t="shared" si="884"/>
        <v>F61</v>
      </c>
      <c r="E2499" t="str">
        <f t="shared" ca="1" si="885"/>
        <v/>
      </c>
      <c r="F2499" t="str">
        <f t="shared" ca="1" si="886"/>
        <v xml:space="preserve">Enter a 'Low-Income Units' for  building 58 in cell F61.
</v>
      </c>
      <c r="G2499" s="9" t="str">
        <f t="shared" ca="1" si="873"/>
        <v xml:space="preserve">Enter a value for 'Number of Floors in the Tallest Building' in cell B60.
</v>
      </c>
      <c r="H2499" s="52" t="str">
        <f t="shared" ca="1" si="887"/>
        <v>Low-Income Units</v>
      </c>
      <c r="I2499" s="52">
        <v>6</v>
      </c>
    </row>
    <row r="2500" spans="1:10" ht="15" customHeight="1">
      <c r="A2500" t="str">
        <f t="shared" ca="1" si="882"/>
        <v/>
      </c>
      <c r="B2500">
        <f t="shared" si="883"/>
        <v>61</v>
      </c>
      <c r="C2500">
        <f t="shared" ca="1" si="875"/>
        <v>58</v>
      </c>
      <c r="D2500" t="str">
        <f t="shared" si="884"/>
        <v>G61</v>
      </c>
      <c r="E2500" t="str">
        <f t="shared" ca="1" si="885"/>
        <v/>
      </c>
      <c r="F2500" t="str">
        <f t="shared" ca="1" si="886"/>
        <v xml:space="preserve">Enter a 'Residential Square Footage**' for  building 58 in cell G61.
</v>
      </c>
      <c r="G2500" s="9" t="str">
        <f t="shared" ca="1" si="873"/>
        <v xml:space="preserve">Enter a value for 'Number of Floors in the Tallest Building' in cell B60.
</v>
      </c>
      <c r="H2500" s="52" t="str">
        <f t="shared" ca="1" si="887"/>
        <v>Residential Square Footage**</v>
      </c>
      <c r="I2500" s="52">
        <v>7</v>
      </c>
    </row>
    <row r="2501" spans="1:10" ht="15" customHeight="1">
      <c r="A2501" t="str">
        <f t="shared" ca="1" si="882"/>
        <v/>
      </c>
      <c r="B2501">
        <f t="shared" si="883"/>
        <v>61</v>
      </c>
      <c r="C2501">
        <f t="shared" ca="1" si="875"/>
        <v>58</v>
      </c>
      <c r="D2501" t="str">
        <f t="shared" si="884"/>
        <v>H61</v>
      </c>
      <c r="E2501" t="str">
        <f t="shared" ca="1" si="885"/>
        <v/>
      </c>
      <c r="F2501" t="str">
        <f t="shared" ca="1" si="886"/>
        <v xml:space="preserve">Enter a 'Square Footage of Employee Units' for  building 58 in cell H61.
</v>
      </c>
      <c r="G2501" s="9" t="str">
        <f t="shared" ca="1" si="873"/>
        <v xml:space="preserve">Enter a value for 'Number of Floors in the Tallest Building' in cell B60.
</v>
      </c>
      <c r="H2501" s="52" t="str">
        <f t="shared" ca="1" si="887"/>
        <v>Square Footage of Employee Units</v>
      </c>
      <c r="I2501" s="52">
        <v>8</v>
      </c>
    </row>
    <row r="2502" spans="1:10" ht="15" customHeight="1">
      <c r="A2502" t="str">
        <f t="shared" ca="1" si="882"/>
        <v/>
      </c>
      <c r="B2502">
        <f t="shared" si="883"/>
        <v>61</v>
      </c>
      <c r="C2502">
        <f t="shared" ca="1" si="875"/>
        <v>58</v>
      </c>
      <c r="D2502" t="str">
        <f t="shared" si="884"/>
        <v>I61</v>
      </c>
      <c r="E2502" t="str">
        <f t="shared" ca="1" si="885"/>
        <v/>
      </c>
      <c r="F2502" t="str">
        <f t="shared" ca="1" si="886"/>
        <v xml:space="preserve">Enter a 'Square Footage of Low-Income Units' for  building 58 in cell I61.
</v>
      </c>
      <c r="G2502" s="9" t="str">
        <f t="shared" ca="1" si="873"/>
        <v xml:space="preserve">Enter a value for 'Number of Floors in the Tallest Building' in cell B60.
</v>
      </c>
      <c r="H2502" s="52" t="str">
        <f t="shared" ca="1" si="887"/>
        <v>Square Footage of Low-Income Units</v>
      </c>
      <c r="I2502" s="52">
        <v>9</v>
      </c>
    </row>
    <row r="2503" spans="1:10" ht="15" customHeight="1">
      <c r="A2503" t="str">
        <f t="shared" ca="1" si="882"/>
        <v/>
      </c>
      <c r="B2503">
        <f t="shared" si="883"/>
        <v>61</v>
      </c>
      <c r="C2503">
        <f t="shared" ca="1" si="875"/>
        <v>58</v>
      </c>
      <c r="D2503" t="str">
        <f t="shared" si="884"/>
        <v>J61</v>
      </c>
      <c r="E2503" t="str">
        <f t="shared" ca="1" si="885"/>
        <v/>
      </c>
      <c r="F2503" t="str">
        <f t="shared" ca="1" si="886"/>
        <v xml:space="preserve">Enter a 'Placed-In-Service Date' for  building 58 in cell J61.
</v>
      </c>
      <c r="G2503" s="9" t="str">
        <f t="shared" ca="1" si="873"/>
        <v xml:space="preserve">Enter a value for 'Number of Floors in the Tallest Building' in cell B60.
</v>
      </c>
      <c r="H2503" s="52" t="str">
        <f t="shared" ca="1" si="887"/>
        <v>Placed-In-Service Date</v>
      </c>
      <c r="I2503" s="52">
        <v>10</v>
      </c>
    </row>
    <row r="2504" spans="1:10" ht="15" customHeight="1">
      <c r="A2504" t="str">
        <f t="shared" ca="1" si="882"/>
        <v/>
      </c>
      <c r="B2504">
        <f t="shared" si="883"/>
        <v>61</v>
      </c>
      <c r="C2504">
        <f t="shared" ca="1" si="875"/>
        <v>58</v>
      </c>
      <c r="D2504" t="str">
        <f t="shared" si="884"/>
        <v>K61</v>
      </c>
      <c r="E2504" t="str">
        <f t="shared" ca="1" si="885"/>
        <v/>
      </c>
      <c r="F2504" t="str">
        <f t="shared" ca="1" si="886"/>
        <v xml:space="preserve">Enter a 'New Construction/ Rehab APR' for  building 58 in cell K61.
</v>
      </c>
      <c r="G2504" s="9" t="str">
        <f t="shared" ca="1" si="873"/>
        <v xml:space="preserve">Enter a value for 'Number of Floors in the Tallest Building' in cell B60.
</v>
      </c>
      <c r="H2504" s="52" t="str">
        <f t="shared" ca="1" si="887"/>
        <v>New Construction/ Rehab APR</v>
      </c>
      <c r="I2504" s="52">
        <v>11</v>
      </c>
    </row>
    <row r="2505" spans="1:10" ht="15" customHeight="1">
      <c r="A2505" t="str">
        <f t="shared" ca="1" si="882"/>
        <v/>
      </c>
      <c r="B2505">
        <f t="shared" si="883"/>
        <v>61</v>
      </c>
      <c r="C2505">
        <f t="shared" ca="1" si="875"/>
        <v>58</v>
      </c>
      <c r="D2505" t="str">
        <f t="shared" si="884"/>
        <v>L61</v>
      </c>
      <c r="E2505" t="str">
        <f t="shared" ca="1" si="885"/>
        <v/>
      </c>
      <c r="F2505" t="str">
        <f t="shared" ca="1" si="886"/>
        <v xml:space="preserve">Enter a 'New Construction Eligible Basis' for  building 58 in cell L61.
</v>
      </c>
      <c r="G2505" s="9" t="str">
        <f t="shared" ca="1" si="873"/>
        <v xml:space="preserve">Enter a value for 'Number of Floors in the Tallest Building' in cell B60.
</v>
      </c>
      <c r="H2505" s="52" t="str">
        <f t="shared" ca="1" si="887"/>
        <v>New Construction Eligible Basis</v>
      </c>
      <c r="I2505" s="52">
        <v>12</v>
      </c>
    </row>
    <row r="2506" spans="1:10" ht="15" customHeight="1">
      <c r="A2506" t="str">
        <f ca="1">IF(AND(OFFSET(A2506, -I2506 + 2, 4) &gt;  0, E2506="", Calculations!$B$7), F2506, "")</f>
        <v/>
      </c>
      <c r="B2506">
        <f t="shared" si="883"/>
        <v>61</v>
      </c>
      <c r="C2506">
        <f t="shared" ca="1" si="875"/>
        <v>58</v>
      </c>
      <c r="D2506" t="str">
        <f t="shared" si="884"/>
        <v>M61</v>
      </c>
      <c r="E2506" t="str">
        <f t="shared" ca="1" si="885"/>
        <v/>
      </c>
      <c r="F2506" t="str">
        <f t="shared" ca="1" si="886"/>
        <v xml:space="preserve">Enter a 'Eligible Basis for Rehab' for  building 58 in cell M61.
</v>
      </c>
      <c r="G2506" s="9" t="str">
        <f t="shared" ca="1" si="873"/>
        <v xml:space="preserve">Enter a value for 'Number of Floors in the Tallest Building' in cell B60.
</v>
      </c>
      <c r="H2506" s="52" t="str">
        <f t="shared" ca="1" si="887"/>
        <v>Eligible Basis for Rehab</v>
      </c>
      <c r="I2506" s="52">
        <v>13</v>
      </c>
    </row>
    <row r="2507" spans="1:10" ht="15" customHeight="1">
      <c r="A2507" t="str">
        <f ca="1">IF(AND(OFFSET(A2507, -I2507 + 2, 4) &gt;  0, E2507="", Calculations!$B$7), F2507, "")</f>
        <v/>
      </c>
      <c r="B2507">
        <f t="shared" si="883"/>
        <v>61</v>
      </c>
      <c r="C2507">
        <f t="shared" ca="1" si="875"/>
        <v>58</v>
      </c>
      <c r="D2507" t="str">
        <f t="shared" si="884"/>
        <v>N61</v>
      </c>
      <c r="E2507" t="str">
        <f t="shared" ca="1" si="885"/>
        <v/>
      </c>
      <c r="F2507" t="str">
        <f t="shared" ca="1" si="886"/>
        <v xml:space="preserve">Enter a 'Cost of Acquiring the Building***' for  building 58 in cell N61.
</v>
      </c>
      <c r="G2507" s="9" t="str">
        <f t="shared" ca="1" si="873"/>
        <v xml:space="preserve">Enter a value for 'Number of Floors in the Tallest Building' in cell B60.
</v>
      </c>
      <c r="H2507" s="52" t="str">
        <f t="shared" ca="1" si="887"/>
        <v>Cost of Acquiring the Building***</v>
      </c>
      <c r="I2507" s="52">
        <v>14</v>
      </c>
    </row>
    <row r="2508" spans="1:10" ht="15" customHeight="1">
      <c r="A2508" t="str">
        <f ca="1">IF(AND(OFFSET(A2508, -I2508 + 2, 4) &gt;  0, E2508="", Calculations!$B$7), F2508, "")</f>
        <v/>
      </c>
      <c r="B2508">
        <f t="shared" si="883"/>
        <v>61</v>
      </c>
      <c r="C2508">
        <f t="shared" ca="1" si="875"/>
        <v>58</v>
      </c>
      <c r="D2508" t="str">
        <f t="shared" si="884"/>
        <v>O61</v>
      </c>
      <c r="E2508" t="str">
        <f t="shared" ca="1" si="885"/>
        <v/>
      </c>
      <c r="F2508" t="str">
        <f t="shared" ca="1" si="886"/>
        <v xml:space="preserve">Enter a 'Higher of Land Purchase Price or Land Appraised Value****' for  building 58 in cell O61.
</v>
      </c>
      <c r="G2508" s="9" t="str">
        <f t="shared" ca="1" si="873"/>
        <v xml:space="preserve">Enter a value for 'Number of Floors in the Tallest Building' in cell B60.
</v>
      </c>
      <c r="H2508" s="52" t="str">
        <f t="shared" ca="1" si="887"/>
        <v>Higher of Land Purchase Price or Land Appraised Value****</v>
      </c>
      <c r="I2508" s="52">
        <v>15</v>
      </c>
    </row>
    <row r="2509" spans="1:10" ht="15" customHeight="1">
      <c r="A2509" t="str">
        <f ca="1">IF(AND(OFFSET(A2509, -I2509 + 2, 4) &gt;  0, E2509="", Calculations!$B$7), F2509, "")</f>
        <v/>
      </c>
      <c r="B2509">
        <f t="shared" si="883"/>
        <v>61</v>
      </c>
      <c r="C2509">
        <f t="shared" ca="1" si="875"/>
        <v>58</v>
      </c>
      <c r="D2509" t="str">
        <f t="shared" si="884"/>
        <v>P61</v>
      </c>
      <c r="E2509" t="str">
        <f t="shared" ca="1" si="885"/>
        <v/>
      </c>
      <c r="F2509" t="str">
        <f t="shared" ca="1" si="886"/>
        <v xml:space="preserve">Enter a 'Acquisition Placed-in-Service Date' for  building 58 in cell P61.
</v>
      </c>
      <c r="G2509" s="9" t="str">
        <f t="shared" ca="1" si="873"/>
        <v xml:space="preserve">Enter a value for 'Number of Floors in the Tallest Building' in cell B60.
</v>
      </c>
      <c r="H2509" s="52" t="str">
        <f t="shared" ca="1" si="887"/>
        <v>Acquisition Placed-in-Service Date</v>
      </c>
      <c r="I2509" s="52">
        <v>16</v>
      </c>
    </row>
    <row r="2510" spans="1:10" ht="15" customHeight="1">
      <c r="A2510" t="str">
        <f ca="1">IF(AND(OFFSET(A2510, -I2510 + 2, 4) &gt;  0, E2510="", Calculations!$B$7), F2510, "")</f>
        <v/>
      </c>
      <c r="B2510">
        <f t="shared" si="883"/>
        <v>61</v>
      </c>
      <c r="C2510">
        <f t="shared" ca="1" si="875"/>
        <v>58</v>
      </c>
      <c r="D2510" t="str">
        <f t="shared" si="884"/>
        <v>Q61</v>
      </c>
      <c r="E2510" t="str">
        <f t="shared" ca="1" si="885"/>
        <v/>
      </c>
      <c r="F2510" t="str">
        <f t="shared" ca="1" si="886"/>
        <v xml:space="preserve">Enter a 'Acquisition APR' for  building 58 in cell Q61.
</v>
      </c>
      <c r="G2510" s="9" t="str">
        <f t="shared" ca="1" si="873"/>
        <v xml:space="preserve">Enter a value for 'Number of Floors in the Tallest Building' in cell B60.
</v>
      </c>
      <c r="H2510" s="52" t="str">
        <f t="shared" ca="1" si="887"/>
        <v>Acquisition APR</v>
      </c>
      <c r="I2510" s="52">
        <v>17</v>
      </c>
    </row>
    <row r="2511" spans="1:10" ht="15" customHeight="1">
      <c r="A2511" t="str">
        <f ca="1">IF(AND(Calculations!$B$4,Calculations!$B$29&gt;=C2511, E2511 &lt;&gt; 13),F2511,"")</f>
        <v/>
      </c>
      <c r="B2511">
        <f>ROW('Final Building Profile'!C62)</f>
        <v>62</v>
      </c>
      <c r="C2511">
        <f t="shared" ca="1" si="875"/>
        <v>59</v>
      </c>
      <c r="D2511" t="str">
        <f>ADDRESS(B2511, 3,4  )</f>
        <v>C62</v>
      </c>
      <c r="E2511" s="52">
        <f ca="1">H2511+I2511</f>
        <v>0</v>
      </c>
      <c r="F2511" t="str">
        <f ca="1">CONCATENATE("Based upon the number of buildings specified, information for  building ", C2511, " required for a final application in row ", B2511, ".", CHAR(10))</f>
        <v xml:space="preserve">Based upon the number of buildings specified, information for  building 59 required for a final application in row 62.
</v>
      </c>
      <c r="G2511" s="9" t="str">
        <f t="shared" ca="1" si="873"/>
        <v xml:space="preserve">Enter a value for 'Number of Floors in the Tallest Building' in cell B60.
</v>
      </c>
      <c r="H2511" s="52">
        <f ca="1">SUMPRODUCT(--ISTEXT(INDIRECT(J2511)))</f>
        <v>0</v>
      </c>
      <c r="I2511" s="52">
        <f ca="1">SUMPRODUCT(--ISNUMBER(INDIRECT(J2511)))</f>
        <v>0</v>
      </c>
      <c r="J2511" s="52" t="str">
        <f>$F$1565&amp; ADDRESS(B2511,3,4) &amp; ":" &amp; ADDRESS(B2511,15,4)</f>
        <v>'Final Building Profile'!C62:O62</v>
      </c>
    </row>
    <row r="2512" spans="1:10" ht="15" customHeight="1">
      <c r="A2512" t="str">
        <f t="shared" ref="A2512:A2521" ca="1" si="888">IF(AND(OFFSET(A2512, -I2512 + 2, 4) &gt;  0, E2512=""), F2512, "")</f>
        <v/>
      </c>
      <c r="B2512">
        <f t="shared" ref="B2512:B2526" si="889">B2511</f>
        <v>62</v>
      </c>
      <c r="C2512">
        <f t="shared" ca="1" si="875"/>
        <v>59</v>
      </c>
      <c r="D2512" t="str">
        <f t="shared" ref="D2512:D2526" si="890">ADDRESS(B2512, I2512,4  )</f>
        <v>C62</v>
      </c>
      <c r="E2512" t="str">
        <f t="shared" ref="E2512:E2526" ca="1" si="891">IF(ISBLANK( INDIRECT($F$1565 &amp; D2512)),"", INDIRECT($F$1565 &amp; D2512))</f>
        <v/>
      </c>
      <c r="F2512" t="str">
        <f t="shared" ref="F2512:F2526" ca="1" si="892">CONCATENATE("Enter a '"&amp; H2512 &amp;"' for  building ", C2512, " in cell ", D2512, ".", CHAR(10))</f>
        <v xml:space="preserve">Enter a 'Building Street Address Only 
(DO NOT ENTER CITY, STATE, OR ZIP)' for  building 59 in cell C62.
</v>
      </c>
      <c r="G2512" s="9" t="str">
        <f t="shared" ca="1" si="873"/>
        <v xml:space="preserve">Enter a value for 'Number of Floors in the Tallest Building' in cell B60.
</v>
      </c>
      <c r="H2512" s="52" t="str">
        <f t="shared" ref="H2512:H2526" ca="1" si="893">OFFSET(INDIRECT($F$1565 &amp; D2512), -B2512 + 3, 0)</f>
        <v>Building Street Address Only 
(DO NOT ENTER CITY, STATE, OR ZIP)</v>
      </c>
      <c r="I2512" s="52">
        <v>3</v>
      </c>
    </row>
    <row r="2513" spans="1:10" ht="15" customHeight="1">
      <c r="A2513" t="str">
        <f t="shared" ca="1" si="888"/>
        <v/>
      </c>
      <c r="B2513">
        <f t="shared" si="889"/>
        <v>62</v>
      </c>
      <c r="C2513">
        <f t="shared" ca="1" si="875"/>
        <v>59</v>
      </c>
      <c r="D2513" t="str">
        <f t="shared" si="890"/>
        <v>D62</v>
      </c>
      <c r="E2513" t="str">
        <f t="shared" ca="1" si="891"/>
        <v/>
      </c>
      <c r="F2513" t="str">
        <f t="shared" ca="1" si="892"/>
        <v xml:space="preserve">Enter a 'Total Units in Building*' for  building 59 in cell D62.
</v>
      </c>
      <c r="G2513" s="9" t="str">
        <f t="shared" ca="1" si="873"/>
        <v xml:space="preserve">Enter a value for 'Number of Floors in the Tallest Building' in cell B60.
</v>
      </c>
      <c r="H2513" s="52" t="str">
        <f t="shared" ca="1" si="893"/>
        <v>Total Units in Building*</v>
      </c>
      <c r="I2513" s="52">
        <v>4</v>
      </c>
    </row>
    <row r="2514" spans="1:10" ht="15" customHeight="1">
      <c r="A2514" t="str">
        <f t="shared" ca="1" si="888"/>
        <v/>
      </c>
      <c r="B2514">
        <f t="shared" si="889"/>
        <v>62</v>
      </c>
      <c r="C2514">
        <f t="shared" ca="1" si="875"/>
        <v>59</v>
      </c>
      <c r="D2514" t="str">
        <f t="shared" si="890"/>
        <v>E62</v>
      </c>
      <c r="E2514" t="str">
        <f t="shared" ca="1" si="891"/>
        <v/>
      </c>
      <c r="F2514" t="str">
        <f t="shared" ca="1" si="892"/>
        <v xml:space="preserve">Enter a 'Employee Units' for  building 59 in cell E62.
</v>
      </c>
      <c r="G2514" s="9" t="str">
        <f t="shared" ca="1" si="873"/>
        <v xml:space="preserve">Enter a value for 'Number of Floors in the Tallest Building' in cell B60.
</v>
      </c>
      <c r="H2514" s="52" t="str">
        <f t="shared" ca="1" si="893"/>
        <v>Employee Units</v>
      </c>
      <c r="I2514" s="52">
        <v>5</v>
      </c>
    </row>
    <row r="2515" spans="1:10" ht="15" customHeight="1">
      <c r="A2515" t="str">
        <f t="shared" ca="1" si="888"/>
        <v/>
      </c>
      <c r="B2515">
        <f t="shared" si="889"/>
        <v>62</v>
      </c>
      <c r="C2515">
        <f t="shared" ca="1" si="875"/>
        <v>59</v>
      </c>
      <c r="D2515" t="str">
        <f t="shared" si="890"/>
        <v>F62</v>
      </c>
      <c r="E2515" t="str">
        <f t="shared" ca="1" si="891"/>
        <v/>
      </c>
      <c r="F2515" t="str">
        <f t="shared" ca="1" si="892"/>
        <v xml:space="preserve">Enter a 'Low-Income Units' for  building 59 in cell F62.
</v>
      </c>
      <c r="G2515" s="9" t="str">
        <f t="shared" ca="1" si="873"/>
        <v xml:space="preserve">Enter a value for 'Number of Floors in the Tallest Building' in cell B60.
</v>
      </c>
      <c r="H2515" s="52" t="str">
        <f t="shared" ca="1" si="893"/>
        <v>Low-Income Units</v>
      </c>
      <c r="I2515" s="52">
        <v>6</v>
      </c>
    </row>
    <row r="2516" spans="1:10" ht="15" customHeight="1">
      <c r="A2516" t="str">
        <f t="shared" ca="1" si="888"/>
        <v/>
      </c>
      <c r="B2516">
        <f t="shared" si="889"/>
        <v>62</v>
      </c>
      <c r="C2516">
        <f t="shared" ca="1" si="875"/>
        <v>59</v>
      </c>
      <c r="D2516" t="str">
        <f t="shared" si="890"/>
        <v>G62</v>
      </c>
      <c r="E2516" t="str">
        <f t="shared" ca="1" si="891"/>
        <v/>
      </c>
      <c r="F2516" t="str">
        <f t="shared" ca="1" si="892"/>
        <v xml:space="preserve">Enter a 'Residential Square Footage**' for  building 59 in cell G62.
</v>
      </c>
      <c r="G2516" s="9" t="str">
        <f t="shared" ca="1" si="873"/>
        <v xml:space="preserve">Enter a value for 'Number of Floors in the Tallest Building' in cell B60.
</v>
      </c>
      <c r="H2516" s="52" t="str">
        <f t="shared" ca="1" si="893"/>
        <v>Residential Square Footage**</v>
      </c>
      <c r="I2516" s="52">
        <v>7</v>
      </c>
    </row>
    <row r="2517" spans="1:10" ht="15" customHeight="1">
      <c r="A2517" t="str">
        <f t="shared" ca="1" si="888"/>
        <v/>
      </c>
      <c r="B2517">
        <f t="shared" si="889"/>
        <v>62</v>
      </c>
      <c r="C2517">
        <f t="shared" ca="1" si="875"/>
        <v>59</v>
      </c>
      <c r="D2517" t="str">
        <f t="shared" si="890"/>
        <v>H62</v>
      </c>
      <c r="E2517" t="str">
        <f t="shared" ca="1" si="891"/>
        <v/>
      </c>
      <c r="F2517" t="str">
        <f t="shared" ca="1" si="892"/>
        <v xml:space="preserve">Enter a 'Square Footage of Employee Units' for  building 59 in cell H62.
</v>
      </c>
      <c r="G2517" s="9" t="str">
        <f t="shared" ca="1" si="873"/>
        <v xml:space="preserve">Enter a value for 'Number of Floors in the Tallest Building' in cell B60.
</v>
      </c>
      <c r="H2517" s="52" t="str">
        <f t="shared" ca="1" si="893"/>
        <v>Square Footage of Employee Units</v>
      </c>
      <c r="I2517" s="52">
        <v>8</v>
      </c>
    </row>
    <row r="2518" spans="1:10" ht="15" customHeight="1">
      <c r="A2518" t="str">
        <f t="shared" ca="1" si="888"/>
        <v/>
      </c>
      <c r="B2518">
        <f t="shared" si="889"/>
        <v>62</v>
      </c>
      <c r="C2518">
        <f t="shared" ca="1" si="875"/>
        <v>59</v>
      </c>
      <c r="D2518" t="str">
        <f t="shared" si="890"/>
        <v>I62</v>
      </c>
      <c r="E2518" t="str">
        <f t="shared" ca="1" si="891"/>
        <v/>
      </c>
      <c r="F2518" t="str">
        <f t="shared" ca="1" si="892"/>
        <v xml:space="preserve">Enter a 'Square Footage of Low-Income Units' for  building 59 in cell I62.
</v>
      </c>
      <c r="G2518" s="9" t="str">
        <f t="shared" ca="1" si="873"/>
        <v xml:space="preserve">Enter a value for 'Number of Floors in the Tallest Building' in cell B60.
</v>
      </c>
      <c r="H2518" s="52" t="str">
        <f t="shared" ca="1" si="893"/>
        <v>Square Footage of Low-Income Units</v>
      </c>
      <c r="I2518" s="52">
        <v>9</v>
      </c>
    </row>
    <row r="2519" spans="1:10" ht="15" customHeight="1">
      <c r="A2519" t="str">
        <f t="shared" ca="1" si="888"/>
        <v/>
      </c>
      <c r="B2519">
        <f t="shared" si="889"/>
        <v>62</v>
      </c>
      <c r="C2519">
        <f t="shared" ca="1" si="875"/>
        <v>59</v>
      </c>
      <c r="D2519" t="str">
        <f t="shared" si="890"/>
        <v>J62</v>
      </c>
      <c r="E2519" t="str">
        <f t="shared" ca="1" si="891"/>
        <v/>
      </c>
      <c r="F2519" t="str">
        <f t="shared" ca="1" si="892"/>
        <v xml:space="preserve">Enter a 'Placed-In-Service Date' for  building 59 in cell J62.
</v>
      </c>
      <c r="G2519" s="9" t="str">
        <f t="shared" ca="1" si="873"/>
        <v xml:space="preserve">Enter a value for 'Number of Floors in the Tallest Building' in cell B60.
</v>
      </c>
      <c r="H2519" s="52" t="str">
        <f t="shared" ca="1" si="893"/>
        <v>Placed-In-Service Date</v>
      </c>
      <c r="I2519" s="52">
        <v>10</v>
      </c>
    </row>
    <row r="2520" spans="1:10" ht="15" customHeight="1">
      <c r="A2520" t="str">
        <f t="shared" ca="1" si="888"/>
        <v/>
      </c>
      <c r="B2520">
        <f t="shared" si="889"/>
        <v>62</v>
      </c>
      <c r="C2520">
        <f t="shared" ca="1" si="875"/>
        <v>59</v>
      </c>
      <c r="D2520" t="str">
        <f t="shared" si="890"/>
        <v>K62</v>
      </c>
      <c r="E2520" t="str">
        <f t="shared" ca="1" si="891"/>
        <v/>
      </c>
      <c r="F2520" t="str">
        <f t="shared" ca="1" si="892"/>
        <v xml:space="preserve">Enter a 'New Construction/ Rehab APR' for  building 59 in cell K62.
</v>
      </c>
      <c r="G2520" s="9" t="str">
        <f t="shared" ca="1" si="873"/>
        <v xml:space="preserve">Enter a value for 'Number of Floors in the Tallest Building' in cell B60.
</v>
      </c>
      <c r="H2520" s="52" t="str">
        <f t="shared" ca="1" si="893"/>
        <v>New Construction/ Rehab APR</v>
      </c>
      <c r="I2520" s="52">
        <v>11</v>
      </c>
    </row>
    <row r="2521" spans="1:10" ht="15" customHeight="1">
      <c r="A2521" t="str">
        <f t="shared" ca="1" si="888"/>
        <v/>
      </c>
      <c r="B2521">
        <f t="shared" si="889"/>
        <v>62</v>
      </c>
      <c r="C2521">
        <f t="shared" ca="1" si="875"/>
        <v>59</v>
      </c>
      <c r="D2521" t="str">
        <f t="shared" si="890"/>
        <v>L62</v>
      </c>
      <c r="E2521" t="str">
        <f t="shared" ca="1" si="891"/>
        <v/>
      </c>
      <c r="F2521" t="str">
        <f t="shared" ca="1" si="892"/>
        <v xml:space="preserve">Enter a 'New Construction Eligible Basis' for  building 59 in cell L62.
</v>
      </c>
      <c r="G2521" s="9" t="str">
        <f t="shared" ca="1" si="873"/>
        <v xml:space="preserve">Enter a value for 'Number of Floors in the Tallest Building' in cell B60.
</v>
      </c>
      <c r="H2521" s="52" t="str">
        <f t="shared" ca="1" si="893"/>
        <v>New Construction Eligible Basis</v>
      </c>
      <c r="I2521" s="52">
        <v>12</v>
      </c>
    </row>
    <row r="2522" spans="1:10" ht="15" customHeight="1">
      <c r="A2522" t="str">
        <f ca="1">IF(AND(OFFSET(A2522, -I2522 + 2, 4) &gt;  0, E2522="", Calculations!$B$7), F2522, "")</f>
        <v/>
      </c>
      <c r="B2522">
        <f t="shared" si="889"/>
        <v>62</v>
      </c>
      <c r="C2522">
        <f t="shared" ca="1" si="875"/>
        <v>59</v>
      </c>
      <c r="D2522" t="str">
        <f t="shared" si="890"/>
        <v>M62</v>
      </c>
      <c r="E2522" t="str">
        <f t="shared" ca="1" si="891"/>
        <v/>
      </c>
      <c r="F2522" t="str">
        <f t="shared" ca="1" si="892"/>
        <v xml:space="preserve">Enter a 'Eligible Basis for Rehab' for  building 59 in cell M62.
</v>
      </c>
      <c r="G2522" s="9" t="str">
        <f t="shared" ca="1" si="873"/>
        <v xml:space="preserve">Enter a value for 'Number of Floors in the Tallest Building' in cell B60.
</v>
      </c>
      <c r="H2522" s="52" t="str">
        <f t="shared" ca="1" si="893"/>
        <v>Eligible Basis for Rehab</v>
      </c>
      <c r="I2522" s="52">
        <v>13</v>
      </c>
    </row>
    <row r="2523" spans="1:10" ht="15" customHeight="1">
      <c r="A2523" t="str">
        <f ca="1">IF(AND(OFFSET(A2523, -I2523 + 2, 4) &gt;  0, E2523="", Calculations!$B$7), F2523, "")</f>
        <v/>
      </c>
      <c r="B2523">
        <f t="shared" si="889"/>
        <v>62</v>
      </c>
      <c r="C2523">
        <f t="shared" ca="1" si="875"/>
        <v>59</v>
      </c>
      <c r="D2523" t="str">
        <f t="shared" si="890"/>
        <v>N62</v>
      </c>
      <c r="E2523" t="str">
        <f t="shared" ca="1" si="891"/>
        <v/>
      </c>
      <c r="F2523" t="str">
        <f t="shared" ca="1" si="892"/>
        <v xml:space="preserve">Enter a 'Cost of Acquiring the Building***' for  building 59 in cell N62.
</v>
      </c>
      <c r="G2523" s="9" t="str">
        <f t="shared" ca="1" si="873"/>
        <v xml:space="preserve">Enter a value for 'Number of Floors in the Tallest Building' in cell B60.
</v>
      </c>
      <c r="H2523" s="52" t="str">
        <f t="shared" ca="1" si="893"/>
        <v>Cost of Acquiring the Building***</v>
      </c>
      <c r="I2523" s="52">
        <v>14</v>
      </c>
    </row>
    <row r="2524" spans="1:10" ht="15" customHeight="1">
      <c r="A2524" t="str">
        <f ca="1">IF(AND(OFFSET(A2524, -I2524 + 2, 4) &gt;  0, E2524="", Calculations!$B$7), F2524, "")</f>
        <v/>
      </c>
      <c r="B2524">
        <f t="shared" si="889"/>
        <v>62</v>
      </c>
      <c r="C2524">
        <f t="shared" ca="1" si="875"/>
        <v>59</v>
      </c>
      <c r="D2524" t="str">
        <f t="shared" si="890"/>
        <v>O62</v>
      </c>
      <c r="E2524" t="str">
        <f t="shared" ca="1" si="891"/>
        <v/>
      </c>
      <c r="F2524" t="str">
        <f t="shared" ca="1" si="892"/>
        <v xml:space="preserve">Enter a 'Higher of Land Purchase Price or Land Appraised Value****' for  building 59 in cell O62.
</v>
      </c>
      <c r="G2524" s="9" t="str">
        <f t="shared" ca="1" si="873"/>
        <v xml:space="preserve">Enter a value for 'Number of Floors in the Tallest Building' in cell B60.
</v>
      </c>
      <c r="H2524" s="52" t="str">
        <f t="shared" ca="1" si="893"/>
        <v>Higher of Land Purchase Price or Land Appraised Value****</v>
      </c>
      <c r="I2524" s="52">
        <v>15</v>
      </c>
    </row>
    <row r="2525" spans="1:10" ht="15" customHeight="1">
      <c r="A2525" t="str">
        <f ca="1">IF(AND(OFFSET(A2525, -I2525 + 2, 4) &gt;  0, E2525="", Calculations!$B$7), F2525, "")</f>
        <v/>
      </c>
      <c r="B2525">
        <f t="shared" si="889"/>
        <v>62</v>
      </c>
      <c r="C2525">
        <f t="shared" ca="1" si="875"/>
        <v>59</v>
      </c>
      <c r="D2525" t="str">
        <f t="shared" si="890"/>
        <v>P62</v>
      </c>
      <c r="E2525" t="str">
        <f t="shared" ca="1" si="891"/>
        <v/>
      </c>
      <c r="F2525" t="str">
        <f t="shared" ca="1" si="892"/>
        <v xml:space="preserve">Enter a 'Acquisition Placed-in-Service Date' for  building 59 in cell P62.
</v>
      </c>
      <c r="G2525" s="9" t="str">
        <f t="shared" ca="1" si="873"/>
        <v xml:space="preserve">Enter a value for 'Number of Floors in the Tallest Building' in cell B60.
</v>
      </c>
      <c r="H2525" s="52" t="str">
        <f t="shared" ca="1" si="893"/>
        <v>Acquisition Placed-in-Service Date</v>
      </c>
      <c r="I2525" s="52">
        <v>16</v>
      </c>
    </row>
    <row r="2526" spans="1:10" ht="15" customHeight="1">
      <c r="A2526" t="str">
        <f ca="1">IF(AND(OFFSET(A2526, -I2526 + 2, 4) &gt;  0, E2526="", Calculations!$B$7), F2526, "")</f>
        <v/>
      </c>
      <c r="B2526">
        <f t="shared" si="889"/>
        <v>62</v>
      </c>
      <c r="C2526">
        <f t="shared" ca="1" si="875"/>
        <v>59</v>
      </c>
      <c r="D2526" t="str">
        <f t="shared" si="890"/>
        <v>Q62</v>
      </c>
      <c r="E2526" t="str">
        <f t="shared" ca="1" si="891"/>
        <v/>
      </c>
      <c r="F2526" t="str">
        <f t="shared" ca="1" si="892"/>
        <v xml:space="preserve">Enter a 'Acquisition APR' for  building 59 in cell Q62.
</v>
      </c>
      <c r="G2526" s="9" t="str">
        <f t="shared" ca="1" si="873"/>
        <v xml:space="preserve">Enter a value for 'Number of Floors in the Tallest Building' in cell B60.
</v>
      </c>
      <c r="H2526" s="52" t="str">
        <f t="shared" ca="1" si="893"/>
        <v>Acquisition APR</v>
      </c>
      <c r="I2526" s="52">
        <v>17</v>
      </c>
    </row>
    <row r="2527" spans="1:10" ht="15" customHeight="1">
      <c r="A2527" t="str">
        <f ca="1">IF(AND(Calculations!$B$4,Calculations!$B$29&gt;=C2527, E2527 &lt;&gt; 13),F2527,"")</f>
        <v/>
      </c>
      <c r="B2527">
        <f>ROW('Final Building Profile'!C63)</f>
        <v>63</v>
      </c>
      <c r="C2527">
        <f t="shared" ca="1" si="875"/>
        <v>60</v>
      </c>
      <c r="D2527" t="str">
        <f>ADDRESS(B2527, 3,4  )</f>
        <v>C63</v>
      </c>
      <c r="E2527" s="52">
        <f ca="1">H2527+I2527</f>
        <v>0</v>
      </c>
      <c r="F2527" t="str">
        <f ca="1">CONCATENATE("Based upon the number of buildings specified, information for  building ", C2527, " required for a final application in row ", B2527, ".", CHAR(10))</f>
        <v xml:space="preserve">Based upon the number of buildings specified, information for  building 60 required for a final application in row 63.
</v>
      </c>
      <c r="G2527" s="9" t="str">
        <f t="shared" ca="1" si="873"/>
        <v xml:space="preserve">Enter a value for 'Number of Floors in the Tallest Building' in cell B60.
</v>
      </c>
      <c r="H2527" s="52">
        <f ca="1">SUMPRODUCT(--ISTEXT(INDIRECT(J2527)))</f>
        <v>0</v>
      </c>
      <c r="I2527" s="52">
        <f ca="1">SUMPRODUCT(--ISNUMBER(INDIRECT(J2527)))</f>
        <v>0</v>
      </c>
      <c r="J2527" s="52" t="str">
        <f>$F$1565&amp; ADDRESS(B2527,3,4) &amp; ":" &amp; ADDRESS(B2527,15,4)</f>
        <v>'Final Building Profile'!C63:O63</v>
      </c>
    </row>
    <row r="2528" spans="1:10" ht="15" customHeight="1">
      <c r="A2528" t="str">
        <f t="shared" ref="A2528:A2537" ca="1" si="894">IF(AND(OFFSET(A2528, -I2528 + 2, 4) &gt;  0, E2528=""), F2528, "")</f>
        <v/>
      </c>
      <c r="B2528">
        <f t="shared" ref="B2528:B2542" si="895">B2527</f>
        <v>63</v>
      </c>
      <c r="C2528">
        <f t="shared" ca="1" si="875"/>
        <v>60</v>
      </c>
      <c r="D2528" t="str">
        <f t="shared" ref="D2528:D2542" si="896">ADDRESS(B2528, I2528,4  )</f>
        <v>C63</v>
      </c>
      <c r="E2528" t="str">
        <f t="shared" ref="E2528:E2542" ca="1" si="897">IF(ISBLANK( INDIRECT($F$1565 &amp; D2528)),"", INDIRECT($F$1565 &amp; D2528))</f>
        <v/>
      </c>
      <c r="F2528" t="str">
        <f t="shared" ref="F2528:F2542" ca="1" si="898">CONCATENATE("Enter a '"&amp; H2528 &amp;"' for  building ", C2528, " in cell ", D2528, ".", CHAR(10))</f>
        <v xml:space="preserve">Enter a 'Building Street Address Only 
(DO NOT ENTER CITY, STATE, OR ZIP)' for  building 60 in cell C63.
</v>
      </c>
      <c r="G2528" s="9" t="str">
        <f t="shared" ref="G2528:G2591" ca="1" si="899">OFFSET(G2528, -1, 0) &amp; A2528</f>
        <v xml:space="preserve">Enter a value for 'Number of Floors in the Tallest Building' in cell B60.
</v>
      </c>
      <c r="H2528" s="52" t="str">
        <f t="shared" ref="H2528:H2542" ca="1" si="900">OFFSET(INDIRECT($F$1565 &amp; D2528), -B2528 + 3, 0)</f>
        <v>Building Street Address Only 
(DO NOT ENTER CITY, STATE, OR ZIP)</v>
      </c>
      <c r="I2528" s="52">
        <v>3</v>
      </c>
    </row>
    <row r="2529" spans="1:10" ht="15" customHeight="1">
      <c r="A2529" t="str">
        <f t="shared" ca="1" si="894"/>
        <v/>
      </c>
      <c r="B2529">
        <f t="shared" si="895"/>
        <v>63</v>
      </c>
      <c r="C2529">
        <f t="shared" ca="1" si="875"/>
        <v>60</v>
      </c>
      <c r="D2529" t="str">
        <f t="shared" si="896"/>
        <v>D63</v>
      </c>
      <c r="E2529" t="str">
        <f t="shared" ca="1" si="897"/>
        <v/>
      </c>
      <c r="F2529" t="str">
        <f t="shared" ca="1" si="898"/>
        <v xml:space="preserve">Enter a 'Total Units in Building*' for  building 60 in cell D63.
</v>
      </c>
      <c r="G2529" s="9" t="str">
        <f t="shared" ca="1" si="899"/>
        <v xml:space="preserve">Enter a value for 'Number of Floors in the Tallest Building' in cell B60.
</v>
      </c>
      <c r="H2529" s="52" t="str">
        <f t="shared" ca="1" si="900"/>
        <v>Total Units in Building*</v>
      </c>
      <c r="I2529" s="52">
        <v>4</v>
      </c>
    </row>
    <row r="2530" spans="1:10" ht="15" customHeight="1">
      <c r="A2530" t="str">
        <f t="shared" ca="1" si="894"/>
        <v/>
      </c>
      <c r="B2530">
        <f t="shared" si="895"/>
        <v>63</v>
      </c>
      <c r="C2530">
        <f t="shared" ca="1" si="875"/>
        <v>60</v>
      </c>
      <c r="D2530" t="str">
        <f t="shared" si="896"/>
        <v>E63</v>
      </c>
      <c r="E2530" t="str">
        <f t="shared" ca="1" si="897"/>
        <v/>
      </c>
      <c r="F2530" t="str">
        <f t="shared" ca="1" si="898"/>
        <v xml:space="preserve">Enter a 'Employee Units' for  building 60 in cell E63.
</v>
      </c>
      <c r="G2530" s="9" t="str">
        <f t="shared" ca="1" si="899"/>
        <v xml:space="preserve">Enter a value for 'Number of Floors in the Tallest Building' in cell B60.
</v>
      </c>
      <c r="H2530" s="52" t="str">
        <f t="shared" ca="1" si="900"/>
        <v>Employee Units</v>
      </c>
      <c r="I2530" s="52">
        <v>5</v>
      </c>
    </row>
    <row r="2531" spans="1:10" ht="15" customHeight="1">
      <c r="A2531" t="str">
        <f t="shared" ca="1" si="894"/>
        <v/>
      </c>
      <c r="B2531">
        <f t="shared" si="895"/>
        <v>63</v>
      </c>
      <c r="C2531">
        <f t="shared" ca="1" si="875"/>
        <v>60</v>
      </c>
      <c r="D2531" t="str">
        <f t="shared" si="896"/>
        <v>F63</v>
      </c>
      <c r="E2531" t="str">
        <f t="shared" ca="1" si="897"/>
        <v/>
      </c>
      <c r="F2531" t="str">
        <f t="shared" ca="1" si="898"/>
        <v xml:space="preserve">Enter a 'Low-Income Units' for  building 60 in cell F63.
</v>
      </c>
      <c r="G2531" s="9" t="str">
        <f t="shared" ca="1" si="899"/>
        <v xml:space="preserve">Enter a value for 'Number of Floors in the Tallest Building' in cell B60.
</v>
      </c>
      <c r="H2531" s="52" t="str">
        <f t="shared" ca="1" si="900"/>
        <v>Low-Income Units</v>
      </c>
      <c r="I2531" s="52">
        <v>6</v>
      </c>
    </row>
    <row r="2532" spans="1:10" ht="15" customHeight="1">
      <c r="A2532" t="str">
        <f t="shared" ca="1" si="894"/>
        <v/>
      </c>
      <c r="B2532">
        <f t="shared" si="895"/>
        <v>63</v>
      </c>
      <c r="C2532">
        <f t="shared" ca="1" si="875"/>
        <v>60</v>
      </c>
      <c r="D2532" t="str">
        <f t="shared" si="896"/>
        <v>G63</v>
      </c>
      <c r="E2532" t="str">
        <f t="shared" ca="1" si="897"/>
        <v/>
      </c>
      <c r="F2532" t="str">
        <f t="shared" ca="1" si="898"/>
        <v xml:space="preserve">Enter a 'Residential Square Footage**' for  building 60 in cell G63.
</v>
      </c>
      <c r="G2532" s="9" t="str">
        <f t="shared" ca="1" si="899"/>
        <v xml:space="preserve">Enter a value for 'Number of Floors in the Tallest Building' in cell B60.
</v>
      </c>
      <c r="H2532" s="52" t="str">
        <f t="shared" ca="1" si="900"/>
        <v>Residential Square Footage**</v>
      </c>
      <c r="I2532" s="52">
        <v>7</v>
      </c>
    </row>
    <row r="2533" spans="1:10" ht="15" customHeight="1">
      <c r="A2533" t="str">
        <f t="shared" ca="1" si="894"/>
        <v/>
      </c>
      <c r="B2533">
        <f t="shared" si="895"/>
        <v>63</v>
      </c>
      <c r="C2533">
        <f t="shared" ca="1" si="875"/>
        <v>60</v>
      </c>
      <c r="D2533" t="str">
        <f t="shared" si="896"/>
        <v>H63</v>
      </c>
      <c r="E2533" t="str">
        <f t="shared" ca="1" si="897"/>
        <v/>
      </c>
      <c r="F2533" t="str">
        <f t="shared" ca="1" si="898"/>
        <v xml:space="preserve">Enter a 'Square Footage of Employee Units' for  building 60 in cell H63.
</v>
      </c>
      <c r="G2533" s="9" t="str">
        <f t="shared" ca="1" si="899"/>
        <v xml:space="preserve">Enter a value for 'Number of Floors in the Tallest Building' in cell B60.
</v>
      </c>
      <c r="H2533" s="52" t="str">
        <f t="shared" ca="1" si="900"/>
        <v>Square Footage of Employee Units</v>
      </c>
      <c r="I2533" s="52">
        <v>8</v>
      </c>
    </row>
    <row r="2534" spans="1:10" ht="15" customHeight="1">
      <c r="A2534" t="str">
        <f t="shared" ca="1" si="894"/>
        <v/>
      </c>
      <c r="B2534">
        <f t="shared" si="895"/>
        <v>63</v>
      </c>
      <c r="C2534">
        <f t="shared" ca="1" si="875"/>
        <v>60</v>
      </c>
      <c r="D2534" t="str">
        <f t="shared" si="896"/>
        <v>I63</v>
      </c>
      <c r="E2534" t="str">
        <f t="shared" ca="1" si="897"/>
        <v/>
      </c>
      <c r="F2534" t="str">
        <f t="shared" ca="1" si="898"/>
        <v xml:space="preserve">Enter a 'Square Footage of Low-Income Units' for  building 60 in cell I63.
</v>
      </c>
      <c r="G2534" s="9" t="str">
        <f t="shared" ca="1" si="899"/>
        <v xml:space="preserve">Enter a value for 'Number of Floors in the Tallest Building' in cell B60.
</v>
      </c>
      <c r="H2534" s="52" t="str">
        <f t="shared" ca="1" si="900"/>
        <v>Square Footage of Low-Income Units</v>
      </c>
      <c r="I2534" s="52">
        <v>9</v>
      </c>
    </row>
    <row r="2535" spans="1:10" ht="15" customHeight="1">
      <c r="A2535" t="str">
        <f t="shared" ca="1" si="894"/>
        <v/>
      </c>
      <c r="B2535">
        <f t="shared" si="895"/>
        <v>63</v>
      </c>
      <c r="C2535">
        <f t="shared" ca="1" si="875"/>
        <v>60</v>
      </c>
      <c r="D2535" t="str">
        <f t="shared" si="896"/>
        <v>J63</v>
      </c>
      <c r="E2535" t="str">
        <f t="shared" ca="1" si="897"/>
        <v/>
      </c>
      <c r="F2535" t="str">
        <f t="shared" ca="1" si="898"/>
        <v xml:space="preserve">Enter a 'Placed-In-Service Date' for  building 60 in cell J63.
</v>
      </c>
      <c r="G2535" s="9" t="str">
        <f t="shared" ca="1" si="899"/>
        <v xml:space="preserve">Enter a value for 'Number of Floors in the Tallest Building' in cell B60.
</v>
      </c>
      <c r="H2535" s="52" t="str">
        <f t="shared" ca="1" si="900"/>
        <v>Placed-In-Service Date</v>
      </c>
      <c r="I2535" s="52">
        <v>10</v>
      </c>
    </row>
    <row r="2536" spans="1:10" ht="15" customHeight="1">
      <c r="A2536" t="str">
        <f t="shared" ca="1" si="894"/>
        <v/>
      </c>
      <c r="B2536">
        <f t="shared" si="895"/>
        <v>63</v>
      </c>
      <c r="C2536">
        <f t="shared" ca="1" si="875"/>
        <v>60</v>
      </c>
      <c r="D2536" t="str">
        <f t="shared" si="896"/>
        <v>K63</v>
      </c>
      <c r="E2536" t="str">
        <f t="shared" ca="1" si="897"/>
        <v/>
      </c>
      <c r="F2536" t="str">
        <f t="shared" ca="1" si="898"/>
        <v xml:space="preserve">Enter a 'New Construction/ Rehab APR' for  building 60 in cell K63.
</v>
      </c>
      <c r="G2536" s="9" t="str">
        <f t="shared" ca="1" si="899"/>
        <v xml:space="preserve">Enter a value for 'Number of Floors in the Tallest Building' in cell B60.
</v>
      </c>
      <c r="H2536" s="52" t="str">
        <f t="shared" ca="1" si="900"/>
        <v>New Construction/ Rehab APR</v>
      </c>
      <c r="I2536" s="52">
        <v>11</v>
      </c>
    </row>
    <row r="2537" spans="1:10" ht="15" customHeight="1">
      <c r="A2537" t="str">
        <f t="shared" ca="1" si="894"/>
        <v/>
      </c>
      <c r="B2537">
        <f t="shared" si="895"/>
        <v>63</v>
      </c>
      <c r="C2537">
        <f t="shared" ca="1" si="875"/>
        <v>60</v>
      </c>
      <c r="D2537" t="str">
        <f t="shared" si="896"/>
        <v>L63</v>
      </c>
      <c r="E2537" t="str">
        <f t="shared" ca="1" si="897"/>
        <v/>
      </c>
      <c r="F2537" t="str">
        <f t="shared" ca="1" si="898"/>
        <v xml:space="preserve">Enter a 'New Construction Eligible Basis' for  building 60 in cell L63.
</v>
      </c>
      <c r="G2537" s="9" t="str">
        <f t="shared" ca="1" si="899"/>
        <v xml:space="preserve">Enter a value for 'Number of Floors in the Tallest Building' in cell B60.
</v>
      </c>
      <c r="H2537" s="52" t="str">
        <f t="shared" ca="1" si="900"/>
        <v>New Construction Eligible Basis</v>
      </c>
      <c r="I2537" s="52">
        <v>12</v>
      </c>
    </row>
    <row r="2538" spans="1:10" ht="15" customHeight="1">
      <c r="A2538" t="str">
        <f ca="1">IF(AND(OFFSET(A2538, -I2538 + 2, 4) &gt;  0, E2538="", Calculations!$B$7), F2538, "")</f>
        <v/>
      </c>
      <c r="B2538">
        <f t="shared" si="895"/>
        <v>63</v>
      </c>
      <c r="C2538">
        <f t="shared" ca="1" si="875"/>
        <v>60</v>
      </c>
      <c r="D2538" t="str">
        <f t="shared" si="896"/>
        <v>M63</v>
      </c>
      <c r="E2538" t="str">
        <f t="shared" ca="1" si="897"/>
        <v/>
      </c>
      <c r="F2538" t="str">
        <f t="shared" ca="1" si="898"/>
        <v xml:space="preserve">Enter a 'Eligible Basis for Rehab' for  building 60 in cell M63.
</v>
      </c>
      <c r="G2538" s="9" t="str">
        <f t="shared" ca="1" si="899"/>
        <v xml:space="preserve">Enter a value for 'Number of Floors in the Tallest Building' in cell B60.
</v>
      </c>
      <c r="H2538" s="52" t="str">
        <f t="shared" ca="1" si="900"/>
        <v>Eligible Basis for Rehab</v>
      </c>
      <c r="I2538" s="52">
        <v>13</v>
      </c>
    </row>
    <row r="2539" spans="1:10" ht="15" customHeight="1">
      <c r="A2539" t="str">
        <f ca="1">IF(AND(OFFSET(A2539, -I2539 + 2, 4) &gt;  0, E2539="", Calculations!$B$7), F2539, "")</f>
        <v/>
      </c>
      <c r="B2539">
        <f t="shared" si="895"/>
        <v>63</v>
      </c>
      <c r="C2539">
        <f t="shared" ca="1" si="875"/>
        <v>60</v>
      </c>
      <c r="D2539" t="str">
        <f t="shared" si="896"/>
        <v>N63</v>
      </c>
      <c r="E2539" t="str">
        <f t="shared" ca="1" si="897"/>
        <v/>
      </c>
      <c r="F2539" t="str">
        <f t="shared" ca="1" si="898"/>
        <v xml:space="preserve">Enter a 'Cost of Acquiring the Building***' for  building 60 in cell N63.
</v>
      </c>
      <c r="G2539" s="9" t="str">
        <f t="shared" ca="1" si="899"/>
        <v xml:space="preserve">Enter a value for 'Number of Floors in the Tallest Building' in cell B60.
</v>
      </c>
      <c r="H2539" s="52" t="str">
        <f t="shared" ca="1" si="900"/>
        <v>Cost of Acquiring the Building***</v>
      </c>
      <c r="I2539" s="52">
        <v>14</v>
      </c>
    </row>
    <row r="2540" spans="1:10" ht="15" customHeight="1">
      <c r="A2540" t="str">
        <f ca="1">IF(AND(OFFSET(A2540, -I2540 + 2, 4) &gt;  0, E2540="", Calculations!$B$7), F2540, "")</f>
        <v/>
      </c>
      <c r="B2540">
        <f t="shared" si="895"/>
        <v>63</v>
      </c>
      <c r="C2540">
        <f t="shared" ca="1" si="875"/>
        <v>60</v>
      </c>
      <c r="D2540" t="str">
        <f t="shared" si="896"/>
        <v>O63</v>
      </c>
      <c r="E2540" t="str">
        <f t="shared" ca="1" si="897"/>
        <v/>
      </c>
      <c r="F2540" t="str">
        <f t="shared" ca="1" si="898"/>
        <v xml:space="preserve">Enter a 'Higher of Land Purchase Price or Land Appraised Value****' for  building 60 in cell O63.
</v>
      </c>
      <c r="G2540" s="9" t="str">
        <f t="shared" ca="1" si="899"/>
        <v xml:space="preserve">Enter a value for 'Number of Floors in the Tallest Building' in cell B60.
</v>
      </c>
      <c r="H2540" s="52" t="str">
        <f t="shared" ca="1" si="900"/>
        <v>Higher of Land Purchase Price or Land Appraised Value****</v>
      </c>
      <c r="I2540" s="52">
        <v>15</v>
      </c>
    </row>
    <row r="2541" spans="1:10" ht="15" customHeight="1">
      <c r="A2541" t="str">
        <f ca="1">IF(AND(OFFSET(A2541, -I2541 + 2, 4) &gt;  0, E2541="", Calculations!$B$7), F2541, "")</f>
        <v/>
      </c>
      <c r="B2541">
        <f t="shared" si="895"/>
        <v>63</v>
      </c>
      <c r="C2541">
        <f t="shared" ca="1" si="875"/>
        <v>60</v>
      </c>
      <c r="D2541" t="str">
        <f t="shared" si="896"/>
        <v>P63</v>
      </c>
      <c r="E2541" t="str">
        <f t="shared" ca="1" si="897"/>
        <v/>
      </c>
      <c r="F2541" t="str">
        <f t="shared" ca="1" si="898"/>
        <v xml:space="preserve">Enter a 'Acquisition Placed-in-Service Date' for  building 60 in cell P63.
</v>
      </c>
      <c r="G2541" s="9" t="str">
        <f t="shared" ca="1" si="899"/>
        <v xml:space="preserve">Enter a value for 'Number of Floors in the Tallest Building' in cell B60.
</v>
      </c>
      <c r="H2541" s="52" t="str">
        <f t="shared" ca="1" si="900"/>
        <v>Acquisition Placed-in-Service Date</v>
      </c>
      <c r="I2541" s="52">
        <v>16</v>
      </c>
    </row>
    <row r="2542" spans="1:10" ht="15" customHeight="1">
      <c r="A2542" t="str">
        <f ca="1">IF(AND(OFFSET(A2542, -I2542 + 2, 4) &gt;  0, E2542="", Calculations!$B$7), F2542, "")</f>
        <v/>
      </c>
      <c r="B2542">
        <f t="shared" si="895"/>
        <v>63</v>
      </c>
      <c r="C2542">
        <f t="shared" ca="1" si="875"/>
        <v>60</v>
      </c>
      <c r="D2542" t="str">
        <f t="shared" si="896"/>
        <v>Q63</v>
      </c>
      <c r="E2542" t="str">
        <f t="shared" ca="1" si="897"/>
        <v/>
      </c>
      <c r="F2542" t="str">
        <f t="shared" ca="1" si="898"/>
        <v xml:space="preserve">Enter a 'Acquisition APR' for  building 60 in cell Q63.
</v>
      </c>
      <c r="G2542" s="9" t="str">
        <f t="shared" ca="1" si="899"/>
        <v xml:space="preserve">Enter a value for 'Number of Floors in the Tallest Building' in cell B60.
</v>
      </c>
      <c r="H2542" s="52" t="str">
        <f t="shared" ca="1" si="900"/>
        <v>Acquisition APR</v>
      </c>
      <c r="I2542" s="52">
        <v>17</v>
      </c>
    </row>
    <row r="2543" spans="1:10" ht="15" customHeight="1">
      <c r="A2543" t="str">
        <f ca="1">IF(AND(Calculations!$B$4,Calculations!$B$29&gt;=C2543, E2543 &lt;&gt; 13),F2543,"")</f>
        <v/>
      </c>
      <c r="B2543">
        <f>ROW('Final Building Profile'!C64)</f>
        <v>64</v>
      </c>
      <c r="C2543">
        <f t="shared" ref="C2543:C2606" ca="1" si="901">INDIRECT($F$1565 &amp; ADDRESS(B2543, 1,4  ))</f>
        <v>61</v>
      </c>
      <c r="D2543" t="str">
        <f>ADDRESS(B2543, 3,4  )</f>
        <v>C64</v>
      </c>
      <c r="E2543" s="52">
        <f ca="1">H2543+I2543</f>
        <v>0</v>
      </c>
      <c r="F2543" t="str">
        <f ca="1">CONCATENATE("Based upon the number of buildings specified, information for  building ", C2543, " required for a final application in row ", B2543, ".", CHAR(10))</f>
        <v xml:space="preserve">Based upon the number of buildings specified, information for  building 61 required for a final application in row 64.
</v>
      </c>
      <c r="G2543" s="9" t="str">
        <f t="shared" ca="1" si="899"/>
        <v xml:space="preserve">Enter a value for 'Number of Floors in the Tallest Building' in cell B60.
</v>
      </c>
      <c r="H2543" s="52">
        <f ca="1">SUMPRODUCT(--ISTEXT(INDIRECT(J2543)))</f>
        <v>0</v>
      </c>
      <c r="I2543" s="52">
        <f ca="1">SUMPRODUCT(--ISNUMBER(INDIRECT(J2543)))</f>
        <v>0</v>
      </c>
      <c r="J2543" s="52" t="str">
        <f>$F$1565&amp; ADDRESS(B2543,3,4) &amp; ":" &amp; ADDRESS(B2543,15,4)</f>
        <v>'Final Building Profile'!C64:O64</v>
      </c>
    </row>
    <row r="2544" spans="1:10" ht="15" customHeight="1">
      <c r="A2544" t="str">
        <f t="shared" ref="A2544:A2553" ca="1" si="902">IF(AND(OFFSET(A2544, -I2544 + 2, 4) &gt;  0, E2544=""), F2544, "")</f>
        <v/>
      </c>
      <c r="B2544">
        <f t="shared" ref="B2544:B2558" si="903">B2543</f>
        <v>64</v>
      </c>
      <c r="C2544">
        <f t="shared" ca="1" si="901"/>
        <v>61</v>
      </c>
      <c r="D2544" t="str">
        <f t="shared" ref="D2544:D2558" si="904">ADDRESS(B2544, I2544,4  )</f>
        <v>C64</v>
      </c>
      <c r="E2544" t="str">
        <f t="shared" ref="E2544:E2558" ca="1" si="905">IF(ISBLANK( INDIRECT($F$1565 &amp; D2544)),"", INDIRECT($F$1565 &amp; D2544))</f>
        <v/>
      </c>
      <c r="F2544" t="str">
        <f t="shared" ref="F2544:F2558" ca="1" si="906">CONCATENATE("Enter a '"&amp; H2544 &amp;"' for  building ", C2544, " in cell ", D2544, ".", CHAR(10))</f>
        <v xml:space="preserve">Enter a 'Building Street Address Only 
(DO NOT ENTER CITY, STATE, OR ZIP)' for  building 61 in cell C64.
</v>
      </c>
      <c r="G2544" s="9" t="str">
        <f t="shared" ca="1" si="899"/>
        <v xml:space="preserve">Enter a value for 'Number of Floors in the Tallest Building' in cell B60.
</v>
      </c>
      <c r="H2544" s="52" t="str">
        <f t="shared" ref="H2544:H2558" ca="1" si="907">OFFSET(INDIRECT($F$1565 &amp; D2544), -B2544 + 3, 0)</f>
        <v>Building Street Address Only 
(DO NOT ENTER CITY, STATE, OR ZIP)</v>
      </c>
      <c r="I2544" s="52">
        <v>3</v>
      </c>
    </row>
    <row r="2545" spans="1:10" ht="15" customHeight="1">
      <c r="A2545" t="str">
        <f t="shared" ca="1" si="902"/>
        <v/>
      </c>
      <c r="B2545">
        <f t="shared" si="903"/>
        <v>64</v>
      </c>
      <c r="C2545">
        <f t="shared" ca="1" si="901"/>
        <v>61</v>
      </c>
      <c r="D2545" t="str">
        <f t="shared" si="904"/>
        <v>D64</v>
      </c>
      <c r="E2545" t="str">
        <f t="shared" ca="1" si="905"/>
        <v/>
      </c>
      <c r="F2545" t="str">
        <f t="shared" ca="1" si="906"/>
        <v xml:space="preserve">Enter a 'Total Units in Building*' for  building 61 in cell D64.
</v>
      </c>
      <c r="G2545" s="9" t="str">
        <f t="shared" ca="1" si="899"/>
        <v xml:space="preserve">Enter a value for 'Number of Floors in the Tallest Building' in cell B60.
</v>
      </c>
      <c r="H2545" s="52" t="str">
        <f t="shared" ca="1" si="907"/>
        <v>Total Units in Building*</v>
      </c>
      <c r="I2545" s="52">
        <v>4</v>
      </c>
    </row>
    <row r="2546" spans="1:10" ht="15" customHeight="1">
      <c r="A2546" t="str">
        <f t="shared" ca="1" si="902"/>
        <v/>
      </c>
      <c r="B2546">
        <f t="shared" si="903"/>
        <v>64</v>
      </c>
      <c r="C2546">
        <f t="shared" ca="1" si="901"/>
        <v>61</v>
      </c>
      <c r="D2546" t="str">
        <f t="shared" si="904"/>
        <v>E64</v>
      </c>
      <c r="E2546" t="str">
        <f t="shared" ca="1" si="905"/>
        <v/>
      </c>
      <c r="F2546" t="str">
        <f t="shared" ca="1" si="906"/>
        <v xml:space="preserve">Enter a 'Employee Units' for  building 61 in cell E64.
</v>
      </c>
      <c r="G2546" s="9" t="str">
        <f t="shared" ca="1" si="899"/>
        <v xml:space="preserve">Enter a value for 'Number of Floors in the Tallest Building' in cell B60.
</v>
      </c>
      <c r="H2546" s="52" t="str">
        <f t="shared" ca="1" si="907"/>
        <v>Employee Units</v>
      </c>
      <c r="I2546" s="52">
        <v>5</v>
      </c>
    </row>
    <row r="2547" spans="1:10" ht="15" customHeight="1">
      <c r="A2547" t="str">
        <f t="shared" ca="1" si="902"/>
        <v/>
      </c>
      <c r="B2547">
        <f t="shared" si="903"/>
        <v>64</v>
      </c>
      <c r="C2547">
        <f t="shared" ca="1" si="901"/>
        <v>61</v>
      </c>
      <c r="D2547" t="str">
        <f t="shared" si="904"/>
        <v>F64</v>
      </c>
      <c r="E2547" t="str">
        <f t="shared" ca="1" si="905"/>
        <v/>
      </c>
      <c r="F2547" t="str">
        <f t="shared" ca="1" si="906"/>
        <v xml:space="preserve">Enter a 'Low-Income Units' for  building 61 in cell F64.
</v>
      </c>
      <c r="G2547" s="9" t="str">
        <f t="shared" ca="1" si="899"/>
        <v xml:space="preserve">Enter a value for 'Number of Floors in the Tallest Building' in cell B60.
</v>
      </c>
      <c r="H2547" s="52" t="str">
        <f t="shared" ca="1" si="907"/>
        <v>Low-Income Units</v>
      </c>
      <c r="I2547" s="52">
        <v>6</v>
      </c>
    </row>
    <row r="2548" spans="1:10" ht="15" customHeight="1">
      <c r="A2548" t="str">
        <f t="shared" ca="1" si="902"/>
        <v/>
      </c>
      <c r="B2548">
        <f t="shared" si="903"/>
        <v>64</v>
      </c>
      <c r="C2548">
        <f t="shared" ca="1" si="901"/>
        <v>61</v>
      </c>
      <c r="D2548" t="str">
        <f t="shared" si="904"/>
        <v>G64</v>
      </c>
      <c r="E2548" t="str">
        <f t="shared" ca="1" si="905"/>
        <v/>
      </c>
      <c r="F2548" t="str">
        <f t="shared" ca="1" si="906"/>
        <v xml:space="preserve">Enter a 'Residential Square Footage**' for  building 61 in cell G64.
</v>
      </c>
      <c r="G2548" s="9" t="str">
        <f t="shared" ca="1" si="899"/>
        <v xml:space="preserve">Enter a value for 'Number of Floors in the Tallest Building' in cell B60.
</v>
      </c>
      <c r="H2548" s="52" t="str">
        <f t="shared" ca="1" si="907"/>
        <v>Residential Square Footage**</v>
      </c>
      <c r="I2548" s="52">
        <v>7</v>
      </c>
    </row>
    <row r="2549" spans="1:10" ht="15" customHeight="1">
      <c r="A2549" t="str">
        <f t="shared" ca="1" si="902"/>
        <v/>
      </c>
      <c r="B2549">
        <f t="shared" si="903"/>
        <v>64</v>
      </c>
      <c r="C2549">
        <f t="shared" ca="1" si="901"/>
        <v>61</v>
      </c>
      <c r="D2549" t="str">
        <f t="shared" si="904"/>
        <v>H64</v>
      </c>
      <c r="E2549" t="str">
        <f t="shared" ca="1" si="905"/>
        <v/>
      </c>
      <c r="F2549" t="str">
        <f t="shared" ca="1" si="906"/>
        <v xml:space="preserve">Enter a 'Square Footage of Employee Units' for  building 61 in cell H64.
</v>
      </c>
      <c r="G2549" s="9" t="str">
        <f t="shared" ca="1" si="899"/>
        <v xml:space="preserve">Enter a value for 'Number of Floors in the Tallest Building' in cell B60.
</v>
      </c>
      <c r="H2549" s="52" t="str">
        <f t="shared" ca="1" si="907"/>
        <v>Square Footage of Employee Units</v>
      </c>
      <c r="I2549" s="52">
        <v>8</v>
      </c>
    </row>
    <row r="2550" spans="1:10" ht="15" customHeight="1">
      <c r="A2550" t="str">
        <f t="shared" ca="1" si="902"/>
        <v/>
      </c>
      <c r="B2550">
        <f t="shared" si="903"/>
        <v>64</v>
      </c>
      <c r="C2550">
        <f t="shared" ca="1" si="901"/>
        <v>61</v>
      </c>
      <c r="D2550" t="str">
        <f t="shared" si="904"/>
        <v>I64</v>
      </c>
      <c r="E2550" t="str">
        <f t="shared" ca="1" si="905"/>
        <v/>
      </c>
      <c r="F2550" t="str">
        <f t="shared" ca="1" si="906"/>
        <v xml:space="preserve">Enter a 'Square Footage of Low-Income Units' for  building 61 in cell I64.
</v>
      </c>
      <c r="G2550" s="9" t="str">
        <f t="shared" ca="1" si="899"/>
        <v xml:space="preserve">Enter a value for 'Number of Floors in the Tallest Building' in cell B60.
</v>
      </c>
      <c r="H2550" s="52" t="str">
        <f t="shared" ca="1" si="907"/>
        <v>Square Footage of Low-Income Units</v>
      </c>
      <c r="I2550" s="52">
        <v>9</v>
      </c>
    </row>
    <row r="2551" spans="1:10" ht="15" customHeight="1">
      <c r="A2551" t="str">
        <f t="shared" ca="1" si="902"/>
        <v/>
      </c>
      <c r="B2551">
        <f t="shared" si="903"/>
        <v>64</v>
      </c>
      <c r="C2551">
        <f t="shared" ca="1" si="901"/>
        <v>61</v>
      </c>
      <c r="D2551" t="str">
        <f t="shared" si="904"/>
        <v>J64</v>
      </c>
      <c r="E2551" t="str">
        <f t="shared" ca="1" si="905"/>
        <v/>
      </c>
      <c r="F2551" t="str">
        <f t="shared" ca="1" si="906"/>
        <v xml:space="preserve">Enter a 'Placed-In-Service Date' for  building 61 in cell J64.
</v>
      </c>
      <c r="G2551" s="9" t="str">
        <f t="shared" ca="1" si="899"/>
        <v xml:space="preserve">Enter a value for 'Number of Floors in the Tallest Building' in cell B60.
</v>
      </c>
      <c r="H2551" s="52" t="str">
        <f t="shared" ca="1" si="907"/>
        <v>Placed-In-Service Date</v>
      </c>
      <c r="I2551" s="52">
        <v>10</v>
      </c>
    </row>
    <row r="2552" spans="1:10" ht="15" customHeight="1">
      <c r="A2552" t="str">
        <f t="shared" ca="1" si="902"/>
        <v/>
      </c>
      <c r="B2552">
        <f t="shared" si="903"/>
        <v>64</v>
      </c>
      <c r="C2552">
        <f t="shared" ca="1" si="901"/>
        <v>61</v>
      </c>
      <c r="D2552" t="str">
        <f t="shared" si="904"/>
        <v>K64</v>
      </c>
      <c r="E2552" t="str">
        <f t="shared" ca="1" si="905"/>
        <v/>
      </c>
      <c r="F2552" t="str">
        <f t="shared" ca="1" si="906"/>
        <v xml:space="preserve">Enter a 'New Construction/ Rehab APR' for  building 61 in cell K64.
</v>
      </c>
      <c r="G2552" s="9" t="str">
        <f t="shared" ca="1" si="899"/>
        <v xml:space="preserve">Enter a value for 'Number of Floors in the Tallest Building' in cell B60.
</v>
      </c>
      <c r="H2552" s="52" t="str">
        <f t="shared" ca="1" si="907"/>
        <v>New Construction/ Rehab APR</v>
      </c>
      <c r="I2552" s="52">
        <v>11</v>
      </c>
    </row>
    <row r="2553" spans="1:10" ht="15" customHeight="1">
      <c r="A2553" t="str">
        <f t="shared" ca="1" si="902"/>
        <v/>
      </c>
      <c r="B2553">
        <f t="shared" si="903"/>
        <v>64</v>
      </c>
      <c r="C2553">
        <f t="shared" ca="1" si="901"/>
        <v>61</v>
      </c>
      <c r="D2553" t="str">
        <f t="shared" si="904"/>
        <v>L64</v>
      </c>
      <c r="E2553" t="str">
        <f t="shared" ca="1" si="905"/>
        <v/>
      </c>
      <c r="F2553" t="str">
        <f t="shared" ca="1" si="906"/>
        <v xml:space="preserve">Enter a 'New Construction Eligible Basis' for  building 61 in cell L64.
</v>
      </c>
      <c r="G2553" s="9" t="str">
        <f t="shared" ca="1" si="899"/>
        <v xml:space="preserve">Enter a value for 'Number of Floors in the Tallest Building' in cell B60.
</v>
      </c>
      <c r="H2553" s="52" t="str">
        <f t="shared" ca="1" si="907"/>
        <v>New Construction Eligible Basis</v>
      </c>
      <c r="I2553" s="52">
        <v>12</v>
      </c>
    </row>
    <row r="2554" spans="1:10" ht="15" customHeight="1">
      <c r="A2554" t="str">
        <f ca="1">IF(AND(OFFSET(A2554, -I2554 + 2, 4) &gt;  0, E2554="", Calculations!$B$7), F2554, "")</f>
        <v/>
      </c>
      <c r="B2554">
        <f t="shared" si="903"/>
        <v>64</v>
      </c>
      <c r="C2554">
        <f t="shared" ca="1" si="901"/>
        <v>61</v>
      </c>
      <c r="D2554" t="str">
        <f t="shared" si="904"/>
        <v>M64</v>
      </c>
      <c r="E2554" t="str">
        <f t="shared" ca="1" si="905"/>
        <v/>
      </c>
      <c r="F2554" t="str">
        <f t="shared" ca="1" si="906"/>
        <v xml:space="preserve">Enter a 'Eligible Basis for Rehab' for  building 61 in cell M64.
</v>
      </c>
      <c r="G2554" s="9" t="str">
        <f t="shared" ca="1" si="899"/>
        <v xml:space="preserve">Enter a value for 'Number of Floors in the Tallest Building' in cell B60.
</v>
      </c>
      <c r="H2554" s="52" t="str">
        <f t="shared" ca="1" si="907"/>
        <v>Eligible Basis for Rehab</v>
      </c>
      <c r="I2554" s="52">
        <v>13</v>
      </c>
    </row>
    <row r="2555" spans="1:10" ht="15" customHeight="1">
      <c r="A2555" t="str">
        <f ca="1">IF(AND(OFFSET(A2555, -I2555 + 2, 4) &gt;  0, E2555="", Calculations!$B$7), F2555, "")</f>
        <v/>
      </c>
      <c r="B2555">
        <f t="shared" si="903"/>
        <v>64</v>
      </c>
      <c r="C2555">
        <f t="shared" ca="1" si="901"/>
        <v>61</v>
      </c>
      <c r="D2555" t="str">
        <f t="shared" si="904"/>
        <v>N64</v>
      </c>
      <c r="E2555" t="str">
        <f t="shared" ca="1" si="905"/>
        <v/>
      </c>
      <c r="F2555" t="str">
        <f t="shared" ca="1" si="906"/>
        <v xml:space="preserve">Enter a 'Cost of Acquiring the Building***' for  building 61 in cell N64.
</v>
      </c>
      <c r="G2555" s="9" t="str">
        <f t="shared" ca="1" si="899"/>
        <v xml:space="preserve">Enter a value for 'Number of Floors in the Tallest Building' in cell B60.
</v>
      </c>
      <c r="H2555" s="52" t="str">
        <f t="shared" ca="1" si="907"/>
        <v>Cost of Acquiring the Building***</v>
      </c>
      <c r="I2555" s="52">
        <v>14</v>
      </c>
    </row>
    <row r="2556" spans="1:10" ht="15" customHeight="1">
      <c r="A2556" t="str">
        <f ca="1">IF(AND(OFFSET(A2556, -I2556 + 2, 4) &gt;  0, E2556="", Calculations!$B$7), F2556, "")</f>
        <v/>
      </c>
      <c r="B2556">
        <f t="shared" si="903"/>
        <v>64</v>
      </c>
      <c r="C2556">
        <f t="shared" ca="1" si="901"/>
        <v>61</v>
      </c>
      <c r="D2556" t="str">
        <f t="shared" si="904"/>
        <v>O64</v>
      </c>
      <c r="E2556" t="str">
        <f t="shared" ca="1" si="905"/>
        <v/>
      </c>
      <c r="F2556" t="str">
        <f t="shared" ca="1" si="906"/>
        <v xml:space="preserve">Enter a 'Higher of Land Purchase Price or Land Appraised Value****' for  building 61 in cell O64.
</v>
      </c>
      <c r="G2556" s="9" t="str">
        <f t="shared" ca="1" si="899"/>
        <v xml:space="preserve">Enter a value for 'Number of Floors in the Tallest Building' in cell B60.
</v>
      </c>
      <c r="H2556" s="52" t="str">
        <f t="shared" ca="1" si="907"/>
        <v>Higher of Land Purchase Price or Land Appraised Value****</v>
      </c>
      <c r="I2556" s="52">
        <v>15</v>
      </c>
    </row>
    <row r="2557" spans="1:10" ht="15" customHeight="1">
      <c r="A2557" t="str">
        <f ca="1">IF(AND(OFFSET(A2557, -I2557 + 2, 4) &gt;  0, E2557="", Calculations!$B$7), F2557, "")</f>
        <v/>
      </c>
      <c r="B2557">
        <f t="shared" si="903"/>
        <v>64</v>
      </c>
      <c r="C2557">
        <f t="shared" ca="1" si="901"/>
        <v>61</v>
      </c>
      <c r="D2557" t="str">
        <f t="shared" si="904"/>
        <v>P64</v>
      </c>
      <c r="E2557" t="str">
        <f t="shared" ca="1" si="905"/>
        <v/>
      </c>
      <c r="F2557" t="str">
        <f t="shared" ca="1" si="906"/>
        <v xml:space="preserve">Enter a 'Acquisition Placed-in-Service Date' for  building 61 in cell P64.
</v>
      </c>
      <c r="G2557" s="9" t="str">
        <f t="shared" ca="1" si="899"/>
        <v xml:space="preserve">Enter a value for 'Number of Floors in the Tallest Building' in cell B60.
</v>
      </c>
      <c r="H2557" s="52" t="str">
        <f t="shared" ca="1" si="907"/>
        <v>Acquisition Placed-in-Service Date</v>
      </c>
      <c r="I2557" s="52">
        <v>16</v>
      </c>
    </row>
    <row r="2558" spans="1:10" ht="15" customHeight="1">
      <c r="A2558" t="str">
        <f ca="1">IF(AND(OFFSET(A2558, -I2558 + 2, 4) &gt;  0, E2558="", Calculations!$B$7), F2558, "")</f>
        <v/>
      </c>
      <c r="B2558">
        <f t="shared" si="903"/>
        <v>64</v>
      </c>
      <c r="C2558">
        <f t="shared" ca="1" si="901"/>
        <v>61</v>
      </c>
      <c r="D2558" t="str">
        <f t="shared" si="904"/>
        <v>Q64</v>
      </c>
      <c r="E2558" t="str">
        <f t="shared" ca="1" si="905"/>
        <v/>
      </c>
      <c r="F2558" t="str">
        <f t="shared" ca="1" si="906"/>
        <v xml:space="preserve">Enter a 'Acquisition APR' for  building 61 in cell Q64.
</v>
      </c>
      <c r="G2558" s="9" t="str">
        <f t="shared" ca="1" si="899"/>
        <v xml:space="preserve">Enter a value for 'Number of Floors in the Tallest Building' in cell B60.
</v>
      </c>
      <c r="H2558" s="52" t="str">
        <f t="shared" ca="1" si="907"/>
        <v>Acquisition APR</v>
      </c>
      <c r="I2558" s="52">
        <v>17</v>
      </c>
    </row>
    <row r="2559" spans="1:10" ht="15" customHeight="1">
      <c r="A2559" t="str">
        <f ca="1">IF(AND(Calculations!$B$4,Calculations!$B$29&gt;=C2559, E2559 &lt;&gt; 13),F2559,"")</f>
        <v/>
      </c>
      <c r="B2559">
        <f>ROW('Final Building Profile'!C65)</f>
        <v>65</v>
      </c>
      <c r="C2559">
        <f t="shared" ca="1" si="901"/>
        <v>62</v>
      </c>
      <c r="D2559" t="str">
        <f>ADDRESS(B2559, 3,4  )</f>
        <v>C65</v>
      </c>
      <c r="E2559" s="52">
        <f ca="1">H2559+I2559</f>
        <v>0</v>
      </c>
      <c r="F2559" t="str">
        <f ca="1">CONCATENATE("Based upon the number of buildings specified, information for  building ", C2559, " required for a final application in row ", B2559, ".", CHAR(10))</f>
        <v xml:space="preserve">Based upon the number of buildings specified, information for  building 62 required for a final application in row 65.
</v>
      </c>
      <c r="G2559" s="9" t="str">
        <f t="shared" ca="1" si="899"/>
        <v xml:space="preserve">Enter a value for 'Number of Floors in the Tallest Building' in cell B60.
</v>
      </c>
      <c r="H2559" s="52">
        <f ca="1">SUMPRODUCT(--ISTEXT(INDIRECT(J2559)))</f>
        <v>0</v>
      </c>
      <c r="I2559" s="52">
        <f ca="1">SUMPRODUCT(--ISNUMBER(INDIRECT(J2559)))</f>
        <v>0</v>
      </c>
      <c r="J2559" s="52" t="str">
        <f>$F$1565&amp; ADDRESS(B2559,3,4) &amp; ":" &amp; ADDRESS(B2559,15,4)</f>
        <v>'Final Building Profile'!C65:O65</v>
      </c>
    </row>
    <row r="2560" spans="1:10" ht="15" customHeight="1">
      <c r="A2560" t="str">
        <f t="shared" ref="A2560:A2569" ca="1" si="908">IF(AND(OFFSET(A2560, -I2560 + 2, 4) &gt;  0, E2560=""), F2560, "")</f>
        <v/>
      </c>
      <c r="B2560">
        <f t="shared" ref="B2560:B2574" si="909">B2559</f>
        <v>65</v>
      </c>
      <c r="C2560">
        <f t="shared" ca="1" si="901"/>
        <v>62</v>
      </c>
      <c r="D2560" t="str">
        <f t="shared" ref="D2560:D2574" si="910">ADDRESS(B2560, I2560,4  )</f>
        <v>C65</v>
      </c>
      <c r="E2560" t="str">
        <f t="shared" ref="E2560:E2574" ca="1" si="911">IF(ISBLANK( INDIRECT($F$1565 &amp; D2560)),"", INDIRECT($F$1565 &amp; D2560))</f>
        <v/>
      </c>
      <c r="F2560" t="str">
        <f t="shared" ref="F2560:F2574" ca="1" si="912">CONCATENATE("Enter a '"&amp; H2560 &amp;"' for  building ", C2560, " in cell ", D2560, ".", CHAR(10))</f>
        <v xml:space="preserve">Enter a 'Building Street Address Only 
(DO NOT ENTER CITY, STATE, OR ZIP)' for  building 62 in cell C65.
</v>
      </c>
      <c r="G2560" s="9" t="str">
        <f t="shared" ca="1" si="899"/>
        <v xml:space="preserve">Enter a value for 'Number of Floors in the Tallest Building' in cell B60.
</v>
      </c>
      <c r="H2560" s="52" t="str">
        <f t="shared" ref="H2560:H2574" ca="1" si="913">OFFSET(INDIRECT($F$1565 &amp; D2560), -B2560 + 3, 0)</f>
        <v>Building Street Address Only 
(DO NOT ENTER CITY, STATE, OR ZIP)</v>
      </c>
      <c r="I2560" s="52">
        <v>3</v>
      </c>
    </row>
    <row r="2561" spans="1:10" ht="15" customHeight="1">
      <c r="A2561" t="str">
        <f t="shared" ca="1" si="908"/>
        <v/>
      </c>
      <c r="B2561">
        <f t="shared" si="909"/>
        <v>65</v>
      </c>
      <c r="C2561">
        <f t="shared" ca="1" si="901"/>
        <v>62</v>
      </c>
      <c r="D2561" t="str">
        <f t="shared" si="910"/>
        <v>D65</v>
      </c>
      <c r="E2561" t="str">
        <f t="shared" ca="1" si="911"/>
        <v/>
      </c>
      <c r="F2561" t="str">
        <f t="shared" ca="1" si="912"/>
        <v xml:space="preserve">Enter a 'Total Units in Building*' for  building 62 in cell D65.
</v>
      </c>
      <c r="G2561" s="9" t="str">
        <f t="shared" ca="1" si="899"/>
        <v xml:space="preserve">Enter a value for 'Number of Floors in the Tallest Building' in cell B60.
</v>
      </c>
      <c r="H2561" s="52" t="str">
        <f t="shared" ca="1" si="913"/>
        <v>Total Units in Building*</v>
      </c>
      <c r="I2561" s="52">
        <v>4</v>
      </c>
    </row>
    <row r="2562" spans="1:10" ht="15" customHeight="1">
      <c r="A2562" t="str">
        <f t="shared" ca="1" si="908"/>
        <v/>
      </c>
      <c r="B2562">
        <f t="shared" si="909"/>
        <v>65</v>
      </c>
      <c r="C2562">
        <f t="shared" ca="1" si="901"/>
        <v>62</v>
      </c>
      <c r="D2562" t="str">
        <f t="shared" si="910"/>
        <v>E65</v>
      </c>
      <c r="E2562" t="str">
        <f t="shared" ca="1" si="911"/>
        <v/>
      </c>
      <c r="F2562" t="str">
        <f t="shared" ca="1" si="912"/>
        <v xml:space="preserve">Enter a 'Employee Units' for  building 62 in cell E65.
</v>
      </c>
      <c r="G2562" s="9" t="str">
        <f t="shared" ca="1" si="899"/>
        <v xml:space="preserve">Enter a value for 'Number of Floors in the Tallest Building' in cell B60.
</v>
      </c>
      <c r="H2562" s="52" t="str">
        <f t="shared" ca="1" si="913"/>
        <v>Employee Units</v>
      </c>
      <c r="I2562" s="52">
        <v>5</v>
      </c>
    </row>
    <row r="2563" spans="1:10" ht="15" customHeight="1">
      <c r="A2563" t="str">
        <f t="shared" ca="1" si="908"/>
        <v/>
      </c>
      <c r="B2563">
        <f t="shared" si="909"/>
        <v>65</v>
      </c>
      <c r="C2563">
        <f t="shared" ca="1" si="901"/>
        <v>62</v>
      </c>
      <c r="D2563" t="str">
        <f t="shared" si="910"/>
        <v>F65</v>
      </c>
      <c r="E2563" t="str">
        <f t="shared" ca="1" si="911"/>
        <v/>
      </c>
      <c r="F2563" t="str">
        <f t="shared" ca="1" si="912"/>
        <v xml:space="preserve">Enter a 'Low-Income Units' for  building 62 in cell F65.
</v>
      </c>
      <c r="G2563" s="9" t="str">
        <f t="shared" ca="1" si="899"/>
        <v xml:space="preserve">Enter a value for 'Number of Floors in the Tallest Building' in cell B60.
</v>
      </c>
      <c r="H2563" s="52" t="str">
        <f t="shared" ca="1" si="913"/>
        <v>Low-Income Units</v>
      </c>
      <c r="I2563" s="52">
        <v>6</v>
      </c>
    </row>
    <row r="2564" spans="1:10" ht="15" customHeight="1">
      <c r="A2564" t="str">
        <f t="shared" ca="1" si="908"/>
        <v/>
      </c>
      <c r="B2564">
        <f t="shared" si="909"/>
        <v>65</v>
      </c>
      <c r="C2564">
        <f t="shared" ca="1" si="901"/>
        <v>62</v>
      </c>
      <c r="D2564" t="str">
        <f t="shared" si="910"/>
        <v>G65</v>
      </c>
      <c r="E2564" t="str">
        <f t="shared" ca="1" si="911"/>
        <v/>
      </c>
      <c r="F2564" t="str">
        <f t="shared" ca="1" si="912"/>
        <v xml:space="preserve">Enter a 'Residential Square Footage**' for  building 62 in cell G65.
</v>
      </c>
      <c r="G2564" s="9" t="str">
        <f t="shared" ca="1" si="899"/>
        <v xml:space="preserve">Enter a value for 'Number of Floors in the Tallest Building' in cell B60.
</v>
      </c>
      <c r="H2564" s="52" t="str">
        <f t="shared" ca="1" si="913"/>
        <v>Residential Square Footage**</v>
      </c>
      <c r="I2564" s="52">
        <v>7</v>
      </c>
    </row>
    <row r="2565" spans="1:10" ht="15" customHeight="1">
      <c r="A2565" t="str">
        <f t="shared" ca="1" si="908"/>
        <v/>
      </c>
      <c r="B2565">
        <f t="shared" si="909"/>
        <v>65</v>
      </c>
      <c r="C2565">
        <f t="shared" ca="1" si="901"/>
        <v>62</v>
      </c>
      <c r="D2565" t="str">
        <f t="shared" si="910"/>
        <v>H65</v>
      </c>
      <c r="E2565" t="str">
        <f t="shared" ca="1" si="911"/>
        <v/>
      </c>
      <c r="F2565" t="str">
        <f t="shared" ca="1" si="912"/>
        <v xml:space="preserve">Enter a 'Square Footage of Employee Units' for  building 62 in cell H65.
</v>
      </c>
      <c r="G2565" s="9" t="str">
        <f t="shared" ca="1" si="899"/>
        <v xml:space="preserve">Enter a value for 'Number of Floors in the Tallest Building' in cell B60.
</v>
      </c>
      <c r="H2565" s="52" t="str">
        <f t="shared" ca="1" si="913"/>
        <v>Square Footage of Employee Units</v>
      </c>
      <c r="I2565" s="52">
        <v>8</v>
      </c>
    </row>
    <row r="2566" spans="1:10" ht="15" customHeight="1">
      <c r="A2566" t="str">
        <f t="shared" ca="1" si="908"/>
        <v/>
      </c>
      <c r="B2566">
        <f t="shared" si="909"/>
        <v>65</v>
      </c>
      <c r="C2566">
        <f t="shared" ca="1" si="901"/>
        <v>62</v>
      </c>
      <c r="D2566" t="str">
        <f t="shared" si="910"/>
        <v>I65</v>
      </c>
      <c r="E2566" t="str">
        <f t="shared" ca="1" si="911"/>
        <v/>
      </c>
      <c r="F2566" t="str">
        <f t="shared" ca="1" si="912"/>
        <v xml:space="preserve">Enter a 'Square Footage of Low-Income Units' for  building 62 in cell I65.
</v>
      </c>
      <c r="G2566" s="9" t="str">
        <f t="shared" ca="1" si="899"/>
        <v xml:space="preserve">Enter a value for 'Number of Floors in the Tallest Building' in cell B60.
</v>
      </c>
      <c r="H2566" s="52" t="str">
        <f t="shared" ca="1" si="913"/>
        <v>Square Footage of Low-Income Units</v>
      </c>
      <c r="I2566" s="52">
        <v>9</v>
      </c>
    </row>
    <row r="2567" spans="1:10" ht="15" customHeight="1">
      <c r="A2567" t="str">
        <f t="shared" ca="1" si="908"/>
        <v/>
      </c>
      <c r="B2567">
        <f t="shared" si="909"/>
        <v>65</v>
      </c>
      <c r="C2567">
        <f t="shared" ca="1" si="901"/>
        <v>62</v>
      </c>
      <c r="D2567" t="str">
        <f t="shared" si="910"/>
        <v>J65</v>
      </c>
      <c r="E2567" t="str">
        <f t="shared" ca="1" si="911"/>
        <v/>
      </c>
      <c r="F2567" t="str">
        <f t="shared" ca="1" si="912"/>
        <v xml:space="preserve">Enter a 'Placed-In-Service Date' for  building 62 in cell J65.
</v>
      </c>
      <c r="G2567" s="9" t="str">
        <f t="shared" ca="1" si="899"/>
        <v xml:space="preserve">Enter a value for 'Number of Floors in the Tallest Building' in cell B60.
</v>
      </c>
      <c r="H2567" s="52" t="str">
        <f t="shared" ca="1" si="913"/>
        <v>Placed-In-Service Date</v>
      </c>
      <c r="I2567" s="52">
        <v>10</v>
      </c>
    </row>
    <row r="2568" spans="1:10" ht="15" customHeight="1">
      <c r="A2568" t="str">
        <f t="shared" ca="1" si="908"/>
        <v/>
      </c>
      <c r="B2568">
        <f t="shared" si="909"/>
        <v>65</v>
      </c>
      <c r="C2568">
        <f t="shared" ca="1" si="901"/>
        <v>62</v>
      </c>
      <c r="D2568" t="str">
        <f t="shared" si="910"/>
        <v>K65</v>
      </c>
      <c r="E2568" t="str">
        <f t="shared" ca="1" si="911"/>
        <v/>
      </c>
      <c r="F2568" t="str">
        <f t="shared" ca="1" si="912"/>
        <v xml:space="preserve">Enter a 'New Construction/ Rehab APR' for  building 62 in cell K65.
</v>
      </c>
      <c r="G2568" s="9" t="str">
        <f t="shared" ca="1" si="899"/>
        <v xml:space="preserve">Enter a value for 'Number of Floors in the Tallest Building' in cell B60.
</v>
      </c>
      <c r="H2568" s="52" t="str">
        <f t="shared" ca="1" si="913"/>
        <v>New Construction/ Rehab APR</v>
      </c>
      <c r="I2568" s="52">
        <v>11</v>
      </c>
    </row>
    <row r="2569" spans="1:10" ht="15" customHeight="1">
      <c r="A2569" t="str">
        <f t="shared" ca="1" si="908"/>
        <v/>
      </c>
      <c r="B2569">
        <f t="shared" si="909"/>
        <v>65</v>
      </c>
      <c r="C2569">
        <f t="shared" ca="1" si="901"/>
        <v>62</v>
      </c>
      <c r="D2569" t="str">
        <f t="shared" si="910"/>
        <v>L65</v>
      </c>
      <c r="E2569" t="str">
        <f t="shared" ca="1" si="911"/>
        <v/>
      </c>
      <c r="F2569" t="str">
        <f t="shared" ca="1" si="912"/>
        <v xml:space="preserve">Enter a 'New Construction Eligible Basis' for  building 62 in cell L65.
</v>
      </c>
      <c r="G2569" s="9" t="str">
        <f t="shared" ca="1" si="899"/>
        <v xml:space="preserve">Enter a value for 'Number of Floors in the Tallest Building' in cell B60.
</v>
      </c>
      <c r="H2569" s="52" t="str">
        <f t="shared" ca="1" si="913"/>
        <v>New Construction Eligible Basis</v>
      </c>
      <c r="I2569" s="52">
        <v>12</v>
      </c>
    </row>
    <row r="2570" spans="1:10" ht="15" customHeight="1">
      <c r="A2570" t="str">
        <f ca="1">IF(AND(OFFSET(A2570, -I2570 + 2, 4) &gt;  0, E2570="", Calculations!$B$7), F2570, "")</f>
        <v/>
      </c>
      <c r="B2570">
        <f t="shared" si="909"/>
        <v>65</v>
      </c>
      <c r="C2570">
        <f t="shared" ca="1" si="901"/>
        <v>62</v>
      </c>
      <c r="D2570" t="str">
        <f t="shared" si="910"/>
        <v>M65</v>
      </c>
      <c r="E2570" t="str">
        <f t="shared" ca="1" si="911"/>
        <v/>
      </c>
      <c r="F2570" t="str">
        <f t="shared" ca="1" si="912"/>
        <v xml:space="preserve">Enter a 'Eligible Basis for Rehab' for  building 62 in cell M65.
</v>
      </c>
      <c r="G2570" s="9" t="str">
        <f t="shared" ca="1" si="899"/>
        <v xml:space="preserve">Enter a value for 'Number of Floors in the Tallest Building' in cell B60.
</v>
      </c>
      <c r="H2570" s="52" t="str">
        <f t="shared" ca="1" si="913"/>
        <v>Eligible Basis for Rehab</v>
      </c>
      <c r="I2570" s="52">
        <v>13</v>
      </c>
    </row>
    <row r="2571" spans="1:10" ht="15" customHeight="1">
      <c r="A2571" t="str">
        <f ca="1">IF(AND(OFFSET(A2571, -I2571 + 2, 4) &gt;  0, E2571="", Calculations!$B$7), F2571, "")</f>
        <v/>
      </c>
      <c r="B2571">
        <f t="shared" si="909"/>
        <v>65</v>
      </c>
      <c r="C2571">
        <f t="shared" ca="1" si="901"/>
        <v>62</v>
      </c>
      <c r="D2571" t="str">
        <f t="shared" si="910"/>
        <v>N65</v>
      </c>
      <c r="E2571" t="str">
        <f t="shared" ca="1" si="911"/>
        <v/>
      </c>
      <c r="F2571" t="str">
        <f t="shared" ca="1" si="912"/>
        <v xml:space="preserve">Enter a 'Cost of Acquiring the Building***' for  building 62 in cell N65.
</v>
      </c>
      <c r="G2571" s="9" t="str">
        <f t="shared" ca="1" si="899"/>
        <v xml:space="preserve">Enter a value for 'Number of Floors in the Tallest Building' in cell B60.
</v>
      </c>
      <c r="H2571" s="52" t="str">
        <f t="shared" ca="1" si="913"/>
        <v>Cost of Acquiring the Building***</v>
      </c>
      <c r="I2571" s="52">
        <v>14</v>
      </c>
    </row>
    <row r="2572" spans="1:10" ht="15" customHeight="1">
      <c r="A2572" t="str">
        <f ca="1">IF(AND(OFFSET(A2572, -I2572 + 2, 4) &gt;  0, E2572="", Calculations!$B$7), F2572, "")</f>
        <v/>
      </c>
      <c r="B2572">
        <f t="shared" si="909"/>
        <v>65</v>
      </c>
      <c r="C2572">
        <f t="shared" ca="1" si="901"/>
        <v>62</v>
      </c>
      <c r="D2572" t="str">
        <f t="shared" si="910"/>
        <v>O65</v>
      </c>
      <c r="E2572" t="str">
        <f t="shared" ca="1" si="911"/>
        <v/>
      </c>
      <c r="F2572" t="str">
        <f t="shared" ca="1" si="912"/>
        <v xml:space="preserve">Enter a 'Higher of Land Purchase Price or Land Appraised Value****' for  building 62 in cell O65.
</v>
      </c>
      <c r="G2572" s="9" t="str">
        <f t="shared" ca="1" si="899"/>
        <v xml:space="preserve">Enter a value for 'Number of Floors in the Tallest Building' in cell B60.
</v>
      </c>
      <c r="H2572" s="52" t="str">
        <f t="shared" ca="1" si="913"/>
        <v>Higher of Land Purchase Price or Land Appraised Value****</v>
      </c>
      <c r="I2572" s="52">
        <v>15</v>
      </c>
    </row>
    <row r="2573" spans="1:10" ht="15" customHeight="1">
      <c r="A2573" t="str">
        <f ca="1">IF(AND(OFFSET(A2573, -I2573 + 2, 4) &gt;  0, E2573="", Calculations!$B$7), F2573, "")</f>
        <v/>
      </c>
      <c r="B2573">
        <f t="shared" si="909"/>
        <v>65</v>
      </c>
      <c r="C2573">
        <f t="shared" ca="1" si="901"/>
        <v>62</v>
      </c>
      <c r="D2573" t="str">
        <f t="shared" si="910"/>
        <v>P65</v>
      </c>
      <c r="E2573" t="str">
        <f t="shared" ca="1" si="911"/>
        <v/>
      </c>
      <c r="F2573" t="str">
        <f t="shared" ca="1" si="912"/>
        <v xml:space="preserve">Enter a 'Acquisition Placed-in-Service Date' for  building 62 in cell P65.
</v>
      </c>
      <c r="G2573" s="9" t="str">
        <f t="shared" ca="1" si="899"/>
        <v xml:space="preserve">Enter a value for 'Number of Floors in the Tallest Building' in cell B60.
</v>
      </c>
      <c r="H2573" s="52" t="str">
        <f t="shared" ca="1" si="913"/>
        <v>Acquisition Placed-in-Service Date</v>
      </c>
      <c r="I2573" s="52">
        <v>16</v>
      </c>
    </row>
    <row r="2574" spans="1:10" ht="15" customHeight="1">
      <c r="A2574" t="str">
        <f ca="1">IF(AND(OFFSET(A2574, -I2574 + 2, 4) &gt;  0, E2574="", Calculations!$B$7), F2574, "")</f>
        <v/>
      </c>
      <c r="B2574">
        <f t="shared" si="909"/>
        <v>65</v>
      </c>
      <c r="C2574">
        <f t="shared" ca="1" si="901"/>
        <v>62</v>
      </c>
      <c r="D2574" t="str">
        <f t="shared" si="910"/>
        <v>Q65</v>
      </c>
      <c r="E2574" t="str">
        <f t="shared" ca="1" si="911"/>
        <v/>
      </c>
      <c r="F2574" t="str">
        <f t="shared" ca="1" si="912"/>
        <v xml:space="preserve">Enter a 'Acquisition APR' for  building 62 in cell Q65.
</v>
      </c>
      <c r="G2574" s="9" t="str">
        <f t="shared" ca="1" si="899"/>
        <v xml:space="preserve">Enter a value for 'Number of Floors in the Tallest Building' in cell B60.
</v>
      </c>
      <c r="H2574" s="52" t="str">
        <f t="shared" ca="1" si="913"/>
        <v>Acquisition APR</v>
      </c>
      <c r="I2574" s="52">
        <v>17</v>
      </c>
    </row>
    <row r="2575" spans="1:10" ht="15" customHeight="1">
      <c r="A2575" t="str">
        <f ca="1">IF(AND(Calculations!$B$4,Calculations!$B$29&gt;=C2575, E2575 &lt;&gt; 13),F2575,"")</f>
        <v/>
      </c>
      <c r="B2575">
        <f>ROW('Final Building Profile'!C66)</f>
        <v>66</v>
      </c>
      <c r="C2575">
        <f t="shared" ca="1" si="901"/>
        <v>63</v>
      </c>
      <c r="D2575" t="str">
        <f>ADDRESS(B2575, 3,4  )</f>
        <v>C66</v>
      </c>
      <c r="E2575" s="52">
        <f ca="1">H2575+I2575</f>
        <v>0</v>
      </c>
      <c r="F2575" t="str">
        <f ca="1">CONCATENATE("Based upon the number of buildings specified, information for  building ", C2575, " required for a final application in row ", B2575, ".", CHAR(10))</f>
        <v xml:space="preserve">Based upon the number of buildings specified, information for  building 63 required for a final application in row 66.
</v>
      </c>
      <c r="G2575" s="9" t="str">
        <f t="shared" ca="1" si="899"/>
        <v xml:space="preserve">Enter a value for 'Number of Floors in the Tallest Building' in cell B60.
</v>
      </c>
      <c r="H2575" s="52">
        <f ca="1">SUMPRODUCT(--ISTEXT(INDIRECT(J2575)))</f>
        <v>0</v>
      </c>
      <c r="I2575" s="52">
        <f ca="1">SUMPRODUCT(--ISNUMBER(INDIRECT(J2575)))</f>
        <v>0</v>
      </c>
      <c r="J2575" s="52" t="str">
        <f>$F$1565&amp; ADDRESS(B2575,3,4) &amp; ":" &amp; ADDRESS(B2575,15,4)</f>
        <v>'Final Building Profile'!C66:O66</v>
      </c>
    </row>
    <row r="2576" spans="1:10" ht="15" customHeight="1">
      <c r="A2576" t="str">
        <f t="shared" ref="A2576:A2585" ca="1" si="914">IF(AND(OFFSET(A2576, -I2576 + 2, 4) &gt;  0, E2576=""), F2576, "")</f>
        <v/>
      </c>
      <c r="B2576">
        <f t="shared" ref="B2576:B2590" si="915">B2575</f>
        <v>66</v>
      </c>
      <c r="C2576">
        <f t="shared" ca="1" si="901"/>
        <v>63</v>
      </c>
      <c r="D2576" t="str">
        <f t="shared" ref="D2576:D2590" si="916">ADDRESS(B2576, I2576,4  )</f>
        <v>C66</v>
      </c>
      <c r="E2576" t="str">
        <f t="shared" ref="E2576:E2590" ca="1" si="917">IF(ISBLANK( INDIRECT($F$1565 &amp; D2576)),"", INDIRECT($F$1565 &amp; D2576))</f>
        <v/>
      </c>
      <c r="F2576" t="str">
        <f t="shared" ref="F2576:F2590" ca="1" si="918">CONCATENATE("Enter a '"&amp; H2576 &amp;"' for  building ", C2576, " in cell ", D2576, ".", CHAR(10))</f>
        <v xml:space="preserve">Enter a 'Building Street Address Only 
(DO NOT ENTER CITY, STATE, OR ZIP)' for  building 63 in cell C66.
</v>
      </c>
      <c r="G2576" s="9" t="str">
        <f t="shared" ca="1" si="899"/>
        <v xml:space="preserve">Enter a value for 'Number of Floors in the Tallest Building' in cell B60.
</v>
      </c>
      <c r="H2576" s="52" t="str">
        <f t="shared" ref="H2576:H2590" ca="1" si="919">OFFSET(INDIRECT($F$1565 &amp; D2576), -B2576 + 3, 0)</f>
        <v>Building Street Address Only 
(DO NOT ENTER CITY, STATE, OR ZIP)</v>
      </c>
      <c r="I2576" s="52">
        <v>3</v>
      </c>
    </row>
    <row r="2577" spans="1:10" ht="15" customHeight="1">
      <c r="A2577" t="str">
        <f t="shared" ca="1" si="914"/>
        <v/>
      </c>
      <c r="B2577">
        <f t="shared" si="915"/>
        <v>66</v>
      </c>
      <c r="C2577">
        <f t="shared" ca="1" si="901"/>
        <v>63</v>
      </c>
      <c r="D2577" t="str">
        <f t="shared" si="916"/>
        <v>D66</v>
      </c>
      <c r="E2577" t="str">
        <f t="shared" ca="1" si="917"/>
        <v/>
      </c>
      <c r="F2577" t="str">
        <f t="shared" ca="1" si="918"/>
        <v xml:space="preserve">Enter a 'Total Units in Building*' for  building 63 in cell D66.
</v>
      </c>
      <c r="G2577" s="9" t="str">
        <f t="shared" ca="1" si="899"/>
        <v xml:space="preserve">Enter a value for 'Number of Floors in the Tallest Building' in cell B60.
</v>
      </c>
      <c r="H2577" s="52" t="str">
        <f t="shared" ca="1" si="919"/>
        <v>Total Units in Building*</v>
      </c>
      <c r="I2577" s="52">
        <v>4</v>
      </c>
    </row>
    <row r="2578" spans="1:10" ht="15" customHeight="1">
      <c r="A2578" t="str">
        <f t="shared" ca="1" si="914"/>
        <v/>
      </c>
      <c r="B2578">
        <f t="shared" si="915"/>
        <v>66</v>
      </c>
      <c r="C2578">
        <f t="shared" ca="1" si="901"/>
        <v>63</v>
      </c>
      <c r="D2578" t="str">
        <f t="shared" si="916"/>
        <v>E66</v>
      </c>
      <c r="E2578" t="str">
        <f t="shared" ca="1" si="917"/>
        <v/>
      </c>
      <c r="F2578" t="str">
        <f t="shared" ca="1" si="918"/>
        <v xml:space="preserve">Enter a 'Employee Units' for  building 63 in cell E66.
</v>
      </c>
      <c r="G2578" s="9" t="str">
        <f t="shared" ca="1" si="899"/>
        <v xml:space="preserve">Enter a value for 'Number of Floors in the Tallest Building' in cell B60.
</v>
      </c>
      <c r="H2578" s="52" t="str">
        <f t="shared" ca="1" si="919"/>
        <v>Employee Units</v>
      </c>
      <c r="I2578" s="52">
        <v>5</v>
      </c>
    </row>
    <row r="2579" spans="1:10" ht="15" customHeight="1">
      <c r="A2579" t="str">
        <f t="shared" ca="1" si="914"/>
        <v/>
      </c>
      <c r="B2579">
        <f t="shared" si="915"/>
        <v>66</v>
      </c>
      <c r="C2579">
        <f t="shared" ca="1" si="901"/>
        <v>63</v>
      </c>
      <c r="D2579" t="str">
        <f t="shared" si="916"/>
        <v>F66</v>
      </c>
      <c r="E2579" t="str">
        <f t="shared" ca="1" si="917"/>
        <v/>
      </c>
      <c r="F2579" t="str">
        <f t="shared" ca="1" si="918"/>
        <v xml:space="preserve">Enter a 'Low-Income Units' for  building 63 in cell F66.
</v>
      </c>
      <c r="G2579" s="9" t="str">
        <f t="shared" ca="1" si="899"/>
        <v xml:space="preserve">Enter a value for 'Number of Floors in the Tallest Building' in cell B60.
</v>
      </c>
      <c r="H2579" s="52" t="str">
        <f t="shared" ca="1" si="919"/>
        <v>Low-Income Units</v>
      </c>
      <c r="I2579" s="52">
        <v>6</v>
      </c>
    </row>
    <row r="2580" spans="1:10" ht="15" customHeight="1">
      <c r="A2580" t="str">
        <f t="shared" ca="1" si="914"/>
        <v/>
      </c>
      <c r="B2580">
        <f t="shared" si="915"/>
        <v>66</v>
      </c>
      <c r="C2580">
        <f t="shared" ca="1" si="901"/>
        <v>63</v>
      </c>
      <c r="D2580" t="str">
        <f t="shared" si="916"/>
        <v>G66</v>
      </c>
      <c r="E2580" t="str">
        <f t="shared" ca="1" si="917"/>
        <v/>
      </c>
      <c r="F2580" t="str">
        <f t="shared" ca="1" si="918"/>
        <v xml:space="preserve">Enter a 'Residential Square Footage**' for  building 63 in cell G66.
</v>
      </c>
      <c r="G2580" s="9" t="str">
        <f t="shared" ca="1" si="899"/>
        <v xml:space="preserve">Enter a value for 'Number of Floors in the Tallest Building' in cell B60.
</v>
      </c>
      <c r="H2580" s="52" t="str">
        <f t="shared" ca="1" si="919"/>
        <v>Residential Square Footage**</v>
      </c>
      <c r="I2580" s="52">
        <v>7</v>
      </c>
    </row>
    <row r="2581" spans="1:10" ht="15" customHeight="1">
      <c r="A2581" t="str">
        <f t="shared" ca="1" si="914"/>
        <v/>
      </c>
      <c r="B2581">
        <f t="shared" si="915"/>
        <v>66</v>
      </c>
      <c r="C2581">
        <f t="shared" ca="1" si="901"/>
        <v>63</v>
      </c>
      <c r="D2581" t="str">
        <f t="shared" si="916"/>
        <v>H66</v>
      </c>
      <c r="E2581" t="str">
        <f t="shared" ca="1" si="917"/>
        <v/>
      </c>
      <c r="F2581" t="str">
        <f t="shared" ca="1" si="918"/>
        <v xml:space="preserve">Enter a 'Square Footage of Employee Units' for  building 63 in cell H66.
</v>
      </c>
      <c r="G2581" s="9" t="str">
        <f t="shared" ca="1" si="899"/>
        <v xml:space="preserve">Enter a value for 'Number of Floors in the Tallest Building' in cell B60.
</v>
      </c>
      <c r="H2581" s="52" t="str">
        <f t="shared" ca="1" si="919"/>
        <v>Square Footage of Employee Units</v>
      </c>
      <c r="I2581" s="52">
        <v>8</v>
      </c>
    </row>
    <row r="2582" spans="1:10" ht="15" customHeight="1">
      <c r="A2582" t="str">
        <f t="shared" ca="1" si="914"/>
        <v/>
      </c>
      <c r="B2582">
        <f t="shared" si="915"/>
        <v>66</v>
      </c>
      <c r="C2582">
        <f t="shared" ca="1" si="901"/>
        <v>63</v>
      </c>
      <c r="D2582" t="str">
        <f t="shared" si="916"/>
        <v>I66</v>
      </c>
      <c r="E2582" t="str">
        <f t="shared" ca="1" si="917"/>
        <v/>
      </c>
      <c r="F2582" t="str">
        <f t="shared" ca="1" si="918"/>
        <v xml:space="preserve">Enter a 'Square Footage of Low-Income Units' for  building 63 in cell I66.
</v>
      </c>
      <c r="G2582" s="9" t="str">
        <f t="shared" ca="1" si="899"/>
        <v xml:space="preserve">Enter a value for 'Number of Floors in the Tallest Building' in cell B60.
</v>
      </c>
      <c r="H2582" s="52" t="str">
        <f t="shared" ca="1" si="919"/>
        <v>Square Footage of Low-Income Units</v>
      </c>
      <c r="I2582" s="52">
        <v>9</v>
      </c>
    </row>
    <row r="2583" spans="1:10" ht="15" customHeight="1">
      <c r="A2583" t="str">
        <f t="shared" ca="1" si="914"/>
        <v/>
      </c>
      <c r="B2583">
        <f t="shared" si="915"/>
        <v>66</v>
      </c>
      <c r="C2583">
        <f t="shared" ca="1" si="901"/>
        <v>63</v>
      </c>
      <c r="D2583" t="str">
        <f t="shared" si="916"/>
        <v>J66</v>
      </c>
      <c r="E2583" t="str">
        <f t="shared" ca="1" si="917"/>
        <v/>
      </c>
      <c r="F2583" t="str">
        <f t="shared" ca="1" si="918"/>
        <v xml:space="preserve">Enter a 'Placed-In-Service Date' for  building 63 in cell J66.
</v>
      </c>
      <c r="G2583" s="9" t="str">
        <f t="shared" ca="1" si="899"/>
        <v xml:space="preserve">Enter a value for 'Number of Floors in the Tallest Building' in cell B60.
</v>
      </c>
      <c r="H2583" s="52" t="str">
        <f t="shared" ca="1" si="919"/>
        <v>Placed-In-Service Date</v>
      </c>
      <c r="I2583" s="52">
        <v>10</v>
      </c>
    </row>
    <row r="2584" spans="1:10" ht="15" customHeight="1">
      <c r="A2584" t="str">
        <f t="shared" ca="1" si="914"/>
        <v/>
      </c>
      <c r="B2584">
        <f t="shared" si="915"/>
        <v>66</v>
      </c>
      <c r="C2584">
        <f t="shared" ca="1" si="901"/>
        <v>63</v>
      </c>
      <c r="D2584" t="str">
        <f t="shared" si="916"/>
        <v>K66</v>
      </c>
      <c r="E2584" t="str">
        <f t="shared" ca="1" si="917"/>
        <v/>
      </c>
      <c r="F2584" t="str">
        <f t="shared" ca="1" si="918"/>
        <v xml:space="preserve">Enter a 'New Construction/ Rehab APR' for  building 63 in cell K66.
</v>
      </c>
      <c r="G2584" s="9" t="str">
        <f t="shared" ca="1" si="899"/>
        <v xml:space="preserve">Enter a value for 'Number of Floors in the Tallest Building' in cell B60.
</v>
      </c>
      <c r="H2584" s="52" t="str">
        <f t="shared" ca="1" si="919"/>
        <v>New Construction/ Rehab APR</v>
      </c>
      <c r="I2584" s="52">
        <v>11</v>
      </c>
    </row>
    <row r="2585" spans="1:10" ht="15" customHeight="1">
      <c r="A2585" t="str">
        <f t="shared" ca="1" si="914"/>
        <v/>
      </c>
      <c r="B2585">
        <f t="shared" si="915"/>
        <v>66</v>
      </c>
      <c r="C2585">
        <f t="shared" ca="1" si="901"/>
        <v>63</v>
      </c>
      <c r="D2585" t="str">
        <f t="shared" si="916"/>
        <v>L66</v>
      </c>
      <c r="E2585" t="str">
        <f t="shared" ca="1" si="917"/>
        <v/>
      </c>
      <c r="F2585" t="str">
        <f t="shared" ca="1" si="918"/>
        <v xml:space="preserve">Enter a 'New Construction Eligible Basis' for  building 63 in cell L66.
</v>
      </c>
      <c r="G2585" s="9" t="str">
        <f t="shared" ca="1" si="899"/>
        <v xml:space="preserve">Enter a value for 'Number of Floors in the Tallest Building' in cell B60.
</v>
      </c>
      <c r="H2585" s="52" t="str">
        <f t="shared" ca="1" si="919"/>
        <v>New Construction Eligible Basis</v>
      </c>
      <c r="I2585" s="52">
        <v>12</v>
      </c>
    </row>
    <row r="2586" spans="1:10" ht="15" customHeight="1">
      <c r="A2586" t="str">
        <f ca="1">IF(AND(OFFSET(A2586, -I2586 + 2, 4) &gt;  0, E2586="", Calculations!$B$7), F2586, "")</f>
        <v/>
      </c>
      <c r="B2586">
        <f t="shared" si="915"/>
        <v>66</v>
      </c>
      <c r="C2586">
        <f t="shared" ca="1" si="901"/>
        <v>63</v>
      </c>
      <c r="D2586" t="str">
        <f t="shared" si="916"/>
        <v>M66</v>
      </c>
      <c r="E2586" t="str">
        <f t="shared" ca="1" si="917"/>
        <v/>
      </c>
      <c r="F2586" t="str">
        <f t="shared" ca="1" si="918"/>
        <v xml:space="preserve">Enter a 'Eligible Basis for Rehab' for  building 63 in cell M66.
</v>
      </c>
      <c r="G2586" s="9" t="str">
        <f t="shared" ca="1" si="899"/>
        <v xml:space="preserve">Enter a value for 'Number of Floors in the Tallest Building' in cell B60.
</v>
      </c>
      <c r="H2586" s="52" t="str">
        <f t="shared" ca="1" si="919"/>
        <v>Eligible Basis for Rehab</v>
      </c>
      <c r="I2586" s="52">
        <v>13</v>
      </c>
    </row>
    <row r="2587" spans="1:10" ht="15" customHeight="1">
      <c r="A2587" t="str">
        <f ca="1">IF(AND(OFFSET(A2587, -I2587 + 2, 4) &gt;  0, E2587="", Calculations!$B$7), F2587, "")</f>
        <v/>
      </c>
      <c r="B2587">
        <f t="shared" si="915"/>
        <v>66</v>
      </c>
      <c r="C2587">
        <f t="shared" ca="1" si="901"/>
        <v>63</v>
      </c>
      <c r="D2587" t="str">
        <f t="shared" si="916"/>
        <v>N66</v>
      </c>
      <c r="E2587" t="str">
        <f t="shared" ca="1" si="917"/>
        <v/>
      </c>
      <c r="F2587" t="str">
        <f t="shared" ca="1" si="918"/>
        <v xml:space="preserve">Enter a 'Cost of Acquiring the Building***' for  building 63 in cell N66.
</v>
      </c>
      <c r="G2587" s="9" t="str">
        <f t="shared" ca="1" si="899"/>
        <v xml:space="preserve">Enter a value for 'Number of Floors in the Tallest Building' in cell B60.
</v>
      </c>
      <c r="H2587" s="52" t="str">
        <f t="shared" ca="1" si="919"/>
        <v>Cost of Acquiring the Building***</v>
      </c>
      <c r="I2587" s="52">
        <v>14</v>
      </c>
    </row>
    <row r="2588" spans="1:10" ht="15" customHeight="1">
      <c r="A2588" t="str">
        <f ca="1">IF(AND(OFFSET(A2588, -I2588 + 2, 4) &gt;  0, E2588="", Calculations!$B$7), F2588, "")</f>
        <v/>
      </c>
      <c r="B2588">
        <f t="shared" si="915"/>
        <v>66</v>
      </c>
      <c r="C2588">
        <f t="shared" ca="1" si="901"/>
        <v>63</v>
      </c>
      <c r="D2588" t="str">
        <f t="shared" si="916"/>
        <v>O66</v>
      </c>
      <c r="E2588" t="str">
        <f t="shared" ca="1" si="917"/>
        <v/>
      </c>
      <c r="F2588" t="str">
        <f t="shared" ca="1" si="918"/>
        <v xml:space="preserve">Enter a 'Higher of Land Purchase Price or Land Appraised Value****' for  building 63 in cell O66.
</v>
      </c>
      <c r="G2588" s="9" t="str">
        <f t="shared" ca="1" si="899"/>
        <v xml:space="preserve">Enter a value for 'Number of Floors in the Tallest Building' in cell B60.
</v>
      </c>
      <c r="H2588" s="52" t="str">
        <f t="shared" ca="1" si="919"/>
        <v>Higher of Land Purchase Price or Land Appraised Value****</v>
      </c>
      <c r="I2588" s="52">
        <v>15</v>
      </c>
    </row>
    <row r="2589" spans="1:10" ht="15" customHeight="1">
      <c r="A2589" t="str">
        <f ca="1">IF(AND(OFFSET(A2589, -I2589 + 2, 4) &gt;  0, E2589="", Calculations!$B$7), F2589, "")</f>
        <v/>
      </c>
      <c r="B2589">
        <f t="shared" si="915"/>
        <v>66</v>
      </c>
      <c r="C2589">
        <f t="shared" ca="1" si="901"/>
        <v>63</v>
      </c>
      <c r="D2589" t="str">
        <f t="shared" si="916"/>
        <v>P66</v>
      </c>
      <c r="E2589" t="str">
        <f t="shared" ca="1" si="917"/>
        <v/>
      </c>
      <c r="F2589" t="str">
        <f t="shared" ca="1" si="918"/>
        <v xml:space="preserve">Enter a 'Acquisition Placed-in-Service Date' for  building 63 in cell P66.
</v>
      </c>
      <c r="G2589" s="9" t="str">
        <f t="shared" ca="1" si="899"/>
        <v xml:space="preserve">Enter a value for 'Number of Floors in the Tallest Building' in cell B60.
</v>
      </c>
      <c r="H2589" s="52" t="str">
        <f t="shared" ca="1" si="919"/>
        <v>Acquisition Placed-in-Service Date</v>
      </c>
      <c r="I2589" s="52">
        <v>16</v>
      </c>
    </row>
    <row r="2590" spans="1:10" ht="15" customHeight="1">
      <c r="A2590" t="str">
        <f ca="1">IF(AND(OFFSET(A2590, -I2590 + 2, 4) &gt;  0, E2590="", Calculations!$B$7), F2590, "")</f>
        <v/>
      </c>
      <c r="B2590">
        <f t="shared" si="915"/>
        <v>66</v>
      </c>
      <c r="C2590">
        <f t="shared" ca="1" si="901"/>
        <v>63</v>
      </c>
      <c r="D2590" t="str">
        <f t="shared" si="916"/>
        <v>Q66</v>
      </c>
      <c r="E2590" t="str">
        <f t="shared" ca="1" si="917"/>
        <v/>
      </c>
      <c r="F2590" t="str">
        <f t="shared" ca="1" si="918"/>
        <v xml:space="preserve">Enter a 'Acquisition APR' for  building 63 in cell Q66.
</v>
      </c>
      <c r="G2590" s="9" t="str">
        <f t="shared" ca="1" si="899"/>
        <v xml:space="preserve">Enter a value for 'Number of Floors in the Tallest Building' in cell B60.
</v>
      </c>
      <c r="H2590" s="52" t="str">
        <f t="shared" ca="1" si="919"/>
        <v>Acquisition APR</v>
      </c>
      <c r="I2590" s="52">
        <v>17</v>
      </c>
    </row>
    <row r="2591" spans="1:10" ht="15" customHeight="1">
      <c r="A2591" t="str">
        <f ca="1">IF(AND(Calculations!$B$4,Calculations!$B$29&gt;=C2591, E2591 &lt;&gt; 13),F2591,"")</f>
        <v/>
      </c>
      <c r="B2591">
        <f>ROW('Final Building Profile'!C67)</f>
        <v>67</v>
      </c>
      <c r="C2591">
        <f t="shared" ca="1" si="901"/>
        <v>64</v>
      </c>
      <c r="D2591" t="str">
        <f>ADDRESS(B2591, 3,4  )</f>
        <v>C67</v>
      </c>
      <c r="E2591" s="52">
        <f ca="1">H2591+I2591</f>
        <v>0</v>
      </c>
      <c r="F2591" t="str">
        <f ca="1">CONCATENATE("Based upon the number of buildings specified, information for  building ", C2591, " required for a final application in row ", B2591, ".", CHAR(10))</f>
        <v xml:space="preserve">Based upon the number of buildings specified, information for  building 64 required for a final application in row 67.
</v>
      </c>
      <c r="G2591" s="9" t="str">
        <f t="shared" ca="1" si="899"/>
        <v xml:space="preserve">Enter a value for 'Number of Floors in the Tallest Building' in cell B60.
</v>
      </c>
      <c r="H2591" s="52">
        <f ca="1">SUMPRODUCT(--ISTEXT(INDIRECT(J2591)))</f>
        <v>0</v>
      </c>
      <c r="I2591" s="52">
        <f ca="1">SUMPRODUCT(--ISNUMBER(INDIRECT(J2591)))</f>
        <v>0</v>
      </c>
      <c r="J2591" s="52" t="str">
        <f>$F$1565&amp; ADDRESS(B2591,3,4) &amp; ":" &amp; ADDRESS(B2591,15,4)</f>
        <v>'Final Building Profile'!C67:O67</v>
      </c>
    </row>
    <row r="2592" spans="1:10" ht="15" customHeight="1">
      <c r="A2592" t="str">
        <f t="shared" ref="A2592:A2601" ca="1" si="920">IF(AND(OFFSET(A2592, -I2592 + 2, 4) &gt;  0, E2592=""), F2592, "")</f>
        <v/>
      </c>
      <c r="B2592">
        <f t="shared" ref="B2592:B2606" si="921">B2591</f>
        <v>67</v>
      </c>
      <c r="C2592">
        <f t="shared" ca="1" si="901"/>
        <v>64</v>
      </c>
      <c r="D2592" t="str">
        <f t="shared" ref="D2592:D2606" si="922">ADDRESS(B2592, I2592,4  )</f>
        <v>C67</v>
      </c>
      <c r="E2592" t="str">
        <f t="shared" ref="E2592:E2606" ca="1" si="923">IF(ISBLANK( INDIRECT($F$1565 &amp; D2592)),"", INDIRECT($F$1565 &amp; D2592))</f>
        <v/>
      </c>
      <c r="F2592" t="str">
        <f t="shared" ref="F2592:F2606" ca="1" si="924">CONCATENATE("Enter a '"&amp; H2592 &amp;"' for  building ", C2592, " in cell ", D2592, ".", CHAR(10))</f>
        <v xml:space="preserve">Enter a 'Building Street Address Only 
(DO NOT ENTER CITY, STATE, OR ZIP)' for  building 64 in cell C67.
</v>
      </c>
      <c r="G2592" s="9" t="str">
        <f t="shared" ref="G2592:G2655" ca="1" si="925">OFFSET(G2592, -1, 0) &amp; A2592</f>
        <v xml:space="preserve">Enter a value for 'Number of Floors in the Tallest Building' in cell B60.
</v>
      </c>
      <c r="H2592" s="52" t="str">
        <f t="shared" ref="H2592:H2606" ca="1" si="926">OFFSET(INDIRECT($F$1565 &amp; D2592), -B2592 + 3, 0)</f>
        <v>Building Street Address Only 
(DO NOT ENTER CITY, STATE, OR ZIP)</v>
      </c>
      <c r="I2592" s="52">
        <v>3</v>
      </c>
    </row>
    <row r="2593" spans="1:10" ht="15" customHeight="1">
      <c r="A2593" t="str">
        <f t="shared" ca="1" si="920"/>
        <v/>
      </c>
      <c r="B2593">
        <f t="shared" si="921"/>
        <v>67</v>
      </c>
      <c r="C2593">
        <f t="shared" ca="1" si="901"/>
        <v>64</v>
      </c>
      <c r="D2593" t="str">
        <f t="shared" si="922"/>
        <v>D67</v>
      </c>
      <c r="E2593" t="str">
        <f t="shared" ca="1" si="923"/>
        <v/>
      </c>
      <c r="F2593" t="str">
        <f t="shared" ca="1" si="924"/>
        <v xml:space="preserve">Enter a 'Total Units in Building*' for  building 64 in cell D67.
</v>
      </c>
      <c r="G2593" s="9" t="str">
        <f t="shared" ca="1" si="925"/>
        <v xml:space="preserve">Enter a value for 'Number of Floors in the Tallest Building' in cell B60.
</v>
      </c>
      <c r="H2593" s="52" t="str">
        <f t="shared" ca="1" si="926"/>
        <v>Total Units in Building*</v>
      </c>
      <c r="I2593" s="52">
        <v>4</v>
      </c>
    </row>
    <row r="2594" spans="1:10" ht="15" customHeight="1">
      <c r="A2594" t="str">
        <f t="shared" ca="1" si="920"/>
        <v/>
      </c>
      <c r="B2594">
        <f t="shared" si="921"/>
        <v>67</v>
      </c>
      <c r="C2594">
        <f t="shared" ca="1" si="901"/>
        <v>64</v>
      </c>
      <c r="D2594" t="str">
        <f t="shared" si="922"/>
        <v>E67</v>
      </c>
      <c r="E2594" t="str">
        <f t="shared" ca="1" si="923"/>
        <v/>
      </c>
      <c r="F2594" t="str">
        <f t="shared" ca="1" si="924"/>
        <v xml:space="preserve">Enter a 'Employee Units' for  building 64 in cell E67.
</v>
      </c>
      <c r="G2594" s="9" t="str">
        <f t="shared" ca="1" si="925"/>
        <v xml:space="preserve">Enter a value for 'Number of Floors in the Tallest Building' in cell B60.
</v>
      </c>
      <c r="H2594" s="52" t="str">
        <f t="shared" ca="1" si="926"/>
        <v>Employee Units</v>
      </c>
      <c r="I2594" s="52">
        <v>5</v>
      </c>
    </row>
    <row r="2595" spans="1:10" ht="15" customHeight="1">
      <c r="A2595" t="str">
        <f t="shared" ca="1" si="920"/>
        <v/>
      </c>
      <c r="B2595">
        <f t="shared" si="921"/>
        <v>67</v>
      </c>
      <c r="C2595">
        <f t="shared" ca="1" si="901"/>
        <v>64</v>
      </c>
      <c r="D2595" t="str">
        <f t="shared" si="922"/>
        <v>F67</v>
      </c>
      <c r="E2595" t="str">
        <f t="shared" ca="1" si="923"/>
        <v/>
      </c>
      <c r="F2595" t="str">
        <f t="shared" ca="1" si="924"/>
        <v xml:space="preserve">Enter a 'Low-Income Units' for  building 64 in cell F67.
</v>
      </c>
      <c r="G2595" s="9" t="str">
        <f t="shared" ca="1" si="925"/>
        <v xml:space="preserve">Enter a value for 'Number of Floors in the Tallest Building' in cell B60.
</v>
      </c>
      <c r="H2595" s="52" t="str">
        <f t="shared" ca="1" si="926"/>
        <v>Low-Income Units</v>
      </c>
      <c r="I2595" s="52">
        <v>6</v>
      </c>
    </row>
    <row r="2596" spans="1:10" ht="15" customHeight="1">
      <c r="A2596" t="str">
        <f t="shared" ca="1" si="920"/>
        <v/>
      </c>
      <c r="B2596">
        <f t="shared" si="921"/>
        <v>67</v>
      </c>
      <c r="C2596">
        <f t="shared" ca="1" si="901"/>
        <v>64</v>
      </c>
      <c r="D2596" t="str">
        <f t="shared" si="922"/>
        <v>G67</v>
      </c>
      <c r="E2596" t="str">
        <f t="shared" ca="1" si="923"/>
        <v/>
      </c>
      <c r="F2596" t="str">
        <f t="shared" ca="1" si="924"/>
        <v xml:space="preserve">Enter a 'Residential Square Footage**' for  building 64 in cell G67.
</v>
      </c>
      <c r="G2596" s="9" t="str">
        <f t="shared" ca="1" si="925"/>
        <v xml:space="preserve">Enter a value for 'Number of Floors in the Tallest Building' in cell B60.
</v>
      </c>
      <c r="H2596" s="52" t="str">
        <f t="shared" ca="1" si="926"/>
        <v>Residential Square Footage**</v>
      </c>
      <c r="I2596" s="52">
        <v>7</v>
      </c>
    </row>
    <row r="2597" spans="1:10" ht="15" customHeight="1">
      <c r="A2597" t="str">
        <f t="shared" ca="1" si="920"/>
        <v/>
      </c>
      <c r="B2597">
        <f t="shared" si="921"/>
        <v>67</v>
      </c>
      <c r="C2597">
        <f t="shared" ca="1" si="901"/>
        <v>64</v>
      </c>
      <c r="D2597" t="str">
        <f t="shared" si="922"/>
        <v>H67</v>
      </c>
      <c r="E2597" t="str">
        <f t="shared" ca="1" si="923"/>
        <v/>
      </c>
      <c r="F2597" t="str">
        <f t="shared" ca="1" si="924"/>
        <v xml:space="preserve">Enter a 'Square Footage of Employee Units' for  building 64 in cell H67.
</v>
      </c>
      <c r="G2597" s="9" t="str">
        <f t="shared" ca="1" si="925"/>
        <v xml:space="preserve">Enter a value for 'Number of Floors in the Tallest Building' in cell B60.
</v>
      </c>
      <c r="H2597" s="52" t="str">
        <f t="shared" ca="1" si="926"/>
        <v>Square Footage of Employee Units</v>
      </c>
      <c r="I2597" s="52">
        <v>8</v>
      </c>
    </row>
    <row r="2598" spans="1:10" ht="15" customHeight="1">
      <c r="A2598" t="str">
        <f t="shared" ca="1" si="920"/>
        <v/>
      </c>
      <c r="B2598">
        <f t="shared" si="921"/>
        <v>67</v>
      </c>
      <c r="C2598">
        <f t="shared" ca="1" si="901"/>
        <v>64</v>
      </c>
      <c r="D2598" t="str">
        <f t="shared" si="922"/>
        <v>I67</v>
      </c>
      <c r="E2598" t="str">
        <f t="shared" ca="1" si="923"/>
        <v/>
      </c>
      <c r="F2598" t="str">
        <f t="shared" ca="1" si="924"/>
        <v xml:space="preserve">Enter a 'Square Footage of Low-Income Units' for  building 64 in cell I67.
</v>
      </c>
      <c r="G2598" s="9" t="str">
        <f t="shared" ca="1" si="925"/>
        <v xml:space="preserve">Enter a value for 'Number of Floors in the Tallest Building' in cell B60.
</v>
      </c>
      <c r="H2598" s="52" t="str">
        <f t="shared" ca="1" si="926"/>
        <v>Square Footage of Low-Income Units</v>
      </c>
      <c r="I2598" s="52">
        <v>9</v>
      </c>
    </row>
    <row r="2599" spans="1:10" ht="15" customHeight="1">
      <c r="A2599" t="str">
        <f t="shared" ca="1" si="920"/>
        <v/>
      </c>
      <c r="B2599">
        <f t="shared" si="921"/>
        <v>67</v>
      </c>
      <c r="C2599">
        <f t="shared" ca="1" si="901"/>
        <v>64</v>
      </c>
      <c r="D2599" t="str">
        <f t="shared" si="922"/>
        <v>J67</v>
      </c>
      <c r="E2599" t="str">
        <f t="shared" ca="1" si="923"/>
        <v/>
      </c>
      <c r="F2599" t="str">
        <f t="shared" ca="1" si="924"/>
        <v xml:space="preserve">Enter a 'Placed-In-Service Date' for  building 64 in cell J67.
</v>
      </c>
      <c r="G2599" s="9" t="str">
        <f t="shared" ca="1" si="925"/>
        <v xml:space="preserve">Enter a value for 'Number of Floors in the Tallest Building' in cell B60.
</v>
      </c>
      <c r="H2599" s="52" t="str">
        <f t="shared" ca="1" si="926"/>
        <v>Placed-In-Service Date</v>
      </c>
      <c r="I2599" s="52">
        <v>10</v>
      </c>
    </row>
    <row r="2600" spans="1:10" ht="15" customHeight="1">
      <c r="A2600" t="str">
        <f t="shared" ca="1" si="920"/>
        <v/>
      </c>
      <c r="B2600">
        <f t="shared" si="921"/>
        <v>67</v>
      </c>
      <c r="C2600">
        <f t="shared" ca="1" si="901"/>
        <v>64</v>
      </c>
      <c r="D2600" t="str">
        <f t="shared" si="922"/>
        <v>K67</v>
      </c>
      <c r="E2600" t="str">
        <f t="shared" ca="1" si="923"/>
        <v/>
      </c>
      <c r="F2600" t="str">
        <f t="shared" ca="1" si="924"/>
        <v xml:space="preserve">Enter a 'New Construction/ Rehab APR' for  building 64 in cell K67.
</v>
      </c>
      <c r="G2600" s="9" t="str">
        <f t="shared" ca="1" si="925"/>
        <v xml:space="preserve">Enter a value for 'Number of Floors in the Tallest Building' in cell B60.
</v>
      </c>
      <c r="H2600" s="52" t="str">
        <f t="shared" ca="1" si="926"/>
        <v>New Construction/ Rehab APR</v>
      </c>
      <c r="I2600" s="52">
        <v>11</v>
      </c>
    </row>
    <row r="2601" spans="1:10" ht="15" customHeight="1">
      <c r="A2601" t="str">
        <f t="shared" ca="1" si="920"/>
        <v/>
      </c>
      <c r="B2601">
        <f t="shared" si="921"/>
        <v>67</v>
      </c>
      <c r="C2601">
        <f t="shared" ca="1" si="901"/>
        <v>64</v>
      </c>
      <c r="D2601" t="str">
        <f t="shared" si="922"/>
        <v>L67</v>
      </c>
      <c r="E2601" t="str">
        <f t="shared" ca="1" si="923"/>
        <v/>
      </c>
      <c r="F2601" t="str">
        <f t="shared" ca="1" si="924"/>
        <v xml:space="preserve">Enter a 'New Construction Eligible Basis' for  building 64 in cell L67.
</v>
      </c>
      <c r="G2601" s="9" t="str">
        <f t="shared" ca="1" si="925"/>
        <v xml:space="preserve">Enter a value for 'Number of Floors in the Tallest Building' in cell B60.
</v>
      </c>
      <c r="H2601" s="52" t="str">
        <f t="shared" ca="1" si="926"/>
        <v>New Construction Eligible Basis</v>
      </c>
      <c r="I2601" s="52">
        <v>12</v>
      </c>
    </row>
    <row r="2602" spans="1:10" ht="15" customHeight="1">
      <c r="A2602" t="str">
        <f ca="1">IF(AND(OFFSET(A2602, -I2602 + 2, 4) &gt;  0, E2602="", Calculations!$B$7), F2602, "")</f>
        <v/>
      </c>
      <c r="B2602">
        <f t="shared" si="921"/>
        <v>67</v>
      </c>
      <c r="C2602">
        <f t="shared" ca="1" si="901"/>
        <v>64</v>
      </c>
      <c r="D2602" t="str">
        <f t="shared" si="922"/>
        <v>M67</v>
      </c>
      <c r="E2602" t="str">
        <f t="shared" ca="1" si="923"/>
        <v/>
      </c>
      <c r="F2602" t="str">
        <f t="shared" ca="1" si="924"/>
        <v xml:space="preserve">Enter a 'Eligible Basis for Rehab' for  building 64 in cell M67.
</v>
      </c>
      <c r="G2602" s="9" t="str">
        <f t="shared" ca="1" si="925"/>
        <v xml:space="preserve">Enter a value for 'Number of Floors in the Tallest Building' in cell B60.
</v>
      </c>
      <c r="H2602" s="52" t="str">
        <f t="shared" ca="1" si="926"/>
        <v>Eligible Basis for Rehab</v>
      </c>
      <c r="I2602" s="52">
        <v>13</v>
      </c>
    </row>
    <row r="2603" spans="1:10" ht="15" customHeight="1">
      <c r="A2603" t="str">
        <f ca="1">IF(AND(OFFSET(A2603, -I2603 + 2, 4) &gt;  0, E2603="", Calculations!$B$7), F2603, "")</f>
        <v/>
      </c>
      <c r="B2603">
        <f t="shared" si="921"/>
        <v>67</v>
      </c>
      <c r="C2603">
        <f t="shared" ca="1" si="901"/>
        <v>64</v>
      </c>
      <c r="D2603" t="str">
        <f t="shared" si="922"/>
        <v>N67</v>
      </c>
      <c r="E2603" t="str">
        <f t="shared" ca="1" si="923"/>
        <v/>
      </c>
      <c r="F2603" t="str">
        <f t="shared" ca="1" si="924"/>
        <v xml:space="preserve">Enter a 'Cost of Acquiring the Building***' for  building 64 in cell N67.
</v>
      </c>
      <c r="G2603" s="9" t="str">
        <f t="shared" ca="1" si="925"/>
        <v xml:space="preserve">Enter a value for 'Number of Floors in the Tallest Building' in cell B60.
</v>
      </c>
      <c r="H2603" s="52" t="str">
        <f t="shared" ca="1" si="926"/>
        <v>Cost of Acquiring the Building***</v>
      </c>
      <c r="I2603" s="52">
        <v>14</v>
      </c>
    </row>
    <row r="2604" spans="1:10" ht="15" customHeight="1">
      <c r="A2604" t="str">
        <f ca="1">IF(AND(OFFSET(A2604, -I2604 + 2, 4) &gt;  0, E2604="", Calculations!$B$7), F2604, "")</f>
        <v/>
      </c>
      <c r="B2604">
        <f t="shared" si="921"/>
        <v>67</v>
      </c>
      <c r="C2604">
        <f t="shared" ca="1" si="901"/>
        <v>64</v>
      </c>
      <c r="D2604" t="str">
        <f t="shared" si="922"/>
        <v>O67</v>
      </c>
      <c r="E2604" t="str">
        <f t="shared" ca="1" si="923"/>
        <v/>
      </c>
      <c r="F2604" t="str">
        <f t="shared" ca="1" si="924"/>
        <v xml:space="preserve">Enter a 'Higher of Land Purchase Price or Land Appraised Value****' for  building 64 in cell O67.
</v>
      </c>
      <c r="G2604" s="9" t="str">
        <f t="shared" ca="1" si="925"/>
        <v xml:space="preserve">Enter a value for 'Number of Floors in the Tallest Building' in cell B60.
</v>
      </c>
      <c r="H2604" s="52" t="str">
        <f t="shared" ca="1" si="926"/>
        <v>Higher of Land Purchase Price or Land Appraised Value****</v>
      </c>
      <c r="I2604" s="52">
        <v>15</v>
      </c>
    </row>
    <row r="2605" spans="1:10" ht="15" customHeight="1">
      <c r="A2605" t="str">
        <f ca="1">IF(AND(OFFSET(A2605, -I2605 + 2, 4) &gt;  0, E2605="", Calculations!$B$7), F2605, "")</f>
        <v/>
      </c>
      <c r="B2605">
        <f t="shared" si="921"/>
        <v>67</v>
      </c>
      <c r="C2605">
        <f t="shared" ca="1" si="901"/>
        <v>64</v>
      </c>
      <c r="D2605" t="str">
        <f t="shared" si="922"/>
        <v>P67</v>
      </c>
      <c r="E2605" t="str">
        <f t="shared" ca="1" si="923"/>
        <v/>
      </c>
      <c r="F2605" t="str">
        <f t="shared" ca="1" si="924"/>
        <v xml:space="preserve">Enter a 'Acquisition Placed-in-Service Date' for  building 64 in cell P67.
</v>
      </c>
      <c r="G2605" s="9" t="str">
        <f t="shared" ca="1" si="925"/>
        <v xml:space="preserve">Enter a value for 'Number of Floors in the Tallest Building' in cell B60.
</v>
      </c>
      <c r="H2605" s="52" t="str">
        <f t="shared" ca="1" si="926"/>
        <v>Acquisition Placed-in-Service Date</v>
      </c>
      <c r="I2605" s="52">
        <v>16</v>
      </c>
    </row>
    <row r="2606" spans="1:10" ht="15" customHeight="1">
      <c r="A2606" t="str">
        <f ca="1">IF(AND(OFFSET(A2606, -I2606 + 2, 4) &gt;  0, E2606="", Calculations!$B$7), F2606, "")</f>
        <v/>
      </c>
      <c r="B2606">
        <f t="shared" si="921"/>
        <v>67</v>
      </c>
      <c r="C2606">
        <f t="shared" ca="1" si="901"/>
        <v>64</v>
      </c>
      <c r="D2606" t="str">
        <f t="shared" si="922"/>
        <v>Q67</v>
      </c>
      <c r="E2606" t="str">
        <f t="shared" ca="1" si="923"/>
        <v/>
      </c>
      <c r="F2606" t="str">
        <f t="shared" ca="1" si="924"/>
        <v xml:space="preserve">Enter a 'Acquisition APR' for  building 64 in cell Q67.
</v>
      </c>
      <c r="G2606" s="9" t="str">
        <f t="shared" ca="1" si="925"/>
        <v xml:space="preserve">Enter a value for 'Number of Floors in the Tallest Building' in cell B60.
</v>
      </c>
      <c r="H2606" s="52" t="str">
        <f t="shared" ca="1" si="926"/>
        <v>Acquisition APR</v>
      </c>
      <c r="I2606" s="52">
        <v>17</v>
      </c>
    </row>
    <row r="2607" spans="1:10" ht="15" customHeight="1">
      <c r="A2607" t="str">
        <f ca="1">IF(AND(Calculations!$B$4,Calculations!$B$29&gt;=C2607, E2607 &lt;&gt; 13),F2607,"")</f>
        <v/>
      </c>
      <c r="B2607">
        <f>ROW('Final Building Profile'!C68)</f>
        <v>68</v>
      </c>
      <c r="C2607">
        <f t="shared" ref="C2607:C2670" ca="1" si="927">INDIRECT($F$1565 &amp; ADDRESS(B2607, 1,4  ))</f>
        <v>65</v>
      </c>
      <c r="D2607" t="str">
        <f>ADDRESS(B2607, 3,4  )</f>
        <v>C68</v>
      </c>
      <c r="E2607" s="52">
        <f ca="1">H2607+I2607</f>
        <v>0</v>
      </c>
      <c r="F2607" t="str">
        <f ca="1">CONCATENATE("Based upon the number of buildings specified, information for  building ", C2607, " required for a final application in row ", B2607, ".", CHAR(10))</f>
        <v xml:space="preserve">Based upon the number of buildings specified, information for  building 65 required for a final application in row 68.
</v>
      </c>
      <c r="G2607" s="9" t="str">
        <f t="shared" ca="1" si="925"/>
        <v xml:space="preserve">Enter a value for 'Number of Floors in the Tallest Building' in cell B60.
</v>
      </c>
      <c r="H2607" s="52">
        <f ca="1">SUMPRODUCT(--ISTEXT(INDIRECT(J2607)))</f>
        <v>0</v>
      </c>
      <c r="I2607" s="52">
        <f ca="1">SUMPRODUCT(--ISNUMBER(INDIRECT(J2607)))</f>
        <v>0</v>
      </c>
      <c r="J2607" s="52" t="str">
        <f>$F$1565&amp; ADDRESS(B2607,3,4) &amp; ":" &amp; ADDRESS(B2607,15,4)</f>
        <v>'Final Building Profile'!C68:O68</v>
      </c>
    </row>
    <row r="2608" spans="1:10" ht="15" customHeight="1">
      <c r="A2608" t="str">
        <f t="shared" ref="A2608:A2617" ca="1" si="928">IF(AND(OFFSET(A2608, -I2608 + 2, 4) &gt;  0, E2608=""), F2608, "")</f>
        <v/>
      </c>
      <c r="B2608">
        <f t="shared" ref="B2608:B2622" si="929">B2607</f>
        <v>68</v>
      </c>
      <c r="C2608">
        <f t="shared" ca="1" si="927"/>
        <v>65</v>
      </c>
      <c r="D2608" t="str">
        <f t="shared" ref="D2608:D2622" si="930">ADDRESS(B2608, I2608,4  )</f>
        <v>C68</v>
      </c>
      <c r="E2608" t="str">
        <f t="shared" ref="E2608:E2622" ca="1" si="931">IF(ISBLANK( INDIRECT($F$1565 &amp; D2608)),"", INDIRECT($F$1565 &amp; D2608))</f>
        <v/>
      </c>
      <c r="F2608" t="str">
        <f t="shared" ref="F2608:F2622" ca="1" si="932">CONCATENATE("Enter a '"&amp; H2608 &amp;"' for  building ", C2608, " in cell ", D2608, ".", CHAR(10))</f>
        <v xml:space="preserve">Enter a 'Building Street Address Only 
(DO NOT ENTER CITY, STATE, OR ZIP)' for  building 65 in cell C68.
</v>
      </c>
      <c r="G2608" s="9" t="str">
        <f t="shared" ca="1" si="925"/>
        <v xml:space="preserve">Enter a value for 'Number of Floors in the Tallest Building' in cell B60.
</v>
      </c>
      <c r="H2608" s="52" t="str">
        <f t="shared" ref="H2608:H2622" ca="1" si="933">OFFSET(INDIRECT($F$1565 &amp; D2608), -B2608 + 3, 0)</f>
        <v>Building Street Address Only 
(DO NOT ENTER CITY, STATE, OR ZIP)</v>
      </c>
      <c r="I2608" s="52">
        <v>3</v>
      </c>
    </row>
    <row r="2609" spans="1:10" ht="15" customHeight="1">
      <c r="A2609" t="str">
        <f t="shared" ca="1" si="928"/>
        <v/>
      </c>
      <c r="B2609">
        <f t="shared" si="929"/>
        <v>68</v>
      </c>
      <c r="C2609">
        <f t="shared" ca="1" si="927"/>
        <v>65</v>
      </c>
      <c r="D2609" t="str">
        <f t="shared" si="930"/>
        <v>D68</v>
      </c>
      <c r="E2609" t="str">
        <f t="shared" ca="1" si="931"/>
        <v/>
      </c>
      <c r="F2609" t="str">
        <f t="shared" ca="1" si="932"/>
        <v xml:space="preserve">Enter a 'Total Units in Building*' for  building 65 in cell D68.
</v>
      </c>
      <c r="G2609" s="9" t="str">
        <f t="shared" ca="1" si="925"/>
        <v xml:space="preserve">Enter a value for 'Number of Floors in the Tallest Building' in cell B60.
</v>
      </c>
      <c r="H2609" s="52" t="str">
        <f t="shared" ca="1" si="933"/>
        <v>Total Units in Building*</v>
      </c>
      <c r="I2609" s="52">
        <v>4</v>
      </c>
    </row>
    <row r="2610" spans="1:10" ht="15" customHeight="1">
      <c r="A2610" t="str">
        <f t="shared" ca="1" si="928"/>
        <v/>
      </c>
      <c r="B2610">
        <f t="shared" si="929"/>
        <v>68</v>
      </c>
      <c r="C2610">
        <f t="shared" ca="1" si="927"/>
        <v>65</v>
      </c>
      <c r="D2610" t="str">
        <f t="shared" si="930"/>
        <v>E68</v>
      </c>
      <c r="E2610" t="str">
        <f t="shared" ca="1" si="931"/>
        <v/>
      </c>
      <c r="F2610" t="str">
        <f t="shared" ca="1" si="932"/>
        <v xml:space="preserve">Enter a 'Employee Units' for  building 65 in cell E68.
</v>
      </c>
      <c r="G2610" s="9" t="str">
        <f t="shared" ca="1" si="925"/>
        <v xml:space="preserve">Enter a value for 'Number of Floors in the Tallest Building' in cell B60.
</v>
      </c>
      <c r="H2610" s="52" t="str">
        <f t="shared" ca="1" si="933"/>
        <v>Employee Units</v>
      </c>
      <c r="I2610" s="52">
        <v>5</v>
      </c>
    </row>
    <row r="2611" spans="1:10" ht="15" customHeight="1">
      <c r="A2611" t="str">
        <f t="shared" ca="1" si="928"/>
        <v/>
      </c>
      <c r="B2611">
        <f t="shared" si="929"/>
        <v>68</v>
      </c>
      <c r="C2611">
        <f t="shared" ca="1" si="927"/>
        <v>65</v>
      </c>
      <c r="D2611" t="str">
        <f t="shared" si="930"/>
        <v>F68</v>
      </c>
      <c r="E2611" t="str">
        <f t="shared" ca="1" si="931"/>
        <v/>
      </c>
      <c r="F2611" t="str">
        <f t="shared" ca="1" si="932"/>
        <v xml:space="preserve">Enter a 'Low-Income Units' for  building 65 in cell F68.
</v>
      </c>
      <c r="G2611" s="9" t="str">
        <f t="shared" ca="1" si="925"/>
        <v xml:space="preserve">Enter a value for 'Number of Floors in the Tallest Building' in cell B60.
</v>
      </c>
      <c r="H2611" s="52" t="str">
        <f t="shared" ca="1" si="933"/>
        <v>Low-Income Units</v>
      </c>
      <c r="I2611" s="52">
        <v>6</v>
      </c>
    </row>
    <row r="2612" spans="1:10" ht="15" customHeight="1">
      <c r="A2612" t="str">
        <f t="shared" ca="1" si="928"/>
        <v/>
      </c>
      <c r="B2612">
        <f t="shared" si="929"/>
        <v>68</v>
      </c>
      <c r="C2612">
        <f t="shared" ca="1" si="927"/>
        <v>65</v>
      </c>
      <c r="D2612" t="str">
        <f t="shared" si="930"/>
        <v>G68</v>
      </c>
      <c r="E2612" t="str">
        <f t="shared" ca="1" si="931"/>
        <v/>
      </c>
      <c r="F2612" t="str">
        <f t="shared" ca="1" si="932"/>
        <v xml:space="preserve">Enter a 'Residential Square Footage**' for  building 65 in cell G68.
</v>
      </c>
      <c r="G2612" s="9" t="str">
        <f t="shared" ca="1" si="925"/>
        <v xml:space="preserve">Enter a value for 'Number of Floors in the Tallest Building' in cell B60.
</v>
      </c>
      <c r="H2612" s="52" t="str">
        <f t="shared" ca="1" si="933"/>
        <v>Residential Square Footage**</v>
      </c>
      <c r="I2612" s="52">
        <v>7</v>
      </c>
    </row>
    <row r="2613" spans="1:10" ht="15" customHeight="1">
      <c r="A2613" t="str">
        <f t="shared" ca="1" si="928"/>
        <v/>
      </c>
      <c r="B2613">
        <f t="shared" si="929"/>
        <v>68</v>
      </c>
      <c r="C2613">
        <f t="shared" ca="1" si="927"/>
        <v>65</v>
      </c>
      <c r="D2613" t="str">
        <f t="shared" si="930"/>
        <v>H68</v>
      </c>
      <c r="E2613" t="str">
        <f t="shared" ca="1" si="931"/>
        <v/>
      </c>
      <c r="F2613" t="str">
        <f t="shared" ca="1" si="932"/>
        <v xml:space="preserve">Enter a 'Square Footage of Employee Units' for  building 65 in cell H68.
</v>
      </c>
      <c r="G2613" s="9" t="str">
        <f t="shared" ca="1" si="925"/>
        <v xml:space="preserve">Enter a value for 'Number of Floors in the Tallest Building' in cell B60.
</v>
      </c>
      <c r="H2613" s="52" t="str">
        <f t="shared" ca="1" si="933"/>
        <v>Square Footage of Employee Units</v>
      </c>
      <c r="I2613" s="52">
        <v>8</v>
      </c>
    </row>
    <row r="2614" spans="1:10" ht="15" customHeight="1">
      <c r="A2614" t="str">
        <f t="shared" ca="1" si="928"/>
        <v/>
      </c>
      <c r="B2614">
        <f t="shared" si="929"/>
        <v>68</v>
      </c>
      <c r="C2614">
        <f t="shared" ca="1" si="927"/>
        <v>65</v>
      </c>
      <c r="D2614" t="str">
        <f t="shared" si="930"/>
        <v>I68</v>
      </c>
      <c r="E2614" t="str">
        <f t="shared" ca="1" si="931"/>
        <v/>
      </c>
      <c r="F2614" t="str">
        <f t="shared" ca="1" si="932"/>
        <v xml:space="preserve">Enter a 'Square Footage of Low-Income Units' for  building 65 in cell I68.
</v>
      </c>
      <c r="G2614" s="9" t="str">
        <f t="shared" ca="1" si="925"/>
        <v xml:space="preserve">Enter a value for 'Number of Floors in the Tallest Building' in cell B60.
</v>
      </c>
      <c r="H2614" s="52" t="str">
        <f t="shared" ca="1" si="933"/>
        <v>Square Footage of Low-Income Units</v>
      </c>
      <c r="I2614" s="52">
        <v>9</v>
      </c>
    </row>
    <row r="2615" spans="1:10" ht="15" customHeight="1">
      <c r="A2615" t="str">
        <f t="shared" ca="1" si="928"/>
        <v/>
      </c>
      <c r="B2615">
        <f t="shared" si="929"/>
        <v>68</v>
      </c>
      <c r="C2615">
        <f t="shared" ca="1" si="927"/>
        <v>65</v>
      </c>
      <c r="D2615" t="str">
        <f t="shared" si="930"/>
        <v>J68</v>
      </c>
      <c r="E2615" t="str">
        <f t="shared" ca="1" si="931"/>
        <v/>
      </c>
      <c r="F2615" t="str">
        <f t="shared" ca="1" si="932"/>
        <v xml:space="preserve">Enter a 'Placed-In-Service Date' for  building 65 in cell J68.
</v>
      </c>
      <c r="G2615" s="9" t="str">
        <f t="shared" ca="1" si="925"/>
        <v xml:space="preserve">Enter a value for 'Number of Floors in the Tallest Building' in cell B60.
</v>
      </c>
      <c r="H2615" s="52" t="str">
        <f t="shared" ca="1" si="933"/>
        <v>Placed-In-Service Date</v>
      </c>
      <c r="I2615" s="52">
        <v>10</v>
      </c>
    </row>
    <row r="2616" spans="1:10" ht="15" customHeight="1">
      <c r="A2616" t="str">
        <f t="shared" ca="1" si="928"/>
        <v/>
      </c>
      <c r="B2616">
        <f t="shared" si="929"/>
        <v>68</v>
      </c>
      <c r="C2616">
        <f t="shared" ca="1" si="927"/>
        <v>65</v>
      </c>
      <c r="D2616" t="str">
        <f t="shared" si="930"/>
        <v>K68</v>
      </c>
      <c r="E2616" t="str">
        <f t="shared" ca="1" si="931"/>
        <v/>
      </c>
      <c r="F2616" t="str">
        <f t="shared" ca="1" si="932"/>
        <v xml:space="preserve">Enter a 'New Construction/ Rehab APR' for  building 65 in cell K68.
</v>
      </c>
      <c r="G2616" s="9" t="str">
        <f t="shared" ca="1" si="925"/>
        <v xml:space="preserve">Enter a value for 'Number of Floors in the Tallest Building' in cell B60.
</v>
      </c>
      <c r="H2616" s="52" t="str">
        <f t="shared" ca="1" si="933"/>
        <v>New Construction/ Rehab APR</v>
      </c>
      <c r="I2616" s="52">
        <v>11</v>
      </c>
    </row>
    <row r="2617" spans="1:10" ht="15" customHeight="1">
      <c r="A2617" t="str">
        <f t="shared" ca="1" si="928"/>
        <v/>
      </c>
      <c r="B2617">
        <f t="shared" si="929"/>
        <v>68</v>
      </c>
      <c r="C2617">
        <f t="shared" ca="1" si="927"/>
        <v>65</v>
      </c>
      <c r="D2617" t="str">
        <f t="shared" si="930"/>
        <v>L68</v>
      </c>
      <c r="E2617" t="str">
        <f t="shared" ca="1" si="931"/>
        <v/>
      </c>
      <c r="F2617" t="str">
        <f t="shared" ca="1" si="932"/>
        <v xml:space="preserve">Enter a 'New Construction Eligible Basis' for  building 65 in cell L68.
</v>
      </c>
      <c r="G2617" s="9" t="str">
        <f t="shared" ca="1" si="925"/>
        <v xml:space="preserve">Enter a value for 'Number of Floors in the Tallest Building' in cell B60.
</v>
      </c>
      <c r="H2617" s="52" t="str">
        <f t="shared" ca="1" si="933"/>
        <v>New Construction Eligible Basis</v>
      </c>
      <c r="I2617" s="52">
        <v>12</v>
      </c>
    </row>
    <row r="2618" spans="1:10" ht="15" customHeight="1">
      <c r="A2618" t="str">
        <f ca="1">IF(AND(OFFSET(A2618, -I2618 + 2, 4) &gt;  0, E2618="", Calculations!$B$7), F2618, "")</f>
        <v/>
      </c>
      <c r="B2618">
        <f t="shared" si="929"/>
        <v>68</v>
      </c>
      <c r="C2618">
        <f t="shared" ca="1" si="927"/>
        <v>65</v>
      </c>
      <c r="D2618" t="str">
        <f t="shared" si="930"/>
        <v>M68</v>
      </c>
      <c r="E2618" t="str">
        <f t="shared" ca="1" si="931"/>
        <v/>
      </c>
      <c r="F2618" t="str">
        <f t="shared" ca="1" si="932"/>
        <v xml:space="preserve">Enter a 'Eligible Basis for Rehab' for  building 65 in cell M68.
</v>
      </c>
      <c r="G2618" s="9" t="str">
        <f t="shared" ca="1" si="925"/>
        <v xml:space="preserve">Enter a value for 'Number of Floors in the Tallest Building' in cell B60.
</v>
      </c>
      <c r="H2618" s="52" t="str">
        <f t="shared" ca="1" si="933"/>
        <v>Eligible Basis for Rehab</v>
      </c>
      <c r="I2618" s="52">
        <v>13</v>
      </c>
    </row>
    <row r="2619" spans="1:10" ht="15" customHeight="1">
      <c r="A2619" t="str">
        <f ca="1">IF(AND(OFFSET(A2619, -I2619 + 2, 4) &gt;  0, E2619="", Calculations!$B$7), F2619, "")</f>
        <v/>
      </c>
      <c r="B2619">
        <f t="shared" si="929"/>
        <v>68</v>
      </c>
      <c r="C2619">
        <f t="shared" ca="1" si="927"/>
        <v>65</v>
      </c>
      <c r="D2619" t="str">
        <f t="shared" si="930"/>
        <v>N68</v>
      </c>
      <c r="E2619" t="str">
        <f t="shared" ca="1" si="931"/>
        <v/>
      </c>
      <c r="F2619" t="str">
        <f t="shared" ca="1" si="932"/>
        <v xml:space="preserve">Enter a 'Cost of Acquiring the Building***' for  building 65 in cell N68.
</v>
      </c>
      <c r="G2619" s="9" t="str">
        <f t="shared" ca="1" si="925"/>
        <v xml:space="preserve">Enter a value for 'Number of Floors in the Tallest Building' in cell B60.
</v>
      </c>
      <c r="H2619" s="52" t="str">
        <f t="shared" ca="1" si="933"/>
        <v>Cost of Acquiring the Building***</v>
      </c>
      <c r="I2619" s="52">
        <v>14</v>
      </c>
    </row>
    <row r="2620" spans="1:10" ht="15" customHeight="1">
      <c r="A2620" t="str">
        <f ca="1">IF(AND(OFFSET(A2620, -I2620 + 2, 4) &gt;  0, E2620="", Calculations!$B$7), F2620, "")</f>
        <v/>
      </c>
      <c r="B2620">
        <f t="shared" si="929"/>
        <v>68</v>
      </c>
      <c r="C2620">
        <f t="shared" ca="1" si="927"/>
        <v>65</v>
      </c>
      <c r="D2620" t="str">
        <f t="shared" si="930"/>
        <v>O68</v>
      </c>
      <c r="E2620" t="str">
        <f t="shared" ca="1" si="931"/>
        <v/>
      </c>
      <c r="F2620" t="str">
        <f t="shared" ca="1" si="932"/>
        <v xml:space="preserve">Enter a 'Higher of Land Purchase Price or Land Appraised Value****' for  building 65 in cell O68.
</v>
      </c>
      <c r="G2620" s="9" t="str">
        <f t="shared" ca="1" si="925"/>
        <v xml:space="preserve">Enter a value for 'Number of Floors in the Tallest Building' in cell B60.
</v>
      </c>
      <c r="H2620" s="52" t="str">
        <f t="shared" ca="1" si="933"/>
        <v>Higher of Land Purchase Price or Land Appraised Value****</v>
      </c>
      <c r="I2620" s="52">
        <v>15</v>
      </c>
    </row>
    <row r="2621" spans="1:10" ht="15" customHeight="1">
      <c r="A2621" t="str">
        <f ca="1">IF(AND(OFFSET(A2621, -I2621 + 2, 4) &gt;  0, E2621="", Calculations!$B$7), F2621, "")</f>
        <v/>
      </c>
      <c r="B2621">
        <f t="shared" si="929"/>
        <v>68</v>
      </c>
      <c r="C2621">
        <f t="shared" ca="1" si="927"/>
        <v>65</v>
      </c>
      <c r="D2621" t="str">
        <f t="shared" si="930"/>
        <v>P68</v>
      </c>
      <c r="E2621" t="str">
        <f t="shared" ca="1" si="931"/>
        <v/>
      </c>
      <c r="F2621" t="str">
        <f t="shared" ca="1" si="932"/>
        <v xml:space="preserve">Enter a 'Acquisition Placed-in-Service Date' for  building 65 in cell P68.
</v>
      </c>
      <c r="G2621" s="9" t="str">
        <f t="shared" ca="1" si="925"/>
        <v xml:space="preserve">Enter a value for 'Number of Floors in the Tallest Building' in cell B60.
</v>
      </c>
      <c r="H2621" s="52" t="str">
        <f t="shared" ca="1" si="933"/>
        <v>Acquisition Placed-in-Service Date</v>
      </c>
      <c r="I2621" s="52">
        <v>16</v>
      </c>
    </row>
    <row r="2622" spans="1:10" ht="15" customHeight="1">
      <c r="A2622" t="str">
        <f ca="1">IF(AND(OFFSET(A2622, -I2622 + 2, 4) &gt;  0, E2622="", Calculations!$B$7), F2622, "")</f>
        <v/>
      </c>
      <c r="B2622">
        <f t="shared" si="929"/>
        <v>68</v>
      </c>
      <c r="C2622">
        <f t="shared" ca="1" si="927"/>
        <v>65</v>
      </c>
      <c r="D2622" t="str">
        <f t="shared" si="930"/>
        <v>Q68</v>
      </c>
      <c r="E2622" t="str">
        <f t="shared" ca="1" si="931"/>
        <v/>
      </c>
      <c r="F2622" t="str">
        <f t="shared" ca="1" si="932"/>
        <v xml:space="preserve">Enter a 'Acquisition APR' for  building 65 in cell Q68.
</v>
      </c>
      <c r="G2622" s="9" t="str">
        <f t="shared" ca="1" si="925"/>
        <v xml:space="preserve">Enter a value for 'Number of Floors in the Tallest Building' in cell B60.
</v>
      </c>
      <c r="H2622" s="52" t="str">
        <f t="shared" ca="1" si="933"/>
        <v>Acquisition APR</v>
      </c>
      <c r="I2622" s="52">
        <v>17</v>
      </c>
    </row>
    <row r="2623" spans="1:10" ht="15" customHeight="1">
      <c r="A2623" t="str">
        <f ca="1">IF(AND(Calculations!$B$4,Calculations!$B$29&gt;=C2623, E2623 &lt;&gt; 13),F2623,"")</f>
        <v/>
      </c>
      <c r="B2623">
        <f>ROW('Final Building Profile'!C69)</f>
        <v>69</v>
      </c>
      <c r="C2623">
        <f t="shared" ca="1" si="927"/>
        <v>66</v>
      </c>
      <c r="D2623" t="str">
        <f>ADDRESS(B2623, 3,4  )</f>
        <v>C69</v>
      </c>
      <c r="E2623" s="52">
        <f ca="1">H2623+I2623</f>
        <v>0</v>
      </c>
      <c r="F2623" t="str">
        <f ca="1">CONCATENATE("Based upon the number of buildings specified, information for  building ", C2623, " required for a final application in row ", B2623, ".", CHAR(10))</f>
        <v xml:space="preserve">Based upon the number of buildings specified, information for  building 66 required for a final application in row 69.
</v>
      </c>
      <c r="G2623" s="9" t="str">
        <f t="shared" ca="1" si="925"/>
        <v xml:space="preserve">Enter a value for 'Number of Floors in the Tallest Building' in cell B60.
</v>
      </c>
      <c r="H2623" s="52">
        <f ca="1">SUMPRODUCT(--ISTEXT(INDIRECT(J2623)))</f>
        <v>0</v>
      </c>
      <c r="I2623" s="52">
        <f ca="1">SUMPRODUCT(--ISNUMBER(INDIRECT(J2623)))</f>
        <v>0</v>
      </c>
      <c r="J2623" s="52" t="str">
        <f>$F$1565&amp; ADDRESS(B2623,3,4) &amp; ":" &amp; ADDRESS(B2623,15,4)</f>
        <v>'Final Building Profile'!C69:O69</v>
      </c>
    </row>
    <row r="2624" spans="1:10" ht="15" customHeight="1">
      <c r="A2624" t="str">
        <f t="shared" ref="A2624:A2633" ca="1" si="934">IF(AND(OFFSET(A2624, -I2624 + 2, 4) &gt;  0, E2624=""), F2624, "")</f>
        <v/>
      </c>
      <c r="B2624">
        <f t="shared" ref="B2624:B2638" si="935">B2623</f>
        <v>69</v>
      </c>
      <c r="C2624">
        <f t="shared" ca="1" si="927"/>
        <v>66</v>
      </c>
      <c r="D2624" t="str">
        <f t="shared" ref="D2624:D2638" si="936">ADDRESS(B2624, I2624,4  )</f>
        <v>C69</v>
      </c>
      <c r="E2624" t="str">
        <f t="shared" ref="E2624:E2638" ca="1" si="937">IF(ISBLANK( INDIRECT($F$1565 &amp; D2624)),"", INDIRECT($F$1565 &amp; D2624))</f>
        <v/>
      </c>
      <c r="F2624" t="str">
        <f t="shared" ref="F2624:F2638" ca="1" si="938">CONCATENATE("Enter a '"&amp; H2624 &amp;"' for  building ", C2624, " in cell ", D2624, ".", CHAR(10))</f>
        <v xml:space="preserve">Enter a 'Building Street Address Only 
(DO NOT ENTER CITY, STATE, OR ZIP)' for  building 66 in cell C69.
</v>
      </c>
      <c r="G2624" s="9" t="str">
        <f t="shared" ca="1" si="925"/>
        <v xml:space="preserve">Enter a value for 'Number of Floors in the Tallest Building' in cell B60.
</v>
      </c>
      <c r="H2624" s="52" t="str">
        <f t="shared" ref="H2624:H2638" ca="1" si="939">OFFSET(INDIRECT($F$1565 &amp; D2624), -B2624 + 3, 0)</f>
        <v>Building Street Address Only 
(DO NOT ENTER CITY, STATE, OR ZIP)</v>
      </c>
      <c r="I2624" s="52">
        <v>3</v>
      </c>
    </row>
    <row r="2625" spans="1:10" ht="15" customHeight="1">
      <c r="A2625" t="str">
        <f t="shared" ca="1" si="934"/>
        <v/>
      </c>
      <c r="B2625">
        <f t="shared" si="935"/>
        <v>69</v>
      </c>
      <c r="C2625">
        <f t="shared" ca="1" si="927"/>
        <v>66</v>
      </c>
      <c r="D2625" t="str">
        <f t="shared" si="936"/>
        <v>D69</v>
      </c>
      <c r="E2625" t="str">
        <f t="shared" ca="1" si="937"/>
        <v/>
      </c>
      <c r="F2625" t="str">
        <f t="shared" ca="1" si="938"/>
        <v xml:space="preserve">Enter a 'Total Units in Building*' for  building 66 in cell D69.
</v>
      </c>
      <c r="G2625" s="9" t="str">
        <f t="shared" ca="1" si="925"/>
        <v xml:space="preserve">Enter a value for 'Number of Floors in the Tallest Building' in cell B60.
</v>
      </c>
      <c r="H2625" s="52" t="str">
        <f t="shared" ca="1" si="939"/>
        <v>Total Units in Building*</v>
      </c>
      <c r="I2625" s="52">
        <v>4</v>
      </c>
    </row>
    <row r="2626" spans="1:10" ht="15" customHeight="1">
      <c r="A2626" t="str">
        <f t="shared" ca="1" si="934"/>
        <v/>
      </c>
      <c r="B2626">
        <f t="shared" si="935"/>
        <v>69</v>
      </c>
      <c r="C2626">
        <f t="shared" ca="1" si="927"/>
        <v>66</v>
      </c>
      <c r="D2626" t="str">
        <f t="shared" si="936"/>
        <v>E69</v>
      </c>
      <c r="E2626" t="str">
        <f t="shared" ca="1" si="937"/>
        <v/>
      </c>
      <c r="F2626" t="str">
        <f t="shared" ca="1" si="938"/>
        <v xml:space="preserve">Enter a 'Employee Units' for  building 66 in cell E69.
</v>
      </c>
      <c r="G2626" s="9" t="str">
        <f t="shared" ca="1" si="925"/>
        <v xml:space="preserve">Enter a value for 'Number of Floors in the Tallest Building' in cell B60.
</v>
      </c>
      <c r="H2626" s="52" t="str">
        <f t="shared" ca="1" si="939"/>
        <v>Employee Units</v>
      </c>
      <c r="I2626" s="52">
        <v>5</v>
      </c>
    </row>
    <row r="2627" spans="1:10" ht="15" customHeight="1">
      <c r="A2627" t="str">
        <f t="shared" ca="1" si="934"/>
        <v/>
      </c>
      <c r="B2627">
        <f t="shared" si="935"/>
        <v>69</v>
      </c>
      <c r="C2627">
        <f t="shared" ca="1" si="927"/>
        <v>66</v>
      </c>
      <c r="D2627" t="str">
        <f t="shared" si="936"/>
        <v>F69</v>
      </c>
      <c r="E2627" t="str">
        <f t="shared" ca="1" si="937"/>
        <v/>
      </c>
      <c r="F2627" t="str">
        <f t="shared" ca="1" si="938"/>
        <v xml:space="preserve">Enter a 'Low-Income Units' for  building 66 in cell F69.
</v>
      </c>
      <c r="G2627" s="9" t="str">
        <f t="shared" ca="1" si="925"/>
        <v xml:space="preserve">Enter a value for 'Number of Floors in the Tallest Building' in cell B60.
</v>
      </c>
      <c r="H2627" s="52" t="str">
        <f t="shared" ca="1" si="939"/>
        <v>Low-Income Units</v>
      </c>
      <c r="I2627" s="52">
        <v>6</v>
      </c>
    </row>
    <row r="2628" spans="1:10" ht="15" customHeight="1">
      <c r="A2628" t="str">
        <f t="shared" ca="1" si="934"/>
        <v/>
      </c>
      <c r="B2628">
        <f t="shared" si="935"/>
        <v>69</v>
      </c>
      <c r="C2628">
        <f t="shared" ca="1" si="927"/>
        <v>66</v>
      </c>
      <c r="D2628" t="str">
        <f t="shared" si="936"/>
        <v>G69</v>
      </c>
      <c r="E2628" t="str">
        <f t="shared" ca="1" si="937"/>
        <v/>
      </c>
      <c r="F2628" t="str">
        <f t="shared" ca="1" si="938"/>
        <v xml:space="preserve">Enter a 'Residential Square Footage**' for  building 66 in cell G69.
</v>
      </c>
      <c r="G2628" s="9" t="str">
        <f t="shared" ca="1" si="925"/>
        <v xml:space="preserve">Enter a value for 'Number of Floors in the Tallest Building' in cell B60.
</v>
      </c>
      <c r="H2628" s="52" t="str">
        <f t="shared" ca="1" si="939"/>
        <v>Residential Square Footage**</v>
      </c>
      <c r="I2628" s="52">
        <v>7</v>
      </c>
    </row>
    <row r="2629" spans="1:10" ht="15" customHeight="1">
      <c r="A2629" t="str">
        <f t="shared" ca="1" si="934"/>
        <v/>
      </c>
      <c r="B2629">
        <f t="shared" si="935"/>
        <v>69</v>
      </c>
      <c r="C2629">
        <f t="shared" ca="1" si="927"/>
        <v>66</v>
      </c>
      <c r="D2629" t="str">
        <f t="shared" si="936"/>
        <v>H69</v>
      </c>
      <c r="E2629" t="str">
        <f t="shared" ca="1" si="937"/>
        <v/>
      </c>
      <c r="F2629" t="str">
        <f t="shared" ca="1" si="938"/>
        <v xml:space="preserve">Enter a 'Square Footage of Employee Units' for  building 66 in cell H69.
</v>
      </c>
      <c r="G2629" s="9" t="str">
        <f t="shared" ca="1" si="925"/>
        <v xml:space="preserve">Enter a value for 'Number of Floors in the Tallest Building' in cell B60.
</v>
      </c>
      <c r="H2629" s="52" t="str">
        <f t="shared" ca="1" si="939"/>
        <v>Square Footage of Employee Units</v>
      </c>
      <c r="I2629" s="52">
        <v>8</v>
      </c>
    </row>
    <row r="2630" spans="1:10" ht="15" customHeight="1">
      <c r="A2630" t="str">
        <f t="shared" ca="1" si="934"/>
        <v/>
      </c>
      <c r="B2630">
        <f t="shared" si="935"/>
        <v>69</v>
      </c>
      <c r="C2630">
        <f t="shared" ca="1" si="927"/>
        <v>66</v>
      </c>
      <c r="D2630" t="str">
        <f t="shared" si="936"/>
        <v>I69</v>
      </c>
      <c r="E2630" t="str">
        <f t="shared" ca="1" si="937"/>
        <v/>
      </c>
      <c r="F2630" t="str">
        <f t="shared" ca="1" si="938"/>
        <v xml:space="preserve">Enter a 'Square Footage of Low-Income Units' for  building 66 in cell I69.
</v>
      </c>
      <c r="G2630" s="9" t="str">
        <f t="shared" ca="1" si="925"/>
        <v xml:space="preserve">Enter a value for 'Number of Floors in the Tallest Building' in cell B60.
</v>
      </c>
      <c r="H2630" s="52" t="str">
        <f t="shared" ca="1" si="939"/>
        <v>Square Footage of Low-Income Units</v>
      </c>
      <c r="I2630" s="52">
        <v>9</v>
      </c>
    </row>
    <row r="2631" spans="1:10" ht="15" customHeight="1">
      <c r="A2631" t="str">
        <f t="shared" ca="1" si="934"/>
        <v/>
      </c>
      <c r="B2631">
        <f t="shared" si="935"/>
        <v>69</v>
      </c>
      <c r="C2631">
        <f t="shared" ca="1" si="927"/>
        <v>66</v>
      </c>
      <c r="D2631" t="str">
        <f t="shared" si="936"/>
        <v>J69</v>
      </c>
      <c r="E2631" t="str">
        <f t="shared" ca="1" si="937"/>
        <v/>
      </c>
      <c r="F2631" t="str">
        <f t="shared" ca="1" si="938"/>
        <v xml:space="preserve">Enter a 'Placed-In-Service Date' for  building 66 in cell J69.
</v>
      </c>
      <c r="G2631" s="9" t="str">
        <f t="shared" ca="1" si="925"/>
        <v xml:space="preserve">Enter a value for 'Number of Floors in the Tallest Building' in cell B60.
</v>
      </c>
      <c r="H2631" s="52" t="str">
        <f t="shared" ca="1" si="939"/>
        <v>Placed-In-Service Date</v>
      </c>
      <c r="I2631" s="52">
        <v>10</v>
      </c>
    </row>
    <row r="2632" spans="1:10" ht="15" customHeight="1">
      <c r="A2632" t="str">
        <f t="shared" ca="1" si="934"/>
        <v/>
      </c>
      <c r="B2632">
        <f t="shared" si="935"/>
        <v>69</v>
      </c>
      <c r="C2632">
        <f t="shared" ca="1" si="927"/>
        <v>66</v>
      </c>
      <c r="D2632" t="str">
        <f t="shared" si="936"/>
        <v>K69</v>
      </c>
      <c r="E2632" t="str">
        <f t="shared" ca="1" si="937"/>
        <v/>
      </c>
      <c r="F2632" t="str">
        <f t="shared" ca="1" si="938"/>
        <v xml:space="preserve">Enter a 'New Construction/ Rehab APR' for  building 66 in cell K69.
</v>
      </c>
      <c r="G2632" s="9" t="str">
        <f t="shared" ca="1" si="925"/>
        <v xml:space="preserve">Enter a value for 'Number of Floors in the Tallest Building' in cell B60.
</v>
      </c>
      <c r="H2632" s="52" t="str">
        <f t="shared" ca="1" si="939"/>
        <v>New Construction/ Rehab APR</v>
      </c>
      <c r="I2632" s="52">
        <v>11</v>
      </c>
    </row>
    <row r="2633" spans="1:10" ht="15" customHeight="1">
      <c r="A2633" t="str">
        <f t="shared" ca="1" si="934"/>
        <v/>
      </c>
      <c r="B2633">
        <f t="shared" si="935"/>
        <v>69</v>
      </c>
      <c r="C2633">
        <f t="shared" ca="1" si="927"/>
        <v>66</v>
      </c>
      <c r="D2633" t="str">
        <f t="shared" si="936"/>
        <v>L69</v>
      </c>
      <c r="E2633" t="str">
        <f t="shared" ca="1" si="937"/>
        <v/>
      </c>
      <c r="F2633" t="str">
        <f t="shared" ca="1" si="938"/>
        <v xml:space="preserve">Enter a 'New Construction Eligible Basis' for  building 66 in cell L69.
</v>
      </c>
      <c r="G2633" s="9" t="str">
        <f t="shared" ca="1" si="925"/>
        <v xml:space="preserve">Enter a value for 'Number of Floors in the Tallest Building' in cell B60.
</v>
      </c>
      <c r="H2633" s="52" t="str">
        <f t="shared" ca="1" si="939"/>
        <v>New Construction Eligible Basis</v>
      </c>
      <c r="I2633" s="52">
        <v>12</v>
      </c>
    </row>
    <row r="2634" spans="1:10" ht="15" customHeight="1">
      <c r="A2634" t="str">
        <f ca="1">IF(AND(OFFSET(A2634, -I2634 + 2, 4) &gt;  0, E2634="", Calculations!$B$7), F2634, "")</f>
        <v/>
      </c>
      <c r="B2634">
        <f t="shared" si="935"/>
        <v>69</v>
      </c>
      <c r="C2634">
        <f t="shared" ca="1" si="927"/>
        <v>66</v>
      </c>
      <c r="D2634" t="str">
        <f t="shared" si="936"/>
        <v>M69</v>
      </c>
      <c r="E2634" t="str">
        <f t="shared" ca="1" si="937"/>
        <v/>
      </c>
      <c r="F2634" t="str">
        <f t="shared" ca="1" si="938"/>
        <v xml:space="preserve">Enter a 'Eligible Basis for Rehab' for  building 66 in cell M69.
</v>
      </c>
      <c r="G2634" s="9" t="str">
        <f t="shared" ca="1" si="925"/>
        <v xml:space="preserve">Enter a value for 'Number of Floors in the Tallest Building' in cell B60.
</v>
      </c>
      <c r="H2634" s="52" t="str">
        <f t="shared" ca="1" si="939"/>
        <v>Eligible Basis for Rehab</v>
      </c>
      <c r="I2634" s="52">
        <v>13</v>
      </c>
    </row>
    <row r="2635" spans="1:10" ht="15" customHeight="1">
      <c r="A2635" t="str">
        <f ca="1">IF(AND(OFFSET(A2635, -I2635 + 2, 4) &gt;  0, E2635="", Calculations!$B$7), F2635, "")</f>
        <v/>
      </c>
      <c r="B2635">
        <f t="shared" si="935"/>
        <v>69</v>
      </c>
      <c r="C2635">
        <f t="shared" ca="1" si="927"/>
        <v>66</v>
      </c>
      <c r="D2635" t="str">
        <f t="shared" si="936"/>
        <v>N69</v>
      </c>
      <c r="E2635" t="str">
        <f t="shared" ca="1" si="937"/>
        <v/>
      </c>
      <c r="F2635" t="str">
        <f t="shared" ca="1" si="938"/>
        <v xml:space="preserve">Enter a 'Cost of Acquiring the Building***' for  building 66 in cell N69.
</v>
      </c>
      <c r="G2635" s="9" t="str">
        <f t="shared" ca="1" si="925"/>
        <v xml:space="preserve">Enter a value for 'Number of Floors in the Tallest Building' in cell B60.
</v>
      </c>
      <c r="H2635" s="52" t="str">
        <f t="shared" ca="1" si="939"/>
        <v>Cost of Acquiring the Building***</v>
      </c>
      <c r="I2635" s="52">
        <v>14</v>
      </c>
    </row>
    <row r="2636" spans="1:10" ht="15" customHeight="1">
      <c r="A2636" t="str">
        <f ca="1">IF(AND(OFFSET(A2636, -I2636 + 2, 4) &gt;  0, E2636="", Calculations!$B$7), F2636, "")</f>
        <v/>
      </c>
      <c r="B2636">
        <f t="shared" si="935"/>
        <v>69</v>
      </c>
      <c r="C2636">
        <f t="shared" ca="1" si="927"/>
        <v>66</v>
      </c>
      <c r="D2636" t="str">
        <f t="shared" si="936"/>
        <v>O69</v>
      </c>
      <c r="E2636" t="str">
        <f t="shared" ca="1" si="937"/>
        <v/>
      </c>
      <c r="F2636" t="str">
        <f t="shared" ca="1" si="938"/>
        <v xml:space="preserve">Enter a 'Higher of Land Purchase Price or Land Appraised Value****' for  building 66 in cell O69.
</v>
      </c>
      <c r="G2636" s="9" t="str">
        <f t="shared" ca="1" si="925"/>
        <v xml:space="preserve">Enter a value for 'Number of Floors in the Tallest Building' in cell B60.
</v>
      </c>
      <c r="H2636" s="52" t="str">
        <f t="shared" ca="1" si="939"/>
        <v>Higher of Land Purchase Price or Land Appraised Value****</v>
      </c>
      <c r="I2636" s="52">
        <v>15</v>
      </c>
    </row>
    <row r="2637" spans="1:10" ht="15" customHeight="1">
      <c r="A2637" t="str">
        <f ca="1">IF(AND(OFFSET(A2637, -I2637 + 2, 4) &gt;  0, E2637="", Calculations!$B$7), F2637, "")</f>
        <v/>
      </c>
      <c r="B2637">
        <f t="shared" si="935"/>
        <v>69</v>
      </c>
      <c r="C2637">
        <f t="shared" ca="1" si="927"/>
        <v>66</v>
      </c>
      <c r="D2637" t="str">
        <f t="shared" si="936"/>
        <v>P69</v>
      </c>
      <c r="E2637" t="str">
        <f t="shared" ca="1" si="937"/>
        <v/>
      </c>
      <c r="F2637" t="str">
        <f t="shared" ca="1" si="938"/>
        <v xml:space="preserve">Enter a 'Acquisition Placed-in-Service Date' for  building 66 in cell P69.
</v>
      </c>
      <c r="G2637" s="9" t="str">
        <f t="shared" ca="1" si="925"/>
        <v xml:space="preserve">Enter a value for 'Number of Floors in the Tallest Building' in cell B60.
</v>
      </c>
      <c r="H2637" s="52" t="str">
        <f t="shared" ca="1" si="939"/>
        <v>Acquisition Placed-in-Service Date</v>
      </c>
      <c r="I2637" s="52">
        <v>16</v>
      </c>
    </row>
    <row r="2638" spans="1:10" ht="15" customHeight="1">
      <c r="A2638" t="str">
        <f ca="1">IF(AND(OFFSET(A2638, -I2638 + 2, 4) &gt;  0, E2638="", Calculations!$B$7), F2638, "")</f>
        <v/>
      </c>
      <c r="B2638">
        <f t="shared" si="935"/>
        <v>69</v>
      </c>
      <c r="C2638">
        <f t="shared" ca="1" si="927"/>
        <v>66</v>
      </c>
      <c r="D2638" t="str">
        <f t="shared" si="936"/>
        <v>Q69</v>
      </c>
      <c r="E2638" t="str">
        <f t="shared" ca="1" si="937"/>
        <v/>
      </c>
      <c r="F2638" t="str">
        <f t="shared" ca="1" si="938"/>
        <v xml:space="preserve">Enter a 'Acquisition APR' for  building 66 in cell Q69.
</v>
      </c>
      <c r="G2638" s="9" t="str">
        <f t="shared" ca="1" si="925"/>
        <v xml:space="preserve">Enter a value for 'Number of Floors in the Tallest Building' in cell B60.
</v>
      </c>
      <c r="H2638" s="52" t="str">
        <f t="shared" ca="1" si="939"/>
        <v>Acquisition APR</v>
      </c>
      <c r="I2638" s="52">
        <v>17</v>
      </c>
    </row>
    <row r="2639" spans="1:10" ht="15" customHeight="1">
      <c r="A2639" t="str">
        <f ca="1">IF(AND(Calculations!$B$4,Calculations!$B$29&gt;=C2639, E2639 &lt;&gt; 13),F2639,"")</f>
        <v/>
      </c>
      <c r="B2639">
        <f>ROW('Final Building Profile'!C70)</f>
        <v>70</v>
      </c>
      <c r="C2639">
        <f t="shared" ca="1" si="927"/>
        <v>67</v>
      </c>
      <c r="D2639" t="str">
        <f>ADDRESS(B2639, 3,4  )</f>
        <v>C70</v>
      </c>
      <c r="E2639" s="52">
        <f ca="1">H2639+I2639</f>
        <v>0</v>
      </c>
      <c r="F2639" t="str">
        <f ca="1">CONCATENATE("Based upon the number of buildings specified, information for  building ", C2639, " required for a final application in row ", B2639, ".", CHAR(10))</f>
        <v xml:space="preserve">Based upon the number of buildings specified, information for  building 67 required for a final application in row 70.
</v>
      </c>
      <c r="G2639" s="9" t="str">
        <f t="shared" ca="1" si="925"/>
        <v xml:space="preserve">Enter a value for 'Number of Floors in the Tallest Building' in cell B60.
</v>
      </c>
      <c r="H2639" s="52">
        <f ca="1">SUMPRODUCT(--ISTEXT(INDIRECT(J2639)))</f>
        <v>0</v>
      </c>
      <c r="I2639" s="52">
        <f ca="1">SUMPRODUCT(--ISNUMBER(INDIRECT(J2639)))</f>
        <v>0</v>
      </c>
      <c r="J2639" s="52" t="str">
        <f>$F$1565&amp; ADDRESS(B2639,3,4) &amp; ":" &amp; ADDRESS(B2639,15,4)</f>
        <v>'Final Building Profile'!C70:O70</v>
      </c>
    </row>
    <row r="2640" spans="1:10" ht="15" customHeight="1">
      <c r="A2640" t="str">
        <f t="shared" ref="A2640:A2649" ca="1" si="940">IF(AND(OFFSET(A2640, -I2640 + 2, 4) &gt;  0, E2640=""), F2640, "")</f>
        <v/>
      </c>
      <c r="B2640">
        <f t="shared" ref="B2640:B2654" si="941">B2639</f>
        <v>70</v>
      </c>
      <c r="C2640">
        <f t="shared" ca="1" si="927"/>
        <v>67</v>
      </c>
      <c r="D2640" t="str">
        <f t="shared" ref="D2640:D2654" si="942">ADDRESS(B2640, I2640,4  )</f>
        <v>C70</v>
      </c>
      <c r="E2640" t="str">
        <f t="shared" ref="E2640:E2654" ca="1" si="943">IF(ISBLANK( INDIRECT($F$1565 &amp; D2640)),"", INDIRECT($F$1565 &amp; D2640))</f>
        <v/>
      </c>
      <c r="F2640" t="str">
        <f t="shared" ref="F2640:F2654" ca="1" si="944">CONCATENATE("Enter a '"&amp; H2640 &amp;"' for  building ", C2640, " in cell ", D2640, ".", CHAR(10))</f>
        <v xml:space="preserve">Enter a 'Building Street Address Only 
(DO NOT ENTER CITY, STATE, OR ZIP)' for  building 67 in cell C70.
</v>
      </c>
      <c r="G2640" s="9" t="str">
        <f t="shared" ca="1" si="925"/>
        <v xml:space="preserve">Enter a value for 'Number of Floors in the Tallest Building' in cell B60.
</v>
      </c>
      <c r="H2640" s="52" t="str">
        <f t="shared" ref="H2640:H2654" ca="1" si="945">OFFSET(INDIRECT($F$1565 &amp; D2640), -B2640 + 3, 0)</f>
        <v>Building Street Address Only 
(DO NOT ENTER CITY, STATE, OR ZIP)</v>
      </c>
      <c r="I2640" s="52">
        <v>3</v>
      </c>
    </row>
    <row r="2641" spans="1:10" ht="15" customHeight="1">
      <c r="A2641" t="str">
        <f t="shared" ca="1" si="940"/>
        <v/>
      </c>
      <c r="B2641">
        <f t="shared" si="941"/>
        <v>70</v>
      </c>
      <c r="C2641">
        <f t="shared" ca="1" si="927"/>
        <v>67</v>
      </c>
      <c r="D2641" t="str">
        <f t="shared" si="942"/>
        <v>D70</v>
      </c>
      <c r="E2641" t="str">
        <f t="shared" ca="1" si="943"/>
        <v/>
      </c>
      <c r="F2641" t="str">
        <f t="shared" ca="1" si="944"/>
        <v xml:space="preserve">Enter a 'Total Units in Building*' for  building 67 in cell D70.
</v>
      </c>
      <c r="G2641" s="9" t="str">
        <f t="shared" ca="1" si="925"/>
        <v xml:space="preserve">Enter a value for 'Number of Floors in the Tallest Building' in cell B60.
</v>
      </c>
      <c r="H2641" s="52" t="str">
        <f t="shared" ca="1" si="945"/>
        <v>Total Units in Building*</v>
      </c>
      <c r="I2641" s="52">
        <v>4</v>
      </c>
    </row>
    <row r="2642" spans="1:10" ht="15" customHeight="1">
      <c r="A2642" t="str">
        <f t="shared" ca="1" si="940"/>
        <v/>
      </c>
      <c r="B2642">
        <f t="shared" si="941"/>
        <v>70</v>
      </c>
      <c r="C2642">
        <f t="shared" ca="1" si="927"/>
        <v>67</v>
      </c>
      <c r="D2642" t="str">
        <f t="shared" si="942"/>
        <v>E70</v>
      </c>
      <c r="E2642" t="str">
        <f t="shared" ca="1" si="943"/>
        <v/>
      </c>
      <c r="F2642" t="str">
        <f t="shared" ca="1" si="944"/>
        <v xml:space="preserve">Enter a 'Employee Units' for  building 67 in cell E70.
</v>
      </c>
      <c r="G2642" s="9" t="str">
        <f t="shared" ca="1" si="925"/>
        <v xml:space="preserve">Enter a value for 'Number of Floors in the Tallest Building' in cell B60.
</v>
      </c>
      <c r="H2642" s="52" t="str">
        <f t="shared" ca="1" si="945"/>
        <v>Employee Units</v>
      </c>
      <c r="I2642" s="52">
        <v>5</v>
      </c>
    </row>
    <row r="2643" spans="1:10" ht="15" customHeight="1">
      <c r="A2643" t="str">
        <f t="shared" ca="1" si="940"/>
        <v/>
      </c>
      <c r="B2643">
        <f t="shared" si="941"/>
        <v>70</v>
      </c>
      <c r="C2643">
        <f t="shared" ca="1" si="927"/>
        <v>67</v>
      </c>
      <c r="D2643" t="str">
        <f t="shared" si="942"/>
        <v>F70</v>
      </c>
      <c r="E2643" t="str">
        <f t="shared" ca="1" si="943"/>
        <v/>
      </c>
      <c r="F2643" t="str">
        <f t="shared" ca="1" si="944"/>
        <v xml:space="preserve">Enter a 'Low-Income Units' for  building 67 in cell F70.
</v>
      </c>
      <c r="G2643" s="9" t="str">
        <f t="shared" ca="1" si="925"/>
        <v xml:space="preserve">Enter a value for 'Number of Floors in the Tallest Building' in cell B60.
</v>
      </c>
      <c r="H2643" s="52" t="str">
        <f t="shared" ca="1" si="945"/>
        <v>Low-Income Units</v>
      </c>
      <c r="I2643" s="52">
        <v>6</v>
      </c>
    </row>
    <row r="2644" spans="1:10" ht="15" customHeight="1">
      <c r="A2644" t="str">
        <f t="shared" ca="1" si="940"/>
        <v/>
      </c>
      <c r="B2644">
        <f t="shared" si="941"/>
        <v>70</v>
      </c>
      <c r="C2644">
        <f t="shared" ca="1" si="927"/>
        <v>67</v>
      </c>
      <c r="D2644" t="str">
        <f t="shared" si="942"/>
        <v>G70</v>
      </c>
      <c r="E2644" t="str">
        <f t="shared" ca="1" si="943"/>
        <v/>
      </c>
      <c r="F2644" t="str">
        <f t="shared" ca="1" si="944"/>
        <v xml:space="preserve">Enter a 'Residential Square Footage**' for  building 67 in cell G70.
</v>
      </c>
      <c r="G2644" s="9" t="str">
        <f t="shared" ca="1" si="925"/>
        <v xml:space="preserve">Enter a value for 'Number of Floors in the Tallest Building' in cell B60.
</v>
      </c>
      <c r="H2644" s="52" t="str">
        <f t="shared" ca="1" si="945"/>
        <v>Residential Square Footage**</v>
      </c>
      <c r="I2644" s="52">
        <v>7</v>
      </c>
    </row>
    <row r="2645" spans="1:10" ht="15" customHeight="1">
      <c r="A2645" t="str">
        <f t="shared" ca="1" si="940"/>
        <v/>
      </c>
      <c r="B2645">
        <f t="shared" si="941"/>
        <v>70</v>
      </c>
      <c r="C2645">
        <f t="shared" ca="1" si="927"/>
        <v>67</v>
      </c>
      <c r="D2645" t="str">
        <f t="shared" si="942"/>
        <v>H70</v>
      </c>
      <c r="E2645" t="str">
        <f t="shared" ca="1" si="943"/>
        <v/>
      </c>
      <c r="F2645" t="str">
        <f t="shared" ca="1" si="944"/>
        <v xml:space="preserve">Enter a 'Square Footage of Employee Units' for  building 67 in cell H70.
</v>
      </c>
      <c r="G2645" s="9" t="str">
        <f t="shared" ca="1" si="925"/>
        <v xml:space="preserve">Enter a value for 'Number of Floors in the Tallest Building' in cell B60.
</v>
      </c>
      <c r="H2645" s="52" t="str">
        <f t="shared" ca="1" si="945"/>
        <v>Square Footage of Employee Units</v>
      </c>
      <c r="I2645" s="52">
        <v>8</v>
      </c>
    </row>
    <row r="2646" spans="1:10" ht="15" customHeight="1">
      <c r="A2646" t="str">
        <f t="shared" ca="1" si="940"/>
        <v/>
      </c>
      <c r="B2646">
        <f t="shared" si="941"/>
        <v>70</v>
      </c>
      <c r="C2646">
        <f t="shared" ca="1" si="927"/>
        <v>67</v>
      </c>
      <c r="D2646" t="str">
        <f t="shared" si="942"/>
        <v>I70</v>
      </c>
      <c r="E2646" t="str">
        <f t="shared" ca="1" si="943"/>
        <v/>
      </c>
      <c r="F2646" t="str">
        <f t="shared" ca="1" si="944"/>
        <v xml:space="preserve">Enter a 'Square Footage of Low-Income Units' for  building 67 in cell I70.
</v>
      </c>
      <c r="G2646" s="9" t="str">
        <f t="shared" ca="1" si="925"/>
        <v xml:space="preserve">Enter a value for 'Number of Floors in the Tallest Building' in cell B60.
</v>
      </c>
      <c r="H2646" s="52" t="str">
        <f t="shared" ca="1" si="945"/>
        <v>Square Footage of Low-Income Units</v>
      </c>
      <c r="I2646" s="52">
        <v>9</v>
      </c>
    </row>
    <row r="2647" spans="1:10" ht="15" customHeight="1">
      <c r="A2647" t="str">
        <f t="shared" ca="1" si="940"/>
        <v/>
      </c>
      <c r="B2647">
        <f t="shared" si="941"/>
        <v>70</v>
      </c>
      <c r="C2647">
        <f t="shared" ca="1" si="927"/>
        <v>67</v>
      </c>
      <c r="D2647" t="str">
        <f t="shared" si="942"/>
        <v>J70</v>
      </c>
      <c r="E2647" t="str">
        <f t="shared" ca="1" si="943"/>
        <v/>
      </c>
      <c r="F2647" t="str">
        <f t="shared" ca="1" si="944"/>
        <v xml:space="preserve">Enter a 'Placed-In-Service Date' for  building 67 in cell J70.
</v>
      </c>
      <c r="G2647" s="9" t="str">
        <f t="shared" ca="1" si="925"/>
        <v xml:space="preserve">Enter a value for 'Number of Floors in the Tallest Building' in cell B60.
</v>
      </c>
      <c r="H2647" s="52" t="str">
        <f t="shared" ca="1" si="945"/>
        <v>Placed-In-Service Date</v>
      </c>
      <c r="I2647" s="52">
        <v>10</v>
      </c>
    </row>
    <row r="2648" spans="1:10" ht="15" customHeight="1">
      <c r="A2648" t="str">
        <f t="shared" ca="1" si="940"/>
        <v/>
      </c>
      <c r="B2648">
        <f t="shared" si="941"/>
        <v>70</v>
      </c>
      <c r="C2648">
        <f t="shared" ca="1" si="927"/>
        <v>67</v>
      </c>
      <c r="D2648" t="str">
        <f t="shared" si="942"/>
        <v>K70</v>
      </c>
      <c r="E2648" t="str">
        <f t="shared" ca="1" si="943"/>
        <v/>
      </c>
      <c r="F2648" t="str">
        <f t="shared" ca="1" si="944"/>
        <v xml:space="preserve">Enter a 'New Construction/ Rehab APR' for  building 67 in cell K70.
</v>
      </c>
      <c r="G2648" s="9" t="str">
        <f t="shared" ca="1" si="925"/>
        <v xml:space="preserve">Enter a value for 'Number of Floors in the Tallest Building' in cell B60.
</v>
      </c>
      <c r="H2648" s="52" t="str">
        <f t="shared" ca="1" si="945"/>
        <v>New Construction/ Rehab APR</v>
      </c>
      <c r="I2648" s="52">
        <v>11</v>
      </c>
    </row>
    <row r="2649" spans="1:10" ht="15" customHeight="1">
      <c r="A2649" t="str">
        <f t="shared" ca="1" si="940"/>
        <v/>
      </c>
      <c r="B2649">
        <f t="shared" si="941"/>
        <v>70</v>
      </c>
      <c r="C2649">
        <f t="shared" ca="1" si="927"/>
        <v>67</v>
      </c>
      <c r="D2649" t="str">
        <f t="shared" si="942"/>
        <v>L70</v>
      </c>
      <c r="E2649" t="str">
        <f t="shared" ca="1" si="943"/>
        <v/>
      </c>
      <c r="F2649" t="str">
        <f t="shared" ca="1" si="944"/>
        <v xml:space="preserve">Enter a 'New Construction Eligible Basis' for  building 67 in cell L70.
</v>
      </c>
      <c r="G2649" s="9" t="str">
        <f t="shared" ca="1" si="925"/>
        <v xml:space="preserve">Enter a value for 'Number of Floors in the Tallest Building' in cell B60.
</v>
      </c>
      <c r="H2649" s="52" t="str">
        <f t="shared" ca="1" si="945"/>
        <v>New Construction Eligible Basis</v>
      </c>
      <c r="I2649" s="52">
        <v>12</v>
      </c>
    </row>
    <row r="2650" spans="1:10" ht="15" customHeight="1">
      <c r="A2650" t="str">
        <f ca="1">IF(AND(OFFSET(A2650, -I2650 + 2, 4) &gt;  0, E2650="", Calculations!$B$7), F2650, "")</f>
        <v/>
      </c>
      <c r="B2650">
        <f t="shared" si="941"/>
        <v>70</v>
      </c>
      <c r="C2650">
        <f t="shared" ca="1" si="927"/>
        <v>67</v>
      </c>
      <c r="D2650" t="str">
        <f t="shared" si="942"/>
        <v>M70</v>
      </c>
      <c r="E2650" t="str">
        <f t="shared" ca="1" si="943"/>
        <v/>
      </c>
      <c r="F2650" t="str">
        <f t="shared" ca="1" si="944"/>
        <v xml:space="preserve">Enter a 'Eligible Basis for Rehab' for  building 67 in cell M70.
</v>
      </c>
      <c r="G2650" s="9" t="str">
        <f t="shared" ca="1" si="925"/>
        <v xml:space="preserve">Enter a value for 'Number of Floors in the Tallest Building' in cell B60.
</v>
      </c>
      <c r="H2650" s="52" t="str">
        <f t="shared" ca="1" si="945"/>
        <v>Eligible Basis for Rehab</v>
      </c>
      <c r="I2650" s="52">
        <v>13</v>
      </c>
    </row>
    <row r="2651" spans="1:10" ht="15" customHeight="1">
      <c r="A2651" t="str">
        <f ca="1">IF(AND(OFFSET(A2651, -I2651 + 2, 4) &gt;  0, E2651="", Calculations!$B$7), F2651, "")</f>
        <v/>
      </c>
      <c r="B2651">
        <f t="shared" si="941"/>
        <v>70</v>
      </c>
      <c r="C2651">
        <f t="shared" ca="1" si="927"/>
        <v>67</v>
      </c>
      <c r="D2651" t="str">
        <f t="shared" si="942"/>
        <v>N70</v>
      </c>
      <c r="E2651" t="str">
        <f t="shared" ca="1" si="943"/>
        <v/>
      </c>
      <c r="F2651" t="str">
        <f t="shared" ca="1" si="944"/>
        <v xml:space="preserve">Enter a 'Cost of Acquiring the Building***' for  building 67 in cell N70.
</v>
      </c>
      <c r="G2651" s="9" t="str">
        <f t="shared" ca="1" si="925"/>
        <v xml:space="preserve">Enter a value for 'Number of Floors in the Tallest Building' in cell B60.
</v>
      </c>
      <c r="H2651" s="52" t="str">
        <f t="shared" ca="1" si="945"/>
        <v>Cost of Acquiring the Building***</v>
      </c>
      <c r="I2651" s="52">
        <v>14</v>
      </c>
    </row>
    <row r="2652" spans="1:10" ht="15" customHeight="1">
      <c r="A2652" t="str">
        <f ca="1">IF(AND(OFFSET(A2652, -I2652 + 2, 4) &gt;  0, E2652="", Calculations!$B$7), F2652, "")</f>
        <v/>
      </c>
      <c r="B2652">
        <f t="shared" si="941"/>
        <v>70</v>
      </c>
      <c r="C2652">
        <f t="shared" ca="1" si="927"/>
        <v>67</v>
      </c>
      <c r="D2652" t="str">
        <f t="shared" si="942"/>
        <v>O70</v>
      </c>
      <c r="E2652" t="str">
        <f t="shared" ca="1" si="943"/>
        <v/>
      </c>
      <c r="F2652" t="str">
        <f t="shared" ca="1" si="944"/>
        <v xml:space="preserve">Enter a 'Higher of Land Purchase Price or Land Appraised Value****' for  building 67 in cell O70.
</v>
      </c>
      <c r="G2652" s="9" t="str">
        <f t="shared" ca="1" si="925"/>
        <v xml:space="preserve">Enter a value for 'Number of Floors in the Tallest Building' in cell B60.
</v>
      </c>
      <c r="H2652" s="52" t="str">
        <f t="shared" ca="1" si="945"/>
        <v>Higher of Land Purchase Price or Land Appraised Value****</v>
      </c>
      <c r="I2652" s="52">
        <v>15</v>
      </c>
    </row>
    <row r="2653" spans="1:10" ht="15" customHeight="1">
      <c r="A2653" t="str">
        <f ca="1">IF(AND(OFFSET(A2653, -I2653 + 2, 4) &gt;  0, E2653="", Calculations!$B$7), F2653, "")</f>
        <v/>
      </c>
      <c r="B2653">
        <f t="shared" si="941"/>
        <v>70</v>
      </c>
      <c r="C2653">
        <f t="shared" ca="1" si="927"/>
        <v>67</v>
      </c>
      <c r="D2653" t="str">
        <f t="shared" si="942"/>
        <v>P70</v>
      </c>
      <c r="E2653" t="str">
        <f t="shared" ca="1" si="943"/>
        <v/>
      </c>
      <c r="F2653" t="str">
        <f t="shared" ca="1" si="944"/>
        <v xml:space="preserve">Enter a 'Acquisition Placed-in-Service Date' for  building 67 in cell P70.
</v>
      </c>
      <c r="G2653" s="9" t="str">
        <f t="shared" ca="1" si="925"/>
        <v xml:space="preserve">Enter a value for 'Number of Floors in the Tallest Building' in cell B60.
</v>
      </c>
      <c r="H2653" s="52" t="str">
        <f t="shared" ca="1" si="945"/>
        <v>Acquisition Placed-in-Service Date</v>
      </c>
      <c r="I2653" s="52">
        <v>16</v>
      </c>
    </row>
    <row r="2654" spans="1:10" ht="15" customHeight="1">
      <c r="A2654" t="str">
        <f ca="1">IF(AND(OFFSET(A2654, -I2654 + 2, 4) &gt;  0, E2654="", Calculations!$B$7), F2654, "")</f>
        <v/>
      </c>
      <c r="B2654">
        <f t="shared" si="941"/>
        <v>70</v>
      </c>
      <c r="C2654">
        <f t="shared" ca="1" si="927"/>
        <v>67</v>
      </c>
      <c r="D2654" t="str">
        <f t="shared" si="942"/>
        <v>Q70</v>
      </c>
      <c r="E2654" t="str">
        <f t="shared" ca="1" si="943"/>
        <v/>
      </c>
      <c r="F2654" t="str">
        <f t="shared" ca="1" si="944"/>
        <v xml:space="preserve">Enter a 'Acquisition APR' for  building 67 in cell Q70.
</v>
      </c>
      <c r="G2654" s="9" t="str">
        <f t="shared" ca="1" si="925"/>
        <v xml:space="preserve">Enter a value for 'Number of Floors in the Tallest Building' in cell B60.
</v>
      </c>
      <c r="H2654" s="52" t="str">
        <f t="shared" ca="1" si="945"/>
        <v>Acquisition APR</v>
      </c>
      <c r="I2654" s="52">
        <v>17</v>
      </c>
    </row>
    <row r="2655" spans="1:10" ht="15" customHeight="1">
      <c r="A2655" t="str">
        <f ca="1">IF(AND(Calculations!$B$4,Calculations!$B$29&gt;=C2655, E2655 &lt;&gt; 13),F2655,"")</f>
        <v/>
      </c>
      <c r="B2655">
        <f>ROW('Final Building Profile'!C71)</f>
        <v>71</v>
      </c>
      <c r="C2655">
        <f t="shared" ca="1" si="927"/>
        <v>68</v>
      </c>
      <c r="D2655" t="str">
        <f>ADDRESS(B2655, 3,4  )</f>
        <v>C71</v>
      </c>
      <c r="E2655" s="52">
        <f ca="1">H2655+I2655</f>
        <v>0</v>
      </c>
      <c r="F2655" t="str">
        <f ca="1">CONCATENATE("Based upon the number of buildings specified, information for  building ", C2655, " required for a final application in row ", B2655, ".", CHAR(10))</f>
        <v xml:space="preserve">Based upon the number of buildings specified, information for  building 68 required for a final application in row 71.
</v>
      </c>
      <c r="G2655" s="9" t="str">
        <f t="shared" ca="1" si="925"/>
        <v xml:space="preserve">Enter a value for 'Number of Floors in the Tallest Building' in cell B60.
</v>
      </c>
      <c r="H2655" s="52">
        <f ca="1">SUMPRODUCT(--ISTEXT(INDIRECT(J2655)))</f>
        <v>0</v>
      </c>
      <c r="I2655" s="52">
        <f ca="1">SUMPRODUCT(--ISNUMBER(INDIRECT(J2655)))</f>
        <v>0</v>
      </c>
      <c r="J2655" s="52" t="str">
        <f>$F$1565&amp; ADDRESS(B2655,3,4) &amp; ":" &amp; ADDRESS(B2655,15,4)</f>
        <v>'Final Building Profile'!C71:O71</v>
      </c>
    </row>
    <row r="2656" spans="1:10" ht="15" customHeight="1">
      <c r="A2656" t="str">
        <f t="shared" ref="A2656:A2665" ca="1" si="946">IF(AND(OFFSET(A2656, -I2656 + 2, 4) &gt;  0, E2656=""), F2656, "")</f>
        <v/>
      </c>
      <c r="B2656">
        <f t="shared" ref="B2656:B2670" si="947">B2655</f>
        <v>71</v>
      </c>
      <c r="C2656">
        <f t="shared" ca="1" si="927"/>
        <v>68</v>
      </c>
      <c r="D2656" t="str">
        <f t="shared" ref="D2656:D2670" si="948">ADDRESS(B2656, I2656,4  )</f>
        <v>C71</v>
      </c>
      <c r="E2656" t="str">
        <f t="shared" ref="E2656:E2670" ca="1" si="949">IF(ISBLANK( INDIRECT($F$1565 &amp; D2656)),"", INDIRECT($F$1565 &amp; D2656))</f>
        <v/>
      </c>
      <c r="F2656" t="str">
        <f t="shared" ref="F2656:F2670" ca="1" si="950">CONCATENATE("Enter a '"&amp; H2656 &amp;"' for  building ", C2656, " in cell ", D2656, ".", CHAR(10))</f>
        <v xml:space="preserve">Enter a 'Building Street Address Only 
(DO NOT ENTER CITY, STATE, OR ZIP)' for  building 68 in cell C71.
</v>
      </c>
      <c r="G2656" s="9" t="str">
        <f t="shared" ref="G2656:G2719" ca="1" si="951">OFFSET(G2656, -1, 0) &amp; A2656</f>
        <v xml:space="preserve">Enter a value for 'Number of Floors in the Tallest Building' in cell B60.
</v>
      </c>
      <c r="H2656" s="52" t="str">
        <f t="shared" ref="H2656:H2670" ca="1" si="952">OFFSET(INDIRECT($F$1565 &amp; D2656), -B2656 + 3, 0)</f>
        <v>Building Street Address Only 
(DO NOT ENTER CITY, STATE, OR ZIP)</v>
      </c>
      <c r="I2656" s="52">
        <v>3</v>
      </c>
    </row>
    <row r="2657" spans="1:10" ht="15" customHeight="1">
      <c r="A2657" t="str">
        <f t="shared" ca="1" si="946"/>
        <v/>
      </c>
      <c r="B2657">
        <f t="shared" si="947"/>
        <v>71</v>
      </c>
      <c r="C2657">
        <f t="shared" ca="1" si="927"/>
        <v>68</v>
      </c>
      <c r="D2657" t="str">
        <f t="shared" si="948"/>
        <v>D71</v>
      </c>
      <c r="E2657" t="str">
        <f t="shared" ca="1" si="949"/>
        <v/>
      </c>
      <c r="F2657" t="str">
        <f t="shared" ca="1" si="950"/>
        <v xml:space="preserve">Enter a 'Total Units in Building*' for  building 68 in cell D71.
</v>
      </c>
      <c r="G2657" s="9" t="str">
        <f t="shared" ca="1" si="951"/>
        <v xml:space="preserve">Enter a value for 'Number of Floors in the Tallest Building' in cell B60.
</v>
      </c>
      <c r="H2657" s="52" t="str">
        <f t="shared" ca="1" si="952"/>
        <v>Total Units in Building*</v>
      </c>
      <c r="I2657" s="52">
        <v>4</v>
      </c>
    </row>
    <row r="2658" spans="1:10" ht="15" customHeight="1">
      <c r="A2658" t="str">
        <f t="shared" ca="1" si="946"/>
        <v/>
      </c>
      <c r="B2658">
        <f t="shared" si="947"/>
        <v>71</v>
      </c>
      <c r="C2658">
        <f t="shared" ca="1" si="927"/>
        <v>68</v>
      </c>
      <c r="D2658" t="str">
        <f t="shared" si="948"/>
        <v>E71</v>
      </c>
      <c r="E2658" t="str">
        <f t="shared" ca="1" si="949"/>
        <v/>
      </c>
      <c r="F2658" t="str">
        <f t="shared" ca="1" si="950"/>
        <v xml:space="preserve">Enter a 'Employee Units' for  building 68 in cell E71.
</v>
      </c>
      <c r="G2658" s="9" t="str">
        <f t="shared" ca="1" si="951"/>
        <v xml:space="preserve">Enter a value for 'Number of Floors in the Tallest Building' in cell B60.
</v>
      </c>
      <c r="H2658" s="52" t="str">
        <f t="shared" ca="1" si="952"/>
        <v>Employee Units</v>
      </c>
      <c r="I2658" s="52">
        <v>5</v>
      </c>
    </row>
    <row r="2659" spans="1:10" ht="15" customHeight="1">
      <c r="A2659" t="str">
        <f t="shared" ca="1" si="946"/>
        <v/>
      </c>
      <c r="B2659">
        <f t="shared" si="947"/>
        <v>71</v>
      </c>
      <c r="C2659">
        <f t="shared" ca="1" si="927"/>
        <v>68</v>
      </c>
      <c r="D2659" t="str">
        <f t="shared" si="948"/>
        <v>F71</v>
      </c>
      <c r="E2659" t="str">
        <f t="shared" ca="1" si="949"/>
        <v/>
      </c>
      <c r="F2659" t="str">
        <f t="shared" ca="1" si="950"/>
        <v xml:space="preserve">Enter a 'Low-Income Units' for  building 68 in cell F71.
</v>
      </c>
      <c r="G2659" s="9" t="str">
        <f t="shared" ca="1" si="951"/>
        <v xml:space="preserve">Enter a value for 'Number of Floors in the Tallest Building' in cell B60.
</v>
      </c>
      <c r="H2659" s="52" t="str">
        <f t="shared" ca="1" si="952"/>
        <v>Low-Income Units</v>
      </c>
      <c r="I2659" s="52">
        <v>6</v>
      </c>
    </row>
    <row r="2660" spans="1:10" ht="15" customHeight="1">
      <c r="A2660" t="str">
        <f t="shared" ca="1" si="946"/>
        <v/>
      </c>
      <c r="B2660">
        <f t="shared" si="947"/>
        <v>71</v>
      </c>
      <c r="C2660">
        <f t="shared" ca="1" si="927"/>
        <v>68</v>
      </c>
      <c r="D2660" t="str">
        <f t="shared" si="948"/>
        <v>G71</v>
      </c>
      <c r="E2660" t="str">
        <f t="shared" ca="1" si="949"/>
        <v/>
      </c>
      <c r="F2660" t="str">
        <f t="shared" ca="1" si="950"/>
        <v xml:space="preserve">Enter a 'Residential Square Footage**' for  building 68 in cell G71.
</v>
      </c>
      <c r="G2660" s="9" t="str">
        <f t="shared" ca="1" si="951"/>
        <v xml:space="preserve">Enter a value for 'Number of Floors in the Tallest Building' in cell B60.
</v>
      </c>
      <c r="H2660" s="52" t="str">
        <f t="shared" ca="1" si="952"/>
        <v>Residential Square Footage**</v>
      </c>
      <c r="I2660" s="52">
        <v>7</v>
      </c>
    </row>
    <row r="2661" spans="1:10" ht="15" customHeight="1">
      <c r="A2661" t="str">
        <f t="shared" ca="1" si="946"/>
        <v/>
      </c>
      <c r="B2661">
        <f t="shared" si="947"/>
        <v>71</v>
      </c>
      <c r="C2661">
        <f t="shared" ca="1" si="927"/>
        <v>68</v>
      </c>
      <c r="D2661" t="str">
        <f t="shared" si="948"/>
        <v>H71</v>
      </c>
      <c r="E2661" t="str">
        <f t="shared" ca="1" si="949"/>
        <v/>
      </c>
      <c r="F2661" t="str">
        <f t="shared" ca="1" si="950"/>
        <v xml:space="preserve">Enter a 'Square Footage of Employee Units' for  building 68 in cell H71.
</v>
      </c>
      <c r="G2661" s="9" t="str">
        <f t="shared" ca="1" si="951"/>
        <v xml:space="preserve">Enter a value for 'Number of Floors in the Tallest Building' in cell B60.
</v>
      </c>
      <c r="H2661" s="52" t="str">
        <f t="shared" ca="1" si="952"/>
        <v>Square Footage of Employee Units</v>
      </c>
      <c r="I2661" s="52">
        <v>8</v>
      </c>
    </row>
    <row r="2662" spans="1:10" ht="15" customHeight="1">
      <c r="A2662" t="str">
        <f t="shared" ca="1" si="946"/>
        <v/>
      </c>
      <c r="B2662">
        <f t="shared" si="947"/>
        <v>71</v>
      </c>
      <c r="C2662">
        <f t="shared" ca="1" si="927"/>
        <v>68</v>
      </c>
      <c r="D2662" t="str">
        <f t="shared" si="948"/>
        <v>I71</v>
      </c>
      <c r="E2662" t="str">
        <f t="shared" ca="1" si="949"/>
        <v/>
      </c>
      <c r="F2662" t="str">
        <f t="shared" ca="1" si="950"/>
        <v xml:space="preserve">Enter a 'Square Footage of Low-Income Units' for  building 68 in cell I71.
</v>
      </c>
      <c r="G2662" s="9" t="str">
        <f t="shared" ca="1" si="951"/>
        <v xml:space="preserve">Enter a value for 'Number of Floors in the Tallest Building' in cell B60.
</v>
      </c>
      <c r="H2662" s="52" t="str">
        <f t="shared" ca="1" si="952"/>
        <v>Square Footage of Low-Income Units</v>
      </c>
      <c r="I2662" s="52">
        <v>9</v>
      </c>
    </row>
    <row r="2663" spans="1:10" ht="15" customHeight="1">
      <c r="A2663" t="str">
        <f t="shared" ca="1" si="946"/>
        <v/>
      </c>
      <c r="B2663">
        <f t="shared" si="947"/>
        <v>71</v>
      </c>
      <c r="C2663">
        <f t="shared" ca="1" si="927"/>
        <v>68</v>
      </c>
      <c r="D2663" t="str">
        <f t="shared" si="948"/>
        <v>J71</v>
      </c>
      <c r="E2663" t="str">
        <f t="shared" ca="1" si="949"/>
        <v/>
      </c>
      <c r="F2663" t="str">
        <f t="shared" ca="1" si="950"/>
        <v xml:space="preserve">Enter a 'Placed-In-Service Date' for  building 68 in cell J71.
</v>
      </c>
      <c r="G2663" s="9" t="str">
        <f t="shared" ca="1" si="951"/>
        <v xml:space="preserve">Enter a value for 'Number of Floors in the Tallest Building' in cell B60.
</v>
      </c>
      <c r="H2663" s="52" t="str">
        <f t="shared" ca="1" si="952"/>
        <v>Placed-In-Service Date</v>
      </c>
      <c r="I2663" s="52">
        <v>10</v>
      </c>
    </row>
    <row r="2664" spans="1:10" ht="15" customHeight="1">
      <c r="A2664" t="str">
        <f t="shared" ca="1" si="946"/>
        <v/>
      </c>
      <c r="B2664">
        <f t="shared" si="947"/>
        <v>71</v>
      </c>
      <c r="C2664">
        <f t="shared" ca="1" si="927"/>
        <v>68</v>
      </c>
      <c r="D2664" t="str">
        <f t="shared" si="948"/>
        <v>K71</v>
      </c>
      <c r="E2664" t="str">
        <f t="shared" ca="1" si="949"/>
        <v/>
      </c>
      <c r="F2664" t="str">
        <f t="shared" ca="1" si="950"/>
        <v xml:space="preserve">Enter a 'New Construction/ Rehab APR' for  building 68 in cell K71.
</v>
      </c>
      <c r="G2664" s="9" t="str">
        <f t="shared" ca="1" si="951"/>
        <v xml:space="preserve">Enter a value for 'Number of Floors in the Tallest Building' in cell B60.
</v>
      </c>
      <c r="H2664" s="52" t="str">
        <f t="shared" ca="1" si="952"/>
        <v>New Construction/ Rehab APR</v>
      </c>
      <c r="I2664" s="52">
        <v>11</v>
      </c>
    </row>
    <row r="2665" spans="1:10" ht="15" customHeight="1">
      <c r="A2665" t="str">
        <f t="shared" ca="1" si="946"/>
        <v/>
      </c>
      <c r="B2665">
        <f t="shared" si="947"/>
        <v>71</v>
      </c>
      <c r="C2665">
        <f t="shared" ca="1" si="927"/>
        <v>68</v>
      </c>
      <c r="D2665" t="str">
        <f t="shared" si="948"/>
        <v>L71</v>
      </c>
      <c r="E2665" t="str">
        <f t="shared" ca="1" si="949"/>
        <v/>
      </c>
      <c r="F2665" t="str">
        <f t="shared" ca="1" si="950"/>
        <v xml:space="preserve">Enter a 'New Construction Eligible Basis' for  building 68 in cell L71.
</v>
      </c>
      <c r="G2665" s="9" t="str">
        <f t="shared" ca="1" si="951"/>
        <v xml:space="preserve">Enter a value for 'Number of Floors in the Tallest Building' in cell B60.
</v>
      </c>
      <c r="H2665" s="52" t="str">
        <f t="shared" ca="1" si="952"/>
        <v>New Construction Eligible Basis</v>
      </c>
      <c r="I2665" s="52">
        <v>12</v>
      </c>
    </row>
    <row r="2666" spans="1:10" ht="15" customHeight="1">
      <c r="A2666" t="str">
        <f ca="1">IF(AND(OFFSET(A2666, -I2666 + 2, 4) &gt;  0, E2666="", Calculations!$B$7), F2666, "")</f>
        <v/>
      </c>
      <c r="B2666">
        <f t="shared" si="947"/>
        <v>71</v>
      </c>
      <c r="C2666">
        <f t="shared" ca="1" si="927"/>
        <v>68</v>
      </c>
      <c r="D2666" t="str">
        <f t="shared" si="948"/>
        <v>M71</v>
      </c>
      <c r="E2666" t="str">
        <f t="shared" ca="1" si="949"/>
        <v/>
      </c>
      <c r="F2666" t="str">
        <f t="shared" ca="1" si="950"/>
        <v xml:space="preserve">Enter a 'Eligible Basis for Rehab' for  building 68 in cell M71.
</v>
      </c>
      <c r="G2666" s="9" t="str">
        <f t="shared" ca="1" si="951"/>
        <v xml:space="preserve">Enter a value for 'Number of Floors in the Tallest Building' in cell B60.
</v>
      </c>
      <c r="H2666" s="52" t="str">
        <f t="shared" ca="1" si="952"/>
        <v>Eligible Basis for Rehab</v>
      </c>
      <c r="I2666" s="52">
        <v>13</v>
      </c>
    </row>
    <row r="2667" spans="1:10" ht="15" customHeight="1">
      <c r="A2667" t="str">
        <f ca="1">IF(AND(OFFSET(A2667, -I2667 + 2, 4) &gt;  0, E2667="", Calculations!$B$7), F2667, "")</f>
        <v/>
      </c>
      <c r="B2667">
        <f t="shared" si="947"/>
        <v>71</v>
      </c>
      <c r="C2667">
        <f t="shared" ca="1" si="927"/>
        <v>68</v>
      </c>
      <c r="D2667" t="str">
        <f t="shared" si="948"/>
        <v>N71</v>
      </c>
      <c r="E2667" t="str">
        <f t="shared" ca="1" si="949"/>
        <v/>
      </c>
      <c r="F2667" t="str">
        <f t="shared" ca="1" si="950"/>
        <v xml:space="preserve">Enter a 'Cost of Acquiring the Building***' for  building 68 in cell N71.
</v>
      </c>
      <c r="G2667" s="9" t="str">
        <f t="shared" ca="1" si="951"/>
        <v xml:space="preserve">Enter a value for 'Number of Floors in the Tallest Building' in cell B60.
</v>
      </c>
      <c r="H2667" s="52" t="str">
        <f t="shared" ca="1" si="952"/>
        <v>Cost of Acquiring the Building***</v>
      </c>
      <c r="I2667" s="52">
        <v>14</v>
      </c>
    </row>
    <row r="2668" spans="1:10" ht="15" customHeight="1">
      <c r="A2668" t="str">
        <f ca="1">IF(AND(OFFSET(A2668, -I2668 + 2, 4) &gt;  0, E2668="", Calculations!$B$7), F2668, "")</f>
        <v/>
      </c>
      <c r="B2668">
        <f t="shared" si="947"/>
        <v>71</v>
      </c>
      <c r="C2668">
        <f t="shared" ca="1" si="927"/>
        <v>68</v>
      </c>
      <c r="D2668" t="str">
        <f t="shared" si="948"/>
        <v>O71</v>
      </c>
      <c r="E2668" t="str">
        <f t="shared" ca="1" si="949"/>
        <v/>
      </c>
      <c r="F2668" t="str">
        <f t="shared" ca="1" si="950"/>
        <v xml:space="preserve">Enter a 'Higher of Land Purchase Price or Land Appraised Value****' for  building 68 in cell O71.
</v>
      </c>
      <c r="G2668" s="9" t="str">
        <f t="shared" ca="1" si="951"/>
        <v xml:space="preserve">Enter a value for 'Number of Floors in the Tallest Building' in cell B60.
</v>
      </c>
      <c r="H2668" s="52" t="str">
        <f t="shared" ca="1" si="952"/>
        <v>Higher of Land Purchase Price or Land Appraised Value****</v>
      </c>
      <c r="I2668" s="52">
        <v>15</v>
      </c>
    </row>
    <row r="2669" spans="1:10" ht="15" customHeight="1">
      <c r="A2669" t="str">
        <f ca="1">IF(AND(OFFSET(A2669, -I2669 + 2, 4) &gt;  0, E2669="", Calculations!$B$7), F2669, "")</f>
        <v/>
      </c>
      <c r="B2669">
        <f t="shared" si="947"/>
        <v>71</v>
      </c>
      <c r="C2669">
        <f t="shared" ca="1" si="927"/>
        <v>68</v>
      </c>
      <c r="D2669" t="str">
        <f t="shared" si="948"/>
        <v>P71</v>
      </c>
      <c r="E2669" t="str">
        <f t="shared" ca="1" si="949"/>
        <v/>
      </c>
      <c r="F2669" t="str">
        <f t="shared" ca="1" si="950"/>
        <v xml:space="preserve">Enter a 'Acquisition Placed-in-Service Date' for  building 68 in cell P71.
</v>
      </c>
      <c r="G2669" s="9" t="str">
        <f t="shared" ca="1" si="951"/>
        <v xml:space="preserve">Enter a value for 'Number of Floors in the Tallest Building' in cell B60.
</v>
      </c>
      <c r="H2669" s="52" t="str">
        <f t="shared" ca="1" si="952"/>
        <v>Acquisition Placed-in-Service Date</v>
      </c>
      <c r="I2669" s="52">
        <v>16</v>
      </c>
    </row>
    <row r="2670" spans="1:10" ht="15" customHeight="1">
      <c r="A2670" t="str">
        <f ca="1">IF(AND(OFFSET(A2670, -I2670 + 2, 4) &gt;  0, E2670="", Calculations!$B$7), F2670, "")</f>
        <v/>
      </c>
      <c r="B2670">
        <f t="shared" si="947"/>
        <v>71</v>
      </c>
      <c r="C2670">
        <f t="shared" ca="1" si="927"/>
        <v>68</v>
      </c>
      <c r="D2670" t="str">
        <f t="shared" si="948"/>
        <v>Q71</v>
      </c>
      <c r="E2670" t="str">
        <f t="shared" ca="1" si="949"/>
        <v/>
      </c>
      <c r="F2670" t="str">
        <f t="shared" ca="1" si="950"/>
        <v xml:space="preserve">Enter a 'Acquisition APR' for  building 68 in cell Q71.
</v>
      </c>
      <c r="G2670" s="9" t="str">
        <f t="shared" ca="1" si="951"/>
        <v xml:space="preserve">Enter a value for 'Number of Floors in the Tallest Building' in cell B60.
</v>
      </c>
      <c r="H2670" s="52" t="str">
        <f t="shared" ca="1" si="952"/>
        <v>Acquisition APR</v>
      </c>
      <c r="I2670" s="52">
        <v>17</v>
      </c>
    </row>
    <row r="2671" spans="1:10" ht="15" customHeight="1">
      <c r="A2671" t="str">
        <f ca="1">IF(AND(Calculations!$B$4,Calculations!$B$29&gt;=C2671, E2671 &lt;&gt; 13),F2671,"")</f>
        <v/>
      </c>
      <c r="B2671">
        <f>ROW('Final Building Profile'!C72)</f>
        <v>72</v>
      </c>
      <c r="C2671">
        <f t="shared" ref="C2671:C2734" ca="1" si="953">INDIRECT($F$1565 &amp; ADDRESS(B2671, 1,4  ))</f>
        <v>69</v>
      </c>
      <c r="D2671" t="str">
        <f>ADDRESS(B2671, 3,4  )</f>
        <v>C72</v>
      </c>
      <c r="E2671" s="52">
        <f ca="1">H2671+I2671</f>
        <v>0</v>
      </c>
      <c r="F2671" t="str">
        <f ca="1">CONCATENATE("Based upon the number of buildings specified, information for  building ", C2671, " required for a final application in row ", B2671, ".", CHAR(10))</f>
        <v xml:space="preserve">Based upon the number of buildings specified, information for  building 69 required for a final application in row 72.
</v>
      </c>
      <c r="G2671" s="9" t="str">
        <f t="shared" ca="1" si="951"/>
        <v xml:space="preserve">Enter a value for 'Number of Floors in the Tallest Building' in cell B60.
</v>
      </c>
      <c r="H2671" s="52">
        <f ca="1">SUMPRODUCT(--ISTEXT(INDIRECT(J2671)))</f>
        <v>0</v>
      </c>
      <c r="I2671" s="52">
        <f ca="1">SUMPRODUCT(--ISNUMBER(INDIRECT(J2671)))</f>
        <v>0</v>
      </c>
      <c r="J2671" s="52" t="str">
        <f>$F$1565&amp; ADDRESS(B2671,3,4) &amp; ":" &amp; ADDRESS(B2671,15,4)</f>
        <v>'Final Building Profile'!C72:O72</v>
      </c>
    </row>
    <row r="2672" spans="1:10" ht="15" customHeight="1">
      <c r="A2672" t="str">
        <f t="shared" ref="A2672:A2681" ca="1" si="954">IF(AND(OFFSET(A2672, -I2672 + 2, 4) &gt;  0, E2672=""), F2672, "")</f>
        <v/>
      </c>
      <c r="B2672">
        <f t="shared" ref="B2672:B2686" si="955">B2671</f>
        <v>72</v>
      </c>
      <c r="C2672">
        <f t="shared" ca="1" si="953"/>
        <v>69</v>
      </c>
      <c r="D2672" t="str">
        <f t="shared" ref="D2672:D2686" si="956">ADDRESS(B2672, I2672,4  )</f>
        <v>C72</v>
      </c>
      <c r="E2672" t="str">
        <f t="shared" ref="E2672:E2686" ca="1" si="957">IF(ISBLANK( INDIRECT($F$1565 &amp; D2672)),"", INDIRECT($F$1565 &amp; D2672))</f>
        <v/>
      </c>
      <c r="F2672" t="str">
        <f t="shared" ref="F2672:F2686" ca="1" si="958">CONCATENATE("Enter a '"&amp; H2672 &amp;"' for  building ", C2672, " in cell ", D2672, ".", CHAR(10))</f>
        <v xml:space="preserve">Enter a 'Building Street Address Only 
(DO NOT ENTER CITY, STATE, OR ZIP)' for  building 69 in cell C72.
</v>
      </c>
      <c r="G2672" s="9" t="str">
        <f t="shared" ca="1" si="951"/>
        <v xml:space="preserve">Enter a value for 'Number of Floors in the Tallest Building' in cell B60.
</v>
      </c>
      <c r="H2672" s="52" t="str">
        <f t="shared" ref="H2672:H2686" ca="1" si="959">OFFSET(INDIRECT($F$1565 &amp; D2672), -B2672 + 3, 0)</f>
        <v>Building Street Address Only 
(DO NOT ENTER CITY, STATE, OR ZIP)</v>
      </c>
      <c r="I2672" s="52">
        <v>3</v>
      </c>
    </row>
    <row r="2673" spans="1:10" ht="15" customHeight="1">
      <c r="A2673" t="str">
        <f t="shared" ca="1" si="954"/>
        <v/>
      </c>
      <c r="B2673">
        <f t="shared" si="955"/>
        <v>72</v>
      </c>
      <c r="C2673">
        <f t="shared" ca="1" si="953"/>
        <v>69</v>
      </c>
      <c r="D2673" t="str">
        <f t="shared" si="956"/>
        <v>D72</v>
      </c>
      <c r="E2673" t="str">
        <f t="shared" ca="1" si="957"/>
        <v/>
      </c>
      <c r="F2673" t="str">
        <f t="shared" ca="1" si="958"/>
        <v xml:space="preserve">Enter a 'Total Units in Building*' for  building 69 in cell D72.
</v>
      </c>
      <c r="G2673" s="9" t="str">
        <f t="shared" ca="1" si="951"/>
        <v xml:space="preserve">Enter a value for 'Number of Floors in the Tallest Building' in cell B60.
</v>
      </c>
      <c r="H2673" s="52" t="str">
        <f t="shared" ca="1" si="959"/>
        <v>Total Units in Building*</v>
      </c>
      <c r="I2673" s="52">
        <v>4</v>
      </c>
    </row>
    <row r="2674" spans="1:10" ht="15" customHeight="1">
      <c r="A2674" t="str">
        <f t="shared" ca="1" si="954"/>
        <v/>
      </c>
      <c r="B2674">
        <f t="shared" si="955"/>
        <v>72</v>
      </c>
      <c r="C2674">
        <f t="shared" ca="1" si="953"/>
        <v>69</v>
      </c>
      <c r="D2674" t="str">
        <f t="shared" si="956"/>
        <v>E72</v>
      </c>
      <c r="E2674" t="str">
        <f t="shared" ca="1" si="957"/>
        <v/>
      </c>
      <c r="F2674" t="str">
        <f t="shared" ca="1" si="958"/>
        <v xml:space="preserve">Enter a 'Employee Units' for  building 69 in cell E72.
</v>
      </c>
      <c r="G2674" s="9" t="str">
        <f t="shared" ca="1" si="951"/>
        <v xml:space="preserve">Enter a value for 'Number of Floors in the Tallest Building' in cell B60.
</v>
      </c>
      <c r="H2674" s="52" t="str">
        <f t="shared" ca="1" si="959"/>
        <v>Employee Units</v>
      </c>
      <c r="I2674" s="52">
        <v>5</v>
      </c>
    </row>
    <row r="2675" spans="1:10" ht="15" customHeight="1">
      <c r="A2675" t="str">
        <f t="shared" ca="1" si="954"/>
        <v/>
      </c>
      <c r="B2675">
        <f t="shared" si="955"/>
        <v>72</v>
      </c>
      <c r="C2675">
        <f t="shared" ca="1" si="953"/>
        <v>69</v>
      </c>
      <c r="D2675" t="str">
        <f t="shared" si="956"/>
        <v>F72</v>
      </c>
      <c r="E2675" t="str">
        <f t="shared" ca="1" si="957"/>
        <v/>
      </c>
      <c r="F2675" t="str">
        <f t="shared" ca="1" si="958"/>
        <v xml:space="preserve">Enter a 'Low-Income Units' for  building 69 in cell F72.
</v>
      </c>
      <c r="G2675" s="9" t="str">
        <f t="shared" ca="1" si="951"/>
        <v xml:space="preserve">Enter a value for 'Number of Floors in the Tallest Building' in cell B60.
</v>
      </c>
      <c r="H2675" s="52" t="str">
        <f t="shared" ca="1" si="959"/>
        <v>Low-Income Units</v>
      </c>
      <c r="I2675" s="52">
        <v>6</v>
      </c>
    </row>
    <row r="2676" spans="1:10" ht="15" customHeight="1">
      <c r="A2676" t="str">
        <f t="shared" ca="1" si="954"/>
        <v/>
      </c>
      <c r="B2676">
        <f t="shared" si="955"/>
        <v>72</v>
      </c>
      <c r="C2676">
        <f t="shared" ca="1" si="953"/>
        <v>69</v>
      </c>
      <c r="D2676" t="str">
        <f t="shared" si="956"/>
        <v>G72</v>
      </c>
      <c r="E2676" t="str">
        <f t="shared" ca="1" si="957"/>
        <v/>
      </c>
      <c r="F2676" t="str">
        <f t="shared" ca="1" si="958"/>
        <v xml:space="preserve">Enter a 'Residential Square Footage**' for  building 69 in cell G72.
</v>
      </c>
      <c r="G2676" s="9" t="str">
        <f t="shared" ca="1" si="951"/>
        <v xml:space="preserve">Enter a value for 'Number of Floors in the Tallest Building' in cell B60.
</v>
      </c>
      <c r="H2676" s="52" t="str">
        <f t="shared" ca="1" si="959"/>
        <v>Residential Square Footage**</v>
      </c>
      <c r="I2676" s="52">
        <v>7</v>
      </c>
    </row>
    <row r="2677" spans="1:10" ht="15" customHeight="1">
      <c r="A2677" t="str">
        <f t="shared" ca="1" si="954"/>
        <v/>
      </c>
      <c r="B2677">
        <f t="shared" si="955"/>
        <v>72</v>
      </c>
      <c r="C2677">
        <f t="shared" ca="1" si="953"/>
        <v>69</v>
      </c>
      <c r="D2677" t="str">
        <f t="shared" si="956"/>
        <v>H72</v>
      </c>
      <c r="E2677" t="str">
        <f t="shared" ca="1" si="957"/>
        <v/>
      </c>
      <c r="F2677" t="str">
        <f t="shared" ca="1" si="958"/>
        <v xml:space="preserve">Enter a 'Square Footage of Employee Units' for  building 69 in cell H72.
</v>
      </c>
      <c r="G2677" s="9" t="str">
        <f t="shared" ca="1" si="951"/>
        <v xml:space="preserve">Enter a value for 'Number of Floors in the Tallest Building' in cell B60.
</v>
      </c>
      <c r="H2677" s="52" t="str">
        <f t="shared" ca="1" si="959"/>
        <v>Square Footage of Employee Units</v>
      </c>
      <c r="I2677" s="52">
        <v>8</v>
      </c>
    </row>
    <row r="2678" spans="1:10" ht="15" customHeight="1">
      <c r="A2678" t="str">
        <f t="shared" ca="1" si="954"/>
        <v/>
      </c>
      <c r="B2678">
        <f t="shared" si="955"/>
        <v>72</v>
      </c>
      <c r="C2678">
        <f t="shared" ca="1" si="953"/>
        <v>69</v>
      </c>
      <c r="D2678" t="str">
        <f t="shared" si="956"/>
        <v>I72</v>
      </c>
      <c r="E2678" t="str">
        <f t="shared" ca="1" si="957"/>
        <v/>
      </c>
      <c r="F2678" t="str">
        <f t="shared" ca="1" si="958"/>
        <v xml:space="preserve">Enter a 'Square Footage of Low-Income Units' for  building 69 in cell I72.
</v>
      </c>
      <c r="G2678" s="9" t="str">
        <f t="shared" ca="1" si="951"/>
        <v xml:space="preserve">Enter a value for 'Number of Floors in the Tallest Building' in cell B60.
</v>
      </c>
      <c r="H2678" s="52" t="str">
        <f t="shared" ca="1" si="959"/>
        <v>Square Footage of Low-Income Units</v>
      </c>
      <c r="I2678" s="52">
        <v>9</v>
      </c>
    </row>
    <row r="2679" spans="1:10" ht="15" customHeight="1">
      <c r="A2679" t="str">
        <f t="shared" ca="1" si="954"/>
        <v/>
      </c>
      <c r="B2679">
        <f t="shared" si="955"/>
        <v>72</v>
      </c>
      <c r="C2679">
        <f t="shared" ca="1" si="953"/>
        <v>69</v>
      </c>
      <c r="D2679" t="str">
        <f t="shared" si="956"/>
        <v>J72</v>
      </c>
      <c r="E2679" t="str">
        <f t="shared" ca="1" si="957"/>
        <v/>
      </c>
      <c r="F2679" t="str">
        <f t="shared" ca="1" si="958"/>
        <v xml:space="preserve">Enter a 'Placed-In-Service Date' for  building 69 in cell J72.
</v>
      </c>
      <c r="G2679" s="9" t="str">
        <f t="shared" ca="1" si="951"/>
        <v xml:space="preserve">Enter a value for 'Number of Floors in the Tallest Building' in cell B60.
</v>
      </c>
      <c r="H2679" s="52" t="str">
        <f t="shared" ca="1" si="959"/>
        <v>Placed-In-Service Date</v>
      </c>
      <c r="I2679" s="52">
        <v>10</v>
      </c>
    </row>
    <row r="2680" spans="1:10" ht="15" customHeight="1">
      <c r="A2680" t="str">
        <f t="shared" ca="1" si="954"/>
        <v/>
      </c>
      <c r="B2680">
        <f t="shared" si="955"/>
        <v>72</v>
      </c>
      <c r="C2680">
        <f t="shared" ca="1" si="953"/>
        <v>69</v>
      </c>
      <c r="D2680" t="str">
        <f t="shared" si="956"/>
        <v>K72</v>
      </c>
      <c r="E2680" t="str">
        <f t="shared" ca="1" si="957"/>
        <v/>
      </c>
      <c r="F2680" t="str">
        <f t="shared" ca="1" si="958"/>
        <v xml:space="preserve">Enter a 'New Construction/ Rehab APR' for  building 69 in cell K72.
</v>
      </c>
      <c r="G2680" s="9" t="str">
        <f t="shared" ca="1" si="951"/>
        <v xml:space="preserve">Enter a value for 'Number of Floors in the Tallest Building' in cell B60.
</v>
      </c>
      <c r="H2680" s="52" t="str">
        <f t="shared" ca="1" si="959"/>
        <v>New Construction/ Rehab APR</v>
      </c>
      <c r="I2680" s="52">
        <v>11</v>
      </c>
    </row>
    <row r="2681" spans="1:10" ht="15" customHeight="1">
      <c r="A2681" t="str">
        <f t="shared" ca="1" si="954"/>
        <v/>
      </c>
      <c r="B2681">
        <f t="shared" si="955"/>
        <v>72</v>
      </c>
      <c r="C2681">
        <f t="shared" ca="1" si="953"/>
        <v>69</v>
      </c>
      <c r="D2681" t="str">
        <f t="shared" si="956"/>
        <v>L72</v>
      </c>
      <c r="E2681" t="str">
        <f t="shared" ca="1" si="957"/>
        <v/>
      </c>
      <c r="F2681" t="str">
        <f t="shared" ca="1" si="958"/>
        <v xml:space="preserve">Enter a 'New Construction Eligible Basis' for  building 69 in cell L72.
</v>
      </c>
      <c r="G2681" s="9" t="str">
        <f t="shared" ca="1" si="951"/>
        <v xml:space="preserve">Enter a value for 'Number of Floors in the Tallest Building' in cell B60.
</v>
      </c>
      <c r="H2681" s="52" t="str">
        <f t="shared" ca="1" si="959"/>
        <v>New Construction Eligible Basis</v>
      </c>
      <c r="I2681" s="52">
        <v>12</v>
      </c>
    </row>
    <row r="2682" spans="1:10" ht="15" customHeight="1">
      <c r="A2682" t="str">
        <f ca="1">IF(AND(OFFSET(A2682, -I2682 + 2, 4) &gt;  0, E2682="", Calculations!$B$7), F2682, "")</f>
        <v/>
      </c>
      <c r="B2682">
        <f t="shared" si="955"/>
        <v>72</v>
      </c>
      <c r="C2682">
        <f t="shared" ca="1" si="953"/>
        <v>69</v>
      </c>
      <c r="D2682" t="str">
        <f t="shared" si="956"/>
        <v>M72</v>
      </c>
      <c r="E2682" t="str">
        <f t="shared" ca="1" si="957"/>
        <v/>
      </c>
      <c r="F2682" t="str">
        <f t="shared" ca="1" si="958"/>
        <v xml:space="preserve">Enter a 'Eligible Basis for Rehab' for  building 69 in cell M72.
</v>
      </c>
      <c r="G2682" s="9" t="str">
        <f t="shared" ca="1" si="951"/>
        <v xml:space="preserve">Enter a value for 'Number of Floors in the Tallest Building' in cell B60.
</v>
      </c>
      <c r="H2682" s="52" t="str">
        <f t="shared" ca="1" si="959"/>
        <v>Eligible Basis for Rehab</v>
      </c>
      <c r="I2682" s="52">
        <v>13</v>
      </c>
    </row>
    <row r="2683" spans="1:10" ht="15" customHeight="1">
      <c r="A2683" t="str">
        <f ca="1">IF(AND(OFFSET(A2683, -I2683 + 2, 4) &gt;  0, E2683="", Calculations!$B$7), F2683, "")</f>
        <v/>
      </c>
      <c r="B2683">
        <f t="shared" si="955"/>
        <v>72</v>
      </c>
      <c r="C2683">
        <f t="shared" ca="1" si="953"/>
        <v>69</v>
      </c>
      <c r="D2683" t="str">
        <f t="shared" si="956"/>
        <v>N72</v>
      </c>
      <c r="E2683" t="str">
        <f t="shared" ca="1" si="957"/>
        <v/>
      </c>
      <c r="F2683" t="str">
        <f t="shared" ca="1" si="958"/>
        <v xml:space="preserve">Enter a 'Cost of Acquiring the Building***' for  building 69 in cell N72.
</v>
      </c>
      <c r="G2683" s="9" t="str">
        <f t="shared" ca="1" si="951"/>
        <v xml:space="preserve">Enter a value for 'Number of Floors in the Tallest Building' in cell B60.
</v>
      </c>
      <c r="H2683" s="52" t="str">
        <f t="shared" ca="1" si="959"/>
        <v>Cost of Acquiring the Building***</v>
      </c>
      <c r="I2683" s="52">
        <v>14</v>
      </c>
    </row>
    <row r="2684" spans="1:10" ht="15" customHeight="1">
      <c r="A2684" t="str">
        <f ca="1">IF(AND(OFFSET(A2684, -I2684 + 2, 4) &gt;  0, E2684="", Calculations!$B$7), F2684, "")</f>
        <v/>
      </c>
      <c r="B2684">
        <f t="shared" si="955"/>
        <v>72</v>
      </c>
      <c r="C2684">
        <f t="shared" ca="1" si="953"/>
        <v>69</v>
      </c>
      <c r="D2684" t="str">
        <f t="shared" si="956"/>
        <v>O72</v>
      </c>
      <c r="E2684" t="str">
        <f t="shared" ca="1" si="957"/>
        <v/>
      </c>
      <c r="F2684" t="str">
        <f t="shared" ca="1" si="958"/>
        <v xml:space="preserve">Enter a 'Higher of Land Purchase Price or Land Appraised Value****' for  building 69 in cell O72.
</v>
      </c>
      <c r="G2684" s="9" t="str">
        <f t="shared" ca="1" si="951"/>
        <v xml:space="preserve">Enter a value for 'Number of Floors in the Tallest Building' in cell B60.
</v>
      </c>
      <c r="H2684" s="52" t="str">
        <f t="shared" ca="1" si="959"/>
        <v>Higher of Land Purchase Price or Land Appraised Value****</v>
      </c>
      <c r="I2684" s="52">
        <v>15</v>
      </c>
    </row>
    <row r="2685" spans="1:10" ht="15" customHeight="1">
      <c r="A2685" t="str">
        <f ca="1">IF(AND(OFFSET(A2685, -I2685 + 2, 4) &gt;  0, E2685="", Calculations!$B$7), F2685, "")</f>
        <v/>
      </c>
      <c r="B2685">
        <f t="shared" si="955"/>
        <v>72</v>
      </c>
      <c r="C2685">
        <f t="shared" ca="1" si="953"/>
        <v>69</v>
      </c>
      <c r="D2685" t="str">
        <f t="shared" si="956"/>
        <v>P72</v>
      </c>
      <c r="E2685" t="str">
        <f t="shared" ca="1" si="957"/>
        <v/>
      </c>
      <c r="F2685" t="str">
        <f t="shared" ca="1" si="958"/>
        <v xml:space="preserve">Enter a 'Acquisition Placed-in-Service Date' for  building 69 in cell P72.
</v>
      </c>
      <c r="G2685" s="9" t="str">
        <f t="shared" ca="1" si="951"/>
        <v xml:space="preserve">Enter a value for 'Number of Floors in the Tallest Building' in cell B60.
</v>
      </c>
      <c r="H2685" s="52" t="str">
        <f t="shared" ca="1" si="959"/>
        <v>Acquisition Placed-in-Service Date</v>
      </c>
      <c r="I2685" s="52">
        <v>16</v>
      </c>
    </row>
    <row r="2686" spans="1:10" ht="15" customHeight="1">
      <c r="A2686" t="str">
        <f ca="1">IF(AND(OFFSET(A2686, -I2686 + 2, 4) &gt;  0, E2686="", Calculations!$B$7), F2686, "")</f>
        <v/>
      </c>
      <c r="B2686">
        <f t="shared" si="955"/>
        <v>72</v>
      </c>
      <c r="C2686">
        <f t="shared" ca="1" si="953"/>
        <v>69</v>
      </c>
      <c r="D2686" t="str">
        <f t="shared" si="956"/>
        <v>Q72</v>
      </c>
      <c r="E2686" t="str">
        <f t="shared" ca="1" si="957"/>
        <v/>
      </c>
      <c r="F2686" t="str">
        <f t="shared" ca="1" si="958"/>
        <v xml:space="preserve">Enter a 'Acquisition APR' for  building 69 in cell Q72.
</v>
      </c>
      <c r="G2686" s="9" t="str">
        <f t="shared" ca="1" si="951"/>
        <v xml:space="preserve">Enter a value for 'Number of Floors in the Tallest Building' in cell B60.
</v>
      </c>
      <c r="H2686" s="52" t="str">
        <f t="shared" ca="1" si="959"/>
        <v>Acquisition APR</v>
      </c>
      <c r="I2686" s="52">
        <v>17</v>
      </c>
    </row>
    <row r="2687" spans="1:10" ht="15" customHeight="1">
      <c r="A2687" t="str">
        <f ca="1">IF(AND(Calculations!$B$4,Calculations!$B$29&gt;=C2687, E2687 &lt;&gt; 13),F2687,"")</f>
        <v/>
      </c>
      <c r="B2687">
        <f>ROW('Final Building Profile'!C73)</f>
        <v>73</v>
      </c>
      <c r="C2687">
        <f t="shared" ca="1" si="953"/>
        <v>70</v>
      </c>
      <c r="D2687" t="str">
        <f>ADDRESS(B2687, 3,4  )</f>
        <v>C73</v>
      </c>
      <c r="E2687" s="52">
        <f ca="1">H2687+I2687</f>
        <v>0</v>
      </c>
      <c r="F2687" t="str">
        <f ca="1">CONCATENATE("Based upon the number of buildings specified, information for  building ", C2687, " required for a final application in row ", B2687, ".", CHAR(10))</f>
        <v xml:space="preserve">Based upon the number of buildings specified, information for  building 70 required for a final application in row 73.
</v>
      </c>
      <c r="G2687" s="9" t="str">
        <f t="shared" ca="1" si="951"/>
        <v xml:space="preserve">Enter a value for 'Number of Floors in the Tallest Building' in cell B60.
</v>
      </c>
      <c r="H2687" s="52">
        <f ca="1">SUMPRODUCT(--ISTEXT(INDIRECT(J2687)))</f>
        <v>0</v>
      </c>
      <c r="I2687" s="52">
        <f ca="1">SUMPRODUCT(--ISNUMBER(INDIRECT(J2687)))</f>
        <v>0</v>
      </c>
      <c r="J2687" s="52" t="str">
        <f>$F$1565&amp; ADDRESS(B2687,3,4) &amp; ":" &amp; ADDRESS(B2687,15,4)</f>
        <v>'Final Building Profile'!C73:O73</v>
      </c>
    </row>
    <row r="2688" spans="1:10" ht="15" customHeight="1">
      <c r="A2688" t="str">
        <f t="shared" ref="A2688:A2697" ca="1" si="960">IF(AND(OFFSET(A2688, -I2688 + 2, 4) &gt;  0, E2688=""), F2688, "")</f>
        <v/>
      </c>
      <c r="B2688">
        <f t="shared" ref="B2688:B2702" si="961">B2687</f>
        <v>73</v>
      </c>
      <c r="C2688">
        <f t="shared" ca="1" si="953"/>
        <v>70</v>
      </c>
      <c r="D2688" t="str">
        <f t="shared" ref="D2688:D2702" si="962">ADDRESS(B2688, I2688,4  )</f>
        <v>C73</v>
      </c>
      <c r="E2688" t="str">
        <f t="shared" ref="E2688:E2702" ca="1" si="963">IF(ISBLANK( INDIRECT($F$1565 &amp; D2688)),"", INDIRECT($F$1565 &amp; D2688))</f>
        <v/>
      </c>
      <c r="F2688" t="str">
        <f t="shared" ref="F2688:F2702" ca="1" si="964">CONCATENATE("Enter a '"&amp; H2688 &amp;"' for  building ", C2688, " in cell ", D2688, ".", CHAR(10))</f>
        <v xml:space="preserve">Enter a 'Building Street Address Only 
(DO NOT ENTER CITY, STATE, OR ZIP)' for  building 70 in cell C73.
</v>
      </c>
      <c r="G2688" s="9" t="str">
        <f t="shared" ca="1" si="951"/>
        <v xml:space="preserve">Enter a value for 'Number of Floors in the Tallest Building' in cell B60.
</v>
      </c>
      <c r="H2688" s="52" t="str">
        <f t="shared" ref="H2688:H2702" ca="1" si="965">OFFSET(INDIRECT($F$1565 &amp; D2688), -B2688 + 3, 0)</f>
        <v>Building Street Address Only 
(DO NOT ENTER CITY, STATE, OR ZIP)</v>
      </c>
      <c r="I2688" s="52">
        <v>3</v>
      </c>
    </row>
    <row r="2689" spans="1:10" ht="15" customHeight="1">
      <c r="A2689" t="str">
        <f t="shared" ca="1" si="960"/>
        <v/>
      </c>
      <c r="B2689">
        <f t="shared" si="961"/>
        <v>73</v>
      </c>
      <c r="C2689">
        <f t="shared" ca="1" si="953"/>
        <v>70</v>
      </c>
      <c r="D2689" t="str">
        <f t="shared" si="962"/>
        <v>D73</v>
      </c>
      <c r="E2689" t="str">
        <f t="shared" ca="1" si="963"/>
        <v/>
      </c>
      <c r="F2689" t="str">
        <f t="shared" ca="1" si="964"/>
        <v xml:space="preserve">Enter a 'Total Units in Building*' for  building 70 in cell D73.
</v>
      </c>
      <c r="G2689" s="9" t="str">
        <f t="shared" ca="1" si="951"/>
        <v xml:space="preserve">Enter a value for 'Number of Floors in the Tallest Building' in cell B60.
</v>
      </c>
      <c r="H2689" s="52" t="str">
        <f t="shared" ca="1" si="965"/>
        <v>Total Units in Building*</v>
      </c>
      <c r="I2689" s="52">
        <v>4</v>
      </c>
    </row>
    <row r="2690" spans="1:10" ht="15" customHeight="1">
      <c r="A2690" t="str">
        <f t="shared" ca="1" si="960"/>
        <v/>
      </c>
      <c r="B2690">
        <f t="shared" si="961"/>
        <v>73</v>
      </c>
      <c r="C2690">
        <f t="shared" ca="1" si="953"/>
        <v>70</v>
      </c>
      <c r="D2690" t="str">
        <f t="shared" si="962"/>
        <v>E73</v>
      </c>
      <c r="E2690" t="str">
        <f t="shared" ca="1" si="963"/>
        <v/>
      </c>
      <c r="F2690" t="str">
        <f t="shared" ca="1" si="964"/>
        <v xml:space="preserve">Enter a 'Employee Units' for  building 70 in cell E73.
</v>
      </c>
      <c r="G2690" s="9" t="str">
        <f t="shared" ca="1" si="951"/>
        <v xml:space="preserve">Enter a value for 'Number of Floors in the Tallest Building' in cell B60.
</v>
      </c>
      <c r="H2690" s="52" t="str">
        <f t="shared" ca="1" si="965"/>
        <v>Employee Units</v>
      </c>
      <c r="I2690" s="52">
        <v>5</v>
      </c>
    </row>
    <row r="2691" spans="1:10" ht="15" customHeight="1">
      <c r="A2691" t="str">
        <f t="shared" ca="1" si="960"/>
        <v/>
      </c>
      <c r="B2691">
        <f t="shared" si="961"/>
        <v>73</v>
      </c>
      <c r="C2691">
        <f t="shared" ca="1" si="953"/>
        <v>70</v>
      </c>
      <c r="D2691" t="str">
        <f t="shared" si="962"/>
        <v>F73</v>
      </c>
      <c r="E2691" t="str">
        <f t="shared" ca="1" si="963"/>
        <v/>
      </c>
      <c r="F2691" t="str">
        <f t="shared" ca="1" si="964"/>
        <v xml:space="preserve">Enter a 'Low-Income Units' for  building 70 in cell F73.
</v>
      </c>
      <c r="G2691" s="9" t="str">
        <f t="shared" ca="1" si="951"/>
        <v xml:space="preserve">Enter a value for 'Number of Floors in the Tallest Building' in cell B60.
</v>
      </c>
      <c r="H2691" s="52" t="str">
        <f t="shared" ca="1" si="965"/>
        <v>Low-Income Units</v>
      </c>
      <c r="I2691" s="52">
        <v>6</v>
      </c>
    </row>
    <row r="2692" spans="1:10" ht="15" customHeight="1">
      <c r="A2692" t="str">
        <f t="shared" ca="1" si="960"/>
        <v/>
      </c>
      <c r="B2692">
        <f t="shared" si="961"/>
        <v>73</v>
      </c>
      <c r="C2692">
        <f t="shared" ca="1" si="953"/>
        <v>70</v>
      </c>
      <c r="D2692" t="str">
        <f t="shared" si="962"/>
        <v>G73</v>
      </c>
      <c r="E2692" t="str">
        <f t="shared" ca="1" si="963"/>
        <v/>
      </c>
      <c r="F2692" t="str">
        <f t="shared" ca="1" si="964"/>
        <v xml:space="preserve">Enter a 'Residential Square Footage**' for  building 70 in cell G73.
</v>
      </c>
      <c r="G2692" s="9" t="str">
        <f t="shared" ca="1" si="951"/>
        <v xml:space="preserve">Enter a value for 'Number of Floors in the Tallest Building' in cell B60.
</v>
      </c>
      <c r="H2692" s="52" t="str">
        <f t="shared" ca="1" si="965"/>
        <v>Residential Square Footage**</v>
      </c>
      <c r="I2692" s="52">
        <v>7</v>
      </c>
    </row>
    <row r="2693" spans="1:10" ht="15" customHeight="1">
      <c r="A2693" t="str">
        <f t="shared" ca="1" si="960"/>
        <v/>
      </c>
      <c r="B2693">
        <f t="shared" si="961"/>
        <v>73</v>
      </c>
      <c r="C2693">
        <f t="shared" ca="1" si="953"/>
        <v>70</v>
      </c>
      <c r="D2693" t="str">
        <f t="shared" si="962"/>
        <v>H73</v>
      </c>
      <c r="E2693" t="str">
        <f t="shared" ca="1" si="963"/>
        <v/>
      </c>
      <c r="F2693" t="str">
        <f t="shared" ca="1" si="964"/>
        <v xml:space="preserve">Enter a 'Square Footage of Employee Units' for  building 70 in cell H73.
</v>
      </c>
      <c r="G2693" s="9" t="str">
        <f t="shared" ca="1" si="951"/>
        <v xml:space="preserve">Enter a value for 'Number of Floors in the Tallest Building' in cell B60.
</v>
      </c>
      <c r="H2693" s="52" t="str">
        <f t="shared" ca="1" si="965"/>
        <v>Square Footage of Employee Units</v>
      </c>
      <c r="I2693" s="52">
        <v>8</v>
      </c>
    </row>
    <row r="2694" spans="1:10" ht="15" customHeight="1">
      <c r="A2694" t="str">
        <f t="shared" ca="1" si="960"/>
        <v/>
      </c>
      <c r="B2694">
        <f t="shared" si="961"/>
        <v>73</v>
      </c>
      <c r="C2694">
        <f t="shared" ca="1" si="953"/>
        <v>70</v>
      </c>
      <c r="D2694" t="str">
        <f t="shared" si="962"/>
        <v>I73</v>
      </c>
      <c r="E2694" t="str">
        <f t="shared" ca="1" si="963"/>
        <v/>
      </c>
      <c r="F2694" t="str">
        <f t="shared" ca="1" si="964"/>
        <v xml:space="preserve">Enter a 'Square Footage of Low-Income Units' for  building 70 in cell I73.
</v>
      </c>
      <c r="G2694" s="9" t="str">
        <f t="shared" ca="1" si="951"/>
        <v xml:space="preserve">Enter a value for 'Number of Floors in the Tallest Building' in cell B60.
</v>
      </c>
      <c r="H2694" s="52" t="str">
        <f t="shared" ca="1" si="965"/>
        <v>Square Footage of Low-Income Units</v>
      </c>
      <c r="I2694" s="52">
        <v>9</v>
      </c>
    </row>
    <row r="2695" spans="1:10" ht="15" customHeight="1">
      <c r="A2695" t="str">
        <f t="shared" ca="1" si="960"/>
        <v/>
      </c>
      <c r="B2695">
        <f t="shared" si="961"/>
        <v>73</v>
      </c>
      <c r="C2695">
        <f t="shared" ca="1" si="953"/>
        <v>70</v>
      </c>
      <c r="D2695" t="str">
        <f t="shared" si="962"/>
        <v>J73</v>
      </c>
      <c r="E2695" t="str">
        <f t="shared" ca="1" si="963"/>
        <v/>
      </c>
      <c r="F2695" t="str">
        <f t="shared" ca="1" si="964"/>
        <v xml:space="preserve">Enter a 'Placed-In-Service Date' for  building 70 in cell J73.
</v>
      </c>
      <c r="G2695" s="9" t="str">
        <f t="shared" ca="1" si="951"/>
        <v xml:space="preserve">Enter a value for 'Number of Floors in the Tallest Building' in cell B60.
</v>
      </c>
      <c r="H2695" s="52" t="str">
        <f t="shared" ca="1" si="965"/>
        <v>Placed-In-Service Date</v>
      </c>
      <c r="I2695" s="52">
        <v>10</v>
      </c>
    </row>
    <row r="2696" spans="1:10" ht="15" customHeight="1">
      <c r="A2696" t="str">
        <f t="shared" ca="1" si="960"/>
        <v/>
      </c>
      <c r="B2696">
        <f t="shared" si="961"/>
        <v>73</v>
      </c>
      <c r="C2696">
        <f t="shared" ca="1" si="953"/>
        <v>70</v>
      </c>
      <c r="D2696" t="str">
        <f t="shared" si="962"/>
        <v>K73</v>
      </c>
      <c r="E2696" t="str">
        <f t="shared" ca="1" si="963"/>
        <v/>
      </c>
      <c r="F2696" t="str">
        <f t="shared" ca="1" si="964"/>
        <v xml:space="preserve">Enter a 'New Construction/ Rehab APR' for  building 70 in cell K73.
</v>
      </c>
      <c r="G2696" s="9" t="str">
        <f t="shared" ca="1" si="951"/>
        <v xml:space="preserve">Enter a value for 'Number of Floors in the Tallest Building' in cell B60.
</v>
      </c>
      <c r="H2696" s="52" t="str">
        <f t="shared" ca="1" si="965"/>
        <v>New Construction/ Rehab APR</v>
      </c>
      <c r="I2696" s="52">
        <v>11</v>
      </c>
    </row>
    <row r="2697" spans="1:10" ht="15" customHeight="1">
      <c r="A2697" t="str">
        <f t="shared" ca="1" si="960"/>
        <v/>
      </c>
      <c r="B2697">
        <f t="shared" si="961"/>
        <v>73</v>
      </c>
      <c r="C2697">
        <f t="shared" ca="1" si="953"/>
        <v>70</v>
      </c>
      <c r="D2697" t="str">
        <f t="shared" si="962"/>
        <v>L73</v>
      </c>
      <c r="E2697" t="str">
        <f t="shared" ca="1" si="963"/>
        <v/>
      </c>
      <c r="F2697" t="str">
        <f t="shared" ca="1" si="964"/>
        <v xml:space="preserve">Enter a 'New Construction Eligible Basis' for  building 70 in cell L73.
</v>
      </c>
      <c r="G2697" s="9" t="str">
        <f t="shared" ca="1" si="951"/>
        <v xml:space="preserve">Enter a value for 'Number of Floors in the Tallest Building' in cell B60.
</v>
      </c>
      <c r="H2697" s="52" t="str">
        <f t="shared" ca="1" si="965"/>
        <v>New Construction Eligible Basis</v>
      </c>
      <c r="I2697" s="52">
        <v>12</v>
      </c>
    </row>
    <row r="2698" spans="1:10" ht="15" customHeight="1">
      <c r="A2698" t="str">
        <f ca="1">IF(AND(OFFSET(A2698, -I2698 + 2, 4) &gt;  0, E2698="", Calculations!$B$7), F2698, "")</f>
        <v/>
      </c>
      <c r="B2698">
        <f t="shared" si="961"/>
        <v>73</v>
      </c>
      <c r="C2698">
        <f t="shared" ca="1" si="953"/>
        <v>70</v>
      </c>
      <c r="D2698" t="str">
        <f t="shared" si="962"/>
        <v>M73</v>
      </c>
      <c r="E2698" t="str">
        <f t="shared" ca="1" si="963"/>
        <v/>
      </c>
      <c r="F2698" t="str">
        <f t="shared" ca="1" si="964"/>
        <v xml:space="preserve">Enter a 'Eligible Basis for Rehab' for  building 70 in cell M73.
</v>
      </c>
      <c r="G2698" s="9" t="str">
        <f t="shared" ca="1" si="951"/>
        <v xml:space="preserve">Enter a value for 'Number of Floors in the Tallest Building' in cell B60.
</v>
      </c>
      <c r="H2698" s="52" t="str">
        <f t="shared" ca="1" si="965"/>
        <v>Eligible Basis for Rehab</v>
      </c>
      <c r="I2698" s="52">
        <v>13</v>
      </c>
    </row>
    <row r="2699" spans="1:10" ht="15" customHeight="1">
      <c r="A2699" t="str">
        <f ca="1">IF(AND(OFFSET(A2699, -I2699 + 2, 4) &gt;  0, E2699="", Calculations!$B$7), F2699, "")</f>
        <v/>
      </c>
      <c r="B2699">
        <f t="shared" si="961"/>
        <v>73</v>
      </c>
      <c r="C2699">
        <f t="shared" ca="1" si="953"/>
        <v>70</v>
      </c>
      <c r="D2699" t="str">
        <f t="shared" si="962"/>
        <v>N73</v>
      </c>
      <c r="E2699" t="str">
        <f t="shared" ca="1" si="963"/>
        <v/>
      </c>
      <c r="F2699" t="str">
        <f t="shared" ca="1" si="964"/>
        <v xml:space="preserve">Enter a 'Cost of Acquiring the Building***' for  building 70 in cell N73.
</v>
      </c>
      <c r="G2699" s="9" t="str">
        <f t="shared" ca="1" si="951"/>
        <v xml:space="preserve">Enter a value for 'Number of Floors in the Tallest Building' in cell B60.
</v>
      </c>
      <c r="H2699" s="52" t="str">
        <f t="shared" ca="1" si="965"/>
        <v>Cost of Acquiring the Building***</v>
      </c>
      <c r="I2699" s="52">
        <v>14</v>
      </c>
    </row>
    <row r="2700" spans="1:10" ht="15" customHeight="1">
      <c r="A2700" t="str">
        <f ca="1">IF(AND(OFFSET(A2700, -I2700 + 2, 4) &gt;  0, E2700="", Calculations!$B$7), F2700, "")</f>
        <v/>
      </c>
      <c r="B2700">
        <f t="shared" si="961"/>
        <v>73</v>
      </c>
      <c r="C2700">
        <f t="shared" ca="1" si="953"/>
        <v>70</v>
      </c>
      <c r="D2700" t="str">
        <f t="shared" si="962"/>
        <v>O73</v>
      </c>
      <c r="E2700" t="str">
        <f t="shared" ca="1" si="963"/>
        <v/>
      </c>
      <c r="F2700" t="str">
        <f t="shared" ca="1" si="964"/>
        <v xml:space="preserve">Enter a 'Higher of Land Purchase Price or Land Appraised Value****' for  building 70 in cell O73.
</v>
      </c>
      <c r="G2700" s="9" t="str">
        <f t="shared" ca="1" si="951"/>
        <v xml:space="preserve">Enter a value for 'Number of Floors in the Tallest Building' in cell B60.
</v>
      </c>
      <c r="H2700" s="52" t="str">
        <f t="shared" ca="1" si="965"/>
        <v>Higher of Land Purchase Price or Land Appraised Value****</v>
      </c>
      <c r="I2700" s="52">
        <v>15</v>
      </c>
    </row>
    <row r="2701" spans="1:10" ht="15" customHeight="1">
      <c r="A2701" t="str">
        <f ca="1">IF(AND(OFFSET(A2701, -I2701 + 2, 4) &gt;  0, E2701="", Calculations!$B$7), F2701, "")</f>
        <v/>
      </c>
      <c r="B2701">
        <f t="shared" si="961"/>
        <v>73</v>
      </c>
      <c r="C2701">
        <f t="shared" ca="1" si="953"/>
        <v>70</v>
      </c>
      <c r="D2701" t="str">
        <f t="shared" si="962"/>
        <v>P73</v>
      </c>
      <c r="E2701" t="str">
        <f t="shared" ca="1" si="963"/>
        <v/>
      </c>
      <c r="F2701" t="str">
        <f t="shared" ca="1" si="964"/>
        <v xml:space="preserve">Enter a 'Acquisition Placed-in-Service Date' for  building 70 in cell P73.
</v>
      </c>
      <c r="G2701" s="9" t="str">
        <f t="shared" ca="1" si="951"/>
        <v xml:space="preserve">Enter a value for 'Number of Floors in the Tallest Building' in cell B60.
</v>
      </c>
      <c r="H2701" s="52" t="str">
        <f t="shared" ca="1" si="965"/>
        <v>Acquisition Placed-in-Service Date</v>
      </c>
      <c r="I2701" s="52">
        <v>16</v>
      </c>
    </row>
    <row r="2702" spans="1:10" ht="15" customHeight="1">
      <c r="A2702" t="str">
        <f ca="1">IF(AND(OFFSET(A2702, -I2702 + 2, 4) &gt;  0, E2702="", Calculations!$B$7), F2702, "")</f>
        <v/>
      </c>
      <c r="B2702">
        <f t="shared" si="961"/>
        <v>73</v>
      </c>
      <c r="C2702">
        <f t="shared" ca="1" si="953"/>
        <v>70</v>
      </c>
      <c r="D2702" t="str">
        <f t="shared" si="962"/>
        <v>Q73</v>
      </c>
      <c r="E2702" t="str">
        <f t="shared" ca="1" si="963"/>
        <v/>
      </c>
      <c r="F2702" t="str">
        <f t="shared" ca="1" si="964"/>
        <v xml:space="preserve">Enter a 'Acquisition APR' for  building 70 in cell Q73.
</v>
      </c>
      <c r="G2702" s="9" t="str">
        <f t="shared" ca="1" si="951"/>
        <v xml:space="preserve">Enter a value for 'Number of Floors in the Tallest Building' in cell B60.
</v>
      </c>
      <c r="H2702" s="52" t="str">
        <f t="shared" ca="1" si="965"/>
        <v>Acquisition APR</v>
      </c>
      <c r="I2702" s="52">
        <v>17</v>
      </c>
    </row>
    <row r="2703" spans="1:10" ht="15" customHeight="1">
      <c r="A2703" t="str">
        <f ca="1">IF(AND(Calculations!$B$4,Calculations!$B$29&gt;=C2703, E2703 &lt;&gt; 13),F2703,"")</f>
        <v/>
      </c>
      <c r="B2703">
        <f>ROW('Final Building Profile'!C74)</f>
        <v>74</v>
      </c>
      <c r="C2703">
        <f t="shared" ca="1" si="953"/>
        <v>71</v>
      </c>
      <c r="D2703" t="str">
        <f>ADDRESS(B2703, 3,4  )</f>
        <v>C74</v>
      </c>
      <c r="E2703" s="52">
        <f ca="1">H2703+I2703</f>
        <v>0</v>
      </c>
      <c r="F2703" t="str">
        <f ca="1">CONCATENATE("Based upon the number of buildings specified, information for  building ", C2703, " required for a final application in row ", B2703, ".", CHAR(10))</f>
        <v xml:space="preserve">Based upon the number of buildings specified, information for  building 71 required for a final application in row 74.
</v>
      </c>
      <c r="G2703" s="9" t="str">
        <f t="shared" ca="1" si="951"/>
        <v xml:space="preserve">Enter a value for 'Number of Floors in the Tallest Building' in cell B60.
</v>
      </c>
      <c r="H2703" s="52">
        <f ca="1">SUMPRODUCT(--ISTEXT(INDIRECT(J2703)))</f>
        <v>0</v>
      </c>
      <c r="I2703" s="52">
        <f ca="1">SUMPRODUCT(--ISNUMBER(INDIRECT(J2703)))</f>
        <v>0</v>
      </c>
      <c r="J2703" s="52" t="str">
        <f>$F$1565&amp; ADDRESS(B2703,3,4) &amp; ":" &amp; ADDRESS(B2703,15,4)</f>
        <v>'Final Building Profile'!C74:O74</v>
      </c>
    </row>
    <row r="2704" spans="1:10" ht="15" customHeight="1">
      <c r="A2704" t="str">
        <f t="shared" ref="A2704:A2713" ca="1" si="966">IF(AND(OFFSET(A2704, -I2704 + 2, 4) &gt;  0, E2704=""), F2704, "")</f>
        <v/>
      </c>
      <c r="B2704">
        <f t="shared" ref="B2704:B2718" si="967">B2703</f>
        <v>74</v>
      </c>
      <c r="C2704">
        <f t="shared" ca="1" si="953"/>
        <v>71</v>
      </c>
      <c r="D2704" t="str">
        <f t="shared" ref="D2704:D2718" si="968">ADDRESS(B2704, I2704,4  )</f>
        <v>C74</v>
      </c>
      <c r="E2704" t="str">
        <f t="shared" ref="E2704:E2718" ca="1" si="969">IF(ISBLANK( INDIRECT($F$1565 &amp; D2704)),"", INDIRECT($F$1565 &amp; D2704))</f>
        <v/>
      </c>
      <c r="F2704" t="str">
        <f t="shared" ref="F2704:F2718" ca="1" si="970">CONCATENATE("Enter a '"&amp; H2704 &amp;"' for  building ", C2704, " in cell ", D2704, ".", CHAR(10))</f>
        <v xml:space="preserve">Enter a 'Building Street Address Only 
(DO NOT ENTER CITY, STATE, OR ZIP)' for  building 71 in cell C74.
</v>
      </c>
      <c r="G2704" s="9" t="str">
        <f t="shared" ca="1" si="951"/>
        <v xml:space="preserve">Enter a value for 'Number of Floors in the Tallest Building' in cell B60.
</v>
      </c>
      <c r="H2704" s="52" t="str">
        <f t="shared" ref="H2704:H2718" ca="1" si="971">OFFSET(INDIRECT($F$1565 &amp; D2704), -B2704 + 3, 0)</f>
        <v>Building Street Address Only 
(DO NOT ENTER CITY, STATE, OR ZIP)</v>
      </c>
      <c r="I2704" s="52">
        <v>3</v>
      </c>
    </row>
    <row r="2705" spans="1:10" ht="15" customHeight="1">
      <c r="A2705" t="str">
        <f t="shared" ca="1" si="966"/>
        <v/>
      </c>
      <c r="B2705">
        <f t="shared" si="967"/>
        <v>74</v>
      </c>
      <c r="C2705">
        <f t="shared" ca="1" si="953"/>
        <v>71</v>
      </c>
      <c r="D2705" t="str">
        <f t="shared" si="968"/>
        <v>D74</v>
      </c>
      <c r="E2705" t="str">
        <f t="shared" ca="1" si="969"/>
        <v/>
      </c>
      <c r="F2705" t="str">
        <f t="shared" ca="1" si="970"/>
        <v xml:space="preserve">Enter a 'Total Units in Building*' for  building 71 in cell D74.
</v>
      </c>
      <c r="G2705" s="9" t="str">
        <f t="shared" ca="1" si="951"/>
        <v xml:space="preserve">Enter a value for 'Number of Floors in the Tallest Building' in cell B60.
</v>
      </c>
      <c r="H2705" s="52" t="str">
        <f t="shared" ca="1" si="971"/>
        <v>Total Units in Building*</v>
      </c>
      <c r="I2705" s="52">
        <v>4</v>
      </c>
    </row>
    <row r="2706" spans="1:10" ht="15" customHeight="1">
      <c r="A2706" t="str">
        <f t="shared" ca="1" si="966"/>
        <v/>
      </c>
      <c r="B2706">
        <f t="shared" si="967"/>
        <v>74</v>
      </c>
      <c r="C2706">
        <f t="shared" ca="1" si="953"/>
        <v>71</v>
      </c>
      <c r="D2706" t="str">
        <f t="shared" si="968"/>
        <v>E74</v>
      </c>
      <c r="E2706" t="str">
        <f t="shared" ca="1" si="969"/>
        <v/>
      </c>
      <c r="F2706" t="str">
        <f t="shared" ca="1" si="970"/>
        <v xml:space="preserve">Enter a 'Employee Units' for  building 71 in cell E74.
</v>
      </c>
      <c r="G2706" s="9" t="str">
        <f t="shared" ca="1" si="951"/>
        <v xml:space="preserve">Enter a value for 'Number of Floors in the Tallest Building' in cell B60.
</v>
      </c>
      <c r="H2706" s="52" t="str">
        <f t="shared" ca="1" si="971"/>
        <v>Employee Units</v>
      </c>
      <c r="I2706" s="52">
        <v>5</v>
      </c>
    </row>
    <row r="2707" spans="1:10" ht="15" customHeight="1">
      <c r="A2707" t="str">
        <f t="shared" ca="1" si="966"/>
        <v/>
      </c>
      <c r="B2707">
        <f t="shared" si="967"/>
        <v>74</v>
      </c>
      <c r="C2707">
        <f t="shared" ca="1" si="953"/>
        <v>71</v>
      </c>
      <c r="D2707" t="str">
        <f t="shared" si="968"/>
        <v>F74</v>
      </c>
      <c r="E2707" t="str">
        <f t="shared" ca="1" si="969"/>
        <v/>
      </c>
      <c r="F2707" t="str">
        <f t="shared" ca="1" si="970"/>
        <v xml:space="preserve">Enter a 'Low-Income Units' for  building 71 in cell F74.
</v>
      </c>
      <c r="G2707" s="9" t="str">
        <f t="shared" ca="1" si="951"/>
        <v xml:space="preserve">Enter a value for 'Number of Floors in the Tallest Building' in cell B60.
</v>
      </c>
      <c r="H2707" s="52" t="str">
        <f t="shared" ca="1" si="971"/>
        <v>Low-Income Units</v>
      </c>
      <c r="I2707" s="52">
        <v>6</v>
      </c>
    </row>
    <row r="2708" spans="1:10" ht="15" customHeight="1">
      <c r="A2708" t="str">
        <f t="shared" ca="1" si="966"/>
        <v/>
      </c>
      <c r="B2708">
        <f t="shared" si="967"/>
        <v>74</v>
      </c>
      <c r="C2708">
        <f t="shared" ca="1" si="953"/>
        <v>71</v>
      </c>
      <c r="D2708" t="str">
        <f t="shared" si="968"/>
        <v>G74</v>
      </c>
      <c r="E2708" t="str">
        <f t="shared" ca="1" si="969"/>
        <v/>
      </c>
      <c r="F2708" t="str">
        <f t="shared" ca="1" si="970"/>
        <v xml:space="preserve">Enter a 'Residential Square Footage**' for  building 71 in cell G74.
</v>
      </c>
      <c r="G2708" s="9" t="str">
        <f t="shared" ca="1" si="951"/>
        <v xml:space="preserve">Enter a value for 'Number of Floors in the Tallest Building' in cell B60.
</v>
      </c>
      <c r="H2708" s="52" t="str">
        <f t="shared" ca="1" si="971"/>
        <v>Residential Square Footage**</v>
      </c>
      <c r="I2708" s="52">
        <v>7</v>
      </c>
    </row>
    <row r="2709" spans="1:10" ht="15" customHeight="1">
      <c r="A2709" t="str">
        <f t="shared" ca="1" si="966"/>
        <v/>
      </c>
      <c r="B2709">
        <f t="shared" si="967"/>
        <v>74</v>
      </c>
      <c r="C2709">
        <f t="shared" ca="1" si="953"/>
        <v>71</v>
      </c>
      <c r="D2709" t="str">
        <f t="shared" si="968"/>
        <v>H74</v>
      </c>
      <c r="E2709" t="str">
        <f t="shared" ca="1" si="969"/>
        <v/>
      </c>
      <c r="F2709" t="str">
        <f t="shared" ca="1" si="970"/>
        <v xml:space="preserve">Enter a 'Square Footage of Employee Units' for  building 71 in cell H74.
</v>
      </c>
      <c r="G2709" s="9" t="str">
        <f t="shared" ca="1" si="951"/>
        <v xml:space="preserve">Enter a value for 'Number of Floors in the Tallest Building' in cell B60.
</v>
      </c>
      <c r="H2709" s="52" t="str">
        <f t="shared" ca="1" si="971"/>
        <v>Square Footage of Employee Units</v>
      </c>
      <c r="I2709" s="52">
        <v>8</v>
      </c>
    </row>
    <row r="2710" spans="1:10" ht="15" customHeight="1">
      <c r="A2710" t="str">
        <f t="shared" ca="1" si="966"/>
        <v/>
      </c>
      <c r="B2710">
        <f t="shared" si="967"/>
        <v>74</v>
      </c>
      <c r="C2710">
        <f t="shared" ca="1" si="953"/>
        <v>71</v>
      </c>
      <c r="D2710" t="str">
        <f t="shared" si="968"/>
        <v>I74</v>
      </c>
      <c r="E2710" t="str">
        <f t="shared" ca="1" si="969"/>
        <v/>
      </c>
      <c r="F2710" t="str">
        <f t="shared" ca="1" si="970"/>
        <v xml:space="preserve">Enter a 'Square Footage of Low-Income Units' for  building 71 in cell I74.
</v>
      </c>
      <c r="G2710" s="9" t="str">
        <f t="shared" ca="1" si="951"/>
        <v xml:space="preserve">Enter a value for 'Number of Floors in the Tallest Building' in cell B60.
</v>
      </c>
      <c r="H2710" s="52" t="str">
        <f t="shared" ca="1" si="971"/>
        <v>Square Footage of Low-Income Units</v>
      </c>
      <c r="I2710" s="52">
        <v>9</v>
      </c>
    </row>
    <row r="2711" spans="1:10" ht="15" customHeight="1">
      <c r="A2711" t="str">
        <f t="shared" ca="1" si="966"/>
        <v/>
      </c>
      <c r="B2711">
        <f t="shared" si="967"/>
        <v>74</v>
      </c>
      <c r="C2711">
        <f t="shared" ca="1" si="953"/>
        <v>71</v>
      </c>
      <c r="D2711" t="str">
        <f t="shared" si="968"/>
        <v>J74</v>
      </c>
      <c r="E2711" t="str">
        <f t="shared" ca="1" si="969"/>
        <v/>
      </c>
      <c r="F2711" t="str">
        <f t="shared" ca="1" si="970"/>
        <v xml:space="preserve">Enter a 'Placed-In-Service Date' for  building 71 in cell J74.
</v>
      </c>
      <c r="G2711" s="9" t="str">
        <f t="shared" ca="1" si="951"/>
        <v xml:space="preserve">Enter a value for 'Number of Floors in the Tallest Building' in cell B60.
</v>
      </c>
      <c r="H2711" s="52" t="str">
        <f t="shared" ca="1" si="971"/>
        <v>Placed-In-Service Date</v>
      </c>
      <c r="I2711" s="52">
        <v>10</v>
      </c>
    </row>
    <row r="2712" spans="1:10" ht="15" customHeight="1">
      <c r="A2712" t="str">
        <f t="shared" ca="1" si="966"/>
        <v/>
      </c>
      <c r="B2712">
        <f t="shared" si="967"/>
        <v>74</v>
      </c>
      <c r="C2712">
        <f t="shared" ca="1" si="953"/>
        <v>71</v>
      </c>
      <c r="D2712" t="str">
        <f t="shared" si="968"/>
        <v>K74</v>
      </c>
      <c r="E2712" t="str">
        <f t="shared" ca="1" si="969"/>
        <v/>
      </c>
      <c r="F2712" t="str">
        <f t="shared" ca="1" si="970"/>
        <v xml:space="preserve">Enter a 'New Construction/ Rehab APR' for  building 71 in cell K74.
</v>
      </c>
      <c r="G2712" s="9" t="str">
        <f t="shared" ca="1" si="951"/>
        <v xml:space="preserve">Enter a value for 'Number of Floors in the Tallest Building' in cell B60.
</v>
      </c>
      <c r="H2712" s="52" t="str">
        <f t="shared" ca="1" si="971"/>
        <v>New Construction/ Rehab APR</v>
      </c>
      <c r="I2712" s="52">
        <v>11</v>
      </c>
    </row>
    <row r="2713" spans="1:10" ht="15" customHeight="1">
      <c r="A2713" t="str">
        <f t="shared" ca="1" si="966"/>
        <v/>
      </c>
      <c r="B2713">
        <f t="shared" si="967"/>
        <v>74</v>
      </c>
      <c r="C2713">
        <f t="shared" ca="1" si="953"/>
        <v>71</v>
      </c>
      <c r="D2713" t="str">
        <f t="shared" si="968"/>
        <v>L74</v>
      </c>
      <c r="E2713" t="str">
        <f t="shared" ca="1" si="969"/>
        <v/>
      </c>
      <c r="F2713" t="str">
        <f t="shared" ca="1" si="970"/>
        <v xml:space="preserve">Enter a 'New Construction Eligible Basis' for  building 71 in cell L74.
</v>
      </c>
      <c r="G2713" s="9" t="str">
        <f t="shared" ca="1" si="951"/>
        <v xml:space="preserve">Enter a value for 'Number of Floors in the Tallest Building' in cell B60.
</v>
      </c>
      <c r="H2713" s="52" t="str">
        <f t="shared" ca="1" si="971"/>
        <v>New Construction Eligible Basis</v>
      </c>
      <c r="I2713" s="52">
        <v>12</v>
      </c>
    </row>
    <row r="2714" spans="1:10" ht="15" customHeight="1">
      <c r="A2714" t="str">
        <f ca="1">IF(AND(OFFSET(A2714, -I2714 + 2, 4) &gt;  0, E2714="", Calculations!$B$7), F2714, "")</f>
        <v/>
      </c>
      <c r="B2714">
        <f t="shared" si="967"/>
        <v>74</v>
      </c>
      <c r="C2714">
        <f t="shared" ca="1" si="953"/>
        <v>71</v>
      </c>
      <c r="D2714" t="str">
        <f t="shared" si="968"/>
        <v>M74</v>
      </c>
      <c r="E2714" t="str">
        <f t="shared" ca="1" si="969"/>
        <v/>
      </c>
      <c r="F2714" t="str">
        <f t="shared" ca="1" si="970"/>
        <v xml:space="preserve">Enter a 'Eligible Basis for Rehab' for  building 71 in cell M74.
</v>
      </c>
      <c r="G2714" s="9" t="str">
        <f t="shared" ca="1" si="951"/>
        <v xml:space="preserve">Enter a value for 'Number of Floors in the Tallest Building' in cell B60.
</v>
      </c>
      <c r="H2714" s="52" t="str">
        <f t="shared" ca="1" si="971"/>
        <v>Eligible Basis for Rehab</v>
      </c>
      <c r="I2714" s="52">
        <v>13</v>
      </c>
    </row>
    <row r="2715" spans="1:10" ht="15" customHeight="1">
      <c r="A2715" t="str">
        <f ca="1">IF(AND(OFFSET(A2715, -I2715 + 2, 4) &gt;  0, E2715="", Calculations!$B$7), F2715, "")</f>
        <v/>
      </c>
      <c r="B2715">
        <f t="shared" si="967"/>
        <v>74</v>
      </c>
      <c r="C2715">
        <f t="shared" ca="1" si="953"/>
        <v>71</v>
      </c>
      <c r="D2715" t="str">
        <f t="shared" si="968"/>
        <v>N74</v>
      </c>
      <c r="E2715" t="str">
        <f t="shared" ca="1" si="969"/>
        <v/>
      </c>
      <c r="F2715" t="str">
        <f t="shared" ca="1" si="970"/>
        <v xml:space="preserve">Enter a 'Cost of Acquiring the Building***' for  building 71 in cell N74.
</v>
      </c>
      <c r="G2715" s="9" t="str">
        <f t="shared" ca="1" si="951"/>
        <v xml:space="preserve">Enter a value for 'Number of Floors in the Tallest Building' in cell B60.
</v>
      </c>
      <c r="H2715" s="52" t="str">
        <f t="shared" ca="1" si="971"/>
        <v>Cost of Acquiring the Building***</v>
      </c>
      <c r="I2715" s="52">
        <v>14</v>
      </c>
    </row>
    <row r="2716" spans="1:10" ht="15" customHeight="1">
      <c r="A2716" t="str">
        <f ca="1">IF(AND(OFFSET(A2716, -I2716 + 2, 4) &gt;  0, E2716="", Calculations!$B$7), F2716, "")</f>
        <v/>
      </c>
      <c r="B2716">
        <f t="shared" si="967"/>
        <v>74</v>
      </c>
      <c r="C2716">
        <f t="shared" ca="1" si="953"/>
        <v>71</v>
      </c>
      <c r="D2716" t="str">
        <f t="shared" si="968"/>
        <v>O74</v>
      </c>
      <c r="E2716" t="str">
        <f t="shared" ca="1" si="969"/>
        <v/>
      </c>
      <c r="F2716" t="str">
        <f t="shared" ca="1" si="970"/>
        <v xml:space="preserve">Enter a 'Higher of Land Purchase Price or Land Appraised Value****' for  building 71 in cell O74.
</v>
      </c>
      <c r="G2716" s="9" t="str">
        <f t="shared" ca="1" si="951"/>
        <v xml:space="preserve">Enter a value for 'Number of Floors in the Tallest Building' in cell B60.
</v>
      </c>
      <c r="H2716" s="52" t="str">
        <f t="shared" ca="1" si="971"/>
        <v>Higher of Land Purchase Price or Land Appraised Value****</v>
      </c>
      <c r="I2716" s="52">
        <v>15</v>
      </c>
    </row>
    <row r="2717" spans="1:10" ht="15" customHeight="1">
      <c r="A2717" t="str">
        <f ca="1">IF(AND(OFFSET(A2717, -I2717 + 2, 4) &gt;  0, E2717="", Calculations!$B$7), F2717, "")</f>
        <v/>
      </c>
      <c r="B2717">
        <f t="shared" si="967"/>
        <v>74</v>
      </c>
      <c r="C2717">
        <f t="shared" ca="1" si="953"/>
        <v>71</v>
      </c>
      <c r="D2717" t="str">
        <f t="shared" si="968"/>
        <v>P74</v>
      </c>
      <c r="E2717" t="str">
        <f t="shared" ca="1" si="969"/>
        <v/>
      </c>
      <c r="F2717" t="str">
        <f t="shared" ca="1" si="970"/>
        <v xml:space="preserve">Enter a 'Acquisition Placed-in-Service Date' for  building 71 in cell P74.
</v>
      </c>
      <c r="G2717" s="9" t="str">
        <f t="shared" ca="1" si="951"/>
        <v xml:space="preserve">Enter a value for 'Number of Floors in the Tallest Building' in cell B60.
</v>
      </c>
      <c r="H2717" s="52" t="str">
        <f t="shared" ca="1" si="971"/>
        <v>Acquisition Placed-in-Service Date</v>
      </c>
      <c r="I2717" s="52">
        <v>16</v>
      </c>
    </row>
    <row r="2718" spans="1:10" ht="15" customHeight="1">
      <c r="A2718" t="str">
        <f ca="1">IF(AND(OFFSET(A2718, -I2718 + 2, 4) &gt;  0, E2718="", Calculations!$B$7), F2718, "")</f>
        <v/>
      </c>
      <c r="B2718">
        <f t="shared" si="967"/>
        <v>74</v>
      </c>
      <c r="C2718">
        <f t="shared" ca="1" si="953"/>
        <v>71</v>
      </c>
      <c r="D2718" t="str">
        <f t="shared" si="968"/>
        <v>Q74</v>
      </c>
      <c r="E2718" t="str">
        <f t="shared" ca="1" si="969"/>
        <v/>
      </c>
      <c r="F2718" t="str">
        <f t="shared" ca="1" si="970"/>
        <v xml:space="preserve">Enter a 'Acquisition APR' for  building 71 in cell Q74.
</v>
      </c>
      <c r="G2718" s="9" t="str">
        <f t="shared" ca="1" si="951"/>
        <v xml:space="preserve">Enter a value for 'Number of Floors in the Tallest Building' in cell B60.
</v>
      </c>
      <c r="H2718" s="52" t="str">
        <f t="shared" ca="1" si="971"/>
        <v>Acquisition APR</v>
      </c>
      <c r="I2718" s="52">
        <v>17</v>
      </c>
    </row>
    <row r="2719" spans="1:10" ht="15" customHeight="1">
      <c r="A2719" t="str">
        <f ca="1">IF(AND(Calculations!$B$4,Calculations!$B$29&gt;=C2719, E2719 &lt;&gt; 13),F2719,"")</f>
        <v/>
      </c>
      <c r="B2719">
        <f>ROW('Final Building Profile'!C75)</f>
        <v>75</v>
      </c>
      <c r="C2719">
        <f t="shared" ca="1" si="953"/>
        <v>72</v>
      </c>
      <c r="D2719" t="str">
        <f>ADDRESS(B2719, 3,4  )</f>
        <v>C75</v>
      </c>
      <c r="E2719" s="52">
        <f ca="1">H2719+I2719</f>
        <v>0</v>
      </c>
      <c r="F2719" t="str">
        <f ca="1">CONCATENATE("Based upon the number of buildings specified, information for  building ", C2719, " required for a final application in row ", B2719, ".", CHAR(10))</f>
        <v xml:space="preserve">Based upon the number of buildings specified, information for  building 72 required for a final application in row 75.
</v>
      </c>
      <c r="G2719" s="9" t="str">
        <f t="shared" ca="1" si="951"/>
        <v xml:space="preserve">Enter a value for 'Number of Floors in the Tallest Building' in cell B60.
</v>
      </c>
      <c r="H2719" s="52">
        <f ca="1">SUMPRODUCT(--ISTEXT(INDIRECT(J2719)))</f>
        <v>0</v>
      </c>
      <c r="I2719" s="52">
        <f ca="1">SUMPRODUCT(--ISNUMBER(INDIRECT(J2719)))</f>
        <v>0</v>
      </c>
      <c r="J2719" s="52" t="str">
        <f>$F$1565&amp; ADDRESS(B2719,3,4) &amp; ":" &amp; ADDRESS(B2719,15,4)</f>
        <v>'Final Building Profile'!C75:O75</v>
      </c>
    </row>
    <row r="2720" spans="1:10" ht="15" customHeight="1">
      <c r="A2720" t="str">
        <f t="shared" ref="A2720:A2729" ca="1" si="972">IF(AND(OFFSET(A2720, -I2720 + 2, 4) &gt;  0, E2720=""), F2720, "")</f>
        <v/>
      </c>
      <c r="B2720">
        <f t="shared" ref="B2720:B2734" si="973">B2719</f>
        <v>75</v>
      </c>
      <c r="C2720">
        <f t="shared" ca="1" si="953"/>
        <v>72</v>
      </c>
      <c r="D2720" t="str">
        <f t="shared" ref="D2720:D2734" si="974">ADDRESS(B2720, I2720,4  )</f>
        <v>C75</v>
      </c>
      <c r="E2720" t="str">
        <f t="shared" ref="E2720:E2734" ca="1" si="975">IF(ISBLANK( INDIRECT($F$1565 &amp; D2720)),"", INDIRECT($F$1565 &amp; D2720))</f>
        <v/>
      </c>
      <c r="F2720" t="str">
        <f t="shared" ref="F2720:F2734" ca="1" si="976">CONCATENATE("Enter a '"&amp; H2720 &amp;"' for  building ", C2720, " in cell ", D2720, ".", CHAR(10))</f>
        <v xml:space="preserve">Enter a 'Building Street Address Only 
(DO NOT ENTER CITY, STATE, OR ZIP)' for  building 72 in cell C75.
</v>
      </c>
      <c r="G2720" s="9" t="str">
        <f t="shared" ref="G2720:G2783" ca="1" si="977">OFFSET(G2720, -1, 0) &amp; A2720</f>
        <v xml:space="preserve">Enter a value for 'Number of Floors in the Tallest Building' in cell B60.
</v>
      </c>
      <c r="H2720" s="52" t="str">
        <f t="shared" ref="H2720:H2734" ca="1" si="978">OFFSET(INDIRECT($F$1565 &amp; D2720), -B2720 + 3, 0)</f>
        <v>Building Street Address Only 
(DO NOT ENTER CITY, STATE, OR ZIP)</v>
      </c>
      <c r="I2720" s="52">
        <v>3</v>
      </c>
    </row>
    <row r="2721" spans="1:10" ht="15" customHeight="1">
      <c r="A2721" t="str">
        <f t="shared" ca="1" si="972"/>
        <v/>
      </c>
      <c r="B2721">
        <f t="shared" si="973"/>
        <v>75</v>
      </c>
      <c r="C2721">
        <f t="shared" ca="1" si="953"/>
        <v>72</v>
      </c>
      <c r="D2721" t="str">
        <f t="shared" si="974"/>
        <v>D75</v>
      </c>
      <c r="E2721" t="str">
        <f t="shared" ca="1" si="975"/>
        <v/>
      </c>
      <c r="F2721" t="str">
        <f t="shared" ca="1" si="976"/>
        <v xml:space="preserve">Enter a 'Total Units in Building*' for  building 72 in cell D75.
</v>
      </c>
      <c r="G2721" s="9" t="str">
        <f t="shared" ca="1" si="977"/>
        <v xml:space="preserve">Enter a value for 'Number of Floors in the Tallest Building' in cell B60.
</v>
      </c>
      <c r="H2721" s="52" t="str">
        <f t="shared" ca="1" si="978"/>
        <v>Total Units in Building*</v>
      </c>
      <c r="I2721" s="52">
        <v>4</v>
      </c>
    </row>
    <row r="2722" spans="1:10" ht="15" customHeight="1">
      <c r="A2722" t="str">
        <f t="shared" ca="1" si="972"/>
        <v/>
      </c>
      <c r="B2722">
        <f t="shared" si="973"/>
        <v>75</v>
      </c>
      <c r="C2722">
        <f t="shared" ca="1" si="953"/>
        <v>72</v>
      </c>
      <c r="D2722" t="str">
        <f t="shared" si="974"/>
        <v>E75</v>
      </c>
      <c r="E2722" t="str">
        <f t="shared" ca="1" si="975"/>
        <v/>
      </c>
      <c r="F2722" t="str">
        <f t="shared" ca="1" si="976"/>
        <v xml:space="preserve">Enter a 'Employee Units' for  building 72 in cell E75.
</v>
      </c>
      <c r="G2722" s="9" t="str">
        <f t="shared" ca="1" si="977"/>
        <v xml:space="preserve">Enter a value for 'Number of Floors in the Tallest Building' in cell B60.
</v>
      </c>
      <c r="H2722" s="52" t="str">
        <f t="shared" ca="1" si="978"/>
        <v>Employee Units</v>
      </c>
      <c r="I2722" s="52">
        <v>5</v>
      </c>
    </row>
    <row r="2723" spans="1:10" ht="15" customHeight="1">
      <c r="A2723" t="str">
        <f t="shared" ca="1" si="972"/>
        <v/>
      </c>
      <c r="B2723">
        <f t="shared" si="973"/>
        <v>75</v>
      </c>
      <c r="C2723">
        <f t="shared" ca="1" si="953"/>
        <v>72</v>
      </c>
      <c r="D2723" t="str">
        <f t="shared" si="974"/>
        <v>F75</v>
      </c>
      <c r="E2723" t="str">
        <f t="shared" ca="1" si="975"/>
        <v/>
      </c>
      <c r="F2723" t="str">
        <f t="shared" ca="1" si="976"/>
        <v xml:space="preserve">Enter a 'Low-Income Units' for  building 72 in cell F75.
</v>
      </c>
      <c r="G2723" s="9" t="str">
        <f t="shared" ca="1" si="977"/>
        <v xml:space="preserve">Enter a value for 'Number of Floors in the Tallest Building' in cell B60.
</v>
      </c>
      <c r="H2723" s="52" t="str">
        <f t="shared" ca="1" si="978"/>
        <v>Low-Income Units</v>
      </c>
      <c r="I2723" s="52">
        <v>6</v>
      </c>
    </row>
    <row r="2724" spans="1:10" ht="15" customHeight="1">
      <c r="A2724" t="str">
        <f t="shared" ca="1" si="972"/>
        <v/>
      </c>
      <c r="B2724">
        <f t="shared" si="973"/>
        <v>75</v>
      </c>
      <c r="C2724">
        <f t="shared" ca="1" si="953"/>
        <v>72</v>
      </c>
      <c r="D2724" t="str">
        <f t="shared" si="974"/>
        <v>G75</v>
      </c>
      <c r="E2724" t="str">
        <f t="shared" ca="1" si="975"/>
        <v/>
      </c>
      <c r="F2724" t="str">
        <f t="shared" ca="1" si="976"/>
        <v xml:space="preserve">Enter a 'Residential Square Footage**' for  building 72 in cell G75.
</v>
      </c>
      <c r="G2724" s="9" t="str">
        <f t="shared" ca="1" si="977"/>
        <v xml:space="preserve">Enter a value for 'Number of Floors in the Tallest Building' in cell B60.
</v>
      </c>
      <c r="H2724" s="52" t="str">
        <f t="shared" ca="1" si="978"/>
        <v>Residential Square Footage**</v>
      </c>
      <c r="I2724" s="52">
        <v>7</v>
      </c>
    </row>
    <row r="2725" spans="1:10" ht="15" customHeight="1">
      <c r="A2725" t="str">
        <f t="shared" ca="1" si="972"/>
        <v/>
      </c>
      <c r="B2725">
        <f t="shared" si="973"/>
        <v>75</v>
      </c>
      <c r="C2725">
        <f t="shared" ca="1" si="953"/>
        <v>72</v>
      </c>
      <c r="D2725" t="str">
        <f t="shared" si="974"/>
        <v>H75</v>
      </c>
      <c r="E2725" t="str">
        <f t="shared" ca="1" si="975"/>
        <v/>
      </c>
      <c r="F2725" t="str">
        <f t="shared" ca="1" si="976"/>
        <v xml:space="preserve">Enter a 'Square Footage of Employee Units' for  building 72 in cell H75.
</v>
      </c>
      <c r="G2725" s="9" t="str">
        <f t="shared" ca="1" si="977"/>
        <v xml:space="preserve">Enter a value for 'Number of Floors in the Tallest Building' in cell B60.
</v>
      </c>
      <c r="H2725" s="52" t="str">
        <f t="shared" ca="1" si="978"/>
        <v>Square Footage of Employee Units</v>
      </c>
      <c r="I2725" s="52">
        <v>8</v>
      </c>
    </row>
    <row r="2726" spans="1:10" ht="15" customHeight="1">
      <c r="A2726" t="str">
        <f t="shared" ca="1" si="972"/>
        <v/>
      </c>
      <c r="B2726">
        <f t="shared" si="973"/>
        <v>75</v>
      </c>
      <c r="C2726">
        <f t="shared" ca="1" si="953"/>
        <v>72</v>
      </c>
      <c r="D2726" t="str">
        <f t="shared" si="974"/>
        <v>I75</v>
      </c>
      <c r="E2726" t="str">
        <f t="shared" ca="1" si="975"/>
        <v/>
      </c>
      <c r="F2726" t="str">
        <f t="shared" ca="1" si="976"/>
        <v xml:space="preserve">Enter a 'Square Footage of Low-Income Units' for  building 72 in cell I75.
</v>
      </c>
      <c r="G2726" s="9" t="str">
        <f t="shared" ca="1" si="977"/>
        <v xml:space="preserve">Enter a value for 'Number of Floors in the Tallest Building' in cell B60.
</v>
      </c>
      <c r="H2726" s="52" t="str">
        <f t="shared" ca="1" si="978"/>
        <v>Square Footage of Low-Income Units</v>
      </c>
      <c r="I2726" s="52">
        <v>9</v>
      </c>
    </row>
    <row r="2727" spans="1:10" ht="15" customHeight="1">
      <c r="A2727" t="str">
        <f t="shared" ca="1" si="972"/>
        <v/>
      </c>
      <c r="B2727">
        <f t="shared" si="973"/>
        <v>75</v>
      </c>
      <c r="C2727">
        <f t="shared" ca="1" si="953"/>
        <v>72</v>
      </c>
      <c r="D2727" t="str">
        <f t="shared" si="974"/>
        <v>J75</v>
      </c>
      <c r="E2727" t="str">
        <f t="shared" ca="1" si="975"/>
        <v/>
      </c>
      <c r="F2727" t="str">
        <f t="shared" ca="1" si="976"/>
        <v xml:space="preserve">Enter a 'Placed-In-Service Date' for  building 72 in cell J75.
</v>
      </c>
      <c r="G2727" s="9" t="str">
        <f t="shared" ca="1" si="977"/>
        <v xml:space="preserve">Enter a value for 'Number of Floors in the Tallest Building' in cell B60.
</v>
      </c>
      <c r="H2727" s="52" t="str">
        <f t="shared" ca="1" si="978"/>
        <v>Placed-In-Service Date</v>
      </c>
      <c r="I2727" s="52">
        <v>10</v>
      </c>
    </row>
    <row r="2728" spans="1:10" ht="15" customHeight="1">
      <c r="A2728" t="str">
        <f t="shared" ca="1" si="972"/>
        <v/>
      </c>
      <c r="B2728">
        <f t="shared" si="973"/>
        <v>75</v>
      </c>
      <c r="C2728">
        <f t="shared" ca="1" si="953"/>
        <v>72</v>
      </c>
      <c r="D2728" t="str">
        <f t="shared" si="974"/>
        <v>K75</v>
      </c>
      <c r="E2728" t="str">
        <f t="shared" ca="1" si="975"/>
        <v/>
      </c>
      <c r="F2728" t="str">
        <f t="shared" ca="1" si="976"/>
        <v xml:space="preserve">Enter a 'New Construction/ Rehab APR' for  building 72 in cell K75.
</v>
      </c>
      <c r="G2728" s="9" t="str">
        <f t="shared" ca="1" si="977"/>
        <v xml:space="preserve">Enter a value for 'Number of Floors in the Tallest Building' in cell B60.
</v>
      </c>
      <c r="H2728" s="52" t="str">
        <f t="shared" ca="1" si="978"/>
        <v>New Construction/ Rehab APR</v>
      </c>
      <c r="I2728" s="52">
        <v>11</v>
      </c>
    </row>
    <row r="2729" spans="1:10" ht="15" customHeight="1">
      <c r="A2729" t="str">
        <f t="shared" ca="1" si="972"/>
        <v/>
      </c>
      <c r="B2729">
        <f t="shared" si="973"/>
        <v>75</v>
      </c>
      <c r="C2729">
        <f t="shared" ca="1" si="953"/>
        <v>72</v>
      </c>
      <c r="D2729" t="str">
        <f t="shared" si="974"/>
        <v>L75</v>
      </c>
      <c r="E2729" t="str">
        <f t="shared" ca="1" si="975"/>
        <v/>
      </c>
      <c r="F2729" t="str">
        <f t="shared" ca="1" si="976"/>
        <v xml:space="preserve">Enter a 'New Construction Eligible Basis' for  building 72 in cell L75.
</v>
      </c>
      <c r="G2729" s="9" t="str">
        <f t="shared" ca="1" si="977"/>
        <v xml:space="preserve">Enter a value for 'Number of Floors in the Tallest Building' in cell B60.
</v>
      </c>
      <c r="H2729" s="52" t="str">
        <f t="shared" ca="1" si="978"/>
        <v>New Construction Eligible Basis</v>
      </c>
      <c r="I2729" s="52">
        <v>12</v>
      </c>
    </row>
    <row r="2730" spans="1:10" ht="15" customHeight="1">
      <c r="A2730" t="str">
        <f ca="1">IF(AND(OFFSET(A2730, -I2730 + 2, 4) &gt;  0, E2730="", Calculations!$B$7), F2730, "")</f>
        <v/>
      </c>
      <c r="B2730">
        <f t="shared" si="973"/>
        <v>75</v>
      </c>
      <c r="C2730">
        <f t="shared" ca="1" si="953"/>
        <v>72</v>
      </c>
      <c r="D2730" t="str">
        <f t="shared" si="974"/>
        <v>M75</v>
      </c>
      <c r="E2730" t="str">
        <f t="shared" ca="1" si="975"/>
        <v/>
      </c>
      <c r="F2730" t="str">
        <f t="shared" ca="1" si="976"/>
        <v xml:space="preserve">Enter a 'Eligible Basis for Rehab' for  building 72 in cell M75.
</v>
      </c>
      <c r="G2730" s="9" t="str">
        <f t="shared" ca="1" si="977"/>
        <v xml:space="preserve">Enter a value for 'Number of Floors in the Tallest Building' in cell B60.
</v>
      </c>
      <c r="H2730" s="52" t="str">
        <f t="shared" ca="1" si="978"/>
        <v>Eligible Basis for Rehab</v>
      </c>
      <c r="I2730" s="52">
        <v>13</v>
      </c>
    </row>
    <row r="2731" spans="1:10" ht="15" customHeight="1">
      <c r="A2731" t="str">
        <f ca="1">IF(AND(OFFSET(A2731, -I2731 + 2, 4) &gt;  0, E2731="", Calculations!$B$7), F2731, "")</f>
        <v/>
      </c>
      <c r="B2731">
        <f t="shared" si="973"/>
        <v>75</v>
      </c>
      <c r="C2731">
        <f t="shared" ca="1" si="953"/>
        <v>72</v>
      </c>
      <c r="D2731" t="str">
        <f t="shared" si="974"/>
        <v>N75</v>
      </c>
      <c r="E2731" t="str">
        <f t="shared" ca="1" si="975"/>
        <v/>
      </c>
      <c r="F2731" t="str">
        <f t="shared" ca="1" si="976"/>
        <v xml:space="preserve">Enter a 'Cost of Acquiring the Building***' for  building 72 in cell N75.
</v>
      </c>
      <c r="G2731" s="9" t="str">
        <f t="shared" ca="1" si="977"/>
        <v xml:space="preserve">Enter a value for 'Number of Floors in the Tallest Building' in cell B60.
</v>
      </c>
      <c r="H2731" s="52" t="str">
        <f t="shared" ca="1" si="978"/>
        <v>Cost of Acquiring the Building***</v>
      </c>
      <c r="I2731" s="52">
        <v>14</v>
      </c>
    </row>
    <row r="2732" spans="1:10" ht="15" customHeight="1">
      <c r="A2732" t="str">
        <f ca="1">IF(AND(OFFSET(A2732, -I2732 + 2, 4) &gt;  0, E2732="", Calculations!$B$7), F2732, "")</f>
        <v/>
      </c>
      <c r="B2732">
        <f t="shared" si="973"/>
        <v>75</v>
      </c>
      <c r="C2732">
        <f t="shared" ca="1" si="953"/>
        <v>72</v>
      </c>
      <c r="D2732" t="str">
        <f t="shared" si="974"/>
        <v>O75</v>
      </c>
      <c r="E2732" t="str">
        <f t="shared" ca="1" si="975"/>
        <v/>
      </c>
      <c r="F2732" t="str">
        <f t="shared" ca="1" si="976"/>
        <v xml:space="preserve">Enter a 'Higher of Land Purchase Price or Land Appraised Value****' for  building 72 in cell O75.
</v>
      </c>
      <c r="G2732" s="9" t="str">
        <f t="shared" ca="1" si="977"/>
        <v xml:space="preserve">Enter a value for 'Number of Floors in the Tallest Building' in cell B60.
</v>
      </c>
      <c r="H2732" s="52" t="str">
        <f t="shared" ca="1" si="978"/>
        <v>Higher of Land Purchase Price or Land Appraised Value****</v>
      </c>
      <c r="I2732" s="52">
        <v>15</v>
      </c>
    </row>
    <row r="2733" spans="1:10" ht="15" customHeight="1">
      <c r="A2733" t="str">
        <f ca="1">IF(AND(OFFSET(A2733, -I2733 + 2, 4) &gt;  0, E2733="", Calculations!$B$7), F2733, "")</f>
        <v/>
      </c>
      <c r="B2733">
        <f t="shared" si="973"/>
        <v>75</v>
      </c>
      <c r="C2733">
        <f t="shared" ca="1" si="953"/>
        <v>72</v>
      </c>
      <c r="D2733" t="str">
        <f t="shared" si="974"/>
        <v>P75</v>
      </c>
      <c r="E2733" t="str">
        <f t="shared" ca="1" si="975"/>
        <v/>
      </c>
      <c r="F2733" t="str">
        <f t="shared" ca="1" si="976"/>
        <v xml:space="preserve">Enter a 'Acquisition Placed-in-Service Date' for  building 72 in cell P75.
</v>
      </c>
      <c r="G2733" s="9" t="str">
        <f t="shared" ca="1" si="977"/>
        <v xml:space="preserve">Enter a value for 'Number of Floors in the Tallest Building' in cell B60.
</v>
      </c>
      <c r="H2733" s="52" t="str">
        <f t="shared" ca="1" si="978"/>
        <v>Acquisition Placed-in-Service Date</v>
      </c>
      <c r="I2733" s="52">
        <v>16</v>
      </c>
    </row>
    <row r="2734" spans="1:10" ht="15" customHeight="1">
      <c r="A2734" t="str">
        <f ca="1">IF(AND(OFFSET(A2734, -I2734 + 2, 4) &gt;  0, E2734="", Calculations!$B$7), F2734, "")</f>
        <v/>
      </c>
      <c r="B2734">
        <f t="shared" si="973"/>
        <v>75</v>
      </c>
      <c r="C2734">
        <f t="shared" ca="1" si="953"/>
        <v>72</v>
      </c>
      <c r="D2734" t="str">
        <f t="shared" si="974"/>
        <v>Q75</v>
      </c>
      <c r="E2734" t="str">
        <f t="shared" ca="1" si="975"/>
        <v/>
      </c>
      <c r="F2734" t="str">
        <f t="shared" ca="1" si="976"/>
        <v xml:space="preserve">Enter a 'Acquisition APR' for  building 72 in cell Q75.
</v>
      </c>
      <c r="G2734" s="9" t="str">
        <f t="shared" ca="1" si="977"/>
        <v xml:space="preserve">Enter a value for 'Number of Floors in the Tallest Building' in cell B60.
</v>
      </c>
      <c r="H2734" s="52" t="str">
        <f t="shared" ca="1" si="978"/>
        <v>Acquisition APR</v>
      </c>
      <c r="I2734" s="52">
        <v>17</v>
      </c>
    </row>
    <row r="2735" spans="1:10" ht="15" customHeight="1">
      <c r="A2735" t="str">
        <f ca="1">IF(AND(Calculations!$B$4,Calculations!$B$29&gt;=C2735, E2735 &lt;&gt; 13),F2735,"")</f>
        <v/>
      </c>
      <c r="B2735">
        <f>ROW('Final Building Profile'!C76)</f>
        <v>76</v>
      </c>
      <c r="C2735">
        <f t="shared" ref="C2735:C2798" ca="1" si="979">INDIRECT($F$1565 &amp; ADDRESS(B2735, 1,4  ))</f>
        <v>73</v>
      </c>
      <c r="D2735" t="str">
        <f>ADDRESS(B2735, 3,4  )</f>
        <v>C76</v>
      </c>
      <c r="E2735" s="52">
        <f ca="1">H2735+I2735</f>
        <v>0</v>
      </c>
      <c r="F2735" t="str">
        <f ca="1">CONCATENATE("Based upon the number of buildings specified, information for  building ", C2735, " required for a final application in row ", B2735, ".", CHAR(10))</f>
        <v xml:space="preserve">Based upon the number of buildings specified, information for  building 73 required for a final application in row 76.
</v>
      </c>
      <c r="G2735" s="9" t="str">
        <f t="shared" ca="1" si="977"/>
        <v xml:space="preserve">Enter a value for 'Number of Floors in the Tallest Building' in cell B60.
</v>
      </c>
      <c r="H2735" s="52">
        <f ca="1">SUMPRODUCT(--ISTEXT(INDIRECT(J2735)))</f>
        <v>0</v>
      </c>
      <c r="I2735" s="52">
        <f ca="1">SUMPRODUCT(--ISNUMBER(INDIRECT(J2735)))</f>
        <v>0</v>
      </c>
      <c r="J2735" s="52" t="str">
        <f>$F$1565&amp; ADDRESS(B2735,3,4) &amp; ":" &amp; ADDRESS(B2735,15,4)</f>
        <v>'Final Building Profile'!C76:O76</v>
      </c>
    </row>
    <row r="2736" spans="1:10" ht="15" customHeight="1">
      <c r="A2736" t="str">
        <f t="shared" ref="A2736:A2745" ca="1" si="980">IF(AND(OFFSET(A2736, -I2736 + 2, 4) &gt;  0, E2736=""), F2736, "")</f>
        <v/>
      </c>
      <c r="B2736">
        <f t="shared" ref="B2736:B2750" si="981">B2735</f>
        <v>76</v>
      </c>
      <c r="C2736">
        <f t="shared" ca="1" si="979"/>
        <v>73</v>
      </c>
      <c r="D2736" t="str">
        <f t="shared" ref="D2736:D2750" si="982">ADDRESS(B2736, I2736,4  )</f>
        <v>C76</v>
      </c>
      <c r="E2736" t="str">
        <f t="shared" ref="E2736:E2750" ca="1" si="983">IF(ISBLANK( INDIRECT($F$1565 &amp; D2736)),"", INDIRECT($F$1565 &amp; D2736))</f>
        <v/>
      </c>
      <c r="F2736" t="str">
        <f t="shared" ref="F2736:F2750" ca="1" si="984">CONCATENATE("Enter a '"&amp; H2736 &amp;"' for  building ", C2736, " in cell ", D2736, ".", CHAR(10))</f>
        <v xml:space="preserve">Enter a 'Building Street Address Only 
(DO NOT ENTER CITY, STATE, OR ZIP)' for  building 73 in cell C76.
</v>
      </c>
      <c r="G2736" s="9" t="str">
        <f t="shared" ca="1" si="977"/>
        <v xml:space="preserve">Enter a value for 'Number of Floors in the Tallest Building' in cell B60.
</v>
      </c>
      <c r="H2736" s="52" t="str">
        <f t="shared" ref="H2736:H2750" ca="1" si="985">OFFSET(INDIRECT($F$1565 &amp; D2736), -B2736 + 3, 0)</f>
        <v>Building Street Address Only 
(DO NOT ENTER CITY, STATE, OR ZIP)</v>
      </c>
      <c r="I2736" s="52">
        <v>3</v>
      </c>
    </row>
    <row r="2737" spans="1:10" ht="15" customHeight="1">
      <c r="A2737" t="str">
        <f t="shared" ca="1" si="980"/>
        <v/>
      </c>
      <c r="B2737">
        <f t="shared" si="981"/>
        <v>76</v>
      </c>
      <c r="C2737">
        <f t="shared" ca="1" si="979"/>
        <v>73</v>
      </c>
      <c r="D2737" t="str">
        <f t="shared" si="982"/>
        <v>D76</v>
      </c>
      <c r="E2737" t="str">
        <f t="shared" ca="1" si="983"/>
        <v/>
      </c>
      <c r="F2737" t="str">
        <f t="shared" ca="1" si="984"/>
        <v xml:space="preserve">Enter a 'Total Units in Building*' for  building 73 in cell D76.
</v>
      </c>
      <c r="G2737" s="9" t="str">
        <f t="shared" ca="1" si="977"/>
        <v xml:space="preserve">Enter a value for 'Number of Floors in the Tallest Building' in cell B60.
</v>
      </c>
      <c r="H2737" s="52" t="str">
        <f t="shared" ca="1" si="985"/>
        <v>Total Units in Building*</v>
      </c>
      <c r="I2737" s="52">
        <v>4</v>
      </c>
    </row>
    <row r="2738" spans="1:10" ht="15" customHeight="1">
      <c r="A2738" t="str">
        <f t="shared" ca="1" si="980"/>
        <v/>
      </c>
      <c r="B2738">
        <f t="shared" si="981"/>
        <v>76</v>
      </c>
      <c r="C2738">
        <f t="shared" ca="1" si="979"/>
        <v>73</v>
      </c>
      <c r="D2738" t="str">
        <f t="shared" si="982"/>
        <v>E76</v>
      </c>
      <c r="E2738" t="str">
        <f t="shared" ca="1" si="983"/>
        <v/>
      </c>
      <c r="F2738" t="str">
        <f t="shared" ca="1" si="984"/>
        <v xml:space="preserve">Enter a 'Employee Units' for  building 73 in cell E76.
</v>
      </c>
      <c r="G2738" s="9" t="str">
        <f t="shared" ca="1" si="977"/>
        <v xml:space="preserve">Enter a value for 'Number of Floors in the Tallest Building' in cell B60.
</v>
      </c>
      <c r="H2738" s="52" t="str">
        <f t="shared" ca="1" si="985"/>
        <v>Employee Units</v>
      </c>
      <c r="I2738" s="52">
        <v>5</v>
      </c>
    </row>
    <row r="2739" spans="1:10" ht="15" customHeight="1">
      <c r="A2739" t="str">
        <f t="shared" ca="1" si="980"/>
        <v/>
      </c>
      <c r="B2739">
        <f t="shared" si="981"/>
        <v>76</v>
      </c>
      <c r="C2739">
        <f t="shared" ca="1" si="979"/>
        <v>73</v>
      </c>
      <c r="D2739" t="str">
        <f t="shared" si="982"/>
        <v>F76</v>
      </c>
      <c r="E2739" t="str">
        <f t="shared" ca="1" si="983"/>
        <v/>
      </c>
      <c r="F2739" t="str">
        <f t="shared" ca="1" si="984"/>
        <v xml:space="preserve">Enter a 'Low-Income Units' for  building 73 in cell F76.
</v>
      </c>
      <c r="G2739" s="9" t="str">
        <f t="shared" ca="1" si="977"/>
        <v xml:space="preserve">Enter a value for 'Number of Floors in the Tallest Building' in cell B60.
</v>
      </c>
      <c r="H2739" s="52" t="str">
        <f t="shared" ca="1" si="985"/>
        <v>Low-Income Units</v>
      </c>
      <c r="I2739" s="52">
        <v>6</v>
      </c>
    </row>
    <row r="2740" spans="1:10" ht="15" customHeight="1">
      <c r="A2740" t="str">
        <f t="shared" ca="1" si="980"/>
        <v/>
      </c>
      <c r="B2740">
        <f t="shared" si="981"/>
        <v>76</v>
      </c>
      <c r="C2740">
        <f t="shared" ca="1" si="979"/>
        <v>73</v>
      </c>
      <c r="D2740" t="str">
        <f t="shared" si="982"/>
        <v>G76</v>
      </c>
      <c r="E2740" t="str">
        <f t="shared" ca="1" si="983"/>
        <v/>
      </c>
      <c r="F2740" t="str">
        <f t="shared" ca="1" si="984"/>
        <v xml:space="preserve">Enter a 'Residential Square Footage**' for  building 73 in cell G76.
</v>
      </c>
      <c r="G2740" s="9" t="str">
        <f t="shared" ca="1" si="977"/>
        <v xml:space="preserve">Enter a value for 'Number of Floors in the Tallest Building' in cell B60.
</v>
      </c>
      <c r="H2740" s="52" t="str">
        <f t="shared" ca="1" si="985"/>
        <v>Residential Square Footage**</v>
      </c>
      <c r="I2740" s="52">
        <v>7</v>
      </c>
    </row>
    <row r="2741" spans="1:10" ht="15" customHeight="1">
      <c r="A2741" t="str">
        <f t="shared" ca="1" si="980"/>
        <v/>
      </c>
      <c r="B2741">
        <f t="shared" si="981"/>
        <v>76</v>
      </c>
      <c r="C2741">
        <f t="shared" ca="1" si="979"/>
        <v>73</v>
      </c>
      <c r="D2741" t="str">
        <f t="shared" si="982"/>
        <v>H76</v>
      </c>
      <c r="E2741" t="str">
        <f t="shared" ca="1" si="983"/>
        <v/>
      </c>
      <c r="F2741" t="str">
        <f t="shared" ca="1" si="984"/>
        <v xml:space="preserve">Enter a 'Square Footage of Employee Units' for  building 73 in cell H76.
</v>
      </c>
      <c r="G2741" s="9" t="str">
        <f t="shared" ca="1" si="977"/>
        <v xml:space="preserve">Enter a value for 'Number of Floors in the Tallest Building' in cell B60.
</v>
      </c>
      <c r="H2741" s="52" t="str">
        <f t="shared" ca="1" si="985"/>
        <v>Square Footage of Employee Units</v>
      </c>
      <c r="I2741" s="52">
        <v>8</v>
      </c>
    </row>
    <row r="2742" spans="1:10" ht="15" customHeight="1">
      <c r="A2742" t="str">
        <f t="shared" ca="1" si="980"/>
        <v/>
      </c>
      <c r="B2742">
        <f t="shared" si="981"/>
        <v>76</v>
      </c>
      <c r="C2742">
        <f t="shared" ca="1" si="979"/>
        <v>73</v>
      </c>
      <c r="D2742" t="str">
        <f t="shared" si="982"/>
        <v>I76</v>
      </c>
      <c r="E2742" t="str">
        <f t="shared" ca="1" si="983"/>
        <v/>
      </c>
      <c r="F2742" t="str">
        <f t="shared" ca="1" si="984"/>
        <v xml:space="preserve">Enter a 'Square Footage of Low-Income Units' for  building 73 in cell I76.
</v>
      </c>
      <c r="G2742" s="9" t="str">
        <f t="shared" ca="1" si="977"/>
        <v xml:space="preserve">Enter a value for 'Number of Floors in the Tallest Building' in cell B60.
</v>
      </c>
      <c r="H2742" s="52" t="str">
        <f t="shared" ca="1" si="985"/>
        <v>Square Footage of Low-Income Units</v>
      </c>
      <c r="I2742" s="52">
        <v>9</v>
      </c>
    </row>
    <row r="2743" spans="1:10" ht="15" customHeight="1">
      <c r="A2743" t="str">
        <f t="shared" ca="1" si="980"/>
        <v/>
      </c>
      <c r="B2743">
        <f t="shared" si="981"/>
        <v>76</v>
      </c>
      <c r="C2743">
        <f t="shared" ca="1" si="979"/>
        <v>73</v>
      </c>
      <c r="D2743" t="str">
        <f t="shared" si="982"/>
        <v>J76</v>
      </c>
      <c r="E2743" t="str">
        <f t="shared" ca="1" si="983"/>
        <v/>
      </c>
      <c r="F2743" t="str">
        <f t="shared" ca="1" si="984"/>
        <v xml:space="preserve">Enter a 'Placed-In-Service Date' for  building 73 in cell J76.
</v>
      </c>
      <c r="G2743" s="9" t="str">
        <f t="shared" ca="1" si="977"/>
        <v xml:space="preserve">Enter a value for 'Number of Floors in the Tallest Building' in cell B60.
</v>
      </c>
      <c r="H2743" s="52" t="str">
        <f t="shared" ca="1" si="985"/>
        <v>Placed-In-Service Date</v>
      </c>
      <c r="I2743" s="52">
        <v>10</v>
      </c>
    </row>
    <row r="2744" spans="1:10" ht="15" customHeight="1">
      <c r="A2744" t="str">
        <f t="shared" ca="1" si="980"/>
        <v/>
      </c>
      <c r="B2744">
        <f t="shared" si="981"/>
        <v>76</v>
      </c>
      <c r="C2744">
        <f t="shared" ca="1" si="979"/>
        <v>73</v>
      </c>
      <c r="D2744" t="str">
        <f t="shared" si="982"/>
        <v>K76</v>
      </c>
      <c r="E2744" t="str">
        <f t="shared" ca="1" si="983"/>
        <v/>
      </c>
      <c r="F2744" t="str">
        <f t="shared" ca="1" si="984"/>
        <v xml:space="preserve">Enter a 'New Construction/ Rehab APR' for  building 73 in cell K76.
</v>
      </c>
      <c r="G2744" s="9" t="str">
        <f t="shared" ca="1" si="977"/>
        <v xml:space="preserve">Enter a value for 'Number of Floors in the Tallest Building' in cell B60.
</v>
      </c>
      <c r="H2744" s="52" t="str">
        <f t="shared" ca="1" si="985"/>
        <v>New Construction/ Rehab APR</v>
      </c>
      <c r="I2744" s="52">
        <v>11</v>
      </c>
    </row>
    <row r="2745" spans="1:10" ht="15" customHeight="1">
      <c r="A2745" t="str">
        <f t="shared" ca="1" si="980"/>
        <v/>
      </c>
      <c r="B2745">
        <f t="shared" si="981"/>
        <v>76</v>
      </c>
      <c r="C2745">
        <f t="shared" ca="1" si="979"/>
        <v>73</v>
      </c>
      <c r="D2745" t="str">
        <f t="shared" si="982"/>
        <v>L76</v>
      </c>
      <c r="E2745" t="str">
        <f t="shared" ca="1" si="983"/>
        <v/>
      </c>
      <c r="F2745" t="str">
        <f t="shared" ca="1" si="984"/>
        <v xml:space="preserve">Enter a 'New Construction Eligible Basis' for  building 73 in cell L76.
</v>
      </c>
      <c r="G2745" s="9" t="str">
        <f t="shared" ca="1" si="977"/>
        <v xml:space="preserve">Enter a value for 'Number of Floors in the Tallest Building' in cell B60.
</v>
      </c>
      <c r="H2745" s="52" t="str">
        <f t="shared" ca="1" si="985"/>
        <v>New Construction Eligible Basis</v>
      </c>
      <c r="I2745" s="52">
        <v>12</v>
      </c>
    </row>
    <row r="2746" spans="1:10" ht="15" customHeight="1">
      <c r="A2746" t="str">
        <f ca="1">IF(AND(OFFSET(A2746, -I2746 + 2, 4) &gt;  0, E2746="", Calculations!$B$7), F2746, "")</f>
        <v/>
      </c>
      <c r="B2746">
        <f t="shared" si="981"/>
        <v>76</v>
      </c>
      <c r="C2746">
        <f t="shared" ca="1" si="979"/>
        <v>73</v>
      </c>
      <c r="D2746" t="str">
        <f t="shared" si="982"/>
        <v>M76</v>
      </c>
      <c r="E2746" t="str">
        <f t="shared" ca="1" si="983"/>
        <v/>
      </c>
      <c r="F2746" t="str">
        <f t="shared" ca="1" si="984"/>
        <v xml:space="preserve">Enter a 'Eligible Basis for Rehab' for  building 73 in cell M76.
</v>
      </c>
      <c r="G2746" s="9" t="str">
        <f t="shared" ca="1" si="977"/>
        <v xml:space="preserve">Enter a value for 'Number of Floors in the Tallest Building' in cell B60.
</v>
      </c>
      <c r="H2746" s="52" t="str">
        <f t="shared" ca="1" si="985"/>
        <v>Eligible Basis for Rehab</v>
      </c>
      <c r="I2746" s="52">
        <v>13</v>
      </c>
    </row>
    <row r="2747" spans="1:10" ht="15" customHeight="1">
      <c r="A2747" t="str">
        <f ca="1">IF(AND(OFFSET(A2747, -I2747 + 2, 4) &gt;  0, E2747="", Calculations!$B$7), F2747, "")</f>
        <v/>
      </c>
      <c r="B2747">
        <f t="shared" si="981"/>
        <v>76</v>
      </c>
      <c r="C2747">
        <f t="shared" ca="1" si="979"/>
        <v>73</v>
      </c>
      <c r="D2747" t="str">
        <f t="shared" si="982"/>
        <v>N76</v>
      </c>
      <c r="E2747" t="str">
        <f t="shared" ca="1" si="983"/>
        <v/>
      </c>
      <c r="F2747" t="str">
        <f t="shared" ca="1" si="984"/>
        <v xml:space="preserve">Enter a 'Cost of Acquiring the Building***' for  building 73 in cell N76.
</v>
      </c>
      <c r="G2747" s="9" t="str">
        <f t="shared" ca="1" si="977"/>
        <v xml:space="preserve">Enter a value for 'Number of Floors in the Tallest Building' in cell B60.
</v>
      </c>
      <c r="H2747" s="52" t="str">
        <f t="shared" ca="1" si="985"/>
        <v>Cost of Acquiring the Building***</v>
      </c>
      <c r="I2747" s="52">
        <v>14</v>
      </c>
    </row>
    <row r="2748" spans="1:10" ht="15" customHeight="1">
      <c r="A2748" t="str">
        <f ca="1">IF(AND(OFFSET(A2748, -I2748 + 2, 4) &gt;  0, E2748="", Calculations!$B$7), F2748, "")</f>
        <v/>
      </c>
      <c r="B2748">
        <f t="shared" si="981"/>
        <v>76</v>
      </c>
      <c r="C2748">
        <f t="shared" ca="1" si="979"/>
        <v>73</v>
      </c>
      <c r="D2748" t="str">
        <f t="shared" si="982"/>
        <v>O76</v>
      </c>
      <c r="E2748" t="str">
        <f t="shared" ca="1" si="983"/>
        <v/>
      </c>
      <c r="F2748" t="str">
        <f t="shared" ca="1" si="984"/>
        <v xml:space="preserve">Enter a 'Higher of Land Purchase Price or Land Appraised Value****' for  building 73 in cell O76.
</v>
      </c>
      <c r="G2748" s="9" t="str">
        <f t="shared" ca="1" si="977"/>
        <v xml:space="preserve">Enter a value for 'Number of Floors in the Tallest Building' in cell B60.
</v>
      </c>
      <c r="H2748" s="52" t="str">
        <f t="shared" ca="1" si="985"/>
        <v>Higher of Land Purchase Price or Land Appraised Value****</v>
      </c>
      <c r="I2748" s="52">
        <v>15</v>
      </c>
    </row>
    <row r="2749" spans="1:10" ht="15" customHeight="1">
      <c r="A2749" t="str">
        <f ca="1">IF(AND(OFFSET(A2749, -I2749 + 2, 4) &gt;  0, E2749="", Calculations!$B$7), F2749, "")</f>
        <v/>
      </c>
      <c r="B2749">
        <f t="shared" si="981"/>
        <v>76</v>
      </c>
      <c r="C2749">
        <f t="shared" ca="1" si="979"/>
        <v>73</v>
      </c>
      <c r="D2749" t="str">
        <f t="shared" si="982"/>
        <v>P76</v>
      </c>
      <c r="E2749" t="str">
        <f t="shared" ca="1" si="983"/>
        <v/>
      </c>
      <c r="F2749" t="str">
        <f t="shared" ca="1" si="984"/>
        <v xml:space="preserve">Enter a 'Acquisition Placed-in-Service Date' for  building 73 in cell P76.
</v>
      </c>
      <c r="G2749" s="9" t="str">
        <f t="shared" ca="1" si="977"/>
        <v xml:space="preserve">Enter a value for 'Number of Floors in the Tallest Building' in cell B60.
</v>
      </c>
      <c r="H2749" s="52" t="str">
        <f t="shared" ca="1" si="985"/>
        <v>Acquisition Placed-in-Service Date</v>
      </c>
      <c r="I2749" s="52">
        <v>16</v>
      </c>
    </row>
    <row r="2750" spans="1:10" ht="15" customHeight="1">
      <c r="A2750" t="str">
        <f ca="1">IF(AND(OFFSET(A2750, -I2750 + 2, 4) &gt;  0, E2750="", Calculations!$B$7), F2750, "")</f>
        <v/>
      </c>
      <c r="B2750">
        <f t="shared" si="981"/>
        <v>76</v>
      </c>
      <c r="C2750">
        <f t="shared" ca="1" si="979"/>
        <v>73</v>
      </c>
      <c r="D2750" t="str">
        <f t="shared" si="982"/>
        <v>Q76</v>
      </c>
      <c r="E2750" t="str">
        <f t="shared" ca="1" si="983"/>
        <v/>
      </c>
      <c r="F2750" t="str">
        <f t="shared" ca="1" si="984"/>
        <v xml:space="preserve">Enter a 'Acquisition APR' for  building 73 in cell Q76.
</v>
      </c>
      <c r="G2750" s="9" t="str">
        <f t="shared" ca="1" si="977"/>
        <v xml:space="preserve">Enter a value for 'Number of Floors in the Tallest Building' in cell B60.
</v>
      </c>
      <c r="H2750" s="52" t="str">
        <f t="shared" ca="1" si="985"/>
        <v>Acquisition APR</v>
      </c>
      <c r="I2750" s="52">
        <v>17</v>
      </c>
    </row>
    <row r="2751" spans="1:10" ht="15" customHeight="1">
      <c r="A2751" t="str">
        <f ca="1">IF(AND(Calculations!$B$4,Calculations!$B$29&gt;=C2751, E2751 &lt;&gt; 13),F2751,"")</f>
        <v/>
      </c>
      <c r="B2751">
        <f>ROW('Final Building Profile'!C77)</f>
        <v>77</v>
      </c>
      <c r="C2751">
        <f t="shared" ca="1" si="979"/>
        <v>74</v>
      </c>
      <c r="D2751" t="str">
        <f>ADDRESS(B2751, 3,4  )</f>
        <v>C77</v>
      </c>
      <c r="E2751" s="52">
        <f ca="1">H2751+I2751</f>
        <v>0</v>
      </c>
      <c r="F2751" t="str">
        <f ca="1">CONCATENATE("Based upon the number of buildings specified, information for  building ", C2751, " required for a final application in row ", B2751, ".", CHAR(10))</f>
        <v xml:space="preserve">Based upon the number of buildings specified, information for  building 74 required for a final application in row 77.
</v>
      </c>
      <c r="G2751" s="9" t="str">
        <f t="shared" ca="1" si="977"/>
        <v xml:space="preserve">Enter a value for 'Number of Floors in the Tallest Building' in cell B60.
</v>
      </c>
      <c r="H2751" s="52">
        <f ca="1">SUMPRODUCT(--ISTEXT(INDIRECT(J2751)))</f>
        <v>0</v>
      </c>
      <c r="I2751" s="52">
        <f ca="1">SUMPRODUCT(--ISNUMBER(INDIRECT(J2751)))</f>
        <v>0</v>
      </c>
      <c r="J2751" s="52" t="str">
        <f>$F$1565&amp; ADDRESS(B2751,3,4) &amp; ":" &amp; ADDRESS(B2751,15,4)</f>
        <v>'Final Building Profile'!C77:O77</v>
      </c>
    </row>
    <row r="2752" spans="1:10" ht="15" customHeight="1">
      <c r="A2752" t="str">
        <f t="shared" ref="A2752:A2761" ca="1" si="986">IF(AND(OFFSET(A2752, -I2752 + 2, 4) &gt;  0, E2752=""), F2752, "")</f>
        <v/>
      </c>
      <c r="B2752">
        <f t="shared" ref="B2752:B2766" si="987">B2751</f>
        <v>77</v>
      </c>
      <c r="C2752">
        <f t="shared" ca="1" si="979"/>
        <v>74</v>
      </c>
      <c r="D2752" t="str">
        <f t="shared" ref="D2752:D2766" si="988">ADDRESS(B2752, I2752,4  )</f>
        <v>C77</v>
      </c>
      <c r="E2752" t="str">
        <f t="shared" ref="E2752:E2766" ca="1" si="989">IF(ISBLANK( INDIRECT($F$1565 &amp; D2752)),"", INDIRECT($F$1565 &amp; D2752))</f>
        <v/>
      </c>
      <c r="F2752" t="str">
        <f t="shared" ref="F2752:F2766" ca="1" si="990">CONCATENATE("Enter a '"&amp; H2752 &amp;"' for  building ", C2752, " in cell ", D2752, ".", CHAR(10))</f>
        <v xml:space="preserve">Enter a 'Building Street Address Only 
(DO NOT ENTER CITY, STATE, OR ZIP)' for  building 74 in cell C77.
</v>
      </c>
      <c r="G2752" s="9" t="str">
        <f t="shared" ca="1" si="977"/>
        <v xml:space="preserve">Enter a value for 'Number of Floors in the Tallest Building' in cell B60.
</v>
      </c>
      <c r="H2752" s="52" t="str">
        <f t="shared" ref="H2752:H2766" ca="1" si="991">OFFSET(INDIRECT($F$1565 &amp; D2752), -B2752 + 3, 0)</f>
        <v>Building Street Address Only 
(DO NOT ENTER CITY, STATE, OR ZIP)</v>
      </c>
      <c r="I2752" s="52">
        <v>3</v>
      </c>
    </row>
    <row r="2753" spans="1:10" ht="15" customHeight="1">
      <c r="A2753" t="str">
        <f t="shared" ca="1" si="986"/>
        <v/>
      </c>
      <c r="B2753">
        <f t="shared" si="987"/>
        <v>77</v>
      </c>
      <c r="C2753">
        <f t="shared" ca="1" si="979"/>
        <v>74</v>
      </c>
      <c r="D2753" t="str">
        <f t="shared" si="988"/>
        <v>D77</v>
      </c>
      <c r="E2753" t="str">
        <f t="shared" ca="1" si="989"/>
        <v/>
      </c>
      <c r="F2753" t="str">
        <f t="shared" ca="1" si="990"/>
        <v xml:space="preserve">Enter a 'Total Units in Building*' for  building 74 in cell D77.
</v>
      </c>
      <c r="G2753" s="9" t="str">
        <f t="shared" ca="1" si="977"/>
        <v xml:space="preserve">Enter a value for 'Number of Floors in the Tallest Building' in cell B60.
</v>
      </c>
      <c r="H2753" s="52" t="str">
        <f t="shared" ca="1" si="991"/>
        <v>Total Units in Building*</v>
      </c>
      <c r="I2753" s="52">
        <v>4</v>
      </c>
    </row>
    <row r="2754" spans="1:10" ht="15" customHeight="1">
      <c r="A2754" t="str">
        <f t="shared" ca="1" si="986"/>
        <v/>
      </c>
      <c r="B2754">
        <f t="shared" si="987"/>
        <v>77</v>
      </c>
      <c r="C2754">
        <f t="shared" ca="1" si="979"/>
        <v>74</v>
      </c>
      <c r="D2754" t="str">
        <f t="shared" si="988"/>
        <v>E77</v>
      </c>
      <c r="E2754" t="str">
        <f t="shared" ca="1" si="989"/>
        <v/>
      </c>
      <c r="F2754" t="str">
        <f t="shared" ca="1" si="990"/>
        <v xml:space="preserve">Enter a 'Employee Units' for  building 74 in cell E77.
</v>
      </c>
      <c r="G2754" s="9" t="str">
        <f t="shared" ca="1" si="977"/>
        <v xml:space="preserve">Enter a value for 'Number of Floors in the Tallest Building' in cell B60.
</v>
      </c>
      <c r="H2754" s="52" t="str">
        <f t="shared" ca="1" si="991"/>
        <v>Employee Units</v>
      </c>
      <c r="I2754" s="52">
        <v>5</v>
      </c>
    </row>
    <row r="2755" spans="1:10" ht="15" customHeight="1">
      <c r="A2755" t="str">
        <f t="shared" ca="1" si="986"/>
        <v/>
      </c>
      <c r="B2755">
        <f t="shared" si="987"/>
        <v>77</v>
      </c>
      <c r="C2755">
        <f t="shared" ca="1" si="979"/>
        <v>74</v>
      </c>
      <c r="D2755" t="str">
        <f t="shared" si="988"/>
        <v>F77</v>
      </c>
      <c r="E2755" t="str">
        <f t="shared" ca="1" si="989"/>
        <v/>
      </c>
      <c r="F2755" t="str">
        <f t="shared" ca="1" si="990"/>
        <v xml:space="preserve">Enter a 'Low-Income Units' for  building 74 in cell F77.
</v>
      </c>
      <c r="G2755" s="9" t="str">
        <f t="shared" ca="1" si="977"/>
        <v xml:space="preserve">Enter a value for 'Number of Floors in the Tallest Building' in cell B60.
</v>
      </c>
      <c r="H2755" s="52" t="str">
        <f t="shared" ca="1" si="991"/>
        <v>Low-Income Units</v>
      </c>
      <c r="I2755" s="52">
        <v>6</v>
      </c>
    </row>
    <row r="2756" spans="1:10" ht="15" customHeight="1">
      <c r="A2756" t="str">
        <f t="shared" ca="1" si="986"/>
        <v/>
      </c>
      <c r="B2756">
        <f t="shared" si="987"/>
        <v>77</v>
      </c>
      <c r="C2756">
        <f t="shared" ca="1" si="979"/>
        <v>74</v>
      </c>
      <c r="D2756" t="str">
        <f t="shared" si="988"/>
        <v>G77</v>
      </c>
      <c r="E2756" t="str">
        <f t="shared" ca="1" si="989"/>
        <v/>
      </c>
      <c r="F2756" t="str">
        <f t="shared" ca="1" si="990"/>
        <v xml:space="preserve">Enter a 'Residential Square Footage**' for  building 74 in cell G77.
</v>
      </c>
      <c r="G2756" s="9" t="str">
        <f t="shared" ca="1" si="977"/>
        <v xml:space="preserve">Enter a value for 'Number of Floors in the Tallest Building' in cell B60.
</v>
      </c>
      <c r="H2756" s="52" t="str">
        <f t="shared" ca="1" si="991"/>
        <v>Residential Square Footage**</v>
      </c>
      <c r="I2756" s="52">
        <v>7</v>
      </c>
    </row>
    <row r="2757" spans="1:10" ht="15" customHeight="1">
      <c r="A2757" t="str">
        <f t="shared" ca="1" si="986"/>
        <v/>
      </c>
      <c r="B2757">
        <f t="shared" si="987"/>
        <v>77</v>
      </c>
      <c r="C2757">
        <f t="shared" ca="1" si="979"/>
        <v>74</v>
      </c>
      <c r="D2757" t="str">
        <f t="shared" si="988"/>
        <v>H77</v>
      </c>
      <c r="E2757" t="str">
        <f t="shared" ca="1" si="989"/>
        <v/>
      </c>
      <c r="F2757" t="str">
        <f t="shared" ca="1" si="990"/>
        <v xml:space="preserve">Enter a 'Square Footage of Employee Units' for  building 74 in cell H77.
</v>
      </c>
      <c r="G2757" s="9" t="str">
        <f t="shared" ca="1" si="977"/>
        <v xml:space="preserve">Enter a value for 'Number of Floors in the Tallest Building' in cell B60.
</v>
      </c>
      <c r="H2757" s="52" t="str">
        <f t="shared" ca="1" si="991"/>
        <v>Square Footage of Employee Units</v>
      </c>
      <c r="I2757" s="52">
        <v>8</v>
      </c>
    </row>
    <row r="2758" spans="1:10" ht="15" customHeight="1">
      <c r="A2758" t="str">
        <f t="shared" ca="1" si="986"/>
        <v/>
      </c>
      <c r="B2758">
        <f t="shared" si="987"/>
        <v>77</v>
      </c>
      <c r="C2758">
        <f t="shared" ca="1" si="979"/>
        <v>74</v>
      </c>
      <c r="D2758" t="str">
        <f t="shared" si="988"/>
        <v>I77</v>
      </c>
      <c r="E2758" t="str">
        <f t="shared" ca="1" si="989"/>
        <v/>
      </c>
      <c r="F2758" t="str">
        <f t="shared" ca="1" si="990"/>
        <v xml:space="preserve">Enter a 'Square Footage of Low-Income Units' for  building 74 in cell I77.
</v>
      </c>
      <c r="G2758" s="9" t="str">
        <f t="shared" ca="1" si="977"/>
        <v xml:space="preserve">Enter a value for 'Number of Floors in the Tallest Building' in cell B60.
</v>
      </c>
      <c r="H2758" s="52" t="str">
        <f t="shared" ca="1" si="991"/>
        <v>Square Footage of Low-Income Units</v>
      </c>
      <c r="I2758" s="52">
        <v>9</v>
      </c>
    </row>
    <row r="2759" spans="1:10" ht="15" customHeight="1">
      <c r="A2759" t="str">
        <f t="shared" ca="1" si="986"/>
        <v/>
      </c>
      <c r="B2759">
        <f t="shared" si="987"/>
        <v>77</v>
      </c>
      <c r="C2759">
        <f t="shared" ca="1" si="979"/>
        <v>74</v>
      </c>
      <c r="D2759" t="str">
        <f t="shared" si="988"/>
        <v>J77</v>
      </c>
      <c r="E2759" t="str">
        <f t="shared" ca="1" si="989"/>
        <v/>
      </c>
      <c r="F2759" t="str">
        <f t="shared" ca="1" si="990"/>
        <v xml:space="preserve">Enter a 'Placed-In-Service Date' for  building 74 in cell J77.
</v>
      </c>
      <c r="G2759" s="9" t="str">
        <f t="shared" ca="1" si="977"/>
        <v xml:space="preserve">Enter a value for 'Number of Floors in the Tallest Building' in cell B60.
</v>
      </c>
      <c r="H2759" s="52" t="str">
        <f t="shared" ca="1" si="991"/>
        <v>Placed-In-Service Date</v>
      </c>
      <c r="I2759" s="52">
        <v>10</v>
      </c>
    </row>
    <row r="2760" spans="1:10" ht="15" customHeight="1">
      <c r="A2760" t="str">
        <f t="shared" ca="1" si="986"/>
        <v/>
      </c>
      <c r="B2760">
        <f t="shared" si="987"/>
        <v>77</v>
      </c>
      <c r="C2760">
        <f t="shared" ca="1" si="979"/>
        <v>74</v>
      </c>
      <c r="D2760" t="str">
        <f t="shared" si="988"/>
        <v>K77</v>
      </c>
      <c r="E2760" t="str">
        <f t="shared" ca="1" si="989"/>
        <v/>
      </c>
      <c r="F2760" t="str">
        <f t="shared" ca="1" si="990"/>
        <v xml:space="preserve">Enter a 'New Construction/ Rehab APR' for  building 74 in cell K77.
</v>
      </c>
      <c r="G2760" s="9" t="str">
        <f t="shared" ca="1" si="977"/>
        <v xml:space="preserve">Enter a value for 'Number of Floors in the Tallest Building' in cell B60.
</v>
      </c>
      <c r="H2760" s="52" t="str">
        <f t="shared" ca="1" si="991"/>
        <v>New Construction/ Rehab APR</v>
      </c>
      <c r="I2760" s="52">
        <v>11</v>
      </c>
    </row>
    <row r="2761" spans="1:10" ht="15" customHeight="1">
      <c r="A2761" t="str">
        <f t="shared" ca="1" si="986"/>
        <v/>
      </c>
      <c r="B2761">
        <f t="shared" si="987"/>
        <v>77</v>
      </c>
      <c r="C2761">
        <f t="shared" ca="1" si="979"/>
        <v>74</v>
      </c>
      <c r="D2761" t="str">
        <f t="shared" si="988"/>
        <v>L77</v>
      </c>
      <c r="E2761" t="str">
        <f t="shared" ca="1" si="989"/>
        <v/>
      </c>
      <c r="F2761" t="str">
        <f t="shared" ca="1" si="990"/>
        <v xml:space="preserve">Enter a 'New Construction Eligible Basis' for  building 74 in cell L77.
</v>
      </c>
      <c r="G2761" s="9" t="str">
        <f t="shared" ca="1" si="977"/>
        <v xml:space="preserve">Enter a value for 'Number of Floors in the Tallest Building' in cell B60.
</v>
      </c>
      <c r="H2761" s="52" t="str">
        <f t="shared" ca="1" si="991"/>
        <v>New Construction Eligible Basis</v>
      </c>
      <c r="I2761" s="52">
        <v>12</v>
      </c>
    </row>
    <row r="2762" spans="1:10" ht="15" customHeight="1">
      <c r="A2762" t="str">
        <f ca="1">IF(AND(OFFSET(A2762, -I2762 + 2, 4) &gt;  0, E2762="", Calculations!$B$7), F2762, "")</f>
        <v/>
      </c>
      <c r="B2762">
        <f t="shared" si="987"/>
        <v>77</v>
      </c>
      <c r="C2762">
        <f t="shared" ca="1" si="979"/>
        <v>74</v>
      </c>
      <c r="D2762" t="str">
        <f t="shared" si="988"/>
        <v>M77</v>
      </c>
      <c r="E2762" t="str">
        <f t="shared" ca="1" si="989"/>
        <v/>
      </c>
      <c r="F2762" t="str">
        <f t="shared" ca="1" si="990"/>
        <v xml:space="preserve">Enter a 'Eligible Basis for Rehab' for  building 74 in cell M77.
</v>
      </c>
      <c r="G2762" s="9" t="str">
        <f t="shared" ca="1" si="977"/>
        <v xml:space="preserve">Enter a value for 'Number of Floors in the Tallest Building' in cell B60.
</v>
      </c>
      <c r="H2762" s="52" t="str">
        <f t="shared" ca="1" si="991"/>
        <v>Eligible Basis for Rehab</v>
      </c>
      <c r="I2762" s="52">
        <v>13</v>
      </c>
    </row>
    <row r="2763" spans="1:10" ht="15" customHeight="1">
      <c r="A2763" t="str">
        <f ca="1">IF(AND(OFFSET(A2763, -I2763 + 2, 4) &gt;  0, E2763="", Calculations!$B$7), F2763, "")</f>
        <v/>
      </c>
      <c r="B2763">
        <f t="shared" si="987"/>
        <v>77</v>
      </c>
      <c r="C2763">
        <f t="shared" ca="1" si="979"/>
        <v>74</v>
      </c>
      <c r="D2763" t="str">
        <f t="shared" si="988"/>
        <v>N77</v>
      </c>
      <c r="E2763" t="str">
        <f t="shared" ca="1" si="989"/>
        <v/>
      </c>
      <c r="F2763" t="str">
        <f t="shared" ca="1" si="990"/>
        <v xml:space="preserve">Enter a 'Cost of Acquiring the Building***' for  building 74 in cell N77.
</v>
      </c>
      <c r="G2763" s="9" t="str">
        <f t="shared" ca="1" si="977"/>
        <v xml:space="preserve">Enter a value for 'Number of Floors in the Tallest Building' in cell B60.
</v>
      </c>
      <c r="H2763" s="52" t="str">
        <f t="shared" ca="1" si="991"/>
        <v>Cost of Acquiring the Building***</v>
      </c>
      <c r="I2763" s="52">
        <v>14</v>
      </c>
    </row>
    <row r="2764" spans="1:10" ht="15" customHeight="1">
      <c r="A2764" t="str">
        <f ca="1">IF(AND(OFFSET(A2764, -I2764 + 2, 4) &gt;  0, E2764="", Calculations!$B$7), F2764, "")</f>
        <v/>
      </c>
      <c r="B2764">
        <f t="shared" si="987"/>
        <v>77</v>
      </c>
      <c r="C2764">
        <f t="shared" ca="1" si="979"/>
        <v>74</v>
      </c>
      <c r="D2764" t="str">
        <f t="shared" si="988"/>
        <v>O77</v>
      </c>
      <c r="E2764" t="str">
        <f t="shared" ca="1" si="989"/>
        <v/>
      </c>
      <c r="F2764" t="str">
        <f t="shared" ca="1" si="990"/>
        <v xml:space="preserve">Enter a 'Higher of Land Purchase Price or Land Appraised Value****' for  building 74 in cell O77.
</v>
      </c>
      <c r="G2764" s="9" t="str">
        <f t="shared" ca="1" si="977"/>
        <v xml:space="preserve">Enter a value for 'Number of Floors in the Tallest Building' in cell B60.
</v>
      </c>
      <c r="H2764" s="52" t="str">
        <f t="shared" ca="1" si="991"/>
        <v>Higher of Land Purchase Price or Land Appraised Value****</v>
      </c>
      <c r="I2764" s="52">
        <v>15</v>
      </c>
    </row>
    <row r="2765" spans="1:10" ht="15" customHeight="1">
      <c r="A2765" t="str">
        <f ca="1">IF(AND(OFFSET(A2765, -I2765 + 2, 4) &gt;  0, E2765="", Calculations!$B$7), F2765, "")</f>
        <v/>
      </c>
      <c r="B2765">
        <f t="shared" si="987"/>
        <v>77</v>
      </c>
      <c r="C2765">
        <f t="shared" ca="1" si="979"/>
        <v>74</v>
      </c>
      <c r="D2765" t="str">
        <f t="shared" si="988"/>
        <v>P77</v>
      </c>
      <c r="E2765" t="str">
        <f t="shared" ca="1" si="989"/>
        <v/>
      </c>
      <c r="F2765" t="str">
        <f t="shared" ca="1" si="990"/>
        <v xml:space="preserve">Enter a 'Acquisition Placed-in-Service Date' for  building 74 in cell P77.
</v>
      </c>
      <c r="G2765" s="9" t="str">
        <f t="shared" ca="1" si="977"/>
        <v xml:space="preserve">Enter a value for 'Number of Floors in the Tallest Building' in cell B60.
</v>
      </c>
      <c r="H2765" s="52" t="str">
        <f t="shared" ca="1" si="991"/>
        <v>Acquisition Placed-in-Service Date</v>
      </c>
      <c r="I2765" s="52">
        <v>16</v>
      </c>
    </row>
    <row r="2766" spans="1:10" ht="15" customHeight="1">
      <c r="A2766" t="str">
        <f ca="1">IF(AND(OFFSET(A2766, -I2766 + 2, 4) &gt;  0, E2766="", Calculations!$B$7), F2766, "")</f>
        <v/>
      </c>
      <c r="B2766">
        <f t="shared" si="987"/>
        <v>77</v>
      </c>
      <c r="C2766">
        <f t="shared" ca="1" si="979"/>
        <v>74</v>
      </c>
      <c r="D2766" t="str">
        <f t="shared" si="988"/>
        <v>Q77</v>
      </c>
      <c r="E2766" t="str">
        <f t="shared" ca="1" si="989"/>
        <v/>
      </c>
      <c r="F2766" t="str">
        <f t="shared" ca="1" si="990"/>
        <v xml:space="preserve">Enter a 'Acquisition APR' for  building 74 in cell Q77.
</v>
      </c>
      <c r="G2766" s="9" t="str">
        <f t="shared" ca="1" si="977"/>
        <v xml:space="preserve">Enter a value for 'Number of Floors in the Tallest Building' in cell B60.
</v>
      </c>
      <c r="H2766" s="52" t="str">
        <f t="shared" ca="1" si="991"/>
        <v>Acquisition APR</v>
      </c>
      <c r="I2766" s="52">
        <v>17</v>
      </c>
    </row>
    <row r="2767" spans="1:10" ht="15" customHeight="1">
      <c r="A2767" t="str">
        <f ca="1">IF(AND(Calculations!$B$4,Calculations!$B$29&gt;=C2767, E2767 &lt;&gt; 13),F2767,"")</f>
        <v/>
      </c>
      <c r="B2767">
        <f>ROW('Final Building Profile'!C78)</f>
        <v>78</v>
      </c>
      <c r="C2767">
        <f t="shared" ca="1" si="979"/>
        <v>75</v>
      </c>
      <c r="D2767" t="str">
        <f>ADDRESS(B2767, 3,4  )</f>
        <v>C78</v>
      </c>
      <c r="E2767" s="52">
        <f ca="1">H2767+I2767</f>
        <v>0</v>
      </c>
      <c r="F2767" t="str">
        <f ca="1">CONCATENATE("Based upon the number of buildings specified, information for  building ", C2767, " required for a final application in row ", B2767, ".", CHAR(10))</f>
        <v xml:space="preserve">Based upon the number of buildings specified, information for  building 75 required for a final application in row 78.
</v>
      </c>
      <c r="G2767" s="9" t="str">
        <f t="shared" ca="1" si="977"/>
        <v xml:space="preserve">Enter a value for 'Number of Floors in the Tallest Building' in cell B60.
</v>
      </c>
      <c r="H2767" s="52">
        <f ca="1">SUMPRODUCT(--ISTEXT(INDIRECT(J2767)))</f>
        <v>0</v>
      </c>
      <c r="I2767" s="52">
        <f ca="1">SUMPRODUCT(--ISNUMBER(INDIRECT(J2767)))</f>
        <v>0</v>
      </c>
      <c r="J2767" s="52" t="str">
        <f>$F$1565&amp; ADDRESS(B2767,3,4) &amp; ":" &amp; ADDRESS(B2767,15,4)</f>
        <v>'Final Building Profile'!C78:O78</v>
      </c>
    </row>
    <row r="2768" spans="1:10" ht="15" customHeight="1">
      <c r="A2768" t="str">
        <f t="shared" ref="A2768:A2777" ca="1" si="992">IF(AND(OFFSET(A2768, -I2768 + 2, 4) &gt;  0, E2768=""), F2768, "")</f>
        <v/>
      </c>
      <c r="B2768">
        <f t="shared" ref="B2768:B2782" si="993">B2767</f>
        <v>78</v>
      </c>
      <c r="C2768">
        <f t="shared" ca="1" si="979"/>
        <v>75</v>
      </c>
      <c r="D2768" t="str">
        <f t="shared" ref="D2768:D2782" si="994">ADDRESS(B2768, I2768,4  )</f>
        <v>C78</v>
      </c>
      <c r="E2768" t="str">
        <f t="shared" ref="E2768:E2782" ca="1" si="995">IF(ISBLANK( INDIRECT($F$1565 &amp; D2768)),"", INDIRECT($F$1565 &amp; D2768))</f>
        <v/>
      </c>
      <c r="F2768" t="str">
        <f t="shared" ref="F2768:F2782" ca="1" si="996">CONCATENATE("Enter a '"&amp; H2768 &amp;"' for  building ", C2768, " in cell ", D2768, ".", CHAR(10))</f>
        <v xml:space="preserve">Enter a 'Building Street Address Only 
(DO NOT ENTER CITY, STATE, OR ZIP)' for  building 75 in cell C78.
</v>
      </c>
      <c r="G2768" s="9" t="str">
        <f t="shared" ca="1" si="977"/>
        <v xml:space="preserve">Enter a value for 'Number of Floors in the Tallest Building' in cell B60.
</v>
      </c>
      <c r="H2768" s="52" t="str">
        <f t="shared" ref="H2768:H2782" ca="1" si="997">OFFSET(INDIRECT($F$1565 &amp; D2768), -B2768 + 3, 0)</f>
        <v>Building Street Address Only 
(DO NOT ENTER CITY, STATE, OR ZIP)</v>
      </c>
      <c r="I2768" s="52">
        <v>3</v>
      </c>
    </row>
    <row r="2769" spans="1:10" ht="15" customHeight="1">
      <c r="A2769" t="str">
        <f t="shared" ca="1" si="992"/>
        <v/>
      </c>
      <c r="B2769">
        <f t="shared" si="993"/>
        <v>78</v>
      </c>
      <c r="C2769">
        <f t="shared" ca="1" si="979"/>
        <v>75</v>
      </c>
      <c r="D2769" t="str">
        <f t="shared" si="994"/>
        <v>D78</v>
      </c>
      <c r="E2769" t="str">
        <f t="shared" ca="1" si="995"/>
        <v/>
      </c>
      <c r="F2769" t="str">
        <f t="shared" ca="1" si="996"/>
        <v xml:space="preserve">Enter a 'Total Units in Building*' for  building 75 in cell D78.
</v>
      </c>
      <c r="G2769" s="9" t="str">
        <f t="shared" ca="1" si="977"/>
        <v xml:space="preserve">Enter a value for 'Number of Floors in the Tallest Building' in cell B60.
</v>
      </c>
      <c r="H2769" s="52" t="str">
        <f t="shared" ca="1" si="997"/>
        <v>Total Units in Building*</v>
      </c>
      <c r="I2769" s="52">
        <v>4</v>
      </c>
    </row>
    <row r="2770" spans="1:10" ht="15" customHeight="1">
      <c r="A2770" t="str">
        <f t="shared" ca="1" si="992"/>
        <v/>
      </c>
      <c r="B2770">
        <f t="shared" si="993"/>
        <v>78</v>
      </c>
      <c r="C2770">
        <f t="shared" ca="1" si="979"/>
        <v>75</v>
      </c>
      <c r="D2770" t="str">
        <f t="shared" si="994"/>
        <v>E78</v>
      </c>
      <c r="E2770" t="str">
        <f t="shared" ca="1" si="995"/>
        <v/>
      </c>
      <c r="F2770" t="str">
        <f t="shared" ca="1" si="996"/>
        <v xml:space="preserve">Enter a 'Employee Units' for  building 75 in cell E78.
</v>
      </c>
      <c r="G2770" s="9" t="str">
        <f t="shared" ca="1" si="977"/>
        <v xml:space="preserve">Enter a value for 'Number of Floors in the Tallest Building' in cell B60.
</v>
      </c>
      <c r="H2770" s="52" t="str">
        <f t="shared" ca="1" si="997"/>
        <v>Employee Units</v>
      </c>
      <c r="I2770" s="52">
        <v>5</v>
      </c>
    </row>
    <row r="2771" spans="1:10" ht="15" customHeight="1">
      <c r="A2771" t="str">
        <f t="shared" ca="1" si="992"/>
        <v/>
      </c>
      <c r="B2771">
        <f t="shared" si="993"/>
        <v>78</v>
      </c>
      <c r="C2771">
        <f t="shared" ca="1" si="979"/>
        <v>75</v>
      </c>
      <c r="D2771" t="str">
        <f t="shared" si="994"/>
        <v>F78</v>
      </c>
      <c r="E2771" t="str">
        <f t="shared" ca="1" si="995"/>
        <v/>
      </c>
      <c r="F2771" t="str">
        <f t="shared" ca="1" si="996"/>
        <v xml:space="preserve">Enter a 'Low-Income Units' for  building 75 in cell F78.
</v>
      </c>
      <c r="G2771" s="9" t="str">
        <f t="shared" ca="1" si="977"/>
        <v xml:space="preserve">Enter a value for 'Number of Floors in the Tallest Building' in cell B60.
</v>
      </c>
      <c r="H2771" s="52" t="str">
        <f t="shared" ca="1" si="997"/>
        <v>Low-Income Units</v>
      </c>
      <c r="I2771" s="52">
        <v>6</v>
      </c>
    </row>
    <row r="2772" spans="1:10" ht="15" customHeight="1">
      <c r="A2772" t="str">
        <f t="shared" ca="1" si="992"/>
        <v/>
      </c>
      <c r="B2772">
        <f t="shared" si="993"/>
        <v>78</v>
      </c>
      <c r="C2772">
        <f t="shared" ca="1" si="979"/>
        <v>75</v>
      </c>
      <c r="D2772" t="str">
        <f t="shared" si="994"/>
        <v>G78</v>
      </c>
      <c r="E2772" t="str">
        <f t="shared" ca="1" si="995"/>
        <v/>
      </c>
      <c r="F2772" t="str">
        <f t="shared" ca="1" si="996"/>
        <v xml:space="preserve">Enter a 'Residential Square Footage**' for  building 75 in cell G78.
</v>
      </c>
      <c r="G2772" s="9" t="str">
        <f t="shared" ca="1" si="977"/>
        <v xml:space="preserve">Enter a value for 'Number of Floors in the Tallest Building' in cell B60.
</v>
      </c>
      <c r="H2772" s="52" t="str">
        <f t="shared" ca="1" si="997"/>
        <v>Residential Square Footage**</v>
      </c>
      <c r="I2772" s="52">
        <v>7</v>
      </c>
    </row>
    <row r="2773" spans="1:10" ht="15" customHeight="1">
      <c r="A2773" t="str">
        <f t="shared" ca="1" si="992"/>
        <v/>
      </c>
      <c r="B2773">
        <f t="shared" si="993"/>
        <v>78</v>
      </c>
      <c r="C2773">
        <f t="shared" ca="1" si="979"/>
        <v>75</v>
      </c>
      <c r="D2773" t="str">
        <f t="shared" si="994"/>
        <v>H78</v>
      </c>
      <c r="E2773" t="str">
        <f t="shared" ca="1" si="995"/>
        <v/>
      </c>
      <c r="F2773" t="str">
        <f t="shared" ca="1" si="996"/>
        <v xml:space="preserve">Enter a 'Square Footage of Employee Units' for  building 75 in cell H78.
</v>
      </c>
      <c r="G2773" s="9" t="str">
        <f t="shared" ca="1" si="977"/>
        <v xml:space="preserve">Enter a value for 'Number of Floors in the Tallest Building' in cell B60.
</v>
      </c>
      <c r="H2773" s="52" t="str">
        <f t="shared" ca="1" si="997"/>
        <v>Square Footage of Employee Units</v>
      </c>
      <c r="I2773" s="52">
        <v>8</v>
      </c>
    </row>
    <row r="2774" spans="1:10" ht="15" customHeight="1">
      <c r="A2774" t="str">
        <f t="shared" ca="1" si="992"/>
        <v/>
      </c>
      <c r="B2774">
        <f t="shared" si="993"/>
        <v>78</v>
      </c>
      <c r="C2774">
        <f t="shared" ca="1" si="979"/>
        <v>75</v>
      </c>
      <c r="D2774" t="str">
        <f t="shared" si="994"/>
        <v>I78</v>
      </c>
      <c r="E2774" t="str">
        <f t="shared" ca="1" si="995"/>
        <v/>
      </c>
      <c r="F2774" t="str">
        <f t="shared" ca="1" si="996"/>
        <v xml:space="preserve">Enter a 'Square Footage of Low-Income Units' for  building 75 in cell I78.
</v>
      </c>
      <c r="G2774" s="9" t="str">
        <f t="shared" ca="1" si="977"/>
        <v xml:space="preserve">Enter a value for 'Number of Floors in the Tallest Building' in cell B60.
</v>
      </c>
      <c r="H2774" s="52" t="str">
        <f t="shared" ca="1" si="997"/>
        <v>Square Footage of Low-Income Units</v>
      </c>
      <c r="I2774" s="52">
        <v>9</v>
      </c>
    </row>
    <row r="2775" spans="1:10" ht="15" customHeight="1">
      <c r="A2775" t="str">
        <f t="shared" ca="1" si="992"/>
        <v/>
      </c>
      <c r="B2775">
        <f t="shared" si="993"/>
        <v>78</v>
      </c>
      <c r="C2775">
        <f t="shared" ca="1" si="979"/>
        <v>75</v>
      </c>
      <c r="D2775" t="str">
        <f t="shared" si="994"/>
        <v>J78</v>
      </c>
      <c r="E2775" t="str">
        <f t="shared" ca="1" si="995"/>
        <v/>
      </c>
      <c r="F2775" t="str">
        <f t="shared" ca="1" si="996"/>
        <v xml:space="preserve">Enter a 'Placed-In-Service Date' for  building 75 in cell J78.
</v>
      </c>
      <c r="G2775" s="9" t="str">
        <f t="shared" ca="1" si="977"/>
        <v xml:space="preserve">Enter a value for 'Number of Floors in the Tallest Building' in cell B60.
</v>
      </c>
      <c r="H2775" s="52" t="str">
        <f t="shared" ca="1" si="997"/>
        <v>Placed-In-Service Date</v>
      </c>
      <c r="I2775" s="52">
        <v>10</v>
      </c>
    </row>
    <row r="2776" spans="1:10" ht="15" customHeight="1">
      <c r="A2776" t="str">
        <f t="shared" ca="1" si="992"/>
        <v/>
      </c>
      <c r="B2776">
        <f t="shared" si="993"/>
        <v>78</v>
      </c>
      <c r="C2776">
        <f t="shared" ca="1" si="979"/>
        <v>75</v>
      </c>
      <c r="D2776" t="str">
        <f t="shared" si="994"/>
        <v>K78</v>
      </c>
      <c r="E2776" t="str">
        <f t="shared" ca="1" si="995"/>
        <v/>
      </c>
      <c r="F2776" t="str">
        <f t="shared" ca="1" si="996"/>
        <v xml:space="preserve">Enter a 'New Construction/ Rehab APR' for  building 75 in cell K78.
</v>
      </c>
      <c r="G2776" s="9" t="str">
        <f t="shared" ca="1" si="977"/>
        <v xml:space="preserve">Enter a value for 'Number of Floors in the Tallest Building' in cell B60.
</v>
      </c>
      <c r="H2776" s="52" t="str">
        <f t="shared" ca="1" si="997"/>
        <v>New Construction/ Rehab APR</v>
      </c>
      <c r="I2776" s="52">
        <v>11</v>
      </c>
    </row>
    <row r="2777" spans="1:10" ht="15" customHeight="1">
      <c r="A2777" t="str">
        <f t="shared" ca="1" si="992"/>
        <v/>
      </c>
      <c r="B2777">
        <f t="shared" si="993"/>
        <v>78</v>
      </c>
      <c r="C2777">
        <f t="shared" ca="1" si="979"/>
        <v>75</v>
      </c>
      <c r="D2777" t="str">
        <f t="shared" si="994"/>
        <v>L78</v>
      </c>
      <c r="E2777" t="str">
        <f t="shared" ca="1" si="995"/>
        <v/>
      </c>
      <c r="F2777" t="str">
        <f t="shared" ca="1" si="996"/>
        <v xml:space="preserve">Enter a 'New Construction Eligible Basis' for  building 75 in cell L78.
</v>
      </c>
      <c r="G2777" s="9" t="str">
        <f t="shared" ca="1" si="977"/>
        <v xml:space="preserve">Enter a value for 'Number of Floors in the Tallest Building' in cell B60.
</v>
      </c>
      <c r="H2777" s="52" t="str">
        <f t="shared" ca="1" si="997"/>
        <v>New Construction Eligible Basis</v>
      </c>
      <c r="I2777" s="52">
        <v>12</v>
      </c>
    </row>
    <row r="2778" spans="1:10" ht="15" customHeight="1">
      <c r="A2778" t="str">
        <f ca="1">IF(AND(OFFSET(A2778, -I2778 + 2, 4) &gt;  0, E2778="", Calculations!$B$7), F2778, "")</f>
        <v/>
      </c>
      <c r="B2778">
        <f t="shared" si="993"/>
        <v>78</v>
      </c>
      <c r="C2778">
        <f t="shared" ca="1" si="979"/>
        <v>75</v>
      </c>
      <c r="D2778" t="str">
        <f t="shared" si="994"/>
        <v>M78</v>
      </c>
      <c r="E2778" t="str">
        <f t="shared" ca="1" si="995"/>
        <v/>
      </c>
      <c r="F2778" t="str">
        <f t="shared" ca="1" si="996"/>
        <v xml:space="preserve">Enter a 'Eligible Basis for Rehab' for  building 75 in cell M78.
</v>
      </c>
      <c r="G2778" s="9" t="str">
        <f t="shared" ca="1" si="977"/>
        <v xml:space="preserve">Enter a value for 'Number of Floors in the Tallest Building' in cell B60.
</v>
      </c>
      <c r="H2778" s="52" t="str">
        <f t="shared" ca="1" si="997"/>
        <v>Eligible Basis for Rehab</v>
      </c>
      <c r="I2778" s="52">
        <v>13</v>
      </c>
    </row>
    <row r="2779" spans="1:10" ht="15" customHeight="1">
      <c r="A2779" t="str">
        <f ca="1">IF(AND(OFFSET(A2779, -I2779 + 2, 4) &gt;  0, E2779="", Calculations!$B$7), F2779, "")</f>
        <v/>
      </c>
      <c r="B2779">
        <f t="shared" si="993"/>
        <v>78</v>
      </c>
      <c r="C2779">
        <f t="shared" ca="1" si="979"/>
        <v>75</v>
      </c>
      <c r="D2779" t="str">
        <f t="shared" si="994"/>
        <v>N78</v>
      </c>
      <c r="E2779" t="str">
        <f t="shared" ca="1" si="995"/>
        <v/>
      </c>
      <c r="F2779" t="str">
        <f t="shared" ca="1" si="996"/>
        <v xml:space="preserve">Enter a 'Cost of Acquiring the Building***' for  building 75 in cell N78.
</v>
      </c>
      <c r="G2779" s="9" t="str">
        <f t="shared" ca="1" si="977"/>
        <v xml:space="preserve">Enter a value for 'Number of Floors in the Tallest Building' in cell B60.
</v>
      </c>
      <c r="H2779" s="52" t="str">
        <f t="shared" ca="1" si="997"/>
        <v>Cost of Acquiring the Building***</v>
      </c>
      <c r="I2779" s="52">
        <v>14</v>
      </c>
    </row>
    <row r="2780" spans="1:10" ht="15" customHeight="1">
      <c r="A2780" t="str">
        <f ca="1">IF(AND(OFFSET(A2780, -I2780 + 2, 4) &gt;  0, E2780="", Calculations!$B$7), F2780, "")</f>
        <v/>
      </c>
      <c r="B2780">
        <f t="shared" si="993"/>
        <v>78</v>
      </c>
      <c r="C2780">
        <f t="shared" ca="1" si="979"/>
        <v>75</v>
      </c>
      <c r="D2780" t="str">
        <f t="shared" si="994"/>
        <v>O78</v>
      </c>
      <c r="E2780" t="str">
        <f t="shared" ca="1" si="995"/>
        <v/>
      </c>
      <c r="F2780" t="str">
        <f t="shared" ca="1" si="996"/>
        <v xml:space="preserve">Enter a 'Higher of Land Purchase Price or Land Appraised Value****' for  building 75 in cell O78.
</v>
      </c>
      <c r="G2780" s="9" t="str">
        <f t="shared" ca="1" si="977"/>
        <v xml:space="preserve">Enter a value for 'Number of Floors in the Tallest Building' in cell B60.
</v>
      </c>
      <c r="H2780" s="52" t="str">
        <f t="shared" ca="1" si="997"/>
        <v>Higher of Land Purchase Price or Land Appraised Value****</v>
      </c>
      <c r="I2780" s="52">
        <v>15</v>
      </c>
    </row>
    <row r="2781" spans="1:10" ht="15" customHeight="1">
      <c r="A2781" t="str">
        <f ca="1">IF(AND(OFFSET(A2781, -I2781 + 2, 4) &gt;  0, E2781="", Calculations!$B$7), F2781, "")</f>
        <v/>
      </c>
      <c r="B2781">
        <f t="shared" si="993"/>
        <v>78</v>
      </c>
      <c r="C2781">
        <f t="shared" ca="1" si="979"/>
        <v>75</v>
      </c>
      <c r="D2781" t="str">
        <f t="shared" si="994"/>
        <v>P78</v>
      </c>
      <c r="E2781" t="str">
        <f t="shared" ca="1" si="995"/>
        <v/>
      </c>
      <c r="F2781" t="str">
        <f t="shared" ca="1" si="996"/>
        <v xml:space="preserve">Enter a 'Acquisition Placed-in-Service Date' for  building 75 in cell P78.
</v>
      </c>
      <c r="G2781" s="9" t="str">
        <f t="shared" ca="1" si="977"/>
        <v xml:space="preserve">Enter a value for 'Number of Floors in the Tallest Building' in cell B60.
</v>
      </c>
      <c r="H2781" s="52" t="str">
        <f t="shared" ca="1" si="997"/>
        <v>Acquisition Placed-in-Service Date</v>
      </c>
      <c r="I2781" s="52">
        <v>16</v>
      </c>
    </row>
    <row r="2782" spans="1:10" ht="15" customHeight="1">
      <c r="A2782" t="str">
        <f ca="1">IF(AND(OFFSET(A2782, -I2782 + 2, 4) &gt;  0, E2782="", Calculations!$B$7), F2782, "")</f>
        <v/>
      </c>
      <c r="B2782">
        <f t="shared" si="993"/>
        <v>78</v>
      </c>
      <c r="C2782">
        <f t="shared" ca="1" si="979"/>
        <v>75</v>
      </c>
      <c r="D2782" t="str">
        <f t="shared" si="994"/>
        <v>Q78</v>
      </c>
      <c r="E2782" t="str">
        <f t="shared" ca="1" si="995"/>
        <v/>
      </c>
      <c r="F2782" t="str">
        <f t="shared" ca="1" si="996"/>
        <v xml:space="preserve">Enter a 'Acquisition APR' for  building 75 in cell Q78.
</v>
      </c>
      <c r="G2782" s="9" t="str">
        <f t="shared" ca="1" si="977"/>
        <v xml:space="preserve">Enter a value for 'Number of Floors in the Tallest Building' in cell B60.
</v>
      </c>
      <c r="H2782" s="52" t="str">
        <f t="shared" ca="1" si="997"/>
        <v>Acquisition APR</v>
      </c>
      <c r="I2782" s="52">
        <v>17</v>
      </c>
    </row>
    <row r="2783" spans="1:10" ht="15" customHeight="1">
      <c r="A2783" t="str">
        <f ca="1">IF(AND(Calculations!$B$4,Calculations!$B$29&gt;=C2783, E2783 &lt;&gt; 13),F2783,"")</f>
        <v/>
      </c>
      <c r="B2783">
        <f>ROW('Final Building Profile'!C79)</f>
        <v>79</v>
      </c>
      <c r="C2783">
        <f t="shared" ca="1" si="979"/>
        <v>76</v>
      </c>
      <c r="D2783" t="str">
        <f>ADDRESS(B2783, 3,4  )</f>
        <v>C79</v>
      </c>
      <c r="E2783" s="52">
        <f ca="1">H2783+I2783</f>
        <v>0</v>
      </c>
      <c r="F2783" t="str">
        <f ca="1">CONCATENATE("Based upon the number of buildings specified, information for  building ", C2783, " required for a final application in row ", B2783, ".", CHAR(10))</f>
        <v xml:space="preserve">Based upon the number of buildings specified, information for  building 76 required for a final application in row 79.
</v>
      </c>
      <c r="G2783" s="9" t="str">
        <f t="shared" ca="1" si="977"/>
        <v xml:space="preserve">Enter a value for 'Number of Floors in the Tallest Building' in cell B60.
</v>
      </c>
      <c r="H2783" s="52">
        <f ca="1">SUMPRODUCT(--ISTEXT(INDIRECT(J2783)))</f>
        <v>0</v>
      </c>
      <c r="I2783" s="52">
        <f ca="1">SUMPRODUCT(--ISNUMBER(INDIRECT(J2783)))</f>
        <v>0</v>
      </c>
      <c r="J2783" s="52" t="str">
        <f>$F$1565&amp; ADDRESS(B2783,3,4) &amp; ":" &amp; ADDRESS(B2783,15,4)</f>
        <v>'Final Building Profile'!C79:O79</v>
      </c>
    </row>
    <row r="2784" spans="1:10" ht="15" customHeight="1">
      <c r="A2784" t="str">
        <f t="shared" ref="A2784:A2793" ca="1" si="998">IF(AND(OFFSET(A2784, -I2784 + 2, 4) &gt;  0, E2784=""), F2784, "")</f>
        <v/>
      </c>
      <c r="B2784">
        <f t="shared" ref="B2784:B2798" si="999">B2783</f>
        <v>79</v>
      </c>
      <c r="C2784">
        <f t="shared" ca="1" si="979"/>
        <v>76</v>
      </c>
      <c r="D2784" t="str">
        <f t="shared" ref="D2784:D2798" si="1000">ADDRESS(B2784, I2784,4  )</f>
        <v>C79</v>
      </c>
      <c r="E2784" t="str">
        <f t="shared" ref="E2784:E2798" ca="1" si="1001">IF(ISBLANK( INDIRECT($F$1565 &amp; D2784)),"", INDIRECT($F$1565 &amp; D2784))</f>
        <v/>
      </c>
      <c r="F2784" t="str">
        <f t="shared" ref="F2784:F2798" ca="1" si="1002">CONCATENATE("Enter a '"&amp; H2784 &amp;"' for  building ", C2784, " in cell ", D2784, ".", CHAR(10))</f>
        <v xml:space="preserve">Enter a 'Building Street Address Only 
(DO NOT ENTER CITY, STATE, OR ZIP)' for  building 76 in cell C79.
</v>
      </c>
      <c r="G2784" s="9" t="str">
        <f t="shared" ref="G2784:G2847" ca="1" si="1003">OFFSET(G2784, -1, 0) &amp; A2784</f>
        <v xml:space="preserve">Enter a value for 'Number of Floors in the Tallest Building' in cell B60.
</v>
      </c>
      <c r="H2784" s="52" t="str">
        <f t="shared" ref="H2784:H2798" ca="1" si="1004">OFFSET(INDIRECT($F$1565 &amp; D2784), -B2784 + 3, 0)</f>
        <v>Building Street Address Only 
(DO NOT ENTER CITY, STATE, OR ZIP)</v>
      </c>
      <c r="I2784" s="52">
        <v>3</v>
      </c>
    </row>
    <row r="2785" spans="1:10" ht="15" customHeight="1">
      <c r="A2785" t="str">
        <f t="shared" ca="1" si="998"/>
        <v/>
      </c>
      <c r="B2785">
        <f t="shared" si="999"/>
        <v>79</v>
      </c>
      <c r="C2785">
        <f t="shared" ca="1" si="979"/>
        <v>76</v>
      </c>
      <c r="D2785" t="str">
        <f t="shared" si="1000"/>
        <v>D79</v>
      </c>
      <c r="E2785" t="str">
        <f t="shared" ca="1" si="1001"/>
        <v/>
      </c>
      <c r="F2785" t="str">
        <f t="shared" ca="1" si="1002"/>
        <v xml:space="preserve">Enter a 'Total Units in Building*' for  building 76 in cell D79.
</v>
      </c>
      <c r="G2785" s="9" t="str">
        <f t="shared" ca="1" si="1003"/>
        <v xml:space="preserve">Enter a value for 'Number of Floors in the Tallest Building' in cell B60.
</v>
      </c>
      <c r="H2785" s="52" t="str">
        <f t="shared" ca="1" si="1004"/>
        <v>Total Units in Building*</v>
      </c>
      <c r="I2785" s="52">
        <v>4</v>
      </c>
    </row>
    <row r="2786" spans="1:10" ht="15" customHeight="1">
      <c r="A2786" t="str">
        <f t="shared" ca="1" si="998"/>
        <v/>
      </c>
      <c r="B2786">
        <f t="shared" si="999"/>
        <v>79</v>
      </c>
      <c r="C2786">
        <f t="shared" ca="1" si="979"/>
        <v>76</v>
      </c>
      <c r="D2786" t="str">
        <f t="shared" si="1000"/>
        <v>E79</v>
      </c>
      <c r="E2786" t="str">
        <f t="shared" ca="1" si="1001"/>
        <v/>
      </c>
      <c r="F2786" t="str">
        <f t="shared" ca="1" si="1002"/>
        <v xml:space="preserve">Enter a 'Employee Units' for  building 76 in cell E79.
</v>
      </c>
      <c r="G2786" s="9" t="str">
        <f t="shared" ca="1" si="1003"/>
        <v xml:space="preserve">Enter a value for 'Number of Floors in the Tallest Building' in cell B60.
</v>
      </c>
      <c r="H2786" s="52" t="str">
        <f t="shared" ca="1" si="1004"/>
        <v>Employee Units</v>
      </c>
      <c r="I2786" s="52">
        <v>5</v>
      </c>
    </row>
    <row r="2787" spans="1:10" ht="15" customHeight="1">
      <c r="A2787" t="str">
        <f t="shared" ca="1" si="998"/>
        <v/>
      </c>
      <c r="B2787">
        <f t="shared" si="999"/>
        <v>79</v>
      </c>
      <c r="C2787">
        <f t="shared" ca="1" si="979"/>
        <v>76</v>
      </c>
      <c r="D2787" t="str">
        <f t="shared" si="1000"/>
        <v>F79</v>
      </c>
      <c r="E2787" t="str">
        <f t="shared" ca="1" si="1001"/>
        <v/>
      </c>
      <c r="F2787" t="str">
        <f t="shared" ca="1" si="1002"/>
        <v xml:space="preserve">Enter a 'Low-Income Units' for  building 76 in cell F79.
</v>
      </c>
      <c r="G2787" s="9" t="str">
        <f t="shared" ca="1" si="1003"/>
        <v xml:space="preserve">Enter a value for 'Number of Floors in the Tallest Building' in cell B60.
</v>
      </c>
      <c r="H2787" s="52" t="str">
        <f t="shared" ca="1" si="1004"/>
        <v>Low-Income Units</v>
      </c>
      <c r="I2787" s="52">
        <v>6</v>
      </c>
    </row>
    <row r="2788" spans="1:10" ht="15" customHeight="1">
      <c r="A2788" t="str">
        <f t="shared" ca="1" si="998"/>
        <v/>
      </c>
      <c r="B2788">
        <f t="shared" si="999"/>
        <v>79</v>
      </c>
      <c r="C2788">
        <f t="shared" ca="1" si="979"/>
        <v>76</v>
      </c>
      <c r="D2788" t="str">
        <f t="shared" si="1000"/>
        <v>G79</v>
      </c>
      <c r="E2788" t="str">
        <f t="shared" ca="1" si="1001"/>
        <v/>
      </c>
      <c r="F2788" t="str">
        <f t="shared" ca="1" si="1002"/>
        <v xml:space="preserve">Enter a 'Residential Square Footage**' for  building 76 in cell G79.
</v>
      </c>
      <c r="G2788" s="9" t="str">
        <f t="shared" ca="1" si="1003"/>
        <v xml:space="preserve">Enter a value for 'Number of Floors in the Tallest Building' in cell B60.
</v>
      </c>
      <c r="H2788" s="52" t="str">
        <f t="shared" ca="1" si="1004"/>
        <v>Residential Square Footage**</v>
      </c>
      <c r="I2788" s="52">
        <v>7</v>
      </c>
    </row>
    <row r="2789" spans="1:10" ht="15" customHeight="1">
      <c r="A2789" t="str">
        <f t="shared" ca="1" si="998"/>
        <v/>
      </c>
      <c r="B2789">
        <f t="shared" si="999"/>
        <v>79</v>
      </c>
      <c r="C2789">
        <f t="shared" ca="1" si="979"/>
        <v>76</v>
      </c>
      <c r="D2789" t="str">
        <f t="shared" si="1000"/>
        <v>H79</v>
      </c>
      <c r="E2789" t="str">
        <f t="shared" ca="1" si="1001"/>
        <v/>
      </c>
      <c r="F2789" t="str">
        <f t="shared" ca="1" si="1002"/>
        <v xml:space="preserve">Enter a 'Square Footage of Employee Units' for  building 76 in cell H79.
</v>
      </c>
      <c r="G2789" s="9" t="str">
        <f t="shared" ca="1" si="1003"/>
        <v xml:space="preserve">Enter a value for 'Number of Floors in the Tallest Building' in cell B60.
</v>
      </c>
      <c r="H2789" s="52" t="str">
        <f t="shared" ca="1" si="1004"/>
        <v>Square Footage of Employee Units</v>
      </c>
      <c r="I2789" s="52">
        <v>8</v>
      </c>
    </row>
    <row r="2790" spans="1:10" ht="15" customHeight="1">
      <c r="A2790" t="str">
        <f t="shared" ca="1" si="998"/>
        <v/>
      </c>
      <c r="B2790">
        <f t="shared" si="999"/>
        <v>79</v>
      </c>
      <c r="C2790">
        <f t="shared" ca="1" si="979"/>
        <v>76</v>
      </c>
      <c r="D2790" t="str">
        <f t="shared" si="1000"/>
        <v>I79</v>
      </c>
      <c r="E2790" t="str">
        <f t="shared" ca="1" si="1001"/>
        <v/>
      </c>
      <c r="F2790" t="str">
        <f t="shared" ca="1" si="1002"/>
        <v xml:space="preserve">Enter a 'Square Footage of Low-Income Units' for  building 76 in cell I79.
</v>
      </c>
      <c r="G2790" s="9" t="str">
        <f t="shared" ca="1" si="1003"/>
        <v xml:space="preserve">Enter a value for 'Number of Floors in the Tallest Building' in cell B60.
</v>
      </c>
      <c r="H2790" s="52" t="str">
        <f t="shared" ca="1" si="1004"/>
        <v>Square Footage of Low-Income Units</v>
      </c>
      <c r="I2790" s="52">
        <v>9</v>
      </c>
    </row>
    <row r="2791" spans="1:10" ht="15" customHeight="1">
      <c r="A2791" t="str">
        <f t="shared" ca="1" si="998"/>
        <v/>
      </c>
      <c r="B2791">
        <f t="shared" si="999"/>
        <v>79</v>
      </c>
      <c r="C2791">
        <f t="shared" ca="1" si="979"/>
        <v>76</v>
      </c>
      <c r="D2791" t="str">
        <f t="shared" si="1000"/>
        <v>J79</v>
      </c>
      <c r="E2791" t="str">
        <f t="shared" ca="1" si="1001"/>
        <v/>
      </c>
      <c r="F2791" t="str">
        <f t="shared" ca="1" si="1002"/>
        <v xml:space="preserve">Enter a 'Placed-In-Service Date' for  building 76 in cell J79.
</v>
      </c>
      <c r="G2791" s="9" t="str">
        <f t="shared" ca="1" si="1003"/>
        <v xml:space="preserve">Enter a value for 'Number of Floors in the Tallest Building' in cell B60.
</v>
      </c>
      <c r="H2791" s="52" t="str">
        <f t="shared" ca="1" si="1004"/>
        <v>Placed-In-Service Date</v>
      </c>
      <c r="I2791" s="52">
        <v>10</v>
      </c>
    </row>
    <row r="2792" spans="1:10" ht="15" customHeight="1">
      <c r="A2792" t="str">
        <f t="shared" ca="1" si="998"/>
        <v/>
      </c>
      <c r="B2792">
        <f t="shared" si="999"/>
        <v>79</v>
      </c>
      <c r="C2792">
        <f t="shared" ca="1" si="979"/>
        <v>76</v>
      </c>
      <c r="D2792" t="str">
        <f t="shared" si="1000"/>
        <v>K79</v>
      </c>
      <c r="E2792" t="str">
        <f t="shared" ca="1" si="1001"/>
        <v/>
      </c>
      <c r="F2792" t="str">
        <f t="shared" ca="1" si="1002"/>
        <v xml:space="preserve">Enter a 'New Construction/ Rehab APR' for  building 76 in cell K79.
</v>
      </c>
      <c r="G2792" s="9" t="str">
        <f t="shared" ca="1" si="1003"/>
        <v xml:space="preserve">Enter a value for 'Number of Floors in the Tallest Building' in cell B60.
</v>
      </c>
      <c r="H2792" s="52" t="str">
        <f t="shared" ca="1" si="1004"/>
        <v>New Construction/ Rehab APR</v>
      </c>
      <c r="I2792" s="52">
        <v>11</v>
      </c>
    </row>
    <row r="2793" spans="1:10" ht="15" customHeight="1">
      <c r="A2793" t="str">
        <f t="shared" ca="1" si="998"/>
        <v/>
      </c>
      <c r="B2793">
        <f t="shared" si="999"/>
        <v>79</v>
      </c>
      <c r="C2793">
        <f t="shared" ca="1" si="979"/>
        <v>76</v>
      </c>
      <c r="D2793" t="str">
        <f t="shared" si="1000"/>
        <v>L79</v>
      </c>
      <c r="E2793" t="str">
        <f t="shared" ca="1" si="1001"/>
        <v/>
      </c>
      <c r="F2793" t="str">
        <f t="shared" ca="1" si="1002"/>
        <v xml:space="preserve">Enter a 'New Construction Eligible Basis' for  building 76 in cell L79.
</v>
      </c>
      <c r="G2793" s="9" t="str">
        <f t="shared" ca="1" si="1003"/>
        <v xml:space="preserve">Enter a value for 'Number of Floors in the Tallest Building' in cell B60.
</v>
      </c>
      <c r="H2793" s="52" t="str">
        <f t="shared" ca="1" si="1004"/>
        <v>New Construction Eligible Basis</v>
      </c>
      <c r="I2793" s="52">
        <v>12</v>
      </c>
    </row>
    <row r="2794" spans="1:10" ht="15" customHeight="1">
      <c r="A2794" t="str">
        <f ca="1">IF(AND(OFFSET(A2794, -I2794 + 2, 4) &gt;  0, E2794="", Calculations!$B$7), F2794, "")</f>
        <v/>
      </c>
      <c r="B2794">
        <f t="shared" si="999"/>
        <v>79</v>
      </c>
      <c r="C2794">
        <f t="shared" ca="1" si="979"/>
        <v>76</v>
      </c>
      <c r="D2794" t="str">
        <f t="shared" si="1000"/>
        <v>M79</v>
      </c>
      <c r="E2794" t="str">
        <f t="shared" ca="1" si="1001"/>
        <v/>
      </c>
      <c r="F2794" t="str">
        <f t="shared" ca="1" si="1002"/>
        <v xml:space="preserve">Enter a 'Eligible Basis for Rehab' for  building 76 in cell M79.
</v>
      </c>
      <c r="G2794" s="9" t="str">
        <f t="shared" ca="1" si="1003"/>
        <v xml:space="preserve">Enter a value for 'Number of Floors in the Tallest Building' in cell B60.
</v>
      </c>
      <c r="H2794" s="52" t="str">
        <f t="shared" ca="1" si="1004"/>
        <v>Eligible Basis for Rehab</v>
      </c>
      <c r="I2794" s="52">
        <v>13</v>
      </c>
    </row>
    <row r="2795" spans="1:10" ht="15" customHeight="1">
      <c r="A2795" t="str">
        <f ca="1">IF(AND(OFFSET(A2795, -I2795 + 2, 4) &gt;  0, E2795="", Calculations!$B$7), F2795, "")</f>
        <v/>
      </c>
      <c r="B2795">
        <f t="shared" si="999"/>
        <v>79</v>
      </c>
      <c r="C2795">
        <f t="shared" ca="1" si="979"/>
        <v>76</v>
      </c>
      <c r="D2795" t="str">
        <f t="shared" si="1000"/>
        <v>N79</v>
      </c>
      <c r="E2795" t="str">
        <f t="shared" ca="1" si="1001"/>
        <v/>
      </c>
      <c r="F2795" t="str">
        <f t="shared" ca="1" si="1002"/>
        <v xml:space="preserve">Enter a 'Cost of Acquiring the Building***' for  building 76 in cell N79.
</v>
      </c>
      <c r="G2795" s="9" t="str">
        <f t="shared" ca="1" si="1003"/>
        <v xml:space="preserve">Enter a value for 'Number of Floors in the Tallest Building' in cell B60.
</v>
      </c>
      <c r="H2795" s="52" t="str">
        <f t="shared" ca="1" si="1004"/>
        <v>Cost of Acquiring the Building***</v>
      </c>
      <c r="I2795" s="52">
        <v>14</v>
      </c>
    </row>
    <row r="2796" spans="1:10" ht="15" customHeight="1">
      <c r="A2796" t="str">
        <f ca="1">IF(AND(OFFSET(A2796, -I2796 + 2, 4) &gt;  0, E2796="", Calculations!$B$7), F2796, "")</f>
        <v/>
      </c>
      <c r="B2796">
        <f t="shared" si="999"/>
        <v>79</v>
      </c>
      <c r="C2796">
        <f t="shared" ca="1" si="979"/>
        <v>76</v>
      </c>
      <c r="D2796" t="str">
        <f t="shared" si="1000"/>
        <v>O79</v>
      </c>
      <c r="E2796" t="str">
        <f t="shared" ca="1" si="1001"/>
        <v/>
      </c>
      <c r="F2796" t="str">
        <f t="shared" ca="1" si="1002"/>
        <v xml:space="preserve">Enter a 'Higher of Land Purchase Price or Land Appraised Value****' for  building 76 in cell O79.
</v>
      </c>
      <c r="G2796" s="9" t="str">
        <f t="shared" ca="1" si="1003"/>
        <v xml:space="preserve">Enter a value for 'Number of Floors in the Tallest Building' in cell B60.
</v>
      </c>
      <c r="H2796" s="52" t="str">
        <f t="shared" ca="1" si="1004"/>
        <v>Higher of Land Purchase Price or Land Appraised Value****</v>
      </c>
      <c r="I2796" s="52">
        <v>15</v>
      </c>
    </row>
    <row r="2797" spans="1:10" ht="15" customHeight="1">
      <c r="A2797" t="str">
        <f ca="1">IF(AND(OFFSET(A2797, -I2797 + 2, 4) &gt;  0, E2797="", Calculations!$B$7), F2797, "")</f>
        <v/>
      </c>
      <c r="B2797">
        <f t="shared" si="999"/>
        <v>79</v>
      </c>
      <c r="C2797">
        <f t="shared" ca="1" si="979"/>
        <v>76</v>
      </c>
      <c r="D2797" t="str">
        <f t="shared" si="1000"/>
        <v>P79</v>
      </c>
      <c r="E2797" t="str">
        <f t="shared" ca="1" si="1001"/>
        <v/>
      </c>
      <c r="F2797" t="str">
        <f t="shared" ca="1" si="1002"/>
        <v xml:space="preserve">Enter a 'Acquisition Placed-in-Service Date' for  building 76 in cell P79.
</v>
      </c>
      <c r="G2797" s="9" t="str">
        <f t="shared" ca="1" si="1003"/>
        <v xml:space="preserve">Enter a value for 'Number of Floors in the Tallest Building' in cell B60.
</v>
      </c>
      <c r="H2797" s="52" t="str">
        <f t="shared" ca="1" si="1004"/>
        <v>Acquisition Placed-in-Service Date</v>
      </c>
      <c r="I2797" s="52">
        <v>16</v>
      </c>
    </row>
    <row r="2798" spans="1:10" ht="15" customHeight="1">
      <c r="A2798" t="str">
        <f ca="1">IF(AND(OFFSET(A2798, -I2798 + 2, 4) &gt;  0, E2798="", Calculations!$B$7), F2798, "")</f>
        <v/>
      </c>
      <c r="B2798">
        <f t="shared" si="999"/>
        <v>79</v>
      </c>
      <c r="C2798">
        <f t="shared" ca="1" si="979"/>
        <v>76</v>
      </c>
      <c r="D2798" t="str">
        <f t="shared" si="1000"/>
        <v>Q79</v>
      </c>
      <c r="E2798" t="str">
        <f t="shared" ca="1" si="1001"/>
        <v/>
      </c>
      <c r="F2798" t="str">
        <f t="shared" ca="1" si="1002"/>
        <v xml:space="preserve">Enter a 'Acquisition APR' for  building 76 in cell Q79.
</v>
      </c>
      <c r="G2798" s="9" t="str">
        <f t="shared" ca="1" si="1003"/>
        <v xml:space="preserve">Enter a value for 'Number of Floors in the Tallest Building' in cell B60.
</v>
      </c>
      <c r="H2798" s="52" t="str">
        <f t="shared" ca="1" si="1004"/>
        <v>Acquisition APR</v>
      </c>
      <c r="I2798" s="52">
        <v>17</v>
      </c>
    </row>
    <row r="2799" spans="1:10" ht="15" customHeight="1">
      <c r="A2799" t="str">
        <f ca="1">IF(AND(Calculations!$B$4,Calculations!$B$29&gt;=C2799, E2799 &lt;&gt; 13),F2799,"")</f>
        <v/>
      </c>
      <c r="B2799">
        <f>ROW('Final Building Profile'!C80)</f>
        <v>80</v>
      </c>
      <c r="C2799">
        <f t="shared" ref="C2799:C2862" ca="1" si="1005">INDIRECT($F$1565 &amp; ADDRESS(B2799, 1,4  ))</f>
        <v>77</v>
      </c>
      <c r="D2799" t="str">
        <f>ADDRESS(B2799, 3,4  )</f>
        <v>C80</v>
      </c>
      <c r="E2799" s="52">
        <f ca="1">H2799+I2799</f>
        <v>0</v>
      </c>
      <c r="F2799" t="str">
        <f ca="1">CONCATENATE("Based upon the number of buildings specified, information for  building ", C2799, " required for a final application in row ", B2799, ".", CHAR(10))</f>
        <v xml:space="preserve">Based upon the number of buildings specified, information for  building 77 required for a final application in row 80.
</v>
      </c>
      <c r="G2799" s="9" t="str">
        <f t="shared" ca="1" si="1003"/>
        <v xml:space="preserve">Enter a value for 'Number of Floors in the Tallest Building' in cell B60.
</v>
      </c>
      <c r="H2799" s="52">
        <f ca="1">SUMPRODUCT(--ISTEXT(INDIRECT(J2799)))</f>
        <v>0</v>
      </c>
      <c r="I2799" s="52">
        <f ca="1">SUMPRODUCT(--ISNUMBER(INDIRECT(J2799)))</f>
        <v>0</v>
      </c>
      <c r="J2799" s="52" t="str">
        <f>$F$1565&amp; ADDRESS(B2799,3,4) &amp; ":" &amp; ADDRESS(B2799,15,4)</f>
        <v>'Final Building Profile'!C80:O80</v>
      </c>
    </row>
    <row r="2800" spans="1:10" ht="15" customHeight="1">
      <c r="A2800" t="str">
        <f t="shared" ref="A2800:A2809" ca="1" si="1006">IF(AND(OFFSET(A2800, -I2800 + 2, 4) &gt;  0, E2800=""), F2800, "")</f>
        <v/>
      </c>
      <c r="B2800">
        <f t="shared" ref="B2800:B2814" si="1007">B2799</f>
        <v>80</v>
      </c>
      <c r="C2800">
        <f t="shared" ca="1" si="1005"/>
        <v>77</v>
      </c>
      <c r="D2800" t="str">
        <f t="shared" ref="D2800:D2814" si="1008">ADDRESS(B2800, I2800,4  )</f>
        <v>C80</v>
      </c>
      <c r="E2800" t="str">
        <f t="shared" ref="E2800:E2814" ca="1" si="1009">IF(ISBLANK( INDIRECT($F$1565 &amp; D2800)),"", INDIRECT($F$1565 &amp; D2800))</f>
        <v/>
      </c>
      <c r="F2800" t="str">
        <f t="shared" ref="F2800:F2814" ca="1" si="1010">CONCATENATE("Enter a '"&amp; H2800 &amp;"' for  building ", C2800, " in cell ", D2800, ".", CHAR(10))</f>
        <v xml:space="preserve">Enter a 'Building Street Address Only 
(DO NOT ENTER CITY, STATE, OR ZIP)' for  building 77 in cell C80.
</v>
      </c>
      <c r="G2800" s="9" t="str">
        <f t="shared" ca="1" si="1003"/>
        <v xml:space="preserve">Enter a value for 'Number of Floors in the Tallest Building' in cell B60.
</v>
      </c>
      <c r="H2800" s="52" t="str">
        <f t="shared" ref="H2800:H2814" ca="1" si="1011">OFFSET(INDIRECT($F$1565 &amp; D2800), -B2800 + 3, 0)</f>
        <v>Building Street Address Only 
(DO NOT ENTER CITY, STATE, OR ZIP)</v>
      </c>
      <c r="I2800" s="52">
        <v>3</v>
      </c>
    </row>
    <row r="2801" spans="1:10" ht="15" customHeight="1">
      <c r="A2801" t="str">
        <f t="shared" ca="1" si="1006"/>
        <v/>
      </c>
      <c r="B2801">
        <f t="shared" si="1007"/>
        <v>80</v>
      </c>
      <c r="C2801">
        <f t="shared" ca="1" si="1005"/>
        <v>77</v>
      </c>
      <c r="D2801" t="str">
        <f t="shared" si="1008"/>
        <v>D80</v>
      </c>
      <c r="E2801" t="str">
        <f t="shared" ca="1" si="1009"/>
        <v/>
      </c>
      <c r="F2801" t="str">
        <f t="shared" ca="1" si="1010"/>
        <v xml:space="preserve">Enter a 'Total Units in Building*' for  building 77 in cell D80.
</v>
      </c>
      <c r="G2801" s="9" t="str">
        <f t="shared" ca="1" si="1003"/>
        <v xml:space="preserve">Enter a value for 'Number of Floors in the Tallest Building' in cell B60.
</v>
      </c>
      <c r="H2801" s="52" t="str">
        <f t="shared" ca="1" si="1011"/>
        <v>Total Units in Building*</v>
      </c>
      <c r="I2801" s="52">
        <v>4</v>
      </c>
    </row>
    <row r="2802" spans="1:10" ht="15" customHeight="1">
      <c r="A2802" t="str">
        <f t="shared" ca="1" si="1006"/>
        <v/>
      </c>
      <c r="B2802">
        <f t="shared" si="1007"/>
        <v>80</v>
      </c>
      <c r="C2802">
        <f t="shared" ca="1" si="1005"/>
        <v>77</v>
      </c>
      <c r="D2802" t="str">
        <f t="shared" si="1008"/>
        <v>E80</v>
      </c>
      <c r="E2802" t="str">
        <f t="shared" ca="1" si="1009"/>
        <v/>
      </c>
      <c r="F2802" t="str">
        <f t="shared" ca="1" si="1010"/>
        <v xml:space="preserve">Enter a 'Employee Units' for  building 77 in cell E80.
</v>
      </c>
      <c r="G2802" s="9" t="str">
        <f t="shared" ca="1" si="1003"/>
        <v xml:space="preserve">Enter a value for 'Number of Floors in the Tallest Building' in cell B60.
</v>
      </c>
      <c r="H2802" s="52" t="str">
        <f t="shared" ca="1" si="1011"/>
        <v>Employee Units</v>
      </c>
      <c r="I2802" s="52">
        <v>5</v>
      </c>
    </row>
    <row r="2803" spans="1:10" ht="15" customHeight="1">
      <c r="A2803" t="str">
        <f t="shared" ca="1" si="1006"/>
        <v/>
      </c>
      <c r="B2803">
        <f t="shared" si="1007"/>
        <v>80</v>
      </c>
      <c r="C2803">
        <f t="shared" ca="1" si="1005"/>
        <v>77</v>
      </c>
      <c r="D2803" t="str">
        <f t="shared" si="1008"/>
        <v>F80</v>
      </c>
      <c r="E2803" t="str">
        <f t="shared" ca="1" si="1009"/>
        <v/>
      </c>
      <c r="F2803" t="str">
        <f t="shared" ca="1" si="1010"/>
        <v xml:space="preserve">Enter a 'Low-Income Units' for  building 77 in cell F80.
</v>
      </c>
      <c r="G2803" s="9" t="str">
        <f t="shared" ca="1" si="1003"/>
        <v xml:space="preserve">Enter a value for 'Number of Floors in the Tallest Building' in cell B60.
</v>
      </c>
      <c r="H2803" s="52" t="str">
        <f t="shared" ca="1" si="1011"/>
        <v>Low-Income Units</v>
      </c>
      <c r="I2803" s="52">
        <v>6</v>
      </c>
    </row>
    <row r="2804" spans="1:10" ht="15" customHeight="1">
      <c r="A2804" t="str">
        <f t="shared" ca="1" si="1006"/>
        <v/>
      </c>
      <c r="B2804">
        <f t="shared" si="1007"/>
        <v>80</v>
      </c>
      <c r="C2804">
        <f t="shared" ca="1" si="1005"/>
        <v>77</v>
      </c>
      <c r="D2804" t="str">
        <f t="shared" si="1008"/>
        <v>G80</v>
      </c>
      <c r="E2804" t="str">
        <f t="shared" ca="1" si="1009"/>
        <v/>
      </c>
      <c r="F2804" t="str">
        <f t="shared" ca="1" si="1010"/>
        <v xml:space="preserve">Enter a 'Residential Square Footage**' for  building 77 in cell G80.
</v>
      </c>
      <c r="G2804" s="9" t="str">
        <f t="shared" ca="1" si="1003"/>
        <v xml:space="preserve">Enter a value for 'Number of Floors in the Tallest Building' in cell B60.
</v>
      </c>
      <c r="H2804" s="52" t="str">
        <f t="shared" ca="1" si="1011"/>
        <v>Residential Square Footage**</v>
      </c>
      <c r="I2804" s="52">
        <v>7</v>
      </c>
    </row>
    <row r="2805" spans="1:10" ht="15" customHeight="1">
      <c r="A2805" t="str">
        <f t="shared" ca="1" si="1006"/>
        <v/>
      </c>
      <c r="B2805">
        <f t="shared" si="1007"/>
        <v>80</v>
      </c>
      <c r="C2805">
        <f t="shared" ca="1" si="1005"/>
        <v>77</v>
      </c>
      <c r="D2805" t="str">
        <f t="shared" si="1008"/>
        <v>H80</v>
      </c>
      <c r="E2805" t="str">
        <f t="shared" ca="1" si="1009"/>
        <v/>
      </c>
      <c r="F2805" t="str">
        <f t="shared" ca="1" si="1010"/>
        <v xml:space="preserve">Enter a 'Square Footage of Employee Units' for  building 77 in cell H80.
</v>
      </c>
      <c r="G2805" s="9" t="str">
        <f t="shared" ca="1" si="1003"/>
        <v xml:space="preserve">Enter a value for 'Number of Floors in the Tallest Building' in cell B60.
</v>
      </c>
      <c r="H2805" s="52" t="str">
        <f t="shared" ca="1" si="1011"/>
        <v>Square Footage of Employee Units</v>
      </c>
      <c r="I2805" s="52">
        <v>8</v>
      </c>
    </row>
    <row r="2806" spans="1:10" ht="15" customHeight="1">
      <c r="A2806" t="str">
        <f t="shared" ca="1" si="1006"/>
        <v/>
      </c>
      <c r="B2806">
        <f t="shared" si="1007"/>
        <v>80</v>
      </c>
      <c r="C2806">
        <f t="shared" ca="1" si="1005"/>
        <v>77</v>
      </c>
      <c r="D2806" t="str">
        <f t="shared" si="1008"/>
        <v>I80</v>
      </c>
      <c r="E2806" t="str">
        <f t="shared" ca="1" si="1009"/>
        <v/>
      </c>
      <c r="F2806" t="str">
        <f t="shared" ca="1" si="1010"/>
        <v xml:space="preserve">Enter a 'Square Footage of Low-Income Units' for  building 77 in cell I80.
</v>
      </c>
      <c r="G2806" s="9" t="str">
        <f t="shared" ca="1" si="1003"/>
        <v xml:space="preserve">Enter a value for 'Number of Floors in the Tallest Building' in cell B60.
</v>
      </c>
      <c r="H2806" s="52" t="str">
        <f t="shared" ca="1" si="1011"/>
        <v>Square Footage of Low-Income Units</v>
      </c>
      <c r="I2806" s="52">
        <v>9</v>
      </c>
    </row>
    <row r="2807" spans="1:10" ht="15" customHeight="1">
      <c r="A2807" t="str">
        <f t="shared" ca="1" si="1006"/>
        <v/>
      </c>
      <c r="B2807">
        <f t="shared" si="1007"/>
        <v>80</v>
      </c>
      <c r="C2807">
        <f t="shared" ca="1" si="1005"/>
        <v>77</v>
      </c>
      <c r="D2807" t="str">
        <f t="shared" si="1008"/>
        <v>J80</v>
      </c>
      <c r="E2807" t="str">
        <f t="shared" ca="1" si="1009"/>
        <v/>
      </c>
      <c r="F2807" t="str">
        <f t="shared" ca="1" si="1010"/>
        <v xml:space="preserve">Enter a 'Placed-In-Service Date' for  building 77 in cell J80.
</v>
      </c>
      <c r="G2807" s="9" t="str">
        <f t="shared" ca="1" si="1003"/>
        <v xml:space="preserve">Enter a value for 'Number of Floors in the Tallest Building' in cell B60.
</v>
      </c>
      <c r="H2807" s="52" t="str">
        <f t="shared" ca="1" si="1011"/>
        <v>Placed-In-Service Date</v>
      </c>
      <c r="I2807" s="52">
        <v>10</v>
      </c>
    </row>
    <row r="2808" spans="1:10" ht="15" customHeight="1">
      <c r="A2808" t="str">
        <f t="shared" ca="1" si="1006"/>
        <v/>
      </c>
      <c r="B2808">
        <f t="shared" si="1007"/>
        <v>80</v>
      </c>
      <c r="C2808">
        <f t="shared" ca="1" si="1005"/>
        <v>77</v>
      </c>
      <c r="D2808" t="str">
        <f t="shared" si="1008"/>
        <v>K80</v>
      </c>
      <c r="E2808" t="str">
        <f t="shared" ca="1" si="1009"/>
        <v/>
      </c>
      <c r="F2808" t="str">
        <f t="shared" ca="1" si="1010"/>
        <v xml:space="preserve">Enter a 'New Construction/ Rehab APR' for  building 77 in cell K80.
</v>
      </c>
      <c r="G2808" s="9" t="str">
        <f t="shared" ca="1" si="1003"/>
        <v xml:space="preserve">Enter a value for 'Number of Floors in the Tallest Building' in cell B60.
</v>
      </c>
      <c r="H2808" s="52" t="str">
        <f t="shared" ca="1" si="1011"/>
        <v>New Construction/ Rehab APR</v>
      </c>
      <c r="I2808" s="52">
        <v>11</v>
      </c>
    </row>
    <row r="2809" spans="1:10" ht="15" customHeight="1">
      <c r="A2809" t="str">
        <f t="shared" ca="1" si="1006"/>
        <v/>
      </c>
      <c r="B2809">
        <f t="shared" si="1007"/>
        <v>80</v>
      </c>
      <c r="C2809">
        <f t="shared" ca="1" si="1005"/>
        <v>77</v>
      </c>
      <c r="D2809" t="str">
        <f t="shared" si="1008"/>
        <v>L80</v>
      </c>
      <c r="E2809" t="str">
        <f t="shared" ca="1" si="1009"/>
        <v/>
      </c>
      <c r="F2809" t="str">
        <f t="shared" ca="1" si="1010"/>
        <v xml:space="preserve">Enter a 'New Construction Eligible Basis' for  building 77 in cell L80.
</v>
      </c>
      <c r="G2809" s="9" t="str">
        <f t="shared" ca="1" si="1003"/>
        <v xml:space="preserve">Enter a value for 'Number of Floors in the Tallest Building' in cell B60.
</v>
      </c>
      <c r="H2809" s="52" t="str">
        <f t="shared" ca="1" si="1011"/>
        <v>New Construction Eligible Basis</v>
      </c>
      <c r="I2809" s="52">
        <v>12</v>
      </c>
    </row>
    <row r="2810" spans="1:10" ht="15" customHeight="1">
      <c r="A2810" t="str">
        <f ca="1">IF(AND(OFFSET(A2810, -I2810 + 2, 4) &gt;  0, E2810="", Calculations!$B$7), F2810, "")</f>
        <v/>
      </c>
      <c r="B2810">
        <f t="shared" si="1007"/>
        <v>80</v>
      </c>
      <c r="C2810">
        <f t="shared" ca="1" si="1005"/>
        <v>77</v>
      </c>
      <c r="D2810" t="str">
        <f t="shared" si="1008"/>
        <v>M80</v>
      </c>
      <c r="E2810" t="str">
        <f t="shared" ca="1" si="1009"/>
        <v/>
      </c>
      <c r="F2810" t="str">
        <f t="shared" ca="1" si="1010"/>
        <v xml:space="preserve">Enter a 'Eligible Basis for Rehab' for  building 77 in cell M80.
</v>
      </c>
      <c r="G2810" s="9" t="str">
        <f t="shared" ca="1" si="1003"/>
        <v xml:space="preserve">Enter a value for 'Number of Floors in the Tallest Building' in cell B60.
</v>
      </c>
      <c r="H2810" s="52" t="str">
        <f t="shared" ca="1" si="1011"/>
        <v>Eligible Basis for Rehab</v>
      </c>
      <c r="I2810" s="52">
        <v>13</v>
      </c>
    </row>
    <row r="2811" spans="1:10" ht="15" customHeight="1">
      <c r="A2811" t="str">
        <f ca="1">IF(AND(OFFSET(A2811, -I2811 + 2, 4) &gt;  0, E2811="", Calculations!$B$7), F2811, "")</f>
        <v/>
      </c>
      <c r="B2811">
        <f t="shared" si="1007"/>
        <v>80</v>
      </c>
      <c r="C2811">
        <f t="shared" ca="1" si="1005"/>
        <v>77</v>
      </c>
      <c r="D2811" t="str">
        <f t="shared" si="1008"/>
        <v>N80</v>
      </c>
      <c r="E2811" t="str">
        <f t="shared" ca="1" si="1009"/>
        <v/>
      </c>
      <c r="F2811" t="str">
        <f t="shared" ca="1" si="1010"/>
        <v xml:space="preserve">Enter a 'Cost of Acquiring the Building***' for  building 77 in cell N80.
</v>
      </c>
      <c r="G2811" s="9" t="str">
        <f t="shared" ca="1" si="1003"/>
        <v xml:space="preserve">Enter a value for 'Number of Floors in the Tallest Building' in cell B60.
</v>
      </c>
      <c r="H2811" s="52" t="str">
        <f t="shared" ca="1" si="1011"/>
        <v>Cost of Acquiring the Building***</v>
      </c>
      <c r="I2811" s="52">
        <v>14</v>
      </c>
    </row>
    <row r="2812" spans="1:10" ht="15" customHeight="1">
      <c r="A2812" t="str">
        <f ca="1">IF(AND(OFFSET(A2812, -I2812 + 2, 4) &gt;  0, E2812="", Calculations!$B$7), F2812, "")</f>
        <v/>
      </c>
      <c r="B2812">
        <f t="shared" si="1007"/>
        <v>80</v>
      </c>
      <c r="C2812">
        <f t="shared" ca="1" si="1005"/>
        <v>77</v>
      </c>
      <c r="D2812" t="str">
        <f t="shared" si="1008"/>
        <v>O80</v>
      </c>
      <c r="E2812" t="str">
        <f t="shared" ca="1" si="1009"/>
        <v/>
      </c>
      <c r="F2812" t="str">
        <f t="shared" ca="1" si="1010"/>
        <v xml:space="preserve">Enter a 'Higher of Land Purchase Price or Land Appraised Value****' for  building 77 in cell O80.
</v>
      </c>
      <c r="G2812" s="9" t="str">
        <f t="shared" ca="1" si="1003"/>
        <v xml:space="preserve">Enter a value for 'Number of Floors in the Tallest Building' in cell B60.
</v>
      </c>
      <c r="H2812" s="52" t="str">
        <f t="shared" ca="1" si="1011"/>
        <v>Higher of Land Purchase Price or Land Appraised Value****</v>
      </c>
      <c r="I2812" s="52">
        <v>15</v>
      </c>
    </row>
    <row r="2813" spans="1:10" ht="15" customHeight="1">
      <c r="A2813" t="str">
        <f ca="1">IF(AND(OFFSET(A2813, -I2813 + 2, 4) &gt;  0, E2813="", Calculations!$B$7), F2813, "")</f>
        <v/>
      </c>
      <c r="B2813">
        <f t="shared" si="1007"/>
        <v>80</v>
      </c>
      <c r="C2813">
        <f t="shared" ca="1" si="1005"/>
        <v>77</v>
      </c>
      <c r="D2813" t="str">
        <f t="shared" si="1008"/>
        <v>P80</v>
      </c>
      <c r="E2813" t="str">
        <f t="shared" ca="1" si="1009"/>
        <v/>
      </c>
      <c r="F2813" t="str">
        <f t="shared" ca="1" si="1010"/>
        <v xml:space="preserve">Enter a 'Acquisition Placed-in-Service Date' for  building 77 in cell P80.
</v>
      </c>
      <c r="G2813" s="9" t="str">
        <f t="shared" ca="1" si="1003"/>
        <v xml:space="preserve">Enter a value for 'Number of Floors in the Tallest Building' in cell B60.
</v>
      </c>
      <c r="H2813" s="52" t="str">
        <f t="shared" ca="1" si="1011"/>
        <v>Acquisition Placed-in-Service Date</v>
      </c>
      <c r="I2813" s="52">
        <v>16</v>
      </c>
    </row>
    <row r="2814" spans="1:10" ht="15" customHeight="1">
      <c r="A2814" t="str">
        <f ca="1">IF(AND(OFFSET(A2814, -I2814 + 2, 4) &gt;  0, E2814="", Calculations!$B$7), F2814, "")</f>
        <v/>
      </c>
      <c r="B2814">
        <f t="shared" si="1007"/>
        <v>80</v>
      </c>
      <c r="C2814">
        <f t="shared" ca="1" si="1005"/>
        <v>77</v>
      </c>
      <c r="D2814" t="str">
        <f t="shared" si="1008"/>
        <v>Q80</v>
      </c>
      <c r="E2814" t="str">
        <f t="shared" ca="1" si="1009"/>
        <v/>
      </c>
      <c r="F2814" t="str">
        <f t="shared" ca="1" si="1010"/>
        <v xml:space="preserve">Enter a 'Acquisition APR' for  building 77 in cell Q80.
</v>
      </c>
      <c r="G2814" s="9" t="str">
        <f t="shared" ca="1" si="1003"/>
        <v xml:space="preserve">Enter a value for 'Number of Floors in the Tallest Building' in cell B60.
</v>
      </c>
      <c r="H2814" s="52" t="str">
        <f t="shared" ca="1" si="1011"/>
        <v>Acquisition APR</v>
      </c>
      <c r="I2814" s="52">
        <v>17</v>
      </c>
    </row>
    <row r="2815" spans="1:10" ht="15" customHeight="1">
      <c r="A2815" t="str">
        <f ca="1">IF(AND(Calculations!$B$4,Calculations!$B$29&gt;=C2815, E2815 &lt;&gt; 13),F2815,"")</f>
        <v/>
      </c>
      <c r="B2815">
        <f>ROW('Final Building Profile'!C81)</f>
        <v>81</v>
      </c>
      <c r="C2815">
        <f t="shared" ca="1" si="1005"/>
        <v>78</v>
      </c>
      <c r="D2815" t="str">
        <f>ADDRESS(B2815, 3,4  )</f>
        <v>C81</v>
      </c>
      <c r="E2815" s="52">
        <f ca="1">H2815+I2815</f>
        <v>0</v>
      </c>
      <c r="F2815" t="str">
        <f ca="1">CONCATENATE("Based upon the number of buildings specified, information for  building ", C2815, " required for a final application in row ", B2815, ".", CHAR(10))</f>
        <v xml:space="preserve">Based upon the number of buildings specified, information for  building 78 required for a final application in row 81.
</v>
      </c>
      <c r="G2815" s="9" t="str">
        <f t="shared" ca="1" si="1003"/>
        <v xml:space="preserve">Enter a value for 'Number of Floors in the Tallest Building' in cell B60.
</v>
      </c>
      <c r="H2815" s="52">
        <f ca="1">SUMPRODUCT(--ISTEXT(INDIRECT(J2815)))</f>
        <v>0</v>
      </c>
      <c r="I2815" s="52">
        <f ca="1">SUMPRODUCT(--ISNUMBER(INDIRECT(J2815)))</f>
        <v>0</v>
      </c>
      <c r="J2815" s="52" t="str">
        <f>$F$1565&amp; ADDRESS(B2815,3,4) &amp; ":" &amp; ADDRESS(B2815,15,4)</f>
        <v>'Final Building Profile'!C81:O81</v>
      </c>
    </row>
    <row r="2816" spans="1:10" ht="15" customHeight="1">
      <c r="A2816" t="str">
        <f t="shared" ref="A2816:A2825" ca="1" si="1012">IF(AND(OFFSET(A2816, -I2816 + 2, 4) &gt;  0, E2816=""), F2816, "")</f>
        <v/>
      </c>
      <c r="B2816">
        <f t="shared" ref="B2816:B2830" si="1013">B2815</f>
        <v>81</v>
      </c>
      <c r="C2816">
        <f t="shared" ca="1" si="1005"/>
        <v>78</v>
      </c>
      <c r="D2816" t="str">
        <f t="shared" ref="D2816:D2830" si="1014">ADDRESS(B2816, I2816,4  )</f>
        <v>C81</v>
      </c>
      <c r="E2816" t="str">
        <f t="shared" ref="E2816:E2830" ca="1" si="1015">IF(ISBLANK( INDIRECT($F$1565 &amp; D2816)),"", INDIRECT($F$1565 &amp; D2816))</f>
        <v/>
      </c>
      <c r="F2816" t="str">
        <f t="shared" ref="F2816:F2830" ca="1" si="1016">CONCATENATE("Enter a '"&amp; H2816 &amp;"' for  building ", C2816, " in cell ", D2816, ".", CHAR(10))</f>
        <v xml:space="preserve">Enter a 'Building Street Address Only 
(DO NOT ENTER CITY, STATE, OR ZIP)' for  building 78 in cell C81.
</v>
      </c>
      <c r="G2816" s="9" t="str">
        <f t="shared" ca="1" si="1003"/>
        <v xml:space="preserve">Enter a value for 'Number of Floors in the Tallest Building' in cell B60.
</v>
      </c>
      <c r="H2816" s="52" t="str">
        <f t="shared" ref="H2816:H2830" ca="1" si="1017">OFFSET(INDIRECT($F$1565 &amp; D2816), -B2816 + 3, 0)</f>
        <v>Building Street Address Only 
(DO NOT ENTER CITY, STATE, OR ZIP)</v>
      </c>
      <c r="I2816" s="52">
        <v>3</v>
      </c>
    </row>
    <row r="2817" spans="1:10" ht="15" customHeight="1">
      <c r="A2817" t="str">
        <f t="shared" ca="1" si="1012"/>
        <v/>
      </c>
      <c r="B2817">
        <f t="shared" si="1013"/>
        <v>81</v>
      </c>
      <c r="C2817">
        <f t="shared" ca="1" si="1005"/>
        <v>78</v>
      </c>
      <c r="D2817" t="str">
        <f t="shared" si="1014"/>
        <v>D81</v>
      </c>
      <c r="E2817" t="str">
        <f t="shared" ca="1" si="1015"/>
        <v/>
      </c>
      <c r="F2817" t="str">
        <f t="shared" ca="1" si="1016"/>
        <v xml:space="preserve">Enter a 'Total Units in Building*' for  building 78 in cell D81.
</v>
      </c>
      <c r="G2817" s="9" t="str">
        <f t="shared" ca="1" si="1003"/>
        <v xml:space="preserve">Enter a value for 'Number of Floors in the Tallest Building' in cell B60.
</v>
      </c>
      <c r="H2817" s="52" t="str">
        <f t="shared" ca="1" si="1017"/>
        <v>Total Units in Building*</v>
      </c>
      <c r="I2817" s="52">
        <v>4</v>
      </c>
    </row>
    <row r="2818" spans="1:10" ht="15" customHeight="1">
      <c r="A2818" t="str">
        <f t="shared" ca="1" si="1012"/>
        <v/>
      </c>
      <c r="B2818">
        <f t="shared" si="1013"/>
        <v>81</v>
      </c>
      <c r="C2818">
        <f t="shared" ca="1" si="1005"/>
        <v>78</v>
      </c>
      <c r="D2818" t="str">
        <f t="shared" si="1014"/>
        <v>E81</v>
      </c>
      <c r="E2818" t="str">
        <f t="shared" ca="1" si="1015"/>
        <v/>
      </c>
      <c r="F2818" t="str">
        <f t="shared" ca="1" si="1016"/>
        <v xml:space="preserve">Enter a 'Employee Units' for  building 78 in cell E81.
</v>
      </c>
      <c r="G2818" s="9" t="str">
        <f t="shared" ca="1" si="1003"/>
        <v xml:space="preserve">Enter a value for 'Number of Floors in the Tallest Building' in cell B60.
</v>
      </c>
      <c r="H2818" s="52" t="str">
        <f t="shared" ca="1" si="1017"/>
        <v>Employee Units</v>
      </c>
      <c r="I2818" s="52">
        <v>5</v>
      </c>
    </row>
    <row r="2819" spans="1:10" ht="15" customHeight="1">
      <c r="A2819" t="str">
        <f t="shared" ca="1" si="1012"/>
        <v/>
      </c>
      <c r="B2819">
        <f t="shared" si="1013"/>
        <v>81</v>
      </c>
      <c r="C2819">
        <f t="shared" ca="1" si="1005"/>
        <v>78</v>
      </c>
      <c r="D2819" t="str">
        <f t="shared" si="1014"/>
        <v>F81</v>
      </c>
      <c r="E2819" t="str">
        <f t="shared" ca="1" si="1015"/>
        <v/>
      </c>
      <c r="F2819" t="str">
        <f t="shared" ca="1" si="1016"/>
        <v xml:space="preserve">Enter a 'Low-Income Units' for  building 78 in cell F81.
</v>
      </c>
      <c r="G2819" s="9" t="str">
        <f t="shared" ca="1" si="1003"/>
        <v xml:space="preserve">Enter a value for 'Number of Floors in the Tallest Building' in cell B60.
</v>
      </c>
      <c r="H2819" s="52" t="str">
        <f t="shared" ca="1" si="1017"/>
        <v>Low-Income Units</v>
      </c>
      <c r="I2819" s="52">
        <v>6</v>
      </c>
    </row>
    <row r="2820" spans="1:10" ht="15" customHeight="1">
      <c r="A2820" t="str">
        <f t="shared" ca="1" si="1012"/>
        <v/>
      </c>
      <c r="B2820">
        <f t="shared" si="1013"/>
        <v>81</v>
      </c>
      <c r="C2820">
        <f t="shared" ca="1" si="1005"/>
        <v>78</v>
      </c>
      <c r="D2820" t="str">
        <f t="shared" si="1014"/>
        <v>G81</v>
      </c>
      <c r="E2820" t="str">
        <f t="shared" ca="1" si="1015"/>
        <v/>
      </c>
      <c r="F2820" t="str">
        <f t="shared" ca="1" si="1016"/>
        <v xml:space="preserve">Enter a 'Residential Square Footage**' for  building 78 in cell G81.
</v>
      </c>
      <c r="G2820" s="9" t="str">
        <f t="shared" ca="1" si="1003"/>
        <v xml:space="preserve">Enter a value for 'Number of Floors in the Tallest Building' in cell B60.
</v>
      </c>
      <c r="H2820" s="52" t="str">
        <f t="shared" ca="1" si="1017"/>
        <v>Residential Square Footage**</v>
      </c>
      <c r="I2820" s="52">
        <v>7</v>
      </c>
    </row>
    <row r="2821" spans="1:10" ht="15" customHeight="1">
      <c r="A2821" t="str">
        <f t="shared" ca="1" si="1012"/>
        <v/>
      </c>
      <c r="B2821">
        <f t="shared" si="1013"/>
        <v>81</v>
      </c>
      <c r="C2821">
        <f t="shared" ca="1" si="1005"/>
        <v>78</v>
      </c>
      <c r="D2821" t="str">
        <f t="shared" si="1014"/>
        <v>H81</v>
      </c>
      <c r="E2821" t="str">
        <f t="shared" ca="1" si="1015"/>
        <v/>
      </c>
      <c r="F2821" t="str">
        <f t="shared" ca="1" si="1016"/>
        <v xml:space="preserve">Enter a 'Square Footage of Employee Units' for  building 78 in cell H81.
</v>
      </c>
      <c r="G2821" s="9" t="str">
        <f t="shared" ca="1" si="1003"/>
        <v xml:space="preserve">Enter a value for 'Number of Floors in the Tallest Building' in cell B60.
</v>
      </c>
      <c r="H2821" s="52" t="str">
        <f t="shared" ca="1" si="1017"/>
        <v>Square Footage of Employee Units</v>
      </c>
      <c r="I2821" s="52">
        <v>8</v>
      </c>
    </row>
    <row r="2822" spans="1:10" ht="15" customHeight="1">
      <c r="A2822" t="str">
        <f t="shared" ca="1" si="1012"/>
        <v/>
      </c>
      <c r="B2822">
        <f t="shared" si="1013"/>
        <v>81</v>
      </c>
      <c r="C2822">
        <f t="shared" ca="1" si="1005"/>
        <v>78</v>
      </c>
      <c r="D2822" t="str">
        <f t="shared" si="1014"/>
        <v>I81</v>
      </c>
      <c r="E2822" t="str">
        <f t="shared" ca="1" si="1015"/>
        <v/>
      </c>
      <c r="F2822" t="str">
        <f t="shared" ca="1" si="1016"/>
        <v xml:space="preserve">Enter a 'Square Footage of Low-Income Units' for  building 78 in cell I81.
</v>
      </c>
      <c r="G2822" s="9" t="str">
        <f t="shared" ca="1" si="1003"/>
        <v xml:space="preserve">Enter a value for 'Number of Floors in the Tallest Building' in cell B60.
</v>
      </c>
      <c r="H2822" s="52" t="str">
        <f t="shared" ca="1" si="1017"/>
        <v>Square Footage of Low-Income Units</v>
      </c>
      <c r="I2822" s="52">
        <v>9</v>
      </c>
    </row>
    <row r="2823" spans="1:10" ht="15" customHeight="1">
      <c r="A2823" t="str">
        <f t="shared" ca="1" si="1012"/>
        <v/>
      </c>
      <c r="B2823">
        <f t="shared" si="1013"/>
        <v>81</v>
      </c>
      <c r="C2823">
        <f t="shared" ca="1" si="1005"/>
        <v>78</v>
      </c>
      <c r="D2823" t="str">
        <f t="shared" si="1014"/>
        <v>J81</v>
      </c>
      <c r="E2823" t="str">
        <f t="shared" ca="1" si="1015"/>
        <v/>
      </c>
      <c r="F2823" t="str">
        <f t="shared" ca="1" si="1016"/>
        <v xml:space="preserve">Enter a 'Placed-In-Service Date' for  building 78 in cell J81.
</v>
      </c>
      <c r="G2823" s="9" t="str">
        <f t="shared" ca="1" si="1003"/>
        <v xml:space="preserve">Enter a value for 'Number of Floors in the Tallest Building' in cell B60.
</v>
      </c>
      <c r="H2823" s="52" t="str">
        <f t="shared" ca="1" si="1017"/>
        <v>Placed-In-Service Date</v>
      </c>
      <c r="I2823" s="52">
        <v>10</v>
      </c>
    </row>
    <row r="2824" spans="1:10" ht="15" customHeight="1">
      <c r="A2824" t="str">
        <f t="shared" ca="1" si="1012"/>
        <v/>
      </c>
      <c r="B2824">
        <f t="shared" si="1013"/>
        <v>81</v>
      </c>
      <c r="C2824">
        <f t="shared" ca="1" si="1005"/>
        <v>78</v>
      </c>
      <c r="D2824" t="str">
        <f t="shared" si="1014"/>
        <v>K81</v>
      </c>
      <c r="E2824" t="str">
        <f t="shared" ca="1" si="1015"/>
        <v/>
      </c>
      <c r="F2824" t="str">
        <f t="shared" ca="1" si="1016"/>
        <v xml:space="preserve">Enter a 'New Construction/ Rehab APR' for  building 78 in cell K81.
</v>
      </c>
      <c r="G2824" s="9" t="str">
        <f t="shared" ca="1" si="1003"/>
        <v xml:space="preserve">Enter a value for 'Number of Floors in the Tallest Building' in cell B60.
</v>
      </c>
      <c r="H2824" s="52" t="str">
        <f t="shared" ca="1" si="1017"/>
        <v>New Construction/ Rehab APR</v>
      </c>
      <c r="I2824" s="52">
        <v>11</v>
      </c>
    </row>
    <row r="2825" spans="1:10" ht="15" customHeight="1">
      <c r="A2825" t="str">
        <f t="shared" ca="1" si="1012"/>
        <v/>
      </c>
      <c r="B2825">
        <f t="shared" si="1013"/>
        <v>81</v>
      </c>
      <c r="C2825">
        <f t="shared" ca="1" si="1005"/>
        <v>78</v>
      </c>
      <c r="D2825" t="str">
        <f t="shared" si="1014"/>
        <v>L81</v>
      </c>
      <c r="E2825" t="str">
        <f t="shared" ca="1" si="1015"/>
        <v/>
      </c>
      <c r="F2825" t="str">
        <f t="shared" ca="1" si="1016"/>
        <v xml:space="preserve">Enter a 'New Construction Eligible Basis' for  building 78 in cell L81.
</v>
      </c>
      <c r="G2825" s="9" t="str">
        <f t="shared" ca="1" si="1003"/>
        <v xml:space="preserve">Enter a value for 'Number of Floors in the Tallest Building' in cell B60.
</v>
      </c>
      <c r="H2825" s="52" t="str">
        <f t="shared" ca="1" si="1017"/>
        <v>New Construction Eligible Basis</v>
      </c>
      <c r="I2825" s="52">
        <v>12</v>
      </c>
    </row>
    <row r="2826" spans="1:10" ht="15" customHeight="1">
      <c r="A2826" t="str">
        <f ca="1">IF(AND(OFFSET(A2826, -I2826 + 2, 4) &gt;  0, E2826="", Calculations!$B$7), F2826, "")</f>
        <v/>
      </c>
      <c r="B2826">
        <f t="shared" si="1013"/>
        <v>81</v>
      </c>
      <c r="C2826">
        <f t="shared" ca="1" si="1005"/>
        <v>78</v>
      </c>
      <c r="D2826" t="str">
        <f t="shared" si="1014"/>
        <v>M81</v>
      </c>
      <c r="E2826" t="str">
        <f t="shared" ca="1" si="1015"/>
        <v/>
      </c>
      <c r="F2826" t="str">
        <f t="shared" ca="1" si="1016"/>
        <v xml:space="preserve">Enter a 'Eligible Basis for Rehab' for  building 78 in cell M81.
</v>
      </c>
      <c r="G2826" s="9" t="str">
        <f t="shared" ca="1" si="1003"/>
        <v xml:space="preserve">Enter a value for 'Number of Floors in the Tallest Building' in cell B60.
</v>
      </c>
      <c r="H2826" s="52" t="str">
        <f t="shared" ca="1" si="1017"/>
        <v>Eligible Basis for Rehab</v>
      </c>
      <c r="I2826" s="52">
        <v>13</v>
      </c>
    </row>
    <row r="2827" spans="1:10" ht="15" customHeight="1">
      <c r="A2827" t="str">
        <f ca="1">IF(AND(OFFSET(A2827, -I2827 + 2, 4) &gt;  0, E2827="", Calculations!$B$7), F2827, "")</f>
        <v/>
      </c>
      <c r="B2827">
        <f t="shared" si="1013"/>
        <v>81</v>
      </c>
      <c r="C2827">
        <f t="shared" ca="1" si="1005"/>
        <v>78</v>
      </c>
      <c r="D2827" t="str">
        <f t="shared" si="1014"/>
        <v>N81</v>
      </c>
      <c r="E2827" t="str">
        <f t="shared" ca="1" si="1015"/>
        <v/>
      </c>
      <c r="F2827" t="str">
        <f t="shared" ca="1" si="1016"/>
        <v xml:space="preserve">Enter a 'Cost of Acquiring the Building***' for  building 78 in cell N81.
</v>
      </c>
      <c r="G2827" s="9" t="str">
        <f t="shared" ca="1" si="1003"/>
        <v xml:space="preserve">Enter a value for 'Number of Floors in the Tallest Building' in cell B60.
</v>
      </c>
      <c r="H2827" s="52" t="str">
        <f t="shared" ca="1" si="1017"/>
        <v>Cost of Acquiring the Building***</v>
      </c>
      <c r="I2827" s="52">
        <v>14</v>
      </c>
    </row>
    <row r="2828" spans="1:10" ht="15" customHeight="1">
      <c r="A2828" t="str">
        <f ca="1">IF(AND(OFFSET(A2828, -I2828 + 2, 4) &gt;  0, E2828="", Calculations!$B$7), F2828, "")</f>
        <v/>
      </c>
      <c r="B2828">
        <f t="shared" si="1013"/>
        <v>81</v>
      </c>
      <c r="C2828">
        <f t="shared" ca="1" si="1005"/>
        <v>78</v>
      </c>
      <c r="D2828" t="str">
        <f t="shared" si="1014"/>
        <v>O81</v>
      </c>
      <c r="E2828" t="str">
        <f t="shared" ca="1" si="1015"/>
        <v/>
      </c>
      <c r="F2828" t="str">
        <f t="shared" ca="1" si="1016"/>
        <v xml:space="preserve">Enter a 'Higher of Land Purchase Price or Land Appraised Value****' for  building 78 in cell O81.
</v>
      </c>
      <c r="G2828" s="9" t="str">
        <f t="shared" ca="1" si="1003"/>
        <v xml:space="preserve">Enter a value for 'Number of Floors in the Tallest Building' in cell B60.
</v>
      </c>
      <c r="H2828" s="52" t="str">
        <f t="shared" ca="1" si="1017"/>
        <v>Higher of Land Purchase Price or Land Appraised Value****</v>
      </c>
      <c r="I2828" s="52">
        <v>15</v>
      </c>
    </row>
    <row r="2829" spans="1:10" ht="15" customHeight="1">
      <c r="A2829" t="str">
        <f ca="1">IF(AND(OFFSET(A2829, -I2829 + 2, 4) &gt;  0, E2829="", Calculations!$B$7), F2829, "")</f>
        <v/>
      </c>
      <c r="B2829">
        <f t="shared" si="1013"/>
        <v>81</v>
      </c>
      <c r="C2829">
        <f t="shared" ca="1" si="1005"/>
        <v>78</v>
      </c>
      <c r="D2829" t="str">
        <f t="shared" si="1014"/>
        <v>P81</v>
      </c>
      <c r="E2829" t="str">
        <f t="shared" ca="1" si="1015"/>
        <v/>
      </c>
      <c r="F2829" t="str">
        <f t="shared" ca="1" si="1016"/>
        <v xml:space="preserve">Enter a 'Acquisition Placed-in-Service Date' for  building 78 in cell P81.
</v>
      </c>
      <c r="G2829" s="9" t="str">
        <f t="shared" ca="1" si="1003"/>
        <v xml:space="preserve">Enter a value for 'Number of Floors in the Tallest Building' in cell B60.
</v>
      </c>
      <c r="H2829" s="52" t="str">
        <f t="shared" ca="1" si="1017"/>
        <v>Acquisition Placed-in-Service Date</v>
      </c>
      <c r="I2829" s="52">
        <v>16</v>
      </c>
    </row>
    <row r="2830" spans="1:10" ht="15" customHeight="1">
      <c r="A2830" t="str">
        <f ca="1">IF(AND(OFFSET(A2830, -I2830 + 2, 4) &gt;  0, E2830="", Calculations!$B$7), F2830, "")</f>
        <v/>
      </c>
      <c r="B2830">
        <f t="shared" si="1013"/>
        <v>81</v>
      </c>
      <c r="C2830">
        <f t="shared" ca="1" si="1005"/>
        <v>78</v>
      </c>
      <c r="D2830" t="str">
        <f t="shared" si="1014"/>
        <v>Q81</v>
      </c>
      <c r="E2830" t="str">
        <f t="shared" ca="1" si="1015"/>
        <v/>
      </c>
      <c r="F2830" t="str">
        <f t="shared" ca="1" si="1016"/>
        <v xml:space="preserve">Enter a 'Acquisition APR' for  building 78 in cell Q81.
</v>
      </c>
      <c r="G2830" s="9" t="str">
        <f t="shared" ca="1" si="1003"/>
        <v xml:space="preserve">Enter a value for 'Number of Floors in the Tallest Building' in cell B60.
</v>
      </c>
      <c r="H2830" s="52" t="str">
        <f t="shared" ca="1" si="1017"/>
        <v>Acquisition APR</v>
      </c>
      <c r="I2830" s="52">
        <v>17</v>
      </c>
    </row>
    <row r="2831" spans="1:10" ht="15" customHeight="1">
      <c r="A2831" t="str">
        <f ca="1">IF(AND(Calculations!$B$4,Calculations!$B$29&gt;=C2831, E2831 &lt;&gt; 13),F2831,"")</f>
        <v/>
      </c>
      <c r="B2831">
        <f>ROW('Final Building Profile'!C82)</f>
        <v>82</v>
      </c>
      <c r="C2831">
        <f t="shared" ca="1" si="1005"/>
        <v>79</v>
      </c>
      <c r="D2831" t="str">
        <f>ADDRESS(B2831, 3,4  )</f>
        <v>C82</v>
      </c>
      <c r="E2831" s="52">
        <f ca="1">H2831+I2831</f>
        <v>0</v>
      </c>
      <c r="F2831" t="str">
        <f ca="1">CONCATENATE("Based upon the number of buildings specified, information for  building ", C2831, " required for a final application in row ", B2831, ".", CHAR(10))</f>
        <v xml:space="preserve">Based upon the number of buildings specified, information for  building 79 required for a final application in row 82.
</v>
      </c>
      <c r="G2831" s="9" t="str">
        <f t="shared" ca="1" si="1003"/>
        <v xml:space="preserve">Enter a value for 'Number of Floors in the Tallest Building' in cell B60.
</v>
      </c>
      <c r="H2831" s="52">
        <f ca="1">SUMPRODUCT(--ISTEXT(INDIRECT(J2831)))</f>
        <v>0</v>
      </c>
      <c r="I2831" s="52">
        <f ca="1">SUMPRODUCT(--ISNUMBER(INDIRECT(J2831)))</f>
        <v>0</v>
      </c>
      <c r="J2831" s="52" t="str">
        <f>$F$1565&amp; ADDRESS(B2831,3,4) &amp; ":" &amp; ADDRESS(B2831,15,4)</f>
        <v>'Final Building Profile'!C82:O82</v>
      </c>
    </row>
    <row r="2832" spans="1:10" ht="15" customHeight="1">
      <c r="A2832" t="str">
        <f t="shared" ref="A2832:A2841" ca="1" si="1018">IF(AND(OFFSET(A2832, -I2832 + 2, 4) &gt;  0, E2832=""), F2832, "")</f>
        <v/>
      </c>
      <c r="B2832">
        <f t="shared" ref="B2832:B2846" si="1019">B2831</f>
        <v>82</v>
      </c>
      <c r="C2832">
        <f t="shared" ca="1" si="1005"/>
        <v>79</v>
      </c>
      <c r="D2832" t="str">
        <f t="shared" ref="D2832:D2846" si="1020">ADDRESS(B2832, I2832,4  )</f>
        <v>C82</v>
      </c>
      <c r="E2832" t="str">
        <f t="shared" ref="E2832:E2846" ca="1" si="1021">IF(ISBLANK( INDIRECT($F$1565 &amp; D2832)),"", INDIRECT($F$1565 &amp; D2832))</f>
        <v/>
      </c>
      <c r="F2832" t="str">
        <f t="shared" ref="F2832:F2846" ca="1" si="1022">CONCATENATE("Enter a '"&amp; H2832 &amp;"' for  building ", C2832, " in cell ", D2832, ".", CHAR(10))</f>
        <v xml:space="preserve">Enter a 'Building Street Address Only 
(DO NOT ENTER CITY, STATE, OR ZIP)' for  building 79 in cell C82.
</v>
      </c>
      <c r="G2832" s="9" t="str">
        <f t="shared" ca="1" si="1003"/>
        <v xml:space="preserve">Enter a value for 'Number of Floors in the Tallest Building' in cell B60.
</v>
      </c>
      <c r="H2832" s="52" t="str">
        <f t="shared" ref="H2832:H2846" ca="1" si="1023">OFFSET(INDIRECT($F$1565 &amp; D2832), -B2832 + 3, 0)</f>
        <v>Building Street Address Only 
(DO NOT ENTER CITY, STATE, OR ZIP)</v>
      </c>
      <c r="I2832" s="52">
        <v>3</v>
      </c>
    </row>
    <row r="2833" spans="1:10" ht="15" customHeight="1">
      <c r="A2833" t="str">
        <f t="shared" ca="1" si="1018"/>
        <v/>
      </c>
      <c r="B2833">
        <f t="shared" si="1019"/>
        <v>82</v>
      </c>
      <c r="C2833">
        <f t="shared" ca="1" si="1005"/>
        <v>79</v>
      </c>
      <c r="D2833" t="str">
        <f t="shared" si="1020"/>
        <v>D82</v>
      </c>
      <c r="E2833" t="str">
        <f t="shared" ca="1" si="1021"/>
        <v/>
      </c>
      <c r="F2833" t="str">
        <f t="shared" ca="1" si="1022"/>
        <v xml:space="preserve">Enter a 'Total Units in Building*' for  building 79 in cell D82.
</v>
      </c>
      <c r="G2833" s="9" t="str">
        <f t="shared" ca="1" si="1003"/>
        <v xml:space="preserve">Enter a value for 'Number of Floors in the Tallest Building' in cell B60.
</v>
      </c>
      <c r="H2833" s="52" t="str">
        <f t="shared" ca="1" si="1023"/>
        <v>Total Units in Building*</v>
      </c>
      <c r="I2833" s="52">
        <v>4</v>
      </c>
    </row>
    <row r="2834" spans="1:10" ht="15" customHeight="1">
      <c r="A2834" t="str">
        <f t="shared" ca="1" si="1018"/>
        <v/>
      </c>
      <c r="B2834">
        <f t="shared" si="1019"/>
        <v>82</v>
      </c>
      <c r="C2834">
        <f t="shared" ca="1" si="1005"/>
        <v>79</v>
      </c>
      <c r="D2834" t="str">
        <f t="shared" si="1020"/>
        <v>E82</v>
      </c>
      <c r="E2834" t="str">
        <f t="shared" ca="1" si="1021"/>
        <v/>
      </c>
      <c r="F2834" t="str">
        <f t="shared" ca="1" si="1022"/>
        <v xml:space="preserve">Enter a 'Employee Units' for  building 79 in cell E82.
</v>
      </c>
      <c r="G2834" s="9" t="str">
        <f t="shared" ca="1" si="1003"/>
        <v xml:space="preserve">Enter a value for 'Number of Floors in the Tallest Building' in cell B60.
</v>
      </c>
      <c r="H2834" s="52" t="str">
        <f t="shared" ca="1" si="1023"/>
        <v>Employee Units</v>
      </c>
      <c r="I2834" s="52">
        <v>5</v>
      </c>
    </row>
    <row r="2835" spans="1:10" ht="15" customHeight="1">
      <c r="A2835" t="str">
        <f t="shared" ca="1" si="1018"/>
        <v/>
      </c>
      <c r="B2835">
        <f t="shared" si="1019"/>
        <v>82</v>
      </c>
      <c r="C2835">
        <f t="shared" ca="1" si="1005"/>
        <v>79</v>
      </c>
      <c r="D2835" t="str">
        <f t="shared" si="1020"/>
        <v>F82</v>
      </c>
      <c r="E2835" t="str">
        <f t="shared" ca="1" si="1021"/>
        <v/>
      </c>
      <c r="F2835" t="str">
        <f t="shared" ca="1" si="1022"/>
        <v xml:space="preserve">Enter a 'Low-Income Units' for  building 79 in cell F82.
</v>
      </c>
      <c r="G2835" s="9" t="str">
        <f t="shared" ca="1" si="1003"/>
        <v xml:space="preserve">Enter a value for 'Number of Floors in the Tallest Building' in cell B60.
</v>
      </c>
      <c r="H2835" s="52" t="str">
        <f t="shared" ca="1" si="1023"/>
        <v>Low-Income Units</v>
      </c>
      <c r="I2835" s="52">
        <v>6</v>
      </c>
    </row>
    <row r="2836" spans="1:10" ht="15" customHeight="1">
      <c r="A2836" t="str">
        <f t="shared" ca="1" si="1018"/>
        <v/>
      </c>
      <c r="B2836">
        <f t="shared" si="1019"/>
        <v>82</v>
      </c>
      <c r="C2836">
        <f t="shared" ca="1" si="1005"/>
        <v>79</v>
      </c>
      <c r="D2836" t="str">
        <f t="shared" si="1020"/>
        <v>G82</v>
      </c>
      <c r="E2836" t="str">
        <f t="shared" ca="1" si="1021"/>
        <v/>
      </c>
      <c r="F2836" t="str">
        <f t="shared" ca="1" si="1022"/>
        <v xml:space="preserve">Enter a 'Residential Square Footage**' for  building 79 in cell G82.
</v>
      </c>
      <c r="G2836" s="9" t="str">
        <f t="shared" ca="1" si="1003"/>
        <v xml:space="preserve">Enter a value for 'Number of Floors in the Tallest Building' in cell B60.
</v>
      </c>
      <c r="H2836" s="52" t="str">
        <f t="shared" ca="1" si="1023"/>
        <v>Residential Square Footage**</v>
      </c>
      <c r="I2836" s="52">
        <v>7</v>
      </c>
    </row>
    <row r="2837" spans="1:10" ht="15" customHeight="1">
      <c r="A2837" t="str">
        <f t="shared" ca="1" si="1018"/>
        <v/>
      </c>
      <c r="B2837">
        <f t="shared" si="1019"/>
        <v>82</v>
      </c>
      <c r="C2837">
        <f t="shared" ca="1" si="1005"/>
        <v>79</v>
      </c>
      <c r="D2837" t="str">
        <f t="shared" si="1020"/>
        <v>H82</v>
      </c>
      <c r="E2837" t="str">
        <f t="shared" ca="1" si="1021"/>
        <v/>
      </c>
      <c r="F2837" t="str">
        <f t="shared" ca="1" si="1022"/>
        <v xml:space="preserve">Enter a 'Square Footage of Employee Units' for  building 79 in cell H82.
</v>
      </c>
      <c r="G2837" s="9" t="str">
        <f t="shared" ca="1" si="1003"/>
        <v xml:space="preserve">Enter a value for 'Number of Floors in the Tallest Building' in cell B60.
</v>
      </c>
      <c r="H2837" s="52" t="str">
        <f t="shared" ca="1" si="1023"/>
        <v>Square Footage of Employee Units</v>
      </c>
      <c r="I2837" s="52">
        <v>8</v>
      </c>
    </row>
    <row r="2838" spans="1:10" ht="15" customHeight="1">
      <c r="A2838" t="str">
        <f t="shared" ca="1" si="1018"/>
        <v/>
      </c>
      <c r="B2838">
        <f t="shared" si="1019"/>
        <v>82</v>
      </c>
      <c r="C2838">
        <f t="shared" ca="1" si="1005"/>
        <v>79</v>
      </c>
      <c r="D2838" t="str">
        <f t="shared" si="1020"/>
        <v>I82</v>
      </c>
      <c r="E2838" t="str">
        <f t="shared" ca="1" si="1021"/>
        <v/>
      </c>
      <c r="F2838" t="str">
        <f t="shared" ca="1" si="1022"/>
        <v xml:space="preserve">Enter a 'Square Footage of Low-Income Units' for  building 79 in cell I82.
</v>
      </c>
      <c r="G2838" s="9" t="str">
        <f t="shared" ca="1" si="1003"/>
        <v xml:space="preserve">Enter a value for 'Number of Floors in the Tallest Building' in cell B60.
</v>
      </c>
      <c r="H2838" s="52" t="str">
        <f t="shared" ca="1" si="1023"/>
        <v>Square Footage of Low-Income Units</v>
      </c>
      <c r="I2838" s="52">
        <v>9</v>
      </c>
    </row>
    <row r="2839" spans="1:10" ht="15" customHeight="1">
      <c r="A2839" t="str">
        <f t="shared" ca="1" si="1018"/>
        <v/>
      </c>
      <c r="B2839">
        <f t="shared" si="1019"/>
        <v>82</v>
      </c>
      <c r="C2839">
        <f t="shared" ca="1" si="1005"/>
        <v>79</v>
      </c>
      <c r="D2839" t="str">
        <f t="shared" si="1020"/>
        <v>J82</v>
      </c>
      <c r="E2839" t="str">
        <f t="shared" ca="1" si="1021"/>
        <v/>
      </c>
      <c r="F2839" t="str">
        <f t="shared" ca="1" si="1022"/>
        <v xml:space="preserve">Enter a 'Placed-In-Service Date' for  building 79 in cell J82.
</v>
      </c>
      <c r="G2839" s="9" t="str">
        <f t="shared" ca="1" si="1003"/>
        <v xml:space="preserve">Enter a value for 'Number of Floors in the Tallest Building' in cell B60.
</v>
      </c>
      <c r="H2839" s="52" t="str">
        <f t="shared" ca="1" si="1023"/>
        <v>Placed-In-Service Date</v>
      </c>
      <c r="I2839" s="52">
        <v>10</v>
      </c>
    </row>
    <row r="2840" spans="1:10" ht="15" customHeight="1">
      <c r="A2840" t="str">
        <f t="shared" ca="1" si="1018"/>
        <v/>
      </c>
      <c r="B2840">
        <f t="shared" si="1019"/>
        <v>82</v>
      </c>
      <c r="C2840">
        <f t="shared" ca="1" si="1005"/>
        <v>79</v>
      </c>
      <c r="D2840" t="str">
        <f t="shared" si="1020"/>
        <v>K82</v>
      </c>
      <c r="E2840" t="str">
        <f t="shared" ca="1" si="1021"/>
        <v/>
      </c>
      <c r="F2840" t="str">
        <f t="shared" ca="1" si="1022"/>
        <v xml:space="preserve">Enter a 'New Construction/ Rehab APR' for  building 79 in cell K82.
</v>
      </c>
      <c r="G2840" s="9" t="str">
        <f t="shared" ca="1" si="1003"/>
        <v xml:space="preserve">Enter a value for 'Number of Floors in the Tallest Building' in cell B60.
</v>
      </c>
      <c r="H2840" s="52" t="str">
        <f t="shared" ca="1" si="1023"/>
        <v>New Construction/ Rehab APR</v>
      </c>
      <c r="I2840" s="52">
        <v>11</v>
      </c>
    </row>
    <row r="2841" spans="1:10" ht="15" customHeight="1">
      <c r="A2841" t="str">
        <f t="shared" ca="1" si="1018"/>
        <v/>
      </c>
      <c r="B2841">
        <f t="shared" si="1019"/>
        <v>82</v>
      </c>
      <c r="C2841">
        <f t="shared" ca="1" si="1005"/>
        <v>79</v>
      </c>
      <c r="D2841" t="str">
        <f t="shared" si="1020"/>
        <v>L82</v>
      </c>
      <c r="E2841" t="str">
        <f t="shared" ca="1" si="1021"/>
        <v/>
      </c>
      <c r="F2841" t="str">
        <f t="shared" ca="1" si="1022"/>
        <v xml:space="preserve">Enter a 'New Construction Eligible Basis' for  building 79 in cell L82.
</v>
      </c>
      <c r="G2841" s="9" t="str">
        <f t="shared" ca="1" si="1003"/>
        <v xml:space="preserve">Enter a value for 'Number of Floors in the Tallest Building' in cell B60.
</v>
      </c>
      <c r="H2841" s="52" t="str">
        <f t="shared" ca="1" si="1023"/>
        <v>New Construction Eligible Basis</v>
      </c>
      <c r="I2841" s="52">
        <v>12</v>
      </c>
    </row>
    <row r="2842" spans="1:10" ht="15" customHeight="1">
      <c r="A2842" t="str">
        <f ca="1">IF(AND(OFFSET(A2842, -I2842 + 2, 4) &gt;  0, E2842="", Calculations!$B$7), F2842, "")</f>
        <v/>
      </c>
      <c r="B2842">
        <f t="shared" si="1019"/>
        <v>82</v>
      </c>
      <c r="C2842">
        <f t="shared" ca="1" si="1005"/>
        <v>79</v>
      </c>
      <c r="D2842" t="str">
        <f t="shared" si="1020"/>
        <v>M82</v>
      </c>
      <c r="E2842" t="str">
        <f t="shared" ca="1" si="1021"/>
        <v/>
      </c>
      <c r="F2842" t="str">
        <f t="shared" ca="1" si="1022"/>
        <v xml:space="preserve">Enter a 'Eligible Basis for Rehab' for  building 79 in cell M82.
</v>
      </c>
      <c r="G2842" s="9" t="str">
        <f t="shared" ca="1" si="1003"/>
        <v xml:space="preserve">Enter a value for 'Number of Floors in the Tallest Building' in cell B60.
</v>
      </c>
      <c r="H2842" s="52" t="str">
        <f t="shared" ca="1" si="1023"/>
        <v>Eligible Basis for Rehab</v>
      </c>
      <c r="I2842" s="52">
        <v>13</v>
      </c>
    </row>
    <row r="2843" spans="1:10" ht="15" customHeight="1">
      <c r="A2843" t="str">
        <f ca="1">IF(AND(OFFSET(A2843, -I2843 + 2, 4) &gt;  0, E2843="", Calculations!$B$7), F2843, "")</f>
        <v/>
      </c>
      <c r="B2843">
        <f t="shared" si="1019"/>
        <v>82</v>
      </c>
      <c r="C2843">
        <f t="shared" ca="1" si="1005"/>
        <v>79</v>
      </c>
      <c r="D2843" t="str">
        <f t="shared" si="1020"/>
        <v>N82</v>
      </c>
      <c r="E2843" t="str">
        <f t="shared" ca="1" si="1021"/>
        <v/>
      </c>
      <c r="F2843" t="str">
        <f t="shared" ca="1" si="1022"/>
        <v xml:space="preserve">Enter a 'Cost of Acquiring the Building***' for  building 79 in cell N82.
</v>
      </c>
      <c r="G2843" s="9" t="str">
        <f t="shared" ca="1" si="1003"/>
        <v xml:space="preserve">Enter a value for 'Number of Floors in the Tallest Building' in cell B60.
</v>
      </c>
      <c r="H2843" s="52" t="str">
        <f t="shared" ca="1" si="1023"/>
        <v>Cost of Acquiring the Building***</v>
      </c>
      <c r="I2843" s="52">
        <v>14</v>
      </c>
    </row>
    <row r="2844" spans="1:10" ht="15" customHeight="1">
      <c r="A2844" t="str">
        <f ca="1">IF(AND(OFFSET(A2844, -I2844 + 2, 4) &gt;  0, E2844="", Calculations!$B$7), F2844, "")</f>
        <v/>
      </c>
      <c r="B2844">
        <f t="shared" si="1019"/>
        <v>82</v>
      </c>
      <c r="C2844">
        <f t="shared" ca="1" si="1005"/>
        <v>79</v>
      </c>
      <c r="D2844" t="str">
        <f t="shared" si="1020"/>
        <v>O82</v>
      </c>
      <c r="E2844" t="str">
        <f t="shared" ca="1" si="1021"/>
        <v/>
      </c>
      <c r="F2844" t="str">
        <f t="shared" ca="1" si="1022"/>
        <v xml:space="preserve">Enter a 'Higher of Land Purchase Price or Land Appraised Value****' for  building 79 in cell O82.
</v>
      </c>
      <c r="G2844" s="9" t="str">
        <f t="shared" ca="1" si="1003"/>
        <v xml:space="preserve">Enter a value for 'Number of Floors in the Tallest Building' in cell B60.
</v>
      </c>
      <c r="H2844" s="52" t="str">
        <f t="shared" ca="1" si="1023"/>
        <v>Higher of Land Purchase Price or Land Appraised Value****</v>
      </c>
      <c r="I2844" s="52">
        <v>15</v>
      </c>
    </row>
    <row r="2845" spans="1:10" ht="15" customHeight="1">
      <c r="A2845" t="str">
        <f ca="1">IF(AND(OFFSET(A2845, -I2845 + 2, 4) &gt;  0, E2845="", Calculations!$B$7), F2845, "")</f>
        <v/>
      </c>
      <c r="B2845">
        <f t="shared" si="1019"/>
        <v>82</v>
      </c>
      <c r="C2845">
        <f t="shared" ca="1" si="1005"/>
        <v>79</v>
      </c>
      <c r="D2845" t="str">
        <f t="shared" si="1020"/>
        <v>P82</v>
      </c>
      <c r="E2845" t="str">
        <f t="shared" ca="1" si="1021"/>
        <v/>
      </c>
      <c r="F2845" t="str">
        <f t="shared" ca="1" si="1022"/>
        <v xml:space="preserve">Enter a 'Acquisition Placed-in-Service Date' for  building 79 in cell P82.
</v>
      </c>
      <c r="G2845" s="9" t="str">
        <f t="shared" ca="1" si="1003"/>
        <v xml:space="preserve">Enter a value for 'Number of Floors in the Tallest Building' in cell B60.
</v>
      </c>
      <c r="H2845" s="52" t="str">
        <f t="shared" ca="1" si="1023"/>
        <v>Acquisition Placed-in-Service Date</v>
      </c>
      <c r="I2845" s="52">
        <v>16</v>
      </c>
    </row>
    <row r="2846" spans="1:10" ht="15" customHeight="1">
      <c r="A2846" t="str">
        <f ca="1">IF(AND(OFFSET(A2846, -I2846 + 2, 4) &gt;  0, E2846="", Calculations!$B$7), F2846, "")</f>
        <v/>
      </c>
      <c r="B2846">
        <f t="shared" si="1019"/>
        <v>82</v>
      </c>
      <c r="C2846">
        <f t="shared" ca="1" si="1005"/>
        <v>79</v>
      </c>
      <c r="D2846" t="str">
        <f t="shared" si="1020"/>
        <v>Q82</v>
      </c>
      <c r="E2846" t="str">
        <f t="shared" ca="1" si="1021"/>
        <v/>
      </c>
      <c r="F2846" t="str">
        <f t="shared" ca="1" si="1022"/>
        <v xml:space="preserve">Enter a 'Acquisition APR' for  building 79 in cell Q82.
</v>
      </c>
      <c r="G2846" s="9" t="str">
        <f t="shared" ca="1" si="1003"/>
        <v xml:space="preserve">Enter a value for 'Number of Floors in the Tallest Building' in cell B60.
</v>
      </c>
      <c r="H2846" s="52" t="str">
        <f t="shared" ca="1" si="1023"/>
        <v>Acquisition APR</v>
      </c>
      <c r="I2846" s="52">
        <v>17</v>
      </c>
    </row>
    <row r="2847" spans="1:10" ht="15" customHeight="1">
      <c r="A2847" t="str">
        <f ca="1">IF(AND(Calculations!$B$4,Calculations!$B$29&gt;=C2847, E2847 &lt;&gt; 13),F2847,"")</f>
        <v/>
      </c>
      <c r="B2847">
        <f>ROW('Final Building Profile'!C83)</f>
        <v>83</v>
      </c>
      <c r="C2847">
        <f t="shared" ca="1" si="1005"/>
        <v>80</v>
      </c>
      <c r="D2847" t="str">
        <f>ADDRESS(B2847, 3,4  )</f>
        <v>C83</v>
      </c>
      <c r="E2847" s="52">
        <f ca="1">H2847+I2847</f>
        <v>0</v>
      </c>
      <c r="F2847" t="str">
        <f ca="1">CONCATENATE("Based upon the number of buildings specified, information for  building ", C2847, " required for a final application in row ", B2847, ".", CHAR(10))</f>
        <v xml:space="preserve">Based upon the number of buildings specified, information for  building 80 required for a final application in row 83.
</v>
      </c>
      <c r="G2847" s="9" t="str">
        <f t="shared" ca="1" si="1003"/>
        <v xml:space="preserve">Enter a value for 'Number of Floors in the Tallest Building' in cell B60.
</v>
      </c>
      <c r="H2847" s="52">
        <f ca="1">SUMPRODUCT(--ISTEXT(INDIRECT(J2847)))</f>
        <v>0</v>
      </c>
      <c r="I2847" s="52">
        <f ca="1">SUMPRODUCT(--ISNUMBER(INDIRECT(J2847)))</f>
        <v>0</v>
      </c>
      <c r="J2847" s="52" t="str">
        <f>$F$1565&amp; ADDRESS(B2847,3,4) &amp; ":" &amp; ADDRESS(B2847,15,4)</f>
        <v>'Final Building Profile'!C83:O83</v>
      </c>
    </row>
    <row r="2848" spans="1:10" ht="15" customHeight="1">
      <c r="A2848" t="str">
        <f t="shared" ref="A2848:A2857" ca="1" si="1024">IF(AND(OFFSET(A2848, -I2848 + 2, 4) &gt;  0, E2848=""), F2848, "")</f>
        <v/>
      </c>
      <c r="B2848">
        <f t="shared" ref="B2848:B2862" si="1025">B2847</f>
        <v>83</v>
      </c>
      <c r="C2848">
        <f t="shared" ca="1" si="1005"/>
        <v>80</v>
      </c>
      <c r="D2848" t="str">
        <f t="shared" ref="D2848:D2862" si="1026">ADDRESS(B2848, I2848,4  )</f>
        <v>C83</v>
      </c>
      <c r="E2848" t="str">
        <f t="shared" ref="E2848:E2862" ca="1" si="1027">IF(ISBLANK( INDIRECT($F$1565 &amp; D2848)),"", INDIRECT($F$1565 &amp; D2848))</f>
        <v/>
      </c>
      <c r="F2848" t="str">
        <f t="shared" ref="F2848:F2862" ca="1" si="1028">CONCATENATE("Enter a '"&amp; H2848 &amp;"' for  building ", C2848, " in cell ", D2848, ".", CHAR(10))</f>
        <v xml:space="preserve">Enter a 'Building Street Address Only 
(DO NOT ENTER CITY, STATE, OR ZIP)' for  building 80 in cell C83.
</v>
      </c>
      <c r="G2848" s="9" t="str">
        <f t="shared" ref="G2848:G2911" ca="1" si="1029">OFFSET(G2848, -1, 0) &amp; A2848</f>
        <v xml:space="preserve">Enter a value for 'Number of Floors in the Tallest Building' in cell B60.
</v>
      </c>
      <c r="H2848" s="52" t="str">
        <f t="shared" ref="H2848:H2862" ca="1" si="1030">OFFSET(INDIRECT($F$1565 &amp; D2848), -B2848 + 3, 0)</f>
        <v>Building Street Address Only 
(DO NOT ENTER CITY, STATE, OR ZIP)</v>
      </c>
      <c r="I2848" s="52">
        <v>3</v>
      </c>
    </row>
    <row r="2849" spans="1:10" ht="15" customHeight="1">
      <c r="A2849" t="str">
        <f t="shared" ca="1" si="1024"/>
        <v/>
      </c>
      <c r="B2849">
        <f t="shared" si="1025"/>
        <v>83</v>
      </c>
      <c r="C2849">
        <f t="shared" ca="1" si="1005"/>
        <v>80</v>
      </c>
      <c r="D2849" t="str">
        <f t="shared" si="1026"/>
        <v>D83</v>
      </c>
      <c r="E2849" t="str">
        <f t="shared" ca="1" si="1027"/>
        <v/>
      </c>
      <c r="F2849" t="str">
        <f t="shared" ca="1" si="1028"/>
        <v xml:space="preserve">Enter a 'Total Units in Building*' for  building 80 in cell D83.
</v>
      </c>
      <c r="G2849" s="9" t="str">
        <f t="shared" ca="1" si="1029"/>
        <v xml:space="preserve">Enter a value for 'Number of Floors in the Tallest Building' in cell B60.
</v>
      </c>
      <c r="H2849" s="52" t="str">
        <f t="shared" ca="1" si="1030"/>
        <v>Total Units in Building*</v>
      </c>
      <c r="I2849" s="52">
        <v>4</v>
      </c>
    </row>
    <row r="2850" spans="1:10" ht="15" customHeight="1">
      <c r="A2850" t="str">
        <f t="shared" ca="1" si="1024"/>
        <v/>
      </c>
      <c r="B2850">
        <f t="shared" si="1025"/>
        <v>83</v>
      </c>
      <c r="C2850">
        <f t="shared" ca="1" si="1005"/>
        <v>80</v>
      </c>
      <c r="D2850" t="str">
        <f t="shared" si="1026"/>
        <v>E83</v>
      </c>
      <c r="E2850" t="str">
        <f t="shared" ca="1" si="1027"/>
        <v/>
      </c>
      <c r="F2850" t="str">
        <f t="shared" ca="1" si="1028"/>
        <v xml:space="preserve">Enter a 'Employee Units' for  building 80 in cell E83.
</v>
      </c>
      <c r="G2850" s="9" t="str">
        <f t="shared" ca="1" si="1029"/>
        <v xml:space="preserve">Enter a value for 'Number of Floors in the Tallest Building' in cell B60.
</v>
      </c>
      <c r="H2850" s="52" t="str">
        <f t="shared" ca="1" si="1030"/>
        <v>Employee Units</v>
      </c>
      <c r="I2850" s="52">
        <v>5</v>
      </c>
    </row>
    <row r="2851" spans="1:10" ht="15" customHeight="1">
      <c r="A2851" t="str">
        <f t="shared" ca="1" si="1024"/>
        <v/>
      </c>
      <c r="B2851">
        <f t="shared" si="1025"/>
        <v>83</v>
      </c>
      <c r="C2851">
        <f t="shared" ca="1" si="1005"/>
        <v>80</v>
      </c>
      <c r="D2851" t="str">
        <f t="shared" si="1026"/>
        <v>F83</v>
      </c>
      <c r="E2851" t="str">
        <f t="shared" ca="1" si="1027"/>
        <v/>
      </c>
      <c r="F2851" t="str">
        <f t="shared" ca="1" si="1028"/>
        <v xml:space="preserve">Enter a 'Low-Income Units' for  building 80 in cell F83.
</v>
      </c>
      <c r="G2851" s="9" t="str">
        <f t="shared" ca="1" si="1029"/>
        <v xml:space="preserve">Enter a value for 'Number of Floors in the Tallest Building' in cell B60.
</v>
      </c>
      <c r="H2851" s="52" t="str">
        <f t="shared" ca="1" si="1030"/>
        <v>Low-Income Units</v>
      </c>
      <c r="I2851" s="52">
        <v>6</v>
      </c>
    </row>
    <row r="2852" spans="1:10" ht="15" customHeight="1">
      <c r="A2852" t="str">
        <f t="shared" ca="1" si="1024"/>
        <v/>
      </c>
      <c r="B2852">
        <f t="shared" si="1025"/>
        <v>83</v>
      </c>
      <c r="C2852">
        <f t="shared" ca="1" si="1005"/>
        <v>80</v>
      </c>
      <c r="D2852" t="str">
        <f t="shared" si="1026"/>
        <v>G83</v>
      </c>
      <c r="E2852" t="str">
        <f t="shared" ca="1" si="1027"/>
        <v/>
      </c>
      <c r="F2852" t="str">
        <f t="shared" ca="1" si="1028"/>
        <v xml:space="preserve">Enter a 'Residential Square Footage**' for  building 80 in cell G83.
</v>
      </c>
      <c r="G2852" s="9" t="str">
        <f t="shared" ca="1" si="1029"/>
        <v xml:space="preserve">Enter a value for 'Number of Floors in the Tallest Building' in cell B60.
</v>
      </c>
      <c r="H2852" s="52" t="str">
        <f t="shared" ca="1" si="1030"/>
        <v>Residential Square Footage**</v>
      </c>
      <c r="I2852" s="52">
        <v>7</v>
      </c>
    </row>
    <row r="2853" spans="1:10" ht="15" customHeight="1">
      <c r="A2853" t="str">
        <f t="shared" ca="1" si="1024"/>
        <v/>
      </c>
      <c r="B2853">
        <f t="shared" si="1025"/>
        <v>83</v>
      </c>
      <c r="C2853">
        <f t="shared" ca="1" si="1005"/>
        <v>80</v>
      </c>
      <c r="D2853" t="str">
        <f t="shared" si="1026"/>
        <v>H83</v>
      </c>
      <c r="E2853" t="str">
        <f t="shared" ca="1" si="1027"/>
        <v/>
      </c>
      <c r="F2853" t="str">
        <f t="shared" ca="1" si="1028"/>
        <v xml:space="preserve">Enter a 'Square Footage of Employee Units' for  building 80 in cell H83.
</v>
      </c>
      <c r="G2853" s="9" t="str">
        <f t="shared" ca="1" si="1029"/>
        <v xml:space="preserve">Enter a value for 'Number of Floors in the Tallest Building' in cell B60.
</v>
      </c>
      <c r="H2853" s="52" t="str">
        <f t="shared" ca="1" si="1030"/>
        <v>Square Footage of Employee Units</v>
      </c>
      <c r="I2853" s="52">
        <v>8</v>
      </c>
    </row>
    <row r="2854" spans="1:10" ht="15" customHeight="1">
      <c r="A2854" t="str">
        <f t="shared" ca="1" si="1024"/>
        <v/>
      </c>
      <c r="B2854">
        <f t="shared" si="1025"/>
        <v>83</v>
      </c>
      <c r="C2854">
        <f t="shared" ca="1" si="1005"/>
        <v>80</v>
      </c>
      <c r="D2854" t="str">
        <f t="shared" si="1026"/>
        <v>I83</v>
      </c>
      <c r="E2854" t="str">
        <f t="shared" ca="1" si="1027"/>
        <v/>
      </c>
      <c r="F2854" t="str">
        <f t="shared" ca="1" si="1028"/>
        <v xml:space="preserve">Enter a 'Square Footage of Low-Income Units' for  building 80 in cell I83.
</v>
      </c>
      <c r="G2854" s="9" t="str">
        <f t="shared" ca="1" si="1029"/>
        <v xml:space="preserve">Enter a value for 'Number of Floors in the Tallest Building' in cell B60.
</v>
      </c>
      <c r="H2854" s="52" t="str">
        <f t="shared" ca="1" si="1030"/>
        <v>Square Footage of Low-Income Units</v>
      </c>
      <c r="I2854" s="52">
        <v>9</v>
      </c>
    </row>
    <row r="2855" spans="1:10" ht="15" customHeight="1">
      <c r="A2855" t="str">
        <f t="shared" ca="1" si="1024"/>
        <v/>
      </c>
      <c r="B2855">
        <f t="shared" si="1025"/>
        <v>83</v>
      </c>
      <c r="C2855">
        <f t="shared" ca="1" si="1005"/>
        <v>80</v>
      </c>
      <c r="D2855" t="str">
        <f t="shared" si="1026"/>
        <v>J83</v>
      </c>
      <c r="E2855" t="str">
        <f t="shared" ca="1" si="1027"/>
        <v/>
      </c>
      <c r="F2855" t="str">
        <f t="shared" ca="1" si="1028"/>
        <v xml:space="preserve">Enter a 'Placed-In-Service Date' for  building 80 in cell J83.
</v>
      </c>
      <c r="G2855" s="9" t="str">
        <f t="shared" ca="1" si="1029"/>
        <v xml:space="preserve">Enter a value for 'Number of Floors in the Tallest Building' in cell B60.
</v>
      </c>
      <c r="H2855" s="52" t="str">
        <f t="shared" ca="1" si="1030"/>
        <v>Placed-In-Service Date</v>
      </c>
      <c r="I2855" s="52">
        <v>10</v>
      </c>
    </row>
    <row r="2856" spans="1:10" ht="15" customHeight="1">
      <c r="A2856" t="str">
        <f t="shared" ca="1" si="1024"/>
        <v/>
      </c>
      <c r="B2856">
        <f t="shared" si="1025"/>
        <v>83</v>
      </c>
      <c r="C2856">
        <f t="shared" ca="1" si="1005"/>
        <v>80</v>
      </c>
      <c r="D2856" t="str">
        <f t="shared" si="1026"/>
        <v>K83</v>
      </c>
      <c r="E2856" t="str">
        <f t="shared" ca="1" si="1027"/>
        <v/>
      </c>
      <c r="F2856" t="str">
        <f t="shared" ca="1" si="1028"/>
        <v xml:space="preserve">Enter a 'New Construction/ Rehab APR' for  building 80 in cell K83.
</v>
      </c>
      <c r="G2856" s="9" t="str">
        <f t="shared" ca="1" si="1029"/>
        <v xml:space="preserve">Enter a value for 'Number of Floors in the Tallest Building' in cell B60.
</v>
      </c>
      <c r="H2856" s="52" t="str">
        <f t="shared" ca="1" si="1030"/>
        <v>New Construction/ Rehab APR</v>
      </c>
      <c r="I2856" s="52">
        <v>11</v>
      </c>
    </row>
    <row r="2857" spans="1:10" ht="15" customHeight="1">
      <c r="A2857" t="str">
        <f t="shared" ca="1" si="1024"/>
        <v/>
      </c>
      <c r="B2857">
        <f t="shared" si="1025"/>
        <v>83</v>
      </c>
      <c r="C2857">
        <f t="shared" ca="1" si="1005"/>
        <v>80</v>
      </c>
      <c r="D2857" t="str">
        <f t="shared" si="1026"/>
        <v>L83</v>
      </c>
      <c r="E2857" t="str">
        <f t="shared" ca="1" si="1027"/>
        <v/>
      </c>
      <c r="F2857" t="str">
        <f t="shared" ca="1" si="1028"/>
        <v xml:space="preserve">Enter a 'New Construction Eligible Basis' for  building 80 in cell L83.
</v>
      </c>
      <c r="G2857" s="9" t="str">
        <f t="shared" ca="1" si="1029"/>
        <v xml:space="preserve">Enter a value for 'Number of Floors in the Tallest Building' in cell B60.
</v>
      </c>
      <c r="H2857" s="52" t="str">
        <f t="shared" ca="1" si="1030"/>
        <v>New Construction Eligible Basis</v>
      </c>
      <c r="I2857" s="52">
        <v>12</v>
      </c>
    </row>
    <row r="2858" spans="1:10" ht="15" customHeight="1">
      <c r="A2858" t="str">
        <f ca="1">IF(AND(OFFSET(A2858, -I2858 + 2, 4) &gt;  0, E2858="", Calculations!$B$7), F2858, "")</f>
        <v/>
      </c>
      <c r="B2858">
        <f t="shared" si="1025"/>
        <v>83</v>
      </c>
      <c r="C2858">
        <f t="shared" ca="1" si="1005"/>
        <v>80</v>
      </c>
      <c r="D2858" t="str">
        <f t="shared" si="1026"/>
        <v>M83</v>
      </c>
      <c r="E2858" t="str">
        <f t="shared" ca="1" si="1027"/>
        <v/>
      </c>
      <c r="F2858" t="str">
        <f t="shared" ca="1" si="1028"/>
        <v xml:space="preserve">Enter a 'Eligible Basis for Rehab' for  building 80 in cell M83.
</v>
      </c>
      <c r="G2858" s="9" t="str">
        <f t="shared" ca="1" si="1029"/>
        <v xml:space="preserve">Enter a value for 'Number of Floors in the Tallest Building' in cell B60.
</v>
      </c>
      <c r="H2858" s="52" t="str">
        <f t="shared" ca="1" si="1030"/>
        <v>Eligible Basis for Rehab</v>
      </c>
      <c r="I2858" s="52">
        <v>13</v>
      </c>
    </row>
    <row r="2859" spans="1:10" ht="15" customHeight="1">
      <c r="A2859" t="str">
        <f ca="1">IF(AND(OFFSET(A2859, -I2859 + 2, 4) &gt;  0, E2859="", Calculations!$B$7), F2859, "")</f>
        <v/>
      </c>
      <c r="B2859">
        <f t="shared" si="1025"/>
        <v>83</v>
      </c>
      <c r="C2859">
        <f t="shared" ca="1" si="1005"/>
        <v>80</v>
      </c>
      <c r="D2859" t="str">
        <f t="shared" si="1026"/>
        <v>N83</v>
      </c>
      <c r="E2859" t="str">
        <f t="shared" ca="1" si="1027"/>
        <v/>
      </c>
      <c r="F2859" t="str">
        <f t="shared" ca="1" si="1028"/>
        <v xml:space="preserve">Enter a 'Cost of Acquiring the Building***' for  building 80 in cell N83.
</v>
      </c>
      <c r="G2859" s="9" t="str">
        <f t="shared" ca="1" si="1029"/>
        <v xml:space="preserve">Enter a value for 'Number of Floors in the Tallest Building' in cell B60.
</v>
      </c>
      <c r="H2859" s="52" t="str">
        <f t="shared" ca="1" si="1030"/>
        <v>Cost of Acquiring the Building***</v>
      </c>
      <c r="I2859" s="52">
        <v>14</v>
      </c>
    </row>
    <row r="2860" spans="1:10" ht="15" customHeight="1">
      <c r="A2860" t="str">
        <f ca="1">IF(AND(OFFSET(A2860, -I2860 + 2, 4) &gt;  0, E2860="", Calculations!$B$7), F2860, "")</f>
        <v/>
      </c>
      <c r="B2860">
        <f t="shared" si="1025"/>
        <v>83</v>
      </c>
      <c r="C2860">
        <f t="shared" ca="1" si="1005"/>
        <v>80</v>
      </c>
      <c r="D2860" t="str">
        <f t="shared" si="1026"/>
        <v>O83</v>
      </c>
      <c r="E2860" t="str">
        <f t="shared" ca="1" si="1027"/>
        <v/>
      </c>
      <c r="F2860" t="str">
        <f t="shared" ca="1" si="1028"/>
        <v xml:space="preserve">Enter a 'Higher of Land Purchase Price or Land Appraised Value****' for  building 80 in cell O83.
</v>
      </c>
      <c r="G2860" s="9" t="str">
        <f t="shared" ca="1" si="1029"/>
        <v xml:space="preserve">Enter a value for 'Number of Floors in the Tallest Building' in cell B60.
</v>
      </c>
      <c r="H2860" s="52" t="str">
        <f t="shared" ca="1" si="1030"/>
        <v>Higher of Land Purchase Price or Land Appraised Value****</v>
      </c>
      <c r="I2860" s="52">
        <v>15</v>
      </c>
    </row>
    <row r="2861" spans="1:10" ht="15" customHeight="1">
      <c r="A2861" t="str">
        <f ca="1">IF(AND(OFFSET(A2861, -I2861 + 2, 4) &gt;  0, E2861="", Calculations!$B$7), F2861, "")</f>
        <v/>
      </c>
      <c r="B2861">
        <f t="shared" si="1025"/>
        <v>83</v>
      </c>
      <c r="C2861">
        <f t="shared" ca="1" si="1005"/>
        <v>80</v>
      </c>
      <c r="D2861" t="str">
        <f t="shared" si="1026"/>
        <v>P83</v>
      </c>
      <c r="E2861" t="str">
        <f t="shared" ca="1" si="1027"/>
        <v/>
      </c>
      <c r="F2861" t="str">
        <f t="shared" ca="1" si="1028"/>
        <v xml:space="preserve">Enter a 'Acquisition Placed-in-Service Date' for  building 80 in cell P83.
</v>
      </c>
      <c r="G2861" s="9" t="str">
        <f t="shared" ca="1" si="1029"/>
        <v xml:space="preserve">Enter a value for 'Number of Floors in the Tallest Building' in cell B60.
</v>
      </c>
      <c r="H2861" s="52" t="str">
        <f t="shared" ca="1" si="1030"/>
        <v>Acquisition Placed-in-Service Date</v>
      </c>
      <c r="I2861" s="52">
        <v>16</v>
      </c>
    </row>
    <row r="2862" spans="1:10" ht="15" customHeight="1">
      <c r="A2862" t="str">
        <f ca="1">IF(AND(OFFSET(A2862, -I2862 + 2, 4) &gt;  0, E2862="", Calculations!$B$7), F2862, "")</f>
        <v/>
      </c>
      <c r="B2862">
        <f t="shared" si="1025"/>
        <v>83</v>
      </c>
      <c r="C2862">
        <f t="shared" ca="1" si="1005"/>
        <v>80</v>
      </c>
      <c r="D2862" t="str">
        <f t="shared" si="1026"/>
        <v>Q83</v>
      </c>
      <c r="E2862" t="str">
        <f t="shared" ca="1" si="1027"/>
        <v/>
      </c>
      <c r="F2862" t="str">
        <f t="shared" ca="1" si="1028"/>
        <v xml:space="preserve">Enter a 'Acquisition APR' for  building 80 in cell Q83.
</v>
      </c>
      <c r="G2862" s="9" t="str">
        <f t="shared" ca="1" si="1029"/>
        <v xml:space="preserve">Enter a value for 'Number of Floors in the Tallest Building' in cell B60.
</v>
      </c>
      <c r="H2862" s="52" t="str">
        <f t="shared" ca="1" si="1030"/>
        <v>Acquisition APR</v>
      </c>
      <c r="I2862" s="52">
        <v>17</v>
      </c>
    </row>
    <row r="2863" spans="1:10" ht="15" customHeight="1">
      <c r="A2863" t="str">
        <f ca="1">IF(AND(Calculations!$B$4,Calculations!$B$29&gt;=C2863, E2863 &lt;&gt; 13),F2863,"")</f>
        <v/>
      </c>
      <c r="B2863">
        <f>ROW('Final Building Profile'!C84)</f>
        <v>84</v>
      </c>
      <c r="C2863">
        <f t="shared" ref="C2863:C2926" ca="1" si="1031">INDIRECT($F$1565 &amp; ADDRESS(B2863, 1,4  ))</f>
        <v>81</v>
      </c>
      <c r="D2863" t="str">
        <f>ADDRESS(B2863, 3,4  )</f>
        <v>C84</v>
      </c>
      <c r="E2863" s="52">
        <f ca="1">H2863+I2863</f>
        <v>0</v>
      </c>
      <c r="F2863" t="str">
        <f ca="1">CONCATENATE("Based upon the number of buildings specified, information for  building ", C2863, " required for a final application in row ", B2863, ".", CHAR(10))</f>
        <v xml:space="preserve">Based upon the number of buildings specified, information for  building 81 required for a final application in row 84.
</v>
      </c>
      <c r="G2863" s="9" t="str">
        <f t="shared" ca="1" si="1029"/>
        <v xml:space="preserve">Enter a value for 'Number of Floors in the Tallest Building' in cell B60.
</v>
      </c>
      <c r="H2863" s="52">
        <f ca="1">SUMPRODUCT(--ISTEXT(INDIRECT(J2863)))</f>
        <v>0</v>
      </c>
      <c r="I2863" s="52">
        <f ca="1">SUMPRODUCT(--ISNUMBER(INDIRECT(J2863)))</f>
        <v>0</v>
      </c>
      <c r="J2863" s="52" t="str">
        <f>$F$1565&amp; ADDRESS(B2863,3,4) &amp; ":" &amp; ADDRESS(B2863,15,4)</f>
        <v>'Final Building Profile'!C84:O84</v>
      </c>
    </row>
    <row r="2864" spans="1:10" ht="15" customHeight="1">
      <c r="A2864" t="str">
        <f t="shared" ref="A2864:A2873" ca="1" si="1032">IF(AND(OFFSET(A2864, -I2864 + 2, 4) &gt;  0, E2864=""), F2864, "")</f>
        <v/>
      </c>
      <c r="B2864">
        <f t="shared" ref="B2864:B2878" si="1033">B2863</f>
        <v>84</v>
      </c>
      <c r="C2864">
        <f t="shared" ca="1" si="1031"/>
        <v>81</v>
      </c>
      <c r="D2864" t="str">
        <f t="shared" ref="D2864:D2878" si="1034">ADDRESS(B2864, I2864,4  )</f>
        <v>C84</v>
      </c>
      <c r="E2864" t="str">
        <f t="shared" ref="E2864:E2878" ca="1" si="1035">IF(ISBLANK( INDIRECT($F$1565 &amp; D2864)),"", INDIRECT($F$1565 &amp; D2864))</f>
        <v/>
      </c>
      <c r="F2864" t="str">
        <f t="shared" ref="F2864:F2878" ca="1" si="1036">CONCATENATE("Enter a '"&amp; H2864 &amp;"' for  building ", C2864, " in cell ", D2864, ".", CHAR(10))</f>
        <v xml:space="preserve">Enter a 'Building Street Address Only 
(DO NOT ENTER CITY, STATE, OR ZIP)' for  building 81 in cell C84.
</v>
      </c>
      <c r="G2864" s="9" t="str">
        <f t="shared" ca="1" si="1029"/>
        <v xml:space="preserve">Enter a value for 'Number of Floors in the Tallest Building' in cell B60.
</v>
      </c>
      <c r="H2864" s="52" t="str">
        <f t="shared" ref="H2864:H2878" ca="1" si="1037">OFFSET(INDIRECT($F$1565 &amp; D2864), -B2864 + 3, 0)</f>
        <v>Building Street Address Only 
(DO NOT ENTER CITY, STATE, OR ZIP)</v>
      </c>
      <c r="I2864" s="52">
        <v>3</v>
      </c>
    </row>
    <row r="2865" spans="1:10" ht="15" customHeight="1">
      <c r="A2865" t="str">
        <f t="shared" ca="1" si="1032"/>
        <v/>
      </c>
      <c r="B2865">
        <f t="shared" si="1033"/>
        <v>84</v>
      </c>
      <c r="C2865">
        <f t="shared" ca="1" si="1031"/>
        <v>81</v>
      </c>
      <c r="D2865" t="str">
        <f t="shared" si="1034"/>
        <v>D84</v>
      </c>
      <c r="E2865" t="str">
        <f t="shared" ca="1" si="1035"/>
        <v/>
      </c>
      <c r="F2865" t="str">
        <f t="shared" ca="1" si="1036"/>
        <v xml:space="preserve">Enter a 'Total Units in Building*' for  building 81 in cell D84.
</v>
      </c>
      <c r="G2865" s="9" t="str">
        <f t="shared" ca="1" si="1029"/>
        <v xml:space="preserve">Enter a value for 'Number of Floors in the Tallest Building' in cell B60.
</v>
      </c>
      <c r="H2865" s="52" t="str">
        <f t="shared" ca="1" si="1037"/>
        <v>Total Units in Building*</v>
      </c>
      <c r="I2865" s="52">
        <v>4</v>
      </c>
    </row>
    <row r="2866" spans="1:10" ht="15" customHeight="1">
      <c r="A2866" t="str">
        <f t="shared" ca="1" si="1032"/>
        <v/>
      </c>
      <c r="B2866">
        <f t="shared" si="1033"/>
        <v>84</v>
      </c>
      <c r="C2866">
        <f t="shared" ca="1" si="1031"/>
        <v>81</v>
      </c>
      <c r="D2866" t="str">
        <f t="shared" si="1034"/>
        <v>E84</v>
      </c>
      <c r="E2866" t="str">
        <f t="shared" ca="1" si="1035"/>
        <v/>
      </c>
      <c r="F2866" t="str">
        <f t="shared" ca="1" si="1036"/>
        <v xml:space="preserve">Enter a 'Employee Units' for  building 81 in cell E84.
</v>
      </c>
      <c r="G2866" s="9" t="str">
        <f t="shared" ca="1" si="1029"/>
        <v xml:space="preserve">Enter a value for 'Number of Floors in the Tallest Building' in cell B60.
</v>
      </c>
      <c r="H2866" s="52" t="str">
        <f t="shared" ca="1" si="1037"/>
        <v>Employee Units</v>
      </c>
      <c r="I2866" s="52">
        <v>5</v>
      </c>
    </row>
    <row r="2867" spans="1:10" ht="15" customHeight="1">
      <c r="A2867" t="str">
        <f t="shared" ca="1" si="1032"/>
        <v/>
      </c>
      <c r="B2867">
        <f t="shared" si="1033"/>
        <v>84</v>
      </c>
      <c r="C2867">
        <f t="shared" ca="1" si="1031"/>
        <v>81</v>
      </c>
      <c r="D2867" t="str">
        <f t="shared" si="1034"/>
        <v>F84</v>
      </c>
      <c r="E2867" t="str">
        <f t="shared" ca="1" si="1035"/>
        <v/>
      </c>
      <c r="F2867" t="str">
        <f t="shared" ca="1" si="1036"/>
        <v xml:space="preserve">Enter a 'Low-Income Units' for  building 81 in cell F84.
</v>
      </c>
      <c r="G2867" s="9" t="str">
        <f t="shared" ca="1" si="1029"/>
        <v xml:space="preserve">Enter a value for 'Number of Floors in the Tallest Building' in cell B60.
</v>
      </c>
      <c r="H2867" s="52" t="str">
        <f t="shared" ca="1" si="1037"/>
        <v>Low-Income Units</v>
      </c>
      <c r="I2867" s="52">
        <v>6</v>
      </c>
    </row>
    <row r="2868" spans="1:10" ht="15" customHeight="1">
      <c r="A2868" t="str">
        <f t="shared" ca="1" si="1032"/>
        <v/>
      </c>
      <c r="B2868">
        <f t="shared" si="1033"/>
        <v>84</v>
      </c>
      <c r="C2868">
        <f t="shared" ca="1" si="1031"/>
        <v>81</v>
      </c>
      <c r="D2868" t="str">
        <f t="shared" si="1034"/>
        <v>G84</v>
      </c>
      <c r="E2868" t="str">
        <f t="shared" ca="1" si="1035"/>
        <v/>
      </c>
      <c r="F2868" t="str">
        <f t="shared" ca="1" si="1036"/>
        <v xml:space="preserve">Enter a 'Residential Square Footage**' for  building 81 in cell G84.
</v>
      </c>
      <c r="G2868" s="9" t="str">
        <f t="shared" ca="1" si="1029"/>
        <v xml:space="preserve">Enter a value for 'Number of Floors in the Tallest Building' in cell B60.
</v>
      </c>
      <c r="H2868" s="52" t="str">
        <f t="shared" ca="1" si="1037"/>
        <v>Residential Square Footage**</v>
      </c>
      <c r="I2868" s="52">
        <v>7</v>
      </c>
    </row>
    <row r="2869" spans="1:10" ht="15" customHeight="1">
      <c r="A2869" t="str">
        <f t="shared" ca="1" si="1032"/>
        <v/>
      </c>
      <c r="B2869">
        <f t="shared" si="1033"/>
        <v>84</v>
      </c>
      <c r="C2869">
        <f t="shared" ca="1" si="1031"/>
        <v>81</v>
      </c>
      <c r="D2869" t="str">
        <f t="shared" si="1034"/>
        <v>H84</v>
      </c>
      <c r="E2869" t="str">
        <f t="shared" ca="1" si="1035"/>
        <v/>
      </c>
      <c r="F2869" t="str">
        <f t="shared" ca="1" si="1036"/>
        <v xml:space="preserve">Enter a 'Square Footage of Employee Units' for  building 81 in cell H84.
</v>
      </c>
      <c r="G2869" s="9" t="str">
        <f t="shared" ca="1" si="1029"/>
        <v xml:space="preserve">Enter a value for 'Number of Floors in the Tallest Building' in cell B60.
</v>
      </c>
      <c r="H2869" s="52" t="str">
        <f t="shared" ca="1" si="1037"/>
        <v>Square Footage of Employee Units</v>
      </c>
      <c r="I2869" s="52">
        <v>8</v>
      </c>
    </row>
    <row r="2870" spans="1:10" ht="15" customHeight="1">
      <c r="A2870" t="str">
        <f t="shared" ca="1" si="1032"/>
        <v/>
      </c>
      <c r="B2870">
        <f t="shared" si="1033"/>
        <v>84</v>
      </c>
      <c r="C2870">
        <f t="shared" ca="1" si="1031"/>
        <v>81</v>
      </c>
      <c r="D2870" t="str">
        <f t="shared" si="1034"/>
        <v>I84</v>
      </c>
      <c r="E2870" t="str">
        <f t="shared" ca="1" si="1035"/>
        <v/>
      </c>
      <c r="F2870" t="str">
        <f t="shared" ca="1" si="1036"/>
        <v xml:space="preserve">Enter a 'Square Footage of Low-Income Units' for  building 81 in cell I84.
</v>
      </c>
      <c r="G2870" s="9" t="str">
        <f t="shared" ca="1" si="1029"/>
        <v xml:space="preserve">Enter a value for 'Number of Floors in the Tallest Building' in cell B60.
</v>
      </c>
      <c r="H2870" s="52" t="str">
        <f t="shared" ca="1" si="1037"/>
        <v>Square Footage of Low-Income Units</v>
      </c>
      <c r="I2870" s="52">
        <v>9</v>
      </c>
    </row>
    <row r="2871" spans="1:10" ht="15" customHeight="1">
      <c r="A2871" t="str">
        <f t="shared" ca="1" si="1032"/>
        <v/>
      </c>
      <c r="B2871">
        <f t="shared" si="1033"/>
        <v>84</v>
      </c>
      <c r="C2871">
        <f t="shared" ca="1" si="1031"/>
        <v>81</v>
      </c>
      <c r="D2871" t="str">
        <f t="shared" si="1034"/>
        <v>J84</v>
      </c>
      <c r="E2871" t="str">
        <f t="shared" ca="1" si="1035"/>
        <v/>
      </c>
      <c r="F2871" t="str">
        <f t="shared" ca="1" si="1036"/>
        <v xml:space="preserve">Enter a 'Placed-In-Service Date' for  building 81 in cell J84.
</v>
      </c>
      <c r="G2871" s="9" t="str">
        <f t="shared" ca="1" si="1029"/>
        <v xml:space="preserve">Enter a value for 'Number of Floors in the Tallest Building' in cell B60.
</v>
      </c>
      <c r="H2871" s="52" t="str">
        <f t="shared" ca="1" si="1037"/>
        <v>Placed-In-Service Date</v>
      </c>
      <c r="I2871" s="52">
        <v>10</v>
      </c>
    </row>
    <row r="2872" spans="1:10" ht="15" customHeight="1">
      <c r="A2872" t="str">
        <f t="shared" ca="1" si="1032"/>
        <v/>
      </c>
      <c r="B2872">
        <f t="shared" si="1033"/>
        <v>84</v>
      </c>
      <c r="C2872">
        <f t="shared" ca="1" si="1031"/>
        <v>81</v>
      </c>
      <c r="D2872" t="str">
        <f t="shared" si="1034"/>
        <v>K84</v>
      </c>
      <c r="E2872" t="str">
        <f t="shared" ca="1" si="1035"/>
        <v/>
      </c>
      <c r="F2872" t="str">
        <f t="shared" ca="1" si="1036"/>
        <v xml:space="preserve">Enter a 'New Construction/ Rehab APR' for  building 81 in cell K84.
</v>
      </c>
      <c r="G2872" s="9" t="str">
        <f t="shared" ca="1" si="1029"/>
        <v xml:space="preserve">Enter a value for 'Number of Floors in the Tallest Building' in cell B60.
</v>
      </c>
      <c r="H2872" s="52" t="str">
        <f t="shared" ca="1" si="1037"/>
        <v>New Construction/ Rehab APR</v>
      </c>
      <c r="I2872" s="52">
        <v>11</v>
      </c>
    </row>
    <row r="2873" spans="1:10" ht="15" customHeight="1">
      <c r="A2873" t="str">
        <f t="shared" ca="1" si="1032"/>
        <v/>
      </c>
      <c r="B2873">
        <f t="shared" si="1033"/>
        <v>84</v>
      </c>
      <c r="C2873">
        <f t="shared" ca="1" si="1031"/>
        <v>81</v>
      </c>
      <c r="D2873" t="str">
        <f t="shared" si="1034"/>
        <v>L84</v>
      </c>
      <c r="E2873" t="str">
        <f t="shared" ca="1" si="1035"/>
        <v/>
      </c>
      <c r="F2873" t="str">
        <f t="shared" ca="1" si="1036"/>
        <v xml:space="preserve">Enter a 'New Construction Eligible Basis' for  building 81 in cell L84.
</v>
      </c>
      <c r="G2873" s="9" t="str">
        <f t="shared" ca="1" si="1029"/>
        <v xml:space="preserve">Enter a value for 'Number of Floors in the Tallest Building' in cell B60.
</v>
      </c>
      <c r="H2873" s="52" t="str">
        <f t="shared" ca="1" si="1037"/>
        <v>New Construction Eligible Basis</v>
      </c>
      <c r="I2873" s="52">
        <v>12</v>
      </c>
    </row>
    <row r="2874" spans="1:10" ht="15" customHeight="1">
      <c r="A2874" t="str">
        <f ca="1">IF(AND(OFFSET(A2874, -I2874 + 2, 4) &gt;  0, E2874="", Calculations!$B$7), F2874, "")</f>
        <v/>
      </c>
      <c r="B2874">
        <f t="shared" si="1033"/>
        <v>84</v>
      </c>
      <c r="C2874">
        <f t="shared" ca="1" si="1031"/>
        <v>81</v>
      </c>
      <c r="D2874" t="str">
        <f t="shared" si="1034"/>
        <v>M84</v>
      </c>
      <c r="E2874" t="str">
        <f t="shared" ca="1" si="1035"/>
        <v/>
      </c>
      <c r="F2874" t="str">
        <f t="shared" ca="1" si="1036"/>
        <v xml:space="preserve">Enter a 'Eligible Basis for Rehab' for  building 81 in cell M84.
</v>
      </c>
      <c r="G2874" s="9" t="str">
        <f t="shared" ca="1" si="1029"/>
        <v xml:space="preserve">Enter a value for 'Number of Floors in the Tallest Building' in cell B60.
</v>
      </c>
      <c r="H2874" s="52" t="str">
        <f t="shared" ca="1" si="1037"/>
        <v>Eligible Basis for Rehab</v>
      </c>
      <c r="I2874" s="52">
        <v>13</v>
      </c>
    </row>
    <row r="2875" spans="1:10" ht="15" customHeight="1">
      <c r="A2875" t="str">
        <f ca="1">IF(AND(OFFSET(A2875, -I2875 + 2, 4) &gt;  0, E2875="", Calculations!$B$7), F2875, "")</f>
        <v/>
      </c>
      <c r="B2875">
        <f t="shared" si="1033"/>
        <v>84</v>
      </c>
      <c r="C2875">
        <f t="shared" ca="1" si="1031"/>
        <v>81</v>
      </c>
      <c r="D2875" t="str">
        <f t="shared" si="1034"/>
        <v>N84</v>
      </c>
      <c r="E2875" t="str">
        <f t="shared" ca="1" si="1035"/>
        <v/>
      </c>
      <c r="F2875" t="str">
        <f t="shared" ca="1" si="1036"/>
        <v xml:space="preserve">Enter a 'Cost of Acquiring the Building***' for  building 81 in cell N84.
</v>
      </c>
      <c r="G2875" s="9" t="str">
        <f t="shared" ca="1" si="1029"/>
        <v xml:space="preserve">Enter a value for 'Number of Floors in the Tallest Building' in cell B60.
</v>
      </c>
      <c r="H2875" s="52" t="str">
        <f t="shared" ca="1" si="1037"/>
        <v>Cost of Acquiring the Building***</v>
      </c>
      <c r="I2875" s="52">
        <v>14</v>
      </c>
    </row>
    <row r="2876" spans="1:10" ht="15" customHeight="1">
      <c r="A2876" t="str">
        <f ca="1">IF(AND(OFFSET(A2876, -I2876 + 2, 4) &gt;  0, E2876="", Calculations!$B$7), F2876, "")</f>
        <v/>
      </c>
      <c r="B2876">
        <f t="shared" si="1033"/>
        <v>84</v>
      </c>
      <c r="C2876">
        <f t="shared" ca="1" si="1031"/>
        <v>81</v>
      </c>
      <c r="D2876" t="str">
        <f t="shared" si="1034"/>
        <v>O84</v>
      </c>
      <c r="E2876" t="str">
        <f t="shared" ca="1" si="1035"/>
        <v/>
      </c>
      <c r="F2876" t="str">
        <f t="shared" ca="1" si="1036"/>
        <v xml:space="preserve">Enter a 'Higher of Land Purchase Price or Land Appraised Value****' for  building 81 in cell O84.
</v>
      </c>
      <c r="G2876" s="9" t="str">
        <f t="shared" ca="1" si="1029"/>
        <v xml:space="preserve">Enter a value for 'Number of Floors in the Tallest Building' in cell B60.
</v>
      </c>
      <c r="H2876" s="52" t="str">
        <f t="shared" ca="1" si="1037"/>
        <v>Higher of Land Purchase Price or Land Appraised Value****</v>
      </c>
      <c r="I2876" s="52">
        <v>15</v>
      </c>
    </row>
    <row r="2877" spans="1:10" ht="15" customHeight="1">
      <c r="A2877" t="str">
        <f ca="1">IF(AND(OFFSET(A2877, -I2877 + 2, 4) &gt;  0, E2877="", Calculations!$B$7), F2877, "")</f>
        <v/>
      </c>
      <c r="B2877">
        <f t="shared" si="1033"/>
        <v>84</v>
      </c>
      <c r="C2877">
        <f t="shared" ca="1" si="1031"/>
        <v>81</v>
      </c>
      <c r="D2877" t="str">
        <f t="shared" si="1034"/>
        <v>P84</v>
      </c>
      <c r="E2877" t="str">
        <f t="shared" ca="1" si="1035"/>
        <v/>
      </c>
      <c r="F2877" t="str">
        <f t="shared" ca="1" si="1036"/>
        <v xml:space="preserve">Enter a 'Acquisition Placed-in-Service Date' for  building 81 in cell P84.
</v>
      </c>
      <c r="G2877" s="9" t="str">
        <f t="shared" ca="1" si="1029"/>
        <v xml:space="preserve">Enter a value for 'Number of Floors in the Tallest Building' in cell B60.
</v>
      </c>
      <c r="H2877" s="52" t="str">
        <f t="shared" ca="1" si="1037"/>
        <v>Acquisition Placed-in-Service Date</v>
      </c>
      <c r="I2877" s="52">
        <v>16</v>
      </c>
    </row>
    <row r="2878" spans="1:10" ht="15" customHeight="1">
      <c r="A2878" t="str">
        <f ca="1">IF(AND(OFFSET(A2878, -I2878 + 2, 4) &gt;  0, E2878="", Calculations!$B$7), F2878, "")</f>
        <v/>
      </c>
      <c r="B2878">
        <f t="shared" si="1033"/>
        <v>84</v>
      </c>
      <c r="C2878">
        <f t="shared" ca="1" si="1031"/>
        <v>81</v>
      </c>
      <c r="D2878" t="str">
        <f t="shared" si="1034"/>
        <v>Q84</v>
      </c>
      <c r="E2878" t="str">
        <f t="shared" ca="1" si="1035"/>
        <v/>
      </c>
      <c r="F2878" t="str">
        <f t="shared" ca="1" si="1036"/>
        <v xml:space="preserve">Enter a 'Acquisition APR' for  building 81 in cell Q84.
</v>
      </c>
      <c r="G2878" s="9" t="str">
        <f t="shared" ca="1" si="1029"/>
        <v xml:space="preserve">Enter a value for 'Number of Floors in the Tallest Building' in cell B60.
</v>
      </c>
      <c r="H2878" s="52" t="str">
        <f t="shared" ca="1" si="1037"/>
        <v>Acquisition APR</v>
      </c>
      <c r="I2878" s="52">
        <v>17</v>
      </c>
    </row>
    <row r="2879" spans="1:10" ht="15" customHeight="1">
      <c r="A2879" t="str">
        <f ca="1">IF(AND(Calculations!$B$4,Calculations!$B$29&gt;=C2879, E2879 &lt;&gt; 13),F2879,"")</f>
        <v/>
      </c>
      <c r="B2879">
        <f>ROW('Final Building Profile'!C85)</f>
        <v>85</v>
      </c>
      <c r="C2879">
        <f t="shared" ca="1" si="1031"/>
        <v>82</v>
      </c>
      <c r="D2879" t="str">
        <f>ADDRESS(B2879, 3,4  )</f>
        <v>C85</v>
      </c>
      <c r="E2879" s="52">
        <f ca="1">H2879+I2879</f>
        <v>0</v>
      </c>
      <c r="F2879" t="str">
        <f ca="1">CONCATENATE("Based upon the number of buildings specified, information for  building ", C2879, " required for a final application in row ", B2879, ".", CHAR(10))</f>
        <v xml:space="preserve">Based upon the number of buildings specified, information for  building 82 required for a final application in row 85.
</v>
      </c>
      <c r="G2879" s="9" t="str">
        <f t="shared" ca="1" si="1029"/>
        <v xml:space="preserve">Enter a value for 'Number of Floors in the Tallest Building' in cell B60.
</v>
      </c>
      <c r="H2879" s="52">
        <f ca="1">SUMPRODUCT(--ISTEXT(INDIRECT(J2879)))</f>
        <v>0</v>
      </c>
      <c r="I2879" s="52">
        <f ca="1">SUMPRODUCT(--ISNUMBER(INDIRECT(J2879)))</f>
        <v>0</v>
      </c>
      <c r="J2879" s="52" t="str">
        <f>$F$1565&amp; ADDRESS(B2879,3,4) &amp; ":" &amp; ADDRESS(B2879,15,4)</f>
        <v>'Final Building Profile'!C85:O85</v>
      </c>
    </row>
    <row r="2880" spans="1:10" ht="15" customHeight="1">
      <c r="A2880" t="str">
        <f t="shared" ref="A2880:A2889" ca="1" si="1038">IF(AND(OFFSET(A2880, -I2880 + 2, 4) &gt;  0, E2880=""), F2880, "")</f>
        <v/>
      </c>
      <c r="B2880">
        <f t="shared" ref="B2880:B2894" si="1039">B2879</f>
        <v>85</v>
      </c>
      <c r="C2880">
        <f t="shared" ca="1" si="1031"/>
        <v>82</v>
      </c>
      <c r="D2880" t="str">
        <f t="shared" ref="D2880:D2894" si="1040">ADDRESS(B2880, I2880,4  )</f>
        <v>C85</v>
      </c>
      <c r="E2880" t="str">
        <f t="shared" ref="E2880:E2894" ca="1" si="1041">IF(ISBLANK( INDIRECT($F$1565 &amp; D2880)),"", INDIRECT($F$1565 &amp; D2880))</f>
        <v/>
      </c>
      <c r="F2880" t="str">
        <f t="shared" ref="F2880:F2894" ca="1" si="1042">CONCATENATE("Enter a '"&amp; H2880 &amp;"' for  building ", C2880, " in cell ", D2880, ".", CHAR(10))</f>
        <v xml:space="preserve">Enter a 'Building Street Address Only 
(DO NOT ENTER CITY, STATE, OR ZIP)' for  building 82 in cell C85.
</v>
      </c>
      <c r="G2880" s="9" t="str">
        <f t="shared" ca="1" si="1029"/>
        <v xml:space="preserve">Enter a value for 'Number of Floors in the Tallest Building' in cell B60.
</v>
      </c>
      <c r="H2880" s="52" t="str">
        <f t="shared" ref="H2880:H2894" ca="1" si="1043">OFFSET(INDIRECT($F$1565 &amp; D2880), -B2880 + 3, 0)</f>
        <v>Building Street Address Only 
(DO NOT ENTER CITY, STATE, OR ZIP)</v>
      </c>
      <c r="I2880" s="52">
        <v>3</v>
      </c>
    </row>
    <row r="2881" spans="1:10" ht="15" customHeight="1">
      <c r="A2881" t="str">
        <f t="shared" ca="1" si="1038"/>
        <v/>
      </c>
      <c r="B2881">
        <f t="shared" si="1039"/>
        <v>85</v>
      </c>
      <c r="C2881">
        <f t="shared" ca="1" si="1031"/>
        <v>82</v>
      </c>
      <c r="D2881" t="str">
        <f t="shared" si="1040"/>
        <v>D85</v>
      </c>
      <c r="E2881" t="str">
        <f t="shared" ca="1" si="1041"/>
        <v/>
      </c>
      <c r="F2881" t="str">
        <f t="shared" ca="1" si="1042"/>
        <v xml:space="preserve">Enter a 'Total Units in Building*' for  building 82 in cell D85.
</v>
      </c>
      <c r="G2881" s="9" t="str">
        <f t="shared" ca="1" si="1029"/>
        <v xml:space="preserve">Enter a value for 'Number of Floors in the Tallest Building' in cell B60.
</v>
      </c>
      <c r="H2881" s="52" t="str">
        <f t="shared" ca="1" si="1043"/>
        <v>Total Units in Building*</v>
      </c>
      <c r="I2881" s="52">
        <v>4</v>
      </c>
    </row>
    <row r="2882" spans="1:10" ht="15" customHeight="1">
      <c r="A2882" t="str">
        <f t="shared" ca="1" si="1038"/>
        <v/>
      </c>
      <c r="B2882">
        <f t="shared" si="1039"/>
        <v>85</v>
      </c>
      <c r="C2882">
        <f t="shared" ca="1" si="1031"/>
        <v>82</v>
      </c>
      <c r="D2882" t="str">
        <f t="shared" si="1040"/>
        <v>E85</v>
      </c>
      <c r="E2882" t="str">
        <f t="shared" ca="1" si="1041"/>
        <v/>
      </c>
      <c r="F2882" t="str">
        <f t="shared" ca="1" si="1042"/>
        <v xml:space="preserve">Enter a 'Employee Units' for  building 82 in cell E85.
</v>
      </c>
      <c r="G2882" s="9" t="str">
        <f t="shared" ca="1" si="1029"/>
        <v xml:space="preserve">Enter a value for 'Number of Floors in the Tallest Building' in cell B60.
</v>
      </c>
      <c r="H2882" s="52" t="str">
        <f t="shared" ca="1" si="1043"/>
        <v>Employee Units</v>
      </c>
      <c r="I2882" s="52">
        <v>5</v>
      </c>
    </row>
    <row r="2883" spans="1:10" ht="15" customHeight="1">
      <c r="A2883" t="str">
        <f t="shared" ca="1" si="1038"/>
        <v/>
      </c>
      <c r="B2883">
        <f t="shared" si="1039"/>
        <v>85</v>
      </c>
      <c r="C2883">
        <f t="shared" ca="1" si="1031"/>
        <v>82</v>
      </c>
      <c r="D2883" t="str">
        <f t="shared" si="1040"/>
        <v>F85</v>
      </c>
      <c r="E2883" t="str">
        <f t="shared" ca="1" si="1041"/>
        <v/>
      </c>
      <c r="F2883" t="str">
        <f t="shared" ca="1" si="1042"/>
        <v xml:space="preserve">Enter a 'Low-Income Units' for  building 82 in cell F85.
</v>
      </c>
      <c r="G2883" s="9" t="str">
        <f t="shared" ca="1" si="1029"/>
        <v xml:space="preserve">Enter a value for 'Number of Floors in the Tallest Building' in cell B60.
</v>
      </c>
      <c r="H2883" s="52" t="str">
        <f t="shared" ca="1" si="1043"/>
        <v>Low-Income Units</v>
      </c>
      <c r="I2883" s="52">
        <v>6</v>
      </c>
    </row>
    <row r="2884" spans="1:10" ht="15" customHeight="1">
      <c r="A2884" t="str">
        <f t="shared" ca="1" si="1038"/>
        <v/>
      </c>
      <c r="B2884">
        <f t="shared" si="1039"/>
        <v>85</v>
      </c>
      <c r="C2884">
        <f t="shared" ca="1" si="1031"/>
        <v>82</v>
      </c>
      <c r="D2884" t="str">
        <f t="shared" si="1040"/>
        <v>G85</v>
      </c>
      <c r="E2884" t="str">
        <f t="shared" ca="1" si="1041"/>
        <v/>
      </c>
      <c r="F2884" t="str">
        <f t="shared" ca="1" si="1042"/>
        <v xml:space="preserve">Enter a 'Residential Square Footage**' for  building 82 in cell G85.
</v>
      </c>
      <c r="G2884" s="9" t="str">
        <f t="shared" ca="1" si="1029"/>
        <v xml:space="preserve">Enter a value for 'Number of Floors in the Tallest Building' in cell B60.
</v>
      </c>
      <c r="H2884" s="52" t="str">
        <f t="shared" ca="1" si="1043"/>
        <v>Residential Square Footage**</v>
      </c>
      <c r="I2884" s="52">
        <v>7</v>
      </c>
    </row>
    <row r="2885" spans="1:10" ht="15" customHeight="1">
      <c r="A2885" t="str">
        <f t="shared" ca="1" si="1038"/>
        <v/>
      </c>
      <c r="B2885">
        <f t="shared" si="1039"/>
        <v>85</v>
      </c>
      <c r="C2885">
        <f t="shared" ca="1" si="1031"/>
        <v>82</v>
      </c>
      <c r="D2885" t="str">
        <f t="shared" si="1040"/>
        <v>H85</v>
      </c>
      <c r="E2885" t="str">
        <f t="shared" ca="1" si="1041"/>
        <v/>
      </c>
      <c r="F2885" t="str">
        <f t="shared" ca="1" si="1042"/>
        <v xml:space="preserve">Enter a 'Square Footage of Employee Units' for  building 82 in cell H85.
</v>
      </c>
      <c r="G2885" s="9" t="str">
        <f t="shared" ca="1" si="1029"/>
        <v xml:space="preserve">Enter a value for 'Number of Floors in the Tallest Building' in cell B60.
</v>
      </c>
      <c r="H2885" s="52" t="str">
        <f t="shared" ca="1" si="1043"/>
        <v>Square Footage of Employee Units</v>
      </c>
      <c r="I2885" s="52">
        <v>8</v>
      </c>
    </row>
    <row r="2886" spans="1:10" ht="15" customHeight="1">
      <c r="A2886" t="str">
        <f t="shared" ca="1" si="1038"/>
        <v/>
      </c>
      <c r="B2886">
        <f t="shared" si="1039"/>
        <v>85</v>
      </c>
      <c r="C2886">
        <f t="shared" ca="1" si="1031"/>
        <v>82</v>
      </c>
      <c r="D2886" t="str">
        <f t="shared" si="1040"/>
        <v>I85</v>
      </c>
      <c r="E2886" t="str">
        <f t="shared" ca="1" si="1041"/>
        <v/>
      </c>
      <c r="F2886" t="str">
        <f t="shared" ca="1" si="1042"/>
        <v xml:space="preserve">Enter a 'Square Footage of Low-Income Units' for  building 82 in cell I85.
</v>
      </c>
      <c r="G2886" s="9" t="str">
        <f t="shared" ca="1" si="1029"/>
        <v xml:space="preserve">Enter a value for 'Number of Floors in the Tallest Building' in cell B60.
</v>
      </c>
      <c r="H2886" s="52" t="str">
        <f t="shared" ca="1" si="1043"/>
        <v>Square Footage of Low-Income Units</v>
      </c>
      <c r="I2886" s="52">
        <v>9</v>
      </c>
    </row>
    <row r="2887" spans="1:10" ht="15" customHeight="1">
      <c r="A2887" t="str">
        <f t="shared" ca="1" si="1038"/>
        <v/>
      </c>
      <c r="B2887">
        <f t="shared" si="1039"/>
        <v>85</v>
      </c>
      <c r="C2887">
        <f t="shared" ca="1" si="1031"/>
        <v>82</v>
      </c>
      <c r="D2887" t="str">
        <f t="shared" si="1040"/>
        <v>J85</v>
      </c>
      <c r="E2887" t="str">
        <f t="shared" ca="1" si="1041"/>
        <v/>
      </c>
      <c r="F2887" t="str">
        <f t="shared" ca="1" si="1042"/>
        <v xml:space="preserve">Enter a 'Placed-In-Service Date' for  building 82 in cell J85.
</v>
      </c>
      <c r="G2887" s="9" t="str">
        <f t="shared" ca="1" si="1029"/>
        <v xml:space="preserve">Enter a value for 'Number of Floors in the Tallest Building' in cell B60.
</v>
      </c>
      <c r="H2887" s="52" t="str">
        <f t="shared" ca="1" si="1043"/>
        <v>Placed-In-Service Date</v>
      </c>
      <c r="I2887" s="52">
        <v>10</v>
      </c>
    </row>
    <row r="2888" spans="1:10" ht="15" customHeight="1">
      <c r="A2888" t="str">
        <f t="shared" ca="1" si="1038"/>
        <v/>
      </c>
      <c r="B2888">
        <f t="shared" si="1039"/>
        <v>85</v>
      </c>
      <c r="C2888">
        <f t="shared" ca="1" si="1031"/>
        <v>82</v>
      </c>
      <c r="D2888" t="str">
        <f t="shared" si="1040"/>
        <v>K85</v>
      </c>
      <c r="E2888" t="str">
        <f t="shared" ca="1" si="1041"/>
        <v/>
      </c>
      <c r="F2888" t="str">
        <f t="shared" ca="1" si="1042"/>
        <v xml:space="preserve">Enter a 'New Construction/ Rehab APR' for  building 82 in cell K85.
</v>
      </c>
      <c r="G2888" s="9" t="str">
        <f t="shared" ca="1" si="1029"/>
        <v xml:space="preserve">Enter a value for 'Number of Floors in the Tallest Building' in cell B60.
</v>
      </c>
      <c r="H2888" s="52" t="str">
        <f t="shared" ca="1" si="1043"/>
        <v>New Construction/ Rehab APR</v>
      </c>
      <c r="I2888" s="52">
        <v>11</v>
      </c>
    </row>
    <row r="2889" spans="1:10" ht="15" customHeight="1">
      <c r="A2889" t="str">
        <f t="shared" ca="1" si="1038"/>
        <v/>
      </c>
      <c r="B2889">
        <f t="shared" si="1039"/>
        <v>85</v>
      </c>
      <c r="C2889">
        <f t="shared" ca="1" si="1031"/>
        <v>82</v>
      </c>
      <c r="D2889" t="str">
        <f t="shared" si="1040"/>
        <v>L85</v>
      </c>
      <c r="E2889" t="str">
        <f t="shared" ca="1" si="1041"/>
        <v/>
      </c>
      <c r="F2889" t="str">
        <f t="shared" ca="1" si="1042"/>
        <v xml:space="preserve">Enter a 'New Construction Eligible Basis' for  building 82 in cell L85.
</v>
      </c>
      <c r="G2889" s="9" t="str">
        <f t="shared" ca="1" si="1029"/>
        <v xml:space="preserve">Enter a value for 'Number of Floors in the Tallest Building' in cell B60.
</v>
      </c>
      <c r="H2889" s="52" t="str">
        <f t="shared" ca="1" si="1043"/>
        <v>New Construction Eligible Basis</v>
      </c>
      <c r="I2889" s="52">
        <v>12</v>
      </c>
    </row>
    <row r="2890" spans="1:10" ht="15" customHeight="1">
      <c r="A2890" t="str">
        <f ca="1">IF(AND(OFFSET(A2890, -I2890 + 2, 4) &gt;  0, E2890="", Calculations!$B$7), F2890, "")</f>
        <v/>
      </c>
      <c r="B2890">
        <f t="shared" si="1039"/>
        <v>85</v>
      </c>
      <c r="C2890">
        <f t="shared" ca="1" si="1031"/>
        <v>82</v>
      </c>
      <c r="D2890" t="str">
        <f t="shared" si="1040"/>
        <v>M85</v>
      </c>
      <c r="E2890" t="str">
        <f t="shared" ca="1" si="1041"/>
        <v/>
      </c>
      <c r="F2890" t="str">
        <f t="shared" ca="1" si="1042"/>
        <v xml:space="preserve">Enter a 'Eligible Basis for Rehab' for  building 82 in cell M85.
</v>
      </c>
      <c r="G2890" s="9" t="str">
        <f t="shared" ca="1" si="1029"/>
        <v xml:space="preserve">Enter a value for 'Number of Floors in the Tallest Building' in cell B60.
</v>
      </c>
      <c r="H2890" s="52" t="str">
        <f t="shared" ca="1" si="1043"/>
        <v>Eligible Basis for Rehab</v>
      </c>
      <c r="I2890" s="52">
        <v>13</v>
      </c>
    </row>
    <row r="2891" spans="1:10" ht="15" customHeight="1">
      <c r="A2891" t="str">
        <f ca="1">IF(AND(OFFSET(A2891, -I2891 + 2, 4) &gt;  0, E2891="", Calculations!$B$7), F2891, "")</f>
        <v/>
      </c>
      <c r="B2891">
        <f t="shared" si="1039"/>
        <v>85</v>
      </c>
      <c r="C2891">
        <f t="shared" ca="1" si="1031"/>
        <v>82</v>
      </c>
      <c r="D2891" t="str">
        <f t="shared" si="1040"/>
        <v>N85</v>
      </c>
      <c r="E2891" t="str">
        <f t="shared" ca="1" si="1041"/>
        <v/>
      </c>
      <c r="F2891" t="str">
        <f t="shared" ca="1" si="1042"/>
        <v xml:space="preserve">Enter a 'Cost of Acquiring the Building***' for  building 82 in cell N85.
</v>
      </c>
      <c r="G2891" s="9" t="str">
        <f t="shared" ca="1" si="1029"/>
        <v xml:space="preserve">Enter a value for 'Number of Floors in the Tallest Building' in cell B60.
</v>
      </c>
      <c r="H2891" s="52" t="str">
        <f t="shared" ca="1" si="1043"/>
        <v>Cost of Acquiring the Building***</v>
      </c>
      <c r="I2891" s="52">
        <v>14</v>
      </c>
    </row>
    <row r="2892" spans="1:10" ht="15" customHeight="1">
      <c r="A2892" t="str">
        <f ca="1">IF(AND(OFFSET(A2892, -I2892 + 2, 4) &gt;  0, E2892="", Calculations!$B$7), F2892, "")</f>
        <v/>
      </c>
      <c r="B2892">
        <f t="shared" si="1039"/>
        <v>85</v>
      </c>
      <c r="C2892">
        <f t="shared" ca="1" si="1031"/>
        <v>82</v>
      </c>
      <c r="D2892" t="str">
        <f t="shared" si="1040"/>
        <v>O85</v>
      </c>
      <c r="E2892" t="str">
        <f t="shared" ca="1" si="1041"/>
        <v/>
      </c>
      <c r="F2892" t="str">
        <f t="shared" ca="1" si="1042"/>
        <v xml:space="preserve">Enter a 'Higher of Land Purchase Price or Land Appraised Value****' for  building 82 in cell O85.
</v>
      </c>
      <c r="G2892" s="9" t="str">
        <f t="shared" ca="1" si="1029"/>
        <v xml:space="preserve">Enter a value for 'Number of Floors in the Tallest Building' in cell B60.
</v>
      </c>
      <c r="H2892" s="52" t="str">
        <f t="shared" ca="1" si="1043"/>
        <v>Higher of Land Purchase Price or Land Appraised Value****</v>
      </c>
      <c r="I2892" s="52">
        <v>15</v>
      </c>
    </row>
    <row r="2893" spans="1:10" ht="15" customHeight="1">
      <c r="A2893" t="str">
        <f ca="1">IF(AND(OFFSET(A2893, -I2893 + 2, 4) &gt;  0, E2893="", Calculations!$B$7), F2893, "")</f>
        <v/>
      </c>
      <c r="B2893">
        <f t="shared" si="1039"/>
        <v>85</v>
      </c>
      <c r="C2893">
        <f t="shared" ca="1" si="1031"/>
        <v>82</v>
      </c>
      <c r="D2893" t="str">
        <f t="shared" si="1040"/>
        <v>P85</v>
      </c>
      <c r="E2893" t="str">
        <f t="shared" ca="1" si="1041"/>
        <v/>
      </c>
      <c r="F2893" t="str">
        <f t="shared" ca="1" si="1042"/>
        <v xml:space="preserve">Enter a 'Acquisition Placed-in-Service Date' for  building 82 in cell P85.
</v>
      </c>
      <c r="G2893" s="9" t="str">
        <f t="shared" ca="1" si="1029"/>
        <v xml:space="preserve">Enter a value for 'Number of Floors in the Tallest Building' in cell B60.
</v>
      </c>
      <c r="H2893" s="52" t="str">
        <f t="shared" ca="1" si="1043"/>
        <v>Acquisition Placed-in-Service Date</v>
      </c>
      <c r="I2893" s="52">
        <v>16</v>
      </c>
    </row>
    <row r="2894" spans="1:10" ht="15" customHeight="1">
      <c r="A2894" t="str">
        <f ca="1">IF(AND(OFFSET(A2894, -I2894 + 2, 4) &gt;  0, E2894="", Calculations!$B$7), F2894, "")</f>
        <v/>
      </c>
      <c r="B2894">
        <f t="shared" si="1039"/>
        <v>85</v>
      </c>
      <c r="C2894">
        <f t="shared" ca="1" si="1031"/>
        <v>82</v>
      </c>
      <c r="D2894" t="str">
        <f t="shared" si="1040"/>
        <v>Q85</v>
      </c>
      <c r="E2894" t="str">
        <f t="shared" ca="1" si="1041"/>
        <v/>
      </c>
      <c r="F2894" t="str">
        <f t="shared" ca="1" si="1042"/>
        <v xml:space="preserve">Enter a 'Acquisition APR' for  building 82 in cell Q85.
</v>
      </c>
      <c r="G2894" s="9" t="str">
        <f t="shared" ca="1" si="1029"/>
        <v xml:space="preserve">Enter a value for 'Number of Floors in the Tallest Building' in cell B60.
</v>
      </c>
      <c r="H2894" s="52" t="str">
        <f t="shared" ca="1" si="1043"/>
        <v>Acquisition APR</v>
      </c>
      <c r="I2894" s="52">
        <v>17</v>
      </c>
    </row>
    <row r="2895" spans="1:10" ht="15" customHeight="1">
      <c r="A2895" t="str">
        <f ca="1">IF(AND(Calculations!$B$4,Calculations!$B$29&gt;=C2895, E2895 &lt;&gt; 13),F2895,"")</f>
        <v/>
      </c>
      <c r="B2895">
        <f>ROW('Final Building Profile'!C86)</f>
        <v>86</v>
      </c>
      <c r="C2895">
        <f t="shared" ca="1" si="1031"/>
        <v>83</v>
      </c>
      <c r="D2895" t="str">
        <f>ADDRESS(B2895, 3,4  )</f>
        <v>C86</v>
      </c>
      <c r="E2895" s="52">
        <f ca="1">H2895+I2895</f>
        <v>0</v>
      </c>
      <c r="F2895" t="str">
        <f ca="1">CONCATENATE("Based upon the number of buildings specified, information for  building ", C2895, " required for a final application in row ", B2895, ".", CHAR(10))</f>
        <v xml:space="preserve">Based upon the number of buildings specified, information for  building 83 required for a final application in row 86.
</v>
      </c>
      <c r="G2895" s="9" t="str">
        <f t="shared" ca="1" si="1029"/>
        <v xml:space="preserve">Enter a value for 'Number of Floors in the Tallest Building' in cell B60.
</v>
      </c>
      <c r="H2895" s="52">
        <f ca="1">SUMPRODUCT(--ISTEXT(INDIRECT(J2895)))</f>
        <v>0</v>
      </c>
      <c r="I2895" s="52">
        <f ca="1">SUMPRODUCT(--ISNUMBER(INDIRECT(J2895)))</f>
        <v>0</v>
      </c>
      <c r="J2895" s="52" t="str">
        <f>$F$1565&amp; ADDRESS(B2895,3,4) &amp; ":" &amp; ADDRESS(B2895,15,4)</f>
        <v>'Final Building Profile'!C86:O86</v>
      </c>
    </row>
    <row r="2896" spans="1:10" ht="15" customHeight="1">
      <c r="A2896" t="str">
        <f t="shared" ref="A2896:A2905" ca="1" si="1044">IF(AND(OFFSET(A2896, -I2896 + 2, 4) &gt;  0, E2896=""), F2896, "")</f>
        <v/>
      </c>
      <c r="B2896">
        <f t="shared" ref="B2896:B2910" si="1045">B2895</f>
        <v>86</v>
      </c>
      <c r="C2896">
        <f t="shared" ca="1" si="1031"/>
        <v>83</v>
      </c>
      <c r="D2896" t="str">
        <f t="shared" ref="D2896:D2910" si="1046">ADDRESS(B2896, I2896,4  )</f>
        <v>C86</v>
      </c>
      <c r="E2896" t="str">
        <f t="shared" ref="E2896:E2910" ca="1" si="1047">IF(ISBLANK( INDIRECT($F$1565 &amp; D2896)),"", INDIRECT($F$1565 &amp; D2896))</f>
        <v/>
      </c>
      <c r="F2896" t="str">
        <f t="shared" ref="F2896:F2910" ca="1" si="1048">CONCATENATE("Enter a '"&amp; H2896 &amp;"' for  building ", C2896, " in cell ", D2896, ".", CHAR(10))</f>
        <v xml:space="preserve">Enter a 'Building Street Address Only 
(DO NOT ENTER CITY, STATE, OR ZIP)' for  building 83 in cell C86.
</v>
      </c>
      <c r="G2896" s="9" t="str">
        <f t="shared" ca="1" si="1029"/>
        <v xml:space="preserve">Enter a value for 'Number of Floors in the Tallest Building' in cell B60.
</v>
      </c>
      <c r="H2896" s="52" t="str">
        <f t="shared" ref="H2896:H2910" ca="1" si="1049">OFFSET(INDIRECT($F$1565 &amp; D2896), -B2896 + 3, 0)</f>
        <v>Building Street Address Only 
(DO NOT ENTER CITY, STATE, OR ZIP)</v>
      </c>
      <c r="I2896" s="52">
        <v>3</v>
      </c>
    </row>
    <row r="2897" spans="1:10" ht="15" customHeight="1">
      <c r="A2897" t="str">
        <f t="shared" ca="1" si="1044"/>
        <v/>
      </c>
      <c r="B2897">
        <f t="shared" si="1045"/>
        <v>86</v>
      </c>
      <c r="C2897">
        <f t="shared" ca="1" si="1031"/>
        <v>83</v>
      </c>
      <c r="D2897" t="str">
        <f t="shared" si="1046"/>
        <v>D86</v>
      </c>
      <c r="E2897" t="str">
        <f t="shared" ca="1" si="1047"/>
        <v/>
      </c>
      <c r="F2897" t="str">
        <f t="shared" ca="1" si="1048"/>
        <v xml:space="preserve">Enter a 'Total Units in Building*' for  building 83 in cell D86.
</v>
      </c>
      <c r="G2897" s="9" t="str">
        <f t="shared" ca="1" si="1029"/>
        <v xml:space="preserve">Enter a value for 'Number of Floors in the Tallest Building' in cell B60.
</v>
      </c>
      <c r="H2897" s="52" t="str">
        <f t="shared" ca="1" si="1049"/>
        <v>Total Units in Building*</v>
      </c>
      <c r="I2897" s="52">
        <v>4</v>
      </c>
    </row>
    <row r="2898" spans="1:10" ht="15" customHeight="1">
      <c r="A2898" t="str">
        <f t="shared" ca="1" si="1044"/>
        <v/>
      </c>
      <c r="B2898">
        <f t="shared" si="1045"/>
        <v>86</v>
      </c>
      <c r="C2898">
        <f t="shared" ca="1" si="1031"/>
        <v>83</v>
      </c>
      <c r="D2898" t="str">
        <f t="shared" si="1046"/>
        <v>E86</v>
      </c>
      <c r="E2898" t="str">
        <f t="shared" ca="1" si="1047"/>
        <v/>
      </c>
      <c r="F2898" t="str">
        <f t="shared" ca="1" si="1048"/>
        <v xml:space="preserve">Enter a 'Employee Units' for  building 83 in cell E86.
</v>
      </c>
      <c r="G2898" s="9" t="str">
        <f t="shared" ca="1" si="1029"/>
        <v xml:space="preserve">Enter a value for 'Number of Floors in the Tallest Building' in cell B60.
</v>
      </c>
      <c r="H2898" s="52" t="str">
        <f t="shared" ca="1" si="1049"/>
        <v>Employee Units</v>
      </c>
      <c r="I2898" s="52">
        <v>5</v>
      </c>
    </row>
    <row r="2899" spans="1:10" ht="15" customHeight="1">
      <c r="A2899" t="str">
        <f t="shared" ca="1" si="1044"/>
        <v/>
      </c>
      <c r="B2899">
        <f t="shared" si="1045"/>
        <v>86</v>
      </c>
      <c r="C2899">
        <f t="shared" ca="1" si="1031"/>
        <v>83</v>
      </c>
      <c r="D2899" t="str">
        <f t="shared" si="1046"/>
        <v>F86</v>
      </c>
      <c r="E2899" t="str">
        <f t="shared" ca="1" si="1047"/>
        <v/>
      </c>
      <c r="F2899" t="str">
        <f t="shared" ca="1" si="1048"/>
        <v xml:space="preserve">Enter a 'Low-Income Units' for  building 83 in cell F86.
</v>
      </c>
      <c r="G2899" s="9" t="str">
        <f t="shared" ca="1" si="1029"/>
        <v xml:space="preserve">Enter a value for 'Number of Floors in the Tallest Building' in cell B60.
</v>
      </c>
      <c r="H2899" s="52" t="str">
        <f t="shared" ca="1" si="1049"/>
        <v>Low-Income Units</v>
      </c>
      <c r="I2899" s="52">
        <v>6</v>
      </c>
    </row>
    <row r="2900" spans="1:10" ht="15" customHeight="1">
      <c r="A2900" t="str">
        <f t="shared" ca="1" si="1044"/>
        <v/>
      </c>
      <c r="B2900">
        <f t="shared" si="1045"/>
        <v>86</v>
      </c>
      <c r="C2900">
        <f t="shared" ca="1" si="1031"/>
        <v>83</v>
      </c>
      <c r="D2900" t="str">
        <f t="shared" si="1046"/>
        <v>G86</v>
      </c>
      <c r="E2900" t="str">
        <f t="shared" ca="1" si="1047"/>
        <v/>
      </c>
      <c r="F2900" t="str">
        <f t="shared" ca="1" si="1048"/>
        <v xml:space="preserve">Enter a 'Residential Square Footage**' for  building 83 in cell G86.
</v>
      </c>
      <c r="G2900" s="9" t="str">
        <f t="shared" ca="1" si="1029"/>
        <v xml:space="preserve">Enter a value for 'Number of Floors in the Tallest Building' in cell B60.
</v>
      </c>
      <c r="H2900" s="52" t="str">
        <f t="shared" ca="1" si="1049"/>
        <v>Residential Square Footage**</v>
      </c>
      <c r="I2900" s="52">
        <v>7</v>
      </c>
    </row>
    <row r="2901" spans="1:10" ht="15" customHeight="1">
      <c r="A2901" t="str">
        <f t="shared" ca="1" si="1044"/>
        <v/>
      </c>
      <c r="B2901">
        <f t="shared" si="1045"/>
        <v>86</v>
      </c>
      <c r="C2901">
        <f t="shared" ca="1" si="1031"/>
        <v>83</v>
      </c>
      <c r="D2901" t="str">
        <f t="shared" si="1046"/>
        <v>H86</v>
      </c>
      <c r="E2901" t="str">
        <f t="shared" ca="1" si="1047"/>
        <v/>
      </c>
      <c r="F2901" t="str">
        <f t="shared" ca="1" si="1048"/>
        <v xml:space="preserve">Enter a 'Square Footage of Employee Units' for  building 83 in cell H86.
</v>
      </c>
      <c r="G2901" s="9" t="str">
        <f t="shared" ca="1" si="1029"/>
        <v xml:space="preserve">Enter a value for 'Number of Floors in the Tallest Building' in cell B60.
</v>
      </c>
      <c r="H2901" s="52" t="str">
        <f t="shared" ca="1" si="1049"/>
        <v>Square Footage of Employee Units</v>
      </c>
      <c r="I2901" s="52">
        <v>8</v>
      </c>
    </row>
    <row r="2902" spans="1:10" ht="15" customHeight="1">
      <c r="A2902" t="str">
        <f t="shared" ca="1" si="1044"/>
        <v/>
      </c>
      <c r="B2902">
        <f t="shared" si="1045"/>
        <v>86</v>
      </c>
      <c r="C2902">
        <f t="shared" ca="1" si="1031"/>
        <v>83</v>
      </c>
      <c r="D2902" t="str">
        <f t="shared" si="1046"/>
        <v>I86</v>
      </c>
      <c r="E2902" t="str">
        <f t="shared" ca="1" si="1047"/>
        <v/>
      </c>
      <c r="F2902" t="str">
        <f t="shared" ca="1" si="1048"/>
        <v xml:space="preserve">Enter a 'Square Footage of Low-Income Units' for  building 83 in cell I86.
</v>
      </c>
      <c r="G2902" s="9" t="str">
        <f t="shared" ca="1" si="1029"/>
        <v xml:space="preserve">Enter a value for 'Number of Floors in the Tallest Building' in cell B60.
</v>
      </c>
      <c r="H2902" s="52" t="str">
        <f t="shared" ca="1" si="1049"/>
        <v>Square Footage of Low-Income Units</v>
      </c>
      <c r="I2902" s="52">
        <v>9</v>
      </c>
    </row>
    <row r="2903" spans="1:10" ht="15" customHeight="1">
      <c r="A2903" t="str">
        <f t="shared" ca="1" si="1044"/>
        <v/>
      </c>
      <c r="B2903">
        <f t="shared" si="1045"/>
        <v>86</v>
      </c>
      <c r="C2903">
        <f t="shared" ca="1" si="1031"/>
        <v>83</v>
      </c>
      <c r="D2903" t="str">
        <f t="shared" si="1046"/>
        <v>J86</v>
      </c>
      <c r="E2903" t="str">
        <f t="shared" ca="1" si="1047"/>
        <v/>
      </c>
      <c r="F2903" t="str">
        <f t="shared" ca="1" si="1048"/>
        <v xml:space="preserve">Enter a 'Placed-In-Service Date' for  building 83 in cell J86.
</v>
      </c>
      <c r="G2903" s="9" t="str">
        <f t="shared" ca="1" si="1029"/>
        <v xml:space="preserve">Enter a value for 'Number of Floors in the Tallest Building' in cell B60.
</v>
      </c>
      <c r="H2903" s="52" t="str">
        <f t="shared" ca="1" si="1049"/>
        <v>Placed-In-Service Date</v>
      </c>
      <c r="I2903" s="52">
        <v>10</v>
      </c>
    </row>
    <row r="2904" spans="1:10" ht="15" customHeight="1">
      <c r="A2904" t="str">
        <f t="shared" ca="1" si="1044"/>
        <v/>
      </c>
      <c r="B2904">
        <f t="shared" si="1045"/>
        <v>86</v>
      </c>
      <c r="C2904">
        <f t="shared" ca="1" si="1031"/>
        <v>83</v>
      </c>
      <c r="D2904" t="str">
        <f t="shared" si="1046"/>
        <v>K86</v>
      </c>
      <c r="E2904" t="str">
        <f t="shared" ca="1" si="1047"/>
        <v/>
      </c>
      <c r="F2904" t="str">
        <f t="shared" ca="1" si="1048"/>
        <v xml:space="preserve">Enter a 'New Construction/ Rehab APR' for  building 83 in cell K86.
</v>
      </c>
      <c r="G2904" s="9" t="str">
        <f t="shared" ca="1" si="1029"/>
        <v xml:space="preserve">Enter a value for 'Number of Floors in the Tallest Building' in cell B60.
</v>
      </c>
      <c r="H2904" s="52" t="str">
        <f t="shared" ca="1" si="1049"/>
        <v>New Construction/ Rehab APR</v>
      </c>
      <c r="I2904" s="52">
        <v>11</v>
      </c>
    </row>
    <row r="2905" spans="1:10" ht="15" customHeight="1">
      <c r="A2905" t="str">
        <f t="shared" ca="1" si="1044"/>
        <v/>
      </c>
      <c r="B2905">
        <f t="shared" si="1045"/>
        <v>86</v>
      </c>
      <c r="C2905">
        <f t="shared" ca="1" si="1031"/>
        <v>83</v>
      </c>
      <c r="D2905" t="str">
        <f t="shared" si="1046"/>
        <v>L86</v>
      </c>
      <c r="E2905" t="str">
        <f t="shared" ca="1" si="1047"/>
        <v/>
      </c>
      <c r="F2905" t="str">
        <f t="shared" ca="1" si="1048"/>
        <v xml:space="preserve">Enter a 'New Construction Eligible Basis' for  building 83 in cell L86.
</v>
      </c>
      <c r="G2905" s="9" t="str">
        <f t="shared" ca="1" si="1029"/>
        <v xml:space="preserve">Enter a value for 'Number of Floors in the Tallest Building' in cell B60.
</v>
      </c>
      <c r="H2905" s="52" t="str">
        <f t="shared" ca="1" si="1049"/>
        <v>New Construction Eligible Basis</v>
      </c>
      <c r="I2905" s="52">
        <v>12</v>
      </c>
    </row>
    <row r="2906" spans="1:10" ht="15" customHeight="1">
      <c r="A2906" t="str">
        <f ca="1">IF(AND(OFFSET(A2906, -I2906 + 2, 4) &gt;  0, E2906="", Calculations!$B$7), F2906, "")</f>
        <v/>
      </c>
      <c r="B2906">
        <f t="shared" si="1045"/>
        <v>86</v>
      </c>
      <c r="C2906">
        <f t="shared" ca="1" si="1031"/>
        <v>83</v>
      </c>
      <c r="D2906" t="str">
        <f t="shared" si="1046"/>
        <v>M86</v>
      </c>
      <c r="E2906" t="str">
        <f t="shared" ca="1" si="1047"/>
        <v/>
      </c>
      <c r="F2906" t="str">
        <f t="shared" ca="1" si="1048"/>
        <v xml:space="preserve">Enter a 'Eligible Basis for Rehab' for  building 83 in cell M86.
</v>
      </c>
      <c r="G2906" s="9" t="str">
        <f t="shared" ca="1" si="1029"/>
        <v xml:space="preserve">Enter a value for 'Number of Floors in the Tallest Building' in cell B60.
</v>
      </c>
      <c r="H2906" s="52" t="str">
        <f t="shared" ca="1" si="1049"/>
        <v>Eligible Basis for Rehab</v>
      </c>
      <c r="I2906" s="52">
        <v>13</v>
      </c>
    </row>
    <row r="2907" spans="1:10" ht="15" customHeight="1">
      <c r="A2907" t="str">
        <f ca="1">IF(AND(OFFSET(A2907, -I2907 + 2, 4) &gt;  0, E2907="", Calculations!$B$7), F2907, "")</f>
        <v/>
      </c>
      <c r="B2907">
        <f t="shared" si="1045"/>
        <v>86</v>
      </c>
      <c r="C2907">
        <f t="shared" ca="1" si="1031"/>
        <v>83</v>
      </c>
      <c r="D2907" t="str">
        <f t="shared" si="1046"/>
        <v>N86</v>
      </c>
      <c r="E2907" t="str">
        <f t="shared" ca="1" si="1047"/>
        <v/>
      </c>
      <c r="F2907" t="str">
        <f t="shared" ca="1" si="1048"/>
        <v xml:space="preserve">Enter a 'Cost of Acquiring the Building***' for  building 83 in cell N86.
</v>
      </c>
      <c r="G2907" s="9" t="str">
        <f t="shared" ca="1" si="1029"/>
        <v xml:space="preserve">Enter a value for 'Number of Floors in the Tallest Building' in cell B60.
</v>
      </c>
      <c r="H2907" s="52" t="str">
        <f t="shared" ca="1" si="1049"/>
        <v>Cost of Acquiring the Building***</v>
      </c>
      <c r="I2907" s="52">
        <v>14</v>
      </c>
    </row>
    <row r="2908" spans="1:10" ht="15" customHeight="1">
      <c r="A2908" t="str">
        <f ca="1">IF(AND(OFFSET(A2908, -I2908 + 2, 4) &gt;  0, E2908="", Calculations!$B$7), F2908, "")</f>
        <v/>
      </c>
      <c r="B2908">
        <f t="shared" si="1045"/>
        <v>86</v>
      </c>
      <c r="C2908">
        <f t="shared" ca="1" si="1031"/>
        <v>83</v>
      </c>
      <c r="D2908" t="str">
        <f t="shared" si="1046"/>
        <v>O86</v>
      </c>
      <c r="E2908" t="str">
        <f t="shared" ca="1" si="1047"/>
        <v/>
      </c>
      <c r="F2908" t="str">
        <f t="shared" ca="1" si="1048"/>
        <v xml:space="preserve">Enter a 'Higher of Land Purchase Price or Land Appraised Value****' for  building 83 in cell O86.
</v>
      </c>
      <c r="G2908" s="9" t="str">
        <f t="shared" ca="1" si="1029"/>
        <v xml:space="preserve">Enter a value for 'Number of Floors in the Tallest Building' in cell B60.
</v>
      </c>
      <c r="H2908" s="52" t="str">
        <f t="shared" ca="1" si="1049"/>
        <v>Higher of Land Purchase Price or Land Appraised Value****</v>
      </c>
      <c r="I2908" s="52">
        <v>15</v>
      </c>
    </row>
    <row r="2909" spans="1:10" ht="15" customHeight="1">
      <c r="A2909" t="str">
        <f ca="1">IF(AND(OFFSET(A2909, -I2909 + 2, 4) &gt;  0, E2909="", Calculations!$B$7), F2909, "")</f>
        <v/>
      </c>
      <c r="B2909">
        <f t="shared" si="1045"/>
        <v>86</v>
      </c>
      <c r="C2909">
        <f t="shared" ca="1" si="1031"/>
        <v>83</v>
      </c>
      <c r="D2909" t="str">
        <f t="shared" si="1046"/>
        <v>P86</v>
      </c>
      <c r="E2909" t="str">
        <f t="shared" ca="1" si="1047"/>
        <v/>
      </c>
      <c r="F2909" t="str">
        <f t="shared" ca="1" si="1048"/>
        <v xml:space="preserve">Enter a 'Acquisition Placed-in-Service Date' for  building 83 in cell P86.
</v>
      </c>
      <c r="G2909" s="9" t="str">
        <f t="shared" ca="1" si="1029"/>
        <v xml:space="preserve">Enter a value for 'Number of Floors in the Tallest Building' in cell B60.
</v>
      </c>
      <c r="H2909" s="52" t="str">
        <f t="shared" ca="1" si="1049"/>
        <v>Acquisition Placed-in-Service Date</v>
      </c>
      <c r="I2909" s="52">
        <v>16</v>
      </c>
    </row>
    <row r="2910" spans="1:10" ht="15" customHeight="1">
      <c r="A2910" t="str">
        <f ca="1">IF(AND(OFFSET(A2910, -I2910 + 2, 4) &gt;  0, E2910="", Calculations!$B$7), F2910, "")</f>
        <v/>
      </c>
      <c r="B2910">
        <f t="shared" si="1045"/>
        <v>86</v>
      </c>
      <c r="C2910">
        <f t="shared" ca="1" si="1031"/>
        <v>83</v>
      </c>
      <c r="D2910" t="str">
        <f t="shared" si="1046"/>
        <v>Q86</v>
      </c>
      <c r="E2910" t="str">
        <f t="shared" ca="1" si="1047"/>
        <v/>
      </c>
      <c r="F2910" t="str">
        <f t="shared" ca="1" si="1048"/>
        <v xml:space="preserve">Enter a 'Acquisition APR' for  building 83 in cell Q86.
</v>
      </c>
      <c r="G2910" s="9" t="str">
        <f t="shared" ca="1" si="1029"/>
        <v xml:space="preserve">Enter a value for 'Number of Floors in the Tallest Building' in cell B60.
</v>
      </c>
      <c r="H2910" s="52" t="str">
        <f t="shared" ca="1" si="1049"/>
        <v>Acquisition APR</v>
      </c>
      <c r="I2910" s="52">
        <v>17</v>
      </c>
    </row>
    <row r="2911" spans="1:10" ht="15" customHeight="1">
      <c r="A2911" t="str">
        <f ca="1">IF(AND(Calculations!$B$4,Calculations!$B$29&gt;=C2911, E2911 &lt;&gt; 13),F2911,"")</f>
        <v/>
      </c>
      <c r="B2911">
        <f>ROW('Final Building Profile'!C87)</f>
        <v>87</v>
      </c>
      <c r="C2911">
        <f t="shared" ca="1" si="1031"/>
        <v>84</v>
      </c>
      <c r="D2911" t="str">
        <f>ADDRESS(B2911, 3,4  )</f>
        <v>C87</v>
      </c>
      <c r="E2911" s="52">
        <f ca="1">H2911+I2911</f>
        <v>0</v>
      </c>
      <c r="F2911" t="str">
        <f ca="1">CONCATENATE("Based upon the number of buildings specified, information for  building ", C2911, " required for a final application in row ", B2911, ".", CHAR(10))</f>
        <v xml:space="preserve">Based upon the number of buildings specified, information for  building 84 required for a final application in row 87.
</v>
      </c>
      <c r="G2911" s="9" t="str">
        <f t="shared" ca="1" si="1029"/>
        <v xml:space="preserve">Enter a value for 'Number of Floors in the Tallest Building' in cell B60.
</v>
      </c>
      <c r="H2911" s="52">
        <f ca="1">SUMPRODUCT(--ISTEXT(INDIRECT(J2911)))</f>
        <v>0</v>
      </c>
      <c r="I2911" s="52">
        <f ca="1">SUMPRODUCT(--ISNUMBER(INDIRECT(J2911)))</f>
        <v>0</v>
      </c>
      <c r="J2911" s="52" t="str">
        <f>$F$1565&amp; ADDRESS(B2911,3,4) &amp; ":" &amp; ADDRESS(B2911,15,4)</f>
        <v>'Final Building Profile'!C87:O87</v>
      </c>
    </row>
    <row r="2912" spans="1:10" ht="15" customHeight="1">
      <c r="A2912" t="str">
        <f t="shared" ref="A2912:A2921" ca="1" si="1050">IF(AND(OFFSET(A2912, -I2912 + 2, 4) &gt;  0, E2912=""), F2912, "")</f>
        <v/>
      </c>
      <c r="B2912">
        <f t="shared" ref="B2912:B2926" si="1051">B2911</f>
        <v>87</v>
      </c>
      <c r="C2912">
        <f t="shared" ca="1" si="1031"/>
        <v>84</v>
      </c>
      <c r="D2912" t="str">
        <f t="shared" ref="D2912:D2926" si="1052">ADDRESS(B2912, I2912,4  )</f>
        <v>C87</v>
      </c>
      <c r="E2912" t="str">
        <f t="shared" ref="E2912:E2926" ca="1" si="1053">IF(ISBLANK( INDIRECT($F$1565 &amp; D2912)),"", INDIRECT($F$1565 &amp; D2912))</f>
        <v/>
      </c>
      <c r="F2912" t="str">
        <f t="shared" ref="F2912:F2926" ca="1" si="1054">CONCATENATE("Enter a '"&amp; H2912 &amp;"' for  building ", C2912, " in cell ", D2912, ".", CHAR(10))</f>
        <v xml:space="preserve">Enter a 'Building Street Address Only 
(DO NOT ENTER CITY, STATE, OR ZIP)' for  building 84 in cell C87.
</v>
      </c>
      <c r="G2912" s="9" t="str">
        <f t="shared" ref="G2912:G2975" ca="1" si="1055">OFFSET(G2912, -1, 0) &amp; A2912</f>
        <v xml:space="preserve">Enter a value for 'Number of Floors in the Tallest Building' in cell B60.
</v>
      </c>
      <c r="H2912" s="52" t="str">
        <f t="shared" ref="H2912:H2926" ca="1" si="1056">OFFSET(INDIRECT($F$1565 &amp; D2912), -B2912 + 3, 0)</f>
        <v>Building Street Address Only 
(DO NOT ENTER CITY, STATE, OR ZIP)</v>
      </c>
      <c r="I2912" s="52">
        <v>3</v>
      </c>
    </row>
    <row r="2913" spans="1:10" ht="15" customHeight="1">
      <c r="A2913" t="str">
        <f t="shared" ca="1" si="1050"/>
        <v/>
      </c>
      <c r="B2913">
        <f t="shared" si="1051"/>
        <v>87</v>
      </c>
      <c r="C2913">
        <f t="shared" ca="1" si="1031"/>
        <v>84</v>
      </c>
      <c r="D2913" t="str">
        <f t="shared" si="1052"/>
        <v>D87</v>
      </c>
      <c r="E2913" t="str">
        <f t="shared" ca="1" si="1053"/>
        <v/>
      </c>
      <c r="F2913" t="str">
        <f t="shared" ca="1" si="1054"/>
        <v xml:space="preserve">Enter a 'Total Units in Building*' for  building 84 in cell D87.
</v>
      </c>
      <c r="G2913" s="9" t="str">
        <f t="shared" ca="1" si="1055"/>
        <v xml:space="preserve">Enter a value for 'Number of Floors in the Tallest Building' in cell B60.
</v>
      </c>
      <c r="H2913" s="52" t="str">
        <f t="shared" ca="1" si="1056"/>
        <v>Total Units in Building*</v>
      </c>
      <c r="I2913" s="52">
        <v>4</v>
      </c>
    </row>
    <row r="2914" spans="1:10" ht="15" customHeight="1">
      <c r="A2914" t="str">
        <f t="shared" ca="1" si="1050"/>
        <v/>
      </c>
      <c r="B2914">
        <f t="shared" si="1051"/>
        <v>87</v>
      </c>
      <c r="C2914">
        <f t="shared" ca="1" si="1031"/>
        <v>84</v>
      </c>
      <c r="D2914" t="str">
        <f t="shared" si="1052"/>
        <v>E87</v>
      </c>
      <c r="E2914" t="str">
        <f t="shared" ca="1" si="1053"/>
        <v/>
      </c>
      <c r="F2914" t="str">
        <f t="shared" ca="1" si="1054"/>
        <v xml:space="preserve">Enter a 'Employee Units' for  building 84 in cell E87.
</v>
      </c>
      <c r="G2914" s="9" t="str">
        <f t="shared" ca="1" si="1055"/>
        <v xml:space="preserve">Enter a value for 'Number of Floors in the Tallest Building' in cell B60.
</v>
      </c>
      <c r="H2914" s="52" t="str">
        <f t="shared" ca="1" si="1056"/>
        <v>Employee Units</v>
      </c>
      <c r="I2914" s="52">
        <v>5</v>
      </c>
    </row>
    <row r="2915" spans="1:10" ht="15" customHeight="1">
      <c r="A2915" t="str">
        <f t="shared" ca="1" si="1050"/>
        <v/>
      </c>
      <c r="B2915">
        <f t="shared" si="1051"/>
        <v>87</v>
      </c>
      <c r="C2915">
        <f t="shared" ca="1" si="1031"/>
        <v>84</v>
      </c>
      <c r="D2915" t="str">
        <f t="shared" si="1052"/>
        <v>F87</v>
      </c>
      <c r="E2915" t="str">
        <f t="shared" ca="1" si="1053"/>
        <v/>
      </c>
      <c r="F2915" t="str">
        <f t="shared" ca="1" si="1054"/>
        <v xml:space="preserve">Enter a 'Low-Income Units' for  building 84 in cell F87.
</v>
      </c>
      <c r="G2915" s="9" t="str">
        <f t="shared" ca="1" si="1055"/>
        <v xml:space="preserve">Enter a value for 'Number of Floors in the Tallest Building' in cell B60.
</v>
      </c>
      <c r="H2915" s="52" t="str">
        <f t="shared" ca="1" si="1056"/>
        <v>Low-Income Units</v>
      </c>
      <c r="I2915" s="52">
        <v>6</v>
      </c>
    </row>
    <row r="2916" spans="1:10" ht="15" customHeight="1">
      <c r="A2916" t="str">
        <f t="shared" ca="1" si="1050"/>
        <v/>
      </c>
      <c r="B2916">
        <f t="shared" si="1051"/>
        <v>87</v>
      </c>
      <c r="C2916">
        <f t="shared" ca="1" si="1031"/>
        <v>84</v>
      </c>
      <c r="D2916" t="str">
        <f t="shared" si="1052"/>
        <v>G87</v>
      </c>
      <c r="E2916" t="str">
        <f t="shared" ca="1" si="1053"/>
        <v/>
      </c>
      <c r="F2916" t="str">
        <f t="shared" ca="1" si="1054"/>
        <v xml:space="preserve">Enter a 'Residential Square Footage**' for  building 84 in cell G87.
</v>
      </c>
      <c r="G2916" s="9" t="str">
        <f t="shared" ca="1" si="1055"/>
        <v xml:space="preserve">Enter a value for 'Number of Floors in the Tallest Building' in cell B60.
</v>
      </c>
      <c r="H2916" s="52" t="str">
        <f t="shared" ca="1" si="1056"/>
        <v>Residential Square Footage**</v>
      </c>
      <c r="I2916" s="52">
        <v>7</v>
      </c>
    </row>
    <row r="2917" spans="1:10" ht="15" customHeight="1">
      <c r="A2917" t="str">
        <f t="shared" ca="1" si="1050"/>
        <v/>
      </c>
      <c r="B2917">
        <f t="shared" si="1051"/>
        <v>87</v>
      </c>
      <c r="C2917">
        <f t="shared" ca="1" si="1031"/>
        <v>84</v>
      </c>
      <c r="D2917" t="str">
        <f t="shared" si="1052"/>
        <v>H87</v>
      </c>
      <c r="E2917" t="str">
        <f t="shared" ca="1" si="1053"/>
        <v/>
      </c>
      <c r="F2917" t="str">
        <f t="shared" ca="1" si="1054"/>
        <v xml:space="preserve">Enter a 'Square Footage of Employee Units' for  building 84 in cell H87.
</v>
      </c>
      <c r="G2917" s="9" t="str">
        <f t="shared" ca="1" si="1055"/>
        <v xml:space="preserve">Enter a value for 'Number of Floors in the Tallest Building' in cell B60.
</v>
      </c>
      <c r="H2917" s="52" t="str">
        <f t="shared" ca="1" si="1056"/>
        <v>Square Footage of Employee Units</v>
      </c>
      <c r="I2917" s="52">
        <v>8</v>
      </c>
    </row>
    <row r="2918" spans="1:10" ht="15" customHeight="1">
      <c r="A2918" t="str">
        <f t="shared" ca="1" si="1050"/>
        <v/>
      </c>
      <c r="B2918">
        <f t="shared" si="1051"/>
        <v>87</v>
      </c>
      <c r="C2918">
        <f t="shared" ca="1" si="1031"/>
        <v>84</v>
      </c>
      <c r="D2918" t="str">
        <f t="shared" si="1052"/>
        <v>I87</v>
      </c>
      <c r="E2918" t="str">
        <f t="shared" ca="1" si="1053"/>
        <v/>
      </c>
      <c r="F2918" t="str">
        <f t="shared" ca="1" si="1054"/>
        <v xml:space="preserve">Enter a 'Square Footage of Low-Income Units' for  building 84 in cell I87.
</v>
      </c>
      <c r="G2918" s="9" t="str">
        <f t="shared" ca="1" si="1055"/>
        <v xml:space="preserve">Enter a value for 'Number of Floors in the Tallest Building' in cell B60.
</v>
      </c>
      <c r="H2918" s="52" t="str">
        <f t="shared" ca="1" si="1056"/>
        <v>Square Footage of Low-Income Units</v>
      </c>
      <c r="I2918" s="52">
        <v>9</v>
      </c>
    </row>
    <row r="2919" spans="1:10" ht="15" customHeight="1">
      <c r="A2919" t="str">
        <f t="shared" ca="1" si="1050"/>
        <v/>
      </c>
      <c r="B2919">
        <f t="shared" si="1051"/>
        <v>87</v>
      </c>
      <c r="C2919">
        <f t="shared" ca="1" si="1031"/>
        <v>84</v>
      </c>
      <c r="D2919" t="str">
        <f t="shared" si="1052"/>
        <v>J87</v>
      </c>
      <c r="E2919" t="str">
        <f t="shared" ca="1" si="1053"/>
        <v/>
      </c>
      <c r="F2919" t="str">
        <f t="shared" ca="1" si="1054"/>
        <v xml:space="preserve">Enter a 'Placed-In-Service Date' for  building 84 in cell J87.
</v>
      </c>
      <c r="G2919" s="9" t="str">
        <f t="shared" ca="1" si="1055"/>
        <v xml:space="preserve">Enter a value for 'Number of Floors in the Tallest Building' in cell B60.
</v>
      </c>
      <c r="H2919" s="52" t="str">
        <f t="shared" ca="1" si="1056"/>
        <v>Placed-In-Service Date</v>
      </c>
      <c r="I2919" s="52">
        <v>10</v>
      </c>
    </row>
    <row r="2920" spans="1:10" ht="15" customHeight="1">
      <c r="A2920" t="str">
        <f t="shared" ca="1" si="1050"/>
        <v/>
      </c>
      <c r="B2920">
        <f t="shared" si="1051"/>
        <v>87</v>
      </c>
      <c r="C2920">
        <f t="shared" ca="1" si="1031"/>
        <v>84</v>
      </c>
      <c r="D2920" t="str">
        <f t="shared" si="1052"/>
        <v>K87</v>
      </c>
      <c r="E2920" t="str">
        <f t="shared" ca="1" si="1053"/>
        <v/>
      </c>
      <c r="F2920" t="str">
        <f t="shared" ca="1" si="1054"/>
        <v xml:space="preserve">Enter a 'New Construction/ Rehab APR' for  building 84 in cell K87.
</v>
      </c>
      <c r="G2920" s="9" t="str">
        <f t="shared" ca="1" si="1055"/>
        <v xml:space="preserve">Enter a value for 'Number of Floors in the Tallest Building' in cell B60.
</v>
      </c>
      <c r="H2920" s="52" t="str">
        <f t="shared" ca="1" si="1056"/>
        <v>New Construction/ Rehab APR</v>
      </c>
      <c r="I2920" s="52">
        <v>11</v>
      </c>
    </row>
    <row r="2921" spans="1:10" ht="15" customHeight="1">
      <c r="A2921" t="str">
        <f t="shared" ca="1" si="1050"/>
        <v/>
      </c>
      <c r="B2921">
        <f t="shared" si="1051"/>
        <v>87</v>
      </c>
      <c r="C2921">
        <f t="shared" ca="1" si="1031"/>
        <v>84</v>
      </c>
      <c r="D2921" t="str">
        <f t="shared" si="1052"/>
        <v>L87</v>
      </c>
      <c r="E2921" t="str">
        <f t="shared" ca="1" si="1053"/>
        <v/>
      </c>
      <c r="F2921" t="str">
        <f t="shared" ca="1" si="1054"/>
        <v xml:space="preserve">Enter a 'New Construction Eligible Basis' for  building 84 in cell L87.
</v>
      </c>
      <c r="G2921" s="9" t="str">
        <f t="shared" ca="1" si="1055"/>
        <v xml:space="preserve">Enter a value for 'Number of Floors in the Tallest Building' in cell B60.
</v>
      </c>
      <c r="H2921" s="52" t="str">
        <f t="shared" ca="1" si="1056"/>
        <v>New Construction Eligible Basis</v>
      </c>
      <c r="I2921" s="52">
        <v>12</v>
      </c>
    </row>
    <row r="2922" spans="1:10" ht="15" customHeight="1">
      <c r="A2922" t="str">
        <f ca="1">IF(AND(OFFSET(A2922, -I2922 + 2, 4) &gt;  0, E2922="", Calculations!$B$7), F2922, "")</f>
        <v/>
      </c>
      <c r="B2922">
        <f t="shared" si="1051"/>
        <v>87</v>
      </c>
      <c r="C2922">
        <f t="shared" ca="1" si="1031"/>
        <v>84</v>
      </c>
      <c r="D2922" t="str">
        <f t="shared" si="1052"/>
        <v>M87</v>
      </c>
      <c r="E2922" t="str">
        <f t="shared" ca="1" si="1053"/>
        <v/>
      </c>
      <c r="F2922" t="str">
        <f t="shared" ca="1" si="1054"/>
        <v xml:space="preserve">Enter a 'Eligible Basis for Rehab' for  building 84 in cell M87.
</v>
      </c>
      <c r="G2922" s="9" t="str">
        <f t="shared" ca="1" si="1055"/>
        <v xml:space="preserve">Enter a value for 'Number of Floors in the Tallest Building' in cell B60.
</v>
      </c>
      <c r="H2922" s="52" t="str">
        <f t="shared" ca="1" si="1056"/>
        <v>Eligible Basis for Rehab</v>
      </c>
      <c r="I2922" s="52">
        <v>13</v>
      </c>
    </row>
    <row r="2923" spans="1:10" ht="15" customHeight="1">
      <c r="A2923" t="str">
        <f ca="1">IF(AND(OFFSET(A2923, -I2923 + 2, 4) &gt;  0, E2923="", Calculations!$B$7), F2923, "")</f>
        <v/>
      </c>
      <c r="B2923">
        <f t="shared" si="1051"/>
        <v>87</v>
      </c>
      <c r="C2923">
        <f t="shared" ca="1" si="1031"/>
        <v>84</v>
      </c>
      <c r="D2923" t="str">
        <f t="shared" si="1052"/>
        <v>N87</v>
      </c>
      <c r="E2923" t="str">
        <f t="shared" ca="1" si="1053"/>
        <v/>
      </c>
      <c r="F2923" t="str">
        <f t="shared" ca="1" si="1054"/>
        <v xml:space="preserve">Enter a 'Cost of Acquiring the Building***' for  building 84 in cell N87.
</v>
      </c>
      <c r="G2923" s="9" t="str">
        <f t="shared" ca="1" si="1055"/>
        <v xml:space="preserve">Enter a value for 'Number of Floors in the Tallest Building' in cell B60.
</v>
      </c>
      <c r="H2923" s="52" t="str">
        <f t="shared" ca="1" si="1056"/>
        <v>Cost of Acquiring the Building***</v>
      </c>
      <c r="I2923" s="52">
        <v>14</v>
      </c>
    </row>
    <row r="2924" spans="1:10" ht="15" customHeight="1">
      <c r="A2924" t="str">
        <f ca="1">IF(AND(OFFSET(A2924, -I2924 + 2, 4) &gt;  0, E2924="", Calculations!$B$7), F2924, "")</f>
        <v/>
      </c>
      <c r="B2924">
        <f t="shared" si="1051"/>
        <v>87</v>
      </c>
      <c r="C2924">
        <f t="shared" ca="1" si="1031"/>
        <v>84</v>
      </c>
      <c r="D2924" t="str">
        <f t="shared" si="1052"/>
        <v>O87</v>
      </c>
      <c r="E2924" t="str">
        <f t="shared" ca="1" si="1053"/>
        <v/>
      </c>
      <c r="F2924" t="str">
        <f t="shared" ca="1" si="1054"/>
        <v xml:space="preserve">Enter a 'Higher of Land Purchase Price or Land Appraised Value****' for  building 84 in cell O87.
</v>
      </c>
      <c r="G2924" s="9" t="str">
        <f t="shared" ca="1" si="1055"/>
        <v xml:space="preserve">Enter a value for 'Number of Floors in the Tallest Building' in cell B60.
</v>
      </c>
      <c r="H2924" s="52" t="str">
        <f t="shared" ca="1" si="1056"/>
        <v>Higher of Land Purchase Price or Land Appraised Value****</v>
      </c>
      <c r="I2924" s="52">
        <v>15</v>
      </c>
    </row>
    <row r="2925" spans="1:10" ht="15" customHeight="1">
      <c r="A2925" t="str">
        <f ca="1">IF(AND(OFFSET(A2925, -I2925 + 2, 4) &gt;  0, E2925="", Calculations!$B$7), F2925, "")</f>
        <v/>
      </c>
      <c r="B2925">
        <f t="shared" si="1051"/>
        <v>87</v>
      </c>
      <c r="C2925">
        <f t="shared" ca="1" si="1031"/>
        <v>84</v>
      </c>
      <c r="D2925" t="str">
        <f t="shared" si="1052"/>
        <v>P87</v>
      </c>
      <c r="E2925" t="str">
        <f t="shared" ca="1" si="1053"/>
        <v/>
      </c>
      <c r="F2925" t="str">
        <f t="shared" ca="1" si="1054"/>
        <v xml:space="preserve">Enter a 'Acquisition Placed-in-Service Date' for  building 84 in cell P87.
</v>
      </c>
      <c r="G2925" s="9" t="str">
        <f t="shared" ca="1" si="1055"/>
        <v xml:space="preserve">Enter a value for 'Number of Floors in the Tallest Building' in cell B60.
</v>
      </c>
      <c r="H2925" s="52" t="str">
        <f t="shared" ca="1" si="1056"/>
        <v>Acquisition Placed-in-Service Date</v>
      </c>
      <c r="I2925" s="52">
        <v>16</v>
      </c>
    </row>
    <row r="2926" spans="1:10" ht="15" customHeight="1">
      <c r="A2926" t="str">
        <f ca="1">IF(AND(OFFSET(A2926, -I2926 + 2, 4) &gt;  0, E2926="", Calculations!$B$7), F2926, "")</f>
        <v/>
      </c>
      <c r="B2926">
        <f t="shared" si="1051"/>
        <v>87</v>
      </c>
      <c r="C2926">
        <f t="shared" ca="1" si="1031"/>
        <v>84</v>
      </c>
      <c r="D2926" t="str">
        <f t="shared" si="1052"/>
        <v>Q87</v>
      </c>
      <c r="E2926" t="str">
        <f t="shared" ca="1" si="1053"/>
        <v/>
      </c>
      <c r="F2926" t="str">
        <f t="shared" ca="1" si="1054"/>
        <v xml:space="preserve">Enter a 'Acquisition APR' for  building 84 in cell Q87.
</v>
      </c>
      <c r="G2926" s="9" t="str">
        <f t="shared" ca="1" si="1055"/>
        <v xml:space="preserve">Enter a value for 'Number of Floors in the Tallest Building' in cell B60.
</v>
      </c>
      <c r="H2926" s="52" t="str">
        <f t="shared" ca="1" si="1056"/>
        <v>Acquisition APR</v>
      </c>
      <c r="I2926" s="52">
        <v>17</v>
      </c>
    </row>
    <row r="2927" spans="1:10" ht="15" customHeight="1">
      <c r="A2927" t="str">
        <f ca="1">IF(AND(Calculations!$B$4,Calculations!$B$29&gt;=C2927, E2927 &lt;&gt; 13),F2927,"")</f>
        <v/>
      </c>
      <c r="B2927">
        <f>ROW('Final Building Profile'!C88)</f>
        <v>88</v>
      </c>
      <c r="C2927">
        <f t="shared" ref="C2927:C2990" ca="1" si="1057">INDIRECT($F$1565 &amp; ADDRESS(B2927, 1,4  ))</f>
        <v>85</v>
      </c>
      <c r="D2927" t="str">
        <f>ADDRESS(B2927, 3,4  )</f>
        <v>C88</v>
      </c>
      <c r="E2927" s="52">
        <f ca="1">H2927+I2927</f>
        <v>0</v>
      </c>
      <c r="F2927" t="str">
        <f ca="1">CONCATENATE("Based upon the number of buildings specified, information for  building ", C2927, " required for a final application in row ", B2927, ".", CHAR(10))</f>
        <v xml:space="preserve">Based upon the number of buildings specified, information for  building 85 required for a final application in row 88.
</v>
      </c>
      <c r="G2927" s="9" t="str">
        <f t="shared" ca="1" si="1055"/>
        <v xml:space="preserve">Enter a value for 'Number of Floors in the Tallest Building' in cell B60.
</v>
      </c>
      <c r="H2927" s="52">
        <f ca="1">SUMPRODUCT(--ISTEXT(INDIRECT(J2927)))</f>
        <v>0</v>
      </c>
      <c r="I2927" s="52">
        <f ca="1">SUMPRODUCT(--ISNUMBER(INDIRECT(J2927)))</f>
        <v>0</v>
      </c>
      <c r="J2927" s="52" t="str">
        <f>$F$1565&amp; ADDRESS(B2927,3,4) &amp; ":" &amp; ADDRESS(B2927,15,4)</f>
        <v>'Final Building Profile'!C88:O88</v>
      </c>
    </row>
    <row r="2928" spans="1:10" ht="15" customHeight="1">
      <c r="A2928" t="str">
        <f t="shared" ref="A2928:A2937" ca="1" si="1058">IF(AND(OFFSET(A2928, -I2928 + 2, 4) &gt;  0, E2928=""), F2928, "")</f>
        <v/>
      </c>
      <c r="B2928">
        <f t="shared" ref="B2928:B2942" si="1059">B2927</f>
        <v>88</v>
      </c>
      <c r="C2928">
        <f t="shared" ca="1" si="1057"/>
        <v>85</v>
      </c>
      <c r="D2928" t="str">
        <f t="shared" ref="D2928:D2942" si="1060">ADDRESS(B2928, I2928,4  )</f>
        <v>C88</v>
      </c>
      <c r="E2928" t="str">
        <f t="shared" ref="E2928:E2942" ca="1" si="1061">IF(ISBLANK( INDIRECT($F$1565 &amp; D2928)),"", INDIRECT($F$1565 &amp; D2928))</f>
        <v/>
      </c>
      <c r="F2928" t="str">
        <f t="shared" ref="F2928:F2942" ca="1" si="1062">CONCATENATE("Enter a '"&amp; H2928 &amp;"' for  building ", C2928, " in cell ", D2928, ".", CHAR(10))</f>
        <v xml:space="preserve">Enter a 'Building Street Address Only 
(DO NOT ENTER CITY, STATE, OR ZIP)' for  building 85 in cell C88.
</v>
      </c>
      <c r="G2928" s="9" t="str">
        <f t="shared" ca="1" si="1055"/>
        <v xml:space="preserve">Enter a value for 'Number of Floors in the Tallest Building' in cell B60.
</v>
      </c>
      <c r="H2928" s="52" t="str">
        <f t="shared" ref="H2928:H2942" ca="1" si="1063">OFFSET(INDIRECT($F$1565 &amp; D2928), -B2928 + 3, 0)</f>
        <v>Building Street Address Only 
(DO NOT ENTER CITY, STATE, OR ZIP)</v>
      </c>
      <c r="I2928" s="52">
        <v>3</v>
      </c>
    </row>
    <row r="2929" spans="1:10" ht="15" customHeight="1">
      <c r="A2929" t="str">
        <f t="shared" ca="1" si="1058"/>
        <v/>
      </c>
      <c r="B2929">
        <f t="shared" si="1059"/>
        <v>88</v>
      </c>
      <c r="C2929">
        <f t="shared" ca="1" si="1057"/>
        <v>85</v>
      </c>
      <c r="D2929" t="str">
        <f t="shared" si="1060"/>
        <v>D88</v>
      </c>
      <c r="E2929" t="str">
        <f t="shared" ca="1" si="1061"/>
        <v/>
      </c>
      <c r="F2929" t="str">
        <f t="shared" ca="1" si="1062"/>
        <v xml:space="preserve">Enter a 'Total Units in Building*' for  building 85 in cell D88.
</v>
      </c>
      <c r="G2929" s="9" t="str">
        <f t="shared" ca="1" si="1055"/>
        <v xml:space="preserve">Enter a value for 'Number of Floors in the Tallest Building' in cell B60.
</v>
      </c>
      <c r="H2929" s="52" t="str">
        <f t="shared" ca="1" si="1063"/>
        <v>Total Units in Building*</v>
      </c>
      <c r="I2929" s="52">
        <v>4</v>
      </c>
    </row>
    <row r="2930" spans="1:10" ht="15" customHeight="1">
      <c r="A2930" t="str">
        <f t="shared" ca="1" si="1058"/>
        <v/>
      </c>
      <c r="B2930">
        <f t="shared" si="1059"/>
        <v>88</v>
      </c>
      <c r="C2930">
        <f t="shared" ca="1" si="1057"/>
        <v>85</v>
      </c>
      <c r="D2930" t="str">
        <f t="shared" si="1060"/>
        <v>E88</v>
      </c>
      <c r="E2930" t="str">
        <f t="shared" ca="1" si="1061"/>
        <v/>
      </c>
      <c r="F2930" t="str">
        <f t="shared" ca="1" si="1062"/>
        <v xml:space="preserve">Enter a 'Employee Units' for  building 85 in cell E88.
</v>
      </c>
      <c r="G2930" s="9" t="str">
        <f t="shared" ca="1" si="1055"/>
        <v xml:space="preserve">Enter a value for 'Number of Floors in the Tallest Building' in cell B60.
</v>
      </c>
      <c r="H2930" s="52" t="str">
        <f t="shared" ca="1" si="1063"/>
        <v>Employee Units</v>
      </c>
      <c r="I2930" s="52">
        <v>5</v>
      </c>
    </row>
    <row r="2931" spans="1:10" ht="15" customHeight="1">
      <c r="A2931" t="str">
        <f t="shared" ca="1" si="1058"/>
        <v/>
      </c>
      <c r="B2931">
        <f t="shared" si="1059"/>
        <v>88</v>
      </c>
      <c r="C2931">
        <f t="shared" ca="1" si="1057"/>
        <v>85</v>
      </c>
      <c r="D2931" t="str">
        <f t="shared" si="1060"/>
        <v>F88</v>
      </c>
      <c r="E2931" t="str">
        <f t="shared" ca="1" si="1061"/>
        <v/>
      </c>
      <c r="F2931" t="str">
        <f t="shared" ca="1" si="1062"/>
        <v xml:space="preserve">Enter a 'Low-Income Units' for  building 85 in cell F88.
</v>
      </c>
      <c r="G2931" s="9" t="str">
        <f t="shared" ca="1" si="1055"/>
        <v xml:space="preserve">Enter a value for 'Number of Floors in the Tallest Building' in cell B60.
</v>
      </c>
      <c r="H2931" s="52" t="str">
        <f t="shared" ca="1" si="1063"/>
        <v>Low-Income Units</v>
      </c>
      <c r="I2931" s="52">
        <v>6</v>
      </c>
    </row>
    <row r="2932" spans="1:10" ht="15" customHeight="1">
      <c r="A2932" t="str">
        <f t="shared" ca="1" si="1058"/>
        <v/>
      </c>
      <c r="B2932">
        <f t="shared" si="1059"/>
        <v>88</v>
      </c>
      <c r="C2932">
        <f t="shared" ca="1" si="1057"/>
        <v>85</v>
      </c>
      <c r="D2932" t="str">
        <f t="shared" si="1060"/>
        <v>G88</v>
      </c>
      <c r="E2932" t="str">
        <f t="shared" ca="1" si="1061"/>
        <v/>
      </c>
      <c r="F2932" t="str">
        <f t="shared" ca="1" si="1062"/>
        <v xml:space="preserve">Enter a 'Residential Square Footage**' for  building 85 in cell G88.
</v>
      </c>
      <c r="G2932" s="9" t="str">
        <f t="shared" ca="1" si="1055"/>
        <v xml:space="preserve">Enter a value for 'Number of Floors in the Tallest Building' in cell B60.
</v>
      </c>
      <c r="H2932" s="52" t="str">
        <f t="shared" ca="1" si="1063"/>
        <v>Residential Square Footage**</v>
      </c>
      <c r="I2932" s="52">
        <v>7</v>
      </c>
    </row>
    <row r="2933" spans="1:10" ht="15" customHeight="1">
      <c r="A2933" t="str">
        <f t="shared" ca="1" si="1058"/>
        <v/>
      </c>
      <c r="B2933">
        <f t="shared" si="1059"/>
        <v>88</v>
      </c>
      <c r="C2933">
        <f t="shared" ca="1" si="1057"/>
        <v>85</v>
      </c>
      <c r="D2933" t="str">
        <f t="shared" si="1060"/>
        <v>H88</v>
      </c>
      <c r="E2933" t="str">
        <f t="shared" ca="1" si="1061"/>
        <v/>
      </c>
      <c r="F2933" t="str">
        <f t="shared" ca="1" si="1062"/>
        <v xml:space="preserve">Enter a 'Square Footage of Employee Units' for  building 85 in cell H88.
</v>
      </c>
      <c r="G2933" s="9" t="str">
        <f t="shared" ca="1" si="1055"/>
        <v xml:space="preserve">Enter a value for 'Number of Floors in the Tallest Building' in cell B60.
</v>
      </c>
      <c r="H2933" s="52" t="str">
        <f t="shared" ca="1" si="1063"/>
        <v>Square Footage of Employee Units</v>
      </c>
      <c r="I2933" s="52">
        <v>8</v>
      </c>
    </row>
    <row r="2934" spans="1:10" ht="15" customHeight="1">
      <c r="A2934" t="str">
        <f t="shared" ca="1" si="1058"/>
        <v/>
      </c>
      <c r="B2934">
        <f t="shared" si="1059"/>
        <v>88</v>
      </c>
      <c r="C2934">
        <f t="shared" ca="1" si="1057"/>
        <v>85</v>
      </c>
      <c r="D2934" t="str">
        <f t="shared" si="1060"/>
        <v>I88</v>
      </c>
      <c r="E2934" t="str">
        <f t="shared" ca="1" si="1061"/>
        <v/>
      </c>
      <c r="F2934" t="str">
        <f t="shared" ca="1" si="1062"/>
        <v xml:space="preserve">Enter a 'Square Footage of Low-Income Units' for  building 85 in cell I88.
</v>
      </c>
      <c r="G2934" s="9" t="str">
        <f t="shared" ca="1" si="1055"/>
        <v xml:space="preserve">Enter a value for 'Number of Floors in the Tallest Building' in cell B60.
</v>
      </c>
      <c r="H2934" s="52" t="str">
        <f t="shared" ca="1" si="1063"/>
        <v>Square Footage of Low-Income Units</v>
      </c>
      <c r="I2934" s="52">
        <v>9</v>
      </c>
    </row>
    <row r="2935" spans="1:10" ht="15" customHeight="1">
      <c r="A2935" t="str">
        <f t="shared" ca="1" si="1058"/>
        <v/>
      </c>
      <c r="B2935">
        <f t="shared" si="1059"/>
        <v>88</v>
      </c>
      <c r="C2935">
        <f t="shared" ca="1" si="1057"/>
        <v>85</v>
      </c>
      <c r="D2935" t="str">
        <f t="shared" si="1060"/>
        <v>J88</v>
      </c>
      <c r="E2935" t="str">
        <f t="shared" ca="1" si="1061"/>
        <v/>
      </c>
      <c r="F2935" t="str">
        <f t="shared" ca="1" si="1062"/>
        <v xml:space="preserve">Enter a 'Placed-In-Service Date' for  building 85 in cell J88.
</v>
      </c>
      <c r="G2935" s="9" t="str">
        <f t="shared" ca="1" si="1055"/>
        <v xml:space="preserve">Enter a value for 'Number of Floors in the Tallest Building' in cell B60.
</v>
      </c>
      <c r="H2935" s="52" t="str">
        <f t="shared" ca="1" si="1063"/>
        <v>Placed-In-Service Date</v>
      </c>
      <c r="I2935" s="52">
        <v>10</v>
      </c>
    </row>
    <row r="2936" spans="1:10" ht="15" customHeight="1">
      <c r="A2936" t="str">
        <f t="shared" ca="1" si="1058"/>
        <v/>
      </c>
      <c r="B2936">
        <f t="shared" si="1059"/>
        <v>88</v>
      </c>
      <c r="C2936">
        <f t="shared" ca="1" si="1057"/>
        <v>85</v>
      </c>
      <c r="D2936" t="str">
        <f t="shared" si="1060"/>
        <v>K88</v>
      </c>
      <c r="E2936" t="str">
        <f t="shared" ca="1" si="1061"/>
        <v/>
      </c>
      <c r="F2936" t="str">
        <f t="shared" ca="1" si="1062"/>
        <v xml:space="preserve">Enter a 'New Construction/ Rehab APR' for  building 85 in cell K88.
</v>
      </c>
      <c r="G2936" s="9" t="str">
        <f t="shared" ca="1" si="1055"/>
        <v xml:space="preserve">Enter a value for 'Number of Floors in the Tallest Building' in cell B60.
</v>
      </c>
      <c r="H2936" s="52" t="str">
        <f t="shared" ca="1" si="1063"/>
        <v>New Construction/ Rehab APR</v>
      </c>
      <c r="I2936" s="52">
        <v>11</v>
      </c>
    </row>
    <row r="2937" spans="1:10" ht="15" customHeight="1">
      <c r="A2937" t="str">
        <f t="shared" ca="1" si="1058"/>
        <v/>
      </c>
      <c r="B2937">
        <f t="shared" si="1059"/>
        <v>88</v>
      </c>
      <c r="C2937">
        <f t="shared" ca="1" si="1057"/>
        <v>85</v>
      </c>
      <c r="D2937" t="str">
        <f t="shared" si="1060"/>
        <v>L88</v>
      </c>
      <c r="E2937" t="str">
        <f t="shared" ca="1" si="1061"/>
        <v/>
      </c>
      <c r="F2937" t="str">
        <f t="shared" ca="1" si="1062"/>
        <v xml:space="preserve">Enter a 'New Construction Eligible Basis' for  building 85 in cell L88.
</v>
      </c>
      <c r="G2937" s="9" t="str">
        <f t="shared" ca="1" si="1055"/>
        <v xml:space="preserve">Enter a value for 'Number of Floors in the Tallest Building' in cell B60.
</v>
      </c>
      <c r="H2937" s="52" t="str">
        <f t="shared" ca="1" si="1063"/>
        <v>New Construction Eligible Basis</v>
      </c>
      <c r="I2937" s="52">
        <v>12</v>
      </c>
    </row>
    <row r="2938" spans="1:10" ht="15" customHeight="1">
      <c r="A2938" t="str">
        <f ca="1">IF(AND(OFFSET(A2938, -I2938 + 2, 4) &gt;  0, E2938="", Calculations!$B$7), F2938, "")</f>
        <v/>
      </c>
      <c r="B2938">
        <f t="shared" si="1059"/>
        <v>88</v>
      </c>
      <c r="C2938">
        <f t="shared" ca="1" si="1057"/>
        <v>85</v>
      </c>
      <c r="D2938" t="str">
        <f t="shared" si="1060"/>
        <v>M88</v>
      </c>
      <c r="E2938" t="str">
        <f t="shared" ca="1" si="1061"/>
        <v/>
      </c>
      <c r="F2938" t="str">
        <f t="shared" ca="1" si="1062"/>
        <v xml:space="preserve">Enter a 'Eligible Basis for Rehab' for  building 85 in cell M88.
</v>
      </c>
      <c r="G2938" s="9" t="str">
        <f t="shared" ca="1" si="1055"/>
        <v xml:space="preserve">Enter a value for 'Number of Floors in the Tallest Building' in cell B60.
</v>
      </c>
      <c r="H2938" s="52" t="str">
        <f t="shared" ca="1" si="1063"/>
        <v>Eligible Basis for Rehab</v>
      </c>
      <c r="I2938" s="52">
        <v>13</v>
      </c>
    </row>
    <row r="2939" spans="1:10" ht="15" customHeight="1">
      <c r="A2939" t="str">
        <f ca="1">IF(AND(OFFSET(A2939, -I2939 + 2, 4) &gt;  0, E2939="", Calculations!$B$7), F2939, "")</f>
        <v/>
      </c>
      <c r="B2939">
        <f t="shared" si="1059"/>
        <v>88</v>
      </c>
      <c r="C2939">
        <f t="shared" ca="1" si="1057"/>
        <v>85</v>
      </c>
      <c r="D2939" t="str">
        <f t="shared" si="1060"/>
        <v>N88</v>
      </c>
      <c r="E2939" t="str">
        <f t="shared" ca="1" si="1061"/>
        <v/>
      </c>
      <c r="F2939" t="str">
        <f t="shared" ca="1" si="1062"/>
        <v xml:space="preserve">Enter a 'Cost of Acquiring the Building***' for  building 85 in cell N88.
</v>
      </c>
      <c r="G2939" s="9" t="str">
        <f t="shared" ca="1" si="1055"/>
        <v xml:space="preserve">Enter a value for 'Number of Floors in the Tallest Building' in cell B60.
</v>
      </c>
      <c r="H2939" s="52" t="str">
        <f t="shared" ca="1" si="1063"/>
        <v>Cost of Acquiring the Building***</v>
      </c>
      <c r="I2939" s="52">
        <v>14</v>
      </c>
    </row>
    <row r="2940" spans="1:10" ht="15" customHeight="1">
      <c r="A2940" t="str">
        <f ca="1">IF(AND(OFFSET(A2940, -I2940 + 2, 4) &gt;  0, E2940="", Calculations!$B$7), F2940, "")</f>
        <v/>
      </c>
      <c r="B2940">
        <f t="shared" si="1059"/>
        <v>88</v>
      </c>
      <c r="C2940">
        <f t="shared" ca="1" si="1057"/>
        <v>85</v>
      </c>
      <c r="D2940" t="str">
        <f t="shared" si="1060"/>
        <v>O88</v>
      </c>
      <c r="E2940" t="str">
        <f t="shared" ca="1" si="1061"/>
        <v/>
      </c>
      <c r="F2940" t="str">
        <f t="shared" ca="1" si="1062"/>
        <v xml:space="preserve">Enter a 'Higher of Land Purchase Price or Land Appraised Value****' for  building 85 in cell O88.
</v>
      </c>
      <c r="G2940" s="9" t="str">
        <f t="shared" ca="1" si="1055"/>
        <v xml:space="preserve">Enter a value for 'Number of Floors in the Tallest Building' in cell B60.
</v>
      </c>
      <c r="H2940" s="52" t="str">
        <f t="shared" ca="1" si="1063"/>
        <v>Higher of Land Purchase Price or Land Appraised Value****</v>
      </c>
      <c r="I2940" s="52">
        <v>15</v>
      </c>
    </row>
    <row r="2941" spans="1:10" ht="15" customHeight="1">
      <c r="A2941" t="str">
        <f ca="1">IF(AND(OFFSET(A2941, -I2941 + 2, 4) &gt;  0, E2941="", Calculations!$B$7), F2941, "")</f>
        <v/>
      </c>
      <c r="B2941">
        <f t="shared" si="1059"/>
        <v>88</v>
      </c>
      <c r="C2941">
        <f t="shared" ca="1" si="1057"/>
        <v>85</v>
      </c>
      <c r="D2941" t="str">
        <f t="shared" si="1060"/>
        <v>P88</v>
      </c>
      <c r="E2941" t="str">
        <f t="shared" ca="1" si="1061"/>
        <v/>
      </c>
      <c r="F2941" t="str">
        <f t="shared" ca="1" si="1062"/>
        <v xml:space="preserve">Enter a 'Acquisition Placed-in-Service Date' for  building 85 in cell P88.
</v>
      </c>
      <c r="G2941" s="9" t="str">
        <f t="shared" ca="1" si="1055"/>
        <v xml:space="preserve">Enter a value for 'Number of Floors in the Tallest Building' in cell B60.
</v>
      </c>
      <c r="H2941" s="52" t="str">
        <f t="shared" ca="1" si="1063"/>
        <v>Acquisition Placed-in-Service Date</v>
      </c>
      <c r="I2941" s="52">
        <v>16</v>
      </c>
    </row>
    <row r="2942" spans="1:10" ht="15" customHeight="1">
      <c r="A2942" t="str">
        <f ca="1">IF(AND(OFFSET(A2942, -I2942 + 2, 4) &gt;  0, E2942="", Calculations!$B$7), F2942, "")</f>
        <v/>
      </c>
      <c r="B2942">
        <f t="shared" si="1059"/>
        <v>88</v>
      </c>
      <c r="C2942">
        <f t="shared" ca="1" si="1057"/>
        <v>85</v>
      </c>
      <c r="D2942" t="str">
        <f t="shared" si="1060"/>
        <v>Q88</v>
      </c>
      <c r="E2942" t="str">
        <f t="shared" ca="1" si="1061"/>
        <v/>
      </c>
      <c r="F2942" t="str">
        <f t="shared" ca="1" si="1062"/>
        <v xml:space="preserve">Enter a 'Acquisition APR' for  building 85 in cell Q88.
</v>
      </c>
      <c r="G2942" s="9" t="str">
        <f t="shared" ca="1" si="1055"/>
        <v xml:space="preserve">Enter a value for 'Number of Floors in the Tallest Building' in cell B60.
</v>
      </c>
      <c r="H2942" s="52" t="str">
        <f t="shared" ca="1" si="1063"/>
        <v>Acquisition APR</v>
      </c>
      <c r="I2942" s="52">
        <v>17</v>
      </c>
    </row>
    <row r="2943" spans="1:10" ht="15" customHeight="1">
      <c r="A2943" t="str">
        <f ca="1">IF(AND(Calculations!$B$4,Calculations!$B$29&gt;=C2943, E2943 &lt;&gt; 13),F2943,"")</f>
        <v/>
      </c>
      <c r="B2943">
        <f>ROW('Final Building Profile'!C89)</f>
        <v>89</v>
      </c>
      <c r="C2943">
        <f t="shared" ca="1" si="1057"/>
        <v>86</v>
      </c>
      <c r="D2943" t="str">
        <f>ADDRESS(B2943, 3,4  )</f>
        <v>C89</v>
      </c>
      <c r="E2943" s="52">
        <f ca="1">H2943+I2943</f>
        <v>0</v>
      </c>
      <c r="F2943" t="str">
        <f ca="1">CONCATENATE("Based upon the number of buildings specified, information for  building ", C2943, " required for a final application in row ", B2943, ".", CHAR(10))</f>
        <v xml:space="preserve">Based upon the number of buildings specified, information for  building 86 required for a final application in row 89.
</v>
      </c>
      <c r="G2943" s="9" t="str">
        <f t="shared" ca="1" si="1055"/>
        <v xml:space="preserve">Enter a value for 'Number of Floors in the Tallest Building' in cell B60.
</v>
      </c>
      <c r="H2943" s="52">
        <f ca="1">SUMPRODUCT(--ISTEXT(INDIRECT(J2943)))</f>
        <v>0</v>
      </c>
      <c r="I2943" s="52">
        <f ca="1">SUMPRODUCT(--ISNUMBER(INDIRECT(J2943)))</f>
        <v>0</v>
      </c>
      <c r="J2943" s="52" t="str">
        <f>$F$1565&amp; ADDRESS(B2943,3,4) &amp; ":" &amp; ADDRESS(B2943,15,4)</f>
        <v>'Final Building Profile'!C89:O89</v>
      </c>
    </row>
    <row r="2944" spans="1:10" ht="15" customHeight="1">
      <c r="A2944" t="str">
        <f t="shared" ref="A2944:A2953" ca="1" si="1064">IF(AND(OFFSET(A2944, -I2944 + 2, 4) &gt;  0, E2944=""), F2944, "")</f>
        <v/>
      </c>
      <c r="B2944">
        <f t="shared" ref="B2944:B2958" si="1065">B2943</f>
        <v>89</v>
      </c>
      <c r="C2944">
        <f t="shared" ca="1" si="1057"/>
        <v>86</v>
      </c>
      <c r="D2944" t="str">
        <f t="shared" ref="D2944:D2958" si="1066">ADDRESS(B2944, I2944,4  )</f>
        <v>C89</v>
      </c>
      <c r="E2944" t="str">
        <f t="shared" ref="E2944:E2958" ca="1" si="1067">IF(ISBLANK( INDIRECT($F$1565 &amp; D2944)),"", INDIRECT($F$1565 &amp; D2944))</f>
        <v/>
      </c>
      <c r="F2944" t="str">
        <f t="shared" ref="F2944:F2958" ca="1" si="1068">CONCATENATE("Enter a '"&amp; H2944 &amp;"' for  building ", C2944, " in cell ", D2944, ".", CHAR(10))</f>
        <v xml:space="preserve">Enter a 'Building Street Address Only 
(DO NOT ENTER CITY, STATE, OR ZIP)' for  building 86 in cell C89.
</v>
      </c>
      <c r="G2944" s="9" t="str">
        <f t="shared" ca="1" si="1055"/>
        <v xml:space="preserve">Enter a value for 'Number of Floors in the Tallest Building' in cell B60.
</v>
      </c>
      <c r="H2944" s="52" t="str">
        <f t="shared" ref="H2944:H2958" ca="1" si="1069">OFFSET(INDIRECT($F$1565 &amp; D2944), -B2944 + 3, 0)</f>
        <v>Building Street Address Only 
(DO NOT ENTER CITY, STATE, OR ZIP)</v>
      </c>
      <c r="I2944" s="52">
        <v>3</v>
      </c>
    </row>
    <row r="2945" spans="1:10" ht="15" customHeight="1">
      <c r="A2945" t="str">
        <f t="shared" ca="1" si="1064"/>
        <v/>
      </c>
      <c r="B2945">
        <f t="shared" si="1065"/>
        <v>89</v>
      </c>
      <c r="C2945">
        <f t="shared" ca="1" si="1057"/>
        <v>86</v>
      </c>
      <c r="D2945" t="str">
        <f t="shared" si="1066"/>
        <v>D89</v>
      </c>
      <c r="E2945" t="str">
        <f t="shared" ca="1" si="1067"/>
        <v/>
      </c>
      <c r="F2945" t="str">
        <f t="shared" ca="1" si="1068"/>
        <v xml:space="preserve">Enter a 'Total Units in Building*' for  building 86 in cell D89.
</v>
      </c>
      <c r="G2945" s="9" t="str">
        <f t="shared" ca="1" si="1055"/>
        <v xml:space="preserve">Enter a value for 'Number of Floors in the Tallest Building' in cell B60.
</v>
      </c>
      <c r="H2945" s="52" t="str">
        <f t="shared" ca="1" si="1069"/>
        <v>Total Units in Building*</v>
      </c>
      <c r="I2945" s="52">
        <v>4</v>
      </c>
    </row>
    <row r="2946" spans="1:10" ht="15" customHeight="1">
      <c r="A2946" t="str">
        <f t="shared" ca="1" si="1064"/>
        <v/>
      </c>
      <c r="B2946">
        <f t="shared" si="1065"/>
        <v>89</v>
      </c>
      <c r="C2946">
        <f t="shared" ca="1" si="1057"/>
        <v>86</v>
      </c>
      <c r="D2946" t="str">
        <f t="shared" si="1066"/>
        <v>E89</v>
      </c>
      <c r="E2946" t="str">
        <f t="shared" ca="1" si="1067"/>
        <v/>
      </c>
      <c r="F2946" t="str">
        <f t="shared" ca="1" si="1068"/>
        <v xml:space="preserve">Enter a 'Employee Units' for  building 86 in cell E89.
</v>
      </c>
      <c r="G2946" s="9" t="str">
        <f t="shared" ca="1" si="1055"/>
        <v xml:space="preserve">Enter a value for 'Number of Floors in the Tallest Building' in cell B60.
</v>
      </c>
      <c r="H2946" s="52" t="str">
        <f t="shared" ca="1" si="1069"/>
        <v>Employee Units</v>
      </c>
      <c r="I2946" s="52">
        <v>5</v>
      </c>
    </row>
    <row r="2947" spans="1:10" ht="15" customHeight="1">
      <c r="A2947" t="str">
        <f t="shared" ca="1" si="1064"/>
        <v/>
      </c>
      <c r="B2947">
        <f t="shared" si="1065"/>
        <v>89</v>
      </c>
      <c r="C2947">
        <f t="shared" ca="1" si="1057"/>
        <v>86</v>
      </c>
      <c r="D2947" t="str">
        <f t="shared" si="1066"/>
        <v>F89</v>
      </c>
      <c r="E2947" t="str">
        <f t="shared" ca="1" si="1067"/>
        <v/>
      </c>
      <c r="F2947" t="str">
        <f t="shared" ca="1" si="1068"/>
        <v xml:space="preserve">Enter a 'Low-Income Units' for  building 86 in cell F89.
</v>
      </c>
      <c r="G2947" s="9" t="str">
        <f t="shared" ca="1" si="1055"/>
        <v xml:space="preserve">Enter a value for 'Number of Floors in the Tallest Building' in cell B60.
</v>
      </c>
      <c r="H2947" s="52" t="str">
        <f t="shared" ca="1" si="1069"/>
        <v>Low-Income Units</v>
      </c>
      <c r="I2947" s="52">
        <v>6</v>
      </c>
    </row>
    <row r="2948" spans="1:10" ht="15" customHeight="1">
      <c r="A2948" t="str">
        <f t="shared" ca="1" si="1064"/>
        <v/>
      </c>
      <c r="B2948">
        <f t="shared" si="1065"/>
        <v>89</v>
      </c>
      <c r="C2948">
        <f t="shared" ca="1" si="1057"/>
        <v>86</v>
      </c>
      <c r="D2948" t="str">
        <f t="shared" si="1066"/>
        <v>G89</v>
      </c>
      <c r="E2948" t="str">
        <f t="shared" ca="1" si="1067"/>
        <v/>
      </c>
      <c r="F2948" t="str">
        <f t="shared" ca="1" si="1068"/>
        <v xml:space="preserve">Enter a 'Residential Square Footage**' for  building 86 in cell G89.
</v>
      </c>
      <c r="G2948" s="9" t="str">
        <f t="shared" ca="1" si="1055"/>
        <v xml:space="preserve">Enter a value for 'Number of Floors in the Tallest Building' in cell B60.
</v>
      </c>
      <c r="H2948" s="52" t="str">
        <f t="shared" ca="1" si="1069"/>
        <v>Residential Square Footage**</v>
      </c>
      <c r="I2948" s="52">
        <v>7</v>
      </c>
    </row>
    <row r="2949" spans="1:10" ht="15" customHeight="1">
      <c r="A2949" t="str">
        <f t="shared" ca="1" si="1064"/>
        <v/>
      </c>
      <c r="B2949">
        <f t="shared" si="1065"/>
        <v>89</v>
      </c>
      <c r="C2949">
        <f t="shared" ca="1" si="1057"/>
        <v>86</v>
      </c>
      <c r="D2949" t="str">
        <f t="shared" si="1066"/>
        <v>H89</v>
      </c>
      <c r="E2949" t="str">
        <f t="shared" ca="1" si="1067"/>
        <v/>
      </c>
      <c r="F2949" t="str">
        <f t="shared" ca="1" si="1068"/>
        <v xml:space="preserve">Enter a 'Square Footage of Employee Units' for  building 86 in cell H89.
</v>
      </c>
      <c r="G2949" s="9" t="str">
        <f t="shared" ca="1" si="1055"/>
        <v xml:space="preserve">Enter a value for 'Number of Floors in the Tallest Building' in cell B60.
</v>
      </c>
      <c r="H2949" s="52" t="str">
        <f t="shared" ca="1" si="1069"/>
        <v>Square Footage of Employee Units</v>
      </c>
      <c r="I2949" s="52">
        <v>8</v>
      </c>
    </row>
    <row r="2950" spans="1:10" ht="15" customHeight="1">
      <c r="A2950" t="str">
        <f t="shared" ca="1" si="1064"/>
        <v/>
      </c>
      <c r="B2950">
        <f t="shared" si="1065"/>
        <v>89</v>
      </c>
      <c r="C2950">
        <f t="shared" ca="1" si="1057"/>
        <v>86</v>
      </c>
      <c r="D2950" t="str">
        <f t="shared" si="1066"/>
        <v>I89</v>
      </c>
      <c r="E2950" t="str">
        <f t="shared" ca="1" si="1067"/>
        <v/>
      </c>
      <c r="F2950" t="str">
        <f t="shared" ca="1" si="1068"/>
        <v xml:space="preserve">Enter a 'Square Footage of Low-Income Units' for  building 86 in cell I89.
</v>
      </c>
      <c r="G2950" s="9" t="str">
        <f t="shared" ca="1" si="1055"/>
        <v xml:space="preserve">Enter a value for 'Number of Floors in the Tallest Building' in cell B60.
</v>
      </c>
      <c r="H2950" s="52" t="str">
        <f t="shared" ca="1" si="1069"/>
        <v>Square Footage of Low-Income Units</v>
      </c>
      <c r="I2950" s="52">
        <v>9</v>
      </c>
    </row>
    <row r="2951" spans="1:10" ht="15" customHeight="1">
      <c r="A2951" t="str">
        <f t="shared" ca="1" si="1064"/>
        <v/>
      </c>
      <c r="B2951">
        <f t="shared" si="1065"/>
        <v>89</v>
      </c>
      <c r="C2951">
        <f t="shared" ca="1" si="1057"/>
        <v>86</v>
      </c>
      <c r="D2951" t="str">
        <f t="shared" si="1066"/>
        <v>J89</v>
      </c>
      <c r="E2951" t="str">
        <f t="shared" ca="1" si="1067"/>
        <v/>
      </c>
      <c r="F2951" t="str">
        <f t="shared" ca="1" si="1068"/>
        <v xml:space="preserve">Enter a 'Placed-In-Service Date' for  building 86 in cell J89.
</v>
      </c>
      <c r="G2951" s="9" t="str">
        <f t="shared" ca="1" si="1055"/>
        <v xml:space="preserve">Enter a value for 'Number of Floors in the Tallest Building' in cell B60.
</v>
      </c>
      <c r="H2951" s="52" t="str">
        <f t="shared" ca="1" si="1069"/>
        <v>Placed-In-Service Date</v>
      </c>
      <c r="I2951" s="52">
        <v>10</v>
      </c>
    </row>
    <row r="2952" spans="1:10" ht="15" customHeight="1">
      <c r="A2952" t="str">
        <f t="shared" ca="1" si="1064"/>
        <v/>
      </c>
      <c r="B2952">
        <f t="shared" si="1065"/>
        <v>89</v>
      </c>
      <c r="C2952">
        <f t="shared" ca="1" si="1057"/>
        <v>86</v>
      </c>
      <c r="D2952" t="str">
        <f t="shared" si="1066"/>
        <v>K89</v>
      </c>
      <c r="E2952" t="str">
        <f t="shared" ca="1" si="1067"/>
        <v/>
      </c>
      <c r="F2952" t="str">
        <f t="shared" ca="1" si="1068"/>
        <v xml:space="preserve">Enter a 'New Construction/ Rehab APR' for  building 86 in cell K89.
</v>
      </c>
      <c r="G2952" s="9" t="str">
        <f t="shared" ca="1" si="1055"/>
        <v xml:space="preserve">Enter a value for 'Number of Floors in the Tallest Building' in cell B60.
</v>
      </c>
      <c r="H2952" s="52" t="str">
        <f t="shared" ca="1" si="1069"/>
        <v>New Construction/ Rehab APR</v>
      </c>
      <c r="I2952" s="52">
        <v>11</v>
      </c>
    </row>
    <row r="2953" spans="1:10" ht="15" customHeight="1">
      <c r="A2953" t="str">
        <f t="shared" ca="1" si="1064"/>
        <v/>
      </c>
      <c r="B2953">
        <f t="shared" si="1065"/>
        <v>89</v>
      </c>
      <c r="C2953">
        <f t="shared" ca="1" si="1057"/>
        <v>86</v>
      </c>
      <c r="D2953" t="str">
        <f t="shared" si="1066"/>
        <v>L89</v>
      </c>
      <c r="E2953" t="str">
        <f t="shared" ca="1" si="1067"/>
        <v/>
      </c>
      <c r="F2953" t="str">
        <f t="shared" ca="1" si="1068"/>
        <v xml:space="preserve">Enter a 'New Construction Eligible Basis' for  building 86 in cell L89.
</v>
      </c>
      <c r="G2953" s="9" t="str">
        <f t="shared" ca="1" si="1055"/>
        <v xml:space="preserve">Enter a value for 'Number of Floors in the Tallest Building' in cell B60.
</v>
      </c>
      <c r="H2953" s="52" t="str">
        <f t="shared" ca="1" si="1069"/>
        <v>New Construction Eligible Basis</v>
      </c>
      <c r="I2953" s="52">
        <v>12</v>
      </c>
    </row>
    <row r="2954" spans="1:10" ht="15" customHeight="1">
      <c r="A2954" t="str">
        <f ca="1">IF(AND(OFFSET(A2954, -I2954 + 2, 4) &gt;  0, E2954="", Calculations!$B$7), F2954, "")</f>
        <v/>
      </c>
      <c r="B2954">
        <f t="shared" si="1065"/>
        <v>89</v>
      </c>
      <c r="C2954">
        <f t="shared" ca="1" si="1057"/>
        <v>86</v>
      </c>
      <c r="D2954" t="str">
        <f t="shared" si="1066"/>
        <v>M89</v>
      </c>
      <c r="E2954" t="str">
        <f t="shared" ca="1" si="1067"/>
        <v/>
      </c>
      <c r="F2954" t="str">
        <f t="shared" ca="1" si="1068"/>
        <v xml:space="preserve">Enter a 'Eligible Basis for Rehab' for  building 86 in cell M89.
</v>
      </c>
      <c r="G2954" s="9" t="str">
        <f t="shared" ca="1" si="1055"/>
        <v xml:space="preserve">Enter a value for 'Number of Floors in the Tallest Building' in cell B60.
</v>
      </c>
      <c r="H2954" s="52" t="str">
        <f t="shared" ca="1" si="1069"/>
        <v>Eligible Basis for Rehab</v>
      </c>
      <c r="I2954" s="52">
        <v>13</v>
      </c>
    </row>
    <row r="2955" spans="1:10" ht="15" customHeight="1">
      <c r="A2955" t="str">
        <f ca="1">IF(AND(OFFSET(A2955, -I2955 + 2, 4) &gt;  0, E2955="", Calculations!$B$7), F2955, "")</f>
        <v/>
      </c>
      <c r="B2955">
        <f t="shared" si="1065"/>
        <v>89</v>
      </c>
      <c r="C2955">
        <f t="shared" ca="1" si="1057"/>
        <v>86</v>
      </c>
      <c r="D2955" t="str">
        <f t="shared" si="1066"/>
        <v>N89</v>
      </c>
      <c r="E2955" t="str">
        <f t="shared" ca="1" si="1067"/>
        <v/>
      </c>
      <c r="F2955" t="str">
        <f t="shared" ca="1" si="1068"/>
        <v xml:space="preserve">Enter a 'Cost of Acquiring the Building***' for  building 86 in cell N89.
</v>
      </c>
      <c r="G2955" s="9" t="str">
        <f t="shared" ca="1" si="1055"/>
        <v xml:space="preserve">Enter a value for 'Number of Floors in the Tallest Building' in cell B60.
</v>
      </c>
      <c r="H2955" s="52" t="str">
        <f t="shared" ca="1" si="1069"/>
        <v>Cost of Acquiring the Building***</v>
      </c>
      <c r="I2955" s="52">
        <v>14</v>
      </c>
    </row>
    <row r="2956" spans="1:10" ht="15" customHeight="1">
      <c r="A2956" t="str">
        <f ca="1">IF(AND(OFFSET(A2956, -I2956 + 2, 4) &gt;  0, E2956="", Calculations!$B$7), F2956, "")</f>
        <v/>
      </c>
      <c r="B2956">
        <f t="shared" si="1065"/>
        <v>89</v>
      </c>
      <c r="C2956">
        <f t="shared" ca="1" si="1057"/>
        <v>86</v>
      </c>
      <c r="D2956" t="str">
        <f t="shared" si="1066"/>
        <v>O89</v>
      </c>
      <c r="E2956" t="str">
        <f t="shared" ca="1" si="1067"/>
        <v/>
      </c>
      <c r="F2956" t="str">
        <f t="shared" ca="1" si="1068"/>
        <v xml:space="preserve">Enter a 'Higher of Land Purchase Price or Land Appraised Value****' for  building 86 in cell O89.
</v>
      </c>
      <c r="G2956" s="9" t="str">
        <f t="shared" ca="1" si="1055"/>
        <v xml:space="preserve">Enter a value for 'Number of Floors in the Tallest Building' in cell B60.
</v>
      </c>
      <c r="H2956" s="52" t="str">
        <f t="shared" ca="1" si="1069"/>
        <v>Higher of Land Purchase Price or Land Appraised Value****</v>
      </c>
      <c r="I2956" s="52">
        <v>15</v>
      </c>
    </row>
    <row r="2957" spans="1:10" ht="15" customHeight="1">
      <c r="A2957" t="str">
        <f ca="1">IF(AND(OFFSET(A2957, -I2957 + 2, 4) &gt;  0, E2957="", Calculations!$B$7), F2957, "")</f>
        <v/>
      </c>
      <c r="B2957">
        <f t="shared" si="1065"/>
        <v>89</v>
      </c>
      <c r="C2957">
        <f t="shared" ca="1" si="1057"/>
        <v>86</v>
      </c>
      <c r="D2957" t="str">
        <f t="shared" si="1066"/>
        <v>P89</v>
      </c>
      <c r="E2957" t="str">
        <f t="shared" ca="1" si="1067"/>
        <v/>
      </c>
      <c r="F2957" t="str">
        <f t="shared" ca="1" si="1068"/>
        <v xml:space="preserve">Enter a 'Acquisition Placed-in-Service Date' for  building 86 in cell P89.
</v>
      </c>
      <c r="G2957" s="9" t="str">
        <f t="shared" ca="1" si="1055"/>
        <v xml:space="preserve">Enter a value for 'Number of Floors in the Tallest Building' in cell B60.
</v>
      </c>
      <c r="H2957" s="52" t="str">
        <f t="shared" ca="1" si="1069"/>
        <v>Acquisition Placed-in-Service Date</v>
      </c>
      <c r="I2957" s="52">
        <v>16</v>
      </c>
    </row>
    <row r="2958" spans="1:10" ht="15" customHeight="1">
      <c r="A2958" t="str">
        <f ca="1">IF(AND(OFFSET(A2958, -I2958 + 2, 4) &gt;  0, E2958="", Calculations!$B$7), F2958, "")</f>
        <v/>
      </c>
      <c r="B2958">
        <f t="shared" si="1065"/>
        <v>89</v>
      </c>
      <c r="C2958">
        <f t="shared" ca="1" si="1057"/>
        <v>86</v>
      </c>
      <c r="D2958" t="str">
        <f t="shared" si="1066"/>
        <v>Q89</v>
      </c>
      <c r="E2958" t="str">
        <f t="shared" ca="1" si="1067"/>
        <v/>
      </c>
      <c r="F2958" t="str">
        <f t="shared" ca="1" si="1068"/>
        <v xml:space="preserve">Enter a 'Acquisition APR' for  building 86 in cell Q89.
</v>
      </c>
      <c r="G2958" s="9" t="str">
        <f t="shared" ca="1" si="1055"/>
        <v xml:space="preserve">Enter a value for 'Number of Floors in the Tallest Building' in cell B60.
</v>
      </c>
      <c r="H2958" s="52" t="str">
        <f t="shared" ca="1" si="1069"/>
        <v>Acquisition APR</v>
      </c>
      <c r="I2958" s="52">
        <v>17</v>
      </c>
    </row>
    <row r="2959" spans="1:10" ht="15" customHeight="1">
      <c r="A2959" t="str">
        <f ca="1">IF(AND(Calculations!$B$4,Calculations!$B$29&gt;=C2959, E2959 &lt;&gt; 13),F2959,"")</f>
        <v/>
      </c>
      <c r="B2959">
        <f>ROW('Final Building Profile'!C90)</f>
        <v>90</v>
      </c>
      <c r="C2959">
        <f t="shared" ca="1" si="1057"/>
        <v>87</v>
      </c>
      <c r="D2959" t="str">
        <f>ADDRESS(B2959, 3,4  )</f>
        <v>C90</v>
      </c>
      <c r="E2959" s="52">
        <f ca="1">H2959+I2959</f>
        <v>0</v>
      </c>
      <c r="F2959" t="str">
        <f ca="1">CONCATENATE("Based upon the number of buildings specified, information for  building ", C2959, " required for a final application in row ", B2959, ".", CHAR(10))</f>
        <v xml:space="preserve">Based upon the number of buildings specified, information for  building 87 required for a final application in row 90.
</v>
      </c>
      <c r="G2959" s="9" t="str">
        <f t="shared" ca="1" si="1055"/>
        <v xml:space="preserve">Enter a value for 'Number of Floors in the Tallest Building' in cell B60.
</v>
      </c>
      <c r="H2959" s="52">
        <f ca="1">SUMPRODUCT(--ISTEXT(INDIRECT(J2959)))</f>
        <v>0</v>
      </c>
      <c r="I2959" s="52">
        <f ca="1">SUMPRODUCT(--ISNUMBER(INDIRECT(J2959)))</f>
        <v>0</v>
      </c>
      <c r="J2959" s="52" t="str">
        <f>$F$1565&amp; ADDRESS(B2959,3,4) &amp; ":" &amp; ADDRESS(B2959,15,4)</f>
        <v>'Final Building Profile'!C90:O90</v>
      </c>
    </row>
    <row r="2960" spans="1:10" ht="15" customHeight="1">
      <c r="A2960" t="str">
        <f t="shared" ref="A2960:A2969" ca="1" si="1070">IF(AND(OFFSET(A2960, -I2960 + 2, 4) &gt;  0, E2960=""), F2960, "")</f>
        <v/>
      </c>
      <c r="B2960">
        <f t="shared" ref="B2960:B2974" si="1071">B2959</f>
        <v>90</v>
      </c>
      <c r="C2960">
        <f t="shared" ca="1" si="1057"/>
        <v>87</v>
      </c>
      <c r="D2960" t="str">
        <f t="shared" ref="D2960:D2974" si="1072">ADDRESS(B2960, I2960,4  )</f>
        <v>C90</v>
      </c>
      <c r="E2960" t="str">
        <f t="shared" ref="E2960:E2974" ca="1" si="1073">IF(ISBLANK( INDIRECT($F$1565 &amp; D2960)),"", INDIRECT($F$1565 &amp; D2960))</f>
        <v/>
      </c>
      <c r="F2960" t="str">
        <f t="shared" ref="F2960:F2974" ca="1" si="1074">CONCATENATE("Enter a '"&amp; H2960 &amp;"' for  building ", C2960, " in cell ", D2960, ".", CHAR(10))</f>
        <v xml:space="preserve">Enter a 'Building Street Address Only 
(DO NOT ENTER CITY, STATE, OR ZIP)' for  building 87 in cell C90.
</v>
      </c>
      <c r="G2960" s="9" t="str">
        <f t="shared" ca="1" si="1055"/>
        <v xml:space="preserve">Enter a value for 'Number of Floors in the Tallest Building' in cell B60.
</v>
      </c>
      <c r="H2960" s="52" t="str">
        <f t="shared" ref="H2960:H2974" ca="1" si="1075">OFFSET(INDIRECT($F$1565 &amp; D2960), -B2960 + 3, 0)</f>
        <v>Building Street Address Only 
(DO NOT ENTER CITY, STATE, OR ZIP)</v>
      </c>
      <c r="I2960" s="52">
        <v>3</v>
      </c>
    </row>
    <row r="2961" spans="1:10" ht="15" customHeight="1">
      <c r="A2961" t="str">
        <f t="shared" ca="1" si="1070"/>
        <v/>
      </c>
      <c r="B2961">
        <f t="shared" si="1071"/>
        <v>90</v>
      </c>
      <c r="C2961">
        <f t="shared" ca="1" si="1057"/>
        <v>87</v>
      </c>
      <c r="D2961" t="str">
        <f t="shared" si="1072"/>
        <v>D90</v>
      </c>
      <c r="E2961" t="str">
        <f t="shared" ca="1" si="1073"/>
        <v/>
      </c>
      <c r="F2961" t="str">
        <f t="shared" ca="1" si="1074"/>
        <v xml:space="preserve">Enter a 'Total Units in Building*' for  building 87 in cell D90.
</v>
      </c>
      <c r="G2961" s="9" t="str">
        <f t="shared" ca="1" si="1055"/>
        <v xml:space="preserve">Enter a value for 'Number of Floors in the Tallest Building' in cell B60.
</v>
      </c>
      <c r="H2961" s="52" t="str">
        <f t="shared" ca="1" si="1075"/>
        <v>Total Units in Building*</v>
      </c>
      <c r="I2961" s="52">
        <v>4</v>
      </c>
    </row>
    <row r="2962" spans="1:10" ht="15" customHeight="1">
      <c r="A2962" t="str">
        <f t="shared" ca="1" si="1070"/>
        <v/>
      </c>
      <c r="B2962">
        <f t="shared" si="1071"/>
        <v>90</v>
      </c>
      <c r="C2962">
        <f t="shared" ca="1" si="1057"/>
        <v>87</v>
      </c>
      <c r="D2962" t="str">
        <f t="shared" si="1072"/>
        <v>E90</v>
      </c>
      <c r="E2962" t="str">
        <f t="shared" ca="1" si="1073"/>
        <v/>
      </c>
      <c r="F2962" t="str">
        <f t="shared" ca="1" si="1074"/>
        <v xml:space="preserve">Enter a 'Employee Units' for  building 87 in cell E90.
</v>
      </c>
      <c r="G2962" s="9" t="str">
        <f t="shared" ca="1" si="1055"/>
        <v xml:space="preserve">Enter a value for 'Number of Floors in the Tallest Building' in cell B60.
</v>
      </c>
      <c r="H2962" s="52" t="str">
        <f t="shared" ca="1" si="1075"/>
        <v>Employee Units</v>
      </c>
      <c r="I2962" s="52">
        <v>5</v>
      </c>
    </row>
    <row r="2963" spans="1:10" ht="15" customHeight="1">
      <c r="A2963" t="str">
        <f t="shared" ca="1" si="1070"/>
        <v/>
      </c>
      <c r="B2963">
        <f t="shared" si="1071"/>
        <v>90</v>
      </c>
      <c r="C2963">
        <f t="shared" ca="1" si="1057"/>
        <v>87</v>
      </c>
      <c r="D2963" t="str">
        <f t="shared" si="1072"/>
        <v>F90</v>
      </c>
      <c r="E2963" t="str">
        <f t="shared" ca="1" si="1073"/>
        <v/>
      </c>
      <c r="F2963" t="str">
        <f t="shared" ca="1" si="1074"/>
        <v xml:space="preserve">Enter a 'Low-Income Units' for  building 87 in cell F90.
</v>
      </c>
      <c r="G2963" s="9" t="str">
        <f t="shared" ca="1" si="1055"/>
        <v xml:space="preserve">Enter a value for 'Number of Floors in the Tallest Building' in cell B60.
</v>
      </c>
      <c r="H2963" s="52" t="str">
        <f t="shared" ca="1" si="1075"/>
        <v>Low-Income Units</v>
      </c>
      <c r="I2963" s="52">
        <v>6</v>
      </c>
    </row>
    <row r="2964" spans="1:10" ht="15" customHeight="1">
      <c r="A2964" t="str">
        <f t="shared" ca="1" si="1070"/>
        <v/>
      </c>
      <c r="B2964">
        <f t="shared" si="1071"/>
        <v>90</v>
      </c>
      <c r="C2964">
        <f t="shared" ca="1" si="1057"/>
        <v>87</v>
      </c>
      <c r="D2964" t="str">
        <f t="shared" si="1072"/>
        <v>G90</v>
      </c>
      <c r="E2964" t="str">
        <f t="shared" ca="1" si="1073"/>
        <v/>
      </c>
      <c r="F2964" t="str">
        <f t="shared" ca="1" si="1074"/>
        <v xml:space="preserve">Enter a 'Residential Square Footage**' for  building 87 in cell G90.
</v>
      </c>
      <c r="G2964" s="9" t="str">
        <f t="shared" ca="1" si="1055"/>
        <v xml:space="preserve">Enter a value for 'Number of Floors in the Tallest Building' in cell B60.
</v>
      </c>
      <c r="H2964" s="52" t="str">
        <f t="shared" ca="1" si="1075"/>
        <v>Residential Square Footage**</v>
      </c>
      <c r="I2964" s="52">
        <v>7</v>
      </c>
    </row>
    <row r="2965" spans="1:10" ht="15" customHeight="1">
      <c r="A2965" t="str">
        <f t="shared" ca="1" si="1070"/>
        <v/>
      </c>
      <c r="B2965">
        <f t="shared" si="1071"/>
        <v>90</v>
      </c>
      <c r="C2965">
        <f t="shared" ca="1" si="1057"/>
        <v>87</v>
      </c>
      <c r="D2965" t="str">
        <f t="shared" si="1072"/>
        <v>H90</v>
      </c>
      <c r="E2965" t="str">
        <f t="shared" ca="1" si="1073"/>
        <v/>
      </c>
      <c r="F2965" t="str">
        <f t="shared" ca="1" si="1074"/>
        <v xml:space="preserve">Enter a 'Square Footage of Employee Units' for  building 87 in cell H90.
</v>
      </c>
      <c r="G2965" s="9" t="str">
        <f t="shared" ca="1" si="1055"/>
        <v xml:space="preserve">Enter a value for 'Number of Floors in the Tallest Building' in cell B60.
</v>
      </c>
      <c r="H2965" s="52" t="str">
        <f t="shared" ca="1" si="1075"/>
        <v>Square Footage of Employee Units</v>
      </c>
      <c r="I2965" s="52">
        <v>8</v>
      </c>
    </row>
    <row r="2966" spans="1:10" ht="15" customHeight="1">
      <c r="A2966" t="str">
        <f t="shared" ca="1" si="1070"/>
        <v/>
      </c>
      <c r="B2966">
        <f t="shared" si="1071"/>
        <v>90</v>
      </c>
      <c r="C2966">
        <f t="shared" ca="1" si="1057"/>
        <v>87</v>
      </c>
      <c r="D2966" t="str">
        <f t="shared" si="1072"/>
        <v>I90</v>
      </c>
      <c r="E2966" t="str">
        <f t="shared" ca="1" si="1073"/>
        <v/>
      </c>
      <c r="F2966" t="str">
        <f t="shared" ca="1" si="1074"/>
        <v xml:space="preserve">Enter a 'Square Footage of Low-Income Units' for  building 87 in cell I90.
</v>
      </c>
      <c r="G2966" s="9" t="str">
        <f t="shared" ca="1" si="1055"/>
        <v xml:space="preserve">Enter a value for 'Number of Floors in the Tallest Building' in cell B60.
</v>
      </c>
      <c r="H2966" s="52" t="str">
        <f t="shared" ca="1" si="1075"/>
        <v>Square Footage of Low-Income Units</v>
      </c>
      <c r="I2966" s="52">
        <v>9</v>
      </c>
    </row>
    <row r="2967" spans="1:10" ht="15" customHeight="1">
      <c r="A2967" t="str">
        <f t="shared" ca="1" si="1070"/>
        <v/>
      </c>
      <c r="B2967">
        <f t="shared" si="1071"/>
        <v>90</v>
      </c>
      <c r="C2967">
        <f t="shared" ca="1" si="1057"/>
        <v>87</v>
      </c>
      <c r="D2967" t="str">
        <f t="shared" si="1072"/>
        <v>J90</v>
      </c>
      <c r="E2967" t="str">
        <f t="shared" ca="1" si="1073"/>
        <v/>
      </c>
      <c r="F2967" t="str">
        <f t="shared" ca="1" si="1074"/>
        <v xml:space="preserve">Enter a 'Placed-In-Service Date' for  building 87 in cell J90.
</v>
      </c>
      <c r="G2967" s="9" t="str">
        <f t="shared" ca="1" si="1055"/>
        <v xml:space="preserve">Enter a value for 'Number of Floors in the Tallest Building' in cell B60.
</v>
      </c>
      <c r="H2967" s="52" t="str">
        <f t="shared" ca="1" si="1075"/>
        <v>Placed-In-Service Date</v>
      </c>
      <c r="I2967" s="52">
        <v>10</v>
      </c>
    </row>
    <row r="2968" spans="1:10" ht="15" customHeight="1">
      <c r="A2968" t="str">
        <f t="shared" ca="1" si="1070"/>
        <v/>
      </c>
      <c r="B2968">
        <f t="shared" si="1071"/>
        <v>90</v>
      </c>
      <c r="C2968">
        <f t="shared" ca="1" si="1057"/>
        <v>87</v>
      </c>
      <c r="D2968" t="str">
        <f t="shared" si="1072"/>
        <v>K90</v>
      </c>
      <c r="E2968" t="str">
        <f t="shared" ca="1" si="1073"/>
        <v/>
      </c>
      <c r="F2968" t="str">
        <f t="shared" ca="1" si="1074"/>
        <v xml:space="preserve">Enter a 'New Construction/ Rehab APR' for  building 87 in cell K90.
</v>
      </c>
      <c r="G2968" s="9" t="str">
        <f t="shared" ca="1" si="1055"/>
        <v xml:space="preserve">Enter a value for 'Number of Floors in the Tallest Building' in cell B60.
</v>
      </c>
      <c r="H2968" s="52" t="str">
        <f t="shared" ca="1" si="1075"/>
        <v>New Construction/ Rehab APR</v>
      </c>
      <c r="I2968" s="52">
        <v>11</v>
      </c>
    </row>
    <row r="2969" spans="1:10" ht="15" customHeight="1">
      <c r="A2969" t="str">
        <f t="shared" ca="1" si="1070"/>
        <v/>
      </c>
      <c r="B2969">
        <f t="shared" si="1071"/>
        <v>90</v>
      </c>
      <c r="C2969">
        <f t="shared" ca="1" si="1057"/>
        <v>87</v>
      </c>
      <c r="D2969" t="str">
        <f t="shared" si="1072"/>
        <v>L90</v>
      </c>
      <c r="E2969" t="str">
        <f t="shared" ca="1" si="1073"/>
        <v/>
      </c>
      <c r="F2969" t="str">
        <f t="shared" ca="1" si="1074"/>
        <v xml:space="preserve">Enter a 'New Construction Eligible Basis' for  building 87 in cell L90.
</v>
      </c>
      <c r="G2969" s="9" t="str">
        <f t="shared" ca="1" si="1055"/>
        <v xml:space="preserve">Enter a value for 'Number of Floors in the Tallest Building' in cell B60.
</v>
      </c>
      <c r="H2969" s="52" t="str">
        <f t="shared" ca="1" si="1075"/>
        <v>New Construction Eligible Basis</v>
      </c>
      <c r="I2969" s="52">
        <v>12</v>
      </c>
    </row>
    <row r="2970" spans="1:10" ht="15" customHeight="1">
      <c r="A2970" t="str">
        <f ca="1">IF(AND(OFFSET(A2970, -I2970 + 2, 4) &gt;  0, E2970="", Calculations!$B$7), F2970, "")</f>
        <v/>
      </c>
      <c r="B2970">
        <f t="shared" si="1071"/>
        <v>90</v>
      </c>
      <c r="C2970">
        <f t="shared" ca="1" si="1057"/>
        <v>87</v>
      </c>
      <c r="D2970" t="str">
        <f t="shared" si="1072"/>
        <v>M90</v>
      </c>
      <c r="E2970" t="str">
        <f t="shared" ca="1" si="1073"/>
        <v/>
      </c>
      <c r="F2970" t="str">
        <f t="shared" ca="1" si="1074"/>
        <v xml:space="preserve">Enter a 'Eligible Basis for Rehab' for  building 87 in cell M90.
</v>
      </c>
      <c r="G2970" s="9" t="str">
        <f t="shared" ca="1" si="1055"/>
        <v xml:space="preserve">Enter a value for 'Number of Floors in the Tallest Building' in cell B60.
</v>
      </c>
      <c r="H2970" s="52" t="str">
        <f t="shared" ca="1" si="1075"/>
        <v>Eligible Basis for Rehab</v>
      </c>
      <c r="I2970" s="52">
        <v>13</v>
      </c>
    </row>
    <row r="2971" spans="1:10" ht="15" customHeight="1">
      <c r="A2971" t="str">
        <f ca="1">IF(AND(OFFSET(A2971, -I2971 + 2, 4) &gt;  0, E2971="", Calculations!$B$7), F2971, "")</f>
        <v/>
      </c>
      <c r="B2971">
        <f t="shared" si="1071"/>
        <v>90</v>
      </c>
      <c r="C2971">
        <f t="shared" ca="1" si="1057"/>
        <v>87</v>
      </c>
      <c r="D2971" t="str">
        <f t="shared" si="1072"/>
        <v>N90</v>
      </c>
      <c r="E2971" t="str">
        <f t="shared" ca="1" si="1073"/>
        <v/>
      </c>
      <c r="F2971" t="str">
        <f t="shared" ca="1" si="1074"/>
        <v xml:space="preserve">Enter a 'Cost of Acquiring the Building***' for  building 87 in cell N90.
</v>
      </c>
      <c r="G2971" s="9" t="str">
        <f t="shared" ca="1" si="1055"/>
        <v xml:space="preserve">Enter a value for 'Number of Floors in the Tallest Building' in cell B60.
</v>
      </c>
      <c r="H2971" s="52" t="str">
        <f t="shared" ca="1" si="1075"/>
        <v>Cost of Acquiring the Building***</v>
      </c>
      <c r="I2971" s="52">
        <v>14</v>
      </c>
    </row>
    <row r="2972" spans="1:10" ht="15" customHeight="1">
      <c r="A2972" t="str">
        <f ca="1">IF(AND(OFFSET(A2972, -I2972 + 2, 4) &gt;  0, E2972="", Calculations!$B$7), F2972, "")</f>
        <v/>
      </c>
      <c r="B2972">
        <f t="shared" si="1071"/>
        <v>90</v>
      </c>
      <c r="C2972">
        <f t="shared" ca="1" si="1057"/>
        <v>87</v>
      </c>
      <c r="D2972" t="str">
        <f t="shared" si="1072"/>
        <v>O90</v>
      </c>
      <c r="E2972" t="str">
        <f t="shared" ca="1" si="1073"/>
        <v/>
      </c>
      <c r="F2972" t="str">
        <f t="shared" ca="1" si="1074"/>
        <v xml:space="preserve">Enter a 'Higher of Land Purchase Price or Land Appraised Value****' for  building 87 in cell O90.
</v>
      </c>
      <c r="G2972" s="9" t="str">
        <f t="shared" ca="1" si="1055"/>
        <v xml:space="preserve">Enter a value for 'Number of Floors in the Tallest Building' in cell B60.
</v>
      </c>
      <c r="H2972" s="52" t="str">
        <f t="shared" ca="1" si="1075"/>
        <v>Higher of Land Purchase Price or Land Appraised Value****</v>
      </c>
      <c r="I2972" s="52">
        <v>15</v>
      </c>
    </row>
    <row r="2973" spans="1:10" ht="15" customHeight="1">
      <c r="A2973" t="str">
        <f ca="1">IF(AND(OFFSET(A2973, -I2973 + 2, 4) &gt;  0, E2973="", Calculations!$B$7), F2973, "")</f>
        <v/>
      </c>
      <c r="B2973">
        <f t="shared" si="1071"/>
        <v>90</v>
      </c>
      <c r="C2973">
        <f t="shared" ca="1" si="1057"/>
        <v>87</v>
      </c>
      <c r="D2973" t="str">
        <f t="shared" si="1072"/>
        <v>P90</v>
      </c>
      <c r="E2973" t="str">
        <f t="shared" ca="1" si="1073"/>
        <v/>
      </c>
      <c r="F2973" t="str">
        <f t="shared" ca="1" si="1074"/>
        <v xml:space="preserve">Enter a 'Acquisition Placed-in-Service Date' for  building 87 in cell P90.
</v>
      </c>
      <c r="G2973" s="9" t="str">
        <f t="shared" ca="1" si="1055"/>
        <v xml:space="preserve">Enter a value for 'Number of Floors in the Tallest Building' in cell B60.
</v>
      </c>
      <c r="H2973" s="52" t="str">
        <f t="shared" ca="1" si="1075"/>
        <v>Acquisition Placed-in-Service Date</v>
      </c>
      <c r="I2973" s="52">
        <v>16</v>
      </c>
    </row>
    <row r="2974" spans="1:10" ht="15" customHeight="1">
      <c r="A2974" t="str">
        <f ca="1">IF(AND(OFFSET(A2974, -I2974 + 2, 4) &gt;  0, E2974="", Calculations!$B$7), F2974, "")</f>
        <v/>
      </c>
      <c r="B2974">
        <f t="shared" si="1071"/>
        <v>90</v>
      </c>
      <c r="C2974">
        <f t="shared" ca="1" si="1057"/>
        <v>87</v>
      </c>
      <c r="D2974" t="str">
        <f t="shared" si="1072"/>
        <v>Q90</v>
      </c>
      <c r="E2974" t="str">
        <f t="shared" ca="1" si="1073"/>
        <v/>
      </c>
      <c r="F2974" t="str">
        <f t="shared" ca="1" si="1074"/>
        <v xml:space="preserve">Enter a 'Acquisition APR' for  building 87 in cell Q90.
</v>
      </c>
      <c r="G2974" s="9" t="str">
        <f t="shared" ca="1" si="1055"/>
        <v xml:space="preserve">Enter a value for 'Number of Floors in the Tallest Building' in cell B60.
</v>
      </c>
      <c r="H2974" s="52" t="str">
        <f t="shared" ca="1" si="1075"/>
        <v>Acquisition APR</v>
      </c>
      <c r="I2974" s="52">
        <v>17</v>
      </c>
    </row>
    <row r="2975" spans="1:10" ht="15" customHeight="1">
      <c r="A2975" t="str">
        <f ca="1">IF(AND(Calculations!$B$4,Calculations!$B$29&gt;=C2975, E2975 &lt;&gt; 13),F2975,"")</f>
        <v/>
      </c>
      <c r="B2975">
        <f>ROW('Final Building Profile'!C91)</f>
        <v>91</v>
      </c>
      <c r="C2975">
        <f t="shared" ca="1" si="1057"/>
        <v>88</v>
      </c>
      <c r="D2975" t="str">
        <f>ADDRESS(B2975, 3,4  )</f>
        <v>C91</v>
      </c>
      <c r="E2975" s="52">
        <f ca="1">H2975+I2975</f>
        <v>0</v>
      </c>
      <c r="F2975" t="str">
        <f ca="1">CONCATENATE("Based upon the number of buildings specified, information for  building ", C2975, " required for a final application in row ", B2975, ".", CHAR(10))</f>
        <v xml:space="preserve">Based upon the number of buildings specified, information for  building 88 required for a final application in row 91.
</v>
      </c>
      <c r="G2975" s="9" t="str">
        <f t="shared" ca="1" si="1055"/>
        <v xml:space="preserve">Enter a value for 'Number of Floors in the Tallest Building' in cell B60.
</v>
      </c>
      <c r="H2975" s="52">
        <f ca="1">SUMPRODUCT(--ISTEXT(INDIRECT(J2975)))</f>
        <v>0</v>
      </c>
      <c r="I2975" s="52">
        <f ca="1">SUMPRODUCT(--ISNUMBER(INDIRECT(J2975)))</f>
        <v>0</v>
      </c>
      <c r="J2975" s="52" t="str">
        <f>$F$1565&amp; ADDRESS(B2975,3,4) &amp; ":" &amp; ADDRESS(B2975,15,4)</f>
        <v>'Final Building Profile'!C91:O91</v>
      </c>
    </row>
    <row r="2976" spans="1:10" ht="15" customHeight="1">
      <c r="A2976" t="str">
        <f t="shared" ref="A2976:A2985" ca="1" si="1076">IF(AND(OFFSET(A2976, -I2976 + 2, 4) &gt;  0, E2976=""), F2976, "")</f>
        <v/>
      </c>
      <c r="B2976">
        <f t="shared" ref="B2976:B2990" si="1077">B2975</f>
        <v>91</v>
      </c>
      <c r="C2976">
        <f t="shared" ca="1" si="1057"/>
        <v>88</v>
      </c>
      <c r="D2976" t="str">
        <f t="shared" ref="D2976:D2990" si="1078">ADDRESS(B2976, I2976,4  )</f>
        <v>C91</v>
      </c>
      <c r="E2976" t="str">
        <f t="shared" ref="E2976:E2990" ca="1" si="1079">IF(ISBLANK( INDIRECT($F$1565 &amp; D2976)),"", INDIRECT($F$1565 &amp; D2976))</f>
        <v/>
      </c>
      <c r="F2976" t="str">
        <f t="shared" ref="F2976:F2990" ca="1" si="1080">CONCATENATE("Enter a '"&amp; H2976 &amp;"' for  building ", C2976, " in cell ", D2976, ".", CHAR(10))</f>
        <v xml:space="preserve">Enter a 'Building Street Address Only 
(DO NOT ENTER CITY, STATE, OR ZIP)' for  building 88 in cell C91.
</v>
      </c>
      <c r="G2976" s="9" t="str">
        <f t="shared" ref="G2976:G3039" ca="1" si="1081">OFFSET(G2976, -1, 0) &amp; A2976</f>
        <v xml:space="preserve">Enter a value for 'Number of Floors in the Tallest Building' in cell B60.
</v>
      </c>
      <c r="H2976" s="52" t="str">
        <f t="shared" ref="H2976:H2990" ca="1" si="1082">OFFSET(INDIRECT($F$1565 &amp; D2976), -B2976 + 3, 0)</f>
        <v>Building Street Address Only 
(DO NOT ENTER CITY, STATE, OR ZIP)</v>
      </c>
      <c r="I2976" s="52">
        <v>3</v>
      </c>
    </row>
    <row r="2977" spans="1:10" ht="15" customHeight="1">
      <c r="A2977" t="str">
        <f t="shared" ca="1" si="1076"/>
        <v/>
      </c>
      <c r="B2977">
        <f t="shared" si="1077"/>
        <v>91</v>
      </c>
      <c r="C2977">
        <f t="shared" ca="1" si="1057"/>
        <v>88</v>
      </c>
      <c r="D2977" t="str">
        <f t="shared" si="1078"/>
        <v>D91</v>
      </c>
      <c r="E2977" t="str">
        <f t="shared" ca="1" si="1079"/>
        <v/>
      </c>
      <c r="F2977" t="str">
        <f t="shared" ca="1" si="1080"/>
        <v xml:space="preserve">Enter a 'Total Units in Building*' for  building 88 in cell D91.
</v>
      </c>
      <c r="G2977" s="9" t="str">
        <f t="shared" ca="1" si="1081"/>
        <v xml:space="preserve">Enter a value for 'Number of Floors in the Tallest Building' in cell B60.
</v>
      </c>
      <c r="H2977" s="52" t="str">
        <f t="shared" ca="1" si="1082"/>
        <v>Total Units in Building*</v>
      </c>
      <c r="I2977" s="52">
        <v>4</v>
      </c>
    </row>
    <row r="2978" spans="1:10" ht="15" customHeight="1">
      <c r="A2978" t="str">
        <f t="shared" ca="1" si="1076"/>
        <v/>
      </c>
      <c r="B2978">
        <f t="shared" si="1077"/>
        <v>91</v>
      </c>
      <c r="C2978">
        <f t="shared" ca="1" si="1057"/>
        <v>88</v>
      </c>
      <c r="D2978" t="str">
        <f t="shared" si="1078"/>
        <v>E91</v>
      </c>
      <c r="E2978" t="str">
        <f t="shared" ca="1" si="1079"/>
        <v/>
      </c>
      <c r="F2978" t="str">
        <f t="shared" ca="1" si="1080"/>
        <v xml:space="preserve">Enter a 'Employee Units' for  building 88 in cell E91.
</v>
      </c>
      <c r="G2978" s="9" t="str">
        <f t="shared" ca="1" si="1081"/>
        <v xml:space="preserve">Enter a value for 'Number of Floors in the Tallest Building' in cell B60.
</v>
      </c>
      <c r="H2978" s="52" t="str">
        <f t="shared" ca="1" si="1082"/>
        <v>Employee Units</v>
      </c>
      <c r="I2978" s="52">
        <v>5</v>
      </c>
    </row>
    <row r="2979" spans="1:10" ht="15" customHeight="1">
      <c r="A2979" t="str">
        <f t="shared" ca="1" si="1076"/>
        <v/>
      </c>
      <c r="B2979">
        <f t="shared" si="1077"/>
        <v>91</v>
      </c>
      <c r="C2979">
        <f t="shared" ca="1" si="1057"/>
        <v>88</v>
      </c>
      <c r="D2979" t="str">
        <f t="shared" si="1078"/>
        <v>F91</v>
      </c>
      <c r="E2979" t="str">
        <f t="shared" ca="1" si="1079"/>
        <v/>
      </c>
      <c r="F2979" t="str">
        <f t="shared" ca="1" si="1080"/>
        <v xml:space="preserve">Enter a 'Low-Income Units' for  building 88 in cell F91.
</v>
      </c>
      <c r="G2979" s="9" t="str">
        <f t="shared" ca="1" si="1081"/>
        <v xml:space="preserve">Enter a value for 'Number of Floors in the Tallest Building' in cell B60.
</v>
      </c>
      <c r="H2979" s="52" t="str">
        <f t="shared" ca="1" si="1082"/>
        <v>Low-Income Units</v>
      </c>
      <c r="I2979" s="52">
        <v>6</v>
      </c>
    </row>
    <row r="2980" spans="1:10" ht="15" customHeight="1">
      <c r="A2980" t="str">
        <f t="shared" ca="1" si="1076"/>
        <v/>
      </c>
      <c r="B2980">
        <f t="shared" si="1077"/>
        <v>91</v>
      </c>
      <c r="C2980">
        <f t="shared" ca="1" si="1057"/>
        <v>88</v>
      </c>
      <c r="D2980" t="str">
        <f t="shared" si="1078"/>
        <v>G91</v>
      </c>
      <c r="E2980" t="str">
        <f t="shared" ca="1" si="1079"/>
        <v/>
      </c>
      <c r="F2980" t="str">
        <f t="shared" ca="1" si="1080"/>
        <v xml:space="preserve">Enter a 'Residential Square Footage**' for  building 88 in cell G91.
</v>
      </c>
      <c r="G2980" s="9" t="str">
        <f t="shared" ca="1" si="1081"/>
        <v xml:space="preserve">Enter a value for 'Number of Floors in the Tallest Building' in cell B60.
</v>
      </c>
      <c r="H2980" s="52" t="str">
        <f t="shared" ca="1" si="1082"/>
        <v>Residential Square Footage**</v>
      </c>
      <c r="I2980" s="52">
        <v>7</v>
      </c>
    </row>
    <row r="2981" spans="1:10" ht="15" customHeight="1">
      <c r="A2981" t="str">
        <f t="shared" ca="1" si="1076"/>
        <v/>
      </c>
      <c r="B2981">
        <f t="shared" si="1077"/>
        <v>91</v>
      </c>
      <c r="C2981">
        <f t="shared" ca="1" si="1057"/>
        <v>88</v>
      </c>
      <c r="D2981" t="str">
        <f t="shared" si="1078"/>
        <v>H91</v>
      </c>
      <c r="E2981" t="str">
        <f t="shared" ca="1" si="1079"/>
        <v/>
      </c>
      <c r="F2981" t="str">
        <f t="shared" ca="1" si="1080"/>
        <v xml:space="preserve">Enter a 'Square Footage of Employee Units' for  building 88 in cell H91.
</v>
      </c>
      <c r="G2981" s="9" t="str">
        <f t="shared" ca="1" si="1081"/>
        <v xml:space="preserve">Enter a value for 'Number of Floors in the Tallest Building' in cell B60.
</v>
      </c>
      <c r="H2981" s="52" t="str">
        <f t="shared" ca="1" si="1082"/>
        <v>Square Footage of Employee Units</v>
      </c>
      <c r="I2981" s="52">
        <v>8</v>
      </c>
    </row>
    <row r="2982" spans="1:10" ht="15" customHeight="1">
      <c r="A2982" t="str">
        <f t="shared" ca="1" si="1076"/>
        <v/>
      </c>
      <c r="B2982">
        <f t="shared" si="1077"/>
        <v>91</v>
      </c>
      <c r="C2982">
        <f t="shared" ca="1" si="1057"/>
        <v>88</v>
      </c>
      <c r="D2982" t="str">
        <f t="shared" si="1078"/>
        <v>I91</v>
      </c>
      <c r="E2982" t="str">
        <f t="shared" ca="1" si="1079"/>
        <v/>
      </c>
      <c r="F2982" t="str">
        <f t="shared" ca="1" si="1080"/>
        <v xml:space="preserve">Enter a 'Square Footage of Low-Income Units' for  building 88 in cell I91.
</v>
      </c>
      <c r="G2982" s="9" t="str">
        <f t="shared" ca="1" si="1081"/>
        <v xml:space="preserve">Enter a value for 'Number of Floors in the Tallest Building' in cell B60.
</v>
      </c>
      <c r="H2982" s="52" t="str">
        <f t="shared" ca="1" si="1082"/>
        <v>Square Footage of Low-Income Units</v>
      </c>
      <c r="I2982" s="52">
        <v>9</v>
      </c>
    </row>
    <row r="2983" spans="1:10" ht="15" customHeight="1">
      <c r="A2983" t="str">
        <f t="shared" ca="1" si="1076"/>
        <v/>
      </c>
      <c r="B2983">
        <f t="shared" si="1077"/>
        <v>91</v>
      </c>
      <c r="C2983">
        <f t="shared" ca="1" si="1057"/>
        <v>88</v>
      </c>
      <c r="D2983" t="str">
        <f t="shared" si="1078"/>
        <v>J91</v>
      </c>
      <c r="E2983" t="str">
        <f t="shared" ca="1" si="1079"/>
        <v/>
      </c>
      <c r="F2983" t="str">
        <f t="shared" ca="1" si="1080"/>
        <v xml:space="preserve">Enter a 'Placed-In-Service Date' for  building 88 in cell J91.
</v>
      </c>
      <c r="G2983" s="9" t="str">
        <f t="shared" ca="1" si="1081"/>
        <v xml:space="preserve">Enter a value for 'Number of Floors in the Tallest Building' in cell B60.
</v>
      </c>
      <c r="H2983" s="52" t="str">
        <f t="shared" ca="1" si="1082"/>
        <v>Placed-In-Service Date</v>
      </c>
      <c r="I2983" s="52">
        <v>10</v>
      </c>
    </row>
    <row r="2984" spans="1:10" ht="15" customHeight="1">
      <c r="A2984" t="str">
        <f t="shared" ca="1" si="1076"/>
        <v/>
      </c>
      <c r="B2984">
        <f t="shared" si="1077"/>
        <v>91</v>
      </c>
      <c r="C2984">
        <f t="shared" ca="1" si="1057"/>
        <v>88</v>
      </c>
      <c r="D2984" t="str">
        <f t="shared" si="1078"/>
        <v>K91</v>
      </c>
      <c r="E2984" t="str">
        <f t="shared" ca="1" si="1079"/>
        <v/>
      </c>
      <c r="F2984" t="str">
        <f t="shared" ca="1" si="1080"/>
        <v xml:space="preserve">Enter a 'New Construction/ Rehab APR' for  building 88 in cell K91.
</v>
      </c>
      <c r="G2984" s="9" t="str">
        <f t="shared" ca="1" si="1081"/>
        <v xml:space="preserve">Enter a value for 'Number of Floors in the Tallest Building' in cell B60.
</v>
      </c>
      <c r="H2984" s="52" t="str">
        <f t="shared" ca="1" si="1082"/>
        <v>New Construction/ Rehab APR</v>
      </c>
      <c r="I2984" s="52">
        <v>11</v>
      </c>
    </row>
    <row r="2985" spans="1:10" ht="15" customHeight="1">
      <c r="A2985" t="str">
        <f t="shared" ca="1" si="1076"/>
        <v/>
      </c>
      <c r="B2985">
        <f t="shared" si="1077"/>
        <v>91</v>
      </c>
      <c r="C2985">
        <f t="shared" ca="1" si="1057"/>
        <v>88</v>
      </c>
      <c r="D2985" t="str">
        <f t="shared" si="1078"/>
        <v>L91</v>
      </c>
      <c r="E2985" t="str">
        <f t="shared" ca="1" si="1079"/>
        <v/>
      </c>
      <c r="F2985" t="str">
        <f t="shared" ca="1" si="1080"/>
        <v xml:space="preserve">Enter a 'New Construction Eligible Basis' for  building 88 in cell L91.
</v>
      </c>
      <c r="G2985" s="9" t="str">
        <f t="shared" ca="1" si="1081"/>
        <v xml:space="preserve">Enter a value for 'Number of Floors in the Tallest Building' in cell B60.
</v>
      </c>
      <c r="H2985" s="52" t="str">
        <f t="shared" ca="1" si="1082"/>
        <v>New Construction Eligible Basis</v>
      </c>
      <c r="I2985" s="52">
        <v>12</v>
      </c>
    </row>
    <row r="2986" spans="1:10" ht="15" customHeight="1">
      <c r="A2986" t="str">
        <f ca="1">IF(AND(OFFSET(A2986, -I2986 + 2, 4) &gt;  0, E2986="", Calculations!$B$7), F2986, "")</f>
        <v/>
      </c>
      <c r="B2986">
        <f t="shared" si="1077"/>
        <v>91</v>
      </c>
      <c r="C2986">
        <f t="shared" ca="1" si="1057"/>
        <v>88</v>
      </c>
      <c r="D2986" t="str">
        <f t="shared" si="1078"/>
        <v>M91</v>
      </c>
      <c r="E2986" t="str">
        <f t="shared" ca="1" si="1079"/>
        <v/>
      </c>
      <c r="F2986" t="str">
        <f t="shared" ca="1" si="1080"/>
        <v xml:space="preserve">Enter a 'Eligible Basis for Rehab' for  building 88 in cell M91.
</v>
      </c>
      <c r="G2986" s="9" t="str">
        <f t="shared" ca="1" si="1081"/>
        <v xml:space="preserve">Enter a value for 'Number of Floors in the Tallest Building' in cell B60.
</v>
      </c>
      <c r="H2986" s="52" t="str">
        <f t="shared" ca="1" si="1082"/>
        <v>Eligible Basis for Rehab</v>
      </c>
      <c r="I2986" s="52">
        <v>13</v>
      </c>
    </row>
    <row r="2987" spans="1:10" ht="15" customHeight="1">
      <c r="A2987" t="str">
        <f ca="1">IF(AND(OFFSET(A2987, -I2987 + 2, 4) &gt;  0, E2987="", Calculations!$B$7), F2987, "")</f>
        <v/>
      </c>
      <c r="B2987">
        <f t="shared" si="1077"/>
        <v>91</v>
      </c>
      <c r="C2987">
        <f t="shared" ca="1" si="1057"/>
        <v>88</v>
      </c>
      <c r="D2987" t="str">
        <f t="shared" si="1078"/>
        <v>N91</v>
      </c>
      <c r="E2987" t="str">
        <f t="shared" ca="1" si="1079"/>
        <v/>
      </c>
      <c r="F2987" t="str">
        <f t="shared" ca="1" si="1080"/>
        <v xml:space="preserve">Enter a 'Cost of Acquiring the Building***' for  building 88 in cell N91.
</v>
      </c>
      <c r="G2987" s="9" t="str">
        <f t="shared" ca="1" si="1081"/>
        <v xml:space="preserve">Enter a value for 'Number of Floors in the Tallest Building' in cell B60.
</v>
      </c>
      <c r="H2987" s="52" t="str">
        <f t="shared" ca="1" si="1082"/>
        <v>Cost of Acquiring the Building***</v>
      </c>
      <c r="I2987" s="52">
        <v>14</v>
      </c>
    </row>
    <row r="2988" spans="1:10" ht="15" customHeight="1">
      <c r="A2988" t="str">
        <f ca="1">IF(AND(OFFSET(A2988, -I2988 + 2, 4) &gt;  0, E2988="", Calculations!$B$7), F2988, "")</f>
        <v/>
      </c>
      <c r="B2988">
        <f t="shared" si="1077"/>
        <v>91</v>
      </c>
      <c r="C2988">
        <f t="shared" ca="1" si="1057"/>
        <v>88</v>
      </c>
      <c r="D2988" t="str">
        <f t="shared" si="1078"/>
        <v>O91</v>
      </c>
      <c r="E2988" t="str">
        <f t="shared" ca="1" si="1079"/>
        <v/>
      </c>
      <c r="F2988" t="str">
        <f t="shared" ca="1" si="1080"/>
        <v xml:space="preserve">Enter a 'Higher of Land Purchase Price or Land Appraised Value****' for  building 88 in cell O91.
</v>
      </c>
      <c r="G2988" s="9" t="str">
        <f t="shared" ca="1" si="1081"/>
        <v xml:space="preserve">Enter a value for 'Number of Floors in the Tallest Building' in cell B60.
</v>
      </c>
      <c r="H2988" s="52" t="str">
        <f t="shared" ca="1" si="1082"/>
        <v>Higher of Land Purchase Price or Land Appraised Value****</v>
      </c>
      <c r="I2988" s="52">
        <v>15</v>
      </c>
    </row>
    <row r="2989" spans="1:10" ht="15" customHeight="1">
      <c r="A2989" t="str">
        <f ca="1">IF(AND(OFFSET(A2989, -I2989 + 2, 4) &gt;  0, E2989="", Calculations!$B$7), F2989, "")</f>
        <v/>
      </c>
      <c r="B2989">
        <f t="shared" si="1077"/>
        <v>91</v>
      </c>
      <c r="C2989">
        <f t="shared" ca="1" si="1057"/>
        <v>88</v>
      </c>
      <c r="D2989" t="str">
        <f t="shared" si="1078"/>
        <v>P91</v>
      </c>
      <c r="E2989" t="str">
        <f t="shared" ca="1" si="1079"/>
        <v/>
      </c>
      <c r="F2989" t="str">
        <f t="shared" ca="1" si="1080"/>
        <v xml:space="preserve">Enter a 'Acquisition Placed-in-Service Date' for  building 88 in cell P91.
</v>
      </c>
      <c r="G2989" s="9" t="str">
        <f t="shared" ca="1" si="1081"/>
        <v xml:space="preserve">Enter a value for 'Number of Floors in the Tallest Building' in cell B60.
</v>
      </c>
      <c r="H2989" s="52" t="str">
        <f t="shared" ca="1" si="1082"/>
        <v>Acquisition Placed-in-Service Date</v>
      </c>
      <c r="I2989" s="52">
        <v>16</v>
      </c>
    </row>
    <row r="2990" spans="1:10" ht="15" customHeight="1">
      <c r="A2990" t="str">
        <f ca="1">IF(AND(OFFSET(A2990, -I2990 + 2, 4) &gt;  0, E2990="", Calculations!$B$7), F2990, "")</f>
        <v/>
      </c>
      <c r="B2990">
        <f t="shared" si="1077"/>
        <v>91</v>
      </c>
      <c r="C2990">
        <f t="shared" ca="1" si="1057"/>
        <v>88</v>
      </c>
      <c r="D2990" t="str">
        <f t="shared" si="1078"/>
        <v>Q91</v>
      </c>
      <c r="E2990" t="str">
        <f t="shared" ca="1" si="1079"/>
        <v/>
      </c>
      <c r="F2990" t="str">
        <f t="shared" ca="1" si="1080"/>
        <v xml:space="preserve">Enter a 'Acquisition APR' for  building 88 in cell Q91.
</v>
      </c>
      <c r="G2990" s="9" t="str">
        <f t="shared" ca="1" si="1081"/>
        <v xml:space="preserve">Enter a value for 'Number of Floors in the Tallest Building' in cell B60.
</v>
      </c>
      <c r="H2990" s="52" t="str">
        <f t="shared" ca="1" si="1082"/>
        <v>Acquisition APR</v>
      </c>
      <c r="I2990" s="52">
        <v>17</v>
      </c>
    </row>
    <row r="2991" spans="1:10" ht="15" customHeight="1">
      <c r="A2991" t="str">
        <f ca="1">IF(AND(Calculations!$B$4,Calculations!$B$29&gt;=C2991, E2991 &lt;&gt; 13),F2991,"")</f>
        <v/>
      </c>
      <c r="B2991">
        <f>ROW('Final Building Profile'!C92)</f>
        <v>92</v>
      </c>
      <c r="C2991">
        <f t="shared" ref="C2991:C3054" ca="1" si="1083">INDIRECT($F$1565 &amp; ADDRESS(B2991, 1,4  ))</f>
        <v>89</v>
      </c>
      <c r="D2991" t="str">
        <f>ADDRESS(B2991, 3,4  )</f>
        <v>C92</v>
      </c>
      <c r="E2991" s="52">
        <f ca="1">H2991+I2991</f>
        <v>0</v>
      </c>
      <c r="F2991" t="str">
        <f ca="1">CONCATENATE("Based upon the number of buildings specified, information for  building ", C2991, " required for a final application in row ", B2991, ".", CHAR(10))</f>
        <v xml:space="preserve">Based upon the number of buildings specified, information for  building 89 required for a final application in row 92.
</v>
      </c>
      <c r="G2991" s="9" t="str">
        <f t="shared" ca="1" si="1081"/>
        <v xml:space="preserve">Enter a value for 'Number of Floors in the Tallest Building' in cell B60.
</v>
      </c>
      <c r="H2991" s="52">
        <f ca="1">SUMPRODUCT(--ISTEXT(INDIRECT(J2991)))</f>
        <v>0</v>
      </c>
      <c r="I2991" s="52">
        <f ca="1">SUMPRODUCT(--ISNUMBER(INDIRECT(J2991)))</f>
        <v>0</v>
      </c>
      <c r="J2991" s="52" t="str">
        <f>$F$1565&amp; ADDRESS(B2991,3,4) &amp; ":" &amp; ADDRESS(B2991,15,4)</f>
        <v>'Final Building Profile'!C92:O92</v>
      </c>
    </row>
    <row r="2992" spans="1:10" ht="15" customHeight="1">
      <c r="A2992" t="str">
        <f t="shared" ref="A2992:A3001" ca="1" si="1084">IF(AND(OFFSET(A2992, -I2992 + 2, 4) &gt;  0, E2992=""), F2992, "")</f>
        <v/>
      </c>
      <c r="B2992">
        <f t="shared" ref="B2992:B3006" si="1085">B2991</f>
        <v>92</v>
      </c>
      <c r="C2992">
        <f t="shared" ca="1" si="1083"/>
        <v>89</v>
      </c>
      <c r="D2992" t="str">
        <f t="shared" ref="D2992:D3006" si="1086">ADDRESS(B2992, I2992,4  )</f>
        <v>C92</v>
      </c>
      <c r="E2992" t="str">
        <f t="shared" ref="E2992:E3006" ca="1" si="1087">IF(ISBLANK( INDIRECT($F$1565 &amp; D2992)),"", INDIRECT($F$1565 &amp; D2992))</f>
        <v/>
      </c>
      <c r="F2992" t="str">
        <f t="shared" ref="F2992:F3006" ca="1" si="1088">CONCATENATE("Enter a '"&amp; H2992 &amp;"' for  building ", C2992, " in cell ", D2992, ".", CHAR(10))</f>
        <v xml:space="preserve">Enter a 'Building Street Address Only 
(DO NOT ENTER CITY, STATE, OR ZIP)' for  building 89 in cell C92.
</v>
      </c>
      <c r="G2992" s="9" t="str">
        <f t="shared" ca="1" si="1081"/>
        <v xml:space="preserve">Enter a value for 'Number of Floors in the Tallest Building' in cell B60.
</v>
      </c>
      <c r="H2992" s="52" t="str">
        <f t="shared" ref="H2992:H3006" ca="1" si="1089">OFFSET(INDIRECT($F$1565 &amp; D2992), -B2992 + 3, 0)</f>
        <v>Building Street Address Only 
(DO NOT ENTER CITY, STATE, OR ZIP)</v>
      </c>
      <c r="I2992" s="52">
        <v>3</v>
      </c>
    </row>
    <row r="2993" spans="1:10" ht="15" customHeight="1">
      <c r="A2993" t="str">
        <f t="shared" ca="1" si="1084"/>
        <v/>
      </c>
      <c r="B2993">
        <f t="shared" si="1085"/>
        <v>92</v>
      </c>
      <c r="C2993">
        <f t="shared" ca="1" si="1083"/>
        <v>89</v>
      </c>
      <c r="D2993" t="str">
        <f t="shared" si="1086"/>
        <v>D92</v>
      </c>
      <c r="E2993" t="str">
        <f t="shared" ca="1" si="1087"/>
        <v/>
      </c>
      <c r="F2993" t="str">
        <f t="shared" ca="1" si="1088"/>
        <v xml:space="preserve">Enter a 'Total Units in Building*' for  building 89 in cell D92.
</v>
      </c>
      <c r="G2993" s="9" t="str">
        <f t="shared" ca="1" si="1081"/>
        <v xml:space="preserve">Enter a value for 'Number of Floors in the Tallest Building' in cell B60.
</v>
      </c>
      <c r="H2993" s="52" t="str">
        <f t="shared" ca="1" si="1089"/>
        <v>Total Units in Building*</v>
      </c>
      <c r="I2993" s="52">
        <v>4</v>
      </c>
    </row>
    <row r="2994" spans="1:10" ht="15" customHeight="1">
      <c r="A2994" t="str">
        <f t="shared" ca="1" si="1084"/>
        <v/>
      </c>
      <c r="B2994">
        <f t="shared" si="1085"/>
        <v>92</v>
      </c>
      <c r="C2994">
        <f t="shared" ca="1" si="1083"/>
        <v>89</v>
      </c>
      <c r="D2994" t="str">
        <f t="shared" si="1086"/>
        <v>E92</v>
      </c>
      <c r="E2994" t="str">
        <f t="shared" ca="1" si="1087"/>
        <v/>
      </c>
      <c r="F2994" t="str">
        <f t="shared" ca="1" si="1088"/>
        <v xml:space="preserve">Enter a 'Employee Units' for  building 89 in cell E92.
</v>
      </c>
      <c r="G2994" s="9" t="str">
        <f t="shared" ca="1" si="1081"/>
        <v xml:space="preserve">Enter a value for 'Number of Floors in the Tallest Building' in cell B60.
</v>
      </c>
      <c r="H2994" s="52" t="str">
        <f t="shared" ca="1" si="1089"/>
        <v>Employee Units</v>
      </c>
      <c r="I2994" s="52">
        <v>5</v>
      </c>
    </row>
    <row r="2995" spans="1:10" ht="15" customHeight="1">
      <c r="A2995" t="str">
        <f t="shared" ca="1" si="1084"/>
        <v/>
      </c>
      <c r="B2995">
        <f t="shared" si="1085"/>
        <v>92</v>
      </c>
      <c r="C2995">
        <f t="shared" ca="1" si="1083"/>
        <v>89</v>
      </c>
      <c r="D2995" t="str">
        <f t="shared" si="1086"/>
        <v>F92</v>
      </c>
      <c r="E2995" t="str">
        <f t="shared" ca="1" si="1087"/>
        <v/>
      </c>
      <c r="F2995" t="str">
        <f t="shared" ca="1" si="1088"/>
        <v xml:space="preserve">Enter a 'Low-Income Units' for  building 89 in cell F92.
</v>
      </c>
      <c r="G2995" s="9" t="str">
        <f t="shared" ca="1" si="1081"/>
        <v xml:space="preserve">Enter a value for 'Number of Floors in the Tallest Building' in cell B60.
</v>
      </c>
      <c r="H2995" s="52" t="str">
        <f t="shared" ca="1" si="1089"/>
        <v>Low-Income Units</v>
      </c>
      <c r="I2995" s="52">
        <v>6</v>
      </c>
    </row>
    <row r="2996" spans="1:10" ht="15" customHeight="1">
      <c r="A2996" t="str">
        <f t="shared" ca="1" si="1084"/>
        <v/>
      </c>
      <c r="B2996">
        <f t="shared" si="1085"/>
        <v>92</v>
      </c>
      <c r="C2996">
        <f t="shared" ca="1" si="1083"/>
        <v>89</v>
      </c>
      <c r="D2996" t="str">
        <f t="shared" si="1086"/>
        <v>G92</v>
      </c>
      <c r="E2996" t="str">
        <f t="shared" ca="1" si="1087"/>
        <v/>
      </c>
      <c r="F2996" t="str">
        <f t="shared" ca="1" si="1088"/>
        <v xml:space="preserve">Enter a 'Residential Square Footage**' for  building 89 in cell G92.
</v>
      </c>
      <c r="G2996" s="9" t="str">
        <f t="shared" ca="1" si="1081"/>
        <v xml:space="preserve">Enter a value for 'Number of Floors in the Tallest Building' in cell B60.
</v>
      </c>
      <c r="H2996" s="52" t="str">
        <f t="shared" ca="1" si="1089"/>
        <v>Residential Square Footage**</v>
      </c>
      <c r="I2996" s="52">
        <v>7</v>
      </c>
    </row>
    <row r="2997" spans="1:10" ht="15" customHeight="1">
      <c r="A2997" t="str">
        <f t="shared" ca="1" si="1084"/>
        <v/>
      </c>
      <c r="B2997">
        <f t="shared" si="1085"/>
        <v>92</v>
      </c>
      <c r="C2997">
        <f t="shared" ca="1" si="1083"/>
        <v>89</v>
      </c>
      <c r="D2997" t="str">
        <f t="shared" si="1086"/>
        <v>H92</v>
      </c>
      <c r="E2997" t="str">
        <f t="shared" ca="1" si="1087"/>
        <v/>
      </c>
      <c r="F2997" t="str">
        <f t="shared" ca="1" si="1088"/>
        <v xml:space="preserve">Enter a 'Square Footage of Employee Units' for  building 89 in cell H92.
</v>
      </c>
      <c r="G2997" s="9" t="str">
        <f t="shared" ca="1" si="1081"/>
        <v xml:space="preserve">Enter a value for 'Number of Floors in the Tallest Building' in cell B60.
</v>
      </c>
      <c r="H2997" s="52" t="str">
        <f t="shared" ca="1" si="1089"/>
        <v>Square Footage of Employee Units</v>
      </c>
      <c r="I2997" s="52">
        <v>8</v>
      </c>
    </row>
    <row r="2998" spans="1:10" ht="15" customHeight="1">
      <c r="A2998" t="str">
        <f t="shared" ca="1" si="1084"/>
        <v/>
      </c>
      <c r="B2998">
        <f t="shared" si="1085"/>
        <v>92</v>
      </c>
      <c r="C2998">
        <f t="shared" ca="1" si="1083"/>
        <v>89</v>
      </c>
      <c r="D2998" t="str">
        <f t="shared" si="1086"/>
        <v>I92</v>
      </c>
      <c r="E2998" t="str">
        <f t="shared" ca="1" si="1087"/>
        <v/>
      </c>
      <c r="F2998" t="str">
        <f t="shared" ca="1" si="1088"/>
        <v xml:space="preserve">Enter a 'Square Footage of Low-Income Units' for  building 89 in cell I92.
</v>
      </c>
      <c r="G2998" s="9" t="str">
        <f t="shared" ca="1" si="1081"/>
        <v xml:space="preserve">Enter a value for 'Number of Floors in the Tallest Building' in cell B60.
</v>
      </c>
      <c r="H2998" s="52" t="str">
        <f t="shared" ca="1" si="1089"/>
        <v>Square Footage of Low-Income Units</v>
      </c>
      <c r="I2998" s="52">
        <v>9</v>
      </c>
    </row>
    <row r="2999" spans="1:10" ht="15" customHeight="1">
      <c r="A2999" t="str">
        <f t="shared" ca="1" si="1084"/>
        <v/>
      </c>
      <c r="B2999">
        <f t="shared" si="1085"/>
        <v>92</v>
      </c>
      <c r="C2999">
        <f t="shared" ca="1" si="1083"/>
        <v>89</v>
      </c>
      <c r="D2999" t="str">
        <f t="shared" si="1086"/>
        <v>J92</v>
      </c>
      <c r="E2999" t="str">
        <f t="shared" ca="1" si="1087"/>
        <v/>
      </c>
      <c r="F2999" t="str">
        <f t="shared" ca="1" si="1088"/>
        <v xml:space="preserve">Enter a 'Placed-In-Service Date' for  building 89 in cell J92.
</v>
      </c>
      <c r="G2999" s="9" t="str">
        <f t="shared" ca="1" si="1081"/>
        <v xml:space="preserve">Enter a value for 'Number of Floors in the Tallest Building' in cell B60.
</v>
      </c>
      <c r="H2999" s="52" t="str">
        <f t="shared" ca="1" si="1089"/>
        <v>Placed-In-Service Date</v>
      </c>
      <c r="I2999" s="52">
        <v>10</v>
      </c>
    </row>
    <row r="3000" spans="1:10" ht="15" customHeight="1">
      <c r="A3000" t="str">
        <f t="shared" ca="1" si="1084"/>
        <v/>
      </c>
      <c r="B3000">
        <f t="shared" si="1085"/>
        <v>92</v>
      </c>
      <c r="C3000">
        <f t="shared" ca="1" si="1083"/>
        <v>89</v>
      </c>
      <c r="D3000" t="str">
        <f t="shared" si="1086"/>
        <v>K92</v>
      </c>
      <c r="E3000" t="str">
        <f t="shared" ca="1" si="1087"/>
        <v/>
      </c>
      <c r="F3000" t="str">
        <f t="shared" ca="1" si="1088"/>
        <v xml:space="preserve">Enter a 'New Construction/ Rehab APR' for  building 89 in cell K92.
</v>
      </c>
      <c r="G3000" s="9" t="str">
        <f t="shared" ca="1" si="1081"/>
        <v xml:space="preserve">Enter a value for 'Number of Floors in the Tallest Building' in cell B60.
</v>
      </c>
      <c r="H3000" s="52" t="str">
        <f t="shared" ca="1" si="1089"/>
        <v>New Construction/ Rehab APR</v>
      </c>
      <c r="I3000" s="52">
        <v>11</v>
      </c>
    </row>
    <row r="3001" spans="1:10" ht="15" customHeight="1">
      <c r="A3001" t="str">
        <f t="shared" ca="1" si="1084"/>
        <v/>
      </c>
      <c r="B3001">
        <f t="shared" si="1085"/>
        <v>92</v>
      </c>
      <c r="C3001">
        <f t="shared" ca="1" si="1083"/>
        <v>89</v>
      </c>
      <c r="D3001" t="str">
        <f t="shared" si="1086"/>
        <v>L92</v>
      </c>
      <c r="E3001" t="str">
        <f t="shared" ca="1" si="1087"/>
        <v/>
      </c>
      <c r="F3001" t="str">
        <f t="shared" ca="1" si="1088"/>
        <v xml:space="preserve">Enter a 'New Construction Eligible Basis' for  building 89 in cell L92.
</v>
      </c>
      <c r="G3001" s="9" t="str">
        <f t="shared" ca="1" si="1081"/>
        <v xml:space="preserve">Enter a value for 'Number of Floors in the Tallest Building' in cell B60.
</v>
      </c>
      <c r="H3001" s="52" t="str">
        <f t="shared" ca="1" si="1089"/>
        <v>New Construction Eligible Basis</v>
      </c>
      <c r="I3001" s="52">
        <v>12</v>
      </c>
    </row>
    <row r="3002" spans="1:10" ht="15" customHeight="1">
      <c r="A3002" t="str">
        <f ca="1">IF(AND(OFFSET(A3002, -I3002 + 2, 4) &gt;  0, E3002="", Calculations!$B$7), F3002, "")</f>
        <v/>
      </c>
      <c r="B3002">
        <f t="shared" si="1085"/>
        <v>92</v>
      </c>
      <c r="C3002">
        <f t="shared" ca="1" si="1083"/>
        <v>89</v>
      </c>
      <c r="D3002" t="str">
        <f t="shared" si="1086"/>
        <v>M92</v>
      </c>
      <c r="E3002" t="str">
        <f t="shared" ca="1" si="1087"/>
        <v/>
      </c>
      <c r="F3002" t="str">
        <f t="shared" ca="1" si="1088"/>
        <v xml:space="preserve">Enter a 'Eligible Basis for Rehab' for  building 89 in cell M92.
</v>
      </c>
      <c r="G3002" s="9" t="str">
        <f t="shared" ca="1" si="1081"/>
        <v xml:space="preserve">Enter a value for 'Number of Floors in the Tallest Building' in cell B60.
</v>
      </c>
      <c r="H3002" s="52" t="str">
        <f t="shared" ca="1" si="1089"/>
        <v>Eligible Basis for Rehab</v>
      </c>
      <c r="I3002" s="52">
        <v>13</v>
      </c>
    </row>
    <row r="3003" spans="1:10" ht="15" customHeight="1">
      <c r="A3003" t="str">
        <f ca="1">IF(AND(OFFSET(A3003, -I3003 + 2, 4) &gt;  0, E3003="", Calculations!$B$7), F3003, "")</f>
        <v/>
      </c>
      <c r="B3003">
        <f t="shared" si="1085"/>
        <v>92</v>
      </c>
      <c r="C3003">
        <f t="shared" ca="1" si="1083"/>
        <v>89</v>
      </c>
      <c r="D3003" t="str">
        <f t="shared" si="1086"/>
        <v>N92</v>
      </c>
      <c r="E3003" t="str">
        <f t="shared" ca="1" si="1087"/>
        <v/>
      </c>
      <c r="F3003" t="str">
        <f t="shared" ca="1" si="1088"/>
        <v xml:space="preserve">Enter a 'Cost of Acquiring the Building***' for  building 89 in cell N92.
</v>
      </c>
      <c r="G3003" s="9" t="str">
        <f t="shared" ca="1" si="1081"/>
        <v xml:space="preserve">Enter a value for 'Number of Floors in the Tallest Building' in cell B60.
</v>
      </c>
      <c r="H3003" s="52" t="str">
        <f t="shared" ca="1" si="1089"/>
        <v>Cost of Acquiring the Building***</v>
      </c>
      <c r="I3003" s="52">
        <v>14</v>
      </c>
    </row>
    <row r="3004" spans="1:10" ht="15" customHeight="1">
      <c r="A3004" t="str">
        <f ca="1">IF(AND(OFFSET(A3004, -I3004 + 2, 4) &gt;  0, E3004="", Calculations!$B$7), F3004, "")</f>
        <v/>
      </c>
      <c r="B3004">
        <f t="shared" si="1085"/>
        <v>92</v>
      </c>
      <c r="C3004">
        <f t="shared" ca="1" si="1083"/>
        <v>89</v>
      </c>
      <c r="D3004" t="str">
        <f t="shared" si="1086"/>
        <v>O92</v>
      </c>
      <c r="E3004" t="str">
        <f t="shared" ca="1" si="1087"/>
        <v/>
      </c>
      <c r="F3004" t="str">
        <f t="shared" ca="1" si="1088"/>
        <v xml:space="preserve">Enter a 'Higher of Land Purchase Price or Land Appraised Value****' for  building 89 in cell O92.
</v>
      </c>
      <c r="G3004" s="9" t="str">
        <f t="shared" ca="1" si="1081"/>
        <v xml:space="preserve">Enter a value for 'Number of Floors in the Tallest Building' in cell B60.
</v>
      </c>
      <c r="H3004" s="52" t="str">
        <f t="shared" ca="1" si="1089"/>
        <v>Higher of Land Purchase Price or Land Appraised Value****</v>
      </c>
      <c r="I3004" s="52">
        <v>15</v>
      </c>
    </row>
    <row r="3005" spans="1:10" ht="15" customHeight="1">
      <c r="A3005" t="str">
        <f ca="1">IF(AND(OFFSET(A3005, -I3005 + 2, 4) &gt;  0, E3005="", Calculations!$B$7), F3005, "")</f>
        <v/>
      </c>
      <c r="B3005">
        <f t="shared" si="1085"/>
        <v>92</v>
      </c>
      <c r="C3005">
        <f t="shared" ca="1" si="1083"/>
        <v>89</v>
      </c>
      <c r="D3005" t="str">
        <f t="shared" si="1086"/>
        <v>P92</v>
      </c>
      <c r="E3005" t="str">
        <f t="shared" ca="1" si="1087"/>
        <v/>
      </c>
      <c r="F3005" t="str">
        <f t="shared" ca="1" si="1088"/>
        <v xml:space="preserve">Enter a 'Acquisition Placed-in-Service Date' for  building 89 in cell P92.
</v>
      </c>
      <c r="G3005" s="9" t="str">
        <f t="shared" ca="1" si="1081"/>
        <v xml:space="preserve">Enter a value for 'Number of Floors in the Tallest Building' in cell B60.
</v>
      </c>
      <c r="H3005" s="52" t="str">
        <f t="shared" ca="1" si="1089"/>
        <v>Acquisition Placed-in-Service Date</v>
      </c>
      <c r="I3005" s="52">
        <v>16</v>
      </c>
    </row>
    <row r="3006" spans="1:10" ht="15" customHeight="1">
      <c r="A3006" t="str">
        <f ca="1">IF(AND(OFFSET(A3006, -I3006 + 2, 4) &gt;  0, E3006="", Calculations!$B$7), F3006, "")</f>
        <v/>
      </c>
      <c r="B3006">
        <f t="shared" si="1085"/>
        <v>92</v>
      </c>
      <c r="C3006">
        <f t="shared" ca="1" si="1083"/>
        <v>89</v>
      </c>
      <c r="D3006" t="str">
        <f t="shared" si="1086"/>
        <v>Q92</v>
      </c>
      <c r="E3006" t="str">
        <f t="shared" ca="1" si="1087"/>
        <v/>
      </c>
      <c r="F3006" t="str">
        <f t="shared" ca="1" si="1088"/>
        <v xml:space="preserve">Enter a 'Acquisition APR' for  building 89 in cell Q92.
</v>
      </c>
      <c r="G3006" s="9" t="str">
        <f t="shared" ca="1" si="1081"/>
        <v xml:space="preserve">Enter a value for 'Number of Floors in the Tallest Building' in cell B60.
</v>
      </c>
      <c r="H3006" s="52" t="str">
        <f t="shared" ca="1" si="1089"/>
        <v>Acquisition APR</v>
      </c>
      <c r="I3006" s="52">
        <v>17</v>
      </c>
    </row>
    <row r="3007" spans="1:10" ht="15" customHeight="1">
      <c r="A3007" t="str">
        <f ca="1">IF(AND(Calculations!$B$4,Calculations!$B$29&gt;=C3007, E3007 &lt;&gt; 13),F3007,"")</f>
        <v/>
      </c>
      <c r="B3007">
        <f>ROW('Final Building Profile'!C93)</f>
        <v>93</v>
      </c>
      <c r="C3007">
        <f t="shared" ca="1" si="1083"/>
        <v>90</v>
      </c>
      <c r="D3007" t="str">
        <f>ADDRESS(B3007, 3,4  )</f>
        <v>C93</v>
      </c>
      <c r="E3007" s="52">
        <f ca="1">H3007+I3007</f>
        <v>0</v>
      </c>
      <c r="F3007" t="str">
        <f ca="1">CONCATENATE("Based upon the number of buildings specified, information for  building ", C3007, " required for a final application in row ", B3007, ".", CHAR(10))</f>
        <v xml:space="preserve">Based upon the number of buildings specified, information for  building 90 required for a final application in row 93.
</v>
      </c>
      <c r="G3007" s="9" t="str">
        <f t="shared" ca="1" si="1081"/>
        <v xml:space="preserve">Enter a value for 'Number of Floors in the Tallest Building' in cell B60.
</v>
      </c>
      <c r="H3007" s="52">
        <f ca="1">SUMPRODUCT(--ISTEXT(INDIRECT(J3007)))</f>
        <v>0</v>
      </c>
      <c r="I3007" s="52">
        <f ca="1">SUMPRODUCT(--ISNUMBER(INDIRECT(J3007)))</f>
        <v>0</v>
      </c>
      <c r="J3007" s="52" t="str">
        <f>$F$1565&amp; ADDRESS(B3007,3,4) &amp; ":" &amp; ADDRESS(B3007,15,4)</f>
        <v>'Final Building Profile'!C93:O93</v>
      </c>
    </row>
    <row r="3008" spans="1:10" ht="15" customHeight="1">
      <c r="A3008" t="str">
        <f t="shared" ref="A3008:A3017" ca="1" si="1090">IF(AND(OFFSET(A3008, -I3008 + 2, 4) &gt;  0, E3008=""), F3008, "")</f>
        <v/>
      </c>
      <c r="B3008">
        <f t="shared" ref="B3008:B3022" si="1091">B3007</f>
        <v>93</v>
      </c>
      <c r="C3008">
        <f t="shared" ca="1" si="1083"/>
        <v>90</v>
      </c>
      <c r="D3008" t="str">
        <f t="shared" ref="D3008:D3022" si="1092">ADDRESS(B3008, I3008,4  )</f>
        <v>C93</v>
      </c>
      <c r="E3008" t="str">
        <f t="shared" ref="E3008:E3022" ca="1" si="1093">IF(ISBLANK( INDIRECT($F$1565 &amp; D3008)),"", INDIRECT($F$1565 &amp; D3008))</f>
        <v/>
      </c>
      <c r="F3008" t="str">
        <f t="shared" ref="F3008:F3022" ca="1" si="1094">CONCATENATE("Enter a '"&amp; H3008 &amp;"' for  building ", C3008, " in cell ", D3008, ".", CHAR(10))</f>
        <v xml:space="preserve">Enter a 'Building Street Address Only 
(DO NOT ENTER CITY, STATE, OR ZIP)' for  building 90 in cell C93.
</v>
      </c>
      <c r="G3008" s="9" t="str">
        <f t="shared" ca="1" si="1081"/>
        <v xml:space="preserve">Enter a value for 'Number of Floors in the Tallest Building' in cell B60.
</v>
      </c>
      <c r="H3008" s="52" t="str">
        <f t="shared" ref="H3008:H3022" ca="1" si="1095">OFFSET(INDIRECT($F$1565 &amp; D3008), -B3008 + 3, 0)</f>
        <v>Building Street Address Only 
(DO NOT ENTER CITY, STATE, OR ZIP)</v>
      </c>
      <c r="I3008" s="52">
        <v>3</v>
      </c>
    </row>
    <row r="3009" spans="1:10" ht="15" customHeight="1">
      <c r="A3009" t="str">
        <f t="shared" ca="1" si="1090"/>
        <v/>
      </c>
      <c r="B3009">
        <f t="shared" si="1091"/>
        <v>93</v>
      </c>
      <c r="C3009">
        <f t="shared" ca="1" si="1083"/>
        <v>90</v>
      </c>
      <c r="D3009" t="str">
        <f t="shared" si="1092"/>
        <v>D93</v>
      </c>
      <c r="E3009" t="str">
        <f t="shared" ca="1" si="1093"/>
        <v/>
      </c>
      <c r="F3009" t="str">
        <f t="shared" ca="1" si="1094"/>
        <v xml:space="preserve">Enter a 'Total Units in Building*' for  building 90 in cell D93.
</v>
      </c>
      <c r="G3009" s="9" t="str">
        <f t="shared" ca="1" si="1081"/>
        <v xml:space="preserve">Enter a value for 'Number of Floors in the Tallest Building' in cell B60.
</v>
      </c>
      <c r="H3009" s="52" t="str">
        <f t="shared" ca="1" si="1095"/>
        <v>Total Units in Building*</v>
      </c>
      <c r="I3009" s="52">
        <v>4</v>
      </c>
    </row>
    <row r="3010" spans="1:10" ht="15" customHeight="1">
      <c r="A3010" t="str">
        <f t="shared" ca="1" si="1090"/>
        <v/>
      </c>
      <c r="B3010">
        <f t="shared" si="1091"/>
        <v>93</v>
      </c>
      <c r="C3010">
        <f t="shared" ca="1" si="1083"/>
        <v>90</v>
      </c>
      <c r="D3010" t="str">
        <f t="shared" si="1092"/>
        <v>E93</v>
      </c>
      <c r="E3010" t="str">
        <f t="shared" ca="1" si="1093"/>
        <v/>
      </c>
      <c r="F3010" t="str">
        <f t="shared" ca="1" si="1094"/>
        <v xml:space="preserve">Enter a 'Employee Units' for  building 90 in cell E93.
</v>
      </c>
      <c r="G3010" s="9" t="str">
        <f t="shared" ca="1" si="1081"/>
        <v xml:space="preserve">Enter a value for 'Number of Floors in the Tallest Building' in cell B60.
</v>
      </c>
      <c r="H3010" s="52" t="str">
        <f t="shared" ca="1" si="1095"/>
        <v>Employee Units</v>
      </c>
      <c r="I3010" s="52">
        <v>5</v>
      </c>
    </row>
    <row r="3011" spans="1:10" ht="15" customHeight="1">
      <c r="A3011" t="str">
        <f t="shared" ca="1" si="1090"/>
        <v/>
      </c>
      <c r="B3011">
        <f t="shared" si="1091"/>
        <v>93</v>
      </c>
      <c r="C3011">
        <f t="shared" ca="1" si="1083"/>
        <v>90</v>
      </c>
      <c r="D3011" t="str">
        <f t="shared" si="1092"/>
        <v>F93</v>
      </c>
      <c r="E3011" t="str">
        <f t="shared" ca="1" si="1093"/>
        <v/>
      </c>
      <c r="F3011" t="str">
        <f t="shared" ca="1" si="1094"/>
        <v xml:space="preserve">Enter a 'Low-Income Units' for  building 90 in cell F93.
</v>
      </c>
      <c r="G3011" s="9" t="str">
        <f t="shared" ca="1" si="1081"/>
        <v xml:space="preserve">Enter a value for 'Number of Floors in the Tallest Building' in cell B60.
</v>
      </c>
      <c r="H3011" s="52" t="str">
        <f t="shared" ca="1" si="1095"/>
        <v>Low-Income Units</v>
      </c>
      <c r="I3011" s="52">
        <v>6</v>
      </c>
    </row>
    <row r="3012" spans="1:10" ht="15" customHeight="1">
      <c r="A3012" t="str">
        <f t="shared" ca="1" si="1090"/>
        <v/>
      </c>
      <c r="B3012">
        <f t="shared" si="1091"/>
        <v>93</v>
      </c>
      <c r="C3012">
        <f t="shared" ca="1" si="1083"/>
        <v>90</v>
      </c>
      <c r="D3012" t="str">
        <f t="shared" si="1092"/>
        <v>G93</v>
      </c>
      <c r="E3012" t="str">
        <f t="shared" ca="1" si="1093"/>
        <v/>
      </c>
      <c r="F3012" t="str">
        <f t="shared" ca="1" si="1094"/>
        <v xml:space="preserve">Enter a 'Residential Square Footage**' for  building 90 in cell G93.
</v>
      </c>
      <c r="G3012" s="9" t="str">
        <f t="shared" ca="1" si="1081"/>
        <v xml:space="preserve">Enter a value for 'Number of Floors in the Tallest Building' in cell B60.
</v>
      </c>
      <c r="H3012" s="52" t="str">
        <f t="shared" ca="1" si="1095"/>
        <v>Residential Square Footage**</v>
      </c>
      <c r="I3012" s="52">
        <v>7</v>
      </c>
    </row>
    <row r="3013" spans="1:10" ht="15" customHeight="1">
      <c r="A3013" t="str">
        <f t="shared" ca="1" si="1090"/>
        <v/>
      </c>
      <c r="B3013">
        <f t="shared" si="1091"/>
        <v>93</v>
      </c>
      <c r="C3013">
        <f t="shared" ca="1" si="1083"/>
        <v>90</v>
      </c>
      <c r="D3013" t="str">
        <f t="shared" si="1092"/>
        <v>H93</v>
      </c>
      <c r="E3013" t="str">
        <f t="shared" ca="1" si="1093"/>
        <v/>
      </c>
      <c r="F3013" t="str">
        <f t="shared" ca="1" si="1094"/>
        <v xml:space="preserve">Enter a 'Square Footage of Employee Units' for  building 90 in cell H93.
</v>
      </c>
      <c r="G3013" s="9" t="str">
        <f t="shared" ca="1" si="1081"/>
        <v xml:space="preserve">Enter a value for 'Number of Floors in the Tallest Building' in cell B60.
</v>
      </c>
      <c r="H3013" s="52" t="str">
        <f t="shared" ca="1" si="1095"/>
        <v>Square Footage of Employee Units</v>
      </c>
      <c r="I3013" s="52">
        <v>8</v>
      </c>
    </row>
    <row r="3014" spans="1:10" ht="15" customHeight="1">
      <c r="A3014" t="str">
        <f t="shared" ca="1" si="1090"/>
        <v/>
      </c>
      <c r="B3014">
        <f t="shared" si="1091"/>
        <v>93</v>
      </c>
      <c r="C3014">
        <f t="shared" ca="1" si="1083"/>
        <v>90</v>
      </c>
      <c r="D3014" t="str">
        <f t="shared" si="1092"/>
        <v>I93</v>
      </c>
      <c r="E3014" t="str">
        <f t="shared" ca="1" si="1093"/>
        <v/>
      </c>
      <c r="F3014" t="str">
        <f t="shared" ca="1" si="1094"/>
        <v xml:space="preserve">Enter a 'Square Footage of Low-Income Units' for  building 90 in cell I93.
</v>
      </c>
      <c r="G3014" s="9" t="str">
        <f t="shared" ca="1" si="1081"/>
        <v xml:space="preserve">Enter a value for 'Number of Floors in the Tallest Building' in cell B60.
</v>
      </c>
      <c r="H3014" s="52" t="str">
        <f t="shared" ca="1" si="1095"/>
        <v>Square Footage of Low-Income Units</v>
      </c>
      <c r="I3014" s="52">
        <v>9</v>
      </c>
    </row>
    <row r="3015" spans="1:10" ht="15" customHeight="1">
      <c r="A3015" t="str">
        <f t="shared" ca="1" si="1090"/>
        <v/>
      </c>
      <c r="B3015">
        <f t="shared" si="1091"/>
        <v>93</v>
      </c>
      <c r="C3015">
        <f t="shared" ca="1" si="1083"/>
        <v>90</v>
      </c>
      <c r="D3015" t="str">
        <f t="shared" si="1092"/>
        <v>J93</v>
      </c>
      <c r="E3015" t="str">
        <f t="shared" ca="1" si="1093"/>
        <v/>
      </c>
      <c r="F3015" t="str">
        <f t="shared" ca="1" si="1094"/>
        <v xml:space="preserve">Enter a 'Placed-In-Service Date' for  building 90 in cell J93.
</v>
      </c>
      <c r="G3015" s="9" t="str">
        <f t="shared" ca="1" si="1081"/>
        <v xml:space="preserve">Enter a value for 'Number of Floors in the Tallest Building' in cell B60.
</v>
      </c>
      <c r="H3015" s="52" t="str">
        <f t="shared" ca="1" si="1095"/>
        <v>Placed-In-Service Date</v>
      </c>
      <c r="I3015" s="52">
        <v>10</v>
      </c>
    </row>
    <row r="3016" spans="1:10" ht="15" customHeight="1">
      <c r="A3016" t="str">
        <f t="shared" ca="1" si="1090"/>
        <v/>
      </c>
      <c r="B3016">
        <f t="shared" si="1091"/>
        <v>93</v>
      </c>
      <c r="C3016">
        <f t="shared" ca="1" si="1083"/>
        <v>90</v>
      </c>
      <c r="D3016" t="str">
        <f t="shared" si="1092"/>
        <v>K93</v>
      </c>
      <c r="E3016" t="str">
        <f t="shared" ca="1" si="1093"/>
        <v/>
      </c>
      <c r="F3016" t="str">
        <f t="shared" ca="1" si="1094"/>
        <v xml:space="preserve">Enter a 'New Construction/ Rehab APR' for  building 90 in cell K93.
</v>
      </c>
      <c r="G3016" s="9" t="str">
        <f t="shared" ca="1" si="1081"/>
        <v xml:space="preserve">Enter a value for 'Number of Floors in the Tallest Building' in cell B60.
</v>
      </c>
      <c r="H3016" s="52" t="str">
        <f t="shared" ca="1" si="1095"/>
        <v>New Construction/ Rehab APR</v>
      </c>
      <c r="I3016" s="52">
        <v>11</v>
      </c>
    </row>
    <row r="3017" spans="1:10" ht="15" customHeight="1">
      <c r="A3017" t="str">
        <f t="shared" ca="1" si="1090"/>
        <v/>
      </c>
      <c r="B3017">
        <f t="shared" si="1091"/>
        <v>93</v>
      </c>
      <c r="C3017">
        <f t="shared" ca="1" si="1083"/>
        <v>90</v>
      </c>
      <c r="D3017" t="str">
        <f t="shared" si="1092"/>
        <v>L93</v>
      </c>
      <c r="E3017" t="str">
        <f t="shared" ca="1" si="1093"/>
        <v/>
      </c>
      <c r="F3017" t="str">
        <f t="shared" ca="1" si="1094"/>
        <v xml:space="preserve">Enter a 'New Construction Eligible Basis' for  building 90 in cell L93.
</v>
      </c>
      <c r="G3017" s="9" t="str">
        <f t="shared" ca="1" si="1081"/>
        <v xml:space="preserve">Enter a value for 'Number of Floors in the Tallest Building' in cell B60.
</v>
      </c>
      <c r="H3017" s="52" t="str">
        <f t="shared" ca="1" si="1095"/>
        <v>New Construction Eligible Basis</v>
      </c>
      <c r="I3017" s="52">
        <v>12</v>
      </c>
    </row>
    <row r="3018" spans="1:10" ht="15" customHeight="1">
      <c r="A3018" t="str">
        <f ca="1">IF(AND(OFFSET(A3018, -I3018 + 2, 4) &gt;  0, E3018="", Calculations!$B$7), F3018, "")</f>
        <v/>
      </c>
      <c r="B3018">
        <f t="shared" si="1091"/>
        <v>93</v>
      </c>
      <c r="C3018">
        <f t="shared" ca="1" si="1083"/>
        <v>90</v>
      </c>
      <c r="D3018" t="str">
        <f t="shared" si="1092"/>
        <v>M93</v>
      </c>
      <c r="E3018" t="str">
        <f t="shared" ca="1" si="1093"/>
        <v/>
      </c>
      <c r="F3018" t="str">
        <f t="shared" ca="1" si="1094"/>
        <v xml:space="preserve">Enter a 'Eligible Basis for Rehab' for  building 90 in cell M93.
</v>
      </c>
      <c r="G3018" s="9" t="str">
        <f t="shared" ca="1" si="1081"/>
        <v xml:space="preserve">Enter a value for 'Number of Floors in the Tallest Building' in cell B60.
</v>
      </c>
      <c r="H3018" s="52" t="str">
        <f t="shared" ca="1" si="1095"/>
        <v>Eligible Basis for Rehab</v>
      </c>
      <c r="I3018" s="52">
        <v>13</v>
      </c>
    </row>
    <row r="3019" spans="1:10" ht="15" customHeight="1">
      <c r="A3019" t="str">
        <f ca="1">IF(AND(OFFSET(A3019, -I3019 + 2, 4) &gt;  0, E3019="", Calculations!$B$7), F3019, "")</f>
        <v/>
      </c>
      <c r="B3019">
        <f t="shared" si="1091"/>
        <v>93</v>
      </c>
      <c r="C3019">
        <f t="shared" ca="1" si="1083"/>
        <v>90</v>
      </c>
      <c r="D3019" t="str">
        <f t="shared" si="1092"/>
        <v>N93</v>
      </c>
      <c r="E3019" t="str">
        <f t="shared" ca="1" si="1093"/>
        <v/>
      </c>
      <c r="F3019" t="str">
        <f t="shared" ca="1" si="1094"/>
        <v xml:space="preserve">Enter a 'Cost of Acquiring the Building***' for  building 90 in cell N93.
</v>
      </c>
      <c r="G3019" s="9" t="str">
        <f t="shared" ca="1" si="1081"/>
        <v xml:space="preserve">Enter a value for 'Number of Floors in the Tallest Building' in cell B60.
</v>
      </c>
      <c r="H3019" s="52" t="str">
        <f t="shared" ca="1" si="1095"/>
        <v>Cost of Acquiring the Building***</v>
      </c>
      <c r="I3019" s="52">
        <v>14</v>
      </c>
    </row>
    <row r="3020" spans="1:10" ht="15" customHeight="1">
      <c r="A3020" t="str">
        <f ca="1">IF(AND(OFFSET(A3020, -I3020 + 2, 4) &gt;  0, E3020="", Calculations!$B$7), F3020, "")</f>
        <v/>
      </c>
      <c r="B3020">
        <f t="shared" si="1091"/>
        <v>93</v>
      </c>
      <c r="C3020">
        <f t="shared" ca="1" si="1083"/>
        <v>90</v>
      </c>
      <c r="D3020" t="str">
        <f t="shared" si="1092"/>
        <v>O93</v>
      </c>
      <c r="E3020" t="str">
        <f t="shared" ca="1" si="1093"/>
        <v/>
      </c>
      <c r="F3020" t="str">
        <f t="shared" ca="1" si="1094"/>
        <v xml:space="preserve">Enter a 'Higher of Land Purchase Price or Land Appraised Value****' for  building 90 in cell O93.
</v>
      </c>
      <c r="G3020" s="9" t="str">
        <f t="shared" ca="1" si="1081"/>
        <v xml:space="preserve">Enter a value for 'Number of Floors in the Tallest Building' in cell B60.
</v>
      </c>
      <c r="H3020" s="52" t="str">
        <f t="shared" ca="1" si="1095"/>
        <v>Higher of Land Purchase Price or Land Appraised Value****</v>
      </c>
      <c r="I3020" s="52">
        <v>15</v>
      </c>
    </row>
    <row r="3021" spans="1:10" ht="15" customHeight="1">
      <c r="A3021" t="str">
        <f ca="1">IF(AND(OFFSET(A3021, -I3021 + 2, 4) &gt;  0, E3021="", Calculations!$B$7), F3021, "")</f>
        <v/>
      </c>
      <c r="B3021">
        <f t="shared" si="1091"/>
        <v>93</v>
      </c>
      <c r="C3021">
        <f t="shared" ca="1" si="1083"/>
        <v>90</v>
      </c>
      <c r="D3021" t="str">
        <f t="shared" si="1092"/>
        <v>P93</v>
      </c>
      <c r="E3021" t="str">
        <f t="shared" ca="1" si="1093"/>
        <v/>
      </c>
      <c r="F3021" t="str">
        <f t="shared" ca="1" si="1094"/>
        <v xml:space="preserve">Enter a 'Acquisition Placed-in-Service Date' for  building 90 in cell P93.
</v>
      </c>
      <c r="G3021" s="9" t="str">
        <f t="shared" ca="1" si="1081"/>
        <v xml:space="preserve">Enter a value for 'Number of Floors in the Tallest Building' in cell B60.
</v>
      </c>
      <c r="H3021" s="52" t="str">
        <f t="shared" ca="1" si="1095"/>
        <v>Acquisition Placed-in-Service Date</v>
      </c>
      <c r="I3021" s="52">
        <v>16</v>
      </c>
    </row>
    <row r="3022" spans="1:10" ht="15" customHeight="1">
      <c r="A3022" t="str">
        <f ca="1">IF(AND(OFFSET(A3022, -I3022 + 2, 4) &gt;  0, E3022="", Calculations!$B$7), F3022, "")</f>
        <v/>
      </c>
      <c r="B3022">
        <f t="shared" si="1091"/>
        <v>93</v>
      </c>
      <c r="C3022">
        <f t="shared" ca="1" si="1083"/>
        <v>90</v>
      </c>
      <c r="D3022" t="str">
        <f t="shared" si="1092"/>
        <v>Q93</v>
      </c>
      <c r="E3022" t="str">
        <f t="shared" ca="1" si="1093"/>
        <v/>
      </c>
      <c r="F3022" t="str">
        <f t="shared" ca="1" si="1094"/>
        <v xml:space="preserve">Enter a 'Acquisition APR' for  building 90 in cell Q93.
</v>
      </c>
      <c r="G3022" s="9" t="str">
        <f t="shared" ca="1" si="1081"/>
        <v xml:space="preserve">Enter a value for 'Number of Floors in the Tallest Building' in cell B60.
</v>
      </c>
      <c r="H3022" s="52" t="str">
        <f t="shared" ca="1" si="1095"/>
        <v>Acquisition APR</v>
      </c>
      <c r="I3022" s="52">
        <v>17</v>
      </c>
    </row>
    <row r="3023" spans="1:10" ht="15" customHeight="1">
      <c r="A3023" t="str">
        <f ca="1">IF(AND(Calculations!$B$4,Calculations!$B$29&gt;=C3023, E3023 &lt;&gt; 13),F3023,"")</f>
        <v/>
      </c>
      <c r="B3023">
        <f>ROW('Final Building Profile'!C94)</f>
        <v>94</v>
      </c>
      <c r="C3023">
        <f t="shared" ca="1" si="1083"/>
        <v>91</v>
      </c>
      <c r="D3023" t="str">
        <f>ADDRESS(B3023, 3,4  )</f>
        <v>C94</v>
      </c>
      <c r="E3023" s="52">
        <f ca="1">H3023+I3023</f>
        <v>0</v>
      </c>
      <c r="F3023" t="str">
        <f ca="1">CONCATENATE("Based upon the number of buildings specified, information for  building ", C3023, " required for a final application in row ", B3023, ".", CHAR(10))</f>
        <v xml:space="preserve">Based upon the number of buildings specified, information for  building 91 required for a final application in row 94.
</v>
      </c>
      <c r="G3023" s="9" t="str">
        <f t="shared" ca="1" si="1081"/>
        <v xml:space="preserve">Enter a value for 'Number of Floors in the Tallest Building' in cell B60.
</v>
      </c>
      <c r="H3023" s="52">
        <f ca="1">SUMPRODUCT(--ISTEXT(INDIRECT(J3023)))</f>
        <v>0</v>
      </c>
      <c r="I3023" s="52">
        <f ca="1">SUMPRODUCT(--ISNUMBER(INDIRECT(J3023)))</f>
        <v>0</v>
      </c>
      <c r="J3023" s="52" t="str">
        <f>$F$1565&amp; ADDRESS(B3023,3,4) &amp; ":" &amp; ADDRESS(B3023,15,4)</f>
        <v>'Final Building Profile'!C94:O94</v>
      </c>
    </row>
    <row r="3024" spans="1:10" ht="15" customHeight="1">
      <c r="A3024" t="str">
        <f t="shared" ref="A3024:A3033" ca="1" si="1096">IF(AND(OFFSET(A3024, -I3024 + 2, 4) &gt;  0, E3024=""), F3024, "")</f>
        <v/>
      </c>
      <c r="B3024">
        <f t="shared" ref="B3024:B3038" si="1097">B3023</f>
        <v>94</v>
      </c>
      <c r="C3024">
        <f t="shared" ca="1" si="1083"/>
        <v>91</v>
      </c>
      <c r="D3024" t="str">
        <f t="shared" ref="D3024:D3038" si="1098">ADDRESS(B3024, I3024,4  )</f>
        <v>C94</v>
      </c>
      <c r="E3024" t="str">
        <f t="shared" ref="E3024:E3038" ca="1" si="1099">IF(ISBLANK( INDIRECT($F$1565 &amp; D3024)),"", INDIRECT($F$1565 &amp; D3024))</f>
        <v/>
      </c>
      <c r="F3024" t="str">
        <f t="shared" ref="F3024:F3038" ca="1" si="1100">CONCATENATE("Enter a '"&amp; H3024 &amp;"' for  building ", C3024, " in cell ", D3024, ".", CHAR(10))</f>
        <v xml:space="preserve">Enter a 'Building Street Address Only 
(DO NOT ENTER CITY, STATE, OR ZIP)' for  building 91 in cell C94.
</v>
      </c>
      <c r="G3024" s="9" t="str">
        <f t="shared" ca="1" si="1081"/>
        <v xml:space="preserve">Enter a value for 'Number of Floors in the Tallest Building' in cell B60.
</v>
      </c>
      <c r="H3024" s="52" t="str">
        <f t="shared" ref="H3024:H3038" ca="1" si="1101">OFFSET(INDIRECT($F$1565 &amp; D3024), -B3024 + 3, 0)</f>
        <v>Building Street Address Only 
(DO NOT ENTER CITY, STATE, OR ZIP)</v>
      </c>
      <c r="I3024" s="52">
        <v>3</v>
      </c>
    </row>
    <row r="3025" spans="1:10" ht="15" customHeight="1">
      <c r="A3025" t="str">
        <f t="shared" ca="1" si="1096"/>
        <v/>
      </c>
      <c r="B3025">
        <f t="shared" si="1097"/>
        <v>94</v>
      </c>
      <c r="C3025">
        <f t="shared" ca="1" si="1083"/>
        <v>91</v>
      </c>
      <c r="D3025" t="str">
        <f t="shared" si="1098"/>
        <v>D94</v>
      </c>
      <c r="E3025" t="str">
        <f t="shared" ca="1" si="1099"/>
        <v/>
      </c>
      <c r="F3025" t="str">
        <f t="shared" ca="1" si="1100"/>
        <v xml:space="preserve">Enter a 'Total Units in Building*' for  building 91 in cell D94.
</v>
      </c>
      <c r="G3025" s="9" t="str">
        <f t="shared" ca="1" si="1081"/>
        <v xml:space="preserve">Enter a value for 'Number of Floors in the Tallest Building' in cell B60.
</v>
      </c>
      <c r="H3025" s="52" t="str">
        <f t="shared" ca="1" si="1101"/>
        <v>Total Units in Building*</v>
      </c>
      <c r="I3025" s="52">
        <v>4</v>
      </c>
    </row>
    <row r="3026" spans="1:10" ht="15" customHeight="1">
      <c r="A3026" t="str">
        <f t="shared" ca="1" si="1096"/>
        <v/>
      </c>
      <c r="B3026">
        <f t="shared" si="1097"/>
        <v>94</v>
      </c>
      <c r="C3026">
        <f t="shared" ca="1" si="1083"/>
        <v>91</v>
      </c>
      <c r="D3026" t="str">
        <f t="shared" si="1098"/>
        <v>E94</v>
      </c>
      <c r="E3026" t="str">
        <f t="shared" ca="1" si="1099"/>
        <v/>
      </c>
      <c r="F3026" t="str">
        <f t="shared" ca="1" si="1100"/>
        <v xml:space="preserve">Enter a 'Employee Units' for  building 91 in cell E94.
</v>
      </c>
      <c r="G3026" s="9" t="str">
        <f t="shared" ca="1" si="1081"/>
        <v xml:space="preserve">Enter a value for 'Number of Floors in the Tallest Building' in cell B60.
</v>
      </c>
      <c r="H3026" s="52" t="str">
        <f t="shared" ca="1" si="1101"/>
        <v>Employee Units</v>
      </c>
      <c r="I3026" s="52">
        <v>5</v>
      </c>
    </row>
    <row r="3027" spans="1:10" ht="15" customHeight="1">
      <c r="A3027" t="str">
        <f t="shared" ca="1" si="1096"/>
        <v/>
      </c>
      <c r="B3027">
        <f t="shared" si="1097"/>
        <v>94</v>
      </c>
      <c r="C3027">
        <f t="shared" ca="1" si="1083"/>
        <v>91</v>
      </c>
      <c r="D3027" t="str">
        <f t="shared" si="1098"/>
        <v>F94</v>
      </c>
      <c r="E3027" t="str">
        <f t="shared" ca="1" si="1099"/>
        <v/>
      </c>
      <c r="F3027" t="str">
        <f t="shared" ca="1" si="1100"/>
        <v xml:space="preserve">Enter a 'Low-Income Units' for  building 91 in cell F94.
</v>
      </c>
      <c r="G3027" s="9" t="str">
        <f t="shared" ca="1" si="1081"/>
        <v xml:space="preserve">Enter a value for 'Number of Floors in the Tallest Building' in cell B60.
</v>
      </c>
      <c r="H3027" s="52" t="str">
        <f t="shared" ca="1" si="1101"/>
        <v>Low-Income Units</v>
      </c>
      <c r="I3027" s="52">
        <v>6</v>
      </c>
    </row>
    <row r="3028" spans="1:10" ht="15" customHeight="1">
      <c r="A3028" t="str">
        <f t="shared" ca="1" si="1096"/>
        <v/>
      </c>
      <c r="B3028">
        <f t="shared" si="1097"/>
        <v>94</v>
      </c>
      <c r="C3028">
        <f t="shared" ca="1" si="1083"/>
        <v>91</v>
      </c>
      <c r="D3028" t="str">
        <f t="shared" si="1098"/>
        <v>G94</v>
      </c>
      <c r="E3028" t="str">
        <f t="shared" ca="1" si="1099"/>
        <v/>
      </c>
      <c r="F3028" t="str">
        <f t="shared" ca="1" si="1100"/>
        <v xml:space="preserve">Enter a 'Residential Square Footage**' for  building 91 in cell G94.
</v>
      </c>
      <c r="G3028" s="9" t="str">
        <f t="shared" ca="1" si="1081"/>
        <v xml:space="preserve">Enter a value for 'Number of Floors in the Tallest Building' in cell B60.
</v>
      </c>
      <c r="H3028" s="52" t="str">
        <f t="shared" ca="1" si="1101"/>
        <v>Residential Square Footage**</v>
      </c>
      <c r="I3028" s="52">
        <v>7</v>
      </c>
    </row>
    <row r="3029" spans="1:10" ht="15" customHeight="1">
      <c r="A3029" t="str">
        <f t="shared" ca="1" si="1096"/>
        <v/>
      </c>
      <c r="B3029">
        <f t="shared" si="1097"/>
        <v>94</v>
      </c>
      <c r="C3029">
        <f t="shared" ca="1" si="1083"/>
        <v>91</v>
      </c>
      <c r="D3029" t="str">
        <f t="shared" si="1098"/>
        <v>H94</v>
      </c>
      <c r="E3029" t="str">
        <f t="shared" ca="1" si="1099"/>
        <v/>
      </c>
      <c r="F3029" t="str">
        <f t="shared" ca="1" si="1100"/>
        <v xml:space="preserve">Enter a 'Square Footage of Employee Units' for  building 91 in cell H94.
</v>
      </c>
      <c r="G3029" s="9" t="str">
        <f t="shared" ca="1" si="1081"/>
        <v xml:space="preserve">Enter a value for 'Number of Floors in the Tallest Building' in cell B60.
</v>
      </c>
      <c r="H3029" s="52" t="str">
        <f t="shared" ca="1" si="1101"/>
        <v>Square Footage of Employee Units</v>
      </c>
      <c r="I3029" s="52">
        <v>8</v>
      </c>
    </row>
    <row r="3030" spans="1:10" ht="15" customHeight="1">
      <c r="A3030" t="str">
        <f t="shared" ca="1" si="1096"/>
        <v/>
      </c>
      <c r="B3030">
        <f t="shared" si="1097"/>
        <v>94</v>
      </c>
      <c r="C3030">
        <f t="shared" ca="1" si="1083"/>
        <v>91</v>
      </c>
      <c r="D3030" t="str">
        <f t="shared" si="1098"/>
        <v>I94</v>
      </c>
      <c r="E3030" t="str">
        <f t="shared" ca="1" si="1099"/>
        <v/>
      </c>
      <c r="F3030" t="str">
        <f t="shared" ca="1" si="1100"/>
        <v xml:space="preserve">Enter a 'Square Footage of Low-Income Units' for  building 91 in cell I94.
</v>
      </c>
      <c r="G3030" s="9" t="str">
        <f t="shared" ca="1" si="1081"/>
        <v xml:space="preserve">Enter a value for 'Number of Floors in the Tallest Building' in cell B60.
</v>
      </c>
      <c r="H3030" s="52" t="str">
        <f t="shared" ca="1" si="1101"/>
        <v>Square Footage of Low-Income Units</v>
      </c>
      <c r="I3030" s="52">
        <v>9</v>
      </c>
    </row>
    <row r="3031" spans="1:10" ht="15" customHeight="1">
      <c r="A3031" t="str">
        <f t="shared" ca="1" si="1096"/>
        <v/>
      </c>
      <c r="B3031">
        <f t="shared" si="1097"/>
        <v>94</v>
      </c>
      <c r="C3031">
        <f t="shared" ca="1" si="1083"/>
        <v>91</v>
      </c>
      <c r="D3031" t="str">
        <f t="shared" si="1098"/>
        <v>J94</v>
      </c>
      <c r="E3031" t="str">
        <f t="shared" ca="1" si="1099"/>
        <v/>
      </c>
      <c r="F3031" t="str">
        <f t="shared" ca="1" si="1100"/>
        <v xml:space="preserve">Enter a 'Placed-In-Service Date' for  building 91 in cell J94.
</v>
      </c>
      <c r="G3031" s="9" t="str">
        <f t="shared" ca="1" si="1081"/>
        <v xml:space="preserve">Enter a value for 'Number of Floors in the Tallest Building' in cell B60.
</v>
      </c>
      <c r="H3031" s="52" t="str">
        <f t="shared" ca="1" si="1101"/>
        <v>Placed-In-Service Date</v>
      </c>
      <c r="I3031" s="52">
        <v>10</v>
      </c>
    </row>
    <row r="3032" spans="1:10" ht="15" customHeight="1">
      <c r="A3032" t="str">
        <f t="shared" ca="1" si="1096"/>
        <v/>
      </c>
      <c r="B3032">
        <f t="shared" si="1097"/>
        <v>94</v>
      </c>
      <c r="C3032">
        <f t="shared" ca="1" si="1083"/>
        <v>91</v>
      </c>
      <c r="D3032" t="str">
        <f t="shared" si="1098"/>
        <v>K94</v>
      </c>
      <c r="E3032" t="str">
        <f t="shared" ca="1" si="1099"/>
        <v/>
      </c>
      <c r="F3032" t="str">
        <f t="shared" ca="1" si="1100"/>
        <v xml:space="preserve">Enter a 'New Construction/ Rehab APR' for  building 91 in cell K94.
</v>
      </c>
      <c r="G3032" s="9" t="str">
        <f t="shared" ca="1" si="1081"/>
        <v xml:space="preserve">Enter a value for 'Number of Floors in the Tallest Building' in cell B60.
</v>
      </c>
      <c r="H3032" s="52" t="str">
        <f t="shared" ca="1" si="1101"/>
        <v>New Construction/ Rehab APR</v>
      </c>
      <c r="I3032" s="52">
        <v>11</v>
      </c>
    </row>
    <row r="3033" spans="1:10" ht="15" customHeight="1">
      <c r="A3033" t="str">
        <f t="shared" ca="1" si="1096"/>
        <v/>
      </c>
      <c r="B3033">
        <f t="shared" si="1097"/>
        <v>94</v>
      </c>
      <c r="C3033">
        <f t="shared" ca="1" si="1083"/>
        <v>91</v>
      </c>
      <c r="D3033" t="str">
        <f t="shared" si="1098"/>
        <v>L94</v>
      </c>
      <c r="E3033" t="str">
        <f t="shared" ca="1" si="1099"/>
        <v/>
      </c>
      <c r="F3033" t="str">
        <f t="shared" ca="1" si="1100"/>
        <v xml:space="preserve">Enter a 'New Construction Eligible Basis' for  building 91 in cell L94.
</v>
      </c>
      <c r="G3033" s="9" t="str">
        <f t="shared" ca="1" si="1081"/>
        <v xml:space="preserve">Enter a value for 'Number of Floors in the Tallest Building' in cell B60.
</v>
      </c>
      <c r="H3033" s="52" t="str">
        <f t="shared" ca="1" si="1101"/>
        <v>New Construction Eligible Basis</v>
      </c>
      <c r="I3033" s="52">
        <v>12</v>
      </c>
    </row>
    <row r="3034" spans="1:10" ht="15" customHeight="1">
      <c r="A3034" t="str">
        <f ca="1">IF(AND(OFFSET(A3034, -I3034 + 2, 4) &gt;  0, E3034="", Calculations!$B$7), F3034, "")</f>
        <v/>
      </c>
      <c r="B3034">
        <f t="shared" si="1097"/>
        <v>94</v>
      </c>
      <c r="C3034">
        <f t="shared" ca="1" si="1083"/>
        <v>91</v>
      </c>
      <c r="D3034" t="str">
        <f t="shared" si="1098"/>
        <v>M94</v>
      </c>
      <c r="E3034" t="str">
        <f t="shared" ca="1" si="1099"/>
        <v/>
      </c>
      <c r="F3034" t="str">
        <f t="shared" ca="1" si="1100"/>
        <v xml:space="preserve">Enter a 'Eligible Basis for Rehab' for  building 91 in cell M94.
</v>
      </c>
      <c r="G3034" s="9" t="str">
        <f t="shared" ca="1" si="1081"/>
        <v xml:space="preserve">Enter a value for 'Number of Floors in the Tallest Building' in cell B60.
</v>
      </c>
      <c r="H3034" s="52" t="str">
        <f t="shared" ca="1" si="1101"/>
        <v>Eligible Basis for Rehab</v>
      </c>
      <c r="I3034" s="52">
        <v>13</v>
      </c>
    </row>
    <row r="3035" spans="1:10" ht="15" customHeight="1">
      <c r="A3035" t="str">
        <f ca="1">IF(AND(OFFSET(A3035, -I3035 + 2, 4) &gt;  0, E3035="", Calculations!$B$7), F3035, "")</f>
        <v/>
      </c>
      <c r="B3035">
        <f t="shared" si="1097"/>
        <v>94</v>
      </c>
      <c r="C3035">
        <f t="shared" ca="1" si="1083"/>
        <v>91</v>
      </c>
      <c r="D3035" t="str">
        <f t="shared" si="1098"/>
        <v>N94</v>
      </c>
      <c r="E3035" t="str">
        <f t="shared" ca="1" si="1099"/>
        <v/>
      </c>
      <c r="F3035" t="str">
        <f t="shared" ca="1" si="1100"/>
        <v xml:space="preserve">Enter a 'Cost of Acquiring the Building***' for  building 91 in cell N94.
</v>
      </c>
      <c r="G3035" s="9" t="str">
        <f t="shared" ca="1" si="1081"/>
        <v xml:space="preserve">Enter a value for 'Number of Floors in the Tallest Building' in cell B60.
</v>
      </c>
      <c r="H3035" s="52" t="str">
        <f t="shared" ca="1" si="1101"/>
        <v>Cost of Acquiring the Building***</v>
      </c>
      <c r="I3035" s="52">
        <v>14</v>
      </c>
    </row>
    <row r="3036" spans="1:10" ht="15" customHeight="1">
      <c r="A3036" t="str">
        <f ca="1">IF(AND(OFFSET(A3036, -I3036 + 2, 4) &gt;  0, E3036="", Calculations!$B$7), F3036, "")</f>
        <v/>
      </c>
      <c r="B3036">
        <f t="shared" si="1097"/>
        <v>94</v>
      </c>
      <c r="C3036">
        <f t="shared" ca="1" si="1083"/>
        <v>91</v>
      </c>
      <c r="D3036" t="str">
        <f t="shared" si="1098"/>
        <v>O94</v>
      </c>
      <c r="E3036" t="str">
        <f t="shared" ca="1" si="1099"/>
        <v/>
      </c>
      <c r="F3036" t="str">
        <f t="shared" ca="1" si="1100"/>
        <v xml:space="preserve">Enter a 'Higher of Land Purchase Price or Land Appraised Value****' for  building 91 in cell O94.
</v>
      </c>
      <c r="G3036" s="9" t="str">
        <f t="shared" ca="1" si="1081"/>
        <v xml:space="preserve">Enter a value for 'Number of Floors in the Tallest Building' in cell B60.
</v>
      </c>
      <c r="H3036" s="52" t="str">
        <f t="shared" ca="1" si="1101"/>
        <v>Higher of Land Purchase Price or Land Appraised Value****</v>
      </c>
      <c r="I3036" s="52">
        <v>15</v>
      </c>
    </row>
    <row r="3037" spans="1:10" ht="15" customHeight="1">
      <c r="A3037" t="str">
        <f ca="1">IF(AND(OFFSET(A3037, -I3037 + 2, 4) &gt;  0, E3037="", Calculations!$B$7), F3037, "")</f>
        <v/>
      </c>
      <c r="B3037">
        <f t="shared" si="1097"/>
        <v>94</v>
      </c>
      <c r="C3037">
        <f t="shared" ca="1" si="1083"/>
        <v>91</v>
      </c>
      <c r="D3037" t="str">
        <f t="shared" si="1098"/>
        <v>P94</v>
      </c>
      <c r="E3037" t="str">
        <f t="shared" ca="1" si="1099"/>
        <v/>
      </c>
      <c r="F3037" t="str">
        <f t="shared" ca="1" si="1100"/>
        <v xml:space="preserve">Enter a 'Acquisition Placed-in-Service Date' for  building 91 in cell P94.
</v>
      </c>
      <c r="G3037" s="9" t="str">
        <f t="shared" ca="1" si="1081"/>
        <v xml:space="preserve">Enter a value for 'Number of Floors in the Tallest Building' in cell B60.
</v>
      </c>
      <c r="H3037" s="52" t="str">
        <f t="shared" ca="1" si="1101"/>
        <v>Acquisition Placed-in-Service Date</v>
      </c>
      <c r="I3037" s="52">
        <v>16</v>
      </c>
    </row>
    <row r="3038" spans="1:10" ht="15" customHeight="1">
      <c r="A3038" t="str">
        <f ca="1">IF(AND(OFFSET(A3038, -I3038 + 2, 4) &gt;  0, E3038="", Calculations!$B$7), F3038, "")</f>
        <v/>
      </c>
      <c r="B3038">
        <f t="shared" si="1097"/>
        <v>94</v>
      </c>
      <c r="C3038">
        <f t="shared" ca="1" si="1083"/>
        <v>91</v>
      </c>
      <c r="D3038" t="str">
        <f t="shared" si="1098"/>
        <v>Q94</v>
      </c>
      <c r="E3038" t="str">
        <f t="shared" ca="1" si="1099"/>
        <v/>
      </c>
      <c r="F3038" t="str">
        <f t="shared" ca="1" si="1100"/>
        <v xml:space="preserve">Enter a 'Acquisition APR' for  building 91 in cell Q94.
</v>
      </c>
      <c r="G3038" s="9" t="str">
        <f t="shared" ca="1" si="1081"/>
        <v xml:space="preserve">Enter a value for 'Number of Floors in the Tallest Building' in cell B60.
</v>
      </c>
      <c r="H3038" s="52" t="str">
        <f t="shared" ca="1" si="1101"/>
        <v>Acquisition APR</v>
      </c>
      <c r="I3038" s="52">
        <v>17</v>
      </c>
    </row>
    <row r="3039" spans="1:10" ht="15" customHeight="1">
      <c r="A3039" t="str">
        <f ca="1">IF(AND(Calculations!$B$4,Calculations!$B$29&gt;=C3039, E3039 &lt;&gt; 13),F3039,"")</f>
        <v/>
      </c>
      <c r="B3039">
        <f>ROW('Final Building Profile'!C95)</f>
        <v>95</v>
      </c>
      <c r="C3039">
        <f t="shared" ca="1" si="1083"/>
        <v>92</v>
      </c>
      <c r="D3039" t="str">
        <f>ADDRESS(B3039, 3,4  )</f>
        <v>C95</v>
      </c>
      <c r="E3039" s="52">
        <f ca="1">H3039+I3039</f>
        <v>0</v>
      </c>
      <c r="F3039" t="str">
        <f ca="1">CONCATENATE("Based upon the number of buildings specified, information for  building ", C3039, " required for a final application in row ", B3039, ".", CHAR(10))</f>
        <v xml:space="preserve">Based upon the number of buildings specified, information for  building 92 required for a final application in row 95.
</v>
      </c>
      <c r="G3039" s="9" t="str">
        <f t="shared" ca="1" si="1081"/>
        <v xml:space="preserve">Enter a value for 'Number of Floors in the Tallest Building' in cell B60.
</v>
      </c>
      <c r="H3039" s="52">
        <f ca="1">SUMPRODUCT(--ISTEXT(INDIRECT(J3039)))</f>
        <v>0</v>
      </c>
      <c r="I3039" s="52">
        <f ca="1">SUMPRODUCT(--ISNUMBER(INDIRECT(J3039)))</f>
        <v>0</v>
      </c>
      <c r="J3039" s="52" t="str">
        <f>$F$1565&amp; ADDRESS(B3039,3,4) &amp; ":" &amp; ADDRESS(B3039,15,4)</f>
        <v>'Final Building Profile'!C95:O95</v>
      </c>
    </row>
    <row r="3040" spans="1:10" ht="15" customHeight="1">
      <c r="A3040" t="str">
        <f t="shared" ref="A3040:A3049" ca="1" si="1102">IF(AND(OFFSET(A3040, -I3040 + 2, 4) &gt;  0, E3040=""), F3040, "")</f>
        <v/>
      </c>
      <c r="B3040">
        <f t="shared" ref="B3040:B3054" si="1103">B3039</f>
        <v>95</v>
      </c>
      <c r="C3040">
        <f t="shared" ca="1" si="1083"/>
        <v>92</v>
      </c>
      <c r="D3040" t="str">
        <f t="shared" ref="D3040:D3054" si="1104">ADDRESS(B3040, I3040,4  )</f>
        <v>C95</v>
      </c>
      <c r="E3040" t="str">
        <f t="shared" ref="E3040:E3054" ca="1" si="1105">IF(ISBLANK( INDIRECT($F$1565 &amp; D3040)),"", INDIRECT($F$1565 &amp; D3040))</f>
        <v/>
      </c>
      <c r="F3040" t="str">
        <f t="shared" ref="F3040:F3054" ca="1" si="1106">CONCATENATE("Enter a '"&amp; H3040 &amp;"' for  building ", C3040, " in cell ", D3040, ".", CHAR(10))</f>
        <v xml:space="preserve">Enter a 'Building Street Address Only 
(DO NOT ENTER CITY, STATE, OR ZIP)' for  building 92 in cell C95.
</v>
      </c>
      <c r="G3040" s="9" t="str">
        <f t="shared" ref="G3040:G3103" ca="1" si="1107">OFFSET(G3040, -1, 0) &amp; A3040</f>
        <v xml:space="preserve">Enter a value for 'Number of Floors in the Tallest Building' in cell B60.
</v>
      </c>
      <c r="H3040" s="52" t="str">
        <f t="shared" ref="H3040:H3054" ca="1" si="1108">OFFSET(INDIRECT($F$1565 &amp; D3040), -B3040 + 3, 0)</f>
        <v>Building Street Address Only 
(DO NOT ENTER CITY, STATE, OR ZIP)</v>
      </c>
      <c r="I3040" s="52">
        <v>3</v>
      </c>
    </row>
    <row r="3041" spans="1:10" ht="15" customHeight="1">
      <c r="A3041" t="str">
        <f t="shared" ca="1" si="1102"/>
        <v/>
      </c>
      <c r="B3041">
        <f t="shared" si="1103"/>
        <v>95</v>
      </c>
      <c r="C3041">
        <f t="shared" ca="1" si="1083"/>
        <v>92</v>
      </c>
      <c r="D3041" t="str">
        <f t="shared" si="1104"/>
        <v>D95</v>
      </c>
      <c r="E3041" t="str">
        <f t="shared" ca="1" si="1105"/>
        <v/>
      </c>
      <c r="F3041" t="str">
        <f t="shared" ca="1" si="1106"/>
        <v xml:space="preserve">Enter a 'Total Units in Building*' for  building 92 in cell D95.
</v>
      </c>
      <c r="G3041" s="9" t="str">
        <f t="shared" ca="1" si="1107"/>
        <v xml:space="preserve">Enter a value for 'Number of Floors in the Tallest Building' in cell B60.
</v>
      </c>
      <c r="H3041" s="52" t="str">
        <f t="shared" ca="1" si="1108"/>
        <v>Total Units in Building*</v>
      </c>
      <c r="I3041" s="52">
        <v>4</v>
      </c>
    </row>
    <row r="3042" spans="1:10" ht="15" customHeight="1">
      <c r="A3042" t="str">
        <f t="shared" ca="1" si="1102"/>
        <v/>
      </c>
      <c r="B3042">
        <f t="shared" si="1103"/>
        <v>95</v>
      </c>
      <c r="C3042">
        <f t="shared" ca="1" si="1083"/>
        <v>92</v>
      </c>
      <c r="D3042" t="str">
        <f t="shared" si="1104"/>
        <v>E95</v>
      </c>
      <c r="E3042" t="str">
        <f t="shared" ca="1" si="1105"/>
        <v/>
      </c>
      <c r="F3042" t="str">
        <f t="shared" ca="1" si="1106"/>
        <v xml:space="preserve">Enter a 'Employee Units' for  building 92 in cell E95.
</v>
      </c>
      <c r="G3042" s="9" t="str">
        <f t="shared" ca="1" si="1107"/>
        <v xml:space="preserve">Enter a value for 'Number of Floors in the Tallest Building' in cell B60.
</v>
      </c>
      <c r="H3042" s="52" t="str">
        <f t="shared" ca="1" si="1108"/>
        <v>Employee Units</v>
      </c>
      <c r="I3042" s="52">
        <v>5</v>
      </c>
    </row>
    <row r="3043" spans="1:10" ht="15" customHeight="1">
      <c r="A3043" t="str">
        <f t="shared" ca="1" si="1102"/>
        <v/>
      </c>
      <c r="B3043">
        <f t="shared" si="1103"/>
        <v>95</v>
      </c>
      <c r="C3043">
        <f t="shared" ca="1" si="1083"/>
        <v>92</v>
      </c>
      <c r="D3043" t="str">
        <f t="shared" si="1104"/>
        <v>F95</v>
      </c>
      <c r="E3043" t="str">
        <f t="shared" ca="1" si="1105"/>
        <v/>
      </c>
      <c r="F3043" t="str">
        <f t="shared" ca="1" si="1106"/>
        <v xml:space="preserve">Enter a 'Low-Income Units' for  building 92 in cell F95.
</v>
      </c>
      <c r="G3043" s="9" t="str">
        <f t="shared" ca="1" si="1107"/>
        <v xml:space="preserve">Enter a value for 'Number of Floors in the Tallest Building' in cell B60.
</v>
      </c>
      <c r="H3043" s="52" t="str">
        <f t="shared" ca="1" si="1108"/>
        <v>Low-Income Units</v>
      </c>
      <c r="I3043" s="52">
        <v>6</v>
      </c>
    </row>
    <row r="3044" spans="1:10" ht="15" customHeight="1">
      <c r="A3044" t="str">
        <f t="shared" ca="1" si="1102"/>
        <v/>
      </c>
      <c r="B3044">
        <f t="shared" si="1103"/>
        <v>95</v>
      </c>
      <c r="C3044">
        <f t="shared" ca="1" si="1083"/>
        <v>92</v>
      </c>
      <c r="D3044" t="str">
        <f t="shared" si="1104"/>
        <v>G95</v>
      </c>
      <c r="E3044" t="str">
        <f t="shared" ca="1" si="1105"/>
        <v/>
      </c>
      <c r="F3044" t="str">
        <f t="shared" ca="1" si="1106"/>
        <v xml:space="preserve">Enter a 'Residential Square Footage**' for  building 92 in cell G95.
</v>
      </c>
      <c r="G3044" s="9" t="str">
        <f t="shared" ca="1" si="1107"/>
        <v xml:space="preserve">Enter a value for 'Number of Floors in the Tallest Building' in cell B60.
</v>
      </c>
      <c r="H3044" s="52" t="str">
        <f t="shared" ca="1" si="1108"/>
        <v>Residential Square Footage**</v>
      </c>
      <c r="I3044" s="52">
        <v>7</v>
      </c>
    </row>
    <row r="3045" spans="1:10" ht="15" customHeight="1">
      <c r="A3045" t="str">
        <f t="shared" ca="1" si="1102"/>
        <v/>
      </c>
      <c r="B3045">
        <f t="shared" si="1103"/>
        <v>95</v>
      </c>
      <c r="C3045">
        <f t="shared" ca="1" si="1083"/>
        <v>92</v>
      </c>
      <c r="D3045" t="str">
        <f t="shared" si="1104"/>
        <v>H95</v>
      </c>
      <c r="E3045" t="str">
        <f t="shared" ca="1" si="1105"/>
        <v/>
      </c>
      <c r="F3045" t="str">
        <f t="shared" ca="1" si="1106"/>
        <v xml:space="preserve">Enter a 'Square Footage of Employee Units' for  building 92 in cell H95.
</v>
      </c>
      <c r="G3045" s="9" t="str">
        <f t="shared" ca="1" si="1107"/>
        <v xml:space="preserve">Enter a value for 'Number of Floors in the Tallest Building' in cell B60.
</v>
      </c>
      <c r="H3045" s="52" t="str">
        <f t="shared" ca="1" si="1108"/>
        <v>Square Footage of Employee Units</v>
      </c>
      <c r="I3045" s="52">
        <v>8</v>
      </c>
    </row>
    <row r="3046" spans="1:10" ht="15" customHeight="1">
      <c r="A3046" t="str">
        <f t="shared" ca="1" si="1102"/>
        <v/>
      </c>
      <c r="B3046">
        <f t="shared" si="1103"/>
        <v>95</v>
      </c>
      <c r="C3046">
        <f t="shared" ca="1" si="1083"/>
        <v>92</v>
      </c>
      <c r="D3046" t="str">
        <f t="shared" si="1104"/>
        <v>I95</v>
      </c>
      <c r="E3046" t="str">
        <f t="shared" ca="1" si="1105"/>
        <v/>
      </c>
      <c r="F3046" t="str">
        <f t="shared" ca="1" si="1106"/>
        <v xml:space="preserve">Enter a 'Square Footage of Low-Income Units' for  building 92 in cell I95.
</v>
      </c>
      <c r="G3046" s="9" t="str">
        <f t="shared" ca="1" si="1107"/>
        <v xml:space="preserve">Enter a value for 'Number of Floors in the Tallest Building' in cell B60.
</v>
      </c>
      <c r="H3046" s="52" t="str">
        <f t="shared" ca="1" si="1108"/>
        <v>Square Footage of Low-Income Units</v>
      </c>
      <c r="I3046" s="52">
        <v>9</v>
      </c>
    </row>
    <row r="3047" spans="1:10" ht="15" customHeight="1">
      <c r="A3047" t="str">
        <f t="shared" ca="1" si="1102"/>
        <v/>
      </c>
      <c r="B3047">
        <f t="shared" si="1103"/>
        <v>95</v>
      </c>
      <c r="C3047">
        <f t="shared" ca="1" si="1083"/>
        <v>92</v>
      </c>
      <c r="D3047" t="str">
        <f t="shared" si="1104"/>
        <v>J95</v>
      </c>
      <c r="E3047" t="str">
        <f t="shared" ca="1" si="1105"/>
        <v/>
      </c>
      <c r="F3047" t="str">
        <f t="shared" ca="1" si="1106"/>
        <v xml:space="preserve">Enter a 'Placed-In-Service Date' for  building 92 in cell J95.
</v>
      </c>
      <c r="G3047" s="9" t="str">
        <f t="shared" ca="1" si="1107"/>
        <v xml:space="preserve">Enter a value for 'Number of Floors in the Tallest Building' in cell B60.
</v>
      </c>
      <c r="H3047" s="52" t="str">
        <f t="shared" ca="1" si="1108"/>
        <v>Placed-In-Service Date</v>
      </c>
      <c r="I3047" s="52">
        <v>10</v>
      </c>
    </row>
    <row r="3048" spans="1:10" ht="15" customHeight="1">
      <c r="A3048" t="str">
        <f t="shared" ca="1" si="1102"/>
        <v/>
      </c>
      <c r="B3048">
        <f t="shared" si="1103"/>
        <v>95</v>
      </c>
      <c r="C3048">
        <f t="shared" ca="1" si="1083"/>
        <v>92</v>
      </c>
      <c r="D3048" t="str">
        <f t="shared" si="1104"/>
        <v>K95</v>
      </c>
      <c r="E3048" t="str">
        <f t="shared" ca="1" si="1105"/>
        <v/>
      </c>
      <c r="F3048" t="str">
        <f t="shared" ca="1" si="1106"/>
        <v xml:space="preserve">Enter a 'New Construction/ Rehab APR' for  building 92 in cell K95.
</v>
      </c>
      <c r="G3048" s="9" t="str">
        <f t="shared" ca="1" si="1107"/>
        <v xml:space="preserve">Enter a value for 'Number of Floors in the Tallest Building' in cell B60.
</v>
      </c>
      <c r="H3048" s="52" t="str">
        <f t="shared" ca="1" si="1108"/>
        <v>New Construction/ Rehab APR</v>
      </c>
      <c r="I3048" s="52">
        <v>11</v>
      </c>
    </row>
    <row r="3049" spans="1:10" ht="15" customHeight="1">
      <c r="A3049" t="str">
        <f t="shared" ca="1" si="1102"/>
        <v/>
      </c>
      <c r="B3049">
        <f t="shared" si="1103"/>
        <v>95</v>
      </c>
      <c r="C3049">
        <f t="shared" ca="1" si="1083"/>
        <v>92</v>
      </c>
      <c r="D3049" t="str">
        <f t="shared" si="1104"/>
        <v>L95</v>
      </c>
      <c r="E3049" t="str">
        <f t="shared" ca="1" si="1105"/>
        <v/>
      </c>
      <c r="F3049" t="str">
        <f t="shared" ca="1" si="1106"/>
        <v xml:space="preserve">Enter a 'New Construction Eligible Basis' for  building 92 in cell L95.
</v>
      </c>
      <c r="G3049" s="9" t="str">
        <f t="shared" ca="1" si="1107"/>
        <v xml:space="preserve">Enter a value for 'Number of Floors in the Tallest Building' in cell B60.
</v>
      </c>
      <c r="H3049" s="52" t="str">
        <f t="shared" ca="1" si="1108"/>
        <v>New Construction Eligible Basis</v>
      </c>
      <c r="I3049" s="52">
        <v>12</v>
      </c>
    </row>
    <row r="3050" spans="1:10" ht="15" customHeight="1">
      <c r="A3050" t="str">
        <f ca="1">IF(AND(OFFSET(A3050, -I3050 + 2, 4) &gt;  0, E3050="", Calculations!$B$7), F3050, "")</f>
        <v/>
      </c>
      <c r="B3050">
        <f t="shared" si="1103"/>
        <v>95</v>
      </c>
      <c r="C3050">
        <f t="shared" ca="1" si="1083"/>
        <v>92</v>
      </c>
      <c r="D3050" t="str">
        <f t="shared" si="1104"/>
        <v>M95</v>
      </c>
      <c r="E3050" t="str">
        <f t="shared" ca="1" si="1105"/>
        <v/>
      </c>
      <c r="F3050" t="str">
        <f t="shared" ca="1" si="1106"/>
        <v xml:space="preserve">Enter a 'Eligible Basis for Rehab' for  building 92 in cell M95.
</v>
      </c>
      <c r="G3050" s="9" t="str">
        <f t="shared" ca="1" si="1107"/>
        <v xml:space="preserve">Enter a value for 'Number of Floors in the Tallest Building' in cell B60.
</v>
      </c>
      <c r="H3050" s="52" t="str">
        <f t="shared" ca="1" si="1108"/>
        <v>Eligible Basis for Rehab</v>
      </c>
      <c r="I3050" s="52">
        <v>13</v>
      </c>
    </row>
    <row r="3051" spans="1:10" ht="15" customHeight="1">
      <c r="A3051" t="str">
        <f ca="1">IF(AND(OFFSET(A3051, -I3051 + 2, 4) &gt;  0, E3051="", Calculations!$B$7), F3051, "")</f>
        <v/>
      </c>
      <c r="B3051">
        <f t="shared" si="1103"/>
        <v>95</v>
      </c>
      <c r="C3051">
        <f t="shared" ca="1" si="1083"/>
        <v>92</v>
      </c>
      <c r="D3051" t="str">
        <f t="shared" si="1104"/>
        <v>N95</v>
      </c>
      <c r="E3051" t="str">
        <f t="shared" ca="1" si="1105"/>
        <v/>
      </c>
      <c r="F3051" t="str">
        <f t="shared" ca="1" si="1106"/>
        <v xml:space="preserve">Enter a 'Cost of Acquiring the Building***' for  building 92 in cell N95.
</v>
      </c>
      <c r="G3051" s="9" t="str">
        <f t="shared" ca="1" si="1107"/>
        <v xml:space="preserve">Enter a value for 'Number of Floors in the Tallest Building' in cell B60.
</v>
      </c>
      <c r="H3051" s="52" t="str">
        <f t="shared" ca="1" si="1108"/>
        <v>Cost of Acquiring the Building***</v>
      </c>
      <c r="I3051" s="52">
        <v>14</v>
      </c>
    </row>
    <row r="3052" spans="1:10" ht="15" customHeight="1">
      <c r="A3052" t="str">
        <f ca="1">IF(AND(OFFSET(A3052, -I3052 + 2, 4) &gt;  0, E3052="", Calculations!$B$7), F3052, "")</f>
        <v/>
      </c>
      <c r="B3052">
        <f t="shared" si="1103"/>
        <v>95</v>
      </c>
      <c r="C3052">
        <f t="shared" ca="1" si="1083"/>
        <v>92</v>
      </c>
      <c r="D3052" t="str">
        <f t="shared" si="1104"/>
        <v>O95</v>
      </c>
      <c r="E3052" t="str">
        <f t="shared" ca="1" si="1105"/>
        <v/>
      </c>
      <c r="F3052" t="str">
        <f t="shared" ca="1" si="1106"/>
        <v xml:space="preserve">Enter a 'Higher of Land Purchase Price or Land Appraised Value****' for  building 92 in cell O95.
</v>
      </c>
      <c r="G3052" s="9" t="str">
        <f t="shared" ca="1" si="1107"/>
        <v xml:space="preserve">Enter a value for 'Number of Floors in the Tallest Building' in cell B60.
</v>
      </c>
      <c r="H3052" s="52" t="str">
        <f t="shared" ca="1" si="1108"/>
        <v>Higher of Land Purchase Price or Land Appraised Value****</v>
      </c>
      <c r="I3052" s="52">
        <v>15</v>
      </c>
    </row>
    <row r="3053" spans="1:10" ht="15" customHeight="1">
      <c r="A3053" t="str">
        <f ca="1">IF(AND(OFFSET(A3053, -I3053 + 2, 4) &gt;  0, E3053="", Calculations!$B$7), F3053, "")</f>
        <v/>
      </c>
      <c r="B3053">
        <f t="shared" si="1103"/>
        <v>95</v>
      </c>
      <c r="C3053">
        <f t="shared" ca="1" si="1083"/>
        <v>92</v>
      </c>
      <c r="D3053" t="str">
        <f t="shared" si="1104"/>
        <v>P95</v>
      </c>
      <c r="E3053" t="str">
        <f t="shared" ca="1" si="1105"/>
        <v/>
      </c>
      <c r="F3053" t="str">
        <f t="shared" ca="1" si="1106"/>
        <v xml:space="preserve">Enter a 'Acquisition Placed-in-Service Date' for  building 92 in cell P95.
</v>
      </c>
      <c r="G3053" s="9" t="str">
        <f t="shared" ca="1" si="1107"/>
        <v xml:space="preserve">Enter a value for 'Number of Floors in the Tallest Building' in cell B60.
</v>
      </c>
      <c r="H3053" s="52" t="str">
        <f t="shared" ca="1" si="1108"/>
        <v>Acquisition Placed-in-Service Date</v>
      </c>
      <c r="I3053" s="52">
        <v>16</v>
      </c>
    </row>
    <row r="3054" spans="1:10" ht="15" customHeight="1">
      <c r="A3054" t="str">
        <f ca="1">IF(AND(OFFSET(A3054, -I3054 + 2, 4) &gt;  0, E3054="", Calculations!$B$7), F3054, "")</f>
        <v/>
      </c>
      <c r="B3054">
        <f t="shared" si="1103"/>
        <v>95</v>
      </c>
      <c r="C3054">
        <f t="shared" ca="1" si="1083"/>
        <v>92</v>
      </c>
      <c r="D3054" t="str">
        <f t="shared" si="1104"/>
        <v>Q95</v>
      </c>
      <c r="E3054" t="str">
        <f t="shared" ca="1" si="1105"/>
        <v/>
      </c>
      <c r="F3054" t="str">
        <f t="shared" ca="1" si="1106"/>
        <v xml:space="preserve">Enter a 'Acquisition APR' for  building 92 in cell Q95.
</v>
      </c>
      <c r="G3054" s="9" t="str">
        <f t="shared" ca="1" si="1107"/>
        <v xml:space="preserve">Enter a value for 'Number of Floors in the Tallest Building' in cell B60.
</v>
      </c>
      <c r="H3054" s="52" t="str">
        <f t="shared" ca="1" si="1108"/>
        <v>Acquisition APR</v>
      </c>
      <c r="I3054" s="52">
        <v>17</v>
      </c>
    </row>
    <row r="3055" spans="1:10" ht="15" customHeight="1">
      <c r="A3055" t="str">
        <f ca="1">IF(AND(Calculations!$B$4,Calculations!$B$29&gt;=C3055, E3055 &lt;&gt; 13),F3055,"")</f>
        <v/>
      </c>
      <c r="B3055">
        <f>ROW('Final Building Profile'!C96)</f>
        <v>96</v>
      </c>
      <c r="C3055">
        <f t="shared" ref="C3055:C3118" ca="1" si="1109">INDIRECT($F$1565 &amp; ADDRESS(B3055, 1,4  ))</f>
        <v>93</v>
      </c>
      <c r="D3055" t="str">
        <f>ADDRESS(B3055, 3,4  )</f>
        <v>C96</v>
      </c>
      <c r="E3055" s="52">
        <f ca="1">H3055+I3055</f>
        <v>0</v>
      </c>
      <c r="F3055" t="str">
        <f ca="1">CONCATENATE("Based upon the number of buildings specified, information for  building ", C3055, " required for a final application in row ", B3055, ".", CHAR(10))</f>
        <v xml:space="preserve">Based upon the number of buildings specified, information for  building 93 required for a final application in row 96.
</v>
      </c>
      <c r="G3055" s="9" t="str">
        <f t="shared" ca="1" si="1107"/>
        <v xml:space="preserve">Enter a value for 'Number of Floors in the Tallest Building' in cell B60.
</v>
      </c>
      <c r="H3055" s="52">
        <f ca="1">SUMPRODUCT(--ISTEXT(INDIRECT(J3055)))</f>
        <v>0</v>
      </c>
      <c r="I3055" s="52">
        <f ca="1">SUMPRODUCT(--ISNUMBER(INDIRECT(J3055)))</f>
        <v>0</v>
      </c>
      <c r="J3055" s="52" t="str">
        <f>$F$1565&amp; ADDRESS(B3055,3,4) &amp; ":" &amp; ADDRESS(B3055,15,4)</f>
        <v>'Final Building Profile'!C96:O96</v>
      </c>
    </row>
    <row r="3056" spans="1:10" ht="15" customHeight="1">
      <c r="A3056" t="str">
        <f t="shared" ref="A3056:A3065" ca="1" si="1110">IF(AND(OFFSET(A3056, -I3056 + 2, 4) &gt;  0, E3056=""), F3056, "")</f>
        <v/>
      </c>
      <c r="B3056">
        <f t="shared" ref="B3056:B3070" si="1111">B3055</f>
        <v>96</v>
      </c>
      <c r="C3056">
        <f t="shared" ca="1" si="1109"/>
        <v>93</v>
      </c>
      <c r="D3056" t="str">
        <f t="shared" ref="D3056:D3070" si="1112">ADDRESS(B3056, I3056,4  )</f>
        <v>C96</v>
      </c>
      <c r="E3056" t="str">
        <f t="shared" ref="E3056:E3070" ca="1" si="1113">IF(ISBLANK( INDIRECT($F$1565 &amp; D3056)),"", INDIRECT($F$1565 &amp; D3056))</f>
        <v/>
      </c>
      <c r="F3056" t="str">
        <f t="shared" ref="F3056:F3070" ca="1" si="1114">CONCATENATE("Enter a '"&amp; H3056 &amp;"' for  building ", C3056, " in cell ", D3056, ".", CHAR(10))</f>
        <v xml:space="preserve">Enter a 'Building Street Address Only 
(DO NOT ENTER CITY, STATE, OR ZIP)' for  building 93 in cell C96.
</v>
      </c>
      <c r="G3056" s="9" t="str">
        <f t="shared" ca="1" si="1107"/>
        <v xml:space="preserve">Enter a value for 'Number of Floors in the Tallest Building' in cell B60.
</v>
      </c>
      <c r="H3056" s="52" t="str">
        <f t="shared" ref="H3056:H3070" ca="1" si="1115">OFFSET(INDIRECT($F$1565 &amp; D3056), -B3056 + 3, 0)</f>
        <v>Building Street Address Only 
(DO NOT ENTER CITY, STATE, OR ZIP)</v>
      </c>
      <c r="I3056" s="52">
        <v>3</v>
      </c>
    </row>
    <row r="3057" spans="1:10" ht="15" customHeight="1">
      <c r="A3057" t="str">
        <f t="shared" ca="1" si="1110"/>
        <v/>
      </c>
      <c r="B3057">
        <f t="shared" si="1111"/>
        <v>96</v>
      </c>
      <c r="C3057">
        <f t="shared" ca="1" si="1109"/>
        <v>93</v>
      </c>
      <c r="D3057" t="str">
        <f t="shared" si="1112"/>
        <v>D96</v>
      </c>
      <c r="E3057" t="str">
        <f t="shared" ca="1" si="1113"/>
        <v/>
      </c>
      <c r="F3057" t="str">
        <f t="shared" ca="1" si="1114"/>
        <v xml:space="preserve">Enter a 'Total Units in Building*' for  building 93 in cell D96.
</v>
      </c>
      <c r="G3057" s="9" t="str">
        <f t="shared" ca="1" si="1107"/>
        <v xml:space="preserve">Enter a value for 'Number of Floors in the Tallest Building' in cell B60.
</v>
      </c>
      <c r="H3057" s="52" t="str">
        <f t="shared" ca="1" si="1115"/>
        <v>Total Units in Building*</v>
      </c>
      <c r="I3057" s="52">
        <v>4</v>
      </c>
    </row>
    <row r="3058" spans="1:10" ht="15" customHeight="1">
      <c r="A3058" t="str">
        <f t="shared" ca="1" si="1110"/>
        <v/>
      </c>
      <c r="B3058">
        <f t="shared" si="1111"/>
        <v>96</v>
      </c>
      <c r="C3058">
        <f t="shared" ca="1" si="1109"/>
        <v>93</v>
      </c>
      <c r="D3058" t="str">
        <f t="shared" si="1112"/>
        <v>E96</v>
      </c>
      <c r="E3058" t="str">
        <f t="shared" ca="1" si="1113"/>
        <v/>
      </c>
      <c r="F3058" t="str">
        <f t="shared" ca="1" si="1114"/>
        <v xml:space="preserve">Enter a 'Employee Units' for  building 93 in cell E96.
</v>
      </c>
      <c r="G3058" s="9" t="str">
        <f t="shared" ca="1" si="1107"/>
        <v xml:space="preserve">Enter a value for 'Number of Floors in the Tallest Building' in cell B60.
</v>
      </c>
      <c r="H3058" s="52" t="str">
        <f t="shared" ca="1" si="1115"/>
        <v>Employee Units</v>
      </c>
      <c r="I3058" s="52">
        <v>5</v>
      </c>
    </row>
    <row r="3059" spans="1:10" ht="15" customHeight="1">
      <c r="A3059" t="str">
        <f t="shared" ca="1" si="1110"/>
        <v/>
      </c>
      <c r="B3059">
        <f t="shared" si="1111"/>
        <v>96</v>
      </c>
      <c r="C3059">
        <f t="shared" ca="1" si="1109"/>
        <v>93</v>
      </c>
      <c r="D3059" t="str">
        <f t="shared" si="1112"/>
        <v>F96</v>
      </c>
      <c r="E3059" t="str">
        <f t="shared" ca="1" si="1113"/>
        <v/>
      </c>
      <c r="F3059" t="str">
        <f t="shared" ca="1" si="1114"/>
        <v xml:space="preserve">Enter a 'Low-Income Units' for  building 93 in cell F96.
</v>
      </c>
      <c r="G3059" s="9" t="str">
        <f t="shared" ca="1" si="1107"/>
        <v xml:space="preserve">Enter a value for 'Number of Floors in the Tallest Building' in cell B60.
</v>
      </c>
      <c r="H3059" s="52" t="str">
        <f t="shared" ca="1" si="1115"/>
        <v>Low-Income Units</v>
      </c>
      <c r="I3059" s="52">
        <v>6</v>
      </c>
    </row>
    <row r="3060" spans="1:10" ht="15" customHeight="1">
      <c r="A3060" t="str">
        <f t="shared" ca="1" si="1110"/>
        <v/>
      </c>
      <c r="B3060">
        <f t="shared" si="1111"/>
        <v>96</v>
      </c>
      <c r="C3060">
        <f t="shared" ca="1" si="1109"/>
        <v>93</v>
      </c>
      <c r="D3060" t="str">
        <f t="shared" si="1112"/>
        <v>G96</v>
      </c>
      <c r="E3060" t="str">
        <f t="shared" ca="1" si="1113"/>
        <v/>
      </c>
      <c r="F3060" t="str">
        <f t="shared" ca="1" si="1114"/>
        <v xml:space="preserve">Enter a 'Residential Square Footage**' for  building 93 in cell G96.
</v>
      </c>
      <c r="G3060" s="9" t="str">
        <f t="shared" ca="1" si="1107"/>
        <v xml:space="preserve">Enter a value for 'Number of Floors in the Tallest Building' in cell B60.
</v>
      </c>
      <c r="H3060" s="52" t="str">
        <f t="shared" ca="1" si="1115"/>
        <v>Residential Square Footage**</v>
      </c>
      <c r="I3060" s="52">
        <v>7</v>
      </c>
    </row>
    <row r="3061" spans="1:10" ht="15" customHeight="1">
      <c r="A3061" t="str">
        <f t="shared" ca="1" si="1110"/>
        <v/>
      </c>
      <c r="B3061">
        <f t="shared" si="1111"/>
        <v>96</v>
      </c>
      <c r="C3061">
        <f t="shared" ca="1" si="1109"/>
        <v>93</v>
      </c>
      <c r="D3061" t="str">
        <f t="shared" si="1112"/>
        <v>H96</v>
      </c>
      <c r="E3061" t="str">
        <f t="shared" ca="1" si="1113"/>
        <v/>
      </c>
      <c r="F3061" t="str">
        <f t="shared" ca="1" si="1114"/>
        <v xml:space="preserve">Enter a 'Square Footage of Employee Units' for  building 93 in cell H96.
</v>
      </c>
      <c r="G3061" s="9" t="str">
        <f t="shared" ca="1" si="1107"/>
        <v xml:space="preserve">Enter a value for 'Number of Floors in the Tallest Building' in cell B60.
</v>
      </c>
      <c r="H3061" s="52" t="str">
        <f t="shared" ca="1" si="1115"/>
        <v>Square Footage of Employee Units</v>
      </c>
      <c r="I3061" s="52">
        <v>8</v>
      </c>
    </row>
    <row r="3062" spans="1:10" ht="15" customHeight="1">
      <c r="A3062" t="str">
        <f t="shared" ca="1" si="1110"/>
        <v/>
      </c>
      <c r="B3062">
        <f t="shared" si="1111"/>
        <v>96</v>
      </c>
      <c r="C3062">
        <f t="shared" ca="1" si="1109"/>
        <v>93</v>
      </c>
      <c r="D3062" t="str">
        <f t="shared" si="1112"/>
        <v>I96</v>
      </c>
      <c r="E3062" t="str">
        <f t="shared" ca="1" si="1113"/>
        <v/>
      </c>
      <c r="F3062" t="str">
        <f t="shared" ca="1" si="1114"/>
        <v xml:space="preserve">Enter a 'Square Footage of Low-Income Units' for  building 93 in cell I96.
</v>
      </c>
      <c r="G3062" s="9" t="str">
        <f t="shared" ca="1" si="1107"/>
        <v xml:space="preserve">Enter a value for 'Number of Floors in the Tallest Building' in cell B60.
</v>
      </c>
      <c r="H3062" s="52" t="str">
        <f t="shared" ca="1" si="1115"/>
        <v>Square Footage of Low-Income Units</v>
      </c>
      <c r="I3062" s="52">
        <v>9</v>
      </c>
    </row>
    <row r="3063" spans="1:10" ht="15" customHeight="1">
      <c r="A3063" t="str">
        <f t="shared" ca="1" si="1110"/>
        <v/>
      </c>
      <c r="B3063">
        <f t="shared" si="1111"/>
        <v>96</v>
      </c>
      <c r="C3063">
        <f t="shared" ca="1" si="1109"/>
        <v>93</v>
      </c>
      <c r="D3063" t="str">
        <f t="shared" si="1112"/>
        <v>J96</v>
      </c>
      <c r="E3063" t="str">
        <f t="shared" ca="1" si="1113"/>
        <v/>
      </c>
      <c r="F3063" t="str">
        <f t="shared" ca="1" si="1114"/>
        <v xml:space="preserve">Enter a 'Placed-In-Service Date' for  building 93 in cell J96.
</v>
      </c>
      <c r="G3063" s="9" t="str">
        <f t="shared" ca="1" si="1107"/>
        <v xml:space="preserve">Enter a value for 'Number of Floors in the Tallest Building' in cell B60.
</v>
      </c>
      <c r="H3063" s="52" t="str">
        <f t="shared" ca="1" si="1115"/>
        <v>Placed-In-Service Date</v>
      </c>
      <c r="I3063" s="52">
        <v>10</v>
      </c>
    </row>
    <row r="3064" spans="1:10" ht="15" customHeight="1">
      <c r="A3064" t="str">
        <f t="shared" ca="1" si="1110"/>
        <v/>
      </c>
      <c r="B3064">
        <f t="shared" si="1111"/>
        <v>96</v>
      </c>
      <c r="C3064">
        <f t="shared" ca="1" si="1109"/>
        <v>93</v>
      </c>
      <c r="D3064" t="str">
        <f t="shared" si="1112"/>
        <v>K96</v>
      </c>
      <c r="E3064" t="str">
        <f t="shared" ca="1" si="1113"/>
        <v/>
      </c>
      <c r="F3064" t="str">
        <f t="shared" ca="1" si="1114"/>
        <v xml:space="preserve">Enter a 'New Construction/ Rehab APR' for  building 93 in cell K96.
</v>
      </c>
      <c r="G3064" s="9" t="str">
        <f t="shared" ca="1" si="1107"/>
        <v xml:space="preserve">Enter a value for 'Number of Floors in the Tallest Building' in cell B60.
</v>
      </c>
      <c r="H3064" s="52" t="str">
        <f t="shared" ca="1" si="1115"/>
        <v>New Construction/ Rehab APR</v>
      </c>
      <c r="I3064" s="52">
        <v>11</v>
      </c>
    </row>
    <row r="3065" spans="1:10" ht="15" customHeight="1">
      <c r="A3065" t="str">
        <f t="shared" ca="1" si="1110"/>
        <v/>
      </c>
      <c r="B3065">
        <f t="shared" si="1111"/>
        <v>96</v>
      </c>
      <c r="C3065">
        <f t="shared" ca="1" si="1109"/>
        <v>93</v>
      </c>
      <c r="D3065" t="str">
        <f t="shared" si="1112"/>
        <v>L96</v>
      </c>
      <c r="E3065" t="str">
        <f t="shared" ca="1" si="1113"/>
        <v/>
      </c>
      <c r="F3065" t="str">
        <f t="shared" ca="1" si="1114"/>
        <v xml:space="preserve">Enter a 'New Construction Eligible Basis' for  building 93 in cell L96.
</v>
      </c>
      <c r="G3065" s="9" t="str">
        <f t="shared" ca="1" si="1107"/>
        <v xml:space="preserve">Enter a value for 'Number of Floors in the Tallest Building' in cell B60.
</v>
      </c>
      <c r="H3065" s="52" t="str">
        <f t="shared" ca="1" si="1115"/>
        <v>New Construction Eligible Basis</v>
      </c>
      <c r="I3065" s="52">
        <v>12</v>
      </c>
    </row>
    <row r="3066" spans="1:10" ht="15" customHeight="1">
      <c r="A3066" t="str">
        <f ca="1">IF(AND(OFFSET(A3066, -I3066 + 2, 4) &gt;  0, E3066="", Calculations!$B$7), F3066, "")</f>
        <v/>
      </c>
      <c r="B3066">
        <f t="shared" si="1111"/>
        <v>96</v>
      </c>
      <c r="C3066">
        <f t="shared" ca="1" si="1109"/>
        <v>93</v>
      </c>
      <c r="D3066" t="str">
        <f t="shared" si="1112"/>
        <v>M96</v>
      </c>
      <c r="E3066" t="str">
        <f t="shared" ca="1" si="1113"/>
        <v/>
      </c>
      <c r="F3066" t="str">
        <f t="shared" ca="1" si="1114"/>
        <v xml:space="preserve">Enter a 'Eligible Basis for Rehab' for  building 93 in cell M96.
</v>
      </c>
      <c r="G3066" s="9" t="str">
        <f t="shared" ca="1" si="1107"/>
        <v xml:space="preserve">Enter a value for 'Number of Floors in the Tallest Building' in cell B60.
</v>
      </c>
      <c r="H3066" s="52" t="str">
        <f t="shared" ca="1" si="1115"/>
        <v>Eligible Basis for Rehab</v>
      </c>
      <c r="I3066" s="52">
        <v>13</v>
      </c>
    </row>
    <row r="3067" spans="1:10" ht="15" customHeight="1">
      <c r="A3067" t="str">
        <f ca="1">IF(AND(OFFSET(A3067, -I3067 + 2, 4) &gt;  0, E3067="", Calculations!$B$7), F3067, "")</f>
        <v/>
      </c>
      <c r="B3067">
        <f t="shared" si="1111"/>
        <v>96</v>
      </c>
      <c r="C3067">
        <f t="shared" ca="1" si="1109"/>
        <v>93</v>
      </c>
      <c r="D3067" t="str">
        <f t="shared" si="1112"/>
        <v>N96</v>
      </c>
      <c r="E3067" t="str">
        <f t="shared" ca="1" si="1113"/>
        <v/>
      </c>
      <c r="F3067" t="str">
        <f t="shared" ca="1" si="1114"/>
        <v xml:space="preserve">Enter a 'Cost of Acquiring the Building***' for  building 93 in cell N96.
</v>
      </c>
      <c r="G3067" s="9" t="str">
        <f t="shared" ca="1" si="1107"/>
        <v xml:space="preserve">Enter a value for 'Number of Floors in the Tallest Building' in cell B60.
</v>
      </c>
      <c r="H3067" s="52" t="str">
        <f t="shared" ca="1" si="1115"/>
        <v>Cost of Acquiring the Building***</v>
      </c>
      <c r="I3067" s="52">
        <v>14</v>
      </c>
    </row>
    <row r="3068" spans="1:10" ht="15" customHeight="1">
      <c r="A3068" t="str">
        <f ca="1">IF(AND(OFFSET(A3068, -I3068 + 2, 4) &gt;  0, E3068="", Calculations!$B$7), F3068, "")</f>
        <v/>
      </c>
      <c r="B3068">
        <f t="shared" si="1111"/>
        <v>96</v>
      </c>
      <c r="C3068">
        <f t="shared" ca="1" si="1109"/>
        <v>93</v>
      </c>
      <c r="D3068" t="str">
        <f t="shared" si="1112"/>
        <v>O96</v>
      </c>
      <c r="E3068" t="str">
        <f t="shared" ca="1" si="1113"/>
        <v/>
      </c>
      <c r="F3068" t="str">
        <f t="shared" ca="1" si="1114"/>
        <v xml:space="preserve">Enter a 'Higher of Land Purchase Price or Land Appraised Value****' for  building 93 in cell O96.
</v>
      </c>
      <c r="G3068" s="9" t="str">
        <f t="shared" ca="1" si="1107"/>
        <v xml:space="preserve">Enter a value for 'Number of Floors in the Tallest Building' in cell B60.
</v>
      </c>
      <c r="H3068" s="52" t="str">
        <f t="shared" ca="1" si="1115"/>
        <v>Higher of Land Purchase Price or Land Appraised Value****</v>
      </c>
      <c r="I3068" s="52">
        <v>15</v>
      </c>
    </row>
    <row r="3069" spans="1:10" ht="15" customHeight="1">
      <c r="A3069" t="str">
        <f ca="1">IF(AND(OFFSET(A3069, -I3069 + 2, 4) &gt;  0, E3069="", Calculations!$B$7), F3069, "")</f>
        <v/>
      </c>
      <c r="B3069">
        <f t="shared" si="1111"/>
        <v>96</v>
      </c>
      <c r="C3069">
        <f t="shared" ca="1" si="1109"/>
        <v>93</v>
      </c>
      <c r="D3069" t="str">
        <f t="shared" si="1112"/>
        <v>P96</v>
      </c>
      <c r="E3069" t="str">
        <f t="shared" ca="1" si="1113"/>
        <v/>
      </c>
      <c r="F3069" t="str">
        <f t="shared" ca="1" si="1114"/>
        <v xml:space="preserve">Enter a 'Acquisition Placed-in-Service Date' for  building 93 in cell P96.
</v>
      </c>
      <c r="G3069" s="9" t="str">
        <f t="shared" ca="1" si="1107"/>
        <v xml:space="preserve">Enter a value for 'Number of Floors in the Tallest Building' in cell B60.
</v>
      </c>
      <c r="H3069" s="52" t="str">
        <f t="shared" ca="1" si="1115"/>
        <v>Acquisition Placed-in-Service Date</v>
      </c>
      <c r="I3069" s="52">
        <v>16</v>
      </c>
    </row>
    <row r="3070" spans="1:10" ht="15" customHeight="1">
      <c r="A3070" t="str">
        <f ca="1">IF(AND(OFFSET(A3070, -I3070 + 2, 4) &gt;  0, E3070="", Calculations!$B$7), F3070, "")</f>
        <v/>
      </c>
      <c r="B3070">
        <f t="shared" si="1111"/>
        <v>96</v>
      </c>
      <c r="C3070">
        <f t="shared" ca="1" si="1109"/>
        <v>93</v>
      </c>
      <c r="D3070" t="str">
        <f t="shared" si="1112"/>
        <v>Q96</v>
      </c>
      <c r="E3070" t="str">
        <f t="shared" ca="1" si="1113"/>
        <v/>
      </c>
      <c r="F3070" t="str">
        <f t="shared" ca="1" si="1114"/>
        <v xml:space="preserve">Enter a 'Acquisition APR' for  building 93 in cell Q96.
</v>
      </c>
      <c r="G3070" s="9" t="str">
        <f t="shared" ca="1" si="1107"/>
        <v xml:space="preserve">Enter a value for 'Number of Floors in the Tallest Building' in cell B60.
</v>
      </c>
      <c r="H3070" s="52" t="str">
        <f t="shared" ca="1" si="1115"/>
        <v>Acquisition APR</v>
      </c>
      <c r="I3070" s="52">
        <v>17</v>
      </c>
    </row>
    <row r="3071" spans="1:10" ht="15" customHeight="1">
      <c r="A3071" t="str">
        <f ca="1">IF(AND(Calculations!$B$4,Calculations!$B$29&gt;=C3071, E3071 &lt;&gt; 13),F3071,"")</f>
        <v/>
      </c>
      <c r="B3071">
        <f>ROW('Final Building Profile'!C97)</f>
        <v>97</v>
      </c>
      <c r="C3071">
        <f t="shared" ca="1" si="1109"/>
        <v>94</v>
      </c>
      <c r="D3071" t="str">
        <f>ADDRESS(B3071, 3,4  )</f>
        <v>C97</v>
      </c>
      <c r="E3071" s="52">
        <f ca="1">H3071+I3071</f>
        <v>0</v>
      </c>
      <c r="F3071" t="str">
        <f ca="1">CONCATENATE("Based upon the number of buildings specified, information for  building ", C3071, " required for a final application in row ", B3071, ".", CHAR(10))</f>
        <v xml:space="preserve">Based upon the number of buildings specified, information for  building 94 required for a final application in row 97.
</v>
      </c>
      <c r="G3071" s="9" t="str">
        <f t="shared" ca="1" si="1107"/>
        <v xml:space="preserve">Enter a value for 'Number of Floors in the Tallest Building' in cell B60.
</v>
      </c>
      <c r="H3071" s="52">
        <f ca="1">SUMPRODUCT(--ISTEXT(INDIRECT(J3071)))</f>
        <v>0</v>
      </c>
      <c r="I3071" s="52">
        <f ca="1">SUMPRODUCT(--ISNUMBER(INDIRECT(J3071)))</f>
        <v>0</v>
      </c>
      <c r="J3071" s="52" t="str">
        <f>$F$1565&amp; ADDRESS(B3071,3,4) &amp; ":" &amp; ADDRESS(B3071,15,4)</f>
        <v>'Final Building Profile'!C97:O97</v>
      </c>
    </row>
    <row r="3072" spans="1:10" ht="15" customHeight="1">
      <c r="A3072" t="str">
        <f t="shared" ref="A3072:A3081" ca="1" si="1116">IF(AND(OFFSET(A3072, -I3072 + 2, 4) &gt;  0, E3072=""), F3072, "")</f>
        <v/>
      </c>
      <c r="B3072">
        <f t="shared" ref="B3072:B3086" si="1117">B3071</f>
        <v>97</v>
      </c>
      <c r="C3072">
        <f t="shared" ca="1" si="1109"/>
        <v>94</v>
      </c>
      <c r="D3072" t="str">
        <f t="shared" ref="D3072:D3086" si="1118">ADDRESS(B3072, I3072,4  )</f>
        <v>C97</v>
      </c>
      <c r="E3072" t="str">
        <f t="shared" ref="E3072:E3086" ca="1" si="1119">IF(ISBLANK( INDIRECT($F$1565 &amp; D3072)),"", INDIRECT($F$1565 &amp; D3072))</f>
        <v/>
      </c>
      <c r="F3072" t="str">
        <f t="shared" ref="F3072:F3086" ca="1" si="1120">CONCATENATE("Enter a '"&amp; H3072 &amp;"' for  building ", C3072, " in cell ", D3072, ".", CHAR(10))</f>
        <v xml:space="preserve">Enter a 'Building Street Address Only 
(DO NOT ENTER CITY, STATE, OR ZIP)' for  building 94 in cell C97.
</v>
      </c>
      <c r="G3072" s="9" t="str">
        <f t="shared" ca="1" si="1107"/>
        <v xml:space="preserve">Enter a value for 'Number of Floors in the Tallest Building' in cell B60.
</v>
      </c>
      <c r="H3072" s="52" t="str">
        <f t="shared" ref="H3072:H3086" ca="1" si="1121">OFFSET(INDIRECT($F$1565 &amp; D3072), -B3072 + 3, 0)</f>
        <v>Building Street Address Only 
(DO NOT ENTER CITY, STATE, OR ZIP)</v>
      </c>
      <c r="I3072" s="52">
        <v>3</v>
      </c>
    </row>
    <row r="3073" spans="1:10" ht="15" customHeight="1">
      <c r="A3073" t="str">
        <f t="shared" ca="1" si="1116"/>
        <v/>
      </c>
      <c r="B3073">
        <f t="shared" si="1117"/>
        <v>97</v>
      </c>
      <c r="C3073">
        <f t="shared" ca="1" si="1109"/>
        <v>94</v>
      </c>
      <c r="D3073" t="str">
        <f t="shared" si="1118"/>
        <v>D97</v>
      </c>
      <c r="E3073" t="str">
        <f t="shared" ca="1" si="1119"/>
        <v/>
      </c>
      <c r="F3073" t="str">
        <f t="shared" ca="1" si="1120"/>
        <v xml:space="preserve">Enter a 'Total Units in Building*' for  building 94 in cell D97.
</v>
      </c>
      <c r="G3073" s="9" t="str">
        <f t="shared" ca="1" si="1107"/>
        <v xml:space="preserve">Enter a value for 'Number of Floors in the Tallest Building' in cell B60.
</v>
      </c>
      <c r="H3073" s="52" t="str">
        <f t="shared" ca="1" si="1121"/>
        <v>Total Units in Building*</v>
      </c>
      <c r="I3073" s="52">
        <v>4</v>
      </c>
    </row>
    <row r="3074" spans="1:10" ht="15" customHeight="1">
      <c r="A3074" t="str">
        <f t="shared" ca="1" si="1116"/>
        <v/>
      </c>
      <c r="B3074">
        <f t="shared" si="1117"/>
        <v>97</v>
      </c>
      <c r="C3074">
        <f t="shared" ca="1" si="1109"/>
        <v>94</v>
      </c>
      <c r="D3074" t="str">
        <f t="shared" si="1118"/>
        <v>E97</v>
      </c>
      <c r="E3074" t="str">
        <f t="shared" ca="1" si="1119"/>
        <v/>
      </c>
      <c r="F3074" t="str">
        <f t="shared" ca="1" si="1120"/>
        <v xml:space="preserve">Enter a 'Employee Units' for  building 94 in cell E97.
</v>
      </c>
      <c r="G3074" s="9" t="str">
        <f t="shared" ca="1" si="1107"/>
        <v xml:space="preserve">Enter a value for 'Number of Floors in the Tallest Building' in cell B60.
</v>
      </c>
      <c r="H3074" s="52" t="str">
        <f t="shared" ca="1" si="1121"/>
        <v>Employee Units</v>
      </c>
      <c r="I3074" s="52">
        <v>5</v>
      </c>
    </row>
    <row r="3075" spans="1:10" ht="15" customHeight="1">
      <c r="A3075" t="str">
        <f t="shared" ca="1" si="1116"/>
        <v/>
      </c>
      <c r="B3075">
        <f t="shared" si="1117"/>
        <v>97</v>
      </c>
      <c r="C3075">
        <f t="shared" ca="1" si="1109"/>
        <v>94</v>
      </c>
      <c r="D3075" t="str">
        <f t="shared" si="1118"/>
        <v>F97</v>
      </c>
      <c r="E3075" t="str">
        <f t="shared" ca="1" si="1119"/>
        <v/>
      </c>
      <c r="F3075" t="str">
        <f t="shared" ca="1" si="1120"/>
        <v xml:space="preserve">Enter a 'Low-Income Units' for  building 94 in cell F97.
</v>
      </c>
      <c r="G3075" s="9" t="str">
        <f t="shared" ca="1" si="1107"/>
        <v xml:space="preserve">Enter a value for 'Number of Floors in the Tallest Building' in cell B60.
</v>
      </c>
      <c r="H3075" s="52" t="str">
        <f t="shared" ca="1" si="1121"/>
        <v>Low-Income Units</v>
      </c>
      <c r="I3075" s="52">
        <v>6</v>
      </c>
    </row>
    <row r="3076" spans="1:10" ht="15" customHeight="1">
      <c r="A3076" t="str">
        <f t="shared" ca="1" si="1116"/>
        <v/>
      </c>
      <c r="B3076">
        <f t="shared" si="1117"/>
        <v>97</v>
      </c>
      <c r="C3076">
        <f t="shared" ca="1" si="1109"/>
        <v>94</v>
      </c>
      <c r="D3076" t="str">
        <f t="shared" si="1118"/>
        <v>G97</v>
      </c>
      <c r="E3076" t="str">
        <f t="shared" ca="1" si="1119"/>
        <v/>
      </c>
      <c r="F3076" t="str">
        <f t="shared" ca="1" si="1120"/>
        <v xml:space="preserve">Enter a 'Residential Square Footage**' for  building 94 in cell G97.
</v>
      </c>
      <c r="G3076" s="9" t="str">
        <f t="shared" ca="1" si="1107"/>
        <v xml:space="preserve">Enter a value for 'Number of Floors in the Tallest Building' in cell B60.
</v>
      </c>
      <c r="H3076" s="52" t="str">
        <f t="shared" ca="1" si="1121"/>
        <v>Residential Square Footage**</v>
      </c>
      <c r="I3076" s="52">
        <v>7</v>
      </c>
    </row>
    <row r="3077" spans="1:10" ht="15" customHeight="1">
      <c r="A3077" t="str">
        <f t="shared" ca="1" si="1116"/>
        <v/>
      </c>
      <c r="B3077">
        <f t="shared" si="1117"/>
        <v>97</v>
      </c>
      <c r="C3077">
        <f t="shared" ca="1" si="1109"/>
        <v>94</v>
      </c>
      <c r="D3077" t="str">
        <f t="shared" si="1118"/>
        <v>H97</v>
      </c>
      <c r="E3077" t="str">
        <f t="shared" ca="1" si="1119"/>
        <v/>
      </c>
      <c r="F3077" t="str">
        <f t="shared" ca="1" si="1120"/>
        <v xml:space="preserve">Enter a 'Square Footage of Employee Units' for  building 94 in cell H97.
</v>
      </c>
      <c r="G3077" s="9" t="str">
        <f t="shared" ca="1" si="1107"/>
        <v xml:space="preserve">Enter a value for 'Number of Floors in the Tallest Building' in cell B60.
</v>
      </c>
      <c r="H3077" s="52" t="str">
        <f t="shared" ca="1" si="1121"/>
        <v>Square Footage of Employee Units</v>
      </c>
      <c r="I3077" s="52">
        <v>8</v>
      </c>
    </row>
    <row r="3078" spans="1:10" ht="15" customHeight="1">
      <c r="A3078" t="str">
        <f t="shared" ca="1" si="1116"/>
        <v/>
      </c>
      <c r="B3078">
        <f t="shared" si="1117"/>
        <v>97</v>
      </c>
      <c r="C3078">
        <f t="shared" ca="1" si="1109"/>
        <v>94</v>
      </c>
      <c r="D3078" t="str">
        <f t="shared" si="1118"/>
        <v>I97</v>
      </c>
      <c r="E3078" t="str">
        <f t="shared" ca="1" si="1119"/>
        <v/>
      </c>
      <c r="F3078" t="str">
        <f t="shared" ca="1" si="1120"/>
        <v xml:space="preserve">Enter a 'Square Footage of Low-Income Units' for  building 94 in cell I97.
</v>
      </c>
      <c r="G3078" s="9" t="str">
        <f t="shared" ca="1" si="1107"/>
        <v xml:space="preserve">Enter a value for 'Number of Floors in the Tallest Building' in cell B60.
</v>
      </c>
      <c r="H3078" s="52" t="str">
        <f t="shared" ca="1" si="1121"/>
        <v>Square Footage of Low-Income Units</v>
      </c>
      <c r="I3078" s="52">
        <v>9</v>
      </c>
    </row>
    <row r="3079" spans="1:10" ht="15" customHeight="1">
      <c r="A3079" t="str">
        <f t="shared" ca="1" si="1116"/>
        <v/>
      </c>
      <c r="B3079">
        <f t="shared" si="1117"/>
        <v>97</v>
      </c>
      <c r="C3079">
        <f t="shared" ca="1" si="1109"/>
        <v>94</v>
      </c>
      <c r="D3079" t="str">
        <f t="shared" si="1118"/>
        <v>J97</v>
      </c>
      <c r="E3079" t="str">
        <f t="shared" ca="1" si="1119"/>
        <v/>
      </c>
      <c r="F3079" t="str">
        <f t="shared" ca="1" si="1120"/>
        <v xml:space="preserve">Enter a 'Placed-In-Service Date' for  building 94 in cell J97.
</v>
      </c>
      <c r="G3079" s="9" t="str">
        <f t="shared" ca="1" si="1107"/>
        <v xml:space="preserve">Enter a value for 'Number of Floors in the Tallest Building' in cell B60.
</v>
      </c>
      <c r="H3079" s="52" t="str">
        <f t="shared" ca="1" si="1121"/>
        <v>Placed-In-Service Date</v>
      </c>
      <c r="I3079" s="52">
        <v>10</v>
      </c>
    </row>
    <row r="3080" spans="1:10" ht="15" customHeight="1">
      <c r="A3080" t="str">
        <f t="shared" ca="1" si="1116"/>
        <v/>
      </c>
      <c r="B3080">
        <f t="shared" si="1117"/>
        <v>97</v>
      </c>
      <c r="C3080">
        <f t="shared" ca="1" si="1109"/>
        <v>94</v>
      </c>
      <c r="D3080" t="str">
        <f t="shared" si="1118"/>
        <v>K97</v>
      </c>
      <c r="E3080" t="str">
        <f t="shared" ca="1" si="1119"/>
        <v/>
      </c>
      <c r="F3080" t="str">
        <f t="shared" ca="1" si="1120"/>
        <v xml:space="preserve">Enter a 'New Construction/ Rehab APR' for  building 94 in cell K97.
</v>
      </c>
      <c r="G3080" s="9" t="str">
        <f t="shared" ca="1" si="1107"/>
        <v xml:space="preserve">Enter a value for 'Number of Floors in the Tallest Building' in cell B60.
</v>
      </c>
      <c r="H3080" s="52" t="str">
        <f t="shared" ca="1" si="1121"/>
        <v>New Construction/ Rehab APR</v>
      </c>
      <c r="I3080" s="52">
        <v>11</v>
      </c>
    </row>
    <row r="3081" spans="1:10" ht="15" customHeight="1">
      <c r="A3081" t="str">
        <f t="shared" ca="1" si="1116"/>
        <v/>
      </c>
      <c r="B3081">
        <f t="shared" si="1117"/>
        <v>97</v>
      </c>
      <c r="C3081">
        <f t="shared" ca="1" si="1109"/>
        <v>94</v>
      </c>
      <c r="D3081" t="str">
        <f t="shared" si="1118"/>
        <v>L97</v>
      </c>
      <c r="E3081" t="str">
        <f t="shared" ca="1" si="1119"/>
        <v/>
      </c>
      <c r="F3081" t="str">
        <f t="shared" ca="1" si="1120"/>
        <v xml:space="preserve">Enter a 'New Construction Eligible Basis' for  building 94 in cell L97.
</v>
      </c>
      <c r="G3081" s="9" t="str">
        <f t="shared" ca="1" si="1107"/>
        <v xml:space="preserve">Enter a value for 'Number of Floors in the Tallest Building' in cell B60.
</v>
      </c>
      <c r="H3081" s="52" t="str">
        <f t="shared" ca="1" si="1121"/>
        <v>New Construction Eligible Basis</v>
      </c>
      <c r="I3081" s="52">
        <v>12</v>
      </c>
    </row>
    <row r="3082" spans="1:10" ht="15" customHeight="1">
      <c r="A3082" t="str">
        <f ca="1">IF(AND(OFFSET(A3082, -I3082 + 2, 4) &gt;  0, E3082="", Calculations!$B$7), F3082, "")</f>
        <v/>
      </c>
      <c r="B3082">
        <f t="shared" si="1117"/>
        <v>97</v>
      </c>
      <c r="C3082">
        <f t="shared" ca="1" si="1109"/>
        <v>94</v>
      </c>
      <c r="D3082" t="str">
        <f t="shared" si="1118"/>
        <v>M97</v>
      </c>
      <c r="E3082" t="str">
        <f t="shared" ca="1" si="1119"/>
        <v/>
      </c>
      <c r="F3082" t="str">
        <f t="shared" ca="1" si="1120"/>
        <v xml:space="preserve">Enter a 'Eligible Basis for Rehab' for  building 94 in cell M97.
</v>
      </c>
      <c r="G3082" s="9" t="str">
        <f t="shared" ca="1" si="1107"/>
        <v xml:space="preserve">Enter a value for 'Number of Floors in the Tallest Building' in cell B60.
</v>
      </c>
      <c r="H3082" s="52" t="str">
        <f t="shared" ca="1" si="1121"/>
        <v>Eligible Basis for Rehab</v>
      </c>
      <c r="I3082" s="52">
        <v>13</v>
      </c>
    </row>
    <row r="3083" spans="1:10" ht="15" customHeight="1">
      <c r="A3083" t="str">
        <f ca="1">IF(AND(OFFSET(A3083, -I3083 + 2, 4) &gt;  0, E3083="", Calculations!$B$7), F3083, "")</f>
        <v/>
      </c>
      <c r="B3083">
        <f t="shared" si="1117"/>
        <v>97</v>
      </c>
      <c r="C3083">
        <f t="shared" ca="1" si="1109"/>
        <v>94</v>
      </c>
      <c r="D3083" t="str">
        <f t="shared" si="1118"/>
        <v>N97</v>
      </c>
      <c r="E3083" t="str">
        <f t="shared" ca="1" si="1119"/>
        <v/>
      </c>
      <c r="F3083" t="str">
        <f t="shared" ca="1" si="1120"/>
        <v xml:space="preserve">Enter a 'Cost of Acquiring the Building***' for  building 94 in cell N97.
</v>
      </c>
      <c r="G3083" s="9" t="str">
        <f t="shared" ca="1" si="1107"/>
        <v xml:space="preserve">Enter a value for 'Number of Floors in the Tallest Building' in cell B60.
</v>
      </c>
      <c r="H3083" s="52" t="str">
        <f t="shared" ca="1" si="1121"/>
        <v>Cost of Acquiring the Building***</v>
      </c>
      <c r="I3083" s="52">
        <v>14</v>
      </c>
    </row>
    <row r="3084" spans="1:10" ht="15" customHeight="1">
      <c r="A3084" t="str">
        <f ca="1">IF(AND(OFFSET(A3084, -I3084 + 2, 4) &gt;  0, E3084="", Calculations!$B$7), F3084, "")</f>
        <v/>
      </c>
      <c r="B3084">
        <f t="shared" si="1117"/>
        <v>97</v>
      </c>
      <c r="C3084">
        <f t="shared" ca="1" si="1109"/>
        <v>94</v>
      </c>
      <c r="D3084" t="str">
        <f t="shared" si="1118"/>
        <v>O97</v>
      </c>
      <c r="E3084" t="str">
        <f t="shared" ca="1" si="1119"/>
        <v/>
      </c>
      <c r="F3084" t="str">
        <f t="shared" ca="1" si="1120"/>
        <v xml:space="preserve">Enter a 'Higher of Land Purchase Price or Land Appraised Value****' for  building 94 in cell O97.
</v>
      </c>
      <c r="G3084" s="9" t="str">
        <f t="shared" ca="1" si="1107"/>
        <v xml:space="preserve">Enter a value for 'Number of Floors in the Tallest Building' in cell B60.
</v>
      </c>
      <c r="H3084" s="52" t="str">
        <f t="shared" ca="1" si="1121"/>
        <v>Higher of Land Purchase Price or Land Appraised Value****</v>
      </c>
      <c r="I3084" s="52">
        <v>15</v>
      </c>
    </row>
    <row r="3085" spans="1:10" ht="15" customHeight="1">
      <c r="A3085" t="str">
        <f ca="1">IF(AND(OFFSET(A3085, -I3085 + 2, 4) &gt;  0, E3085="", Calculations!$B$7), F3085, "")</f>
        <v/>
      </c>
      <c r="B3085">
        <f t="shared" si="1117"/>
        <v>97</v>
      </c>
      <c r="C3085">
        <f t="shared" ca="1" si="1109"/>
        <v>94</v>
      </c>
      <c r="D3085" t="str">
        <f t="shared" si="1118"/>
        <v>P97</v>
      </c>
      <c r="E3085" t="str">
        <f t="shared" ca="1" si="1119"/>
        <v/>
      </c>
      <c r="F3085" t="str">
        <f t="shared" ca="1" si="1120"/>
        <v xml:space="preserve">Enter a 'Acquisition Placed-in-Service Date' for  building 94 in cell P97.
</v>
      </c>
      <c r="G3085" s="9" t="str">
        <f t="shared" ca="1" si="1107"/>
        <v xml:space="preserve">Enter a value for 'Number of Floors in the Tallest Building' in cell B60.
</v>
      </c>
      <c r="H3085" s="52" t="str">
        <f t="shared" ca="1" si="1121"/>
        <v>Acquisition Placed-in-Service Date</v>
      </c>
      <c r="I3085" s="52">
        <v>16</v>
      </c>
    </row>
    <row r="3086" spans="1:10" ht="15" customHeight="1">
      <c r="A3086" t="str">
        <f ca="1">IF(AND(OFFSET(A3086, -I3086 + 2, 4) &gt;  0, E3086="", Calculations!$B$7), F3086, "")</f>
        <v/>
      </c>
      <c r="B3086">
        <f t="shared" si="1117"/>
        <v>97</v>
      </c>
      <c r="C3086">
        <f t="shared" ca="1" si="1109"/>
        <v>94</v>
      </c>
      <c r="D3086" t="str">
        <f t="shared" si="1118"/>
        <v>Q97</v>
      </c>
      <c r="E3086" t="str">
        <f t="shared" ca="1" si="1119"/>
        <v/>
      </c>
      <c r="F3086" t="str">
        <f t="shared" ca="1" si="1120"/>
        <v xml:space="preserve">Enter a 'Acquisition APR' for  building 94 in cell Q97.
</v>
      </c>
      <c r="G3086" s="9" t="str">
        <f t="shared" ca="1" si="1107"/>
        <v xml:space="preserve">Enter a value for 'Number of Floors in the Tallest Building' in cell B60.
</v>
      </c>
      <c r="H3086" s="52" t="str">
        <f t="shared" ca="1" si="1121"/>
        <v>Acquisition APR</v>
      </c>
      <c r="I3086" s="52">
        <v>17</v>
      </c>
    </row>
    <row r="3087" spans="1:10" ht="15" customHeight="1">
      <c r="A3087" t="str">
        <f ca="1">IF(AND(Calculations!$B$4,Calculations!$B$29&gt;=C3087, E3087 &lt;&gt; 13),F3087,"")</f>
        <v/>
      </c>
      <c r="B3087">
        <f>ROW('Final Building Profile'!C98)</f>
        <v>98</v>
      </c>
      <c r="C3087">
        <f t="shared" ca="1" si="1109"/>
        <v>95</v>
      </c>
      <c r="D3087" t="str">
        <f>ADDRESS(B3087, 3,4  )</f>
        <v>C98</v>
      </c>
      <c r="E3087" s="52">
        <f ca="1">H3087+I3087</f>
        <v>0</v>
      </c>
      <c r="F3087" t="str">
        <f ca="1">CONCATENATE("Based upon the number of buildings specified, information for  building ", C3087, " required for a final application in row ", B3087, ".", CHAR(10))</f>
        <v xml:space="preserve">Based upon the number of buildings specified, information for  building 95 required for a final application in row 98.
</v>
      </c>
      <c r="G3087" s="9" t="str">
        <f t="shared" ca="1" si="1107"/>
        <v xml:space="preserve">Enter a value for 'Number of Floors in the Tallest Building' in cell B60.
</v>
      </c>
      <c r="H3087" s="52">
        <f ca="1">SUMPRODUCT(--ISTEXT(INDIRECT(J3087)))</f>
        <v>0</v>
      </c>
      <c r="I3087" s="52">
        <f ca="1">SUMPRODUCT(--ISNUMBER(INDIRECT(J3087)))</f>
        <v>0</v>
      </c>
      <c r="J3087" s="52" t="str">
        <f>$F$1565&amp; ADDRESS(B3087,3,4) &amp; ":" &amp; ADDRESS(B3087,15,4)</f>
        <v>'Final Building Profile'!C98:O98</v>
      </c>
    </row>
    <row r="3088" spans="1:10" ht="15" customHeight="1">
      <c r="A3088" t="str">
        <f t="shared" ref="A3088:A3097" ca="1" si="1122">IF(AND(OFFSET(A3088, -I3088 + 2, 4) &gt;  0, E3088=""), F3088, "")</f>
        <v/>
      </c>
      <c r="B3088">
        <f t="shared" ref="B3088:B3102" si="1123">B3087</f>
        <v>98</v>
      </c>
      <c r="C3088">
        <f t="shared" ca="1" si="1109"/>
        <v>95</v>
      </c>
      <c r="D3088" t="str">
        <f t="shared" ref="D3088:D3102" si="1124">ADDRESS(B3088, I3088,4  )</f>
        <v>C98</v>
      </c>
      <c r="E3088" t="str">
        <f t="shared" ref="E3088:E3102" ca="1" si="1125">IF(ISBLANK( INDIRECT($F$1565 &amp; D3088)),"", INDIRECT($F$1565 &amp; D3088))</f>
        <v/>
      </c>
      <c r="F3088" t="str">
        <f t="shared" ref="F3088:F3102" ca="1" si="1126">CONCATENATE("Enter a '"&amp; H3088 &amp;"' for  building ", C3088, " in cell ", D3088, ".", CHAR(10))</f>
        <v xml:space="preserve">Enter a 'Building Street Address Only 
(DO NOT ENTER CITY, STATE, OR ZIP)' for  building 95 in cell C98.
</v>
      </c>
      <c r="G3088" s="9" t="str">
        <f t="shared" ca="1" si="1107"/>
        <v xml:space="preserve">Enter a value for 'Number of Floors in the Tallest Building' in cell B60.
</v>
      </c>
      <c r="H3088" s="52" t="str">
        <f t="shared" ref="H3088:H3102" ca="1" si="1127">OFFSET(INDIRECT($F$1565 &amp; D3088), -B3088 + 3, 0)</f>
        <v>Building Street Address Only 
(DO NOT ENTER CITY, STATE, OR ZIP)</v>
      </c>
      <c r="I3088" s="52">
        <v>3</v>
      </c>
    </row>
    <row r="3089" spans="1:10" ht="15" customHeight="1">
      <c r="A3089" t="str">
        <f t="shared" ca="1" si="1122"/>
        <v/>
      </c>
      <c r="B3089">
        <f t="shared" si="1123"/>
        <v>98</v>
      </c>
      <c r="C3089">
        <f t="shared" ca="1" si="1109"/>
        <v>95</v>
      </c>
      <c r="D3089" t="str">
        <f t="shared" si="1124"/>
        <v>D98</v>
      </c>
      <c r="E3089" t="str">
        <f t="shared" ca="1" si="1125"/>
        <v/>
      </c>
      <c r="F3089" t="str">
        <f t="shared" ca="1" si="1126"/>
        <v xml:space="preserve">Enter a 'Total Units in Building*' for  building 95 in cell D98.
</v>
      </c>
      <c r="G3089" s="9" t="str">
        <f t="shared" ca="1" si="1107"/>
        <v xml:space="preserve">Enter a value for 'Number of Floors in the Tallest Building' in cell B60.
</v>
      </c>
      <c r="H3089" s="52" t="str">
        <f t="shared" ca="1" si="1127"/>
        <v>Total Units in Building*</v>
      </c>
      <c r="I3089" s="52">
        <v>4</v>
      </c>
    </row>
    <row r="3090" spans="1:10" ht="15" customHeight="1">
      <c r="A3090" t="str">
        <f t="shared" ca="1" si="1122"/>
        <v/>
      </c>
      <c r="B3090">
        <f t="shared" si="1123"/>
        <v>98</v>
      </c>
      <c r="C3090">
        <f t="shared" ca="1" si="1109"/>
        <v>95</v>
      </c>
      <c r="D3090" t="str">
        <f t="shared" si="1124"/>
        <v>E98</v>
      </c>
      <c r="E3090" t="str">
        <f t="shared" ca="1" si="1125"/>
        <v/>
      </c>
      <c r="F3090" t="str">
        <f t="shared" ca="1" si="1126"/>
        <v xml:space="preserve">Enter a 'Employee Units' for  building 95 in cell E98.
</v>
      </c>
      <c r="G3090" s="9" t="str">
        <f t="shared" ca="1" si="1107"/>
        <v xml:space="preserve">Enter a value for 'Number of Floors in the Tallest Building' in cell B60.
</v>
      </c>
      <c r="H3090" s="52" t="str">
        <f t="shared" ca="1" si="1127"/>
        <v>Employee Units</v>
      </c>
      <c r="I3090" s="52">
        <v>5</v>
      </c>
    </row>
    <row r="3091" spans="1:10" ht="15" customHeight="1">
      <c r="A3091" t="str">
        <f t="shared" ca="1" si="1122"/>
        <v/>
      </c>
      <c r="B3091">
        <f t="shared" si="1123"/>
        <v>98</v>
      </c>
      <c r="C3091">
        <f t="shared" ca="1" si="1109"/>
        <v>95</v>
      </c>
      <c r="D3091" t="str">
        <f t="shared" si="1124"/>
        <v>F98</v>
      </c>
      <c r="E3091" t="str">
        <f t="shared" ca="1" si="1125"/>
        <v/>
      </c>
      <c r="F3091" t="str">
        <f t="shared" ca="1" si="1126"/>
        <v xml:space="preserve">Enter a 'Low-Income Units' for  building 95 in cell F98.
</v>
      </c>
      <c r="G3091" s="9" t="str">
        <f t="shared" ca="1" si="1107"/>
        <v xml:space="preserve">Enter a value for 'Number of Floors in the Tallest Building' in cell B60.
</v>
      </c>
      <c r="H3091" s="52" t="str">
        <f t="shared" ca="1" si="1127"/>
        <v>Low-Income Units</v>
      </c>
      <c r="I3091" s="52">
        <v>6</v>
      </c>
    </row>
    <row r="3092" spans="1:10" ht="15" customHeight="1">
      <c r="A3092" t="str">
        <f t="shared" ca="1" si="1122"/>
        <v/>
      </c>
      <c r="B3092">
        <f t="shared" si="1123"/>
        <v>98</v>
      </c>
      <c r="C3092">
        <f t="shared" ca="1" si="1109"/>
        <v>95</v>
      </c>
      <c r="D3092" t="str">
        <f t="shared" si="1124"/>
        <v>G98</v>
      </c>
      <c r="E3092" t="str">
        <f t="shared" ca="1" si="1125"/>
        <v/>
      </c>
      <c r="F3092" t="str">
        <f t="shared" ca="1" si="1126"/>
        <v xml:space="preserve">Enter a 'Residential Square Footage**' for  building 95 in cell G98.
</v>
      </c>
      <c r="G3092" s="9" t="str">
        <f t="shared" ca="1" si="1107"/>
        <v xml:space="preserve">Enter a value for 'Number of Floors in the Tallest Building' in cell B60.
</v>
      </c>
      <c r="H3092" s="52" t="str">
        <f t="shared" ca="1" si="1127"/>
        <v>Residential Square Footage**</v>
      </c>
      <c r="I3092" s="52">
        <v>7</v>
      </c>
    </row>
    <row r="3093" spans="1:10" ht="15" customHeight="1">
      <c r="A3093" t="str">
        <f t="shared" ca="1" si="1122"/>
        <v/>
      </c>
      <c r="B3093">
        <f t="shared" si="1123"/>
        <v>98</v>
      </c>
      <c r="C3093">
        <f t="shared" ca="1" si="1109"/>
        <v>95</v>
      </c>
      <c r="D3093" t="str">
        <f t="shared" si="1124"/>
        <v>H98</v>
      </c>
      <c r="E3093" t="str">
        <f t="shared" ca="1" si="1125"/>
        <v/>
      </c>
      <c r="F3093" t="str">
        <f t="shared" ca="1" si="1126"/>
        <v xml:space="preserve">Enter a 'Square Footage of Employee Units' for  building 95 in cell H98.
</v>
      </c>
      <c r="G3093" s="9" t="str">
        <f t="shared" ca="1" si="1107"/>
        <v xml:space="preserve">Enter a value for 'Number of Floors in the Tallest Building' in cell B60.
</v>
      </c>
      <c r="H3093" s="52" t="str">
        <f t="shared" ca="1" si="1127"/>
        <v>Square Footage of Employee Units</v>
      </c>
      <c r="I3093" s="52">
        <v>8</v>
      </c>
    </row>
    <row r="3094" spans="1:10" ht="15" customHeight="1">
      <c r="A3094" t="str">
        <f t="shared" ca="1" si="1122"/>
        <v/>
      </c>
      <c r="B3094">
        <f t="shared" si="1123"/>
        <v>98</v>
      </c>
      <c r="C3094">
        <f t="shared" ca="1" si="1109"/>
        <v>95</v>
      </c>
      <c r="D3094" t="str">
        <f t="shared" si="1124"/>
        <v>I98</v>
      </c>
      <c r="E3094" t="str">
        <f t="shared" ca="1" si="1125"/>
        <v/>
      </c>
      <c r="F3094" t="str">
        <f t="shared" ca="1" si="1126"/>
        <v xml:space="preserve">Enter a 'Square Footage of Low-Income Units' for  building 95 in cell I98.
</v>
      </c>
      <c r="G3094" s="9" t="str">
        <f t="shared" ca="1" si="1107"/>
        <v xml:space="preserve">Enter a value for 'Number of Floors in the Tallest Building' in cell B60.
</v>
      </c>
      <c r="H3094" s="52" t="str">
        <f t="shared" ca="1" si="1127"/>
        <v>Square Footage of Low-Income Units</v>
      </c>
      <c r="I3094" s="52">
        <v>9</v>
      </c>
    </row>
    <row r="3095" spans="1:10" ht="15" customHeight="1">
      <c r="A3095" t="str">
        <f t="shared" ca="1" si="1122"/>
        <v/>
      </c>
      <c r="B3095">
        <f t="shared" si="1123"/>
        <v>98</v>
      </c>
      <c r="C3095">
        <f t="shared" ca="1" si="1109"/>
        <v>95</v>
      </c>
      <c r="D3095" t="str">
        <f t="shared" si="1124"/>
        <v>J98</v>
      </c>
      <c r="E3095" t="str">
        <f t="shared" ca="1" si="1125"/>
        <v/>
      </c>
      <c r="F3095" t="str">
        <f t="shared" ca="1" si="1126"/>
        <v xml:space="preserve">Enter a 'Placed-In-Service Date' for  building 95 in cell J98.
</v>
      </c>
      <c r="G3095" s="9" t="str">
        <f t="shared" ca="1" si="1107"/>
        <v xml:space="preserve">Enter a value for 'Number of Floors in the Tallest Building' in cell B60.
</v>
      </c>
      <c r="H3095" s="52" t="str">
        <f t="shared" ca="1" si="1127"/>
        <v>Placed-In-Service Date</v>
      </c>
      <c r="I3095" s="52">
        <v>10</v>
      </c>
    </row>
    <row r="3096" spans="1:10" ht="15" customHeight="1">
      <c r="A3096" t="str">
        <f t="shared" ca="1" si="1122"/>
        <v/>
      </c>
      <c r="B3096">
        <f t="shared" si="1123"/>
        <v>98</v>
      </c>
      <c r="C3096">
        <f t="shared" ca="1" si="1109"/>
        <v>95</v>
      </c>
      <c r="D3096" t="str">
        <f t="shared" si="1124"/>
        <v>K98</v>
      </c>
      <c r="E3096" t="str">
        <f t="shared" ca="1" si="1125"/>
        <v/>
      </c>
      <c r="F3096" t="str">
        <f t="shared" ca="1" si="1126"/>
        <v xml:space="preserve">Enter a 'New Construction/ Rehab APR' for  building 95 in cell K98.
</v>
      </c>
      <c r="G3096" s="9" t="str">
        <f t="shared" ca="1" si="1107"/>
        <v xml:space="preserve">Enter a value for 'Number of Floors in the Tallest Building' in cell B60.
</v>
      </c>
      <c r="H3096" s="52" t="str">
        <f t="shared" ca="1" si="1127"/>
        <v>New Construction/ Rehab APR</v>
      </c>
      <c r="I3096" s="52">
        <v>11</v>
      </c>
    </row>
    <row r="3097" spans="1:10" ht="15" customHeight="1">
      <c r="A3097" t="str">
        <f t="shared" ca="1" si="1122"/>
        <v/>
      </c>
      <c r="B3097">
        <f t="shared" si="1123"/>
        <v>98</v>
      </c>
      <c r="C3097">
        <f t="shared" ca="1" si="1109"/>
        <v>95</v>
      </c>
      <c r="D3097" t="str">
        <f t="shared" si="1124"/>
        <v>L98</v>
      </c>
      <c r="E3097" t="str">
        <f t="shared" ca="1" si="1125"/>
        <v/>
      </c>
      <c r="F3097" t="str">
        <f t="shared" ca="1" si="1126"/>
        <v xml:space="preserve">Enter a 'New Construction Eligible Basis' for  building 95 in cell L98.
</v>
      </c>
      <c r="G3097" s="9" t="str">
        <f t="shared" ca="1" si="1107"/>
        <v xml:space="preserve">Enter a value for 'Number of Floors in the Tallest Building' in cell B60.
</v>
      </c>
      <c r="H3097" s="52" t="str">
        <f t="shared" ca="1" si="1127"/>
        <v>New Construction Eligible Basis</v>
      </c>
      <c r="I3097" s="52">
        <v>12</v>
      </c>
    </row>
    <row r="3098" spans="1:10" ht="15" customHeight="1">
      <c r="A3098" t="str">
        <f ca="1">IF(AND(OFFSET(A3098, -I3098 + 2, 4) &gt;  0, E3098="", Calculations!$B$7), F3098, "")</f>
        <v/>
      </c>
      <c r="B3098">
        <f t="shared" si="1123"/>
        <v>98</v>
      </c>
      <c r="C3098">
        <f t="shared" ca="1" si="1109"/>
        <v>95</v>
      </c>
      <c r="D3098" t="str">
        <f t="shared" si="1124"/>
        <v>M98</v>
      </c>
      <c r="E3098" t="str">
        <f t="shared" ca="1" si="1125"/>
        <v/>
      </c>
      <c r="F3098" t="str">
        <f t="shared" ca="1" si="1126"/>
        <v xml:space="preserve">Enter a 'Eligible Basis for Rehab' for  building 95 in cell M98.
</v>
      </c>
      <c r="G3098" s="9" t="str">
        <f t="shared" ca="1" si="1107"/>
        <v xml:space="preserve">Enter a value for 'Number of Floors in the Tallest Building' in cell B60.
</v>
      </c>
      <c r="H3098" s="52" t="str">
        <f t="shared" ca="1" si="1127"/>
        <v>Eligible Basis for Rehab</v>
      </c>
      <c r="I3098" s="52">
        <v>13</v>
      </c>
    </row>
    <row r="3099" spans="1:10" ht="15" customHeight="1">
      <c r="A3099" t="str">
        <f ca="1">IF(AND(OFFSET(A3099, -I3099 + 2, 4) &gt;  0, E3099="", Calculations!$B$7), F3099, "")</f>
        <v/>
      </c>
      <c r="B3099">
        <f t="shared" si="1123"/>
        <v>98</v>
      </c>
      <c r="C3099">
        <f t="shared" ca="1" si="1109"/>
        <v>95</v>
      </c>
      <c r="D3099" t="str">
        <f t="shared" si="1124"/>
        <v>N98</v>
      </c>
      <c r="E3099" t="str">
        <f t="shared" ca="1" si="1125"/>
        <v/>
      </c>
      <c r="F3099" t="str">
        <f t="shared" ca="1" si="1126"/>
        <v xml:space="preserve">Enter a 'Cost of Acquiring the Building***' for  building 95 in cell N98.
</v>
      </c>
      <c r="G3099" s="9" t="str">
        <f t="shared" ca="1" si="1107"/>
        <v xml:space="preserve">Enter a value for 'Number of Floors in the Tallest Building' in cell B60.
</v>
      </c>
      <c r="H3099" s="52" t="str">
        <f t="shared" ca="1" si="1127"/>
        <v>Cost of Acquiring the Building***</v>
      </c>
      <c r="I3099" s="52">
        <v>14</v>
      </c>
    </row>
    <row r="3100" spans="1:10" ht="15" customHeight="1">
      <c r="A3100" t="str">
        <f ca="1">IF(AND(OFFSET(A3100, -I3100 + 2, 4) &gt;  0, E3100="", Calculations!$B$7), F3100, "")</f>
        <v/>
      </c>
      <c r="B3100">
        <f t="shared" si="1123"/>
        <v>98</v>
      </c>
      <c r="C3100">
        <f t="shared" ca="1" si="1109"/>
        <v>95</v>
      </c>
      <c r="D3100" t="str">
        <f t="shared" si="1124"/>
        <v>O98</v>
      </c>
      <c r="E3100" t="str">
        <f t="shared" ca="1" si="1125"/>
        <v/>
      </c>
      <c r="F3100" t="str">
        <f t="shared" ca="1" si="1126"/>
        <v xml:space="preserve">Enter a 'Higher of Land Purchase Price or Land Appraised Value****' for  building 95 in cell O98.
</v>
      </c>
      <c r="G3100" s="9" t="str">
        <f t="shared" ca="1" si="1107"/>
        <v xml:space="preserve">Enter a value for 'Number of Floors in the Tallest Building' in cell B60.
</v>
      </c>
      <c r="H3100" s="52" t="str">
        <f t="shared" ca="1" si="1127"/>
        <v>Higher of Land Purchase Price or Land Appraised Value****</v>
      </c>
      <c r="I3100" s="52">
        <v>15</v>
      </c>
    </row>
    <row r="3101" spans="1:10" ht="15" customHeight="1">
      <c r="A3101" t="str">
        <f ca="1">IF(AND(OFFSET(A3101, -I3101 + 2, 4) &gt;  0, E3101="", Calculations!$B$7), F3101, "")</f>
        <v/>
      </c>
      <c r="B3101">
        <f t="shared" si="1123"/>
        <v>98</v>
      </c>
      <c r="C3101">
        <f t="shared" ca="1" si="1109"/>
        <v>95</v>
      </c>
      <c r="D3101" t="str">
        <f t="shared" si="1124"/>
        <v>P98</v>
      </c>
      <c r="E3101" t="str">
        <f t="shared" ca="1" si="1125"/>
        <v/>
      </c>
      <c r="F3101" t="str">
        <f t="shared" ca="1" si="1126"/>
        <v xml:space="preserve">Enter a 'Acquisition Placed-in-Service Date' for  building 95 in cell P98.
</v>
      </c>
      <c r="G3101" s="9" t="str">
        <f t="shared" ca="1" si="1107"/>
        <v xml:space="preserve">Enter a value for 'Number of Floors in the Tallest Building' in cell B60.
</v>
      </c>
      <c r="H3101" s="52" t="str">
        <f t="shared" ca="1" si="1127"/>
        <v>Acquisition Placed-in-Service Date</v>
      </c>
      <c r="I3101" s="52">
        <v>16</v>
      </c>
    </row>
    <row r="3102" spans="1:10" ht="15" customHeight="1">
      <c r="A3102" t="str">
        <f ca="1">IF(AND(OFFSET(A3102, -I3102 + 2, 4) &gt;  0, E3102="", Calculations!$B$7), F3102, "")</f>
        <v/>
      </c>
      <c r="B3102">
        <f t="shared" si="1123"/>
        <v>98</v>
      </c>
      <c r="C3102">
        <f t="shared" ca="1" si="1109"/>
        <v>95</v>
      </c>
      <c r="D3102" t="str">
        <f t="shared" si="1124"/>
        <v>Q98</v>
      </c>
      <c r="E3102" t="str">
        <f t="shared" ca="1" si="1125"/>
        <v/>
      </c>
      <c r="F3102" t="str">
        <f t="shared" ca="1" si="1126"/>
        <v xml:space="preserve">Enter a 'Acquisition APR' for  building 95 in cell Q98.
</v>
      </c>
      <c r="G3102" s="9" t="str">
        <f t="shared" ca="1" si="1107"/>
        <v xml:space="preserve">Enter a value for 'Number of Floors in the Tallest Building' in cell B60.
</v>
      </c>
      <c r="H3102" s="52" t="str">
        <f t="shared" ca="1" si="1127"/>
        <v>Acquisition APR</v>
      </c>
      <c r="I3102" s="52">
        <v>17</v>
      </c>
    </row>
    <row r="3103" spans="1:10" ht="15" customHeight="1">
      <c r="A3103" t="str">
        <f ca="1">IF(AND(Calculations!$B$4,Calculations!$B$29&gt;=C3103, E3103 &lt;&gt; 13),F3103,"")</f>
        <v/>
      </c>
      <c r="B3103">
        <f>ROW('Final Building Profile'!C99)</f>
        <v>99</v>
      </c>
      <c r="C3103">
        <f t="shared" ca="1" si="1109"/>
        <v>96</v>
      </c>
      <c r="D3103" t="str">
        <f>ADDRESS(B3103, 3,4  )</f>
        <v>C99</v>
      </c>
      <c r="E3103" s="52">
        <f ca="1">H3103+I3103</f>
        <v>0</v>
      </c>
      <c r="F3103" t="str">
        <f ca="1">CONCATENATE("Based upon the number of buildings specified, information for  building ", C3103, " required for a final application in row ", B3103, ".", CHAR(10))</f>
        <v xml:space="preserve">Based upon the number of buildings specified, information for  building 96 required for a final application in row 99.
</v>
      </c>
      <c r="G3103" s="9" t="str">
        <f t="shared" ca="1" si="1107"/>
        <v xml:space="preserve">Enter a value for 'Number of Floors in the Tallest Building' in cell B60.
</v>
      </c>
      <c r="H3103" s="52">
        <f ca="1">SUMPRODUCT(--ISTEXT(INDIRECT(J3103)))</f>
        <v>0</v>
      </c>
      <c r="I3103" s="52">
        <f ca="1">SUMPRODUCT(--ISNUMBER(INDIRECT(J3103)))</f>
        <v>0</v>
      </c>
      <c r="J3103" s="52" t="str">
        <f>$F$1565&amp; ADDRESS(B3103,3,4) &amp; ":" &amp; ADDRESS(B3103,15,4)</f>
        <v>'Final Building Profile'!C99:O99</v>
      </c>
    </row>
    <row r="3104" spans="1:10" ht="15" customHeight="1">
      <c r="A3104" t="str">
        <f t="shared" ref="A3104:A3113" ca="1" si="1128">IF(AND(OFFSET(A3104, -I3104 + 2, 4) &gt;  0, E3104=""), F3104, "")</f>
        <v/>
      </c>
      <c r="B3104">
        <f t="shared" ref="B3104:B3118" si="1129">B3103</f>
        <v>99</v>
      </c>
      <c r="C3104">
        <f t="shared" ca="1" si="1109"/>
        <v>96</v>
      </c>
      <c r="D3104" t="str">
        <f t="shared" ref="D3104:D3118" si="1130">ADDRESS(B3104, I3104,4  )</f>
        <v>C99</v>
      </c>
      <c r="E3104" t="str">
        <f t="shared" ref="E3104:E3118" ca="1" si="1131">IF(ISBLANK( INDIRECT($F$1565 &amp; D3104)),"", INDIRECT($F$1565 &amp; D3104))</f>
        <v/>
      </c>
      <c r="F3104" t="str">
        <f t="shared" ref="F3104:F3118" ca="1" si="1132">CONCATENATE("Enter a '"&amp; H3104 &amp;"' for  building ", C3104, " in cell ", D3104, ".", CHAR(10))</f>
        <v xml:space="preserve">Enter a 'Building Street Address Only 
(DO NOT ENTER CITY, STATE, OR ZIP)' for  building 96 in cell C99.
</v>
      </c>
      <c r="G3104" s="9" t="str">
        <f t="shared" ref="G3104:G3167" ca="1" si="1133">OFFSET(G3104, -1, 0) &amp; A3104</f>
        <v xml:space="preserve">Enter a value for 'Number of Floors in the Tallest Building' in cell B60.
</v>
      </c>
      <c r="H3104" s="52" t="str">
        <f t="shared" ref="H3104:H3118" ca="1" si="1134">OFFSET(INDIRECT($F$1565 &amp; D3104), -B3104 + 3, 0)</f>
        <v>Building Street Address Only 
(DO NOT ENTER CITY, STATE, OR ZIP)</v>
      </c>
      <c r="I3104" s="52">
        <v>3</v>
      </c>
    </row>
    <row r="3105" spans="1:10" ht="15" customHeight="1">
      <c r="A3105" t="str">
        <f t="shared" ca="1" si="1128"/>
        <v/>
      </c>
      <c r="B3105">
        <f t="shared" si="1129"/>
        <v>99</v>
      </c>
      <c r="C3105">
        <f t="shared" ca="1" si="1109"/>
        <v>96</v>
      </c>
      <c r="D3105" t="str">
        <f t="shared" si="1130"/>
        <v>D99</v>
      </c>
      <c r="E3105" t="str">
        <f t="shared" ca="1" si="1131"/>
        <v/>
      </c>
      <c r="F3105" t="str">
        <f t="shared" ca="1" si="1132"/>
        <v xml:space="preserve">Enter a 'Total Units in Building*' for  building 96 in cell D99.
</v>
      </c>
      <c r="G3105" s="9" t="str">
        <f t="shared" ca="1" si="1133"/>
        <v xml:space="preserve">Enter a value for 'Number of Floors in the Tallest Building' in cell B60.
</v>
      </c>
      <c r="H3105" s="52" t="str">
        <f t="shared" ca="1" si="1134"/>
        <v>Total Units in Building*</v>
      </c>
      <c r="I3105" s="52">
        <v>4</v>
      </c>
    </row>
    <row r="3106" spans="1:10" ht="15" customHeight="1">
      <c r="A3106" t="str">
        <f t="shared" ca="1" si="1128"/>
        <v/>
      </c>
      <c r="B3106">
        <f t="shared" si="1129"/>
        <v>99</v>
      </c>
      <c r="C3106">
        <f t="shared" ca="1" si="1109"/>
        <v>96</v>
      </c>
      <c r="D3106" t="str">
        <f t="shared" si="1130"/>
        <v>E99</v>
      </c>
      <c r="E3106" t="str">
        <f t="shared" ca="1" si="1131"/>
        <v/>
      </c>
      <c r="F3106" t="str">
        <f t="shared" ca="1" si="1132"/>
        <v xml:space="preserve">Enter a 'Employee Units' for  building 96 in cell E99.
</v>
      </c>
      <c r="G3106" s="9" t="str">
        <f t="shared" ca="1" si="1133"/>
        <v xml:space="preserve">Enter a value for 'Number of Floors in the Tallest Building' in cell B60.
</v>
      </c>
      <c r="H3106" s="52" t="str">
        <f t="shared" ca="1" si="1134"/>
        <v>Employee Units</v>
      </c>
      <c r="I3106" s="52">
        <v>5</v>
      </c>
    </row>
    <row r="3107" spans="1:10" ht="15" customHeight="1">
      <c r="A3107" t="str">
        <f t="shared" ca="1" si="1128"/>
        <v/>
      </c>
      <c r="B3107">
        <f t="shared" si="1129"/>
        <v>99</v>
      </c>
      <c r="C3107">
        <f t="shared" ca="1" si="1109"/>
        <v>96</v>
      </c>
      <c r="D3107" t="str">
        <f t="shared" si="1130"/>
        <v>F99</v>
      </c>
      <c r="E3107" t="str">
        <f t="shared" ca="1" si="1131"/>
        <v/>
      </c>
      <c r="F3107" t="str">
        <f t="shared" ca="1" si="1132"/>
        <v xml:space="preserve">Enter a 'Low-Income Units' for  building 96 in cell F99.
</v>
      </c>
      <c r="G3107" s="9" t="str">
        <f t="shared" ca="1" si="1133"/>
        <v xml:space="preserve">Enter a value for 'Number of Floors in the Tallest Building' in cell B60.
</v>
      </c>
      <c r="H3107" s="52" t="str">
        <f t="shared" ca="1" si="1134"/>
        <v>Low-Income Units</v>
      </c>
      <c r="I3107" s="52">
        <v>6</v>
      </c>
    </row>
    <row r="3108" spans="1:10" ht="15" customHeight="1">
      <c r="A3108" t="str">
        <f t="shared" ca="1" si="1128"/>
        <v/>
      </c>
      <c r="B3108">
        <f t="shared" si="1129"/>
        <v>99</v>
      </c>
      <c r="C3108">
        <f t="shared" ca="1" si="1109"/>
        <v>96</v>
      </c>
      <c r="D3108" t="str">
        <f t="shared" si="1130"/>
        <v>G99</v>
      </c>
      <c r="E3108" t="str">
        <f t="shared" ca="1" si="1131"/>
        <v/>
      </c>
      <c r="F3108" t="str">
        <f t="shared" ca="1" si="1132"/>
        <v xml:space="preserve">Enter a 'Residential Square Footage**' for  building 96 in cell G99.
</v>
      </c>
      <c r="G3108" s="9" t="str">
        <f t="shared" ca="1" si="1133"/>
        <v xml:space="preserve">Enter a value for 'Number of Floors in the Tallest Building' in cell B60.
</v>
      </c>
      <c r="H3108" s="52" t="str">
        <f t="shared" ca="1" si="1134"/>
        <v>Residential Square Footage**</v>
      </c>
      <c r="I3108" s="52">
        <v>7</v>
      </c>
    </row>
    <row r="3109" spans="1:10" ht="15" customHeight="1">
      <c r="A3109" t="str">
        <f t="shared" ca="1" si="1128"/>
        <v/>
      </c>
      <c r="B3109">
        <f t="shared" si="1129"/>
        <v>99</v>
      </c>
      <c r="C3109">
        <f t="shared" ca="1" si="1109"/>
        <v>96</v>
      </c>
      <c r="D3109" t="str">
        <f t="shared" si="1130"/>
        <v>H99</v>
      </c>
      <c r="E3109" t="str">
        <f t="shared" ca="1" si="1131"/>
        <v/>
      </c>
      <c r="F3109" t="str">
        <f t="shared" ca="1" si="1132"/>
        <v xml:space="preserve">Enter a 'Square Footage of Employee Units' for  building 96 in cell H99.
</v>
      </c>
      <c r="G3109" s="9" t="str">
        <f t="shared" ca="1" si="1133"/>
        <v xml:space="preserve">Enter a value for 'Number of Floors in the Tallest Building' in cell B60.
</v>
      </c>
      <c r="H3109" s="52" t="str">
        <f t="shared" ca="1" si="1134"/>
        <v>Square Footage of Employee Units</v>
      </c>
      <c r="I3109" s="52">
        <v>8</v>
      </c>
    </row>
    <row r="3110" spans="1:10" ht="15" customHeight="1">
      <c r="A3110" t="str">
        <f t="shared" ca="1" si="1128"/>
        <v/>
      </c>
      <c r="B3110">
        <f t="shared" si="1129"/>
        <v>99</v>
      </c>
      <c r="C3110">
        <f t="shared" ca="1" si="1109"/>
        <v>96</v>
      </c>
      <c r="D3110" t="str">
        <f t="shared" si="1130"/>
        <v>I99</v>
      </c>
      <c r="E3110" t="str">
        <f t="shared" ca="1" si="1131"/>
        <v/>
      </c>
      <c r="F3110" t="str">
        <f t="shared" ca="1" si="1132"/>
        <v xml:space="preserve">Enter a 'Square Footage of Low-Income Units' for  building 96 in cell I99.
</v>
      </c>
      <c r="G3110" s="9" t="str">
        <f t="shared" ca="1" si="1133"/>
        <v xml:space="preserve">Enter a value for 'Number of Floors in the Tallest Building' in cell B60.
</v>
      </c>
      <c r="H3110" s="52" t="str">
        <f t="shared" ca="1" si="1134"/>
        <v>Square Footage of Low-Income Units</v>
      </c>
      <c r="I3110" s="52">
        <v>9</v>
      </c>
    </row>
    <row r="3111" spans="1:10" ht="15" customHeight="1">
      <c r="A3111" t="str">
        <f t="shared" ca="1" si="1128"/>
        <v/>
      </c>
      <c r="B3111">
        <f t="shared" si="1129"/>
        <v>99</v>
      </c>
      <c r="C3111">
        <f t="shared" ca="1" si="1109"/>
        <v>96</v>
      </c>
      <c r="D3111" t="str">
        <f t="shared" si="1130"/>
        <v>J99</v>
      </c>
      <c r="E3111" t="str">
        <f t="shared" ca="1" si="1131"/>
        <v/>
      </c>
      <c r="F3111" t="str">
        <f t="shared" ca="1" si="1132"/>
        <v xml:space="preserve">Enter a 'Placed-In-Service Date' for  building 96 in cell J99.
</v>
      </c>
      <c r="G3111" s="9" t="str">
        <f t="shared" ca="1" si="1133"/>
        <v xml:space="preserve">Enter a value for 'Number of Floors in the Tallest Building' in cell B60.
</v>
      </c>
      <c r="H3111" s="52" t="str">
        <f t="shared" ca="1" si="1134"/>
        <v>Placed-In-Service Date</v>
      </c>
      <c r="I3111" s="52">
        <v>10</v>
      </c>
    </row>
    <row r="3112" spans="1:10" ht="15" customHeight="1">
      <c r="A3112" t="str">
        <f t="shared" ca="1" si="1128"/>
        <v/>
      </c>
      <c r="B3112">
        <f t="shared" si="1129"/>
        <v>99</v>
      </c>
      <c r="C3112">
        <f t="shared" ca="1" si="1109"/>
        <v>96</v>
      </c>
      <c r="D3112" t="str">
        <f t="shared" si="1130"/>
        <v>K99</v>
      </c>
      <c r="E3112" t="str">
        <f t="shared" ca="1" si="1131"/>
        <v/>
      </c>
      <c r="F3112" t="str">
        <f t="shared" ca="1" si="1132"/>
        <v xml:space="preserve">Enter a 'New Construction/ Rehab APR' for  building 96 in cell K99.
</v>
      </c>
      <c r="G3112" s="9" t="str">
        <f t="shared" ca="1" si="1133"/>
        <v xml:space="preserve">Enter a value for 'Number of Floors in the Tallest Building' in cell B60.
</v>
      </c>
      <c r="H3112" s="52" t="str">
        <f t="shared" ca="1" si="1134"/>
        <v>New Construction/ Rehab APR</v>
      </c>
      <c r="I3112" s="52">
        <v>11</v>
      </c>
    </row>
    <row r="3113" spans="1:10" ht="15" customHeight="1">
      <c r="A3113" t="str">
        <f t="shared" ca="1" si="1128"/>
        <v/>
      </c>
      <c r="B3113">
        <f t="shared" si="1129"/>
        <v>99</v>
      </c>
      <c r="C3113">
        <f t="shared" ca="1" si="1109"/>
        <v>96</v>
      </c>
      <c r="D3113" t="str">
        <f t="shared" si="1130"/>
        <v>L99</v>
      </c>
      <c r="E3113" t="str">
        <f t="shared" ca="1" si="1131"/>
        <v/>
      </c>
      <c r="F3113" t="str">
        <f t="shared" ca="1" si="1132"/>
        <v xml:space="preserve">Enter a 'New Construction Eligible Basis' for  building 96 in cell L99.
</v>
      </c>
      <c r="G3113" s="9" t="str">
        <f t="shared" ca="1" si="1133"/>
        <v xml:space="preserve">Enter a value for 'Number of Floors in the Tallest Building' in cell B60.
</v>
      </c>
      <c r="H3113" s="52" t="str">
        <f t="shared" ca="1" si="1134"/>
        <v>New Construction Eligible Basis</v>
      </c>
      <c r="I3113" s="52">
        <v>12</v>
      </c>
    </row>
    <row r="3114" spans="1:10" ht="15" customHeight="1">
      <c r="A3114" t="str">
        <f ca="1">IF(AND(OFFSET(A3114, -I3114 + 2, 4) &gt;  0, E3114="", Calculations!$B$7), F3114, "")</f>
        <v/>
      </c>
      <c r="B3114">
        <f t="shared" si="1129"/>
        <v>99</v>
      </c>
      <c r="C3114">
        <f t="shared" ca="1" si="1109"/>
        <v>96</v>
      </c>
      <c r="D3114" t="str">
        <f t="shared" si="1130"/>
        <v>M99</v>
      </c>
      <c r="E3114" t="str">
        <f t="shared" ca="1" si="1131"/>
        <v/>
      </c>
      <c r="F3114" t="str">
        <f t="shared" ca="1" si="1132"/>
        <v xml:space="preserve">Enter a 'Eligible Basis for Rehab' for  building 96 in cell M99.
</v>
      </c>
      <c r="G3114" s="9" t="str">
        <f t="shared" ca="1" si="1133"/>
        <v xml:space="preserve">Enter a value for 'Number of Floors in the Tallest Building' in cell B60.
</v>
      </c>
      <c r="H3114" s="52" t="str">
        <f t="shared" ca="1" si="1134"/>
        <v>Eligible Basis for Rehab</v>
      </c>
      <c r="I3114" s="52">
        <v>13</v>
      </c>
    </row>
    <row r="3115" spans="1:10" ht="15" customHeight="1">
      <c r="A3115" t="str">
        <f ca="1">IF(AND(OFFSET(A3115, -I3115 + 2, 4) &gt;  0, E3115="", Calculations!$B$7), F3115, "")</f>
        <v/>
      </c>
      <c r="B3115">
        <f t="shared" si="1129"/>
        <v>99</v>
      </c>
      <c r="C3115">
        <f t="shared" ca="1" si="1109"/>
        <v>96</v>
      </c>
      <c r="D3115" t="str">
        <f t="shared" si="1130"/>
        <v>N99</v>
      </c>
      <c r="E3115" t="str">
        <f t="shared" ca="1" si="1131"/>
        <v/>
      </c>
      <c r="F3115" t="str">
        <f t="shared" ca="1" si="1132"/>
        <v xml:space="preserve">Enter a 'Cost of Acquiring the Building***' for  building 96 in cell N99.
</v>
      </c>
      <c r="G3115" s="9" t="str">
        <f t="shared" ca="1" si="1133"/>
        <v xml:space="preserve">Enter a value for 'Number of Floors in the Tallest Building' in cell B60.
</v>
      </c>
      <c r="H3115" s="52" t="str">
        <f t="shared" ca="1" si="1134"/>
        <v>Cost of Acquiring the Building***</v>
      </c>
      <c r="I3115" s="52">
        <v>14</v>
      </c>
    </row>
    <row r="3116" spans="1:10" ht="15" customHeight="1">
      <c r="A3116" t="str">
        <f ca="1">IF(AND(OFFSET(A3116, -I3116 + 2, 4) &gt;  0, E3116="", Calculations!$B$7), F3116, "")</f>
        <v/>
      </c>
      <c r="B3116">
        <f t="shared" si="1129"/>
        <v>99</v>
      </c>
      <c r="C3116">
        <f t="shared" ca="1" si="1109"/>
        <v>96</v>
      </c>
      <c r="D3116" t="str">
        <f t="shared" si="1130"/>
        <v>O99</v>
      </c>
      <c r="E3116" t="str">
        <f t="shared" ca="1" si="1131"/>
        <v/>
      </c>
      <c r="F3116" t="str">
        <f t="shared" ca="1" si="1132"/>
        <v xml:space="preserve">Enter a 'Higher of Land Purchase Price or Land Appraised Value****' for  building 96 in cell O99.
</v>
      </c>
      <c r="G3116" s="9" t="str">
        <f t="shared" ca="1" si="1133"/>
        <v xml:space="preserve">Enter a value for 'Number of Floors in the Tallest Building' in cell B60.
</v>
      </c>
      <c r="H3116" s="52" t="str">
        <f t="shared" ca="1" si="1134"/>
        <v>Higher of Land Purchase Price or Land Appraised Value****</v>
      </c>
      <c r="I3116" s="52">
        <v>15</v>
      </c>
    </row>
    <row r="3117" spans="1:10" ht="15" customHeight="1">
      <c r="A3117" t="str">
        <f ca="1">IF(AND(OFFSET(A3117, -I3117 + 2, 4) &gt;  0, E3117="", Calculations!$B$7), F3117, "")</f>
        <v/>
      </c>
      <c r="B3117">
        <f t="shared" si="1129"/>
        <v>99</v>
      </c>
      <c r="C3117">
        <f t="shared" ca="1" si="1109"/>
        <v>96</v>
      </c>
      <c r="D3117" t="str">
        <f t="shared" si="1130"/>
        <v>P99</v>
      </c>
      <c r="E3117" t="str">
        <f t="shared" ca="1" si="1131"/>
        <v/>
      </c>
      <c r="F3117" t="str">
        <f t="shared" ca="1" si="1132"/>
        <v xml:space="preserve">Enter a 'Acquisition Placed-in-Service Date' for  building 96 in cell P99.
</v>
      </c>
      <c r="G3117" s="9" t="str">
        <f t="shared" ca="1" si="1133"/>
        <v xml:space="preserve">Enter a value for 'Number of Floors in the Tallest Building' in cell B60.
</v>
      </c>
      <c r="H3117" s="52" t="str">
        <f t="shared" ca="1" si="1134"/>
        <v>Acquisition Placed-in-Service Date</v>
      </c>
      <c r="I3117" s="52">
        <v>16</v>
      </c>
    </row>
    <row r="3118" spans="1:10" ht="15" customHeight="1">
      <c r="A3118" t="str">
        <f ca="1">IF(AND(OFFSET(A3118, -I3118 + 2, 4) &gt;  0, E3118="", Calculations!$B$7), F3118, "")</f>
        <v/>
      </c>
      <c r="B3118">
        <f t="shared" si="1129"/>
        <v>99</v>
      </c>
      <c r="C3118">
        <f t="shared" ca="1" si="1109"/>
        <v>96</v>
      </c>
      <c r="D3118" t="str">
        <f t="shared" si="1130"/>
        <v>Q99</v>
      </c>
      <c r="E3118" t="str">
        <f t="shared" ca="1" si="1131"/>
        <v/>
      </c>
      <c r="F3118" t="str">
        <f t="shared" ca="1" si="1132"/>
        <v xml:space="preserve">Enter a 'Acquisition APR' for  building 96 in cell Q99.
</v>
      </c>
      <c r="G3118" s="9" t="str">
        <f t="shared" ca="1" si="1133"/>
        <v xml:space="preserve">Enter a value for 'Number of Floors in the Tallest Building' in cell B60.
</v>
      </c>
      <c r="H3118" s="52" t="str">
        <f t="shared" ca="1" si="1134"/>
        <v>Acquisition APR</v>
      </c>
      <c r="I3118" s="52">
        <v>17</v>
      </c>
    </row>
    <row r="3119" spans="1:10" ht="15" customHeight="1">
      <c r="A3119" t="str">
        <f ca="1">IF(AND(Calculations!$B$4,Calculations!$B$29&gt;=C3119, E3119 &lt;&gt; 13),F3119,"")</f>
        <v/>
      </c>
      <c r="B3119">
        <f>ROW('Final Building Profile'!C100)</f>
        <v>100</v>
      </c>
      <c r="C3119">
        <f t="shared" ref="C3119:C3166" ca="1" si="1135">INDIRECT($F$1565 &amp; ADDRESS(B3119, 1,4  ))</f>
        <v>97</v>
      </c>
      <c r="D3119" t="str">
        <f>ADDRESS(B3119, 3,4  )</f>
        <v>C100</v>
      </c>
      <c r="E3119" s="52">
        <f ca="1">H3119+I3119</f>
        <v>0</v>
      </c>
      <c r="F3119" t="str">
        <f ca="1">CONCATENATE("Based upon the number of buildings specified, information for  building ", C3119, " required for a final application in row ", B3119, ".", CHAR(10))</f>
        <v xml:space="preserve">Based upon the number of buildings specified, information for  building 97 required for a final application in row 100.
</v>
      </c>
      <c r="G3119" s="9" t="str">
        <f t="shared" ca="1" si="1133"/>
        <v xml:space="preserve">Enter a value for 'Number of Floors in the Tallest Building' in cell B60.
</v>
      </c>
      <c r="H3119" s="52">
        <f ca="1">SUMPRODUCT(--ISTEXT(INDIRECT(J3119)))</f>
        <v>0</v>
      </c>
      <c r="I3119" s="52">
        <f ca="1">SUMPRODUCT(--ISNUMBER(INDIRECT(J3119)))</f>
        <v>0</v>
      </c>
      <c r="J3119" s="52" t="str">
        <f>$F$1565&amp; ADDRESS(B3119,3,4) &amp; ":" &amp; ADDRESS(B3119,15,4)</f>
        <v>'Final Building Profile'!C100:O100</v>
      </c>
    </row>
    <row r="3120" spans="1:10" ht="15" customHeight="1">
      <c r="A3120" t="str">
        <f t="shared" ref="A3120:A3129" ca="1" si="1136">IF(AND(OFFSET(A3120, -I3120 + 2, 4) &gt;  0, E3120=""), F3120, "")</f>
        <v/>
      </c>
      <c r="B3120">
        <f t="shared" ref="B3120:B3134" si="1137">B3119</f>
        <v>100</v>
      </c>
      <c r="C3120">
        <f t="shared" ca="1" si="1135"/>
        <v>97</v>
      </c>
      <c r="D3120" t="str">
        <f t="shared" ref="D3120:D3134" si="1138">ADDRESS(B3120, I3120,4  )</f>
        <v>C100</v>
      </c>
      <c r="E3120" t="str">
        <f t="shared" ref="E3120:E3134" ca="1" si="1139">IF(ISBLANK( INDIRECT($F$1565 &amp; D3120)),"", INDIRECT($F$1565 &amp; D3120))</f>
        <v/>
      </c>
      <c r="F3120" t="str">
        <f t="shared" ref="F3120:F3134" ca="1" si="1140">CONCATENATE("Enter a '"&amp; H3120 &amp;"' for  building ", C3120, " in cell ", D3120, ".", CHAR(10))</f>
        <v xml:space="preserve">Enter a 'Building Street Address Only 
(DO NOT ENTER CITY, STATE, OR ZIP)' for  building 97 in cell C100.
</v>
      </c>
      <c r="G3120" s="9" t="str">
        <f t="shared" ca="1" si="1133"/>
        <v xml:space="preserve">Enter a value for 'Number of Floors in the Tallest Building' in cell B60.
</v>
      </c>
      <c r="H3120" s="52" t="str">
        <f t="shared" ref="H3120:H3134" ca="1" si="1141">OFFSET(INDIRECT($F$1565 &amp; D3120), -B3120 + 3, 0)</f>
        <v>Building Street Address Only 
(DO NOT ENTER CITY, STATE, OR ZIP)</v>
      </c>
      <c r="I3120" s="52">
        <v>3</v>
      </c>
    </row>
    <row r="3121" spans="1:10" ht="15" customHeight="1">
      <c r="A3121" t="str">
        <f t="shared" ca="1" si="1136"/>
        <v/>
      </c>
      <c r="B3121">
        <f t="shared" si="1137"/>
        <v>100</v>
      </c>
      <c r="C3121">
        <f t="shared" ca="1" si="1135"/>
        <v>97</v>
      </c>
      <c r="D3121" t="str">
        <f t="shared" si="1138"/>
        <v>D100</v>
      </c>
      <c r="E3121" t="str">
        <f t="shared" ca="1" si="1139"/>
        <v/>
      </c>
      <c r="F3121" t="str">
        <f t="shared" ca="1" si="1140"/>
        <v xml:space="preserve">Enter a 'Total Units in Building*' for  building 97 in cell D100.
</v>
      </c>
      <c r="G3121" s="9" t="str">
        <f t="shared" ca="1" si="1133"/>
        <v xml:space="preserve">Enter a value for 'Number of Floors in the Tallest Building' in cell B60.
</v>
      </c>
      <c r="H3121" s="52" t="str">
        <f t="shared" ca="1" si="1141"/>
        <v>Total Units in Building*</v>
      </c>
      <c r="I3121" s="52">
        <v>4</v>
      </c>
    </row>
    <row r="3122" spans="1:10" ht="15" customHeight="1">
      <c r="A3122" t="str">
        <f t="shared" ca="1" si="1136"/>
        <v/>
      </c>
      <c r="B3122">
        <f t="shared" si="1137"/>
        <v>100</v>
      </c>
      <c r="C3122">
        <f t="shared" ca="1" si="1135"/>
        <v>97</v>
      </c>
      <c r="D3122" t="str">
        <f t="shared" si="1138"/>
        <v>E100</v>
      </c>
      <c r="E3122" t="str">
        <f t="shared" ca="1" si="1139"/>
        <v/>
      </c>
      <c r="F3122" t="str">
        <f t="shared" ca="1" si="1140"/>
        <v xml:space="preserve">Enter a 'Employee Units' for  building 97 in cell E100.
</v>
      </c>
      <c r="G3122" s="9" t="str">
        <f t="shared" ca="1" si="1133"/>
        <v xml:space="preserve">Enter a value for 'Number of Floors in the Tallest Building' in cell B60.
</v>
      </c>
      <c r="H3122" s="52" t="str">
        <f t="shared" ca="1" si="1141"/>
        <v>Employee Units</v>
      </c>
      <c r="I3122" s="52">
        <v>5</v>
      </c>
    </row>
    <row r="3123" spans="1:10" ht="15" customHeight="1">
      <c r="A3123" t="str">
        <f t="shared" ca="1" si="1136"/>
        <v/>
      </c>
      <c r="B3123">
        <f t="shared" si="1137"/>
        <v>100</v>
      </c>
      <c r="C3123">
        <f t="shared" ca="1" si="1135"/>
        <v>97</v>
      </c>
      <c r="D3123" t="str">
        <f t="shared" si="1138"/>
        <v>F100</v>
      </c>
      <c r="E3123" t="str">
        <f t="shared" ca="1" si="1139"/>
        <v/>
      </c>
      <c r="F3123" t="str">
        <f t="shared" ca="1" si="1140"/>
        <v xml:space="preserve">Enter a 'Low-Income Units' for  building 97 in cell F100.
</v>
      </c>
      <c r="G3123" s="9" t="str">
        <f t="shared" ca="1" si="1133"/>
        <v xml:space="preserve">Enter a value for 'Number of Floors in the Tallest Building' in cell B60.
</v>
      </c>
      <c r="H3123" s="52" t="str">
        <f t="shared" ca="1" si="1141"/>
        <v>Low-Income Units</v>
      </c>
      <c r="I3123" s="52">
        <v>6</v>
      </c>
    </row>
    <row r="3124" spans="1:10" ht="15" customHeight="1">
      <c r="A3124" t="str">
        <f t="shared" ca="1" si="1136"/>
        <v/>
      </c>
      <c r="B3124">
        <f t="shared" si="1137"/>
        <v>100</v>
      </c>
      <c r="C3124">
        <f t="shared" ca="1" si="1135"/>
        <v>97</v>
      </c>
      <c r="D3124" t="str">
        <f t="shared" si="1138"/>
        <v>G100</v>
      </c>
      <c r="E3124" t="str">
        <f t="shared" ca="1" si="1139"/>
        <v/>
      </c>
      <c r="F3124" t="str">
        <f t="shared" ca="1" si="1140"/>
        <v xml:space="preserve">Enter a 'Residential Square Footage**' for  building 97 in cell G100.
</v>
      </c>
      <c r="G3124" s="9" t="str">
        <f t="shared" ca="1" si="1133"/>
        <v xml:space="preserve">Enter a value for 'Number of Floors in the Tallest Building' in cell B60.
</v>
      </c>
      <c r="H3124" s="52" t="str">
        <f t="shared" ca="1" si="1141"/>
        <v>Residential Square Footage**</v>
      </c>
      <c r="I3124" s="52">
        <v>7</v>
      </c>
    </row>
    <row r="3125" spans="1:10" ht="15" customHeight="1">
      <c r="A3125" t="str">
        <f t="shared" ca="1" si="1136"/>
        <v/>
      </c>
      <c r="B3125">
        <f t="shared" si="1137"/>
        <v>100</v>
      </c>
      <c r="C3125">
        <f t="shared" ca="1" si="1135"/>
        <v>97</v>
      </c>
      <c r="D3125" t="str">
        <f t="shared" si="1138"/>
        <v>H100</v>
      </c>
      <c r="E3125" t="str">
        <f t="shared" ca="1" si="1139"/>
        <v/>
      </c>
      <c r="F3125" t="str">
        <f t="shared" ca="1" si="1140"/>
        <v xml:space="preserve">Enter a 'Square Footage of Employee Units' for  building 97 in cell H100.
</v>
      </c>
      <c r="G3125" s="9" t="str">
        <f t="shared" ca="1" si="1133"/>
        <v xml:space="preserve">Enter a value for 'Number of Floors in the Tallest Building' in cell B60.
</v>
      </c>
      <c r="H3125" s="52" t="str">
        <f t="shared" ca="1" si="1141"/>
        <v>Square Footage of Employee Units</v>
      </c>
      <c r="I3125" s="52">
        <v>8</v>
      </c>
    </row>
    <row r="3126" spans="1:10" ht="15" customHeight="1">
      <c r="A3126" t="str">
        <f t="shared" ca="1" si="1136"/>
        <v/>
      </c>
      <c r="B3126">
        <f t="shared" si="1137"/>
        <v>100</v>
      </c>
      <c r="C3126">
        <f t="shared" ca="1" si="1135"/>
        <v>97</v>
      </c>
      <c r="D3126" t="str">
        <f t="shared" si="1138"/>
        <v>I100</v>
      </c>
      <c r="E3126" t="str">
        <f t="shared" ca="1" si="1139"/>
        <v/>
      </c>
      <c r="F3126" t="str">
        <f t="shared" ca="1" si="1140"/>
        <v xml:space="preserve">Enter a 'Square Footage of Low-Income Units' for  building 97 in cell I100.
</v>
      </c>
      <c r="G3126" s="9" t="str">
        <f t="shared" ca="1" si="1133"/>
        <v xml:space="preserve">Enter a value for 'Number of Floors in the Tallest Building' in cell B60.
</v>
      </c>
      <c r="H3126" s="52" t="str">
        <f t="shared" ca="1" si="1141"/>
        <v>Square Footage of Low-Income Units</v>
      </c>
      <c r="I3126" s="52">
        <v>9</v>
      </c>
    </row>
    <row r="3127" spans="1:10" ht="15" customHeight="1">
      <c r="A3127" t="str">
        <f t="shared" ca="1" si="1136"/>
        <v/>
      </c>
      <c r="B3127">
        <f t="shared" si="1137"/>
        <v>100</v>
      </c>
      <c r="C3127">
        <f t="shared" ca="1" si="1135"/>
        <v>97</v>
      </c>
      <c r="D3127" t="str">
        <f t="shared" si="1138"/>
        <v>J100</v>
      </c>
      <c r="E3127" t="str">
        <f t="shared" ca="1" si="1139"/>
        <v/>
      </c>
      <c r="F3127" t="str">
        <f t="shared" ca="1" si="1140"/>
        <v xml:space="preserve">Enter a 'Placed-In-Service Date' for  building 97 in cell J100.
</v>
      </c>
      <c r="G3127" s="9" t="str">
        <f t="shared" ca="1" si="1133"/>
        <v xml:space="preserve">Enter a value for 'Number of Floors in the Tallest Building' in cell B60.
</v>
      </c>
      <c r="H3127" s="52" t="str">
        <f t="shared" ca="1" si="1141"/>
        <v>Placed-In-Service Date</v>
      </c>
      <c r="I3127" s="52">
        <v>10</v>
      </c>
    </row>
    <row r="3128" spans="1:10" ht="15" customHeight="1">
      <c r="A3128" t="str">
        <f t="shared" ca="1" si="1136"/>
        <v/>
      </c>
      <c r="B3128">
        <f t="shared" si="1137"/>
        <v>100</v>
      </c>
      <c r="C3128">
        <f t="shared" ca="1" si="1135"/>
        <v>97</v>
      </c>
      <c r="D3128" t="str">
        <f t="shared" si="1138"/>
        <v>K100</v>
      </c>
      <c r="E3128" t="str">
        <f t="shared" ca="1" si="1139"/>
        <v/>
      </c>
      <c r="F3128" t="str">
        <f t="shared" ca="1" si="1140"/>
        <v xml:space="preserve">Enter a 'New Construction/ Rehab APR' for  building 97 in cell K100.
</v>
      </c>
      <c r="G3128" s="9" t="str">
        <f t="shared" ca="1" si="1133"/>
        <v xml:space="preserve">Enter a value for 'Number of Floors in the Tallest Building' in cell B60.
</v>
      </c>
      <c r="H3128" s="52" t="str">
        <f t="shared" ca="1" si="1141"/>
        <v>New Construction/ Rehab APR</v>
      </c>
      <c r="I3128" s="52">
        <v>11</v>
      </c>
    </row>
    <row r="3129" spans="1:10" ht="15" customHeight="1">
      <c r="A3129" t="str">
        <f t="shared" ca="1" si="1136"/>
        <v/>
      </c>
      <c r="B3129">
        <f t="shared" si="1137"/>
        <v>100</v>
      </c>
      <c r="C3129">
        <f t="shared" ca="1" si="1135"/>
        <v>97</v>
      </c>
      <c r="D3129" t="str">
        <f t="shared" si="1138"/>
        <v>L100</v>
      </c>
      <c r="E3129" t="str">
        <f t="shared" ca="1" si="1139"/>
        <v/>
      </c>
      <c r="F3129" t="str">
        <f t="shared" ca="1" si="1140"/>
        <v xml:space="preserve">Enter a 'New Construction Eligible Basis' for  building 97 in cell L100.
</v>
      </c>
      <c r="G3129" s="9" t="str">
        <f t="shared" ca="1" si="1133"/>
        <v xml:space="preserve">Enter a value for 'Number of Floors in the Tallest Building' in cell B60.
</v>
      </c>
      <c r="H3129" s="52" t="str">
        <f t="shared" ca="1" si="1141"/>
        <v>New Construction Eligible Basis</v>
      </c>
      <c r="I3129" s="52">
        <v>12</v>
      </c>
    </row>
    <row r="3130" spans="1:10" ht="15" customHeight="1">
      <c r="A3130" t="str">
        <f ca="1">IF(AND(OFFSET(A3130, -I3130 + 2, 4) &gt;  0, E3130="", Calculations!$B$7), F3130, "")</f>
        <v/>
      </c>
      <c r="B3130">
        <f t="shared" si="1137"/>
        <v>100</v>
      </c>
      <c r="C3130">
        <f t="shared" ca="1" si="1135"/>
        <v>97</v>
      </c>
      <c r="D3130" t="str">
        <f t="shared" si="1138"/>
        <v>M100</v>
      </c>
      <c r="E3130" t="str">
        <f t="shared" ca="1" si="1139"/>
        <v/>
      </c>
      <c r="F3130" t="str">
        <f t="shared" ca="1" si="1140"/>
        <v xml:space="preserve">Enter a 'Eligible Basis for Rehab' for  building 97 in cell M100.
</v>
      </c>
      <c r="G3130" s="9" t="str">
        <f t="shared" ca="1" si="1133"/>
        <v xml:space="preserve">Enter a value for 'Number of Floors in the Tallest Building' in cell B60.
</v>
      </c>
      <c r="H3130" s="52" t="str">
        <f t="shared" ca="1" si="1141"/>
        <v>Eligible Basis for Rehab</v>
      </c>
      <c r="I3130" s="52">
        <v>13</v>
      </c>
    </row>
    <row r="3131" spans="1:10" ht="15" customHeight="1">
      <c r="A3131" t="str">
        <f ca="1">IF(AND(OFFSET(A3131, -I3131 + 2, 4) &gt;  0, E3131="", Calculations!$B$7), F3131, "")</f>
        <v/>
      </c>
      <c r="B3131">
        <f t="shared" si="1137"/>
        <v>100</v>
      </c>
      <c r="C3131">
        <f t="shared" ca="1" si="1135"/>
        <v>97</v>
      </c>
      <c r="D3131" t="str">
        <f t="shared" si="1138"/>
        <v>N100</v>
      </c>
      <c r="E3131" t="str">
        <f t="shared" ca="1" si="1139"/>
        <v/>
      </c>
      <c r="F3131" t="str">
        <f t="shared" ca="1" si="1140"/>
        <v xml:space="preserve">Enter a 'Cost of Acquiring the Building***' for  building 97 in cell N100.
</v>
      </c>
      <c r="G3131" s="9" t="str">
        <f t="shared" ca="1" si="1133"/>
        <v xml:space="preserve">Enter a value for 'Number of Floors in the Tallest Building' in cell B60.
</v>
      </c>
      <c r="H3131" s="52" t="str">
        <f t="shared" ca="1" si="1141"/>
        <v>Cost of Acquiring the Building***</v>
      </c>
      <c r="I3131" s="52">
        <v>14</v>
      </c>
    </row>
    <row r="3132" spans="1:10" ht="15" customHeight="1">
      <c r="A3132" t="str">
        <f ca="1">IF(AND(OFFSET(A3132, -I3132 + 2, 4) &gt;  0, E3132="", Calculations!$B$7), F3132, "")</f>
        <v/>
      </c>
      <c r="B3132">
        <f t="shared" si="1137"/>
        <v>100</v>
      </c>
      <c r="C3132">
        <f t="shared" ca="1" si="1135"/>
        <v>97</v>
      </c>
      <c r="D3132" t="str">
        <f t="shared" si="1138"/>
        <v>O100</v>
      </c>
      <c r="E3132" t="str">
        <f t="shared" ca="1" si="1139"/>
        <v/>
      </c>
      <c r="F3132" t="str">
        <f t="shared" ca="1" si="1140"/>
        <v xml:space="preserve">Enter a 'Higher of Land Purchase Price or Land Appraised Value****' for  building 97 in cell O100.
</v>
      </c>
      <c r="G3132" s="9" t="str">
        <f t="shared" ca="1" si="1133"/>
        <v xml:space="preserve">Enter a value for 'Number of Floors in the Tallest Building' in cell B60.
</v>
      </c>
      <c r="H3132" s="52" t="str">
        <f t="shared" ca="1" si="1141"/>
        <v>Higher of Land Purchase Price or Land Appraised Value****</v>
      </c>
      <c r="I3132" s="52">
        <v>15</v>
      </c>
    </row>
    <row r="3133" spans="1:10" ht="15" customHeight="1">
      <c r="A3133" t="str">
        <f ca="1">IF(AND(OFFSET(A3133, -I3133 + 2, 4) &gt;  0, E3133="", Calculations!$B$7), F3133, "")</f>
        <v/>
      </c>
      <c r="B3133">
        <f t="shared" si="1137"/>
        <v>100</v>
      </c>
      <c r="C3133">
        <f t="shared" ca="1" si="1135"/>
        <v>97</v>
      </c>
      <c r="D3133" t="str">
        <f t="shared" si="1138"/>
        <v>P100</v>
      </c>
      <c r="E3133" t="str">
        <f t="shared" ca="1" si="1139"/>
        <v/>
      </c>
      <c r="F3133" t="str">
        <f t="shared" ca="1" si="1140"/>
        <v xml:space="preserve">Enter a 'Acquisition Placed-in-Service Date' for  building 97 in cell P100.
</v>
      </c>
      <c r="G3133" s="9" t="str">
        <f t="shared" ca="1" si="1133"/>
        <v xml:space="preserve">Enter a value for 'Number of Floors in the Tallest Building' in cell B60.
</v>
      </c>
      <c r="H3133" s="52" t="str">
        <f t="shared" ca="1" si="1141"/>
        <v>Acquisition Placed-in-Service Date</v>
      </c>
      <c r="I3133" s="52">
        <v>16</v>
      </c>
    </row>
    <row r="3134" spans="1:10" ht="15" customHeight="1">
      <c r="A3134" t="str">
        <f ca="1">IF(AND(OFFSET(A3134, -I3134 + 2, 4) &gt;  0, E3134="", Calculations!$B$7), F3134, "")</f>
        <v/>
      </c>
      <c r="B3134">
        <f t="shared" si="1137"/>
        <v>100</v>
      </c>
      <c r="C3134">
        <f t="shared" ca="1" si="1135"/>
        <v>97</v>
      </c>
      <c r="D3134" t="str">
        <f t="shared" si="1138"/>
        <v>Q100</v>
      </c>
      <c r="E3134" t="str">
        <f t="shared" ca="1" si="1139"/>
        <v/>
      </c>
      <c r="F3134" t="str">
        <f t="shared" ca="1" si="1140"/>
        <v xml:space="preserve">Enter a 'Acquisition APR' for  building 97 in cell Q100.
</v>
      </c>
      <c r="G3134" s="9" t="str">
        <f t="shared" ca="1" si="1133"/>
        <v xml:space="preserve">Enter a value for 'Number of Floors in the Tallest Building' in cell B60.
</v>
      </c>
      <c r="H3134" s="52" t="str">
        <f t="shared" ca="1" si="1141"/>
        <v>Acquisition APR</v>
      </c>
      <c r="I3134" s="52">
        <v>17</v>
      </c>
    </row>
    <row r="3135" spans="1:10" ht="15" customHeight="1">
      <c r="A3135" t="str">
        <f ca="1">IF(AND(Calculations!$B$4,Calculations!$B$29&gt;=C3135, E3135 &lt;&gt; 13),F3135,"")</f>
        <v/>
      </c>
      <c r="B3135">
        <f>ROW('Final Building Profile'!C101)</f>
        <v>101</v>
      </c>
      <c r="C3135">
        <f t="shared" ca="1" si="1135"/>
        <v>98</v>
      </c>
      <c r="D3135" t="str">
        <f>ADDRESS(B3135, 3,4  )</f>
        <v>C101</v>
      </c>
      <c r="E3135" s="52">
        <f ca="1">H3135+I3135</f>
        <v>0</v>
      </c>
      <c r="F3135" t="str">
        <f ca="1">CONCATENATE("Based upon the number of buildings specified, information for  building ", C3135, " required for a final application in row ", B3135, ".", CHAR(10))</f>
        <v xml:space="preserve">Based upon the number of buildings specified, information for  building 98 required for a final application in row 101.
</v>
      </c>
      <c r="G3135" s="9" t="str">
        <f t="shared" ca="1" si="1133"/>
        <v xml:space="preserve">Enter a value for 'Number of Floors in the Tallest Building' in cell B60.
</v>
      </c>
      <c r="H3135" s="52">
        <f ca="1">SUMPRODUCT(--ISTEXT(INDIRECT(J3135)))</f>
        <v>0</v>
      </c>
      <c r="I3135" s="52">
        <f ca="1">SUMPRODUCT(--ISNUMBER(INDIRECT(J3135)))</f>
        <v>0</v>
      </c>
      <c r="J3135" s="52" t="str">
        <f>$F$1565&amp; ADDRESS(B3135,3,4) &amp; ":" &amp; ADDRESS(B3135,15,4)</f>
        <v>'Final Building Profile'!C101:O101</v>
      </c>
    </row>
    <row r="3136" spans="1:10" ht="15" customHeight="1">
      <c r="A3136" t="str">
        <f t="shared" ref="A3136:A3145" ca="1" si="1142">IF(AND(OFFSET(A3136, -I3136 + 2, 4) &gt;  0, E3136=""), F3136, "")</f>
        <v/>
      </c>
      <c r="B3136">
        <f t="shared" ref="B3136:B3150" si="1143">B3135</f>
        <v>101</v>
      </c>
      <c r="C3136">
        <f t="shared" ca="1" si="1135"/>
        <v>98</v>
      </c>
      <c r="D3136" t="str">
        <f t="shared" ref="D3136:D3150" si="1144">ADDRESS(B3136, I3136,4  )</f>
        <v>C101</v>
      </c>
      <c r="E3136" t="str">
        <f t="shared" ref="E3136:E3150" ca="1" si="1145">IF(ISBLANK( INDIRECT($F$1565 &amp; D3136)),"", INDIRECT($F$1565 &amp; D3136))</f>
        <v/>
      </c>
      <c r="F3136" t="str">
        <f t="shared" ref="F3136:F3150" ca="1" si="1146">CONCATENATE("Enter a '"&amp; H3136 &amp;"' for  building ", C3136, " in cell ", D3136, ".", CHAR(10))</f>
        <v xml:space="preserve">Enter a 'Building Street Address Only 
(DO NOT ENTER CITY, STATE, OR ZIP)' for  building 98 in cell C101.
</v>
      </c>
      <c r="G3136" s="9" t="str">
        <f t="shared" ca="1" si="1133"/>
        <v xml:space="preserve">Enter a value for 'Number of Floors in the Tallest Building' in cell B60.
</v>
      </c>
      <c r="H3136" s="52" t="str">
        <f t="shared" ref="H3136:H3150" ca="1" si="1147">OFFSET(INDIRECT($F$1565 &amp; D3136), -B3136 + 3, 0)</f>
        <v>Building Street Address Only 
(DO NOT ENTER CITY, STATE, OR ZIP)</v>
      </c>
      <c r="I3136" s="52">
        <v>3</v>
      </c>
    </row>
    <row r="3137" spans="1:10" ht="15" customHeight="1">
      <c r="A3137" t="str">
        <f t="shared" ca="1" si="1142"/>
        <v/>
      </c>
      <c r="B3137">
        <f t="shared" si="1143"/>
        <v>101</v>
      </c>
      <c r="C3137">
        <f t="shared" ca="1" si="1135"/>
        <v>98</v>
      </c>
      <c r="D3137" t="str">
        <f t="shared" si="1144"/>
        <v>D101</v>
      </c>
      <c r="E3137" t="str">
        <f t="shared" ca="1" si="1145"/>
        <v/>
      </c>
      <c r="F3137" t="str">
        <f t="shared" ca="1" si="1146"/>
        <v xml:space="preserve">Enter a 'Total Units in Building*' for  building 98 in cell D101.
</v>
      </c>
      <c r="G3137" s="9" t="str">
        <f t="shared" ca="1" si="1133"/>
        <v xml:space="preserve">Enter a value for 'Number of Floors in the Tallest Building' in cell B60.
</v>
      </c>
      <c r="H3137" s="52" t="str">
        <f t="shared" ca="1" si="1147"/>
        <v>Total Units in Building*</v>
      </c>
      <c r="I3137" s="52">
        <v>4</v>
      </c>
    </row>
    <row r="3138" spans="1:10" ht="15" customHeight="1">
      <c r="A3138" t="str">
        <f t="shared" ca="1" si="1142"/>
        <v/>
      </c>
      <c r="B3138">
        <f t="shared" si="1143"/>
        <v>101</v>
      </c>
      <c r="C3138">
        <f t="shared" ca="1" si="1135"/>
        <v>98</v>
      </c>
      <c r="D3138" t="str">
        <f t="shared" si="1144"/>
        <v>E101</v>
      </c>
      <c r="E3138" t="str">
        <f t="shared" ca="1" si="1145"/>
        <v/>
      </c>
      <c r="F3138" t="str">
        <f t="shared" ca="1" si="1146"/>
        <v xml:space="preserve">Enter a 'Employee Units' for  building 98 in cell E101.
</v>
      </c>
      <c r="G3138" s="9" t="str">
        <f t="shared" ca="1" si="1133"/>
        <v xml:space="preserve">Enter a value for 'Number of Floors in the Tallest Building' in cell B60.
</v>
      </c>
      <c r="H3138" s="52" t="str">
        <f t="shared" ca="1" si="1147"/>
        <v>Employee Units</v>
      </c>
      <c r="I3138" s="52">
        <v>5</v>
      </c>
    </row>
    <row r="3139" spans="1:10" ht="15" customHeight="1">
      <c r="A3139" t="str">
        <f t="shared" ca="1" si="1142"/>
        <v/>
      </c>
      <c r="B3139">
        <f t="shared" si="1143"/>
        <v>101</v>
      </c>
      <c r="C3139">
        <f t="shared" ca="1" si="1135"/>
        <v>98</v>
      </c>
      <c r="D3139" t="str">
        <f t="shared" si="1144"/>
        <v>F101</v>
      </c>
      <c r="E3139" t="str">
        <f t="shared" ca="1" si="1145"/>
        <v/>
      </c>
      <c r="F3139" t="str">
        <f t="shared" ca="1" si="1146"/>
        <v xml:space="preserve">Enter a 'Low-Income Units' for  building 98 in cell F101.
</v>
      </c>
      <c r="G3139" s="9" t="str">
        <f t="shared" ca="1" si="1133"/>
        <v xml:space="preserve">Enter a value for 'Number of Floors in the Tallest Building' in cell B60.
</v>
      </c>
      <c r="H3139" s="52" t="str">
        <f t="shared" ca="1" si="1147"/>
        <v>Low-Income Units</v>
      </c>
      <c r="I3139" s="52">
        <v>6</v>
      </c>
    </row>
    <row r="3140" spans="1:10" ht="15" customHeight="1">
      <c r="A3140" t="str">
        <f t="shared" ca="1" si="1142"/>
        <v/>
      </c>
      <c r="B3140">
        <f t="shared" si="1143"/>
        <v>101</v>
      </c>
      <c r="C3140">
        <f t="shared" ca="1" si="1135"/>
        <v>98</v>
      </c>
      <c r="D3140" t="str">
        <f t="shared" si="1144"/>
        <v>G101</v>
      </c>
      <c r="E3140" t="str">
        <f t="shared" ca="1" si="1145"/>
        <v/>
      </c>
      <c r="F3140" t="str">
        <f t="shared" ca="1" si="1146"/>
        <v xml:space="preserve">Enter a 'Residential Square Footage**' for  building 98 in cell G101.
</v>
      </c>
      <c r="G3140" s="9" t="str">
        <f t="shared" ca="1" si="1133"/>
        <v xml:space="preserve">Enter a value for 'Number of Floors in the Tallest Building' in cell B60.
</v>
      </c>
      <c r="H3140" s="52" t="str">
        <f t="shared" ca="1" si="1147"/>
        <v>Residential Square Footage**</v>
      </c>
      <c r="I3140" s="52">
        <v>7</v>
      </c>
    </row>
    <row r="3141" spans="1:10" ht="15" customHeight="1">
      <c r="A3141" t="str">
        <f t="shared" ca="1" si="1142"/>
        <v/>
      </c>
      <c r="B3141">
        <f t="shared" si="1143"/>
        <v>101</v>
      </c>
      <c r="C3141">
        <f t="shared" ca="1" si="1135"/>
        <v>98</v>
      </c>
      <c r="D3141" t="str">
        <f t="shared" si="1144"/>
        <v>H101</v>
      </c>
      <c r="E3141" t="str">
        <f t="shared" ca="1" si="1145"/>
        <v/>
      </c>
      <c r="F3141" t="str">
        <f t="shared" ca="1" si="1146"/>
        <v xml:space="preserve">Enter a 'Square Footage of Employee Units' for  building 98 in cell H101.
</v>
      </c>
      <c r="G3141" s="9" t="str">
        <f t="shared" ca="1" si="1133"/>
        <v xml:space="preserve">Enter a value for 'Number of Floors in the Tallest Building' in cell B60.
</v>
      </c>
      <c r="H3141" s="52" t="str">
        <f t="shared" ca="1" si="1147"/>
        <v>Square Footage of Employee Units</v>
      </c>
      <c r="I3141" s="52">
        <v>8</v>
      </c>
    </row>
    <row r="3142" spans="1:10" ht="15" customHeight="1">
      <c r="A3142" t="str">
        <f t="shared" ca="1" si="1142"/>
        <v/>
      </c>
      <c r="B3142">
        <f t="shared" si="1143"/>
        <v>101</v>
      </c>
      <c r="C3142">
        <f t="shared" ca="1" si="1135"/>
        <v>98</v>
      </c>
      <c r="D3142" t="str">
        <f t="shared" si="1144"/>
        <v>I101</v>
      </c>
      <c r="E3142" t="str">
        <f t="shared" ca="1" si="1145"/>
        <v/>
      </c>
      <c r="F3142" t="str">
        <f t="shared" ca="1" si="1146"/>
        <v xml:space="preserve">Enter a 'Square Footage of Low-Income Units' for  building 98 in cell I101.
</v>
      </c>
      <c r="G3142" s="9" t="str">
        <f t="shared" ca="1" si="1133"/>
        <v xml:space="preserve">Enter a value for 'Number of Floors in the Tallest Building' in cell B60.
</v>
      </c>
      <c r="H3142" s="52" t="str">
        <f t="shared" ca="1" si="1147"/>
        <v>Square Footage of Low-Income Units</v>
      </c>
      <c r="I3142" s="52">
        <v>9</v>
      </c>
    </row>
    <row r="3143" spans="1:10" ht="15" customHeight="1">
      <c r="A3143" t="str">
        <f t="shared" ca="1" si="1142"/>
        <v/>
      </c>
      <c r="B3143">
        <f t="shared" si="1143"/>
        <v>101</v>
      </c>
      <c r="C3143">
        <f t="shared" ca="1" si="1135"/>
        <v>98</v>
      </c>
      <c r="D3143" t="str">
        <f t="shared" si="1144"/>
        <v>J101</v>
      </c>
      <c r="E3143" t="str">
        <f t="shared" ca="1" si="1145"/>
        <v/>
      </c>
      <c r="F3143" t="str">
        <f t="shared" ca="1" si="1146"/>
        <v xml:space="preserve">Enter a 'Placed-In-Service Date' for  building 98 in cell J101.
</v>
      </c>
      <c r="G3143" s="9" t="str">
        <f t="shared" ca="1" si="1133"/>
        <v xml:space="preserve">Enter a value for 'Number of Floors in the Tallest Building' in cell B60.
</v>
      </c>
      <c r="H3143" s="52" t="str">
        <f t="shared" ca="1" si="1147"/>
        <v>Placed-In-Service Date</v>
      </c>
      <c r="I3143" s="52">
        <v>10</v>
      </c>
    </row>
    <row r="3144" spans="1:10" ht="15" customHeight="1">
      <c r="A3144" t="str">
        <f t="shared" ca="1" si="1142"/>
        <v/>
      </c>
      <c r="B3144">
        <f t="shared" si="1143"/>
        <v>101</v>
      </c>
      <c r="C3144">
        <f t="shared" ca="1" si="1135"/>
        <v>98</v>
      </c>
      <c r="D3144" t="str">
        <f t="shared" si="1144"/>
        <v>K101</v>
      </c>
      <c r="E3144" t="str">
        <f t="shared" ca="1" si="1145"/>
        <v/>
      </c>
      <c r="F3144" t="str">
        <f t="shared" ca="1" si="1146"/>
        <v xml:space="preserve">Enter a 'New Construction/ Rehab APR' for  building 98 in cell K101.
</v>
      </c>
      <c r="G3144" s="9" t="str">
        <f t="shared" ca="1" si="1133"/>
        <v xml:space="preserve">Enter a value for 'Number of Floors in the Tallest Building' in cell B60.
</v>
      </c>
      <c r="H3144" s="52" t="str">
        <f t="shared" ca="1" si="1147"/>
        <v>New Construction/ Rehab APR</v>
      </c>
      <c r="I3144" s="52">
        <v>11</v>
      </c>
    </row>
    <row r="3145" spans="1:10" ht="15" customHeight="1">
      <c r="A3145" t="str">
        <f t="shared" ca="1" si="1142"/>
        <v/>
      </c>
      <c r="B3145">
        <f t="shared" si="1143"/>
        <v>101</v>
      </c>
      <c r="C3145">
        <f t="shared" ca="1" si="1135"/>
        <v>98</v>
      </c>
      <c r="D3145" t="str">
        <f t="shared" si="1144"/>
        <v>L101</v>
      </c>
      <c r="E3145" t="str">
        <f t="shared" ca="1" si="1145"/>
        <v/>
      </c>
      <c r="F3145" t="str">
        <f t="shared" ca="1" si="1146"/>
        <v xml:space="preserve">Enter a 'New Construction Eligible Basis' for  building 98 in cell L101.
</v>
      </c>
      <c r="G3145" s="9" t="str">
        <f t="shared" ca="1" si="1133"/>
        <v xml:space="preserve">Enter a value for 'Number of Floors in the Tallest Building' in cell B60.
</v>
      </c>
      <c r="H3145" s="52" t="str">
        <f t="shared" ca="1" si="1147"/>
        <v>New Construction Eligible Basis</v>
      </c>
      <c r="I3145" s="52">
        <v>12</v>
      </c>
    </row>
    <row r="3146" spans="1:10" ht="15" customHeight="1">
      <c r="A3146" t="str">
        <f ca="1">IF(AND(OFFSET(A3146, -I3146 + 2, 4) &gt;  0, E3146="", Calculations!$B$7), F3146, "")</f>
        <v/>
      </c>
      <c r="B3146">
        <f t="shared" si="1143"/>
        <v>101</v>
      </c>
      <c r="C3146">
        <f t="shared" ca="1" si="1135"/>
        <v>98</v>
      </c>
      <c r="D3146" t="str">
        <f t="shared" si="1144"/>
        <v>M101</v>
      </c>
      <c r="E3146" t="str">
        <f t="shared" ca="1" si="1145"/>
        <v/>
      </c>
      <c r="F3146" t="str">
        <f t="shared" ca="1" si="1146"/>
        <v xml:space="preserve">Enter a 'Eligible Basis for Rehab' for  building 98 in cell M101.
</v>
      </c>
      <c r="G3146" s="9" t="str">
        <f t="shared" ca="1" si="1133"/>
        <v xml:space="preserve">Enter a value for 'Number of Floors in the Tallest Building' in cell B60.
</v>
      </c>
      <c r="H3146" s="52" t="str">
        <f t="shared" ca="1" si="1147"/>
        <v>Eligible Basis for Rehab</v>
      </c>
      <c r="I3146" s="52">
        <v>13</v>
      </c>
    </row>
    <row r="3147" spans="1:10" ht="15" customHeight="1">
      <c r="A3147" t="str">
        <f ca="1">IF(AND(OFFSET(A3147, -I3147 + 2, 4) &gt;  0, E3147="", Calculations!$B$7), F3147, "")</f>
        <v/>
      </c>
      <c r="B3147">
        <f t="shared" si="1143"/>
        <v>101</v>
      </c>
      <c r="C3147">
        <f t="shared" ca="1" si="1135"/>
        <v>98</v>
      </c>
      <c r="D3147" t="str">
        <f t="shared" si="1144"/>
        <v>N101</v>
      </c>
      <c r="E3147" t="str">
        <f t="shared" ca="1" si="1145"/>
        <v/>
      </c>
      <c r="F3147" t="str">
        <f t="shared" ca="1" si="1146"/>
        <v xml:space="preserve">Enter a 'Cost of Acquiring the Building***' for  building 98 in cell N101.
</v>
      </c>
      <c r="G3147" s="9" t="str">
        <f t="shared" ca="1" si="1133"/>
        <v xml:space="preserve">Enter a value for 'Number of Floors in the Tallest Building' in cell B60.
</v>
      </c>
      <c r="H3147" s="52" t="str">
        <f t="shared" ca="1" si="1147"/>
        <v>Cost of Acquiring the Building***</v>
      </c>
      <c r="I3147" s="52">
        <v>14</v>
      </c>
    </row>
    <row r="3148" spans="1:10" ht="15" customHeight="1">
      <c r="A3148" t="str">
        <f ca="1">IF(AND(OFFSET(A3148, -I3148 + 2, 4) &gt;  0, E3148="", Calculations!$B$7), F3148, "")</f>
        <v/>
      </c>
      <c r="B3148">
        <f t="shared" si="1143"/>
        <v>101</v>
      </c>
      <c r="C3148">
        <f t="shared" ca="1" si="1135"/>
        <v>98</v>
      </c>
      <c r="D3148" t="str">
        <f t="shared" si="1144"/>
        <v>O101</v>
      </c>
      <c r="E3148" t="str">
        <f t="shared" ca="1" si="1145"/>
        <v/>
      </c>
      <c r="F3148" t="str">
        <f t="shared" ca="1" si="1146"/>
        <v xml:space="preserve">Enter a 'Higher of Land Purchase Price or Land Appraised Value****' for  building 98 in cell O101.
</v>
      </c>
      <c r="G3148" s="9" t="str">
        <f t="shared" ca="1" si="1133"/>
        <v xml:space="preserve">Enter a value for 'Number of Floors in the Tallest Building' in cell B60.
</v>
      </c>
      <c r="H3148" s="52" t="str">
        <f t="shared" ca="1" si="1147"/>
        <v>Higher of Land Purchase Price or Land Appraised Value****</v>
      </c>
      <c r="I3148" s="52">
        <v>15</v>
      </c>
    </row>
    <row r="3149" spans="1:10" ht="15" customHeight="1">
      <c r="A3149" t="str">
        <f ca="1">IF(AND(OFFSET(A3149, -I3149 + 2, 4) &gt;  0, E3149="", Calculations!$B$7), F3149, "")</f>
        <v/>
      </c>
      <c r="B3149">
        <f t="shared" si="1143"/>
        <v>101</v>
      </c>
      <c r="C3149">
        <f t="shared" ca="1" si="1135"/>
        <v>98</v>
      </c>
      <c r="D3149" t="str">
        <f t="shared" si="1144"/>
        <v>P101</v>
      </c>
      <c r="E3149" t="str">
        <f t="shared" ca="1" si="1145"/>
        <v/>
      </c>
      <c r="F3149" t="str">
        <f t="shared" ca="1" si="1146"/>
        <v xml:space="preserve">Enter a 'Acquisition Placed-in-Service Date' for  building 98 in cell P101.
</v>
      </c>
      <c r="G3149" s="9" t="str">
        <f t="shared" ca="1" si="1133"/>
        <v xml:space="preserve">Enter a value for 'Number of Floors in the Tallest Building' in cell B60.
</v>
      </c>
      <c r="H3149" s="52" t="str">
        <f t="shared" ca="1" si="1147"/>
        <v>Acquisition Placed-in-Service Date</v>
      </c>
      <c r="I3149" s="52">
        <v>16</v>
      </c>
    </row>
    <row r="3150" spans="1:10" ht="15" customHeight="1">
      <c r="A3150" t="str">
        <f ca="1">IF(AND(OFFSET(A3150, -I3150 + 2, 4) &gt;  0, E3150="", Calculations!$B$7), F3150, "")</f>
        <v/>
      </c>
      <c r="B3150">
        <f t="shared" si="1143"/>
        <v>101</v>
      </c>
      <c r="C3150">
        <f t="shared" ca="1" si="1135"/>
        <v>98</v>
      </c>
      <c r="D3150" t="str">
        <f t="shared" si="1144"/>
        <v>Q101</v>
      </c>
      <c r="E3150" t="str">
        <f t="shared" ca="1" si="1145"/>
        <v/>
      </c>
      <c r="F3150" t="str">
        <f t="shared" ca="1" si="1146"/>
        <v xml:space="preserve">Enter a 'Acquisition APR' for  building 98 in cell Q101.
</v>
      </c>
      <c r="G3150" s="9" t="str">
        <f t="shared" ca="1" si="1133"/>
        <v xml:space="preserve">Enter a value for 'Number of Floors in the Tallest Building' in cell B60.
</v>
      </c>
      <c r="H3150" s="52" t="str">
        <f t="shared" ca="1" si="1147"/>
        <v>Acquisition APR</v>
      </c>
      <c r="I3150" s="52">
        <v>17</v>
      </c>
    </row>
    <row r="3151" spans="1:10" ht="15" customHeight="1">
      <c r="A3151" t="b">
        <f ca="1">A3133=IF(AND(Calculations!$B$4,Calculations!$B$29&gt;=C3151, E3151 &lt;&gt; 13),F3151,"")</f>
        <v>1</v>
      </c>
      <c r="B3151">
        <f>ROW('Final Building Profile'!C102)</f>
        <v>102</v>
      </c>
      <c r="C3151">
        <f t="shared" ca="1" si="1135"/>
        <v>99</v>
      </c>
      <c r="D3151" t="str">
        <f>ADDRESS(B3151, 3,4  )</f>
        <v>C102</v>
      </c>
      <c r="E3151" s="52">
        <f ca="1">H3151+I3151</f>
        <v>0</v>
      </c>
      <c r="F3151" t="str">
        <f ca="1">CONCATENATE("Based upon the number of buildings specified, information for  building ", C3151, " required for a final application in row ", B3151, ".", CHAR(10))</f>
        <v xml:space="preserve">Based upon the number of buildings specified, information for  building 99 required for a final application in row 102.
</v>
      </c>
      <c r="G3151" s="9" t="str">
        <f t="shared" ca="1" si="1133"/>
        <v>Enter a value for 'Number of Floors in the Tallest Building' in cell B60.
TRUE</v>
      </c>
      <c r="H3151" s="52">
        <f ca="1">SUMPRODUCT(--ISTEXT(INDIRECT(J3151)))</f>
        <v>0</v>
      </c>
      <c r="I3151" s="52">
        <f ca="1">SUMPRODUCT(--ISNUMBER(INDIRECT(J3151)))</f>
        <v>0</v>
      </c>
      <c r="J3151" s="52" t="str">
        <f>$F$1565&amp; ADDRESS(B3151,3,4) &amp; ":" &amp; ADDRESS(B3151,15,4)</f>
        <v>'Final Building Profile'!C102:O102</v>
      </c>
    </row>
    <row r="3152" spans="1:10" ht="15" customHeight="1">
      <c r="A3152" t="str">
        <f t="shared" ref="A3152:A3161" ca="1" si="1148">IF(AND(OFFSET(A3152, -I3152 + 2, 4) &gt;  0, E3152=""), F3152, "")</f>
        <v/>
      </c>
      <c r="B3152">
        <f t="shared" ref="B3152:B3166" si="1149">B3151</f>
        <v>102</v>
      </c>
      <c r="C3152">
        <f t="shared" ca="1" si="1135"/>
        <v>99</v>
      </c>
      <c r="D3152" t="str">
        <f t="shared" ref="D3152:D3166" si="1150">ADDRESS(B3152, I3152,4  )</f>
        <v>C102</v>
      </c>
      <c r="E3152" t="str">
        <f t="shared" ref="E3152:E3166" ca="1" si="1151">IF(ISBLANK( INDIRECT($F$1565 &amp; D3152)),"", INDIRECT($F$1565 &amp; D3152))</f>
        <v/>
      </c>
      <c r="F3152" t="str">
        <f t="shared" ref="F3152:F3166" ca="1" si="1152">CONCATENATE("Enter a '"&amp; H3152 &amp;"' for  building ", C3152, " in cell ", D3152, ".", CHAR(10))</f>
        <v xml:space="preserve">Enter a 'Building Street Address Only 
(DO NOT ENTER CITY, STATE, OR ZIP)' for  building 99 in cell C102.
</v>
      </c>
      <c r="G3152" s="9" t="str">
        <f t="shared" ca="1" si="1133"/>
        <v>Enter a value for 'Number of Floors in the Tallest Building' in cell B60.
TRUE</v>
      </c>
      <c r="H3152" s="52" t="str">
        <f t="shared" ref="H3152:H3166" ca="1" si="1153">OFFSET(INDIRECT($F$1565 &amp; D3152), -B3152 + 3, 0)</f>
        <v>Building Street Address Only 
(DO NOT ENTER CITY, STATE, OR ZIP)</v>
      </c>
      <c r="I3152" s="52">
        <v>3</v>
      </c>
    </row>
    <row r="3153" spans="1:9" ht="15" customHeight="1">
      <c r="A3153" t="str">
        <f t="shared" ca="1" si="1148"/>
        <v/>
      </c>
      <c r="B3153">
        <f t="shared" si="1149"/>
        <v>102</v>
      </c>
      <c r="C3153">
        <f t="shared" ca="1" si="1135"/>
        <v>99</v>
      </c>
      <c r="D3153" t="str">
        <f t="shared" si="1150"/>
        <v>D102</v>
      </c>
      <c r="E3153" t="str">
        <f t="shared" ca="1" si="1151"/>
        <v/>
      </c>
      <c r="F3153" t="str">
        <f t="shared" ca="1" si="1152"/>
        <v xml:space="preserve">Enter a 'Total Units in Building*' for  building 99 in cell D102.
</v>
      </c>
      <c r="G3153" s="9" t="str">
        <f t="shared" ca="1" si="1133"/>
        <v>Enter a value for 'Number of Floors in the Tallest Building' in cell B60.
TRUE</v>
      </c>
      <c r="H3153" s="52" t="str">
        <f t="shared" ca="1" si="1153"/>
        <v>Total Units in Building*</v>
      </c>
      <c r="I3153" s="52">
        <v>4</v>
      </c>
    </row>
    <row r="3154" spans="1:9" ht="15" customHeight="1">
      <c r="A3154" t="str">
        <f t="shared" ca="1" si="1148"/>
        <v/>
      </c>
      <c r="B3154">
        <f t="shared" si="1149"/>
        <v>102</v>
      </c>
      <c r="C3154">
        <f t="shared" ca="1" si="1135"/>
        <v>99</v>
      </c>
      <c r="D3154" t="str">
        <f t="shared" si="1150"/>
        <v>E102</v>
      </c>
      <c r="E3154" t="str">
        <f t="shared" ca="1" si="1151"/>
        <v/>
      </c>
      <c r="F3154" t="str">
        <f t="shared" ca="1" si="1152"/>
        <v xml:space="preserve">Enter a 'Employee Units' for  building 99 in cell E102.
</v>
      </c>
      <c r="G3154" s="9" t="str">
        <f t="shared" ca="1" si="1133"/>
        <v>Enter a value for 'Number of Floors in the Tallest Building' in cell B60.
TRUE</v>
      </c>
      <c r="H3154" s="52" t="str">
        <f t="shared" ca="1" si="1153"/>
        <v>Employee Units</v>
      </c>
      <c r="I3154" s="52">
        <v>5</v>
      </c>
    </row>
    <row r="3155" spans="1:9" ht="15" customHeight="1">
      <c r="A3155" t="str">
        <f t="shared" ca="1" si="1148"/>
        <v/>
      </c>
      <c r="B3155">
        <f t="shared" si="1149"/>
        <v>102</v>
      </c>
      <c r="C3155">
        <f t="shared" ca="1" si="1135"/>
        <v>99</v>
      </c>
      <c r="D3155" t="str">
        <f t="shared" si="1150"/>
        <v>F102</v>
      </c>
      <c r="E3155" t="str">
        <f t="shared" ca="1" si="1151"/>
        <v/>
      </c>
      <c r="F3155" t="str">
        <f t="shared" ca="1" si="1152"/>
        <v xml:space="preserve">Enter a 'Low-Income Units' for  building 99 in cell F102.
</v>
      </c>
      <c r="G3155" s="9" t="str">
        <f t="shared" ca="1" si="1133"/>
        <v>Enter a value for 'Number of Floors in the Tallest Building' in cell B60.
TRUE</v>
      </c>
      <c r="H3155" s="52" t="str">
        <f t="shared" ca="1" si="1153"/>
        <v>Low-Income Units</v>
      </c>
      <c r="I3155" s="52">
        <v>6</v>
      </c>
    </row>
    <row r="3156" spans="1:9" ht="15" customHeight="1">
      <c r="A3156" t="str">
        <f t="shared" ca="1" si="1148"/>
        <v/>
      </c>
      <c r="B3156">
        <f t="shared" si="1149"/>
        <v>102</v>
      </c>
      <c r="C3156">
        <f t="shared" ca="1" si="1135"/>
        <v>99</v>
      </c>
      <c r="D3156" t="str">
        <f t="shared" si="1150"/>
        <v>G102</v>
      </c>
      <c r="E3156" t="str">
        <f t="shared" ca="1" si="1151"/>
        <v/>
      </c>
      <c r="F3156" t="str">
        <f t="shared" ca="1" si="1152"/>
        <v xml:space="preserve">Enter a 'Residential Square Footage**' for  building 99 in cell G102.
</v>
      </c>
      <c r="G3156" s="9" t="str">
        <f t="shared" ca="1" si="1133"/>
        <v>Enter a value for 'Number of Floors in the Tallest Building' in cell B60.
TRUE</v>
      </c>
      <c r="H3156" s="52" t="str">
        <f t="shared" ca="1" si="1153"/>
        <v>Residential Square Footage**</v>
      </c>
      <c r="I3156" s="52">
        <v>7</v>
      </c>
    </row>
    <row r="3157" spans="1:9" ht="15" customHeight="1">
      <c r="A3157" t="str">
        <f t="shared" ca="1" si="1148"/>
        <v/>
      </c>
      <c r="B3157">
        <f t="shared" si="1149"/>
        <v>102</v>
      </c>
      <c r="C3157">
        <f t="shared" ca="1" si="1135"/>
        <v>99</v>
      </c>
      <c r="D3157" t="str">
        <f t="shared" si="1150"/>
        <v>H102</v>
      </c>
      <c r="E3157" t="str">
        <f t="shared" ca="1" si="1151"/>
        <v/>
      </c>
      <c r="F3157" t="str">
        <f t="shared" ca="1" si="1152"/>
        <v xml:space="preserve">Enter a 'Square Footage of Employee Units' for  building 99 in cell H102.
</v>
      </c>
      <c r="G3157" s="9" t="str">
        <f t="shared" ca="1" si="1133"/>
        <v>Enter a value for 'Number of Floors in the Tallest Building' in cell B60.
TRUE</v>
      </c>
      <c r="H3157" s="52" t="str">
        <f t="shared" ca="1" si="1153"/>
        <v>Square Footage of Employee Units</v>
      </c>
      <c r="I3157" s="52">
        <v>8</v>
      </c>
    </row>
    <row r="3158" spans="1:9" ht="15" customHeight="1">
      <c r="A3158" t="str">
        <f t="shared" ca="1" si="1148"/>
        <v/>
      </c>
      <c r="B3158">
        <f t="shared" si="1149"/>
        <v>102</v>
      </c>
      <c r="C3158">
        <f t="shared" ca="1" si="1135"/>
        <v>99</v>
      </c>
      <c r="D3158" t="str">
        <f t="shared" si="1150"/>
        <v>I102</v>
      </c>
      <c r="E3158" t="str">
        <f t="shared" ca="1" si="1151"/>
        <v/>
      </c>
      <c r="F3158" t="str">
        <f t="shared" ca="1" si="1152"/>
        <v xml:space="preserve">Enter a 'Square Footage of Low-Income Units' for  building 99 in cell I102.
</v>
      </c>
      <c r="G3158" s="9" t="str">
        <f t="shared" ca="1" si="1133"/>
        <v>Enter a value for 'Number of Floors in the Tallest Building' in cell B60.
TRUE</v>
      </c>
      <c r="H3158" s="52" t="str">
        <f t="shared" ca="1" si="1153"/>
        <v>Square Footage of Low-Income Units</v>
      </c>
      <c r="I3158" s="52">
        <v>9</v>
      </c>
    </row>
    <row r="3159" spans="1:9" ht="15" customHeight="1">
      <c r="A3159" t="str">
        <f t="shared" ca="1" si="1148"/>
        <v/>
      </c>
      <c r="B3159">
        <f t="shared" si="1149"/>
        <v>102</v>
      </c>
      <c r="C3159">
        <f t="shared" ca="1" si="1135"/>
        <v>99</v>
      </c>
      <c r="D3159" t="str">
        <f t="shared" si="1150"/>
        <v>J102</v>
      </c>
      <c r="E3159" t="str">
        <f t="shared" ca="1" si="1151"/>
        <v/>
      </c>
      <c r="F3159" t="str">
        <f t="shared" ca="1" si="1152"/>
        <v xml:space="preserve">Enter a 'Placed-In-Service Date' for  building 99 in cell J102.
</v>
      </c>
      <c r="G3159" s="9" t="str">
        <f t="shared" ca="1" si="1133"/>
        <v>Enter a value for 'Number of Floors in the Tallest Building' in cell B60.
TRUE</v>
      </c>
      <c r="H3159" s="52" t="str">
        <f t="shared" ca="1" si="1153"/>
        <v>Placed-In-Service Date</v>
      </c>
      <c r="I3159" s="52">
        <v>10</v>
      </c>
    </row>
    <row r="3160" spans="1:9" ht="15" customHeight="1">
      <c r="A3160" t="str">
        <f t="shared" ca="1" si="1148"/>
        <v/>
      </c>
      <c r="B3160">
        <f t="shared" si="1149"/>
        <v>102</v>
      </c>
      <c r="C3160">
        <f t="shared" ca="1" si="1135"/>
        <v>99</v>
      </c>
      <c r="D3160" t="str">
        <f t="shared" si="1150"/>
        <v>K102</v>
      </c>
      <c r="E3160" t="str">
        <f t="shared" ca="1" si="1151"/>
        <v/>
      </c>
      <c r="F3160" t="str">
        <f t="shared" ca="1" si="1152"/>
        <v xml:space="preserve">Enter a 'New Construction/ Rehab APR' for  building 99 in cell K102.
</v>
      </c>
      <c r="G3160" s="9" t="str">
        <f t="shared" ca="1" si="1133"/>
        <v>Enter a value for 'Number of Floors in the Tallest Building' in cell B60.
TRUE</v>
      </c>
      <c r="H3160" s="52" t="str">
        <f t="shared" ca="1" si="1153"/>
        <v>New Construction/ Rehab APR</v>
      </c>
      <c r="I3160" s="52">
        <v>11</v>
      </c>
    </row>
    <row r="3161" spans="1:9" ht="15" customHeight="1">
      <c r="A3161" t="str">
        <f t="shared" ca="1" si="1148"/>
        <v/>
      </c>
      <c r="B3161">
        <f t="shared" si="1149"/>
        <v>102</v>
      </c>
      <c r="C3161">
        <f t="shared" ca="1" si="1135"/>
        <v>99</v>
      </c>
      <c r="D3161" t="str">
        <f t="shared" si="1150"/>
        <v>L102</v>
      </c>
      <c r="E3161" t="str">
        <f t="shared" ca="1" si="1151"/>
        <v/>
      </c>
      <c r="F3161" t="str">
        <f t="shared" ca="1" si="1152"/>
        <v xml:space="preserve">Enter a 'New Construction Eligible Basis' for  building 99 in cell L102.
</v>
      </c>
      <c r="G3161" s="9" t="str">
        <f t="shared" ca="1" si="1133"/>
        <v>Enter a value for 'Number of Floors in the Tallest Building' in cell B60.
TRUE</v>
      </c>
      <c r="H3161" s="52" t="str">
        <f t="shared" ca="1" si="1153"/>
        <v>New Construction Eligible Basis</v>
      </c>
      <c r="I3161" s="52">
        <v>12</v>
      </c>
    </row>
    <row r="3162" spans="1:9" ht="15" customHeight="1">
      <c r="A3162" t="str">
        <f ca="1">IF(AND(OFFSET(A3162, -I3162 + 2, 4) &gt;  0, E3162="", Calculations!$B$7), F3162, "")</f>
        <v/>
      </c>
      <c r="B3162">
        <f t="shared" si="1149"/>
        <v>102</v>
      </c>
      <c r="C3162">
        <f t="shared" ca="1" si="1135"/>
        <v>99</v>
      </c>
      <c r="D3162" t="str">
        <f t="shared" si="1150"/>
        <v>M102</v>
      </c>
      <c r="E3162" t="str">
        <f t="shared" ca="1" si="1151"/>
        <v/>
      </c>
      <c r="F3162" t="str">
        <f t="shared" ca="1" si="1152"/>
        <v xml:space="preserve">Enter a 'Eligible Basis for Rehab' for  building 99 in cell M102.
</v>
      </c>
      <c r="G3162" s="9" t="str">
        <f t="shared" ca="1" si="1133"/>
        <v>Enter a value for 'Number of Floors in the Tallest Building' in cell B60.
TRUE</v>
      </c>
      <c r="H3162" s="52" t="str">
        <f t="shared" ca="1" si="1153"/>
        <v>Eligible Basis for Rehab</v>
      </c>
      <c r="I3162" s="52">
        <v>13</v>
      </c>
    </row>
    <row r="3163" spans="1:9" ht="15" customHeight="1">
      <c r="A3163" t="str">
        <f ca="1">IF(AND(OFFSET(A3163, -I3163 + 2, 4) &gt;  0, E3163="", Calculations!$B$7), F3163, "")</f>
        <v/>
      </c>
      <c r="B3163">
        <f t="shared" si="1149"/>
        <v>102</v>
      </c>
      <c r="C3163">
        <f t="shared" ca="1" si="1135"/>
        <v>99</v>
      </c>
      <c r="D3163" t="str">
        <f t="shared" si="1150"/>
        <v>N102</v>
      </c>
      <c r="E3163" t="str">
        <f t="shared" ca="1" si="1151"/>
        <v/>
      </c>
      <c r="F3163" t="str">
        <f t="shared" ca="1" si="1152"/>
        <v xml:space="preserve">Enter a 'Cost of Acquiring the Building***' for  building 99 in cell N102.
</v>
      </c>
      <c r="G3163" s="9" t="str">
        <f t="shared" ca="1" si="1133"/>
        <v>Enter a value for 'Number of Floors in the Tallest Building' in cell B60.
TRUE</v>
      </c>
      <c r="H3163" s="52" t="str">
        <f t="shared" ca="1" si="1153"/>
        <v>Cost of Acquiring the Building***</v>
      </c>
      <c r="I3163" s="52">
        <v>14</v>
      </c>
    </row>
    <row r="3164" spans="1:9" ht="15" customHeight="1">
      <c r="A3164" t="str">
        <f ca="1">IF(AND(OFFSET(A3164, -I3164 + 2, 4) &gt;  0, E3164="", Calculations!$B$7), F3164, "")</f>
        <v/>
      </c>
      <c r="B3164">
        <f t="shared" si="1149"/>
        <v>102</v>
      </c>
      <c r="C3164">
        <f t="shared" ca="1" si="1135"/>
        <v>99</v>
      </c>
      <c r="D3164" t="str">
        <f t="shared" si="1150"/>
        <v>O102</v>
      </c>
      <c r="E3164" t="str">
        <f t="shared" ca="1" si="1151"/>
        <v/>
      </c>
      <c r="F3164" t="str">
        <f t="shared" ca="1" si="1152"/>
        <v xml:space="preserve">Enter a 'Higher of Land Purchase Price or Land Appraised Value****' for  building 99 in cell O102.
</v>
      </c>
      <c r="G3164" s="9" t="str">
        <f t="shared" ca="1" si="1133"/>
        <v>Enter a value for 'Number of Floors in the Tallest Building' in cell B60.
TRUE</v>
      </c>
      <c r="H3164" s="52" t="str">
        <f t="shared" ca="1" si="1153"/>
        <v>Higher of Land Purchase Price or Land Appraised Value****</v>
      </c>
      <c r="I3164" s="52">
        <v>15</v>
      </c>
    </row>
    <row r="3165" spans="1:9" ht="15" customHeight="1">
      <c r="A3165" t="str">
        <f ca="1">IF(AND(OFFSET(A3165, -I3165 + 2, 4) &gt;  0, E3165="", Calculations!$B$7), F3165, "")</f>
        <v/>
      </c>
      <c r="B3165">
        <f t="shared" si="1149"/>
        <v>102</v>
      </c>
      <c r="C3165">
        <f t="shared" ca="1" si="1135"/>
        <v>99</v>
      </c>
      <c r="D3165" t="str">
        <f t="shared" si="1150"/>
        <v>P102</v>
      </c>
      <c r="E3165" t="str">
        <f t="shared" ca="1" si="1151"/>
        <v/>
      </c>
      <c r="F3165" t="str">
        <f t="shared" ca="1" si="1152"/>
        <v xml:space="preserve">Enter a 'Acquisition Placed-in-Service Date' for  building 99 in cell P102.
</v>
      </c>
      <c r="G3165" s="9" t="str">
        <f t="shared" ca="1" si="1133"/>
        <v>Enter a value for 'Number of Floors in the Tallest Building' in cell B60.
TRUE</v>
      </c>
      <c r="H3165" s="52" t="str">
        <f t="shared" ca="1" si="1153"/>
        <v>Acquisition Placed-in-Service Date</v>
      </c>
      <c r="I3165" s="52">
        <v>16</v>
      </c>
    </row>
    <row r="3166" spans="1:9" ht="15" customHeight="1">
      <c r="A3166" t="str">
        <f ca="1">IF(AND(OFFSET(A3166, -I3166 + 2, 4) &gt;  0, E3166="", Calculations!$B$7), F3166, "")</f>
        <v/>
      </c>
      <c r="B3166">
        <f t="shared" si="1149"/>
        <v>102</v>
      </c>
      <c r="C3166">
        <f t="shared" ca="1" si="1135"/>
        <v>99</v>
      </c>
      <c r="D3166" t="str">
        <f t="shared" si="1150"/>
        <v>Q102</v>
      </c>
      <c r="E3166" t="str">
        <f t="shared" ca="1" si="1151"/>
        <v/>
      </c>
      <c r="F3166" t="str">
        <f t="shared" ca="1" si="1152"/>
        <v xml:space="preserve">Enter a 'Acquisition APR' for  building 99 in cell Q102.
</v>
      </c>
      <c r="G3166" s="9" t="str">
        <f t="shared" ca="1" si="1133"/>
        <v>Enter a value for 'Number of Floors in the Tallest Building' in cell B60.
TRUE</v>
      </c>
      <c r="H3166" s="52" t="str">
        <f t="shared" ca="1" si="1153"/>
        <v>Acquisition APR</v>
      </c>
      <c r="I3166" s="52">
        <v>17</v>
      </c>
    </row>
    <row r="3167" spans="1:9" ht="15" customHeight="1">
      <c r="A3167" t="str">
        <f t="shared" ref="A3167:A3198" si="1154">IF(E3167&gt;1, F3167, "")</f>
        <v/>
      </c>
      <c r="B3167">
        <f>Calculations!A709</f>
        <v>1</v>
      </c>
      <c r="E3167" s="137">
        <f>Calculations!H709</f>
        <v>0</v>
      </c>
      <c r="F3167" t="str">
        <f t="shared" ref="F3167:F3198" si="1155">CONCATENATE("Low-Income Unit Applicable Fraction canot exceed 100% ensure that total units minus employee units is less than LI units for  building ", B3167, ".", CHAR(10))</f>
        <v xml:space="preserve">Low-Income Unit Applicable Fraction canot exceed 100% ensure that total units minus employee units is less than LI units for  building 1.
</v>
      </c>
      <c r="G3167" s="9" t="str">
        <f t="shared" ca="1" si="1133"/>
        <v>Enter a value for 'Number of Floors in the Tallest Building' in cell B60.
TRUE</v>
      </c>
    </row>
    <row r="3168" spans="1:9" ht="15" customHeight="1">
      <c r="A3168" t="str">
        <f t="shared" si="1154"/>
        <v/>
      </c>
      <c r="B3168">
        <f>Calculations!A710</f>
        <v>2</v>
      </c>
      <c r="E3168" s="137">
        <f>Calculations!H710</f>
        <v>0</v>
      </c>
      <c r="F3168" t="str">
        <f t="shared" si="1155"/>
        <v xml:space="preserve">Low-Income Unit Applicable Fraction canot exceed 100% ensure that total units minus employee units is less than LI units for  building 2.
</v>
      </c>
      <c r="G3168" s="9" t="str">
        <f t="shared" ref="G3168:G3231" ca="1" si="1156">OFFSET(G3168, -1, 0) &amp; A3168</f>
        <v>Enter a value for 'Number of Floors in the Tallest Building' in cell B60.
TRUE</v>
      </c>
    </row>
    <row r="3169" spans="1:7" ht="15" customHeight="1">
      <c r="A3169" t="str">
        <f t="shared" si="1154"/>
        <v/>
      </c>
      <c r="B3169">
        <f>Calculations!A711</f>
        <v>3</v>
      </c>
      <c r="E3169" s="137">
        <f>Calculations!H711</f>
        <v>0</v>
      </c>
      <c r="F3169" t="str">
        <f t="shared" si="1155"/>
        <v xml:space="preserve">Low-Income Unit Applicable Fraction canot exceed 100% ensure that total units minus employee units is less than LI units for  building 3.
</v>
      </c>
      <c r="G3169" s="9" t="str">
        <f t="shared" ca="1" si="1156"/>
        <v>Enter a value for 'Number of Floors in the Tallest Building' in cell B60.
TRUE</v>
      </c>
    </row>
    <row r="3170" spans="1:7" ht="15" customHeight="1">
      <c r="A3170" t="str">
        <f t="shared" si="1154"/>
        <v/>
      </c>
      <c r="B3170">
        <f>Calculations!A712</f>
        <v>4</v>
      </c>
      <c r="E3170" s="137">
        <f>Calculations!H712</f>
        <v>0</v>
      </c>
      <c r="F3170" t="str">
        <f t="shared" si="1155"/>
        <v xml:space="preserve">Low-Income Unit Applicable Fraction canot exceed 100% ensure that total units minus employee units is less than LI units for  building 4.
</v>
      </c>
      <c r="G3170" s="9" t="str">
        <f t="shared" ca="1" si="1156"/>
        <v>Enter a value for 'Number of Floors in the Tallest Building' in cell B60.
TRUE</v>
      </c>
    </row>
    <row r="3171" spans="1:7" ht="15" customHeight="1">
      <c r="A3171" t="str">
        <f t="shared" si="1154"/>
        <v/>
      </c>
      <c r="B3171">
        <f>Calculations!A713</f>
        <v>5</v>
      </c>
      <c r="E3171" s="137">
        <f>Calculations!H713</f>
        <v>0</v>
      </c>
      <c r="F3171" t="str">
        <f t="shared" si="1155"/>
        <v xml:space="preserve">Low-Income Unit Applicable Fraction canot exceed 100% ensure that total units minus employee units is less than LI units for  building 5.
</v>
      </c>
      <c r="G3171" s="9" t="str">
        <f t="shared" ca="1" si="1156"/>
        <v>Enter a value for 'Number of Floors in the Tallest Building' in cell B60.
TRUE</v>
      </c>
    </row>
    <row r="3172" spans="1:7" ht="15" customHeight="1">
      <c r="A3172" t="str">
        <f t="shared" si="1154"/>
        <v/>
      </c>
      <c r="B3172">
        <f>Calculations!A714</f>
        <v>6</v>
      </c>
      <c r="E3172" s="137">
        <f>Calculations!H714</f>
        <v>0</v>
      </c>
      <c r="F3172" t="str">
        <f t="shared" si="1155"/>
        <v xml:space="preserve">Low-Income Unit Applicable Fraction canot exceed 100% ensure that total units minus employee units is less than LI units for  building 6.
</v>
      </c>
      <c r="G3172" s="9" t="str">
        <f t="shared" ca="1" si="1156"/>
        <v>Enter a value for 'Number of Floors in the Tallest Building' in cell B60.
TRUE</v>
      </c>
    </row>
    <row r="3173" spans="1:7" ht="15" customHeight="1">
      <c r="A3173" t="str">
        <f t="shared" si="1154"/>
        <v/>
      </c>
      <c r="B3173">
        <f>Calculations!A715</f>
        <v>7</v>
      </c>
      <c r="E3173" s="137">
        <f>Calculations!H715</f>
        <v>0</v>
      </c>
      <c r="F3173" t="str">
        <f t="shared" si="1155"/>
        <v xml:space="preserve">Low-Income Unit Applicable Fraction canot exceed 100% ensure that total units minus employee units is less than LI units for  building 7.
</v>
      </c>
      <c r="G3173" s="9" t="str">
        <f t="shared" ca="1" si="1156"/>
        <v>Enter a value for 'Number of Floors in the Tallest Building' in cell B60.
TRUE</v>
      </c>
    </row>
    <row r="3174" spans="1:7" ht="15" customHeight="1">
      <c r="A3174" t="str">
        <f t="shared" si="1154"/>
        <v/>
      </c>
      <c r="B3174">
        <f>Calculations!A716</f>
        <v>8</v>
      </c>
      <c r="E3174" s="137">
        <f>Calculations!H716</f>
        <v>0</v>
      </c>
      <c r="F3174" t="str">
        <f t="shared" si="1155"/>
        <v xml:space="preserve">Low-Income Unit Applicable Fraction canot exceed 100% ensure that total units minus employee units is less than LI units for  building 8.
</v>
      </c>
      <c r="G3174" s="9" t="str">
        <f t="shared" ca="1" si="1156"/>
        <v>Enter a value for 'Number of Floors in the Tallest Building' in cell B60.
TRUE</v>
      </c>
    </row>
    <row r="3175" spans="1:7" ht="15" customHeight="1">
      <c r="A3175" t="str">
        <f t="shared" si="1154"/>
        <v/>
      </c>
      <c r="B3175">
        <f>Calculations!A717</f>
        <v>9</v>
      </c>
      <c r="E3175" s="137">
        <f>Calculations!H717</f>
        <v>0</v>
      </c>
      <c r="F3175" t="str">
        <f t="shared" si="1155"/>
        <v xml:space="preserve">Low-Income Unit Applicable Fraction canot exceed 100% ensure that total units minus employee units is less than LI units for  building 9.
</v>
      </c>
      <c r="G3175" s="9" t="str">
        <f t="shared" ca="1" si="1156"/>
        <v>Enter a value for 'Number of Floors in the Tallest Building' in cell B60.
TRUE</v>
      </c>
    </row>
    <row r="3176" spans="1:7" ht="15" customHeight="1">
      <c r="A3176" t="str">
        <f t="shared" si="1154"/>
        <v/>
      </c>
      <c r="B3176">
        <f>Calculations!A718</f>
        <v>10</v>
      </c>
      <c r="E3176" s="137">
        <f>Calculations!H718</f>
        <v>0</v>
      </c>
      <c r="F3176" t="str">
        <f t="shared" si="1155"/>
        <v xml:space="preserve">Low-Income Unit Applicable Fraction canot exceed 100% ensure that total units minus employee units is less than LI units for  building 10.
</v>
      </c>
      <c r="G3176" s="9" t="str">
        <f t="shared" ca="1" si="1156"/>
        <v>Enter a value for 'Number of Floors in the Tallest Building' in cell B60.
TRUE</v>
      </c>
    </row>
    <row r="3177" spans="1:7" ht="15" customHeight="1">
      <c r="A3177" t="str">
        <f t="shared" si="1154"/>
        <v/>
      </c>
      <c r="B3177">
        <f>Calculations!A719</f>
        <v>11</v>
      </c>
      <c r="E3177" s="137">
        <f>Calculations!H719</f>
        <v>0</v>
      </c>
      <c r="F3177" t="str">
        <f t="shared" si="1155"/>
        <v xml:space="preserve">Low-Income Unit Applicable Fraction canot exceed 100% ensure that total units minus employee units is less than LI units for  building 11.
</v>
      </c>
      <c r="G3177" s="9" t="str">
        <f t="shared" ca="1" si="1156"/>
        <v>Enter a value for 'Number of Floors in the Tallest Building' in cell B60.
TRUE</v>
      </c>
    </row>
    <row r="3178" spans="1:7" ht="15" customHeight="1">
      <c r="A3178" t="str">
        <f t="shared" si="1154"/>
        <v/>
      </c>
      <c r="B3178">
        <f>Calculations!A720</f>
        <v>12</v>
      </c>
      <c r="E3178" s="137">
        <f>Calculations!H720</f>
        <v>0</v>
      </c>
      <c r="F3178" t="str">
        <f t="shared" si="1155"/>
        <v xml:space="preserve">Low-Income Unit Applicable Fraction canot exceed 100% ensure that total units minus employee units is less than LI units for  building 12.
</v>
      </c>
      <c r="G3178" s="9" t="str">
        <f t="shared" ca="1" si="1156"/>
        <v>Enter a value for 'Number of Floors in the Tallest Building' in cell B60.
TRUE</v>
      </c>
    </row>
    <row r="3179" spans="1:7" ht="15" customHeight="1">
      <c r="A3179" t="str">
        <f t="shared" si="1154"/>
        <v/>
      </c>
      <c r="B3179">
        <f>Calculations!A721</f>
        <v>13</v>
      </c>
      <c r="E3179" s="137">
        <f>Calculations!H721</f>
        <v>0</v>
      </c>
      <c r="F3179" t="str">
        <f t="shared" si="1155"/>
        <v xml:space="preserve">Low-Income Unit Applicable Fraction canot exceed 100% ensure that total units minus employee units is less than LI units for  building 13.
</v>
      </c>
      <c r="G3179" s="9" t="str">
        <f t="shared" ca="1" si="1156"/>
        <v>Enter a value for 'Number of Floors in the Tallest Building' in cell B60.
TRUE</v>
      </c>
    </row>
    <row r="3180" spans="1:7" ht="15" customHeight="1">
      <c r="A3180" t="str">
        <f t="shared" si="1154"/>
        <v/>
      </c>
      <c r="B3180">
        <f>Calculations!A722</f>
        <v>14</v>
      </c>
      <c r="E3180" s="137">
        <f>Calculations!H722</f>
        <v>0</v>
      </c>
      <c r="F3180" t="str">
        <f t="shared" si="1155"/>
        <v xml:space="preserve">Low-Income Unit Applicable Fraction canot exceed 100% ensure that total units minus employee units is less than LI units for  building 14.
</v>
      </c>
      <c r="G3180" s="9" t="str">
        <f t="shared" ca="1" si="1156"/>
        <v>Enter a value for 'Number of Floors in the Tallest Building' in cell B60.
TRUE</v>
      </c>
    </row>
    <row r="3181" spans="1:7" ht="15" customHeight="1">
      <c r="A3181" t="str">
        <f t="shared" si="1154"/>
        <v/>
      </c>
      <c r="B3181">
        <f>Calculations!A723</f>
        <v>15</v>
      </c>
      <c r="E3181" s="137">
        <f>Calculations!H723</f>
        <v>0</v>
      </c>
      <c r="F3181" t="str">
        <f t="shared" si="1155"/>
        <v xml:space="preserve">Low-Income Unit Applicable Fraction canot exceed 100% ensure that total units minus employee units is less than LI units for  building 15.
</v>
      </c>
      <c r="G3181" s="9" t="str">
        <f t="shared" ca="1" si="1156"/>
        <v>Enter a value for 'Number of Floors in the Tallest Building' in cell B60.
TRUE</v>
      </c>
    </row>
    <row r="3182" spans="1:7" ht="15" customHeight="1">
      <c r="A3182" t="str">
        <f t="shared" si="1154"/>
        <v/>
      </c>
      <c r="B3182">
        <f>Calculations!A724</f>
        <v>16</v>
      </c>
      <c r="E3182" s="137">
        <f>Calculations!H724</f>
        <v>0</v>
      </c>
      <c r="F3182" t="str">
        <f t="shared" si="1155"/>
        <v xml:space="preserve">Low-Income Unit Applicable Fraction canot exceed 100% ensure that total units minus employee units is less than LI units for  building 16.
</v>
      </c>
      <c r="G3182" s="9" t="str">
        <f t="shared" ca="1" si="1156"/>
        <v>Enter a value for 'Number of Floors in the Tallest Building' in cell B60.
TRUE</v>
      </c>
    </row>
    <row r="3183" spans="1:7" ht="15" customHeight="1">
      <c r="A3183" t="str">
        <f t="shared" si="1154"/>
        <v/>
      </c>
      <c r="B3183">
        <f>Calculations!A725</f>
        <v>17</v>
      </c>
      <c r="E3183" s="137">
        <f>Calculations!H725</f>
        <v>0</v>
      </c>
      <c r="F3183" t="str">
        <f t="shared" si="1155"/>
        <v xml:space="preserve">Low-Income Unit Applicable Fraction canot exceed 100% ensure that total units minus employee units is less than LI units for  building 17.
</v>
      </c>
      <c r="G3183" s="9" t="str">
        <f t="shared" ca="1" si="1156"/>
        <v>Enter a value for 'Number of Floors in the Tallest Building' in cell B60.
TRUE</v>
      </c>
    </row>
    <row r="3184" spans="1:7" ht="15" customHeight="1">
      <c r="A3184" t="str">
        <f t="shared" si="1154"/>
        <v/>
      </c>
      <c r="B3184">
        <f>Calculations!A726</f>
        <v>18</v>
      </c>
      <c r="E3184" s="137">
        <f>Calculations!H726</f>
        <v>0</v>
      </c>
      <c r="F3184" t="str">
        <f t="shared" si="1155"/>
        <v xml:space="preserve">Low-Income Unit Applicable Fraction canot exceed 100% ensure that total units minus employee units is less than LI units for  building 18.
</v>
      </c>
      <c r="G3184" s="9" t="str">
        <f t="shared" ca="1" si="1156"/>
        <v>Enter a value for 'Number of Floors in the Tallest Building' in cell B60.
TRUE</v>
      </c>
    </row>
    <row r="3185" spans="1:7" ht="15" customHeight="1">
      <c r="A3185" t="str">
        <f t="shared" si="1154"/>
        <v/>
      </c>
      <c r="B3185">
        <f>Calculations!A727</f>
        <v>19</v>
      </c>
      <c r="E3185" s="137">
        <f>Calculations!H727</f>
        <v>0</v>
      </c>
      <c r="F3185" t="str">
        <f t="shared" si="1155"/>
        <v xml:space="preserve">Low-Income Unit Applicable Fraction canot exceed 100% ensure that total units minus employee units is less than LI units for  building 19.
</v>
      </c>
      <c r="G3185" s="9" t="str">
        <f t="shared" ca="1" si="1156"/>
        <v>Enter a value for 'Number of Floors in the Tallest Building' in cell B60.
TRUE</v>
      </c>
    </row>
    <row r="3186" spans="1:7" ht="15" customHeight="1">
      <c r="A3186" t="str">
        <f t="shared" si="1154"/>
        <v/>
      </c>
      <c r="B3186">
        <f>Calculations!A728</f>
        <v>20</v>
      </c>
      <c r="E3186" s="137">
        <f>Calculations!H728</f>
        <v>0</v>
      </c>
      <c r="F3186" t="str">
        <f t="shared" si="1155"/>
        <v xml:space="preserve">Low-Income Unit Applicable Fraction canot exceed 100% ensure that total units minus employee units is less than LI units for  building 20.
</v>
      </c>
      <c r="G3186" s="9" t="str">
        <f t="shared" ca="1" si="1156"/>
        <v>Enter a value for 'Number of Floors in the Tallest Building' in cell B60.
TRUE</v>
      </c>
    </row>
    <row r="3187" spans="1:7" ht="15" customHeight="1">
      <c r="A3187" t="str">
        <f t="shared" si="1154"/>
        <v/>
      </c>
      <c r="B3187">
        <f>Calculations!A729</f>
        <v>21</v>
      </c>
      <c r="E3187" s="137">
        <f>Calculations!H729</f>
        <v>0</v>
      </c>
      <c r="F3187" t="str">
        <f t="shared" si="1155"/>
        <v xml:space="preserve">Low-Income Unit Applicable Fraction canot exceed 100% ensure that total units minus employee units is less than LI units for  building 21.
</v>
      </c>
      <c r="G3187" s="9" t="str">
        <f t="shared" ca="1" si="1156"/>
        <v>Enter a value for 'Number of Floors in the Tallest Building' in cell B60.
TRUE</v>
      </c>
    </row>
    <row r="3188" spans="1:7" ht="15" customHeight="1">
      <c r="A3188" t="str">
        <f t="shared" si="1154"/>
        <v/>
      </c>
      <c r="B3188">
        <f>Calculations!A730</f>
        <v>22</v>
      </c>
      <c r="E3188" s="137">
        <f>Calculations!H730</f>
        <v>0</v>
      </c>
      <c r="F3188" t="str">
        <f t="shared" si="1155"/>
        <v xml:space="preserve">Low-Income Unit Applicable Fraction canot exceed 100% ensure that total units minus employee units is less than LI units for  building 22.
</v>
      </c>
      <c r="G3188" s="9" t="str">
        <f t="shared" ca="1" si="1156"/>
        <v>Enter a value for 'Number of Floors in the Tallest Building' in cell B60.
TRUE</v>
      </c>
    </row>
    <row r="3189" spans="1:7" ht="15" customHeight="1">
      <c r="A3189" t="str">
        <f t="shared" si="1154"/>
        <v/>
      </c>
      <c r="B3189">
        <f>Calculations!A731</f>
        <v>23</v>
      </c>
      <c r="E3189" s="137">
        <f>Calculations!H731</f>
        <v>0</v>
      </c>
      <c r="F3189" t="str">
        <f t="shared" si="1155"/>
        <v xml:space="preserve">Low-Income Unit Applicable Fraction canot exceed 100% ensure that total units minus employee units is less than LI units for  building 23.
</v>
      </c>
      <c r="G3189" s="9" t="str">
        <f t="shared" ca="1" si="1156"/>
        <v>Enter a value for 'Number of Floors in the Tallest Building' in cell B60.
TRUE</v>
      </c>
    </row>
    <row r="3190" spans="1:7" ht="15" customHeight="1">
      <c r="A3190" t="str">
        <f t="shared" si="1154"/>
        <v/>
      </c>
      <c r="B3190">
        <f>Calculations!A732</f>
        <v>24</v>
      </c>
      <c r="E3190" s="137">
        <f>Calculations!H732</f>
        <v>0</v>
      </c>
      <c r="F3190" t="str">
        <f t="shared" si="1155"/>
        <v xml:space="preserve">Low-Income Unit Applicable Fraction canot exceed 100% ensure that total units minus employee units is less than LI units for  building 24.
</v>
      </c>
      <c r="G3190" s="9" t="str">
        <f t="shared" ca="1" si="1156"/>
        <v>Enter a value for 'Number of Floors in the Tallest Building' in cell B60.
TRUE</v>
      </c>
    </row>
    <row r="3191" spans="1:7" ht="15" customHeight="1">
      <c r="A3191" t="str">
        <f t="shared" si="1154"/>
        <v/>
      </c>
      <c r="B3191">
        <f>Calculations!A733</f>
        <v>25</v>
      </c>
      <c r="E3191" s="137">
        <f>Calculations!H733</f>
        <v>0</v>
      </c>
      <c r="F3191" t="str">
        <f t="shared" si="1155"/>
        <v xml:space="preserve">Low-Income Unit Applicable Fraction canot exceed 100% ensure that total units minus employee units is less than LI units for  building 25.
</v>
      </c>
      <c r="G3191" s="9" t="str">
        <f t="shared" ca="1" si="1156"/>
        <v>Enter a value for 'Number of Floors in the Tallest Building' in cell B60.
TRUE</v>
      </c>
    </row>
    <row r="3192" spans="1:7" ht="15" customHeight="1">
      <c r="A3192" t="str">
        <f t="shared" si="1154"/>
        <v/>
      </c>
      <c r="B3192">
        <f>Calculations!A734</f>
        <v>26</v>
      </c>
      <c r="E3192" s="137">
        <f>Calculations!H734</f>
        <v>0</v>
      </c>
      <c r="F3192" t="str">
        <f t="shared" si="1155"/>
        <v xml:space="preserve">Low-Income Unit Applicable Fraction canot exceed 100% ensure that total units minus employee units is less than LI units for  building 26.
</v>
      </c>
      <c r="G3192" s="9" t="str">
        <f t="shared" ca="1" si="1156"/>
        <v>Enter a value for 'Number of Floors in the Tallest Building' in cell B60.
TRUE</v>
      </c>
    </row>
    <row r="3193" spans="1:7" ht="15" customHeight="1">
      <c r="A3193" t="str">
        <f t="shared" si="1154"/>
        <v/>
      </c>
      <c r="B3193">
        <f>Calculations!A735</f>
        <v>27</v>
      </c>
      <c r="E3193" s="137">
        <f>Calculations!H735</f>
        <v>0</v>
      </c>
      <c r="F3193" t="str">
        <f t="shared" si="1155"/>
        <v xml:space="preserve">Low-Income Unit Applicable Fraction canot exceed 100% ensure that total units minus employee units is less than LI units for  building 27.
</v>
      </c>
      <c r="G3193" s="9" t="str">
        <f t="shared" ca="1" si="1156"/>
        <v>Enter a value for 'Number of Floors in the Tallest Building' in cell B60.
TRUE</v>
      </c>
    </row>
    <row r="3194" spans="1:7" ht="15" customHeight="1">
      <c r="A3194" t="str">
        <f t="shared" si="1154"/>
        <v/>
      </c>
      <c r="B3194">
        <f>Calculations!A736</f>
        <v>28</v>
      </c>
      <c r="E3194" s="137">
        <f>Calculations!H736</f>
        <v>0</v>
      </c>
      <c r="F3194" t="str">
        <f t="shared" si="1155"/>
        <v xml:space="preserve">Low-Income Unit Applicable Fraction canot exceed 100% ensure that total units minus employee units is less than LI units for  building 28.
</v>
      </c>
      <c r="G3194" s="9" t="str">
        <f t="shared" ca="1" si="1156"/>
        <v>Enter a value for 'Number of Floors in the Tallest Building' in cell B60.
TRUE</v>
      </c>
    </row>
    <row r="3195" spans="1:7" ht="15" customHeight="1">
      <c r="A3195" t="str">
        <f t="shared" si="1154"/>
        <v/>
      </c>
      <c r="B3195">
        <f>Calculations!A737</f>
        <v>29</v>
      </c>
      <c r="E3195" s="137">
        <f>Calculations!H737</f>
        <v>0</v>
      </c>
      <c r="F3195" t="str">
        <f t="shared" si="1155"/>
        <v xml:space="preserve">Low-Income Unit Applicable Fraction canot exceed 100% ensure that total units minus employee units is less than LI units for  building 29.
</v>
      </c>
      <c r="G3195" s="9" t="str">
        <f t="shared" ca="1" si="1156"/>
        <v>Enter a value for 'Number of Floors in the Tallest Building' in cell B60.
TRUE</v>
      </c>
    </row>
    <row r="3196" spans="1:7" ht="15" customHeight="1">
      <c r="A3196" t="str">
        <f t="shared" si="1154"/>
        <v/>
      </c>
      <c r="B3196">
        <f>Calculations!A738</f>
        <v>30</v>
      </c>
      <c r="E3196" s="137">
        <f>Calculations!H738</f>
        <v>0</v>
      </c>
      <c r="F3196" t="str">
        <f t="shared" si="1155"/>
        <v xml:space="preserve">Low-Income Unit Applicable Fraction canot exceed 100% ensure that total units minus employee units is less than LI units for  building 30.
</v>
      </c>
      <c r="G3196" s="9" t="str">
        <f t="shared" ca="1" si="1156"/>
        <v>Enter a value for 'Number of Floors in the Tallest Building' in cell B60.
TRUE</v>
      </c>
    </row>
    <row r="3197" spans="1:7" ht="15" customHeight="1">
      <c r="A3197" t="str">
        <f t="shared" si="1154"/>
        <v/>
      </c>
      <c r="B3197">
        <f>Calculations!A739</f>
        <v>31</v>
      </c>
      <c r="E3197" s="137">
        <f>Calculations!H739</f>
        <v>0</v>
      </c>
      <c r="F3197" t="str">
        <f t="shared" si="1155"/>
        <v xml:space="preserve">Low-Income Unit Applicable Fraction canot exceed 100% ensure that total units minus employee units is less than LI units for  building 31.
</v>
      </c>
      <c r="G3197" s="9" t="str">
        <f t="shared" ca="1" si="1156"/>
        <v>Enter a value for 'Number of Floors in the Tallest Building' in cell B60.
TRUE</v>
      </c>
    </row>
    <row r="3198" spans="1:7" ht="15" customHeight="1">
      <c r="A3198" t="str">
        <f t="shared" si="1154"/>
        <v/>
      </c>
      <c r="B3198">
        <f>Calculations!A740</f>
        <v>32</v>
      </c>
      <c r="E3198" s="137">
        <f>Calculations!H740</f>
        <v>0</v>
      </c>
      <c r="F3198" t="str">
        <f t="shared" si="1155"/>
        <v xml:space="preserve">Low-Income Unit Applicable Fraction canot exceed 100% ensure that total units minus employee units is less than LI units for  building 32.
</v>
      </c>
      <c r="G3198" s="9" t="str">
        <f t="shared" ca="1" si="1156"/>
        <v>Enter a value for 'Number of Floors in the Tallest Building' in cell B60.
TRUE</v>
      </c>
    </row>
    <row r="3199" spans="1:7" ht="15" customHeight="1">
      <c r="A3199" t="str">
        <f t="shared" ref="A3199:A3230" si="1157">IF(E3199&gt;1, F3199, "")</f>
        <v/>
      </c>
      <c r="B3199">
        <f>Calculations!A741</f>
        <v>33</v>
      </c>
      <c r="E3199" s="137">
        <f>Calculations!H741</f>
        <v>0</v>
      </c>
      <c r="F3199" t="str">
        <f t="shared" ref="F3199:F3230" si="1158">CONCATENATE("Low-Income Unit Applicable Fraction canot exceed 100% ensure that total units minus employee units is less than LI units for  building ", B3199, ".", CHAR(10))</f>
        <v xml:space="preserve">Low-Income Unit Applicable Fraction canot exceed 100% ensure that total units minus employee units is less than LI units for  building 33.
</v>
      </c>
      <c r="G3199" s="9" t="str">
        <f t="shared" ca="1" si="1156"/>
        <v>Enter a value for 'Number of Floors in the Tallest Building' in cell B60.
TRUE</v>
      </c>
    </row>
    <row r="3200" spans="1:7" ht="15" customHeight="1">
      <c r="A3200" t="str">
        <f t="shared" si="1157"/>
        <v/>
      </c>
      <c r="B3200">
        <f>Calculations!A742</f>
        <v>34</v>
      </c>
      <c r="E3200" s="137">
        <f>Calculations!H742</f>
        <v>0</v>
      </c>
      <c r="F3200" t="str">
        <f t="shared" si="1158"/>
        <v xml:space="preserve">Low-Income Unit Applicable Fraction canot exceed 100% ensure that total units minus employee units is less than LI units for  building 34.
</v>
      </c>
      <c r="G3200" s="9" t="str">
        <f t="shared" ca="1" si="1156"/>
        <v>Enter a value for 'Number of Floors in the Tallest Building' in cell B60.
TRUE</v>
      </c>
    </row>
    <row r="3201" spans="1:7" ht="15" customHeight="1">
      <c r="A3201" t="str">
        <f t="shared" si="1157"/>
        <v/>
      </c>
      <c r="B3201">
        <f>Calculations!A743</f>
        <v>35</v>
      </c>
      <c r="E3201" s="137">
        <f>Calculations!H743</f>
        <v>0</v>
      </c>
      <c r="F3201" t="str">
        <f t="shared" si="1158"/>
        <v xml:space="preserve">Low-Income Unit Applicable Fraction canot exceed 100% ensure that total units minus employee units is less than LI units for  building 35.
</v>
      </c>
      <c r="G3201" s="9" t="str">
        <f t="shared" ca="1" si="1156"/>
        <v>Enter a value for 'Number of Floors in the Tallest Building' in cell B60.
TRUE</v>
      </c>
    </row>
    <row r="3202" spans="1:7" ht="15" customHeight="1">
      <c r="A3202" t="str">
        <f t="shared" si="1157"/>
        <v/>
      </c>
      <c r="B3202">
        <f>Calculations!A744</f>
        <v>36</v>
      </c>
      <c r="E3202" s="137">
        <f>Calculations!H744</f>
        <v>0</v>
      </c>
      <c r="F3202" t="str">
        <f t="shared" si="1158"/>
        <v xml:space="preserve">Low-Income Unit Applicable Fraction canot exceed 100% ensure that total units minus employee units is less than LI units for  building 36.
</v>
      </c>
      <c r="G3202" s="9" t="str">
        <f t="shared" ca="1" si="1156"/>
        <v>Enter a value for 'Number of Floors in the Tallest Building' in cell B60.
TRUE</v>
      </c>
    </row>
    <row r="3203" spans="1:7" ht="15" customHeight="1">
      <c r="A3203" t="str">
        <f t="shared" si="1157"/>
        <v/>
      </c>
      <c r="B3203">
        <f>Calculations!A745</f>
        <v>37</v>
      </c>
      <c r="E3203" s="137">
        <f>Calculations!H745</f>
        <v>0</v>
      </c>
      <c r="F3203" t="str">
        <f t="shared" si="1158"/>
        <v xml:space="preserve">Low-Income Unit Applicable Fraction canot exceed 100% ensure that total units minus employee units is less than LI units for  building 37.
</v>
      </c>
      <c r="G3203" s="9" t="str">
        <f t="shared" ca="1" si="1156"/>
        <v>Enter a value for 'Number of Floors in the Tallest Building' in cell B60.
TRUE</v>
      </c>
    </row>
    <row r="3204" spans="1:7" ht="15" customHeight="1">
      <c r="A3204" t="str">
        <f t="shared" si="1157"/>
        <v/>
      </c>
      <c r="B3204">
        <f>Calculations!A746</f>
        <v>38</v>
      </c>
      <c r="E3204" s="137">
        <f>Calculations!H746</f>
        <v>0</v>
      </c>
      <c r="F3204" t="str">
        <f t="shared" si="1158"/>
        <v xml:space="preserve">Low-Income Unit Applicable Fraction canot exceed 100% ensure that total units minus employee units is less than LI units for  building 38.
</v>
      </c>
      <c r="G3204" s="9" t="str">
        <f t="shared" ca="1" si="1156"/>
        <v>Enter a value for 'Number of Floors in the Tallest Building' in cell B60.
TRUE</v>
      </c>
    </row>
    <row r="3205" spans="1:7" ht="15" customHeight="1">
      <c r="A3205" t="str">
        <f t="shared" si="1157"/>
        <v/>
      </c>
      <c r="B3205">
        <f>Calculations!A747</f>
        <v>39</v>
      </c>
      <c r="E3205" s="137">
        <f>Calculations!H747</f>
        <v>0</v>
      </c>
      <c r="F3205" t="str">
        <f t="shared" si="1158"/>
        <v xml:space="preserve">Low-Income Unit Applicable Fraction canot exceed 100% ensure that total units minus employee units is less than LI units for  building 39.
</v>
      </c>
      <c r="G3205" s="9" t="str">
        <f t="shared" ca="1" si="1156"/>
        <v>Enter a value for 'Number of Floors in the Tallest Building' in cell B60.
TRUE</v>
      </c>
    </row>
    <row r="3206" spans="1:7" ht="15" customHeight="1">
      <c r="A3206" t="str">
        <f t="shared" si="1157"/>
        <v/>
      </c>
      <c r="B3206">
        <f>Calculations!A748</f>
        <v>40</v>
      </c>
      <c r="E3206" s="137">
        <f>Calculations!H748</f>
        <v>0</v>
      </c>
      <c r="F3206" t="str">
        <f t="shared" si="1158"/>
        <v xml:space="preserve">Low-Income Unit Applicable Fraction canot exceed 100% ensure that total units minus employee units is less than LI units for  building 40.
</v>
      </c>
      <c r="G3206" s="9" t="str">
        <f t="shared" ca="1" si="1156"/>
        <v>Enter a value for 'Number of Floors in the Tallest Building' in cell B60.
TRUE</v>
      </c>
    </row>
    <row r="3207" spans="1:7" ht="15" customHeight="1">
      <c r="A3207" t="str">
        <f t="shared" si="1157"/>
        <v/>
      </c>
      <c r="B3207">
        <f>Calculations!A749</f>
        <v>41</v>
      </c>
      <c r="E3207" s="137">
        <f>Calculations!H749</f>
        <v>0</v>
      </c>
      <c r="F3207" t="str">
        <f t="shared" si="1158"/>
        <v xml:space="preserve">Low-Income Unit Applicable Fraction canot exceed 100% ensure that total units minus employee units is less than LI units for  building 41.
</v>
      </c>
      <c r="G3207" s="9" t="str">
        <f t="shared" ca="1" si="1156"/>
        <v>Enter a value for 'Number of Floors in the Tallest Building' in cell B60.
TRUE</v>
      </c>
    </row>
    <row r="3208" spans="1:7" ht="15" customHeight="1">
      <c r="A3208" t="str">
        <f t="shared" si="1157"/>
        <v/>
      </c>
      <c r="B3208">
        <f>Calculations!A750</f>
        <v>42</v>
      </c>
      <c r="E3208" s="137">
        <f>Calculations!H750</f>
        <v>0</v>
      </c>
      <c r="F3208" t="str">
        <f t="shared" si="1158"/>
        <v xml:space="preserve">Low-Income Unit Applicable Fraction canot exceed 100% ensure that total units minus employee units is less than LI units for  building 42.
</v>
      </c>
      <c r="G3208" s="9" t="str">
        <f t="shared" ca="1" si="1156"/>
        <v>Enter a value for 'Number of Floors in the Tallest Building' in cell B60.
TRUE</v>
      </c>
    </row>
    <row r="3209" spans="1:7" ht="15" customHeight="1">
      <c r="A3209" t="str">
        <f t="shared" si="1157"/>
        <v/>
      </c>
      <c r="B3209">
        <f>Calculations!A751</f>
        <v>43</v>
      </c>
      <c r="E3209" s="137">
        <f>Calculations!H751</f>
        <v>0</v>
      </c>
      <c r="F3209" t="str">
        <f t="shared" si="1158"/>
        <v xml:space="preserve">Low-Income Unit Applicable Fraction canot exceed 100% ensure that total units minus employee units is less than LI units for  building 43.
</v>
      </c>
      <c r="G3209" s="9" t="str">
        <f t="shared" ca="1" si="1156"/>
        <v>Enter a value for 'Number of Floors in the Tallest Building' in cell B60.
TRUE</v>
      </c>
    </row>
    <row r="3210" spans="1:7" ht="15" customHeight="1">
      <c r="A3210" t="str">
        <f t="shared" si="1157"/>
        <v/>
      </c>
      <c r="B3210">
        <f>Calculations!A752</f>
        <v>44</v>
      </c>
      <c r="E3210" s="137">
        <f>Calculations!H752</f>
        <v>0</v>
      </c>
      <c r="F3210" t="str">
        <f t="shared" si="1158"/>
        <v xml:space="preserve">Low-Income Unit Applicable Fraction canot exceed 100% ensure that total units minus employee units is less than LI units for  building 44.
</v>
      </c>
      <c r="G3210" s="9" t="str">
        <f t="shared" ca="1" si="1156"/>
        <v>Enter a value for 'Number of Floors in the Tallest Building' in cell B60.
TRUE</v>
      </c>
    </row>
    <row r="3211" spans="1:7" ht="15" customHeight="1">
      <c r="A3211" t="str">
        <f t="shared" si="1157"/>
        <v/>
      </c>
      <c r="B3211">
        <f>Calculations!A753</f>
        <v>45</v>
      </c>
      <c r="E3211" s="137">
        <f>Calculations!H753</f>
        <v>0</v>
      </c>
      <c r="F3211" t="str">
        <f t="shared" si="1158"/>
        <v xml:space="preserve">Low-Income Unit Applicable Fraction canot exceed 100% ensure that total units minus employee units is less than LI units for  building 45.
</v>
      </c>
      <c r="G3211" s="9" t="str">
        <f t="shared" ca="1" si="1156"/>
        <v>Enter a value for 'Number of Floors in the Tallest Building' in cell B60.
TRUE</v>
      </c>
    </row>
    <row r="3212" spans="1:7" ht="15" customHeight="1">
      <c r="A3212" t="str">
        <f t="shared" si="1157"/>
        <v/>
      </c>
      <c r="B3212">
        <f>Calculations!A754</f>
        <v>46</v>
      </c>
      <c r="E3212" s="137">
        <f>Calculations!H754</f>
        <v>0</v>
      </c>
      <c r="F3212" t="str">
        <f t="shared" si="1158"/>
        <v xml:space="preserve">Low-Income Unit Applicable Fraction canot exceed 100% ensure that total units minus employee units is less than LI units for  building 46.
</v>
      </c>
      <c r="G3212" s="9" t="str">
        <f t="shared" ca="1" si="1156"/>
        <v>Enter a value for 'Number of Floors in the Tallest Building' in cell B60.
TRUE</v>
      </c>
    </row>
    <row r="3213" spans="1:7" ht="15" customHeight="1">
      <c r="A3213" t="str">
        <f t="shared" si="1157"/>
        <v/>
      </c>
      <c r="B3213">
        <f>Calculations!A755</f>
        <v>47</v>
      </c>
      <c r="E3213" s="137">
        <f>Calculations!H755</f>
        <v>0</v>
      </c>
      <c r="F3213" t="str">
        <f t="shared" si="1158"/>
        <v xml:space="preserve">Low-Income Unit Applicable Fraction canot exceed 100% ensure that total units minus employee units is less than LI units for  building 47.
</v>
      </c>
      <c r="G3213" s="9" t="str">
        <f t="shared" ca="1" si="1156"/>
        <v>Enter a value for 'Number of Floors in the Tallest Building' in cell B60.
TRUE</v>
      </c>
    </row>
    <row r="3214" spans="1:7" ht="15" customHeight="1">
      <c r="A3214" t="str">
        <f t="shared" si="1157"/>
        <v/>
      </c>
      <c r="B3214">
        <f>Calculations!A756</f>
        <v>48</v>
      </c>
      <c r="E3214" s="137">
        <f>Calculations!H756</f>
        <v>0</v>
      </c>
      <c r="F3214" t="str">
        <f t="shared" si="1158"/>
        <v xml:space="preserve">Low-Income Unit Applicable Fraction canot exceed 100% ensure that total units minus employee units is less than LI units for  building 48.
</v>
      </c>
      <c r="G3214" s="9" t="str">
        <f t="shared" ca="1" si="1156"/>
        <v>Enter a value for 'Number of Floors in the Tallest Building' in cell B60.
TRUE</v>
      </c>
    </row>
    <row r="3215" spans="1:7" ht="15" customHeight="1">
      <c r="A3215" t="str">
        <f t="shared" si="1157"/>
        <v/>
      </c>
      <c r="B3215">
        <f>Calculations!A757</f>
        <v>49</v>
      </c>
      <c r="E3215" s="137">
        <f>Calculations!H757</f>
        <v>0</v>
      </c>
      <c r="F3215" t="str">
        <f t="shared" si="1158"/>
        <v xml:space="preserve">Low-Income Unit Applicable Fraction canot exceed 100% ensure that total units minus employee units is less than LI units for  building 49.
</v>
      </c>
      <c r="G3215" s="9" t="str">
        <f t="shared" ca="1" si="1156"/>
        <v>Enter a value for 'Number of Floors in the Tallest Building' in cell B60.
TRUE</v>
      </c>
    </row>
    <row r="3216" spans="1:7" ht="15" customHeight="1">
      <c r="A3216" t="str">
        <f t="shared" si="1157"/>
        <v/>
      </c>
      <c r="B3216">
        <f>Calculations!A758</f>
        <v>50</v>
      </c>
      <c r="E3216" s="137">
        <f>Calculations!H758</f>
        <v>0</v>
      </c>
      <c r="F3216" t="str">
        <f t="shared" si="1158"/>
        <v xml:space="preserve">Low-Income Unit Applicable Fraction canot exceed 100% ensure that total units minus employee units is less than LI units for  building 50.
</v>
      </c>
      <c r="G3216" s="9" t="str">
        <f t="shared" ca="1" si="1156"/>
        <v>Enter a value for 'Number of Floors in the Tallest Building' in cell B60.
TRUE</v>
      </c>
    </row>
    <row r="3217" spans="1:7" ht="15" customHeight="1">
      <c r="A3217" t="str">
        <f t="shared" si="1157"/>
        <v/>
      </c>
      <c r="B3217">
        <f>Calculations!A759</f>
        <v>51</v>
      </c>
      <c r="E3217" s="137">
        <f>Calculations!H759</f>
        <v>0</v>
      </c>
      <c r="F3217" t="str">
        <f t="shared" si="1158"/>
        <v xml:space="preserve">Low-Income Unit Applicable Fraction canot exceed 100% ensure that total units minus employee units is less than LI units for  building 51.
</v>
      </c>
      <c r="G3217" s="9" t="str">
        <f t="shared" ca="1" si="1156"/>
        <v>Enter a value for 'Number of Floors in the Tallest Building' in cell B60.
TRUE</v>
      </c>
    </row>
    <row r="3218" spans="1:7" ht="15" customHeight="1">
      <c r="A3218" t="str">
        <f t="shared" si="1157"/>
        <v/>
      </c>
      <c r="B3218">
        <f>Calculations!A760</f>
        <v>52</v>
      </c>
      <c r="E3218" s="137">
        <f>Calculations!H760</f>
        <v>0</v>
      </c>
      <c r="F3218" t="str">
        <f t="shared" si="1158"/>
        <v xml:space="preserve">Low-Income Unit Applicable Fraction canot exceed 100% ensure that total units minus employee units is less than LI units for  building 52.
</v>
      </c>
      <c r="G3218" s="9" t="str">
        <f t="shared" ca="1" si="1156"/>
        <v>Enter a value for 'Number of Floors in the Tallest Building' in cell B60.
TRUE</v>
      </c>
    </row>
    <row r="3219" spans="1:7" ht="15" customHeight="1">
      <c r="A3219" t="str">
        <f t="shared" si="1157"/>
        <v/>
      </c>
      <c r="B3219">
        <f>Calculations!A761</f>
        <v>53</v>
      </c>
      <c r="E3219" s="137">
        <f>Calculations!H761</f>
        <v>0</v>
      </c>
      <c r="F3219" t="str">
        <f t="shared" si="1158"/>
        <v xml:space="preserve">Low-Income Unit Applicable Fraction canot exceed 100% ensure that total units minus employee units is less than LI units for  building 53.
</v>
      </c>
      <c r="G3219" s="9" t="str">
        <f t="shared" ca="1" si="1156"/>
        <v>Enter a value for 'Number of Floors in the Tallest Building' in cell B60.
TRUE</v>
      </c>
    </row>
    <row r="3220" spans="1:7" ht="15" customHeight="1">
      <c r="A3220" t="str">
        <f t="shared" si="1157"/>
        <v/>
      </c>
      <c r="B3220">
        <f>Calculations!A762</f>
        <v>54</v>
      </c>
      <c r="E3220" s="137">
        <f>Calculations!H762</f>
        <v>0</v>
      </c>
      <c r="F3220" t="str">
        <f t="shared" si="1158"/>
        <v xml:space="preserve">Low-Income Unit Applicable Fraction canot exceed 100% ensure that total units minus employee units is less than LI units for  building 54.
</v>
      </c>
      <c r="G3220" s="9" t="str">
        <f t="shared" ca="1" si="1156"/>
        <v>Enter a value for 'Number of Floors in the Tallest Building' in cell B60.
TRUE</v>
      </c>
    </row>
    <row r="3221" spans="1:7" ht="15" customHeight="1">
      <c r="A3221" t="str">
        <f t="shared" si="1157"/>
        <v/>
      </c>
      <c r="B3221">
        <f>Calculations!A763</f>
        <v>55</v>
      </c>
      <c r="E3221" s="137">
        <f>Calculations!H763</f>
        <v>0</v>
      </c>
      <c r="F3221" t="str">
        <f t="shared" si="1158"/>
        <v xml:space="preserve">Low-Income Unit Applicable Fraction canot exceed 100% ensure that total units minus employee units is less than LI units for  building 55.
</v>
      </c>
      <c r="G3221" s="9" t="str">
        <f t="shared" ca="1" si="1156"/>
        <v>Enter a value for 'Number of Floors in the Tallest Building' in cell B60.
TRUE</v>
      </c>
    </row>
    <row r="3222" spans="1:7" ht="15" customHeight="1">
      <c r="A3222" t="str">
        <f t="shared" si="1157"/>
        <v/>
      </c>
      <c r="B3222">
        <f>Calculations!A764</f>
        <v>56</v>
      </c>
      <c r="E3222" s="137">
        <f>Calculations!H764</f>
        <v>0</v>
      </c>
      <c r="F3222" t="str">
        <f t="shared" si="1158"/>
        <v xml:space="preserve">Low-Income Unit Applicable Fraction canot exceed 100% ensure that total units minus employee units is less than LI units for  building 56.
</v>
      </c>
      <c r="G3222" s="9" t="str">
        <f t="shared" ca="1" si="1156"/>
        <v>Enter a value for 'Number of Floors in the Tallest Building' in cell B60.
TRUE</v>
      </c>
    </row>
    <row r="3223" spans="1:7" ht="15" customHeight="1">
      <c r="A3223" t="str">
        <f t="shared" si="1157"/>
        <v/>
      </c>
      <c r="B3223">
        <f>Calculations!A765</f>
        <v>57</v>
      </c>
      <c r="E3223" s="137">
        <f>Calculations!H765</f>
        <v>0</v>
      </c>
      <c r="F3223" t="str">
        <f t="shared" si="1158"/>
        <v xml:space="preserve">Low-Income Unit Applicable Fraction canot exceed 100% ensure that total units minus employee units is less than LI units for  building 57.
</v>
      </c>
      <c r="G3223" s="9" t="str">
        <f t="shared" ca="1" si="1156"/>
        <v>Enter a value for 'Number of Floors in the Tallest Building' in cell B60.
TRUE</v>
      </c>
    </row>
    <row r="3224" spans="1:7" ht="15" customHeight="1">
      <c r="A3224" t="str">
        <f t="shared" si="1157"/>
        <v/>
      </c>
      <c r="B3224">
        <f>Calculations!A766</f>
        <v>58</v>
      </c>
      <c r="E3224" s="137">
        <f>Calculations!H766</f>
        <v>0</v>
      </c>
      <c r="F3224" t="str">
        <f t="shared" si="1158"/>
        <v xml:space="preserve">Low-Income Unit Applicable Fraction canot exceed 100% ensure that total units minus employee units is less than LI units for  building 58.
</v>
      </c>
      <c r="G3224" s="9" t="str">
        <f t="shared" ca="1" si="1156"/>
        <v>Enter a value for 'Number of Floors in the Tallest Building' in cell B60.
TRUE</v>
      </c>
    </row>
    <row r="3225" spans="1:7" ht="15" customHeight="1">
      <c r="A3225" t="str">
        <f t="shared" si="1157"/>
        <v/>
      </c>
      <c r="B3225">
        <f>Calculations!A767</f>
        <v>59</v>
      </c>
      <c r="E3225" s="137">
        <f>Calculations!H767</f>
        <v>0</v>
      </c>
      <c r="F3225" t="str">
        <f t="shared" si="1158"/>
        <v xml:space="preserve">Low-Income Unit Applicable Fraction canot exceed 100% ensure that total units minus employee units is less than LI units for  building 59.
</v>
      </c>
      <c r="G3225" s="9" t="str">
        <f t="shared" ca="1" si="1156"/>
        <v>Enter a value for 'Number of Floors in the Tallest Building' in cell B60.
TRUE</v>
      </c>
    </row>
    <row r="3226" spans="1:7" ht="15" customHeight="1">
      <c r="A3226" t="str">
        <f t="shared" si="1157"/>
        <v/>
      </c>
      <c r="B3226">
        <f>Calculations!A768</f>
        <v>60</v>
      </c>
      <c r="E3226" s="137">
        <f>Calculations!H768</f>
        <v>0</v>
      </c>
      <c r="F3226" t="str">
        <f t="shared" si="1158"/>
        <v xml:space="preserve">Low-Income Unit Applicable Fraction canot exceed 100% ensure that total units minus employee units is less than LI units for  building 60.
</v>
      </c>
      <c r="G3226" s="9" t="str">
        <f t="shared" ca="1" si="1156"/>
        <v>Enter a value for 'Number of Floors in the Tallest Building' in cell B60.
TRUE</v>
      </c>
    </row>
    <row r="3227" spans="1:7" ht="15" customHeight="1">
      <c r="A3227" t="str">
        <f t="shared" si="1157"/>
        <v/>
      </c>
      <c r="B3227">
        <f>Calculations!A769</f>
        <v>61</v>
      </c>
      <c r="E3227" s="137">
        <f>Calculations!H769</f>
        <v>0</v>
      </c>
      <c r="F3227" t="str">
        <f t="shared" si="1158"/>
        <v xml:space="preserve">Low-Income Unit Applicable Fraction canot exceed 100% ensure that total units minus employee units is less than LI units for  building 61.
</v>
      </c>
      <c r="G3227" s="9" t="str">
        <f t="shared" ca="1" si="1156"/>
        <v>Enter a value for 'Number of Floors in the Tallest Building' in cell B60.
TRUE</v>
      </c>
    </row>
    <row r="3228" spans="1:7" ht="15" customHeight="1">
      <c r="A3228" t="str">
        <f t="shared" si="1157"/>
        <v/>
      </c>
      <c r="B3228">
        <f>Calculations!A770</f>
        <v>62</v>
      </c>
      <c r="E3228" s="137">
        <f>Calculations!H770</f>
        <v>0</v>
      </c>
      <c r="F3228" t="str">
        <f t="shared" si="1158"/>
        <v xml:space="preserve">Low-Income Unit Applicable Fraction canot exceed 100% ensure that total units minus employee units is less than LI units for  building 62.
</v>
      </c>
      <c r="G3228" s="9" t="str">
        <f t="shared" ca="1" si="1156"/>
        <v>Enter a value for 'Number of Floors in the Tallest Building' in cell B60.
TRUE</v>
      </c>
    </row>
    <row r="3229" spans="1:7" ht="15" customHeight="1">
      <c r="A3229" t="str">
        <f t="shared" si="1157"/>
        <v/>
      </c>
      <c r="B3229">
        <f>Calculations!A771</f>
        <v>63</v>
      </c>
      <c r="E3229" s="137">
        <f>Calculations!H771</f>
        <v>0</v>
      </c>
      <c r="F3229" t="str">
        <f t="shared" si="1158"/>
        <v xml:space="preserve">Low-Income Unit Applicable Fraction canot exceed 100% ensure that total units minus employee units is less than LI units for  building 63.
</v>
      </c>
      <c r="G3229" s="9" t="str">
        <f t="shared" ca="1" si="1156"/>
        <v>Enter a value for 'Number of Floors in the Tallest Building' in cell B60.
TRUE</v>
      </c>
    </row>
    <row r="3230" spans="1:7" ht="15" customHeight="1">
      <c r="A3230" t="str">
        <f t="shared" si="1157"/>
        <v/>
      </c>
      <c r="B3230">
        <f>Calculations!A772</f>
        <v>64</v>
      </c>
      <c r="E3230" s="137">
        <f>Calculations!H772</f>
        <v>0</v>
      </c>
      <c r="F3230" t="str">
        <f t="shared" si="1158"/>
        <v xml:space="preserve">Low-Income Unit Applicable Fraction canot exceed 100% ensure that total units minus employee units is less than LI units for  building 64.
</v>
      </c>
      <c r="G3230" s="9" t="str">
        <f t="shared" ca="1" si="1156"/>
        <v>Enter a value for 'Number of Floors in the Tallest Building' in cell B60.
TRUE</v>
      </c>
    </row>
    <row r="3231" spans="1:7" ht="15" customHeight="1">
      <c r="A3231" t="str">
        <f t="shared" ref="A3231:A3262" si="1159">IF(E3231&gt;1, F3231, "")</f>
        <v/>
      </c>
      <c r="B3231">
        <f>Calculations!A773</f>
        <v>65</v>
      </c>
      <c r="E3231" s="137">
        <f>Calculations!H773</f>
        <v>0</v>
      </c>
      <c r="F3231" t="str">
        <f t="shared" ref="F3231:F3265" si="1160">CONCATENATE("Low-Income Unit Applicable Fraction canot exceed 100% ensure that total units minus employee units is less than LI units for  building ", B3231, ".", CHAR(10))</f>
        <v xml:space="preserve">Low-Income Unit Applicable Fraction canot exceed 100% ensure that total units minus employee units is less than LI units for  building 65.
</v>
      </c>
      <c r="G3231" s="9" t="str">
        <f t="shared" ca="1" si="1156"/>
        <v>Enter a value for 'Number of Floors in the Tallest Building' in cell B60.
TRUE</v>
      </c>
    </row>
    <row r="3232" spans="1:7" ht="15" customHeight="1">
      <c r="A3232" t="str">
        <f t="shared" si="1159"/>
        <v/>
      </c>
      <c r="B3232">
        <f>Calculations!A774</f>
        <v>66</v>
      </c>
      <c r="E3232" s="137">
        <f>Calculations!H774</f>
        <v>0</v>
      </c>
      <c r="F3232" t="str">
        <f t="shared" si="1160"/>
        <v xml:space="preserve">Low-Income Unit Applicable Fraction canot exceed 100% ensure that total units minus employee units is less than LI units for  building 66.
</v>
      </c>
      <c r="G3232" s="9" t="str">
        <f t="shared" ref="G3232:G3295" ca="1" si="1161">OFFSET(G3232, -1, 0) &amp; A3232</f>
        <v>Enter a value for 'Number of Floors in the Tallest Building' in cell B60.
TRUE</v>
      </c>
    </row>
    <row r="3233" spans="1:7" ht="15" customHeight="1">
      <c r="A3233" t="str">
        <f t="shared" si="1159"/>
        <v/>
      </c>
      <c r="B3233">
        <f>Calculations!A775</f>
        <v>67</v>
      </c>
      <c r="E3233" s="137">
        <f>Calculations!H775</f>
        <v>0</v>
      </c>
      <c r="F3233" t="str">
        <f t="shared" si="1160"/>
        <v xml:space="preserve">Low-Income Unit Applicable Fraction canot exceed 100% ensure that total units minus employee units is less than LI units for  building 67.
</v>
      </c>
      <c r="G3233" s="9" t="str">
        <f t="shared" ca="1" si="1161"/>
        <v>Enter a value for 'Number of Floors in the Tallest Building' in cell B60.
TRUE</v>
      </c>
    </row>
    <row r="3234" spans="1:7" ht="15" customHeight="1">
      <c r="A3234" t="str">
        <f t="shared" si="1159"/>
        <v/>
      </c>
      <c r="B3234">
        <f>Calculations!A776</f>
        <v>68</v>
      </c>
      <c r="E3234" s="137">
        <f>Calculations!H776</f>
        <v>0</v>
      </c>
      <c r="F3234" t="str">
        <f t="shared" si="1160"/>
        <v xml:space="preserve">Low-Income Unit Applicable Fraction canot exceed 100% ensure that total units minus employee units is less than LI units for  building 68.
</v>
      </c>
      <c r="G3234" s="9" t="str">
        <f t="shared" ca="1" si="1161"/>
        <v>Enter a value for 'Number of Floors in the Tallest Building' in cell B60.
TRUE</v>
      </c>
    </row>
    <row r="3235" spans="1:7" ht="15" customHeight="1">
      <c r="A3235" t="str">
        <f t="shared" si="1159"/>
        <v/>
      </c>
      <c r="B3235">
        <f>Calculations!A777</f>
        <v>69</v>
      </c>
      <c r="E3235" s="137">
        <f>Calculations!H777</f>
        <v>0</v>
      </c>
      <c r="F3235" t="str">
        <f t="shared" si="1160"/>
        <v xml:space="preserve">Low-Income Unit Applicable Fraction canot exceed 100% ensure that total units minus employee units is less than LI units for  building 69.
</v>
      </c>
      <c r="G3235" s="9" t="str">
        <f t="shared" ca="1" si="1161"/>
        <v>Enter a value for 'Number of Floors in the Tallest Building' in cell B60.
TRUE</v>
      </c>
    </row>
    <row r="3236" spans="1:7" ht="15" customHeight="1">
      <c r="A3236" t="str">
        <f t="shared" si="1159"/>
        <v/>
      </c>
      <c r="B3236">
        <f>Calculations!A778</f>
        <v>70</v>
      </c>
      <c r="E3236" s="137">
        <f>Calculations!H778</f>
        <v>0</v>
      </c>
      <c r="F3236" t="str">
        <f t="shared" si="1160"/>
        <v xml:space="preserve">Low-Income Unit Applicable Fraction canot exceed 100% ensure that total units minus employee units is less than LI units for  building 70.
</v>
      </c>
      <c r="G3236" s="9" t="str">
        <f t="shared" ca="1" si="1161"/>
        <v>Enter a value for 'Number of Floors in the Tallest Building' in cell B60.
TRUE</v>
      </c>
    </row>
    <row r="3237" spans="1:7" ht="15" customHeight="1">
      <c r="A3237" t="str">
        <f t="shared" si="1159"/>
        <v/>
      </c>
      <c r="B3237">
        <f>Calculations!A779</f>
        <v>71</v>
      </c>
      <c r="E3237" s="137">
        <f>Calculations!H779</f>
        <v>0</v>
      </c>
      <c r="F3237" t="str">
        <f t="shared" si="1160"/>
        <v xml:space="preserve">Low-Income Unit Applicable Fraction canot exceed 100% ensure that total units minus employee units is less than LI units for  building 71.
</v>
      </c>
      <c r="G3237" s="9" t="str">
        <f t="shared" ca="1" si="1161"/>
        <v>Enter a value for 'Number of Floors in the Tallest Building' in cell B60.
TRUE</v>
      </c>
    </row>
    <row r="3238" spans="1:7" ht="15" customHeight="1">
      <c r="A3238" t="str">
        <f t="shared" si="1159"/>
        <v/>
      </c>
      <c r="B3238">
        <f>Calculations!A780</f>
        <v>72</v>
      </c>
      <c r="E3238" s="137">
        <f>Calculations!H780</f>
        <v>0</v>
      </c>
      <c r="F3238" t="str">
        <f t="shared" si="1160"/>
        <v xml:space="preserve">Low-Income Unit Applicable Fraction canot exceed 100% ensure that total units minus employee units is less than LI units for  building 72.
</v>
      </c>
      <c r="G3238" s="9" t="str">
        <f t="shared" ca="1" si="1161"/>
        <v>Enter a value for 'Number of Floors in the Tallest Building' in cell B60.
TRUE</v>
      </c>
    </row>
    <row r="3239" spans="1:7" ht="15" customHeight="1">
      <c r="A3239" t="str">
        <f t="shared" si="1159"/>
        <v/>
      </c>
      <c r="B3239">
        <f>Calculations!A781</f>
        <v>73</v>
      </c>
      <c r="E3239" s="137">
        <f>Calculations!H781</f>
        <v>0</v>
      </c>
      <c r="F3239" t="str">
        <f t="shared" si="1160"/>
        <v xml:space="preserve">Low-Income Unit Applicable Fraction canot exceed 100% ensure that total units minus employee units is less than LI units for  building 73.
</v>
      </c>
      <c r="G3239" s="9" t="str">
        <f t="shared" ca="1" si="1161"/>
        <v>Enter a value for 'Number of Floors in the Tallest Building' in cell B60.
TRUE</v>
      </c>
    </row>
    <row r="3240" spans="1:7" ht="15" customHeight="1">
      <c r="A3240" t="str">
        <f t="shared" si="1159"/>
        <v/>
      </c>
      <c r="B3240">
        <f>Calculations!A782</f>
        <v>74</v>
      </c>
      <c r="E3240" s="137">
        <f>Calculations!H782</f>
        <v>0</v>
      </c>
      <c r="F3240" t="str">
        <f t="shared" si="1160"/>
        <v xml:space="preserve">Low-Income Unit Applicable Fraction canot exceed 100% ensure that total units minus employee units is less than LI units for  building 74.
</v>
      </c>
      <c r="G3240" s="9" t="str">
        <f t="shared" ca="1" si="1161"/>
        <v>Enter a value for 'Number of Floors in the Tallest Building' in cell B60.
TRUE</v>
      </c>
    </row>
    <row r="3241" spans="1:7" ht="15" customHeight="1">
      <c r="A3241" t="str">
        <f t="shared" si="1159"/>
        <v/>
      </c>
      <c r="B3241">
        <f>Calculations!A783</f>
        <v>75</v>
      </c>
      <c r="E3241" s="137">
        <f>Calculations!H783</f>
        <v>0</v>
      </c>
      <c r="F3241" t="str">
        <f t="shared" si="1160"/>
        <v xml:space="preserve">Low-Income Unit Applicable Fraction canot exceed 100% ensure that total units minus employee units is less than LI units for  building 75.
</v>
      </c>
      <c r="G3241" s="9" t="str">
        <f t="shared" ca="1" si="1161"/>
        <v>Enter a value for 'Number of Floors in the Tallest Building' in cell B60.
TRUE</v>
      </c>
    </row>
    <row r="3242" spans="1:7" ht="15" customHeight="1">
      <c r="A3242" t="str">
        <f t="shared" si="1159"/>
        <v/>
      </c>
      <c r="B3242">
        <f>Calculations!A784</f>
        <v>76</v>
      </c>
      <c r="E3242" s="137">
        <f>Calculations!H784</f>
        <v>0</v>
      </c>
      <c r="F3242" t="str">
        <f t="shared" si="1160"/>
        <v xml:space="preserve">Low-Income Unit Applicable Fraction canot exceed 100% ensure that total units minus employee units is less than LI units for  building 76.
</v>
      </c>
      <c r="G3242" s="9" t="str">
        <f t="shared" ca="1" si="1161"/>
        <v>Enter a value for 'Number of Floors in the Tallest Building' in cell B60.
TRUE</v>
      </c>
    </row>
    <row r="3243" spans="1:7" ht="15" customHeight="1">
      <c r="A3243" t="str">
        <f t="shared" si="1159"/>
        <v/>
      </c>
      <c r="B3243">
        <f>Calculations!A785</f>
        <v>77</v>
      </c>
      <c r="E3243" s="137">
        <f>Calculations!H785</f>
        <v>0</v>
      </c>
      <c r="F3243" t="str">
        <f t="shared" si="1160"/>
        <v xml:space="preserve">Low-Income Unit Applicable Fraction canot exceed 100% ensure that total units minus employee units is less than LI units for  building 77.
</v>
      </c>
      <c r="G3243" s="9" t="str">
        <f t="shared" ca="1" si="1161"/>
        <v>Enter a value for 'Number of Floors in the Tallest Building' in cell B60.
TRUE</v>
      </c>
    </row>
    <row r="3244" spans="1:7" ht="15" customHeight="1">
      <c r="A3244" t="str">
        <f t="shared" si="1159"/>
        <v/>
      </c>
      <c r="B3244">
        <f>Calculations!A786</f>
        <v>78</v>
      </c>
      <c r="E3244" s="137">
        <f>Calculations!H786</f>
        <v>0</v>
      </c>
      <c r="F3244" t="str">
        <f t="shared" si="1160"/>
        <v xml:space="preserve">Low-Income Unit Applicable Fraction canot exceed 100% ensure that total units minus employee units is less than LI units for  building 78.
</v>
      </c>
      <c r="G3244" s="9" t="str">
        <f t="shared" ca="1" si="1161"/>
        <v>Enter a value for 'Number of Floors in the Tallest Building' in cell B60.
TRUE</v>
      </c>
    </row>
    <row r="3245" spans="1:7" ht="15" customHeight="1">
      <c r="A3245" t="str">
        <f t="shared" si="1159"/>
        <v/>
      </c>
      <c r="B3245">
        <f>Calculations!A787</f>
        <v>79</v>
      </c>
      <c r="E3245" s="137">
        <f>Calculations!H787</f>
        <v>0</v>
      </c>
      <c r="F3245" t="str">
        <f t="shared" si="1160"/>
        <v xml:space="preserve">Low-Income Unit Applicable Fraction canot exceed 100% ensure that total units minus employee units is less than LI units for  building 79.
</v>
      </c>
      <c r="G3245" s="9" t="str">
        <f t="shared" ca="1" si="1161"/>
        <v>Enter a value for 'Number of Floors in the Tallest Building' in cell B60.
TRUE</v>
      </c>
    </row>
    <row r="3246" spans="1:7" ht="15" customHeight="1">
      <c r="A3246" t="str">
        <f t="shared" si="1159"/>
        <v/>
      </c>
      <c r="B3246">
        <f>Calculations!A788</f>
        <v>80</v>
      </c>
      <c r="E3246" s="137">
        <f>Calculations!H788</f>
        <v>0</v>
      </c>
      <c r="F3246" t="str">
        <f t="shared" si="1160"/>
        <v xml:space="preserve">Low-Income Unit Applicable Fraction canot exceed 100% ensure that total units minus employee units is less than LI units for  building 80.
</v>
      </c>
      <c r="G3246" s="9" t="str">
        <f t="shared" ca="1" si="1161"/>
        <v>Enter a value for 'Number of Floors in the Tallest Building' in cell B60.
TRUE</v>
      </c>
    </row>
    <row r="3247" spans="1:7" ht="15" customHeight="1">
      <c r="A3247" t="str">
        <f t="shared" si="1159"/>
        <v/>
      </c>
      <c r="B3247">
        <f>Calculations!A789</f>
        <v>81</v>
      </c>
      <c r="E3247" s="137">
        <f>Calculations!H789</f>
        <v>0</v>
      </c>
      <c r="F3247" t="str">
        <f t="shared" si="1160"/>
        <v xml:space="preserve">Low-Income Unit Applicable Fraction canot exceed 100% ensure that total units minus employee units is less than LI units for  building 81.
</v>
      </c>
      <c r="G3247" s="9" t="str">
        <f t="shared" ca="1" si="1161"/>
        <v>Enter a value for 'Number of Floors in the Tallest Building' in cell B60.
TRUE</v>
      </c>
    </row>
    <row r="3248" spans="1:7" ht="15" customHeight="1">
      <c r="A3248" t="str">
        <f t="shared" si="1159"/>
        <v/>
      </c>
      <c r="B3248">
        <f>Calculations!A790</f>
        <v>82</v>
      </c>
      <c r="E3248" s="137">
        <f>Calculations!H790</f>
        <v>0</v>
      </c>
      <c r="F3248" t="str">
        <f t="shared" si="1160"/>
        <v xml:space="preserve">Low-Income Unit Applicable Fraction canot exceed 100% ensure that total units minus employee units is less than LI units for  building 82.
</v>
      </c>
      <c r="G3248" s="9" t="str">
        <f t="shared" ca="1" si="1161"/>
        <v>Enter a value for 'Number of Floors in the Tallest Building' in cell B60.
TRUE</v>
      </c>
    </row>
    <row r="3249" spans="1:7" ht="15" customHeight="1">
      <c r="A3249" t="str">
        <f t="shared" si="1159"/>
        <v/>
      </c>
      <c r="B3249">
        <f>Calculations!A791</f>
        <v>83</v>
      </c>
      <c r="E3249" s="137">
        <f>Calculations!H791</f>
        <v>0</v>
      </c>
      <c r="F3249" t="str">
        <f t="shared" si="1160"/>
        <v xml:space="preserve">Low-Income Unit Applicable Fraction canot exceed 100% ensure that total units minus employee units is less than LI units for  building 83.
</v>
      </c>
      <c r="G3249" s="9" t="str">
        <f t="shared" ca="1" si="1161"/>
        <v>Enter a value for 'Number of Floors in the Tallest Building' in cell B60.
TRUE</v>
      </c>
    </row>
    <row r="3250" spans="1:7" ht="15" customHeight="1">
      <c r="A3250" t="str">
        <f t="shared" si="1159"/>
        <v/>
      </c>
      <c r="B3250">
        <f>Calculations!A792</f>
        <v>84</v>
      </c>
      <c r="E3250" s="137">
        <f>Calculations!H792</f>
        <v>0</v>
      </c>
      <c r="F3250" t="str">
        <f t="shared" si="1160"/>
        <v xml:space="preserve">Low-Income Unit Applicable Fraction canot exceed 100% ensure that total units minus employee units is less than LI units for  building 84.
</v>
      </c>
      <c r="G3250" s="9" t="str">
        <f t="shared" ca="1" si="1161"/>
        <v>Enter a value for 'Number of Floors in the Tallest Building' in cell B60.
TRUE</v>
      </c>
    </row>
    <row r="3251" spans="1:7" ht="15" customHeight="1">
      <c r="A3251" t="str">
        <f t="shared" si="1159"/>
        <v/>
      </c>
      <c r="B3251">
        <f>Calculations!A793</f>
        <v>85</v>
      </c>
      <c r="E3251" s="137">
        <f>Calculations!H793</f>
        <v>0</v>
      </c>
      <c r="F3251" t="str">
        <f t="shared" si="1160"/>
        <v xml:space="preserve">Low-Income Unit Applicable Fraction canot exceed 100% ensure that total units minus employee units is less than LI units for  building 85.
</v>
      </c>
      <c r="G3251" s="9" t="str">
        <f t="shared" ca="1" si="1161"/>
        <v>Enter a value for 'Number of Floors in the Tallest Building' in cell B60.
TRUE</v>
      </c>
    </row>
    <row r="3252" spans="1:7" ht="15" customHeight="1">
      <c r="A3252" t="str">
        <f t="shared" si="1159"/>
        <v/>
      </c>
      <c r="B3252">
        <f>Calculations!A794</f>
        <v>86</v>
      </c>
      <c r="E3252" s="137">
        <f>Calculations!H794</f>
        <v>0</v>
      </c>
      <c r="F3252" t="str">
        <f t="shared" si="1160"/>
        <v xml:space="preserve">Low-Income Unit Applicable Fraction canot exceed 100% ensure that total units minus employee units is less than LI units for  building 86.
</v>
      </c>
      <c r="G3252" s="9" t="str">
        <f t="shared" ca="1" si="1161"/>
        <v>Enter a value for 'Number of Floors in the Tallest Building' in cell B60.
TRUE</v>
      </c>
    </row>
    <row r="3253" spans="1:7" ht="15" customHeight="1">
      <c r="A3253" t="str">
        <f t="shared" si="1159"/>
        <v/>
      </c>
      <c r="B3253">
        <f>Calculations!A795</f>
        <v>87</v>
      </c>
      <c r="E3253" s="137">
        <f>Calculations!H795</f>
        <v>0</v>
      </c>
      <c r="F3253" t="str">
        <f t="shared" si="1160"/>
        <v xml:space="preserve">Low-Income Unit Applicable Fraction canot exceed 100% ensure that total units minus employee units is less than LI units for  building 87.
</v>
      </c>
      <c r="G3253" s="9" t="str">
        <f t="shared" ca="1" si="1161"/>
        <v>Enter a value for 'Number of Floors in the Tallest Building' in cell B60.
TRUE</v>
      </c>
    </row>
    <row r="3254" spans="1:7" ht="15" customHeight="1">
      <c r="A3254" t="str">
        <f t="shared" si="1159"/>
        <v/>
      </c>
      <c r="B3254">
        <f>Calculations!A796</f>
        <v>88</v>
      </c>
      <c r="E3254" s="137">
        <f>Calculations!H796</f>
        <v>0</v>
      </c>
      <c r="F3254" t="str">
        <f t="shared" si="1160"/>
        <v xml:space="preserve">Low-Income Unit Applicable Fraction canot exceed 100% ensure that total units minus employee units is less than LI units for  building 88.
</v>
      </c>
      <c r="G3254" s="9" t="str">
        <f t="shared" ca="1" si="1161"/>
        <v>Enter a value for 'Number of Floors in the Tallest Building' in cell B60.
TRUE</v>
      </c>
    </row>
    <row r="3255" spans="1:7" ht="15" customHeight="1">
      <c r="A3255" t="str">
        <f t="shared" si="1159"/>
        <v/>
      </c>
      <c r="B3255">
        <f>Calculations!A797</f>
        <v>89</v>
      </c>
      <c r="E3255" s="137">
        <f>Calculations!H797</f>
        <v>0</v>
      </c>
      <c r="F3255" t="str">
        <f t="shared" si="1160"/>
        <v xml:space="preserve">Low-Income Unit Applicable Fraction canot exceed 100% ensure that total units minus employee units is less than LI units for  building 89.
</v>
      </c>
      <c r="G3255" s="9" t="str">
        <f t="shared" ca="1" si="1161"/>
        <v>Enter a value for 'Number of Floors in the Tallest Building' in cell B60.
TRUE</v>
      </c>
    </row>
    <row r="3256" spans="1:7" ht="15" customHeight="1">
      <c r="A3256" t="str">
        <f t="shared" si="1159"/>
        <v/>
      </c>
      <c r="B3256">
        <f>Calculations!A798</f>
        <v>90</v>
      </c>
      <c r="E3256" s="137">
        <f>Calculations!H798</f>
        <v>0</v>
      </c>
      <c r="F3256" t="str">
        <f t="shared" si="1160"/>
        <v xml:space="preserve">Low-Income Unit Applicable Fraction canot exceed 100% ensure that total units minus employee units is less than LI units for  building 90.
</v>
      </c>
      <c r="G3256" s="9" t="str">
        <f t="shared" ca="1" si="1161"/>
        <v>Enter a value for 'Number of Floors in the Tallest Building' in cell B60.
TRUE</v>
      </c>
    </row>
    <row r="3257" spans="1:7" ht="15" customHeight="1">
      <c r="A3257" t="str">
        <f t="shared" si="1159"/>
        <v/>
      </c>
      <c r="B3257">
        <f>Calculations!A799</f>
        <v>91</v>
      </c>
      <c r="E3257" s="137">
        <f>Calculations!H799</f>
        <v>0</v>
      </c>
      <c r="F3257" t="str">
        <f t="shared" si="1160"/>
        <v xml:space="preserve">Low-Income Unit Applicable Fraction canot exceed 100% ensure that total units minus employee units is less than LI units for  building 91.
</v>
      </c>
      <c r="G3257" s="9" t="str">
        <f t="shared" ca="1" si="1161"/>
        <v>Enter a value for 'Number of Floors in the Tallest Building' in cell B60.
TRUE</v>
      </c>
    </row>
    <row r="3258" spans="1:7" ht="15" customHeight="1">
      <c r="A3258" t="str">
        <f t="shared" si="1159"/>
        <v/>
      </c>
      <c r="B3258">
        <f>Calculations!A800</f>
        <v>92</v>
      </c>
      <c r="E3258" s="137">
        <f>Calculations!H800</f>
        <v>0</v>
      </c>
      <c r="F3258" t="str">
        <f t="shared" si="1160"/>
        <v xml:space="preserve">Low-Income Unit Applicable Fraction canot exceed 100% ensure that total units minus employee units is less than LI units for  building 92.
</v>
      </c>
      <c r="G3258" s="9" t="str">
        <f t="shared" ca="1" si="1161"/>
        <v>Enter a value for 'Number of Floors in the Tallest Building' in cell B60.
TRUE</v>
      </c>
    </row>
    <row r="3259" spans="1:7" ht="15" customHeight="1">
      <c r="A3259" t="str">
        <f t="shared" si="1159"/>
        <v/>
      </c>
      <c r="B3259">
        <f>Calculations!A801</f>
        <v>93</v>
      </c>
      <c r="E3259" s="137">
        <f>Calculations!H801</f>
        <v>0</v>
      </c>
      <c r="F3259" t="str">
        <f t="shared" si="1160"/>
        <v xml:space="preserve">Low-Income Unit Applicable Fraction canot exceed 100% ensure that total units minus employee units is less than LI units for  building 93.
</v>
      </c>
      <c r="G3259" s="9" t="str">
        <f t="shared" ca="1" si="1161"/>
        <v>Enter a value for 'Number of Floors in the Tallest Building' in cell B60.
TRUE</v>
      </c>
    </row>
    <row r="3260" spans="1:7" ht="15" customHeight="1">
      <c r="A3260" t="str">
        <f t="shared" si="1159"/>
        <v/>
      </c>
      <c r="B3260">
        <f>Calculations!A802</f>
        <v>94</v>
      </c>
      <c r="E3260" s="137">
        <f>Calculations!H802</f>
        <v>0</v>
      </c>
      <c r="F3260" t="str">
        <f t="shared" si="1160"/>
        <v xml:space="preserve">Low-Income Unit Applicable Fraction canot exceed 100% ensure that total units minus employee units is less than LI units for  building 94.
</v>
      </c>
      <c r="G3260" s="9" t="str">
        <f t="shared" ca="1" si="1161"/>
        <v>Enter a value for 'Number of Floors in the Tallest Building' in cell B60.
TRUE</v>
      </c>
    </row>
    <row r="3261" spans="1:7" ht="15" customHeight="1">
      <c r="A3261" t="str">
        <f t="shared" si="1159"/>
        <v/>
      </c>
      <c r="B3261">
        <f>Calculations!A803</f>
        <v>95</v>
      </c>
      <c r="E3261" s="137">
        <f>Calculations!H803</f>
        <v>0</v>
      </c>
      <c r="F3261" t="str">
        <f t="shared" si="1160"/>
        <v xml:space="preserve">Low-Income Unit Applicable Fraction canot exceed 100% ensure that total units minus employee units is less than LI units for  building 95.
</v>
      </c>
      <c r="G3261" s="9" t="str">
        <f t="shared" ca="1" si="1161"/>
        <v>Enter a value for 'Number of Floors in the Tallest Building' in cell B60.
TRUE</v>
      </c>
    </row>
    <row r="3262" spans="1:7" ht="15" customHeight="1">
      <c r="A3262" t="str">
        <f t="shared" si="1159"/>
        <v/>
      </c>
      <c r="B3262">
        <f>Calculations!A804</f>
        <v>96</v>
      </c>
      <c r="E3262" s="137">
        <f>Calculations!H804</f>
        <v>0</v>
      </c>
      <c r="F3262" t="str">
        <f t="shared" si="1160"/>
        <v xml:space="preserve">Low-Income Unit Applicable Fraction canot exceed 100% ensure that total units minus employee units is less than LI units for  building 96.
</v>
      </c>
      <c r="G3262" s="9" t="str">
        <f t="shared" ca="1" si="1161"/>
        <v>Enter a value for 'Number of Floors in the Tallest Building' in cell B60.
TRUE</v>
      </c>
    </row>
    <row r="3263" spans="1:7" ht="15" customHeight="1">
      <c r="A3263" t="str">
        <f t="shared" ref="A3263:A3294" si="1162">IF(E3263&gt;1, F3263, "")</f>
        <v/>
      </c>
      <c r="B3263">
        <f>Calculations!A805</f>
        <v>97</v>
      </c>
      <c r="E3263" s="137">
        <f>Calculations!H805</f>
        <v>0</v>
      </c>
      <c r="F3263" t="str">
        <f t="shared" si="1160"/>
        <v xml:space="preserve">Low-Income Unit Applicable Fraction canot exceed 100% ensure that total units minus employee units is less than LI units for  building 97.
</v>
      </c>
      <c r="G3263" s="9" t="str">
        <f t="shared" ca="1" si="1161"/>
        <v>Enter a value for 'Number of Floors in the Tallest Building' in cell B60.
TRUE</v>
      </c>
    </row>
    <row r="3264" spans="1:7" ht="15" customHeight="1">
      <c r="A3264" t="str">
        <f t="shared" si="1162"/>
        <v/>
      </c>
      <c r="B3264">
        <f>Calculations!A806</f>
        <v>98</v>
      </c>
      <c r="E3264" s="137">
        <f>Calculations!H806</f>
        <v>0</v>
      </c>
      <c r="F3264" t="str">
        <f t="shared" si="1160"/>
        <v xml:space="preserve">Low-Income Unit Applicable Fraction canot exceed 100% ensure that total units minus employee units is less than LI units for  building 98.
</v>
      </c>
      <c r="G3264" s="9" t="str">
        <f t="shared" ca="1" si="1161"/>
        <v>Enter a value for 'Number of Floors in the Tallest Building' in cell B60.
TRUE</v>
      </c>
    </row>
    <row r="3265" spans="1:7" ht="15" customHeight="1">
      <c r="A3265" t="str">
        <f t="shared" si="1162"/>
        <v/>
      </c>
      <c r="B3265">
        <f>Calculations!A807</f>
        <v>99</v>
      </c>
      <c r="E3265" s="137">
        <f>Calculations!H807</f>
        <v>0</v>
      </c>
      <c r="F3265" t="str">
        <f t="shared" si="1160"/>
        <v xml:space="preserve">Low-Income Unit Applicable Fraction canot exceed 100% ensure that total units minus employee units is less than LI units for  building 99.
</v>
      </c>
      <c r="G3265" s="9" t="str">
        <f t="shared" ca="1" si="1161"/>
        <v>Enter a value for 'Number of Floors in the Tallest Building' in cell B60.
TRUE</v>
      </c>
    </row>
    <row r="3266" spans="1:7" ht="15" customHeight="1">
      <c r="A3266" t="str">
        <f t="shared" si="1162"/>
        <v/>
      </c>
      <c r="B3266">
        <f>Calculations!A709</f>
        <v>1</v>
      </c>
      <c r="E3266" s="137">
        <f>Calculations!I709</f>
        <v>0</v>
      </c>
      <c r="F3266" t="str">
        <f t="shared" ref="F3266:F3297" si="1163">CONCATENATE("Square Footage Applicable Fraction canot exceed 100% ensure that total sq. feet minus employee sq. feet is less than LI sq. feet for  building ", B3266, ".", CHAR(10))</f>
        <v xml:space="preserve">Square Footage Applicable Fraction canot exceed 100% ensure that total sq. feet minus employee sq. feet is less than LI sq. feet for  building 1.
</v>
      </c>
      <c r="G3266" s="9" t="str">
        <f t="shared" ca="1" si="1161"/>
        <v>Enter a value for 'Number of Floors in the Tallest Building' in cell B60.
TRUE</v>
      </c>
    </row>
    <row r="3267" spans="1:7" ht="15" customHeight="1">
      <c r="A3267" t="str">
        <f t="shared" si="1162"/>
        <v/>
      </c>
      <c r="B3267">
        <f>Calculations!A710</f>
        <v>2</v>
      </c>
      <c r="E3267" s="137">
        <f>Calculations!I710</f>
        <v>0</v>
      </c>
      <c r="F3267" t="str">
        <f t="shared" si="1163"/>
        <v xml:space="preserve">Square Footage Applicable Fraction canot exceed 100% ensure that total sq. feet minus employee sq. feet is less than LI sq. feet for  building 2.
</v>
      </c>
      <c r="G3267" s="9" t="str">
        <f t="shared" ca="1" si="1161"/>
        <v>Enter a value for 'Number of Floors in the Tallest Building' in cell B60.
TRUE</v>
      </c>
    </row>
    <row r="3268" spans="1:7" ht="15" customHeight="1">
      <c r="A3268" t="str">
        <f t="shared" si="1162"/>
        <v/>
      </c>
      <c r="B3268">
        <f>Calculations!A711</f>
        <v>3</v>
      </c>
      <c r="E3268" s="137">
        <f>Calculations!I711</f>
        <v>0</v>
      </c>
      <c r="F3268" t="str">
        <f t="shared" si="1163"/>
        <v xml:space="preserve">Square Footage Applicable Fraction canot exceed 100% ensure that total sq. feet minus employee sq. feet is less than LI sq. feet for  building 3.
</v>
      </c>
      <c r="G3268" s="9" t="str">
        <f t="shared" ca="1" si="1161"/>
        <v>Enter a value for 'Number of Floors in the Tallest Building' in cell B60.
TRUE</v>
      </c>
    </row>
    <row r="3269" spans="1:7" ht="15" customHeight="1">
      <c r="A3269" t="str">
        <f t="shared" si="1162"/>
        <v/>
      </c>
      <c r="B3269">
        <f>Calculations!A712</f>
        <v>4</v>
      </c>
      <c r="E3269" s="137">
        <f>Calculations!I712</f>
        <v>0</v>
      </c>
      <c r="F3269" t="str">
        <f t="shared" si="1163"/>
        <v xml:space="preserve">Square Footage Applicable Fraction canot exceed 100% ensure that total sq. feet minus employee sq. feet is less than LI sq. feet for  building 4.
</v>
      </c>
      <c r="G3269" s="9" t="str">
        <f t="shared" ca="1" si="1161"/>
        <v>Enter a value for 'Number of Floors in the Tallest Building' in cell B60.
TRUE</v>
      </c>
    </row>
    <row r="3270" spans="1:7" ht="15" customHeight="1">
      <c r="A3270" t="str">
        <f t="shared" si="1162"/>
        <v/>
      </c>
      <c r="B3270">
        <f>Calculations!A713</f>
        <v>5</v>
      </c>
      <c r="E3270" s="137">
        <f>Calculations!I713</f>
        <v>0</v>
      </c>
      <c r="F3270" t="str">
        <f t="shared" si="1163"/>
        <v xml:space="preserve">Square Footage Applicable Fraction canot exceed 100% ensure that total sq. feet minus employee sq. feet is less than LI sq. feet for  building 5.
</v>
      </c>
      <c r="G3270" s="9" t="str">
        <f t="shared" ca="1" si="1161"/>
        <v>Enter a value for 'Number of Floors in the Tallest Building' in cell B60.
TRUE</v>
      </c>
    </row>
    <row r="3271" spans="1:7" ht="15" customHeight="1">
      <c r="A3271" t="str">
        <f t="shared" si="1162"/>
        <v/>
      </c>
      <c r="B3271">
        <f>Calculations!A714</f>
        <v>6</v>
      </c>
      <c r="E3271" s="137">
        <f>Calculations!I714</f>
        <v>0</v>
      </c>
      <c r="F3271" t="str">
        <f t="shared" si="1163"/>
        <v xml:space="preserve">Square Footage Applicable Fraction canot exceed 100% ensure that total sq. feet minus employee sq. feet is less than LI sq. feet for  building 6.
</v>
      </c>
      <c r="G3271" s="9" t="str">
        <f t="shared" ca="1" si="1161"/>
        <v>Enter a value for 'Number of Floors in the Tallest Building' in cell B60.
TRUE</v>
      </c>
    </row>
    <row r="3272" spans="1:7" ht="15" customHeight="1">
      <c r="A3272" t="str">
        <f t="shared" si="1162"/>
        <v/>
      </c>
      <c r="B3272">
        <f>Calculations!A715</f>
        <v>7</v>
      </c>
      <c r="E3272" s="137">
        <f>Calculations!I715</f>
        <v>0</v>
      </c>
      <c r="F3272" t="str">
        <f t="shared" si="1163"/>
        <v xml:space="preserve">Square Footage Applicable Fraction canot exceed 100% ensure that total sq. feet minus employee sq. feet is less than LI sq. feet for  building 7.
</v>
      </c>
      <c r="G3272" s="9" t="str">
        <f t="shared" ca="1" si="1161"/>
        <v>Enter a value for 'Number of Floors in the Tallest Building' in cell B60.
TRUE</v>
      </c>
    </row>
    <row r="3273" spans="1:7" ht="15" customHeight="1">
      <c r="A3273" t="str">
        <f t="shared" si="1162"/>
        <v/>
      </c>
      <c r="B3273">
        <f>Calculations!A716</f>
        <v>8</v>
      </c>
      <c r="E3273" s="137">
        <f>Calculations!I716</f>
        <v>0</v>
      </c>
      <c r="F3273" t="str">
        <f t="shared" si="1163"/>
        <v xml:space="preserve">Square Footage Applicable Fraction canot exceed 100% ensure that total sq. feet minus employee sq. feet is less than LI sq. feet for  building 8.
</v>
      </c>
      <c r="G3273" s="9" t="str">
        <f t="shared" ca="1" si="1161"/>
        <v>Enter a value for 'Number of Floors in the Tallest Building' in cell B60.
TRUE</v>
      </c>
    </row>
    <row r="3274" spans="1:7" ht="15" customHeight="1">
      <c r="A3274" t="str">
        <f t="shared" si="1162"/>
        <v/>
      </c>
      <c r="B3274">
        <f>Calculations!A717</f>
        <v>9</v>
      </c>
      <c r="E3274" s="137">
        <f>Calculations!I717</f>
        <v>0</v>
      </c>
      <c r="F3274" t="str">
        <f t="shared" si="1163"/>
        <v xml:space="preserve">Square Footage Applicable Fraction canot exceed 100% ensure that total sq. feet minus employee sq. feet is less than LI sq. feet for  building 9.
</v>
      </c>
      <c r="G3274" s="9" t="str">
        <f t="shared" ca="1" si="1161"/>
        <v>Enter a value for 'Number of Floors in the Tallest Building' in cell B60.
TRUE</v>
      </c>
    </row>
    <row r="3275" spans="1:7" ht="15" customHeight="1">
      <c r="A3275" t="str">
        <f t="shared" si="1162"/>
        <v/>
      </c>
      <c r="B3275">
        <f>Calculations!A718</f>
        <v>10</v>
      </c>
      <c r="E3275" s="137">
        <f>Calculations!I718</f>
        <v>0</v>
      </c>
      <c r="F3275" t="str">
        <f t="shared" si="1163"/>
        <v xml:space="preserve">Square Footage Applicable Fraction canot exceed 100% ensure that total sq. feet minus employee sq. feet is less than LI sq. feet for  building 10.
</v>
      </c>
      <c r="G3275" s="9" t="str">
        <f t="shared" ca="1" si="1161"/>
        <v>Enter a value for 'Number of Floors in the Tallest Building' in cell B60.
TRUE</v>
      </c>
    </row>
    <row r="3276" spans="1:7" ht="15" customHeight="1">
      <c r="A3276" t="str">
        <f t="shared" si="1162"/>
        <v/>
      </c>
      <c r="B3276">
        <f>Calculations!A719</f>
        <v>11</v>
      </c>
      <c r="E3276" s="137">
        <f>Calculations!I719</f>
        <v>0</v>
      </c>
      <c r="F3276" t="str">
        <f t="shared" si="1163"/>
        <v xml:space="preserve">Square Footage Applicable Fraction canot exceed 100% ensure that total sq. feet minus employee sq. feet is less than LI sq. feet for  building 11.
</v>
      </c>
      <c r="G3276" s="9" t="str">
        <f t="shared" ca="1" si="1161"/>
        <v>Enter a value for 'Number of Floors in the Tallest Building' in cell B60.
TRUE</v>
      </c>
    </row>
    <row r="3277" spans="1:7" ht="15" customHeight="1">
      <c r="A3277" t="str">
        <f t="shared" si="1162"/>
        <v/>
      </c>
      <c r="B3277">
        <f>Calculations!A720</f>
        <v>12</v>
      </c>
      <c r="E3277" s="137">
        <f>Calculations!I720</f>
        <v>0</v>
      </c>
      <c r="F3277" t="str">
        <f t="shared" si="1163"/>
        <v xml:space="preserve">Square Footage Applicable Fraction canot exceed 100% ensure that total sq. feet minus employee sq. feet is less than LI sq. feet for  building 12.
</v>
      </c>
      <c r="G3277" s="9" t="str">
        <f t="shared" ca="1" si="1161"/>
        <v>Enter a value for 'Number of Floors in the Tallest Building' in cell B60.
TRUE</v>
      </c>
    </row>
    <row r="3278" spans="1:7" ht="15" customHeight="1">
      <c r="A3278" t="str">
        <f t="shared" si="1162"/>
        <v/>
      </c>
      <c r="B3278">
        <f>Calculations!A721</f>
        <v>13</v>
      </c>
      <c r="E3278" s="137">
        <f>Calculations!I721</f>
        <v>0</v>
      </c>
      <c r="F3278" t="str">
        <f t="shared" si="1163"/>
        <v xml:space="preserve">Square Footage Applicable Fraction canot exceed 100% ensure that total sq. feet minus employee sq. feet is less than LI sq. feet for  building 13.
</v>
      </c>
      <c r="G3278" s="9" t="str">
        <f t="shared" ca="1" si="1161"/>
        <v>Enter a value for 'Number of Floors in the Tallest Building' in cell B60.
TRUE</v>
      </c>
    </row>
    <row r="3279" spans="1:7" ht="15" customHeight="1">
      <c r="A3279" t="str">
        <f t="shared" si="1162"/>
        <v/>
      </c>
      <c r="B3279">
        <f>Calculations!A722</f>
        <v>14</v>
      </c>
      <c r="E3279" s="137">
        <f>Calculations!I722</f>
        <v>0</v>
      </c>
      <c r="F3279" t="str">
        <f t="shared" si="1163"/>
        <v xml:space="preserve">Square Footage Applicable Fraction canot exceed 100% ensure that total sq. feet minus employee sq. feet is less than LI sq. feet for  building 14.
</v>
      </c>
      <c r="G3279" s="9" t="str">
        <f t="shared" ca="1" si="1161"/>
        <v>Enter a value for 'Number of Floors in the Tallest Building' in cell B60.
TRUE</v>
      </c>
    </row>
    <row r="3280" spans="1:7" ht="15" customHeight="1">
      <c r="A3280" t="str">
        <f t="shared" si="1162"/>
        <v/>
      </c>
      <c r="B3280">
        <f>Calculations!A723</f>
        <v>15</v>
      </c>
      <c r="E3280" s="137">
        <f>Calculations!I723</f>
        <v>0</v>
      </c>
      <c r="F3280" t="str">
        <f t="shared" si="1163"/>
        <v xml:space="preserve">Square Footage Applicable Fraction canot exceed 100% ensure that total sq. feet minus employee sq. feet is less than LI sq. feet for  building 15.
</v>
      </c>
      <c r="G3280" s="9" t="str">
        <f t="shared" ca="1" si="1161"/>
        <v>Enter a value for 'Number of Floors in the Tallest Building' in cell B60.
TRUE</v>
      </c>
    </row>
    <row r="3281" spans="1:7" ht="15" customHeight="1">
      <c r="A3281" t="str">
        <f t="shared" si="1162"/>
        <v/>
      </c>
      <c r="B3281">
        <f>Calculations!A724</f>
        <v>16</v>
      </c>
      <c r="E3281" s="137">
        <f>Calculations!I724</f>
        <v>0</v>
      </c>
      <c r="F3281" t="str">
        <f t="shared" si="1163"/>
        <v xml:space="preserve">Square Footage Applicable Fraction canot exceed 100% ensure that total sq. feet minus employee sq. feet is less than LI sq. feet for  building 16.
</v>
      </c>
      <c r="G3281" s="9" t="str">
        <f t="shared" ca="1" si="1161"/>
        <v>Enter a value for 'Number of Floors in the Tallest Building' in cell B60.
TRUE</v>
      </c>
    </row>
    <row r="3282" spans="1:7" ht="15" customHeight="1">
      <c r="A3282" t="str">
        <f t="shared" si="1162"/>
        <v/>
      </c>
      <c r="B3282">
        <f>Calculations!A725</f>
        <v>17</v>
      </c>
      <c r="E3282" s="137">
        <f>Calculations!I725</f>
        <v>0</v>
      </c>
      <c r="F3282" t="str">
        <f t="shared" si="1163"/>
        <v xml:space="preserve">Square Footage Applicable Fraction canot exceed 100% ensure that total sq. feet minus employee sq. feet is less than LI sq. feet for  building 17.
</v>
      </c>
      <c r="G3282" s="9" t="str">
        <f t="shared" ca="1" si="1161"/>
        <v>Enter a value for 'Number of Floors in the Tallest Building' in cell B60.
TRUE</v>
      </c>
    </row>
    <row r="3283" spans="1:7" ht="15" customHeight="1">
      <c r="A3283" t="str">
        <f t="shared" si="1162"/>
        <v/>
      </c>
      <c r="B3283">
        <f>Calculations!A726</f>
        <v>18</v>
      </c>
      <c r="E3283" s="137">
        <f>Calculations!I726</f>
        <v>0</v>
      </c>
      <c r="F3283" t="str">
        <f t="shared" si="1163"/>
        <v xml:space="preserve">Square Footage Applicable Fraction canot exceed 100% ensure that total sq. feet minus employee sq. feet is less than LI sq. feet for  building 18.
</v>
      </c>
      <c r="G3283" s="9" t="str">
        <f t="shared" ca="1" si="1161"/>
        <v>Enter a value for 'Number of Floors in the Tallest Building' in cell B60.
TRUE</v>
      </c>
    </row>
    <row r="3284" spans="1:7" ht="15" customHeight="1">
      <c r="A3284" t="str">
        <f t="shared" si="1162"/>
        <v/>
      </c>
      <c r="B3284">
        <f>Calculations!A727</f>
        <v>19</v>
      </c>
      <c r="E3284" s="137">
        <f>Calculations!I727</f>
        <v>0</v>
      </c>
      <c r="F3284" t="str">
        <f t="shared" si="1163"/>
        <v xml:space="preserve">Square Footage Applicable Fraction canot exceed 100% ensure that total sq. feet minus employee sq. feet is less than LI sq. feet for  building 19.
</v>
      </c>
      <c r="G3284" s="9" t="str">
        <f t="shared" ca="1" si="1161"/>
        <v>Enter a value for 'Number of Floors in the Tallest Building' in cell B60.
TRUE</v>
      </c>
    </row>
    <row r="3285" spans="1:7" ht="15" customHeight="1">
      <c r="A3285" t="str">
        <f t="shared" si="1162"/>
        <v/>
      </c>
      <c r="B3285">
        <f>Calculations!A728</f>
        <v>20</v>
      </c>
      <c r="E3285" s="137">
        <f>Calculations!I728</f>
        <v>0</v>
      </c>
      <c r="F3285" t="str">
        <f t="shared" si="1163"/>
        <v xml:space="preserve">Square Footage Applicable Fraction canot exceed 100% ensure that total sq. feet minus employee sq. feet is less than LI sq. feet for  building 20.
</v>
      </c>
      <c r="G3285" s="9" t="str">
        <f t="shared" ca="1" si="1161"/>
        <v>Enter a value for 'Number of Floors in the Tallest Building' in cell B60.
TRUE</v>
      </c>
    </row>
    <row r="3286" spans="1:7" ht="15" customHeight="1">
      <c r="A3286" t="str">
        <f t="shared" si="1162"/>
        <v/>
      </c>
      <c r="B3286">
        <f>Calculations!A729</f>
        <v>21</v>
      </c>
      <c r="E3286" s="137">
        <f>Calculations!I729</f>
        <v>0</v>
      </c>
      <c r="F3286" t="str">
        <f t="shared" si="1163"/>
        <v xml:space="preserve">Square Footage Applicable Fraction canot exceed 100% ensure that total sq. feet minus employee sq. feet is less than LI sq. feet for  building 21.
</v>
      </c>
      <c r="G3286" s="9" t="str">
        <f t="shared" ca="1" si="1161"/>
        <v>Enter a value for 'Number of Floors in the Tallest Building' in cell B60.
TRUE</v>
      </c>
    </row>
    <row r="3287" spans="1:7" ht="15" customHeight="1">
      <c r="A3287" t="str">
        <f t="shared" si="1162"/>
        <v/>
      </c>
      <c r="B3287">
        <f>Calculations!A730</f>
        <v>22</v>
      </c>
      <c r="E3287" s="137">
        <f>Calculations!I730</f>
        <v>0</v>
      </c>
      <c r="F3287" t="str">
        <f t="shared" si="1163"/>
        <v xml:space="preserve">Square Footage Applicable Fraction canot exceed 100% ensure that total sq. feet minus employee sq. feet is less than LI sq. feet for  building 22.
</v>
      </c>
      <c r="G3287" s="9" t="str">
        <f t="shared" ca="1" si="1161"/>
        <v>Enter a value for 'Number of Floors in the Tallest Building' in cell B60.
TRUE</v>
      </c>
    </row>
    <row r="3288" spans="1:7" ht="15" customHeight="1">
      <c r="A3288" t="str">
        <f t="shared" si="1162"/>
        <v/>
      </c>
      <c r="B3288">
        <f>Calculations!A731</f>
        <v>23</v>
      </c>
      <c r="E3288" s="137">
        <f>Calculations!I731</f>
        <v>0</v>
      </c>
      <c r="F3288" t="str">
        <f t="shared" si="1163"/>
        <v xml:space="preserve">Square Footage Applicable Fraction canot exceed 100% ensure that total sq. feet minus employee sq. feet is less than LI sq. feet for  building 23.
</v>
      </c>
      <c r="G3288" s="9" t="str">
        <f t="shared" ca="1" si="1161"/>
        <v>Enter a value for 'Number of Floors in the Tallest Building' in cell B60.
TRUE</v>
      </c>
    </row>
    <row r="3289" spans="1:7" ht="15" customHeight="1">
      <c r="A3289" t="str">
        <f t="shared" si="1162"/>
        <v/>
      </c>
      <c r="B3289">
        <f>Calculations!A732</f>
        <v>24</v>
      </c>
      <c r="E3289" s="137">
        <f>Calculations!I732</f>
        <v>0</v>
      </c>
      <c r="F3289" t="str">
        <f t="shared" si="1163"/>
        <v xml:space="preserve">Square Footage Applicable Fraction canot exceed 100% ensure that total sq. feet minus employee sq. feet is less than LI sq. feet for  building 24.
</v>
      </c>
      <c r="G3289" s="9" t="str">
        <f t="shared" ca="1" si="1161"/>
        <v>Enter a value for 'Number of Floors in the Tallest Building' in cell B60.
TRUE</v>
      </c>
    </row>
    <row r="3290" spans="1:7" ht="15" customHeight="1">
      <c r="A3290" t="str">
        <f t="shared" si="1162"/>
        <v/>
      </c>
      <c r="B3290">
        <f>Calculations!A733</f>
        <v>25</v>
      </c>
      <c r="E3290" s="137">
        <f>Calculations!I733</f>
        <v>0</v>
      </c>
      <c r="F3290" t="str">
        <f t="shared" si="1163"/>
        <v xml:space="preserve">Square Footage Applicable Fraction canot exceed 100% ensure that total sq. feet minus employee sq. feet is less than LI sq. feet for  building 25.
</v>
      </c>
      <c r="G3290" s="9" t="str">
        <f t="shared" ca="1" si="1161"/>
        <v>Enter a value for 'Number of Floors in the Tallest Building' in cell B60.
TRUE</v>
      </c>
    </row>
    <row r="3291" spans="1:7" ht="15" customHeight="1">
      <c r="A3291" t="str">
        <f t="shared" si="1162"/>
        <v/>
      </c>
      <c r="B3291">
        <f>Calculations!A734</f>
        <v>26</v>
      </c>
      <c r="E3291" s="137">
        <f>Calculations!I734</f>
        <v>0</v>
      </c>
      <c r="F3291" t="str">
        <f t="shared" si="1163"/>
        <v xml:space="preserve">Square Footage Applicable Fraction canot exceed 100% ensure that total sq. feet minus employee sq. feet is less than LI sq. feet for  building 26.
</v>
      </c>
      <c r="G3291" s="9" t="str">
        <f t="shared" ca="1" si="1161"/>
        <v>Enter a value for 'Number of Floors in the Tallest Building' in cell B60.
TRUE</v>
      </c>
    </row>
    <row r="3292" spans="1:7" ht="15" customHeight="1">
      <c r="A3292" t="str">
        <f t="shared" si="1162"/>
        <v/>
      </c>
      <c r="B3292">
        <f>Calculations!A735</f>
        <v>27</v>
      </c>
      <c r="E3292" s="137">
        <f>Calculations!I735</f>
        <v>0</v>
      </c>
      <c r="F3292" t="str">
        <f t="shared" si="1163"/>
        <v xml:space="preserve">Square Footage Applicable Fraction canot exceed 100% ensure that total sq. feet minus employee sq. feet is less than LI sq. feet for  building 27.
</v>
      </c>
      <c r="G3292" s="9" t="str">
        <f t="shared" ca="1" si="1161"/>
        <v>Enter a value for 'Number of Floors in the Tallest Building' in cell B60.
TRUE</v>
      </c>
    </row>
    <row r="3293" spans="1:7" ht="15" customHeight="1">
      <c r="A3293" t="str">
        <f t="shared" si="1162"/>
        <v/>
      </c>
      <c r="B3293">
        <f>Calculations!A736</f>
        <v>28</v>
      </c>
      <c r="E3293" s="137">
        <f>Calculations!I736</f>
        <v>0</v>
      </c>
      <c r="F3293" t="str">
        <f t="shared" si="1163"/>
        <v xml:space="preserve">Square Footage Applicable Fraction canot exceed 100% ensure that total sq. feet minus employee sq. feet is less than LI sq. feet for  building 28.
</v>
      </c>
      <c r="G3293" s="9" t="str">
        <f t="shared" ca="1" si="1161"/>
        <v>Enter a value for 'Number of Floors in the Tallest Building' in cell B60.
TRUE</v>
      </c>
    </row>
    <row r="3294" spans="1:7" ht="15" customHeight="1">
      <c r="A3294" t="str">
        <f t="shared" si="1162"/>
        <v/>
      </c>
      <c r="B3294">
        <f>Calculations!A737</f>
        <v>29</v>
      </c>
      <c r="E3294" s="137">
        <f>Calculations!I737</f>
        <v>0</v>
      </c>
      <c r="F3294" t="str">
        <f t="shared" si="1163"/>
        <v xml:space="preserve">Square Footage Applicable Fraction canot exceed 100% ensure that total sq. feet minus employee sq. feet is less than LI sq. feet for  building 29.
</v>
      </c>
      <c r="G3294" s="9" t="str">
        <f t="shared" ca="1" si="1161"/>
        <v>Enter a value for 'Number of Floors in the Tallest Building' in cell B60.
TRUE</v>
      </c>
    </row>
    <row r="3295" spans="1:7" ht="15" customHeight="1">
      <c r="A3295" t="str">
        <f t="shared" ref="A3295:A3326" si="1164">IF(E3295&gt;1, F3295, "")</f>
        <v/>
      </c>
      <c r="B3295">
        <f>Calculations!A738</f>
        <v>30</v>
      </c>
      <c r="E3295" s="137">
        <f>Calculations!I738</f>
        <v>0</v>
      </c>
      <c r="F3295" t="str">
        <f t="shared" si="1163"/>
        <v xml:space="preserve">Square Footage Applicable Fraction canot exceed 100% ensure that total sq. feet minus employee sq. feet is less than LI sq. feet for  building 30.
</v>
      </c>
      <c r="G3295" s="9" t="str">
        <f t="shared" ca="1" si="1161"/>
        <v>Enter a value for 'Number of Floors in the Tallest Building' in cell B60.
TRUE</v>
      </c>
    </row>
    <row r="3296" spans="1:7" ht="15" customHeight="1">
      <c r="A3296" t="str">
        <f t="shared" si="1164"/>
        <v/>
      </c>
      <c r="B3296">
        <f>Calculations!A739</f>
        <v>31</v>
      </c>
      <c r="E3296" s="137">
        <f>Calculations!I739</f>
        <v>0</v>
      </c>
      <c r="F3296" t="str">
        <f t="shared" si="1163"/>
        <v xml:space="preserve">Square Footage Applicable Fraction canot exceed 100% ensure that total sq. feet minus employee sq. feet is less than LI sq. feet for  building 31.
</v>
      </c>
      <c r="G3296" s="9" t="str">
        <f t="shared" ref="G3296:G3359" ca="1" si="1165">OFFSET(G3296, -1, 0) &amp; A3296</f>
        <v>Enter a value for 'Number of Floors in the Tallest Building' in cell B60.
TRUE</v>
      </c>
    </row>
    <row r="3297" spans="1:7" ht="15" customHeight="1">
      <c r="A3297" t="str">
        <f t="shared" si="1164"/>
        <v/>
      </c>
      <c r="B3297">
        <f>Calculations!A740</f>
        <v>32</v>
      </c>
      <c r="E3297" s="137">
        <f>Calculations!I740</f>
        <v>0</v>
      </c>
      <c r="F3297" t="str">
        <f t="shared" si="1163"/>
        <v xml:space="preserve">Square Footage Applicable Fraction canot exceed 100% ensure that total sq. feet minus employee sq. feet is less than LI sq. feet for  building 32.
</v>
      </c>
      <c r="G3297" s="9" t="str">
        <f t="shared" ca="1" si="1165"/>
        <v>Enter a value for 'Number of Floors in the Tallest Building' in cell B60.
TRUE</v>
      </c>
    </row>
    <row r="3298" spans="1:7" ht="15" customHeight="1">
      <c r="A3298" t="str">
        <f t="shared" si="1164"/>
        <v/>
      </c>
      <c r="B3298">
        <f>Calculations!A741</f>
        <v>33</v>
      </c>
      <c r="E3298" s="137">
        <f>Calculations!I741</f>
        <v>0</v>
      </c>
      <c r="F3298" t="str">
        <f t="shared" ref="F3298:F3329" si="1166">CONCATENATE("Square Footage Applicable Fraction canot exceed 100% ensure that total sq. feet minus employee sq. feet is less than LI sq. feet for  building ", B3298, ".", CHAR(10))</f>
        <v xml:space="preserve">Square Footage Applicable Fraction canot exceed 100% ensure that total sq. feet minus employee sq. feet is less than LI sq. feet for  building 33.
</v>
      </c>
      <c r="G3298" s="9" t="str">
        <f t="shared" ca="1" si="1165"/>
        <v>Enter a value for 'Number of Floors in the Tallest Building' in cell B60.
TRUE</v>
      </c>
    </row>
    <row r="3299" spans="1:7" ht="15" customHeight="1">
      <c r="A3299" t="str">
        <f t="shared" si="1164"/>
        <v/>
      </c>
      <c r="B3299">
        <f>Calculations!A742</f>
        <v>34</v>
      </c>
      <c r="E3299" s="137">
        <f>Calculations!I742</f>
        <v>0</v>
      </c>
      <c r="F3299" t="str">
        <f t="shared" si="1166"/>
        <v xml:space="preserve">Square Footage Applicable Fraction canot exceed 100% ensure that total sq. feet minus employee sq. feet is less than LI sq. feet for  building 34.
</v>
      </c>
      <c r="G3299" s="9" t="str">
        <f t="shared" ca="1" si="1165"/>
        <v>Enter a value for 'Number of Floors in the Tallest Building' in cell B60.
TRUE</v>
      </c>
    </row>
    <row r="3300" spans="1:7" ht="15" customHeight="1">
      <c r="A3300" t="str">
        <f t="shared" si="1164"/>
        <v/>
      </c>
      <c r="B3300">
        <f>Calculations!A743</f>
        <v>35</v>
      </c>
      <c r="E3300" s="137">
        <f>Calculations!I743</f>
        <v>0</v>
      </c>
      <c r="F3300" t="str">
        <f t="shared" si="1166"/>
        <v xml:space="preserve">Square Footage Applicable Fraction canot exceed 100% ensure that total sq. feet minus employee sq. feet is less than LI sq. feet for  building 35.
</v>
      </c>
      <c r="G3300" s="9" t="str">
        <f t="shared" ca="1" si="1165"/>
        <v>Enter a value for 'Number of Floors in the Tallest Building' in cell B60.
TRUE</v>
      </c>
    </row>
    <row r="3301" spans="1:7" ht="15" customHeight="1">
      <c r="A3301" t="str">
        <f t="shared" si="1164"/>
        <v/>
      </c>
      <c r="B3301">
        <f>Calculations!A744</f>
        <v>36</v>
      </c>
      <c r="E3301" s="137">
        <f>Calculations!I744</f>
        <v>0</v>
      </c>
      <c r="F3301" t="str">
        <f t="shared" si="1166"/>
        <v xml:space="preserve">Square Footage Applicable Fraction canot exceed 100% ensure that total sq. feet minus employee sq. feet is less than LI sq. feet for  building 36.
</v>
      </c>
      <c r="G3301" s="9" t="str">
        <f t="shared" ca="1" si="1165"/>
        <v>Enter a value for 'Number of Floors in the Tallest Building' in cell B60.
TRUE</v>
      </c>
    </row>
    <row r="3302" spans="1:7" ht="15" customHeight="1">
      <c r="A3302" t="str">
        <f t="shared" si="1164"/>
        <v/>
      </c>
      <c r="B3302">
        <f>Calculations!A745</f>
        <v>37</v>
      </c>
      <c r="E3302" s="137">
        <f>Calculations!I745</f>
        <v>0</v>
      </c>
      <c r="F3302" t="str">
        <f t="shared" si="1166"/>
        <v xml:space="preserve">Square Footage Applicable Fraction canot exceed 100% ensure that total sq. feet minus employee sq. feet is less than LI sq. feet for  building 37.
</v>
      </c>
      <c r="G3302" s="9" t="str">
        <f t="shared" ca="1" si="1165"/>
        <v>Enter a value for 'Number of Floors in the Tallest Building' in cell B60.
TRUE</v>
      </c>
    </row>
    <row r="3303" spans="1:7" ht="15" customHeight="1">
      <c r="A3303" t="str">
        <f t="shared" si="1164"/>
        <v/>
      </c>
      <c r="B3303">
        <f>Calculations!A746</f>
        <v>38</v>
      </c>
      <c r="E3303" s="137">
        <f>Calculations!I746</f>
        <v>0</v>
      </c>
      <c r="F3303" t="str">
        <f t="shared" si="1166"/>
        <v xml:space="preserve">Square Footage Applicable Fraction canot exceed 100% ensure that total sq. feet minus employee sq. feet is less than LI sq. feet for  building 38.
</v>
      </c>
      <c r="G3303" s="9" t="str">
        <f t="shared" ca="1" si="1165"/>
        <v>Enter a value for 'Number of Floors in the Tallest Building' in cell B60.
TRUE</v>
      </c>
    </row>
    <row r="3304" spans="1:7" ht="15" customHeight="1">
      <c r="A3304" t="str">
        <f t="shared" si="1164"/>
        <v/>
      </c>
      <c r="B3304">
        <f>Calculations!A747</f>
        <v>39</v>
      </c>
      <c r="E3304" s="137">
        <f>Calculations!I747</f>
        <v>0</v>
      </c>
      <c r="F3304" t="str">
        <f t="shared" si="1166"/>
        <v xml:space="preserve">Square Footage Applicable Fraction canot exceed 100% ensure that total sq. feet minus employee sq. feet is less than LI sq. feet for  building 39.
</v>
      </c>
      <c r="G3304" s="9" t="str">
        <f t="shared" ca="1" si="1165"/>
        <v>Enter a value for 'Number of Floors in the Tallest Building' in cell B60.
TRUE</v>
      </c>
    </row>
    <row r="3305" spans="1:7" ht="15" customHeight="1">
      <c r="A3305" t="str">
        <f t="shared" si="1164"/>
        <v/>
      </c>
      <c r="B3305">
        <f>Calculations!A748</f>
        <v>40</v>
      </c>
      <c r="E3305" s="137">
        <f>Calculations!I748</f>
        <v>0</v>
      </c>
      <c r="F3305" t="str">
        <f t="shared" si="1166"/>
        <v xml:space="preserve">Square Footage Applicable Fraction canot exceed 100% ensure that total sq. feet minus employee sq. feet is less than LI sq. feet for  building 40.
</v>
      </c>
      <c r="G3305" s="9" t="str">
        <f t="shared" ca="1" si="1165"/>
        <v>Enter a value for 'Number of Floors in the Tallest Building' in cell B60.
TRUE</v>
      </c>
    </row>
    <row r="3306" spans="1:7" ht="15" customHeight="1">
      <c r="A3306" t="str">
        <f t="shared" si="1164"/>
        <v/>
      </c>
      <c r="B3306">
        <f>Calculations!A749</f>
        <v>41</v>
      </c>
      <c r="E3306" s="137">
        <f>Calculations!I749</f>
        <v>0</v>
      </c>
      <c r="F3306" t="str">
        <f t="shared" si="1166"/>
        <v xml:space="preserve">Square Footage Applicable Fraction canot exceed 100% ensure that total sq. feet minus employee sq. feet is less than LI sq. feet for  building 41.
</v>
      </c>
      <c r="G3306" s="9" t="str">
        <f t="shared" ca="1" si="1165"/>
        <v>Enter a value for 'Number of Floors in the Tallest Building' in cell B60.
TRUE</v>
      </c>
    </row>
    <row r="3307" spans="1:7" ht="15" customHeight="1">
      <c r="A3307" t="str">
        <f t="shared" si="1164"/>
        <v/>
      </c>
      <c r="B3307">
        <f>Calculations!A750</f>
        <v>42</v>
      </c>
      <c r="E3307" s="137">
        <f>Calculations!I750</f>
        <v>0</v>
      </c>
      <c r="F3307" t="str">
        <f t="shared" si="1166"/>
        <v xml:space="preserve">Square Footage Applicable Fraction canot exceed 100% ensure that total sq. feet minus employee sq. feet is less than LI sq. feet for  building 42.
</v>
      </c>
      <c r="G3307" s="9" t="str">
        <f t="shared" ca="1" si="1165"/>
        <v>Enter a value for 'Number of Floors in the Tallest Building' in cell B60.
TRUE</v>
      </c>
    </row>
    <row r="3308" spans="1:7" ht="15" customHeight="1">
      <c r="A3308" t="str">
        <f t="shared" si="1164"/>
        <v/>
      </c>
      <c r="B3308">
        <f>Calculations!A751</f>
        <v>43</v>
      </c>
      <c r="E3308" s="137">
        <f>Calculations!I751</f>
        <v>0</v>
      </c>
      <c r="F3308" t="str">
        <f t="shared" si="1166"/>
        <v xml:space="preserve">Square Footage Applicable Fraction canot exceed 100% ensure that total sq. feet minus employee sq. feet is less than LI sq. feet for  building 43.
</v>
      </c>
      <c r="G3308" s="9" t="str">
        <f t="shared" ca="1" si="1165"/>
        <v>Enter a value for 'Number of Floors in the Tallest Building' in cell B60.
TRUE</v>
      </c>
    </row>
    <row r="3309" spans="1:7" ht="15" customHeight="1">
      <c r="A3309" t="str">
        <f t="shared" si="1164"/>
        <v/>
      </c>
      <c r="B3309">
        <f>Calculations!A752</f>
        <v>44</v>
      </c>
      <c r="E3309" s="137">
        <f>Calculations!I752</f>
        <v>0</v>
      </c>
      <c r="F3309" t="str">
        <f t="shared" si="1166"/>
        <v xml:space="preserve">Square Footage Applicable Fraction canot exceed 100% ensure that total sq. feet minus employee sq. feet is less than LI sq. feet for  building 44.
</v>
      </c>
      <c r="G3309" s="9" t="str">
        <f t="shared" ca="1" si="1165"/>
        <v>Enter a value for 'Number of Floors in the Tallest Building' in cell B60.
TRUE</v>
      </c>
    </row>
    <row r="3310" spans="1:7" ht="15" customHeight="1">
      <c r="A3310" t="str">
        <f t="shared" si="1164"/>
        <v/>
      </c>
      <c r="B3310">
        <f>Calculations!A753</f>
        <v>45</v>
      </c>
      <c r="E3310" s="137">
        <f>Calculations!I753</f>
        <v>0</v>
      </c>
      <c r="F3310" t="str">
        <f t="shared" si="1166"/>
        <v xml:space="preserve">Square Footage Applicable Fraction canot exceed 100% ensure that total sq. feet minus employee sq. feet is less than LI sq. feet for  building 45.
</v>
      </c>
      <c r="G3310" s="9" t="str">
        <f t="shared" ca="1" si="1165"/>
        <v>Enter a value for 'Number of Floors in the Tallest Building' in cell B60.
TRUE</v>
      </c>
    </row>
    <row r="3311" spans="1:7" ht="15" customHeight="1">
      <c r="A3311" t="str">
        <f t="shared" si="1164"/>
        <v/>
      </c>
      <c r="B3311">
        <f>Calculations!A754</f>
        <v>46</v>
      </c>
      <c r="E3311" s="137">
        <f>Calculations!I754</f>
        <v>0</v>
      </c>
      <c r="F3311" t="str">
        <f t="shared" si="1166"/>
        <v xml:space="preserve">Square Footage Applicable Fraction canot exceed 100% ensure that total sq. feet minus employee sq. feet is less than LI sq. feet for  building 46.
</v>
      </c>
      <c r="G3311" s="9" t="str">
        <f t="shared" ca="1" si="1165"/>
        <v>Enter a value for 'Number of Floors in the Tallest Building' in cell B60.
TRUE</v>
      </c>
    </row>
    <row r="3312" spans="1:7" ht="15" customHeight="1">
      <c r="A3312" t="str">
        <f t="shared" si="1164"/>
        <v/>
      </c>
      <c r="B3312">
        <f>Calculations!A755</f>
        <v>47</v>
      </c>
      <c r="E3312" s="137">
        <f>Calculations!I755</f>
        <v>0</v>
      </c>
      <c r="F3312" t="str">
        <f t="shared" si="1166"/>
        <v xml:space="preserve">Square Footage Applicable Fraction canot exceed 100% ensure that total sq. feet minus employee sq. feet is less than LI sq. feet for  building 47.
</v>
      </c>
      <c r="G3312" s="9" t="str">
        <f t="shared" ca="1" si="1165"/>
        <v>Enter a value for 'Number of Floors in the Tallest Building' in cell B60.
TRUE</v>
      </c>
    </row>
    <row r="3313" spans="1:7" ht="15" customHeight="1">
      <c r="A3313" t="str">
        <f t="shared" si="1164"/>
        <v/>
      </c>
      <c r="B3313">
        <f>Calculations!A756</f>
        <v>48</v>
      </c>
      <c r="E3313" s="137">
        <f>Calculations!I756</f>
        <v>0</v>
      </c>
      <c r="F3313" t="str">
        <f t="shared" si="1166"/>
        <v xml:space="preserve">Square Footage Applicable Fraction canot exceed 100% ensure that total sq. feet minus employee sq. feet is less than LI sq. feet for  building 48.
</v>
      </c>
      <c r="G3313" s="9" t="str">
        <f t="shared" ca="1" si="1165"/>
        <v>Enter a value for 'Number of Floors in the Tallest Building' in cell B60.
TRUE</v>
      </c>
    </row>
    <row r="3314" spans="1:7" ht="15" customHeight="1">
      <c r="A3314" t="str">
        <f t="shared" si="1164"/>
        <v/>
      </c>
      <c r="B3314">
        <f>Calculations!A757</f>
        <v>49</v>
      </c>
      <c r="E3314" s="137">
        <f>Calculations!I757</f>
        <v>0</v>
      </c>
      <c r="F3314" t="str">
        <f t="shared" si="1166"/>
        <v xml:space="preserve">Square Footage Applicable Fraction canot exceed 100% ensure that total sq. feet minus employee sq. feet is less than LI sq. feet for  building 49.
</v>
      </c>
      <c r="G3314" s="9" t="str">
        <f t="shared" ca="1" si="1165"/>
        <v>Enter a value for 'Number of Floors in the Tallest Building' in cell B60.
TRUE</v>
      </c>
    </row>
    <row r="3315" spans="1:7" ht="15" customHeight="1">
      <c r="A3315" t="str">
        <f t="shared" si="1164"/>
        <v/>
      </c>
      <c r="B3315">
        <f>Calculations!A758</f>
        <v>50</v>
      </c>
      <c r="E3315" s="137">
        <f>Calculations!I758</f>
        <v>0</v>
      </c>
      <c r="F3315" t="str">
        <f t="shared" si="1166"/>
        <v xml:space="preserve">Square Footage Applicable Fraction canot exceed 100% ensure that total sq. feet minus employee sq. feet is less than LI sq. feet for  building 50.
</v>
      </c>
      <c r="G3315" s="9" t="str">
        <f t="shared" ca="1" si="1165"/>
        <v>Enter a value for 'Number of Floors in the Tallest Building' in cell B60.
TRUE</v>
      </c>
    </row>
    <row r="3316" spans="1:7" ht="15" customHeight="1">
      <c r="A3316" t="str">
        <f t="shared" si="1164"/>
        <v/>
      </c>
      <c r="B3316">
        <f>Calculations!A759</f>
        <v>51</v>
      </c>
      <c r="E3316" s="137">
        <f>Calculations!I759</f>
        <v>0</v>
      </c>
      <c r="F3316" t="str">
        <f t="shared" si="1166"/>
        <v xml:space="preserve">Square Footage Applicable Fraction canot exceed 100% ensure that total sq. feet minus employee sq. feet is less than LI sq. feet for  building 51.
</v>
      </c>
      <c r="G3316" s="9" t="str">
        <f t="shared" ca="1" si="1165"/>
        <v>Enter a value for 'Number of Floors in the Tallest Building' in cell B60.
TRUE</v>
      </c>
    </row>
    <row r="3317" spans="1:7" ht="15" customHeight="1">
      <c r="A3317" t="str">
        <f t="shared" si="1164"/>
        <v/>
      </c>
      <c r="B3317">
        <f>Calculations!A760</f>
        <v>52</v>
      </c>
      <c r="E3317" s="137">
        <f>Calculations!I760</f>
        <v>0</v>
      </c>
      <c r="F3317" t="str">
        <f t="shared" si="1166"/>
        <v xml:space="preserve">Square Footage Applicable Fraction canot exceed 100% ensure that total sq. feet minus employee sq. feet is less than LI sq. feet for  building 52.
</v>
      </c>
      <c r="G3317" s="9" t="str">
        <f t="shared" ca="1" si="1165"/>
        <v>Enter a value for 'Number of Floors in the Tallest Building' in cell B60.
TRUE</v>
      </c>
    </row>
    <row r="3318" spans="1:7" ht="15" customHeight="1">
      <c r="A3318" t="str">
        <f t="shared" si="1164"/>
        <v/>
      </c>
      <c r="B3318">
        <f>Calculations!A761</f>
        <v>53</v>
      </c>
      <c r="E3318" s="137">
        <f>Calculations!I761</f>
        <v>0</v>
      </c>
      <c r="F3318" t="str">
        <f t="shared" si="1166"/>
        <v xml:space="preserve">Square Footage Applicable Fraction canot exceed 100% ensure that total sq. feet minus employee sq. feet is less than LI sq. feet for  building 53.
</v>
      </c>
      <c r="G3318" s="9" t="str">
        <f t="shared" ca="1" si="1165"/>
        <v>Enter a value for 'Number of Floors in the Tallest Building' in cell B60.
TRUE</v>
      </c>
    </row>
    <row r="3319" spans="1:7" ht="15" customHeight="1">
      <c r="A3319" t="str">
        <f t="shared" si="1164"/>
        <v/>
      </c>
      <c r="B3319">
        <f>Calculations!A762</f>
        <v>54</v>
      </c>
      <c r="E3319" s="137">
        <f>Calculations!I762</f>
        <v>0</v>
      </c>
      <c r="F3319" t="str">
        <f t="shared" si="1166"/>
        <v xml:space="preserve">Square Footage Applicable Fraction canot exceed 100% ensure that total sq. feet minus employee sq. feet is less than LI sq. feet for  building 54.
</v>
      </c>
      <c r="G3319" s="9" t="str">
        <f t="shared" ca="1" si="1165"/>
        <v>Enter a value for 'Number of Floors in the Tallest Building' in cell B60.
TRUE</v>
      </c>
    </row>
    <row r="3320" spans="1:7" ht="15" customHeight="1">
      <c r="A3320" t="str">
        <f t="shared" si="1164"/>
        <v/>
      </c>
      <c r="B3320">
        <f>Calculations!A763</f>
        <v>55</v>
      </c>
      <c r="E3320" s="137">
        <f>Calculations!I763</f>
        <v>0</v>
      </c>
      <c r="F3320" t="str">
        <f t="shared" si="1166"/>
        <v xml:space="preserve">Square Footage Applicable Fraction canot exceed 100% ensure that total sq. feet minus employee sq. feet is less than LI sq. feet for  building 55.
</v>
      </c>
      <c r="G3320" s="9" t="str">
        <f t="shared" ca="1" si="1165"/>
        <v>Enter a value for 'Number of Floors in the Tallest Building' in cell B60.
TRUE</v>
      </c>
    </row>
    <row r="3321" spans="1:7" ht="15" customHeight="1">
      <c r="A3321" t="str">
        <f t="shared" si="1164"/>
        <v/>
      </c>
      <c r="B3321">
        <f>Calculations!A764</f>
        <v>56</v>
      </c>
      <c r="E3321" s="137">
        <f>Calculations!I764</f>
        <v>0</v>
      </c>
      <c r="F3321" t="str">
        <f t="shared" si="1166"/>
        <v xml:space="preserve">Square Footage Applicable Fraction canot exceed 100% ensure that total sq. feet minus employee sq. feet is less than LI sq. feet for  building 56.
</v>
      </c>
      <c r="G3321" s="9" t="str">
        <f t="shared" ca="1" si="1165"/>
        <v>Enter a value for 'Number of Floors in the Tallest Building' in cell B60.
TRUE</v>
      </c>
    </row>
    <row r="3322" spans="1:7" ht="15" customHeight="1">
      <c r="A3322" t="str">
        <f t="shared" si="1164"/>
        <v/>
      </c>
      <c r="B3322">
        <f>Calculations!A765</f>
        <v>57</v>
      </c>
      <c r="E3322" s="137">
        <f>Calculations!I765</f>
        <v>0</v>
      </c>
      <c r="F3322" t="str">
        <f t="shared" si="1166"/>
        <v xml:space="preserve">Square Footage Applicable Fraction canot exceed 100% ensure that total sq. feet minus employee sq. feet is less than LI sq. feet for  building 57.
</v>
      </c>
      <c r="G3322" s="9" t="str">
        <f t="shared" ca="1" si="1165"/>
        <v>Enter a value for 'Number of Floors in the Tallest Building' in cell B60.
TRUE</v>
      </c>
    </row>
    <row r="3323" spans="1:7" ht="15" customHeight="1">
      <c r="A3323" t="str">
        <f t="shared" si="1164"/>
        <v/>
      </c>
      <c r="B3323">
        <f>Calculations!A766</f>
        <v>58</v>
      </c>
      <c r="E3323" s="137">
        <f>Calculations!I766</f>
        <v>0</v>
      </c>
      <c r="F3323" t="str">
        <f t="shared" si="1166"/>
        <v xml:space="preserve">Square Footage Applicable Fraction canot exceed 100% ensure that total sq. feet minus employee sq. feet is less than LI sq. feet for  building 58.
</v>
      </c>
      <c r="G3323" s="9" t="str">
        <f t="shared" ca="1" si="1165"/>
        <v>Enter a value for 'Number of Floors in the Tallest Building' in cell B60.
TRUE</v>
      </c>
    </row>
    <row r="3324" spans="1:7" ht="15" customHeight="1">
      <c r="A3324" t="str">
        <f t="shared" si="1164"/>
        <v/>
      </c>
      <c r="B3324">
        <f>Calculations!A767</f>
        <v>59</v>
      </c>
      <c r="E3324" s="137">
        <f>Calculations!I767</f>
        <v>0</v>
      </c>
      <c r="F3324" t="str">
        <f t="shared" si="1166"/>
        <v xml:space="preserve">Square Footage Applicable Fraction canot exceed 100% ensure that total sq. feet minus employee sq. feet is less than LI sq. feet for  building 59.
</v>
      </c>
      <c r="G3324" s="9" t="str">
        <f t="shared" ca="1" si="1165"/>
        <v>Enter a value for 'Number of Floors in the Tallest Building' in cell B60.
TRUE</v>
      </c>
    </row>
    <row r="3325" spans="1:7" ht="15" customHeight="1">
      <c r="A3325" t="str">
        <f t="shared" si="1164"/>
        <v/>
      </c>
      <c r="B3325">
        <f>Calculations!A768</f>
        <v>60</v>
      </c>
      <c r="E3325" s="137">
        <f>Calculations!I768</f>
        <v>0</v>
      </c>
      <c r="F3325" t="str">
        <f t="shared" si="1166"/>
        <v xml:space="preserve">Square Footage Applicable Fraction canot exceed 100% ensure that total sq. feet minus employee sq. feet is less than LI sq. feet for  building 60.
</v>
      </c>
      <c r="G3325" s="9" t="str">
        <f t="shared" ca="1" si="1165"/>
        <v>Enter a value for 'Number of Floors in the Tallest Building' in cell B60.
TRUE</v>
      </c>
    </row>
    <row r="3326" spans="1:7" ht="15" customHeight="1">
      <c r="A3326" t="str">
        <f t="shared" si="1164"/>
        <v/>
      </c>
      <c r="B3326">
        <f>Calculations!A769</f>
        <v>61</v>
      </c>
      <c r="E3326" s="137">
        <f>Calculations!I769</f>
        <v>0</v>
      </c>
      <c r="F3326" t="str">
        <f t="shared" si="1166"/>
        <v xml:space="preserve">Square Footage Applicable Fraction canot exceed 100% ensure that total sq. feet minus employee sq. feet is less than LI sq. feet for  building 61.
</v>
      </c>
      <c r="G3326" s="9" t="str">
        <f t="shared" ca="1" si="1165"/>
        <v>Enter a value for 'Number of Floors in the Tallest Building' in cell B60.
TRUE</v>
      </c>
    </row>
    <row r="3327" spans="1:7" ht="15" customHeight="1">
      <c r="A3327" t="str">
        <f t="shared" ref="A3327:A3358" si="1167">IF(E3327&gt;1, F3327, "")</f>
        <v/>
      </c>
      <c r="B3327">
        <f>Calculations!A770</f>
        <v>62</v>
      </c>
      <c r="E3327" s="137">
        <f>Calculations!I770</f>
        <v>0</v>
      </c>
      <c r="F3327" t="str">
        <f t="shared" si="1166"/>
        <v xml:space="preserve">Square Footage Applicable Fraction canot exceed 100% ensure that total sq. feet minus employee sq. feet is less than LI sq. feet for  building 62.
</v>
      </c>
      <c r="G3327" s="9" t="str">
        <f t="shared" ca="1" si="1165"/>
        <v>Enter a value for 'Number of Floors in the Tallest Building' in cell B60.
TRUE</v>
      </c>
    </row>
    <row r="3328" spans="1:7" ht="15" customHeight="1">
      <c r="A3328" t="str">
        <f t="shared" si="1167"/>
        <v/>
      </c>
      <c r="B3328">
        <f>Calculations!A771</f>
        <v>63</v>
      </c>
      <c r="E3328" s="137">
        <f>Calculations!I771</f>
        <v>0</v>
      </c>
      <c r="F3328" t="str">
        <f t="shared" si="1166"/>
        <v xml:space="preserve">Square Footage Applicable Fraction canot exceed 100% ensure that total sq. feet minus employee sq. feet is less than LI sq. feet for  building 63.
</v>
      </c>
      <c r="G3328" s="9" t="str">
        <f t="shared" ca="1" si="1165"/>
        <v>Enter a value for 'Number of Floors in the Tallest Building' in cell B60.
TRUE</v>
      </c>
    </row>
    <row r="3329" spans="1:7" ht="15" customHeight="1">
      <c r="A3329" t="str">
        <f t="shared" si="1167"/>
        <v/>
      </c>
      <c r="B3329">
        <f>Calculations!A772</f>
        <v>64</v>
      </c>
      <c r="E3329" s="137">
        <f>Calculations!I772</f>
        <v>0</v>
      </c>
      <c r="F3329" t="str">
        <f t="shared" si="1166"/>
        <v xml:space="preserve">Square Footage Applicable Fraction canot exceed 100% ensure that total sq. feet minus employee sq. feet is less than LI sq. feet for  building 64.
</v>
      </c>
      <c r="G3329" s="9" t="str">
        <f t="shared" ca="1" si="1165"/>
        <v>Enter a value for 'Number of Floors in the Tallest Building' in cell B60.
TRUE</v>
      </c>
    </row>
    <row r="3330" spans="1:7" ht="15" customHeight="1">
      <c r="A3330" t="str">
        <f t="shared" si="1167"/>
        <v/>
      </c>
      <c r="B3330">
        <f>Calculations!A773</f>
        <v>65</v>
      </c>
      <c r="E3330" s="137">
        <f>Calculations!I773</f>
        <v>0</v>
      </c>
      <c r="F3330" t="str">
        <f t="shared" ref="F3330:F3364" si="1168">CONCATENATE("Square Footage Applicable Fraction canot exceed 100% ensure that total sq. feet minus employee sq. feet is less than LI sq. feet for  building ", B3330, ".", CHAR(10))</f>
        <v xml:space="preserve">Square Footage Applicable Fraction canot exceed 100% ensure that total sq. feet minus employee sq. feet is less than LI sq. feet for  building 65.
</v>
      </c>
      <c r="G3330" s="9" t="str">
        <f t="shared" ca="1" si="1165"/>
        <v>Enter a value for 'Number of Floors in the Tallest Building' in cell B60.
TRUE</v>
      </c>
    </row>
    <row r="3331" spans="1:7" ht="15" customHeight="1">
      <c r="A3331" t="str">
        <f t="shared" si="1167"/>
        <v/>
      </c>
      <c r="B3331">
        <f>Calculations!A774</f>
        <v>66</v>
      </c>
      <c r="E3331" s="137">
        <f>Calculations!I774</f>
        <v>0</v>
      </c>
      <c r="F3331" t="str">
        <f t="shared" si="1168"/>
        <v xml:space="preserve">Square Footage Applicable Fraction canot exceed 100% ensure that total sq. feet minus employee sq. feet is less than LI sq. feet for  building 66.
</v>
      </c>
      <c r="G3331" s="9" t="str">
        <f t="shared" ca="1" si="1165"/>
        <v>Enter a value for 'Number of Floors in the Tallest Building' in cell B60.
TRUE</v>
      </c>
    </row>
    <row r="3332" spans="1:7" ht="15" customHeight="1">
      <c r="A3332" t="str">
        <f t="shared" si="1167"/>
        <v/>
      </c>
      <c r="B3332">
        <f>Calculations!A775</f>
        <v>67</v>
      </c>
      <c r="E3332" s="137">
        <f>Calculations!I775</f>
        <v>0</v>
      </c>
      <c r="F3332" t="str">
        <f t="shared" si="1168"/>
        <v xml:space="preserve">Square Footage Applicable Fraction canot exceed 100% ensure that total sq. feet minus employee sq. feet is less than LI sq. feet for  building 67.
</v>
      </c>
      <c r="G3332" s="9" t="str">
        <f t="shared" ca="1" si="1165"/>
        <v>Enter a value for 'Number of Floors in the Tallest Building' in cell B60.
TRUE</v>
      </c>
    </row>
    <row r="3333" spans="1:7" ht="15" customHeight="1">
      <c r="A3333" t="str">
        <f t="shared" si="1167"/>
        <v/>
      </c>
      <c r="B3333">
        <f>Calculations!A776</f>
        <v>68</v>
      </c>
      <c r="E3333" s="137">
        <f>Calculations!I776</f>
        <v>0</v>
      </c>
      <c r="F3333" t="str">
        <f t="shared" si="1168"/>
        <v xml:space="preserve">Square Footage Applicable Fraction canot exceed 100% ensure that total sq. feet minus employee sq. feet is less than LI sq. feet for  building 68.
</v>
      </c>
      <c r="G3333" s="9" t="str">
        <f t="shared" ca="1" si="1165"/>
        <v>Enter a value for 'Number of Floors in the Tallest Building' in cell B60.
TRUE</v>
      </c>
    </row>
    <row r="3334" spans="1:7" ht="15" customHeight="1">
      <c r="A3334" t="str">
        <f t="shared" si="1167"/>
        <v/>
      </c>
      <c r="B3334">
        <f>Calculations!A777</f>
        <v>69</v>
      </c>
      <c r="E3334" s="137">
        <f>Calculations!I777</f>
        <v>0</v>
      </c>
      <c r="F3334" t="str">
        <f t="shared" si="1168"/>
        <v xml:space="preserve">Square Footage Applicable Fraction canot exceed 100% ensure that total sq. feet minus employee sq. feet is less than LI sq. feet for  building 69.
</v>
      </c>
      <c r="G3334" s="9" t="str">
        <f t="shared" ca="1" si="1165"/>
        <v>Enter a value for 'Number of Floors in the Tallest Building' in cell B60.
TRUE</v>
      </c>
    </row>
    <row r="3335" spans="1:7" ht="15" customHeight="1">
      <c r="A3335" t="str">
        <f t="shared" si="1167"/>
        <v/>
      </c>
      <c r="B3335">
        <f>Calculations!A778</f>
        <v>70</v>
      </c>
      <c r="E3335" s="137">
        <f>Calculations!I778</f>
        <v>0</v>
      </c>
      <c r="F3335" t="str">
        <f t="shared" si="1168"/>
        <v xml:space="preserve">Square Footage Applicable Fraction canot exceed 100% ensure that total sq. feet minus employee sq. feet is less than LI sq. feet for  building 70.
</v>
      </c>
      <c r="G3335" s="9" t="str">
        <f t="shared" ca="1" si="1165"/>
        <v>Enter a value for 'Number of Floors in the Tallest Building' in cell B60.
TRUE</v>
      </c>
    </row>
    <row r="3336" spans="1:7" ht="15" customHeight="1">
      <c r="A3336" t="str">
        <f t="shared" si="1167"/>
        <v/>
      </c>
      <c r="B3336">
        <f>Calculations!A779</f>
        <v>71</v>
      </c>
      <c r="E3336" s="137">
        <f>Calculations!I779</f>
        <v>0</v>
      </c>
      <c r="F3336" t="str">
        <f t="shared" si="1168"/>
        <v xml:space="preserve">Square Footage Applicable Fraction canot exceed 100% ensure that total sq. feet minus employee sq. feet is less than LI sq. feet for  building 71.
</v>
      </c>
      <c r="G3336" s="9" t="str">
        <f t="shared" ca="1" si="1165"/>
        <v>Enter a value for 'Number of Floors in the Tallest Building' in cell B60.
TRUE</v>
      </c>
    </row>
    <row r="3337" spans="1:7" ht="15" customHeight="1">
      <c r="A3337" t="str">
        <f t="shared" si="1167"/>
        <v/>
      </c>
      <c r="B3337">
        <f>Calculations!A780</f>
        <v>72</v>
      </c>
      <c r="E3337" s="137">
        <f>Calculations!I780</f>
        <v>0</v>
      </c>
      <c r="F3337" t="str">
        <f t="shared" si="1168"/>
        <v xml:space="preserve">Square Footage Applicable Fraction canot exceed 100% ensure that total sq. feet minus employee sq. feet is less than LI sq. feet for  building 72.
</v>
      </c>
      <c r="G3337" s="9" t="str">
        <f t="shared" ca="1" si="1165"/>
        <v>Enter a value for 'Number of Floors in the Tallest Building' in cell B60.
TRUE</v>
      </c>
    </row>
    <row r="3338" spans="1:7" ht="15" customHeight="1">
      <c r="A3338" t="str">
        <f t="shared" si="1167"/>
        <v/>
      </c>
      <c r="B3338">
        <f>Calculations!A781</f>
        <v>73</v>
      </c>
      <c r="E3338" s="137">
        <f>Calculations!I781</f>
        <v>0</v>
      </c>
      <c r="F3338" t="str">
        <f t="shared" si="1168"/>
        <v xml:space="preserve">Square Footage Applicable Fraction canot exceed 100% ensure that total sq. feet minus employee sq. feet is less than LI sq. feet for  building 73.
</v>
      </c>
      <c r="G3338" s="9" t="str">
        <f t="shared" ca="1" si="1165"/>
        <v>Enter a value for 'Number of Floors in the Tallest Building' in cell B60.
TRUE</v>
      </c>
    </row>
    <row r="3339" spans="1:7" ht="15" customHeight="1">
      <c r="A3339" t="str">
        <f t="shared" si="1167"/>
        <v/>
      </c>
      <c r="B3339">
        <f>Calculations!A782</f>
        <v>74</v>
      </c>
      <c r="E3339" s="137">
        <f>Calculations!I782</f>
        <v>0</v>
      </c>
      <c r="F3339" t="str">
        <f t="shared" si="1168"/>
        <v xml:space="preserve">Square Footage Applicable Fraction canot exceed 100% ensure that total sq. feet minus employee sq. feet is less than LI sq. feet for  building 74.
</v>
      </c>
      <c r="G3339" s="9" t="str">
        <f t="shared" ca="1" si="1165"/>
        <v>Enter a value for 'Number of Floors in the Tallest Building' in cell B60.
TRUE</v>
      </c>
    </row>
    <row r="3340" spans="1:7" ht="15" customHeight="1">
      <c r="A3340" t="str">
        <f t="shared" si="1167"/>
        <v/>
      </c>
      <c r="B3340">
        <f>Calculations!A783</f>
        <v>75</v>
      </c>
      <c r="E3340" s="137">
        <f>Calculations!I783</f>
        <v>0</v>
      </c>
      <c r="F3340" t="str">
        <f t="shared" si="1168"/>
        <v xml:space="preserve">Square Footage Applicable Fraction canot exceed 100% ensure that total sq. feet minus employee sq. feet is less than LI sq. feet for  building 75.
</v>
      </c>
      <c r="G3340" s="9" t="str">
        <f t="shared" ca="1" si="1165"/>
        <v>Enter a value for 'Number of Floors in the Tallest Building' in cell B60.
TRUE</v>
      </c>
    </row>
    <row r="3341" spans="1:7" ht="15" customHeight="1">
      <c r="A3341" t="str">
        <f t="shared" si="1167"/>
        <v/>
      </c>
      <c r="B3341">
        <f>Calculations!A784</f>
        <v>76</v>
      </c>
      <c r="E3341" s="137">
        <f>Calculations!I784</f>
        <v>0</v>
      </c>
      <c r="F3341" t="str">
        <f t="shared" si="1168"/>
        <v xml:space="preserve">Square Footage Applicable Fraction canot exceed 100% ensure that total sq. feet minus employee sq. feet is less than LI sq. feet for  building 76.
</v>
      </c>
      <c r="G3341" s="9" t="str">
        <f t="shared" ca="1" si="1165"/>
        <v>Enter a value for 'Number of Floors in the Tallest Building' in cell B60.
TRUE</v>
      </c>
    </row>
    <row r="3342" spans="1:7" ht="15" customHeight="1">
      <c r="A3342" t="str">
        <f t="shared" si="1167"/>
        <v/>
      </c>
      <c r="B3342">
        <f>Calculations!A785</f>
        <v>77</v>
      </c>
      <c r="E3342" s="137">
        <f>Calculations!I785</f>
        <v>0</v>
      </c>
      <c r="F3342" t="str">
        <f t="shared" si="1168"/>
        <v xml:space="preserve">Square Footage Applicable Fraction canot exceed 100% ensure that total sq. feet minus employee sq. feet is less than LI sq. feet for  building 77.
</v>
      </c>
      <c r="G3342" s="9" t="str">
        <f t="shared" ca="1" si="1165"/>
        <v>Enter a value for 'Number of Floors in the Tallest Building' in cell B60.
TRUE</v>
      </c>
    </row>
    <row r="3343" spans="1:7" ht="15" customHeight="1">
      <c r="A3343" t="str">
        <f t="shared" si="1167"/>
        <v/>
      </c>
      <c r="B3343">
        <f>Calculations!A786</f>
        <v>78</v>
      </c>
      <c r="E3343" s="137">
        <f>Calculations!I786</f>
        <v>0</v>
      </c>
      <c r="F3343" t="str">
        <f t="shared" si="1168"/>
        <v xml:space="preserve">Square Footage Applicable Fraction canot exceed 100% ensure that total sq. feet minus employee sq. feet is less than LI sq. feet for  building 78.
</v>
      </c>
      <c r="G3343" s="9" t="str">
        <f t="shared" ca="1" si="1165"/>
        <v>Enter a value for 'Number of Floors in the Tallest Building' in cell B60.
TRUE</v>
      </c>
    </row>
    <row r="3344" spans="1:7" ht="15" customHeight="1">
      <c r="A3344" t="str">
        <f t="shared" si="1167"/>
        <v/>
      </c>
      <c r="B3344">
        <f>Calculations!A787</f>
        <v>79</v>
      </c>
      <c r="E3344" s="137">
        <f>Calculations!I787</f>
        <v>0</v>
      </c>
      <c r="F3344" t="str">
        <f t="shared" si="1168"/>
        <v xml:space="preserve">Square Footage Applicable Fraction canot exceed 100% ensure that total sq. feet minus employee sq. feet is less than LI sq. feet for  building 79.
</v>
      </c>
      <c r="G3344" s="9" t="str">
        <f t="shared" ca="1" si="1165"/>
        <v>Enter a value for 'Number of Floors in the Tallest Building' in cell B60.
TRUE</v>
      </c>
    </row>
    <row r="3345" spans="1:7" ht="15" customHeight="1">
      <c r="A3345" t="str">
        <f t="shared" si="1167"/>
        <v/>
      </c>
      <c r="B3345">
        <f>Calculations!A788</f>
        <v>80</v>
      </c>
      <c r="E3345" s="137">
        <f>Calculations!I788</f>
        <v>0</v>
      </c>
      <c r="F3345" t="str">
        <f t="shared" si="1168"/>
        <v xml:space="preserve">Square Footage Applicable Fraction canot exceed 100% ensure that total sq. feet minus employee sq. feet is less than LI sq. feet for  building 80.
</v>
      </c>
      <c r="G3345" s="9" t="str">
        <f t="shared" ca="1" si="1165"/>
        <v>Enter a value for 'Number of Floors in the Tallest Building' in cell B60.
TRUE</v>
      </c>
    </row>
    <row r="3346" spans="1:7" ht="15" customHeight="1">
      <c r="A3346" t="str">
        <f t="shared" si="1167"/>
        <v/>
      </c>
      <c r="B3346">
        <f>Calculations!A789</f>
        <v>81</v>
      </c>
      <c r="E3346" s="137">
        <f>Calculations!I789</f>
        <v>0</v>
      </c>
      <c r="F3346" t="str">
        <f t="shared" si="1168"/>
        <v xml:space="preserve">Square Footage Applicable Fraction canot exceed 100% ensure that total sq. feet minus employee sq. feet is less than LI sq. feet for  building 81.
</v>
      </c>
      <c r="G3346" s="9" t="str">
        <f t="shared" ca="1" si="1165"/>
        <v>Enter a value for 'Number of Floors in the Tallest Building' in cell B60.
TRUE</v>
      </c>
    </row>
    <row r="3347" spans="1:7" ht="15" customHeight="1">
      <c r="A3347" t="str">
        <f t="shared" si="1167"/>
        <v/>
      </c>
      <c r="B3347">
        <f>Calculations!A790</f>
        <v>82</v>
      </c>
      <c r="E3347" s="137">
        <f>Calculations!I790</f>
        <v>0</v>
      </c>
      <c r="F3347" t="str">
        <f t="shared" si="1168"/>
        <v xml:space="preserve">Square Footage Applicable Fraction canot exceed 100% ensure that total sq. feet minus employee sq. feet is less than LI sq. feet for  building 82.
</v>
      </c>
      <c r="G3347" s="9" t="str">
        <f t="shared" ca="1" si="1165"/>
        <v>Enter a value for 'Number of Floors in the Tallest Building' in cell B60.
TRUE</v>
      </c>
    </row>
    <row r="3348" spans="1:7" ht="15" customHeight="1">
      <c r="A3348" t="str">
        <f t="shared" si="1167"/>
        <v/>
      </c>
      <c r="B3348">
        <f>Calculations!A791</f>
        <v>83</v>
      </c>
      <c r="E3348" s="137">
        <f>Calculations!I791</f>
        <v>0</v>
      </c>
      <c r="F3348" t="str">
        <f t="shared" si="1168"/>
        <v xml:space="preserve">Square Footage Applicable Fraction canot exceed 100% ensure that total sq. feet minus employee sq. feet is less than LI sq. feet for  building 83.
</v>
      </c>
      <c r="G3348" s="9" t="str">
        <f t="shared" ca="1" si="1165"/>
        <v>Enter a value for 'Number of Floors in the Tallest Building' in cell B60.
TRUE</v>
      </c>
    </row>
    <row r="3349" spans="1:7" ht="15" customHeight="1">
      <c r="A3349" t="str">
        <f t="shared" si="1167"/>
        <v/>
      </c>
      <c r="B3349">
        <f>Calculations!A792</f>
        <v>84</v>
      </c>
      <c r="E3349" s="137">
        <f>Calculations!I792</f>
        <v>0</v>
      </c>
      <c r="F3349" t="str">
        <f t="shared" si="1168"/>
        <v xml:space="preserve">Square Footage Applicable Fraction canot exceed 100% ensure that total sq. feet minus employee sq. feet is less than LI sq. feet for  building 84.
</v>
      </c>
      <c r="G3349" s="9" t="str">
        <f t="shared" ca="1" si="1165"/>
        <v>Enter a value for 'Number of Floors in the Tallest Building' in cell B60.
TRUE</v>
      </c>
    </row>
    <row r="3350" spans="1:7" ht="15" customHeight="1">
      <c r="A3350" t="str">
        <f t="shared" si="1167"/>
        <v/>
      </c>
      <c r="B3350">
        <f>Calculations!A793</f>
        <v>85</v>
      </c>
      <c r="E3350" s="137">
        <f>Calculations!I793</f>
        <v>0</v>
      </c>
      <c r="F3350" t="str">
        <f t="shared" si="1168"/>
        <v xml:space="preserve">Square Footage Applicable Fraction canot exceed 100% ensure that total sq. feet minus employee sq. feet is less than LI sq. feet for  building 85.
</v>
      </c>
      <c r="G3350" s="9" t="str">
        <f t="shared" ca="1" si="1165"/>
        <v>Enter a value for 'Number of Floors in the Tallest Building' in cell B60.
TRUE</v>
      </c>
    </row>
    <row r="3351" spans="1:7" ht="15" customHeight="1">
      <c r="A3351" t="str">
        <f t="shared" si="1167"/>
        <v/>
      </c>
      <c r="B3351">
        <f>Calculations!A794</f>
        <v>86</v>
      </c>
      <c r="E3351" s="137">
        <f>Calculations!I794</f>
        <v>0</v>
      </c>
      <c r="F3351" t="str">
        <f t="shared" si="1168"/>
        <v xml:space="preserve">Square Footage Applicable Fraction canot exceed 100% ensure that total sq. feet minus employee sq. feet is less than LI sq. feet for  building 86.
</v>
      </c>
      <c r="G3351" s="9" t="str">
        <f t="shared" ca="1" si="1165"/>
        <v>Enter a value for 'Number of Floors in the Tallest Building' in cell B60.
TRUE</v>
      </c>
    </row>
    <row r="3352" spans="1:7" ht="15" customHeight="1">
      <c r="A3352" t="str">
        <f t="shared" si="1167"/>
        <v/>
      </c>
      <c r="B3352">
        <f>Calculations!A795</f>
        <v>87</v>
      </c>
      <c r="E3352" s="137">
        <f>Calculations!I795</f>
        <v>0</v>
      </c>
      <c r="F3352" t="str">
        <f t="shared" si="1168"/>
        <v xml:space="preserve">Square Footage Applicable Fraction canot exceed 100% ensure that total sq. feet minus employee sq. feet is less than LI sq. feet for  building 87.
</v>
      </c>
      <c r="G3352" s="9" t="str">
        <f t="shared" ca="1" si="1165"/>
        <v>Enter a value for 'Number of Floors in the Tallest Building' in cell B60.
TRUE</v>
      </c>
    </row>
    <row r="3353" spans="1:7" ht="15" customHeight="1">
      <c r="A3353" t="str">
        <f t="shared" si="1167"/>
        <v/>
      </c>
      <c r="B3353">
        <f>Calculations!A796</f>
        <v>88</v>
      </c>
      <c r="E3353" s="137">
        <f>Calculations!I796</f>
        <v>0</v>
      </c>
      <c r="F3353" t="str">
        <f t="shared" si="1168"/>
        <v xml:space="preserve">Square Footage Applicable Fraction canot exceed 100% ensure that total sq. feet minus employee sq. feet is less than LI sq. feet for  building 88.
</v>
      </c>
      <c r="G3353" s="9" t="str">
        <f t="shared" ca="1" si="1165"/>
        <v>Enter a value for 'Number of Floors in the Tallest Building' in cell B60.
TRUE</v>
      </c>
    </row>
    <row r="3354" spans="1:7" ht="15" customHeight="1">
      <c r="A3354" t="str">
        <f t="shared" si="1167"/>
        <v/>
      </c>
      <c r="B3354">
        <f>Calculations!A797</f>
        <v>89</v>
      </c>
      <c r="E3354" s="137">
        <f>Calculations!I797</f>
        <v>0</v>
      </c>
      <c r="F3354" t="str">
        <f t="shared" si="1168"/>
        <v xml:space="preserve">Square Footage Applicable Fraction canot exceed 100% ensure that total sq. feet minus employee sq. feet is less than LI sq. feet for  building 89.
</v>
      </c>
      <c r="G3354" s="9" t="str">
        <f t="shared" ca="1" si="1165"/>
        <v>Enter a value for 'Number of Floors in the Tallest Building' in cell B60.
TRUE</v>
      </c>
    </row>
    <row r="3355" spans="1:7" ht="15" customHeight="1">
      <c r="A3355" t="str">
        <f t="shared" si="1167"/>
        <v/>
      </c>
      <c r="B3355">
        <f>Calculations!A798</f>
        <v>90</v>
      </c>
      <c r="E3355" s="137">
        <f>Calculations!I798</f>
        <v>0</v>
      </c>
      <c r="F3355" t="str">
        <f t="shared" si="1168"/>
        <v xml:space="preserve">Square Footage Applicable Fraction canot exceed 100% ensure that total sq. feet minus employee sq. feet is less than LI sq. feet for  building 90.
</v>
      </c>
      <c r="G3355" s="9" t="str">
        <f t="shared" ca="1" si="1165"/>
        <v>Enter a value for 'Number of Floors in the Tallest Building' in cell B60.
TRUE</v>
      </c>
    </row>
    <row r="3356" spans="1:7" ht="15" customHeight="1">
      <c r="A3356" t="str">
        <f t="shared" si="1167"/>
        <v/>
      </c>
      <c r="B3356">
        <f>Calculations!A799</f>
        <v>91</v>
      </c>
      <c r="E3356" s="137">
        <f>Calculations!I799</f>
        <v>0</v>
      </c>
      <c r="F3356" t="str">
        <f t="shared" si="1168"/>
        <v xml:space="preserve">Square Footage Applicable Fraction canot exceed 100% ensure that total sq. feet minus employee sq. feet is less than LI sq. feet for  building 91.
</v>
      </c>
      <c r="G3356" s="9" t="str">
        <f t="shared" ca="1" si="1165"/>
        <v>Enter a value for 'Number of Floors in the Tallest Building' in cell B60.
TRUE</v>
      </c>
    </row>
    <row r="3357" spans="1:7" ht="15" customHeight="1">
      <c r="A3357" t="str">
        <f t="shared" si="1167"/>
        <v/>
      </c>
      <c r="B3357">
        <f>Calculations!A800</f>
        <v>92</v>
      </c>
      <c r="E3357" s="137">
        <f>Calculations!I800</f>
        <v>0</v>
      </c>
      <c r="F3357" t="str">
        <f t="shared" si="1168"/>
        <v xml:space="preserve">Square Footage Applicable Fraction canot exceed 100% ensure that total sq. feet minus employee sq. feet is less than LI sq. feet for  building 92.
</v>
      </c>
      <c r="G3357" s="9" t="str">
        <f t="shared" ca="1" si="1165"/>
        <v>Enter a value for 'Number of Floors in the Tallest Building' in cell B60.
TRUE</v>
      </c>
    </row>
    <row r="3358" spans="1:7" ht="15" customHeight="1">
      <c r="A3358" t="str">
        <f t="shared" si="1167"/>
        <v/>
      </c>
      <c r="B3358">
        <f>Calculations!A801</f>
        <v>93</v>
      </c>
      <c r="E3358" s="137">
        <f>Calculations!I801</f>
        <v>0</v>
      </c>
      <c r="F3358" t="str">
        <f t="shared" si="1168"/>
        <v xml:space="preserve">Square Footage Applicable Fraction canot exceed 100% ensure that total sq. feet minus employee sq. feet is less than LI sq. feet for  building 93.
</v>
      </c>
      <c r="G3358" s="9" t="str">
        <f t="shared" ca="1" si="1165"/>
        <v>Enter a value for 'Number of Floors in the Tallest Building' in cell B60.
TRUE</v>
      </c>
    </row>
    <row r="3359" spans="1:7" ht="15" customHeight="1">
      <c r="A3359" t="str">
        <f t="shared" ref="A3359:A3364" si="1169">IF(E3359&gt;1, F3359, "")</f>
        <v/>
      </c>
      <c r="B3359">
        <f>Calculations!A802</f>
        <v>94</v>
      </c>
      <c r="E3359" s="137">
        <f>Calculations!I802</f>
        <v>0</v>
      </c>
      <c r="F3359" t="str">
        <f t="shared" si="1168"/>
        <v xml:space="preserve">Square Footage Applicable Fraction canot exceed 100% ensure that total sq. feet minus employee sq. feet is less than LI sq. feet for  building 94.
</v>
      </c>
      <c r="G3359" s="9" t="str">
        <f t="shared" ca="1" si="1165"/>
        <v>Enter a value for 'Number of Floors in the Tallest Building' in cell B60.
TRUE</v>
      </c>
    </row>
    <row r="3360" spans="1:7" ht="15" customHeight="1">
      <c r="A3360" t="str">
        <f t="shared" si="1169"/>
        <v/>
      </c>
      <c r="B3360">
        <f>Calculations!A803</f>
        <v>95</v>
      </c>
      <c r="E3360" s="137">
        <f>Calculations!I803</f>
        <v>0</v>
      </c>
      <c r="F3360" t="str">
        <f t="shared" si="1168"/>
        <v xml:space="preserve">Square Footage Applicable Fraction canot exceed 100% ensure that total sq. feet minus employee sq. feet is less than LI sq. feet for  building 95.
</v>
      </c>
      <c r="G3360" s="9" t="str">
        <f t="shared" ref="G3360:G3369" ca="1" si="1170">OFFSET(G3360, -1, 0) &amp; A3360</f>
        <v>Enter a value for 'Number of Floors in the Tallest Building' in cell B60.
TRUE</v>
      </c>
    </row>
    <row r="3361" spans="1:7" ht="15" customHeight="1">
      <c r="A3361" t="str">
        <f t="shared" si="1169"/>
        <v/>
      </c>
      <c r="B3361">
        <f>Calculations!A804</f>
        <v>96</v>
      </c>
      <c r="E3361" s="137">
        <f>Calculations!I804</f>
        <v>0</v>
      </c>
      <c r="F3361" t="str">
        <f t="shared" si="1168"/>
        <v xml:space="preserve">Square Footage Applicable Fraction canot exceed 100% ensure that total sq. feet minus employee sq. feet is less than LI sq. feet for  building 96.
</v>
      </c>
      <c r="G3361" s="9" t="str">
        <f t="shared" ca="1" si="1170"/>
        <v>Enter a value for 'Number of Floors in the Tallest Building' in cell B60.
TRUE</v>
      </c>
    </row>
    <row r="3362" spans="1:7" ht="15" customHeight="1">
      <c r="A3362" t="str">
        <f t="shared" si="1169"/>
        <v/>
      </c>
      <c r="B3362">
        <f>Calculations!A805</f>
        <v>97</v>
      </c>
      <c r="E3362" s="137">
        <f>Calculations!I805</f>
        <v>0</v>
      </c>
      <c r="F3362" t="str">
        <f t="shared" si="1168"/>
        <v xml:space="preserve">Square Footage Applicable Fraction canot exceed 100% ensure that total sq. feet minus employee sq. feet is less than LI sq. feet for  building 97.
</v>
      </c>
      <c r="G3362" s="9" t="str">
        <f t="shared" ca="1" si="1170"/>
        <v>Enter a value for 'Number of Floors in the Tallest Building' in cell B60.
TRUE</v>
      </c>
    </row>
    <row r="3363" spans="1:7" ht="15" customHeight="1">
      <c r="A3363" t="str">
        <f t="shared" si="1169"/>
        <v/>
      </c>
      <c r="B3363">
        <f>Calculations!A806</f>
        <v>98</v>
      </c>
      <c r="E3363" s="137">
        <f>Calculations!I806</f>
        <v>0</v>
      </c>
      <c r="F3363" t="str">
        <f t="shared" si="1168"/>
        <v xml:space="preserve">Square Footage Applicable Fraction canot exceed 100% ensure that total sq. feet minus employee sq. feet is less than LI sq. feet for  building 98.
</v>
      </c>
      <c r="G3363" s="9" t="str">
        <f t="shared" ca="1" si="1170"/>
        <v>Enter a value for 'Number of Floors in the Tallest Building' in cell B60.
TRUE</v>
      </c>
    </row>
    <row r="3364" spans="1:7" ht="15" customHeight="1">
      <c r="A3364" t="str">
        <f t="shared" si="1169"/>
        <v/>
      </c>
      <c r="B3364">
        <f>Calculations!A807</f>
        <v>99</v>
      </c>
      <c r="E3364" s="137">
        <f>Calculations!I807</f>
        <v>0</v>
      </c>
      <c r="F3364" t="str">
        <f t="shared" si="1168"/>
        <v xml:space="preserve">Square Footage Applicable Fraction canot exceed 100% ensure that total sq. feet minus employee sq. feet is less than LI sq. feet for  building 99.
</v>
      </c>
      <c r="G3364" s="9" t="str">
        <f t="shared" ca="1" si="1170"/>
        <v>Enter a value for 'Number of Floors in the Tallest Building' in cell B60.
TRUE</v>
      </c>
    </row>
    <row r="3365" spans="1:7" ht="15" customHeight="1">
      <c r="E3365" s="137"/>
      <c r="G3365" s="9" t="str">
        <f t="shared" ca="1" si="1170"/>
        <v>Enter a value for 'Number of Floors in the Tallest Building' in cell B60.
TRUE</v>
      </c>
    </row>
    <row r="3366" spans="1:7" ht="15" customHeight="1">
      <c r="G3366" s="9" t="str">
        <f t="shared" ca="1" si="1170"/>
        <v>Enter a value for 'Number of Floors in the Tallest Building' in cell B60.
TRUE</v>
      </c>
    </row>
    <row r="3367" spans="1:7" ht="15" customHeight="1">
      <c r="G3367" s="9" t="str">
        <f t="shared" ca="1" si="1170"/>
        <v>Enter a value for 'Number of Floors in the Tallest Building' in cell B60.
TRUE</v>
      </c>
    </row>
    <row r="3368" spans="1:7" ht="15" customHeight="1">
      <c r="G3368" s="9" t="str">
        <f t="shared" ca="1" si="1170"/>
        <v>Enter a value for 'Number of Floors in the Tallest Building' in cell B60.
TRUE</v>
      </c>
    </row>
    <row r="3369" spans="1:7" ht="15" customHeight="1">
      <c r="G3369" s="9" t="str">
        <f t="shared" ca="1" si="1170"/>
        <v>Enter a value for 'Number of Floors in the Tallest Building' in cell B60.
TRUE</v>
      </c>
    </row>
    <row r="3370" spans="1:7" ht="15" customHeight="1">
      <c r="A3370" s="55" t="s">
        <v>3714</v>
      </c>
      <c r="B3370" s="53"/>
      <c r="C3370" s="53"/>
      <c r="D3370" s="53"/>
      <c r="E3370" s="53"/>
      <c r="F3370" s="53"/>
      <c r="G3370" s="56" t="str">
        <f ca="1">OFFSET(G3370, -1, 0)</f>
        <v>Enter a value for 'Number of Floors in the Tallest Building' in cell B60.
TRUE</v>
      </c>
    </row>
    <row r="3371" spans="1:7" ht="15" customHeight="1">
      <c r="A3371" t="s">
        <v>556</v>
      </c>
    </row>
    <row r="3372" spans="1:7" ht="15" customHeight="1"/>
    <row r="3373" spans="1:7" ht="15" customHeight="1">
      <c r="A3373" s="22" t="s">
        <v>95</v>
      </c>
      <c r="F3373" s="49" t="s">
        <v>3715</v>
      </c>
    </row>
    <row r="3374" spans="1:7" ht="15" customHeight="1">
      <c r="A3374" s="53" t="s">
        <v>3652</v>
      </c>
      <c r="B3374" s="53" t="s">
        <v>3653</v>
      </c>
      <c r="C3374" s="53" t="s">
        <v>3654</v>
      </c>
      <c r="D3374" s="53" t="s">
        <v>3655</v>
      </c>
      <c r="E3374" s="53" t="s">
        <v>3656</v>
      </c>
      <c r="F3374" s="53" t="s">
        <v>3657</v>
      </c>
      <c r="G3374" s="54" t="s">
        <v>3658</v>
      </c>
    </row>
    <row r="3375" spans="1:7" ht="15" customHeight="1">
      <c r="A3375" t="str">
        <f t="shared" ref="A3375:A3405" ca="1" si="1171">IF(E3375="",F3375, "")</f>
        <v xml:space="preserve">Enter a value for 'Window Coverings/Blinds' in cell B4.
</v>
      </c>
      <c r="B3375">
        <f>ROW(Amenities!A4)</f>
        <v>4</v>
      </c>
      <c r="C3375" t="str">
        <f t="shared" ref="C3375:C3405" ca="1" si="1172">INDIRECT($F$3373 &amp; ADDRESS(B3375, 1,4  ))</f>
        <v>Window Coverings/Blinds</v>
      </c>
      <c r="D3375" t="str">
        <f t="shared" ref="D3375:D3405" si="1173">ADDRESS(B3375, 2,4  )</f>
        <v>B4</v>
      </c>
      <c r="E3375" t="str">
        <f t="shared" ref="E3375:E3405" ca="1" si="1174">IF(ISBLANK( INDIRECT($F$3373 &amp; D3375)),"", INDIRECT($F$3373 &amp; D3375))</f>
        <v/>
      </c>
      <c r="F3375" t="str">
        <f t="shared" ref="F3375:F3405" ca="1" si="1175">CONCATENATE("Enter a value for '", C3375, "' in cell ", D3375, ".", CHAR(10))</f>
        <v xml:space="preserve">Enter a value for 'Window Coverings/Blinds' in cell B4.
</v>
      </c>
      <c r="G3375" s="9" t="str">
        <f ca="1">A3375</f>
        <v xml:space="preserve">Enter a value for 'Window Coverings/Blinds' in cell B4.
</v>
      </c>
    </row>
    <row r="3376" spans="1:7" ht="15" customHeight="1">
      <c r="A3376" t="str">
        <f t="shared" ca="1" si="1171"/>
        <v xml:space="preserve">Enter a value for 'Ceiling Fan E-star' in cell B5.
</v>
      </c>
      <c r="B3376">
        <f>ROW(Amenities!A5)</f>
        <v>5</v>
      </c>
      <c r="C3376" t="str">
        <f t="shared" ca="1" si="1172"/>
        <v>Ceiling Fan E-star</v>
      </c>
      <c r="D3376" t="str">
        <f t="shared" si="1173"/>
        <v>B5</v>
      </c>
      <c r="E3376" t="str">
        <f t="shared" ca="1" si="1174"/>
        <v/>
      </c>
      <c r="F3376" t="str">
        <f t="shared" ca="1" si="1175"/>
        <v xml:space="preserve">Enter a value for 'Ceiling Fan E-star' in cell B5.
</v>
      </c>
      <c r="G3376" s="9" t="str">
        <f t="shared" ref="G3376:G3406" ca="1" si="1176">OFFSET(G3376, -1, 0) &amp; A3376</f>
        <v xml:space="preserve">Enter a value for 'Window Coverings/Blinds' in cell B4.
Enter a value for 'Ceiling Fan E-star' in cell B5.
</v>
      </c>
    </row>
    <row r="3377" spans="1:7" ht="15" customHeight="1">
      <c r="A3377" t="str">
        <f t="shared" ca="1" si="1171"/>
        <v xml:space="preserve">Enter a value for 'Storage Closet/Shed' in cell B6.
</v>
      </c>
      <c r="B3377">
        <f>ROW(Amenities!A6)</f>
        <v>6</v>
      </c>
      <c r="C3377" t="str">
        <f t="shared" ca="1" si="1172"/>
        <v>Storage Closet/Shed</v>
      </c>
      <c r="D3377" t="str">
        <f t="shared" si="1173"/>
        <v>B6</v>
      </c>
      <c r="E3377" t="str">
        <f t="shared" ca="1" si="1174"/>
        <v/>
      </c>
      <c r="F3377" t="str">
        <f t="shared" ca="1" si="1175"/>
        <v xml:space="preserve">Enter a value for 'Storage Closet/Shed' in cell B6.
</v>
      </c>
      <c r="G3377" s="9" t="str">
        <f t="shared" ca="1" si="1176"/>
        <v xml:space="preserve">Enter a value for 'Window Coverings/Blinds' in cell B4.
Enter a value for 'Ceiling Fan E-star' in cell B5.
Enter a value for 'Storage Closet/Shed' in cell B6.
</v>
      </c>
    </row>
    <row r="3378" spans="1:7" ht="15" customHeight="1">
      <c r="A3378" t="str">
        <f t="shared" ca="1" si="1171"/>
        <v xml:space="preserve">Enter a value for 'Coat Closet' in cell B7.
</v>
      </c>
      <c r="B3378">
        <f>ROW(Amenities!A7)</f>
        <v>7</v>
      </c>
      <c r="C3378" t="str">
        <f t="shared" ca="1" si="1172"/>
        <v>Coat Closet</v>
      </c>
      <c r="D3378" t="str">
        <f t="shared" si="1173"/>
        <v>B7</v>
      </c>
      <c r="E3378" t="str">
        <f t="shared" ca="1" si="1174"/>
        <v/>
      </c>
      <c r="F3378" t="str">
        <f t="shared" ca="1" si="1175"/>
        <v xml:space="preserve">Enter a value for 'Coat Closet' in cell B7.
</v>
      </c>
      <c r="G3378" s="9" t="str">
        <f t="shared" ca="1" si="1176"/>
        <v xml:space="preserve">Enter a value for 'Window Coverings/Blinds' in cell B4.
Enter a value for 'Ceiling Fan E-star' in cell B5.
Enter a value for 'Storage Closet/Shed' in cell B6.
Enter a value for 'Coat Closet' in cell B7.
</v>
      </c>
    </row>
    <row r="3379" spans="1:7" ht="15" customHeight="1">
      <c r="A3379" t="str">
        <f t="shared" ca="1" si="1171"/>
        <v xml:space="preserve">Enter a value for 'Walk-in Closet' in cell B8.
</v>
      </c>
      <c r="B3379">
        <f>ROW(Amenities!A8)</f>
        <v>8</v>
      </c>
      <c r="C3379" t="str">
        <f t="shared" ca="1" si="1172"/>
        <v>Walk-in Closet</v>
      </c>
      <c r="D3379" t="str">
        <f t="shared" si="1173"/>
        <v>B8</v>
      </c>
      <c r="E3379" t="str">
        <f t="shared" ca="1" si="1174"/>
        <v/>
      </c>
      <c r="F3379" t="str">
        <f t="shared" ca="1" si="1175"/>
        <v xml:space="preserve">Enter a value for 'Walk-in Closet' in cell B8.
</v>
      </c>
      <c r="G3379" s="9" t="str">
        <f t="shared" ca="1" si="1176"/>
        <v xml:space="preserve">Enter a value for 'Window Coverings/Blinds' in cell B4.
Enter a value for 'Ceiling Fan E-star' in cell B5.
Enter a value for 'Storage Closet/Shed' in cell B6.
Enter a value for 'Coat Closet' in cell B7.
Enter a value for 'Walk-in Closet' in cell B8.
</v>
      </c>
    </row>
    <row r="3380" spans="1:7" ht="15" customHeight="1">
      <c r="A3380" t="str">
        <f t="shared" ca="1" si="1171"/>
        <v xml:space="preserve">Enter a value for 'Fireplace' in cell B9.
</v>
      </c>
      <c r="B3380">
        <f>ROW(Amenities!A9)</f>
        <v>9</v>
      </c>
      <c r="C3380" t="str">
        <f t="shared" ca="1" si="1172"/>
        <v>Fireplace</v>
      </c>
      <c r="D3380" t="str">
        <f t="shared" si="1173"/>
        <v>B9</v>
      </c>
      <c r="E3380" t="str">
        <f t="shared" ca="1" si="1174"/>
        <v/>
      </c>
      <c r="F3380" t="str">
        <f t="shared" ca="1" si="1175"/>
        <v xml:space="preserve">Enter a value for 'Fireplace' in cell B9.
</v>
      </c>
      <c r="G3380"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v>
      </c>
    </row>
    <row r="3381" spans="1:7" ht="15" customHeight="1">
      <c r="A3381" t="str">
        <f t="shared" ca="1" si="1171"/>
        <v xml:space="preserve">Enter a value for 'Bathroom Fan E-star' in cell B10.
</v>
      </c>
      <c r="B3381">
        <f>ROW(Amenities!A10)</f>
        <v>10</v>
      </c>
      <c r="C3381" t="str">
        <f t="shared" ca="1" si="1172"/>
        <v>Bathroom Fan E-star</v>
      </c>
      <c r="D3381" t="str">
        <f t="shared" si="1173"/>
        <v>B10</v>
      </c>
      <c r="E3381" t="str">
        <f t="shared" ca="1" si="1174"/>
        <v/>
      </c>
      <c r="F3381" t="str">
        <f t="shared" ca="1" si="1175"/>
        <v xml:space="preserve">Enter a value for 'Bathroom Fan E-star' in cell B10.
</v>
      </c>
      <c r="G3381"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v>
      </c>
    </row>
    <row r="3382" spans="1:7" ht="15" customHeight="1">
      <c r="A3382" t="str">
        <f t="shared" ca="1" si="1171"/>
        <v xml:space="preserve">Enter a value for 'Patio/Porch/Balcony' in cell B11.
</v>
      </c>
      <c r="B3382">
        <f>ROW(Amenities!A11)</f>
        <v>11</v>
      </c>
      <c r="C3382" t="str">
        <f t="shared" ca="1" si="1172"/>
        <v>Patio/Porch/Balcony</v>
      </c>
      <c r="D3382" t="str">
        <f t="shared" si="1173"/>
        <v>B11</v>
      </c>
      <c r="E3382" t="str">
        <f t="shared" ca="1" si="1174"/>
        <v/>
      </c>
      <c r="F3382" t="str">
        <f t="shared" ca="1" si="1175"/>
        <v xml:space="preserve">Enter a value for 'Patio/Porch/Balcony' in cell B11.
</v>
      </c>
      <c r="G3382"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v>
      </c>
    </row>
    <row r="3383" spans="1:7" ht="15" customHeight="1">
      <c r="A3383" t="str">
        <f t="shared" ref="A3383:A3385" ca="1" si="1177">IF(E3383="",F3383, "")</f>
        <v xml:space="preserve">Enter a value for 'Cable Connection' in cell B12.
</v>
      </c>
      <c r="B3383">
        <f>ROW(Amenities!A12)</f>
        <v>12</v>
      </c>
      <c r="C3383" t="str">
        <f t="shared" ref="C3383:C3385" ca="1" si="1178">INDIRECT($F$3373 &amp; ADDRESS(B3383, 1,4  ))</f>
        <v>Cable Connection</v>
      </c>
      <c r="D3383" t="str">
        <f t="shared" ref="D3383:D3385" si="1179">ADDRESS(B3383, 2,4  )</f>
        <v>B12</v>
      </c>
      <c r="E3383" t="str">
        <f t="shared" ref="E3383:E3385" ca="1" si="1180">IF(ISBLANK( INDIRECT($F$3373 &amp; D3383)),"", INDIRECT($F$3373 &amp; D3383))</f>
        <v/>
      </c>
      <c r="F3383" t="str">
        <f t="shared" ref="F3383:F3385" ca="1" si="1181">CONCATENATE("Enter a value for '", C3383, "' in cell ", D3383, ".", CHAR(10))</f>
        <v xml:space="preserve">Enter a value for 'Cable Connection' in cell B12.
</v>
      </c>
      <c r="G3383" s="9" t="str">
        <f t="shared" ref="G3383:G3385" ca="1" si="1182">OFFSET(G3383, -1, 0) &amp; A3383</f>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v>
      </c>
    </row>
    <row r="3384" spans="1:7" ht="15" customHeight="1">
      <c r="A3384" t="str">
        <f t="shared" ca="1" si="1177"/>
        <v xml:space="preserve">Enter a value for 'Internet Connection' in cell B13.
</v>
      </c>
      <c r="B3384">
        <f>ROW(Amenities!A13)</f>
        <v>13</v>
      </c>
      <c r="C3384" t="str">
        <f t="shared" ca="1" si="1178"/>
        <v>Internet Connection</v>
      </c>
      <c r="D3384" t="str">
        <f t="shared" si="1179"/>
        <v>B13</v>
      </c>
      <c r="E3384" t="str">
        <f t="shared" ca="1" si="1180"/>
        <v/>
      </c>
      <c r="F3384" t="str">
        <f t="shared" ca="1" si="1181"/>
        <v xml:space="preserve">Enter a value for 'Internet Connection' in cell B13.
</v>
      </c>
      <c r="G3384" s="9" t="str">
        <f t="shared" ca="1" si="1182"/>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v>
      </c>
    </row>
    <row r="3385" spans="1:7" ht="15" customHeight="1">
      <c r="A3385" t="str">
        <f t="shared" ca="1" si="1177"/>
        <v xml:space="preserve">Enter a value for 'Units individually metered' in cell B14.
</v>
      </c>
      <c r="B3385">
        <f>ROW(Amenities!A14)</f>
        <v>14</v>
      </c>
      <c r="C3385" t="str">
        <f t="shared" ca="1" si="1178"/>
        <v>Units individually metered</v>
      </c>
      <c r="D3385" t="str">
        <f t="shared" si="1179"/>
        <v>B14</v>
      </c>
      <c r="E3385" t="str">
        <f t="shared" ca="1" si="1180"/>
        <v/>
      </c>
      <c r="F3385" t="str">
        <f t="shared" ca="1" si="1181"/>
        <v xml:space="preserve">Enter a value for 'Units individually metered' in cell B14.
</v>
      </c>
      <c r="G3385" s="9" t="str">
        <f t="shared" ca="1" si="1182"/>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v>
      </c>
    </row>
    <row r="3386" spans="1:7" ht="15" customHeight="1">
      <c r="A3386" t="str">
        <f t="shared" ca="1" si="1171"/>
        <v xml:space="preserve">Enter a value for 'Refrigerator E-star*' in cell B17.
</v>
      </c>
      <c r="B3386">
        <f>ROW(Amenities!A17)</f>
        <v>17</v>
      </c>
      <c r="C3386" t="str">
        <f t="shared" ca="1" si="1172"/>
        <v>Refrigerator E-star*</v>
      </c>
      <c r="D3386" t="str">
        <f t="shared" si="1173"/>
        <v>B17</v>
      </c>
      <c r="E3386" t="str">
        <f t="shared" ca="1" si="1174"/>
        <v/>
      </c>
      <c r="F3386" t="str">
        <f t="shared" ca="1" si="1175"/>
        <v xml:space="preserve">Enter a value for 'Refrigerator E-star*' in cell B17.
</v>
      </c>
      <c r="G3386"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v>
      </c>
    </row>
    <row r="3387" spans="1:7" ht="15" customHeight="1">
      <c r="A3387" t="str">
        <f t="shared" ca="1" si="1171"/>
        <v xml:space="preserve">Enter a value for 'Stove/Oven*' in cell B18.
</v>
      </c>
      <c r="B3387">
        <f>ROW(Amenities!A18)</f>
        <v>18</v>
      </c>
      <c r="C3387" t="str">
        <f t="shared" ca="1" si="1172"/>
        <v>Stove/Oven*</v>
      </c>
      <c r="D3387" t="str">
        <f t="shared" si="1173"/>
        <v>B18</v>
      </c>
      <c r="E3387" t="str">
        <f t="shared" ca="1" si="1174"/>
        <v/>
      </c>
      <c r="F3387" t="str">
        <f t="shared" ca="1" si="1175"/>
        <v xml:space="preserve">Enter a value for 'Stove/Oven*' in cell B18.
</v>
      </c>
      <c r="G3387"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v>
      </c>
    </row>
    <row r="3388" spans="1:7" ht="15" customHeight="1">
      <c r="A3388" t="str">
        <f t="shared" ca="1" si="1171"/>
        <v xml:space="preserve">Enter a value for 'Dishwasher E-star*' in cell B19.
</v>
      </c>
      <c r="B3388">
        <f>ROW(Amenities!A19)</f>
        <v>19</v>
      </c>
      <c r="C3388" t="str">
        <f t="shared" ca="1" si="1172"/>
        <v>Dishwasher E-star*</v>
      </c>
      <c r="D3388" t="str">
        <f t="shared" si="1173"/>
        <v>B19</v>
      </c>
      <c r="E3388" t="str">
        <f t="shared" ca="1" si="1174"/>
        <v/>
      </c>
      <c r="F3388" t="str">
        <f t="shared" ca="1" si="1175"/>
        <v xml:space="preserve">Enter a value for 'Dishwasher E-star*' in cell B19.
</v>
      </c>
      <c r="G3388"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v>
      </c>
    </row>
    <row r="3389" spans="1:7" ht="15" customHeight="1">
      <c r="A3389" t="str">
        <f t="shared" ca="1" si="1171"/>
        <v xml:space="preserve">Enter a value for 'Garbage Disposal*' in cell B20.
</v>
      </c>
      <c r="B3389">
        <f>ROW(Amenities!A20)</f>
        <v>20</v>
      </c>
      <c r="C3389" t="str">
        <f t="shared" ca="1" si="1172"/>
        <v>Garbage Disposal*</v>
      </c>
      <c r="D3389" t="str">
        <f t="shared" si="1173"/>
        <v>B20</v>
      </c>
      <c r="E3389" t="str">
        <f t="shared" ca="1" si="1174"/>
        <v/>
      </c>
      <c r="F3389" t="str">
        <f t="shared" ca="1" si="1175"/>
        <v xml:space="preserve">Enter a value for 'Garbage Disposal*' in cell B20.
</v>
      </c>
      <c r="G3389"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v>
      </c>
    </row>
    <row r="3390" spans="1:7" ht="15" customHeight="1">
      <c r="A3390" t="str">
        <f t="shared" ca="1" si="1171"/>
        <v xml:space="preserve">Enter a value for 'Built-in Microwave' in cell B21.
</v>
      </c>
      <c r="B3390">
        <f>ROW(Amenities!A21)</f>
        <v>21</v>
      </c>
      <c r="C3390" t="str">
        <f t="shared" ca="1" si="1172"/>
        <v>Built-in Microwave</v>
      </c>
      <c r="D3390" t="str">
        <f t="shared" si="1173"/>
        <v>B21</v>
      </c>
      <c r="E3390" t="str">
        <f t="shared" ca="1" si="1174"/>
        <v/>
      </c>
      <c r="F3390" t="str">
        <f t="shared" ca="1" si="1175"/>
        <v xml:space="preserve">Enter a value for 'Built-in Microwave' in cell B21.
</v>
      </c>
      <c r="G3390"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v>
      </c>
    </row>
    <row r="3391" spans="1:7" ht="15" customHeight="1">
      <c r="A3391" t="str">
        <f t="shared" ca="1" si="1171"/>
        <v xml:space="preserve">Enter a value for 'In-unit washer/dryer (included in rent)' in cell B22.
</v>
      </c>
      <c r="B3391">
        <f>ROW(Amenities!A22)</f>
        <v>22</v>
      </c>
      <c r="C3391" t="str">
        <f t="shared" ca="1" si="1172"/>
        <v>In-unit washer/dryer (included in rent)</v>
      </c>
      <c r="D3391" t="str">
        <f t="shared" si="1173"/>
        <v>B22</v>
      </c>
      <c r="E3391" t="str">
        <f t="shared" ca="1" si="1174"/>
        <v/>
      </c>
      <c r="F3391" t="str">
        <f t="shared" ca="1" si="1175"/>
        <v xml:space="preserve">Enter a value for 'In-unit washer/dryer (included in rent)' in cell B22.
</v>
      </c>
      <c r="G3391"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v>
      </c>
    </row>
    <row r="3392" spans="1:7" ht="15" customHeight="1">
      <c r="A3392" t="str">
        <f t="shared" ca="1" si="1171"/>
        <v xml:space="preserve">Enter a value for 'In-unit washer/dryer (not included in rent)' in cell B23.
</v>
      </c>
      <c r="B3392">
        <f>ROW(Amenities!A23)</f>
        <v>23</v>
      </c>
      <c r="C3392" t="str">
        <f t="shared" ca="1" si="1172"/>
        <v>In-unit washer/dryer (not included in rent)</v>
      </c>
      <c r="D3392" t="str">
        <f t="shared" si="1173"/>
        <v>B23</v>
      </c>
      <c r="E3392" t="str">
        <f t="shared" ca="1" si="1174"/>
        <v/>
      </c>
      <c r="F3392" t="str">
        <f t="shared" ca="1" si="1175"/>
        <v xml:space="preserve">Enter a value for 'In-unit washer/dryer (not included in rent)' in cell B23.
</v>
      </c>
      <c r="G3392"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v>
      </c>
    </row>
    <row r="3393" spans="1:7" ht="15" customHeight="1">
      <c r="A3393" t="str">
        <f t="shared" ca="1" si="1171"/>
        <v xml:space="preserve">Enter a value for 'Washer/Dryer Hookups' in cell B24.
</v>
      </c>
      <c r="B3393">
        <f>ROW(Amenities!A24)</f>
        <v>24</v>
      </c>
      <c r="C3393" t="str">
        <f t="shared" ca="1" si="1172"/>
        <v>Washer/Dryer Hookups</v>
      </c>
      <c r="D3393" t="str">
        <f t="shared" si="1173"/>
        <v>B24</v>
      </c>
      <c r="E3393" t="str">
        <f t="shared" ca="1" si="1174"/>
        <v/>
      </c>
      <c r="F3393" t="str">
        <f t="shared" ca="1" si="1175"/>
        <v xml:space="preserve">Enter a value for 'Washer/Dryer Hookups' in cell B24.
</v>
      </c>
      <c r="G3393"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v>
      </c>
    </row>
    <row r="3394" spans="1:7" ht="15" customHeight="1">
      <c r="A3394" t="str">
        <f t="shared" ca="1" si="1171"/>
        <v xml:space="preserve">Enter a value for 'Clubhouse/Community Room' in cell B27.
</v>
      </c>
      <c r="B3394">
        <f>ROW(Amenities!A27)</f>
        <v>27</v>
      </c>
      <c r="C3394" t="str">
        <f t="shared" ca="1" si="1172"/>
        <v>Clubhouse/Community Room</v>
      </c>
      <c r="D3394" t="str">
        <f t="shared" si="1173"/>
        <v>B27</v>
      </c>
      <c r="E3394" t="str">
        <f t="shared" ca="1" si="1174"/>
        <v/>
      </c>
      <c r="F3394" t="str">
        <f t="shared" ca="1" si="1175"/>
        <v xml:space="preserve">Enter a value for 'Clubhouse/Community Room' in cell B27.
</v>
      </c>
      <c r="G3394"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v>
      </c>
    </row>
    <row r="3395" spans="1:7" ht="15" customHeight="1">
      <c r="A3395" t="str">
        <f t="shared" ca="1" si="1171"/>
        <v xml:space="preserve">Enter a value for 'Fitness/Exercise Room' in cell B28.
</v>
      </c>
      <c r="B3395">
        <f>ROW(Amenities!A28)</f>
        <v>28</v>
      </c>
      <c r="C3395" t="str">
        <f t="shared" ca="1" si="1172"/>
        <v>Fitness/Exercise Room</v>
      </c>
      <c r="D3395" t="str">
        <f t="shared" si="1173"/>
        <v>B28</v>
      </c>
      <c r="E3395" t="str">
        <f t="shared" ca="1" si="1174"/>
        <v/>
      </c>
      <c r="F3395" t="str">
        <f t="shared" ca="1" si="1175"/>
        <v xml:space="preserve">Enter a value for 'Fitness/Exercise Room' in cell B28.
</v>
      </c>
      <c r="G3395"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v>
      </c>
    </row>
    <row r="3396" spans="1:7" ht="15" customHeight="1">
      <c r="A3396" t="str">
        <f t="shared" ca="1" si="1171"/>
        <v xml:space="preserve">Enter a value for 'Library' in cell B29.
</v>
      </c>
      <c r="B3396">
        <f>ROW(Amenities!A29)</f>
        <v>29</v>
      </c>
      <c r="C3396" t="str">
        <f t="shared" ca="1" si="1172"/>
        <v>Library</v>
      </c>
      <c r="D3396" t="str">
        <f t="shared" si="1173"/>
        <v>B29</v>
      </c>
      <c r="E3396" t="str">
        <f t="shared" ca="1" si="1174"/>
        <v/>
      </c>
      <c r="F3396" t="str">
        <f t="shared" ca="1" si="1175"/>
        <v xml:space="preserve">Enter a value for 'Library' in cell B29.
</v>
      </c>
      <c r="G3396"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v>
      </c>
    </row>
    <row r="3397" spans="1:7" ht="15" customHeight="1">
      <c r="A3397" t="str">
        <f t="shared" ca="1" si="1171"/>
        <v xml:space="preserve">Enter a value for 'Computer Lab' in cell B30.
</v>
      </c>
      <c r="B3397">
        <f>ROW(Amenities!A30)</f>
        <v>30</v>
      </c>
      <c r="C3397" t="str">
        <f t="shared" ca="1" si="1172"/>
        <v>Computer Lab</v>
      </c>
      <c r="D3397" t="str">
        <f t="shared" si="1173"/>
        <v>B30</v>
      </c>
      <c r="E3397" t="str">
        <f t="shared" ca="1" si="1174"/>
        <v/>
      </c>
      <c r="F3397" t="str">
        <f t="shared" ca="1" si="1175"/>
        <v xml:space="preserve">Enter a value for 'Computer Lab' in cell B30.
</v>
      </c>
      <c r="G3397"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v>
      </c>
    </row>
    <row r="3398" spans="1:7" ht="15" customHeight="1">
      <c r="A3398" t="str">
        <f t="shared" ca="1" si="1171"/>
        <v xml:space="preserve">Enter a value for 'Business Center' in cell B31.
</v>
      </c>
      <c r="B3398">
        <f>ROW(Amenities!A31)</f>
        <v>31</v>
      </c>
      <c r="C3398" t="str">
        <f t="shared" ca="1" si="1172"/>
        <v>Business Center</v>
      </c>
      <c r="D3398" t="str">
        <f t="shared" si="1173"/>
        <v>B31</v>
      </c>
      <c r="E3398" t="str">
        <f t="shared" ca="1" si="1174"/>
        <v/>
      </c>
      <c r="F3398" t="str">
        <f t="shared" ca="1" si="1175"/>
        <v xml:space="preserve">Enter a value for 'Business Center' in cell B31.
</v>
      </c>
      <c r="G3398"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v>
      </c>
    </row>
    <row r="3399" spans="1:7" ht="15" customHeight="1">
      <c r="A3399" t="str">
        <f t="shared" ca="1" si="1171"/>
        <v xml:space="preserve">Enter a value for 'Laundry Room' in cell B32.
</v>
      </c>
      <c r="B3399">
        <f>ROW(Amenities!A32)</f>
        <v>32</v>
      </c>
      <c r="C3399" t="str">
        <f t="shared" ca="1" si="1172"/>
        <v>Laundry Room</v>
      </c>
      <c r="D3399" t="str">
        <f t="shared" si="1173"/>
        <v>B32</v>
      </c>
      <c r="E3399" t="str">
        <f t="shared" ca="1" si="1174"/>
        <v/>
      </c>
      <c r="F3399" t="str">
        <f t="shared" ca="1" si="1175"/>
        <v xml:space="preserve">Enter a value for 'Laundry Room' in cell B32.
</v>
      </c>
      <c r="G3399"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v>
      </c>
    </row>
    <row r="3400" spans="1:7" ht="15" customHeight="1">
      <c r="A3400" t="str">
        <f t="shared" ca="1" si="1171"/>
        <v xml:space="preserve">Enter a value for 'Dining Room' in cell B36.
</v>
      </c>
      <c r="B3400">
        <f>ROW(Amenities!A36)</f>
        <v>36</v>
      </c>
      <c r="C3400" t="str">
        <f t="shared" ca="1" si="1172"/>
        <v>Dining Room</v>
      </c>
      <c r="D3400" t="str">
        <f t="shared" si="1173"/>
        <v>B36</v>
      </c>
      <c r="E3400" t="str">
        <f t="shared" ca="1" si="1174"/>
        <v/>
      </c>
      <c r="F3400" t="str">
        <f t="shared" ca="1" si="1175"/>
        <v xml:space="preserve">Enter a value for 'Dining Room' in cell B36.
</v>
      </c>
      <c r="G3400"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v>
      </c>
    </row>
    <row r="3401" spans="1:7" ht="15" customHeight="1">
      <c r="A3401" t="str">
        <f t="shared" ca="1" si="1171"/>
        <v xml:space="preserve">Enter a value for 'Kitchen' in cell B37.
</v>
      </c>
      <c r="B3401">
        <f>ROW(Amenities!A37)</f>
        <v>37</v>
      </c>
      <c r="C3401" t="str">
        <f t="shared" ca="1" si="1172"/>
        <v>Kitchen</v>
      </c>
      <c r="D3401" t="str">
        <f t="shared" si="1173"/>
        <v>B37</v>
      </c>
      <c r="E3401" t="str">
        <f t="shared" ca="1" si="1174"/>
        <v/>
      </c>
      <c r="F3401" t="str">
        <f t="shared" ca="1" si="1175"/>
        <v xml:space="preserve">Enter a value for 'Kitchen' in cell B37.
</v>
      </c>
      <c r="G3401"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v>
      </c>
    </row>
    <row r="3402" spans="1:7" ht="15" customHeight="1">
      <c r="A3402" t="str">
        <f t="shared" ca="1" si="1171"/>
        <v xml:space="preserve">Enter a value for 'Living/Activity/Game Room' in cell B38.
</v>
      </c>
      <c r="B3402">
        <f>ROW(Amenities!A38)</f>
        <v>38</v>
      </c>
      <c r="C3402" t="str">
        <f t="shared" ca="1" si="1172"/>
        <v>Living/Activity/Game Room</v>
      </c>
      <c r="D3402" t="str">
        <f t="shared" si="1173"/>
        <v>B38</v>
      </c>
      <c r="E3402" t="str">
        <f t="shared" ca="1" si="1174"/>
        <v/>
      </c>
      <c r="F3402" t="str">
        <f t="shared" ca="1" si="1175"/>
        <v xml:space="preserve">Enter a value for 'Living/Activity/Game Room' in cell B38.
</v>
      </c>
      <c r="G3402"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v>
      </c>
    </row>
    <row r="3403" spans="1:7" ht="15" customHeight="1">
      <c r="A3403" t="str">
        <f t="shared" ca="1" si="1171"/>
        <v xml:space="preserve">Enter a value for 'Elevator (quantity)' in cell B40.
</v>
      </c>
      <c r="B3403">
        <f>ROW(Amenities!A40)</f>
        <v>40</v>
      </c>
      <c r="C3403" t="str">
        <f t="shared" ca="1" si="1172"/>
        <v>Elevator (quantity)</v>
      </c>
      <c r="D3403" t="str">
        <f t="shared" si="1173"/>
        <v>B40</v>
      </c>
      <c r="E3403" t="str">
        <f t="shared" ca="1" si="1174"/>
        <v/>
      </c>
      <c r="F3403" t="str">
        <f t="shared" ca="1" si="1175"/>
        <v xml:space="preserve">Enter a value for 'Elevator (quantity)' in cell B40.
</v>
      </c>
      <c r="G3403"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v>
      </c>
    </row>
    <row r="3404" spans="1:7" ht="15" customHeight="1">
      <c r="A3404" t="str">
        <f t="shared" ca="1" si="1171"/>
        <v xml:space="preserve">Enter a value for 'Picnic/BBQ area' in cell B41.
</v>
      </c>
      <c r="B3404">
        <f>ROW(Amenities!A41)</f>
        <v>41</v>
      </c>
      <c r="C3404" t="str">
        <f t="shared" ca="1" si="1172"/>
        <v>Picnic/BBQ area</v>
      </c>
      <c r="D3404" t="str">
        <f t="shared" si="1173"/>
        <v>B41</v>
      </c>
      <c r="E3404" t="str">
        <f t="shared" ca="1" si="1174"/>
        <v/>
      </c>
      <c r="F3404" t="str">
        <f t="shared" ca="1" si="1175"/>
        <v xml:space="preserve">Enter a value for 'Picnic/BBQ area' in cell B41.
</v>
      </c>
      <c r="G3404"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v>
      </c>
    </row>
    <row r="3405" spans="1:7" ht="15" customHeight="1">
      <c r="A3405" t="str">
        <f t="shared" ca="1" si="1171"/>
        <v xml:space="preserve">Enter a value for 'Tot Lot/Playground' in cell B42.
</v>
      </c>
      <c r="B3405">
        <f>ROW(Amenities!A42)</f>
        <v>42</v>
      </c>
      <c r="C3405" t="str">
        <f t="shared" ca="1" si="1172"/>
        <v>Tot Lot/Playground</v>
      </c>
      <c r="D3405" t="str">
        <f t="shared" si="1173"/>
        <v>B42</v>
      </c>
      <c r="E3405" t="str">
        <f t="shared" ca="1" si="1174"/>
        <v/>
      </c>
      <c r="F3405" t="str">
        <f t="shared" ca="1" si="1175"/>
        <v xml:space="preserve">Enter a value for 'Tot Lot/Playground' in cell B42.
</v>
      </c>
      <c r="G3405"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v>
      </c>
    </row>
    <row r="3406" spans="1:7" ht="15" customHeight="1">
      <c r="A3406" t="str">
        <f t="shared" ref="A3406:A3432" ca="1" si="1183">IF(E3406="",F3406, "")</f>
        <v xml:space="preserve">Enter a value for 'Athletic courts' in cell B43.
</v>
      </c>
      <c r="B3406">
        <f>ROW(Amenities!A43)</f>
        <v>43</v>
      </c>
      <c r="C3406" t="str">
        <f t="shared" ref="C3406:C3432" ca="1" si="1184">INDIRECT($F$3373 &amp; ADDRESS(B3406, 1,4  ))</f>
        <v>Athletic courts</v>
      </c>
      <c r="D3406" t="str">
        <f t="shared" ref="D3406:D3432" si="1185">ADDRESS(B3406, 2,4  )</f>
        <v>B43</v>
      </c>
      <c r="E3406" t="str">
        <f t="shared" ref="E3406:E3432" ca="1" si="1186">IF(ISBLANK( INDIRECT($F$3373 &amp; D3406)),"", INDIRECT($F$3373 &amp; D3406))</f>
        <v/>
      </c>
      <c r="F3406" t="str">
        <f t="shared" ref="F3406:F3432" ca="1" si="1187">CONCATENATE("Enter a value for '", C3406, "' in cell ", D3406, ".", CHAR(10))</f>
        <v xml:space="preserve">Enter a value for 'Athletic courts' in cell B43.
</v>
      </c>
      <c r="G3406"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v>
      </c>
    </row>
    <row r="3407" spans="1:7" ht="15" customHeight="1">
      <c r="A3407" t="str">
        <f t="shared" ca="1" si="1183"/>
        <v xml:space="preserve">Enter a value for 'Swimming Pool' in cell B45.
</v>
      </c>
      <c r="B3407">
        <f>ROW(Amenities!A45)</f>
        <v>45</v>
      </c>
      <c r="C3407" t="str">
        <f t="shared" ca="1" si="1184"/>
        <v>Swimming Pool</v>
      </c>
      <c r="D3407" t="str">
        <f t="shared" si="1185"/>
        <v>B45</v>
      </c>
      <c r="E3407" t="str">
        <f t="shared" ca="1" si="1186"/>
        <v/>
      </c>
      <c r="F3407" t="str">
        <f t="shared" ca="1" si="1187"/>
        <v xml:space="preserve">Enter a value for 'Swimming Pool' in cell B45.
</v>
      </c>
      <c r="G3407" s="9" t="str">
        <f t="shared" ref="G3407:G3436" ca="1" si="1188">OFFSET(G3407, -1, 0) &amp; A3407</f>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v>
      </c>
    </row>
    <row r="3408" spans="1:7" ht="15" customHeight="1">
      <c r="A3408" t="str">
        <f t="shared" ca="1" si="1183"/>
        <v xml:space="preserve">Enter a value for 'Spa/Jacuzzi' in cell B46.
</v>
      </c>
      <c r="B3408">
        <f>ROW(Amenities!A46)</f>
        <v>46</v>
      </c>
      <c r="C3408" t="str">
        <f t="shared" ca="1" si="1184"/>
        <v>Spa/Jacuzzi</v>
      </c>
      <c r="D3408" t="str">
        <f t="shared" si="1185"/>
        <v>B46</v>
      </c>
      <c r="E3408" t="str">
        <f t="shared" ca="1" si="1186"/>
        <v/>
      </c>
      <c r="F3408" t="str">
        <f t="shared" ca="1" si="1187"/>
        <v xml:space="preserve">Enter a value for 'Spa/Jacuzzi' in cell B46.
</v>
      </c>
      <c r="G3408"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v>
      </c>
    </row>
    <row r="3409" spans="1:7" ht="15" customHeight="1">
      <c r="A3409" t="str">
        <f t="shared" ca="1" si="1183"/>
        <v xml:space="preserve">Enter a value for 'Onsite Manager' in cell B52.
</v>
      </c>
      <c r="B3409">
        <f>ROW(Amenities!A52)</f>
        <v>52</v>
      </c>
      <c r="C3409" t="str">
        <f t="shared" ca="1" si="1184"/>
        <v>Onsite Manager</v>
      </c>
      <c r="D3409" t="str">
        <f t="shared" si="1185"/>
        <v>B52</v>
      </c>
      <c r="E3409" t="str">
        <f t="shared" ca="1" si="1186"/>
        <v/>
      </c>
      <c r="F3409" t="str">
        <f t="shared" ca="1" si="1187"/>
        <v xml:space="preserve">Enter a value for 'Onsite Manager' in cell B52.
</v>
      </c>
      <c r="G3409"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v>
      </c>
    </row>
    <row r="3410" spans="1:7" ht="15" customHeight="1">
      <c r="A3410" t="str">
        <f t="shared" ca="1" si="1183"/>
        <v xml:space="preserve">Enter a value for 'Privacy Fencing' in cell B56.
</v>
      </c>
      <c r="B3410">
        <f>ROW(Amenities!A56)</f>
        <v>56</v>
      </c>
      <c r="C3410" t="str">
        <f t="shared" ca="1" si="1184"/>
        <v>Privacy Fencing</v>
      </c>
      <c r="D3410" t="str">
        <f t="shared" si="1185"/>
        <v>B56</v>
      </c>
      <c r="E3410" t="str">
        <f t="shared" ca="1" si="1186"/>
        <v/>
      </c>
      <c r="F3410" t="str">
        <f t="shared" ca="1" si="1187"/>
        <v xml:space="preserve">Enter a value for 'Privacy Fencing' in cell B56.
</v>
      </c>
      <c r="G3410"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v>
      </c>
    </row>
    <row r="3411" spans="1:7" ht="15" customHeight="1">
      <c r="A3411" t="str">
        <f t="shared" ca="1" si="1183"/>
        <v xml:space="preserve">Enter a value for 'Reception Desk' in cell B57.
</v>
      </c>
      <c r="B3411">
        <f>ROW(Amenities!A57)</f>
        <v>57</v>
      </c>
      <c r="C3411" t="str">
        <f t="shared" ca="1" si="1184"/>
        <v>Reception Desk</v>
      </c>
      <c r="D3411" t="str">
        <f t="shared" si="1185"/>
        <v>B57</v>
      </c>
      <c r="E3411" t="str">
        <f t="shared" ca="1" si="1186"/>
        <v/>
      </c>
      <c r="F3411" t="str">
        <f t="shared" ca="1" si="1187"/>
        <v xml:space="preserve">Enter a value for 'Reception Desk' in cell B57.
</v>
      </c>
      <c r="G3411"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v>
      </c>
    </row>
    <row r="3412" spans="1:7" ht="15" customHeight="1">
      <c r="A3412" t="str">
        <f t="shared" ca="1" si="1183"/>
        <v xml:space="preserve">Enter a value for 'Surveillance Cameras' in cell B58.
</v>
      </c>
      <c r="B3412">
        <f>ROW(Amenities!A58)</f>
        <v>58</v>
      </c>
      <c r="C3412" t="str">
        <f t="shared" ca="1" si="1184"/>
        <v>Surveillance Cameras</v>
      </c>
      <c r="D3412" t="str">
        <f t="shared" si="1185"/>
        <v>B58</v>
      </c>
      <c r="E3412" t="str">
        <f t="shared" ca="1" si="1186"/>
        <v/>
      </c>
      <c r="F3412" t="str">
        <f t="shared" ca="1" si="1187"/>
        <v xml:space="preserve">Enter a value for 'Surveillance Cameras' in cell B58.
</v>
      </c>
      <c r="G3412"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v>
      </c>
    </row>
    <row r="3413" spans="1:7" ht="15" customHeight="1">
      <c r="A3413" t="str">
        <f t="shared" ca="1" si="1183"/>
        <v xml:space="preserve">Enter a value for 'Control Access Entry' in cell B59.
</v>
      </c>
      <c r="B3413">
        <f>ROW(Amenities!A59)</f>
        <v>59</v>
      </c>
      <c r="C3413" t="str">
        <f t="shared" ca="1" si="1184"/>
        <v>Control Access Entry</v>
      </c>
      <c r="D3413" t="str">
        <f t="shared" si="1185"/>
        <v>B59</v>
      </c>
      <c r="E3413" t="str">
        <f t="shared" ca="1" si="1186"/>
        <v/>
      </c>
      <c r="F3413" t="str">
        <f t="shared" ca="1" si="1187"/>
        <v xml:space="preserve">Enter a value for 'Control Access Entry' in cell B59.
</v>
      </c>
      <c r="G3413"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v>
      </c>
    </row>
    <row r="3414" spans="1:7" ht="15" customHeight="1">
      <c r="A3414" t="str">
        <f t="shared" ca="1" si="1183"/>
        <v xml:space="preserve">Enter a value for 'Emergency Pull Cords' in cell B60.
</v>
      </c>
      <c r="B3414">
        <f>ROW(Amenities!A60)</f>
        <v>60</v>
      </c>
      <c r="C3414" t="str">
        <f t="shared" ca="1" si="1184"/>
        <v>Emergency Pull Cords</v>
      </c>
      <c r="D3414" t="str">
        <f t="shared" si="1185"/>
        <v>B60</v>
      </c>
      <c r="E3414" t="str">
        <f t="shared" ca="1" si="1186"/>
        <v/>
      </c>
      <c r="F3414" t="str">
        <f t="shared" ca="1" si="1187"/>
        <v xml:space="preserve">Enter a value for 'Emergency Pull Cords' in cell B60.
</v>
      </c>
      <c r="G3414"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v>
      </c>
    </row>
    <row r="3415" spans="1:7" ht="15" customHeight="1">
      <c r="A3415" t="str">
        <f t="shared" ca="1" si="1183"/>
        <v/>
      </c>
      <c r="B3415">
        <f>ROW(Amenities!A62)</f>
        <v>62</v>
      </c>
      <c r="C3415" t="str">
        <f t="shared" ca="1" si="1184"/>
        <v>Surface Parking - # of spaces</v>
      </c>
      <c r="D3415" t="str">
        <f t="shared" si="1185"/>
        <v>B62</v>
      </c>
      <c r="E3415">
        <f t="shared" ca="1" si="1186"/>
        <v>0</v>
      </c>
      <c r="F3415" t="str">
        <f t="shared" ca="1" si="1187"/>
        <v xml:space="preserve">Enter a value for 'Surface Parking - # of spaces' in cell B62.
</v>
      </c>
      <c r="G3415"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v>
      </c>
    </row>
    <row r="3416" spans="1:7" s="319" customFormat="1" ht="15" customHeight="1">
      <c r="A3416" s="319" t="str">
        <f t="shared" ca="1" si="1183"/>
        <v/>
      </c>
      <c r="B3416" s="319">
        <f>ROW(Amenities!A63)</f>
        <v>63</v>
      </c>
      <c r="C3416" s="319" t="str">
        <f t="shared" ca="1" si="1184"/>
        <v>Carport - # of carports</v>
      </c>
      <c r="D3416" t="str">
        <f t="shared" si="1185"/>
        <v>B63</v>
      </c>
      <c r="E3416">
        <f t="shared" ca="1" si="1186"/>
        <v>0</v>
      </c>
      <c r="F3416" s="319" t="str">
        <f t="shared" ca="1" si="1187"/>
        <v xml:space="preserve">Enter a value for 'Carport - # of carports' in cell B63.
</v>
      </c>
      <c r="G3416" s="424"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v>
      </c>
    </row>
    <row r="3417" spans="1:7" ht="15" customHeight="1">
      <c r="A3417" t="str">
        <f t="shared" ca="1" si="1183"/>
        <v/>
      </c>
      <c r="B3417">
        <f>ROW(Amenities!A64)</f>
        <v>64</v>
      </c>
      <c r="C3417" t="str">
        <f t="shared" ca="1" si="1184"/>
        <v>Underground Parking - # of spaces</v>
      </c>
      <c r="D3417" t="str">
        <f t="shared" si="1185"/>
        <v>B64</v>
      </c>
      <c r="E3417">
        <f t="shared" ca="1" si="1186"/>
        <v>0</v>
      </c>
      <c r="F3417" t="str">
        <f t="shared" ca="1" si="1187"/>
        <v xml:space="preserve">Enter a value for 'Underground Parking - # of spaces' in cell B64.
</v>
      </c>
      <c r="G3417"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v>
      </c>
    </row>
    <row r="3418" spans="1:7" ht="15" customHeight="1">
      <c r="A3418" t="str">
        <f t="shared" ca="1" si="1183"/>
        <v/>
      </c>
      <c r="B3418">
        <f>ROW(Amenities!A65)</f>
        <v>65</v>
      </c>
      <c r="C3418" t="str">
        <f t="shared" ca="1" si="1184"/>
        <v>Detached Garage - # of garages</v>
      </c>
      <c r="D3418" t="str">
        <f t="shared" si="1185"/>
        <v>B65</v>
      </c>
      <c r="E3418">
        <f t="shared" ca="1" si="1186"/>
        <v>0</v>
      </c>
      <c r="F3418" t="str">
        <f t="shared" ca="1" si="1187"/>
        <v xml:space="preserve">Enter a value for 'Detached Garage - # of garages' in cell B65.
</v>
      </c>
      <c r="G3418"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v>
      </c>
    </row>
    <row r="3419" spans="1:7" ht="15" customHeight="1">
      <c r="A3419" t="str">
        <f t="shared" ca="1" si="1183"/>
        <v/>
      </c>
      <c r="B3419">
        <f>ROW(Amenities!A66)</f>
        <v>66</v>
      </c>
      <c r="C3419" t="str">
        <f t="shared" ca="1" si="1184"/>
        <v>Attached Garage - # of garages</v>
      </c>
      <c r="D3419" t="str">
        <f t="shared" si="1185"/>
        <v>B66</v>
      </c>
      <c r="E3419">
        <f t="shared" ca="1" si="1186"/>
        <v>0</v>
      </c>
      <c r="F3419" t="str">
        <f t="shared" ca="1" si="1187"/>
        <v xml:space="preserve">Enter a value for 'Attached Garage - # of garages' in cell B66.
</v>
      </c>
      <c r="G3419"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v>
      </c>
    </row>
    <row r="3420" spans="1:7" ht="15" customHeight="1">
      <c r="A3420" t="str">
        <f t="shared" ca="1" si="1183"/>
        <v/>
      </c>
      <c r="B3420">
        <f>ROW(Amenities!A67)</f>
        <v>67</v>
      </c>
      <c r="C3420" t="str">
        <f t="shared" ca="1" si="1184"/>
        <v>Tuck-under / Podium Parking - # of spaces</v>
      </c>
      <c r="D3420" t="str">
        <f t="shared" si="1185"/>
        <v>B67</v>
      </c>
      <c r="E3420">
        <f t="shared" ca="1" si="1186"/>
        <v>0</v>
      </c>
      <c r="F3420" t="str">
        <f t="shared" ca="1" si="1187"/>
        <v xml:space="preserve">Enter a value for 'Tuck-under / Podium Parking - # of spaces' in cell B67.
</v>
      </c>
      <c r="G3420"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v>
      </c>
    </row>
    <row r="3421" spans="1:7" ht="15" customHeight="1">
      <c r="A3421" t="str">
        <f t="shared" ref="A3421:A3427" ca="1" si="1189">IF(E3421="",F3421, "")</f>
        <v xml:space="preserve">Enter a value for 'Is Parking in Eligible Basis' in cell B69.
</v>
      </c>
      <c r="B3421">
        <f>ROW(Amenities!A69)</f>
        <v>69</v>
      </c>
      <c r="C3421" t="str">
        <f t="shared" ref="C3421:C3427" ca="1" si="1190">INDIRECT($F$3373 &amp; ADDRESS(B3421, 1,4  ))</f>
        <v>Is Parking in Eligible Basis</v>
      </c>
      <c r="D3421" t="str">
        <f t="shared" ref="D3421:D3427" si="1191">ADDRESS(B3421, 2,4  )</f>
        <v>B69</v>
      </c>
      <c r="E3421" t="str">
        <f t="shared" ref="E3421:E3427" ca="1" si="1192">IF(ISBLANK( INDIRECT($F$3373 &amp; D3421)),"", INDIRECT($F$3373 &amp; D3421))</f>
        <v/>
      </c>
      <c r="F3421" t="str">
        <f t="shared" ref="F3421:F3427" ca="1" si="1193">CONCATENATE("Enter a value for '", C3421, "' in cell ", D3421, ".", CHAR(10))</f>
        <v xml:space="preserve">Enter a value for 'Is Parking in Eligible Basis' in cell B69.
</v>
      </c>
      <c r="G3421" s="9" t="str">
        <f t="shared" ref="G3421:G3427" ca="1" si="1194">OFFSET(G3421, -1, 0) &amp; A3421</f>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v>
      </c>
    </row>
    <row r="3422" spans="1:7" ht="15" customHeight="1">
      <c r="A3422" t="str">
        <f t="shared" ca="1" si="1189"/>
        <v xml:space="preserve">Enter a value for 'Is there a Fee for Parking' in cell B70.
</v>
      </c>
      <c r="B3422">
        <f>ROW(Amenities!A70)</f>
        <v>70</v>
      </c>
      <c r="C3422" t="str">
        <f t="shared" ca="1" si="1190"/>
        <v>Is there a Fee for Parking</v>
      </c>
      <c r="D3422" t="str">
        <f t="shared" si="1191"/>
        <v>B70</v>
      </c>
      <c r="E3422" t="str">
        <f t="shared" ca="1" si="1192"/>
        <v/>
      </c>
      <c r="F3422" t="str">
        <f t="shared" ca="1" si="1193"/>
        <v xml:space="preserve">Enter a value for 'Is there a Fee for Parking' in cell B70.
</v>
      </c>
      <c r="G3422" s="9" t="str">
        <f t="shared" ca="1" si="1194"/>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v>
      </c>
    </row>
    <row r="3423" spans="1:7" ht="15" customHeight="1">
      <c r="A3423" t="str">
        <f t="shared" ca="1" si="1189"/>
        <v/>
      </c>
      <c r="B3423">
        <f>ROW(Amenities!A71)</f>
        <v>71</v>
      </c>
      <c r="C3423" t="str">
        <f t="shared" ca="1" si="1190"/>
        <v>Fee Amount/Month ($)</v>
      </c>
      <c r="D3423" t="str">
        <f t="shared" si="1191"/>
        <v>B71</v>
      </c>
      <c r="E3423">
        <f t="shared" ca="1" si="1192"/>
        <v>0</v>
      </c>
      <c r="F3423" t="str">
        <f t="shared" ca="1" si="1193"/>
        <v xml:space="preserve">Enter a value for 'Fee Amount/Month ($)' in cell B71.
</v>
      </c>
      <c r="G3423" s="9" t="str">
        <f t="shared" ca="1" si="1194"/>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v>
      </c>
    </row>
    <row r="3424" spans="1:7" ht="15" customHeight="1">
      <c r="A3424" t="str">
        <f t="shared" ca="1" si="1189"/>
        <v xml:space="preserve">Enter a value for 'Storage Units or Lockers' in cell B73.
</v>
      </c>
      <c r="B3424">
        <f>ROW(Amenities!A73)</f>
        <v>73</v>
      </c>
      <c r="C3424" t="str">
        <f t="shared" ca="1" si="1190"/>
        <v>Storage Units or Lockers</v>
      </c>
      <c r="D3424" t="str">
        <f t="shared" si="1191"/>
        <v>B73</v>
      </c>
      <c r="E3424" t="str">
        <f t="shared" ca="1" si="1192"/>
        <v/>
      </c>
      <c r="F3424" t="str">
        <f t="shared" ca="1" si="1193"/>
        <v xml:space="preserve">Enter a value for 'Storage Units or Lockers' in cell B73.
</v>
      </c>
      <c r="G3424" s="9" t="str">
        <f t="shared" ca="1" si="1194"/>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v>
      </c>
    </row>
    <row r="3425" spans="1:11" ht="15" customHeight="1">
      <c r="A3425" t="str">
        <f t="shared" ca="1" si="1189"/>
        <v xml:space="preserve">Enter a value for '      Part of Eligible Basis' in cell B74.
</v>
      </c>
      <c r="B3425">
        <f>ROW(Amenities!A74)</f>
        <v>74</v>
      </c>
      <c r="C3425" t="str">
        <f t="shared" ca="1" si="1190"/>
        <v xml:space="preserve">      Part of Eligible Basis</v>
      </c>
      <c r="D3425" t="str">
        <f t="shared" si="1191"/>
        <v>B74</v>
      </c>
      <c r="E3425" t="str">
        <f t="shared" ca="1" si="1192"/>
        <v/>
      </c>
      <c r="F3425" t="str">
        <f t="shared" ca="1" si="1193"/>
        <v xml:space="preserve">Enter a value for '      Part of Eligible Basis' in cell B74.
</v>
      </c>
      <c r="G3425" s="9" t="str">
        <f t="shared" ca="1" si="1194"/>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v>
      </c>
    </row>
    <row r="3426" spans="1:11" ht="15" customHeight="1">
      <c r="A3426" t="str">
        <f t="shared" ca="1" si="1189"/>
        <v/>
      </c>
      <c r="B3426">
        <f>ROW(Amenities!A75)</f>
        <v>75</v>
      </c>
      <c r="C3426" t="str">
        <f t="shared" ca="1" si="1190"/>
        <v>Fee Amount/Month ($)</v>
      </c>
      <c r="D3426" t="str">
        <f t="shared" si="1191"/>
        <v>B75</v>
      </c>
      <c r="E3426">
        <f t="shared" ca="1" si="1192"/>
        <v>0</v>
      </c>
      <c r="F3426" t="str">
        <f t="shared" ca="1" si="1193"/>
        <v xml:space="preserve">Enter a value for 'Fee Amount/Month ($)' in cell B75.
</v>
      </c>
      <c r="G3426" s="9" t="str">
        <f t="shared" ca="1" si="1194"/>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v>
      </c>
    </row>
    <row r="3427" spans="1:11" ht="15" customHeight="1">
      <c r="A3427" t="str">
        <f t="shared" ca="1" si="1189"/>
        <v xml:space="preserve">Enter a value for 'Electric Vehicle (EV) Ready ' in cell B76.
</v>
      </c>
      <c r="B3427">
        <f>ROW(Amenities!A76)</f>
        <v>76</v>
      </c>
      <c r="C3427" t="str">
        <f t="shared" ca="1" si="1190"/>
        <v xml:space="preserve">Electric Vehicle (EV) Ready </v>
      </c>
      <c r="D3427" t="str">
        <f t="shared" si="1191"/>
        <v>B76</v>
      </c>
      <c r="E3427" t="str">
        <f t="shared" ca="1" si="1192"/>
        <v/>
      </c>
      <c r="F3427" t="str">
        <f t="shared" ca="1" si="1193"/>
        <v xml:space="preserve">Enter a value for 'Electric Vehicle (EV) Ready ' in cell B76.
</v>
      </c>
      <c r="G3427" s="9" t="str">
        <f t="shared" ca="1" si="1194"/>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v>
      </c>
    </row>
    <row r="3428" spans="1:11" ht="15" customHeight="1">
      <c r="A3428" t="str">
        <f t="shared" ref="A3428" ca="1" si="1195">IF(E3428="",F3428, "")</f>
        <v/>
      </c>
      <c r="B3428">
        <f>ROW(Amenities!A77)</f>
        <v>77</v>
      </c>
      <c r="C3428" t="str">
        <f t="shared" ref="C3428" ca="1" si="1196">INDIRECT($F$3373 &amp; ADDRESS(B3428, 1,4  ))</f>
        <v>Number of EV Charging Stations (if applicable)</v>
      </c>
      <c r="D3428" t="str">
        <f t="shared" ref="D3428" si="1197">ADDRESS(B3428, 2,4  )</f>
        <v>B77</v>
      </c>
      <c r="E3428">
        <f t="shared" ref="E3428" ca="1" si="1198">IF(ISBLANK( INDIRECT($F$3373 &amp; D3428)),"", INDIRECT($F$3373 &amp; D3428))</f>
        <v>0</v>
      </c>
      <c r="F3428" t="str">
        <f t="shared" ref="F3428" ca="1" si="1199">CONCATENATE("Enter a value for '", C3428, "' in cell ", D3428, ".", CHAR(10))</f>
        <v xml:space="preserve">Enter a value for 'Number of EV Charging Stations (if applicable)' in cell B77.
</v>
      </c>
      <c r="G3428" s="9" t="str">
        <f t="shared" ref="G3428" ca="1" si="1200">OFFSET(G3428, -1, 0) &amp; A3428</f>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v>
      </c>
    </row>
    <row r="3429" spans="1:11" ht="15" customHeight="1">
      <c r="A3429" t="str">
        <f t="shared" ca="1" si="1183"/>
        <v xml:space="preserve">Enter a value for 'Age 62+/all occupants' in cell B86.
</v>
      </c>
      <c r="B3429">
        <f>ROW(Amenities!A86)</f>
        <v>86</v>
      </c>
      <c r="C3429" t="str">
        <f t="shared" ca="1" si="1184"/>
        <v>Age 62+/all occupants</v>
      </c>
      <c r="D3429" t="str">
        <f t="shared" si="1185"/>
        <v>B86</v>
      </c>
      <c r="E3429" t="str">
        <f t="shared" ca="1" si="1186"/>
        <v/>
      </c>
      <c r="F3429" t="str">
        <f t="shared" ca="1" si="1187"/>
        <v xml:space="preserve">Enter a value for 'Age 62+/all occupants' in cell B86.
</v>
      </c>
      <c r="G3429"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Enter a value for 'Age 62+/all occupants' in cell B86.
</v>
      </c>
    </row>
    <row r="3430" spans="1:11" ht="15" customHeight="1">
      <c r="A3430" t="str">
        <f t="shared" ca="1" si="1183"/>
        <v xml:space="preserve">Enter a value for 'Age 55+/at least one occupant' in cell B87.
</v>
      </c>
      <c r="B3430">
        <f>ROW(Amenities!A87)</f>
        <v>87</v>
      </c>
      <c r="C3430" t="str">
        <f t="shared" ca="1" si="1184"/>
        <v>Age 55+/at least one occupant</v>
      </c>
      <c r="D3430" t="str">
        <f t="shared" si="1185"/>
        <v>B87</v>
      </c>
      <c r="E3430" t="str">
        <f t="shared" ca="1" si="1186"/>
        <v/>
      </c>
      <c r="F3430" t="str">
        <f t="shared" ca="1" si="1187"/>
        <v xml:space="preserve">Enter a value for 'Age 55+/at least one occupant' in cell B87.
</v>
      </c>
      <c r="G3430"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Enter a value for 'Age 62+/all occupants' in cell B86.
Enter a value for 'Age 55+/at least one occupant' in cell B87.
</v>
      </c>
    </row>
    <row r="3431" spans="1:11" ht="15" customHeight="1">
      <c r="A3431" t="str">
        <f t="shared" ca="1" si="1183"/>
        <v xml:space="preserve">Enter a value for 'Service Coordinator' in cell B88.
</v>
      </c>
      <c r="B3431">
        <f>ROW(Amenities!A88)</f>
        <v>88</v>
      </c>
      <c r="C3431" t="str">
        <f t="shared" ca="1" si="1184"/>
        <v>Service Coordinator</v>
      </c>
      <c r="D3431" t="str">
        <f t="shared" si="1185"/>
        <v>B88</v>
      </c>
      <c r="E3431" t="str">
        <f t="shared" ca="1" si="1186"/>
        <v/>
      </c>
      <c r="F3431" t="str">
        <f t="shared" ca="1" si="1187"/>
        <v xml:space="preserve">Enter a value for 'Service Coordinator' in cell B88.
</v>
      </c>
      <c r="G3431"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Enter a value for 'Age 62+/all occupants' in cell B86.
Enter a value for 'Age 55+/at least one occupant' in cell B87.
Enter a value for 'Service Coordinator' in cell B88.
</v>
      </c>
    </row>
    <row r="3432" spans="1:11" ht="15" customHeight="1">
      <c r="A3432" t="str">
        <f t="shared" ca="1" si="1183"/>
        <v xml:space="preserve">Enter a value for 'Additional fees for services' in cell B89.
</v>
      </c>
      <c r="B3432">
        <f>ROW(Amenities!A89)</f>
        <v>89</v>
      </c>
      <c r="C3432" t="str">
        <f t="shared" ca="1" si="1184"/>
        <v>Additional fees for services</v>
      </c>
      <c r="D3432" t="str">
        <f t="shared" si="1185"/>
        <v>B89</v>
      </c>
      <c r="E3432" t="str">
        <f t="shared" ca="1" si="1186"/>
        <v/>
      </c>
      <c r="F3432" t="str">
        <f t="shared" ca="1" si="1187"/>
        <v xml:space="preserve">Enter a value for 'Additional fees for services' in cell B89.
</v>
      </c>
      <c r="G3432"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33" spans="1:11" ht="15" customHeight="1">
      <c r="G3433"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34" spans="1:11" ht="15" customHeight="1">
      <c r="A3434" t="str">
        <f t="shared" ref="A3434:A3449" ca="1" si="1201">IF(AND($J$3434, E3434=""),F3434, "")</f>
        <v/>
      </c>
      <c r="B3434">
        <f>ROW(Amenities!A94)</f>
        <v>94</v>
      </c>
      <c r="C3434" t="str">
        <f t="shared" ref="C3434:C3449" ca="1" si="1202">INDIRECT($F$3373 &amp; ADDRESS(B3434, 1,4  ))</f>
        <v>Utility Model</v>
      </c>
      <c r="D3434" t="str">
        <f t="shared" ref="D3434:D3449" si="1203">ADDRESS(B3434, 2,4  )</f>
        <v>B94</v>
      </c>
      <c r="E3434" t="str">
        <f t="shared" ref="E3434:E3449" ca="1" si="1204">IF(ISBLANK( INDIRECT($F$3373 &amp; D3434)),"", INDIRECT($F$3373 &amp; D3434))</f>
        <v/>
      </c>
      <c r="F3434" t="str">
        <f t="shared" ref="F3434:F3449" ca="1" si="1205">CONCATENATE("Enter a value for '", C3434, "' in cell ", D3434, ".", CHAR(10))</f>
        <v xml:space="preserve">Enter a value for 'Utility Model' in cell B94.
</v>
      </c>
      <c r="G3434"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c r="H3434" t="s">
        <v>3716</v>
      </c>
      <c r="J3434" s="16" t="b">
        <f>OR(Calculations!$B$3,AND(Calculations!$B$4,Calculations!$B$5,NOT(Calculations!$B$6)))</f>
        <v>0</v>
      </c>
      <c r="K3434" s="16" t="s">
        <v>3717</v>
      </c>
    </row>
    <row r="3435" spans="1:11" ht="15" customHeight="1">
      <c r="A3435" t="str">
        <f t="shared" ca="1" si="1201"/>
        <v/>
      </c>
      <c r="B3435">
        <f>ROW(Amenities!A96)</f>
        <v>96</v>
      </c>
      <c r="C3435" t="str">
        <f t="shared" ca="1" si="1202"/>
        <v>Gas</v>
      </c>
      <c r="D3435" t="str">
        <f t="shared" si="1203"/>
        <v>B96</v>
      </c>
      <c r="E3435" t="str">
        <f t="shared" ca="1" si="1204"/>
        <v/>
      </c>
      <c r="F3435" t="str">
        <f t="shared" ca="1" si="1205"/>
        <v xml:space="preserve">Enter a value for 'Gas' in cell B96.
</v>
      </c>
      <c r="G3435"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36" spans="1:11" ht="15" customHeight="1">
      <c r="A3436" t="str">
        <f t="shared" ca="1" si="1201"/>
        <v/>
      </c>
      <c r="B3436">
        <f>ROW(Amenities!A97)</f>
        <v>97</v>
      </c>
      <c r="C3436" t="str">
        <f t="shared" ca="1" si="1202"/>
        <v>Electricity</v>
      </c>
      <c r="D3436" t="str">
        <f t="shared" si="1203"/>
        <v>B97</v>
      </c>
      <c r="E3436" t="str">
        <f t="shared" ca="1" si="1204"/>
        <v/>
      </c>
      <c r="F3436" t="str">
        <f t="shared" ca="1" si="1205"/>
        <v xml:space="preserve">Enter a value for 'Electricity' in cell B97.
</v>
      </c>
      <c r="G3436"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37" spans="1:11" ht="15" customHeight="1">
      <c r="A3437" t="str">
        <f t="shared" ca="1" si="1201"/>
        <v/>
      </c>
      <c r="B3437">
        <f>ROW(Amenities!A98)</f>
        <v>98</v>
      </c>
      <c r="C3437" t="str">
        <f t="shared" ca="1" si="1202"/>
        <v>Water</v>
      </c>
      <c r="D3437" t="str">
        <f t="shared" si="1203"/>
        <v>B98</v>
      </c>
      <c r="E3437" t="str">
        <f t="shared" ca="1" si="1204"/>
        <v/>
      </c>
      <c r="F3437" t="str">
        <f t="shared" ca="1" si="1205"/>
        <v xml:space="preserve">Enter a value for 'Water' in cell B98.
</v>
      </c>
      <c r="G3437" s="9" t="str">
        <f t="shared" ref="G3437:G3449" ca="1" si="1206">OFFSET(G3437, -1, 0) &amp; A3437</f>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38" spans="1:11" ht="15" customHeight="1">
      <c r="A3438" t="str">
        <f t="shared" ca="1" si="1201"/>
        <v/>
      </c>
      <c r="B3438">
        <f>ROW(Amenities!A99)</f>
        <v>99</v>
      </c>
      <c r="C3438" t="str">
        <f t="shared" ca="1" si="1202"/>
        <v>Sewer</v>
      </c>
      <c r="D3438" t="str">
        <f t="shared" si="1203"/>
        <v>B99</v>
      </c>
      <c r="E3438" t="str">
        <f t="shared" ca="1" si="1204"/>
        <v/>
      </c>
      <c r="F3438" t="str">
        <f t="shared" ca="1" si="1205"/>
        <v xml:space="preserve">Enter a value for 'Sewer' in cell B99.
</v>
      </c>
      <c r="G3438" s="9" t="str">
        <f t="shared" ca="1" si="120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39" spans="1:11" ht="15" customHeight="1">
      <c r="A3439" t="str">
        <f t="shared" ca="1" si="1201"/>
        <v/>
      </c>
      <c r="B3439">
        <f>ROW(Amenities!A100)</f>
        <v>100</v>
      </c>
      <c r="C3439" t="str">
        <f t="shared" ca="1" si="1202"/>
        <v>Trash</v>
      </c>
      <c r="D3439" t="str">
        <f t="shared" si="1203"/>
        <v>B100</v>
      </c>
      <c r="E3439" t="str">
        <f t="shared" ca="1" si="1204"/>
        <v/>
      </c>
      <c r="F3439" t="str">
        <f t="shared" ca="1" si="1205"/>
        <v xml:space="preserve">Enter a value for 'Trash' in cell B100.
</v>
      </c>
      <c r="G3439" s="9" t="str">
        <f t="shared" ca="1" si="120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40" spans="1:11" ht="15" customHeight="1">
      <c r="A3440" t="str">
        <f t="shared" ca="1" si="1201"/>
        <v/>
      </c>
      <c r="B3440">
        <f>ROW(Amenities!A101)</f>
        <v>101</v>
      </c>
      <c r="C3440" t="str">
        <f t="shared" ca="1" si="1202"/>
        <v>Cable  - If  contracted with cable provider</v>
      </c>
      <c r="D3440" t="str">
        <f t="shared" si="1203"/>
        <v>B101</v>
      </c>
      <c r="E3440" t="str">
        <f t="shared" ca="1" si="1204"/>
        <v/>
      </c>
      <c r="F3440" t="str">
        <f t="shared" ca="1" si="1205"/>
        <v xml:space="preserve">Enter a value for 'Cable  - If  contracted with cable provider' in cell B101.
</v>
      </c>
      <c r="G3440" s="9" t="str">
        <f t="shared" ca="1" si="120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41" spans="1:7" ht="15" customHeight="1">
      <c r="A3441" t="str">
        <f t="shared" ca="1" si="1201"/>
        <v/>
      </c>
      <c r="B3441">
        <f>ROW(Amenities!A104)</f>
        <v>104</v>
      </c>
      <c r="C3441" t="str">
        <f t="shared" ca="1" si="1202"/>
        <v>Gas</v>
      </c>
      <c r="D3441" t="str">
        <f t="shared" si="1203"/>
        <v>B104</v>
      </c>
      <c r="E3441" t="str">
        <f t="shared" ca="1" si="1204"/>
        <v/>
      </c>
      <c r="F3441" t="str">
        <f t="shared" ca="1" si="1205"/>
        <v xml:space="preserve">Enter a value for 'Gas' in cell B104.
</v>
      </c>
      <c r="G3441" s="9" t="str">
        <f t="shared" ca="1" si="120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42" spans="1:7" ht="15" customHeight="1">
      <c r="A3442" t="str">
        <f t="shared" ca="1" si="1201"/>
        <v/>
      </c>
      <c r="B3442">
        <f>ROW(Amenities!A105)</f>
        <v>105</v>
      </c>
      <c r="C3442" t="str">
        <f t="shared" ca="1" si="1202"/>
        <v>Electricity</v>
      </c>
      <c r="D3442" t="str">
        <f t="shared" si="1203"/>
        <v>B105</v>
      </c>
      <c r="E3442" t="str">
        <f t="shared" ca="1" si="1204"/>
        <v/>
      </c>
      <c r="F3442" t="str">
        <f t="shared" ca="1" si="1205"/>
        <v xml:space="preserve">Enter a value for 'Electricity' in cell B105.
</v>
      </c>
      <c r="G3442" s="9" t="str">
        <f t="shared" ca="1" si="120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43" spans="1:7" ht="15" customHeight="1">
      <c r="A3443" t="str">
        <f t="shared" ca="1" si="1201"/>
        <v/>
      </c>
      <c r="B3443">
        <f>ROW(Amenities!A106)</f>
        <v>106</v>
      </c>
      <c r="C3443" t="str">
        <f t="shared" ca="1" si="1202"/>
        <v>Water</v>
      </c>
      <c r="D3443" t="str">
        <f t="shared" si="1203"/>
        <v>B106</v>
      </c>
      <c r="E3443" t="str">
        <f t="shared" ca="1" si="1204"/>
        <v/>
      </c>
      <c r="F3443" t="str">
        <f t="shared" ca="1" si="1205"/>
        <v xml:space="preserve">Enter a value for 'Water' in cell B106.
</v>
      </c>
      <c r="G3443" s="9" t="str">
        <f t="shared" ca="1" si="120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44" spans="1:7" ht="15" customHeight="1">
      <c r="A3444" t="str">
        <f t="shared" ca="1" si="1201"/>
        <v/>
      </c>
      <c r="B3444">
        <f>ROW(Amenities!A107)</f>
        <v>107</v>
      </c>
      <c r="C3444" t="str">
        <f t="shared" ca="1" si="1202"/>
        <v>Sewer</v>
      </c>
      <c r="D3444" t="str">
        <f t="shared" si="1203"/>
        <v>B107</v>
      </c>
      <c r="E3444" t="str">
        <f t="shared" ca="1" si="1204"/>
        <v/>
      </c>
      <c r="F3444" t="str">
        <f t="shared" ca="1" si="1205"/>
        <v xml:space="preserve">Enter a value for 'Sewer' in cell B107.
</v>
      </c>
      <c r="G3444" s="9" t="str">
        <f t="shared" ca="1" si="120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45" spans="1:7" ht="15" customHeight="1">
      <c r="A3445" t="str">
        <f t="shared" ca="1" si="1201"/>
        <v/>
      </c>
      <c r="B3445">
        <f>ROW(Amenities!A108)</f>
        <v>108</v>
      </c>
      <c r="C3445" t="str">
        <f t="shared" ca="1" si="1202"/>
        <v>Trash</v>
      </c>
      <c r="D3445" t="str">
        <f t="shared" si="1203"/>
        <v>B108</v>
      </c>
      <c r="E3445" t="str">
        <f t="shared" ca="1" si="1204"/>
        <v/>
      </c>
      <c r="F3445" t="str">
        <f t="shared" ca="1" si="1205"/>
        <v xml:space="preserve">Enter a value for 'Trash' in cell B108.
</v>
      </c>
      <c r="G3445" s="9" t="str">
        <f t="shared" ca="1" si="120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46" spans="1:7" ht="15" customHeight="1">
      <c r="A3446" t="str">
        <f t="shared" ca="1" si="1201"/>
        <v/>
      </c>
      <c r="B3446">
        <f>ROW(Amenities!A109)</f>
        <v>109</v>
      </c>
      <c r="C3446" t="str">
        <f t="shared" ca="1" si="1202"/>
        <v>Cable</v>
      </c>
      <c r="D3446" t="str">
        <f t="shared" si="1203"/>
        <v>B109</v>
      </c>
      <c r="E3446" t="str">
        <f t="shared" ca="1" si="1204"/>
        <v/>
      </c>
      <c r="F3446" t="str">
        <f t="shared" ca="1" si="1205"/>
        <v xml:space="preserve">Enter a value for 'Cable' in cell B109.
</v>
      </c>
      <c r="G3446" s="9" t="str">
        <f t="shared" ca="1" si="120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47" spans="1:7" ht="15" customHeight="1">
      <c r="A3447" t="str">
        <f t="shared" ca="1" si="1201"/>
        <v/>
      </c>
      <c r="B3447">
        <f>ROW(Amenities!A112)</f>
        <v>112</v>
      </c>
      <c r="C3447" t="str">
        <f t="shared" ca="1" si="1202"/>
        <v>Renter's insurance required</v>
      </c>
      <c r="D3447" t="str">
        <f t="shared" si="1203"/>
        <v>B112</v>
      </c>
      <c r="E3447" t="str">
        <f t="shared" ca="1" si="1204"/>
        <v/>
      </c>
      <c r="F3447" t="str">
        <f t="shared" ca="1" si="1205"/>
        <v xml:space="preserve">Enter a value for 'Renter's insurance required' in cell B112.
</v>
      </c>
      <c r="G3447" s="9" t="str">
        <f t="shared" ca="1" si="120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48" spans="1:7" ht="15" customHeight="1">
      <c r="A3448" t="str">
        <f t="shared" ca="1" si="1201"/>
        <v/>
      </c>
      <c r="B3448">
        <f>ROW(Amenities!A113)</f>
        <v>113</v>
      </c>
      <c r="C3448" t="str">
        <f t="shared" ca="1" si="1202"/>
        <v>List any changes from Preliminary &amp; Carryover</v>
      </c>
      <c r="D3448" t="str">
        <f t="shared" si="1203"/>
        <v>B113</v>
      </c>
      <c r="E3448" t="str">
        <f t="shared" ca="1" si="1204"/>
        <v/>
      </c>
      <c r="F3448" t="str">
        <f t="shared" ca="1" si="1205"/>
        <v xml:space="preserve">Enter a value for 'List any changes from Preliminary &amp; Carryover' in cell B113.
</v>
      </c>
      <c r="G3448" s="9" t="str">
        <f t="shared" ca="1" si="120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49" spans="1:7" ht="15" customHeight="1">
      <c r="A3449" t="str">
        <f t="shared" ca="1" si="1201"/>
        <v/>
      </c>
      <c r="B3449">
        <f>ROW(Amenities!A114)</f>
        <v>114</v>
      </c>
      <c r="C3449" t="str">
        <f t="shared" ca="1" si="1202"/>
        <v>Were changes pre-approved</v>
      </c>
      <c r="D3449" t="str">
        <f t="shared" si="1203"/>
        <v>B114</v>
      </c>
      <c r="E3449" t="str">
        <f t="shared" ca="1" si="1204"/>
        <v/>
      </c>
      <c r="F3449" t="str">
        <f t="shared" ca="1" si="1205"/>
        <v xml:space="preserve">Enter a value for 'Were changes pre-approved' in cell B114.
</v>
      </c>
      <c r="G3449" s="9" t="str">
        <f t="shared" ca="1" si="120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50" spans="1:7" ht="15" customHeight="1">
      <c r="G3450" s="9" t="str">
        <f t="shared" ref="G3450:G3451" ca="1" si="1207">OFFSET(G3450, -1, 0) &amp; A3450</f>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51" spans="1:7" ht="15" customHeight="1">
      <c r="G3451" s="9" t="str">
        <f t="shared" ca="1" si="1207"/>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52" spans="1:7" ht="15" customHeight="1">
      <c r="A3452" s="55" t="s">
        <v>3718</v>
      </c>
      <c r="B3452" s="53"/>
      <c r="C3452" s="53"/>
      <c r="D3452" s="53"/>
      <c r="E3452" s="53"/>
      <c r="F3452" s="53"/>
      <c r="G3452" s="56" t="str">
        <f ca="1">OFFSET(G3452, -1, 0)</f>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53" spans="1:7" ht="15" customHeight="1"/>
    <row r="3454" spans="1:7" ht="15" customHeight="1"/>
    <row r="3455" spans="1:7" ht="15" customHeight="1"/>
    <row r="3456" spans="1:7"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s="319" customFormat="1" ht="15" customHeight="1"/>
    <row r="3486" s="319" customFormat="1" ht="15" customHeight="1"/>
    <row r="3487" ht="15" customHeight="1"/>
    <row r="3488" ht="15" customHeight="1"/>
    <row r="3489" ht="15" customHeight="1"/>
    <row r="3490" ht="15" customHeight="1"/>
    <row r="3491" ht="15" customHeight="1"/>
    <row r="3517" s="319" customFormat="1"/>
    <row r="3547" s="319" customFormat="1"/>
  </sheetData>
  <sheetProtection algorithmName="SHA-512" hashValue="qkpyiLnZs8xdIlViGqaMGp9ofwFeJMOHdiqm1N7hblqv/u1Xi4Sd2g2Yg1rH4QogZM5Flj/rpd9n/kHbr5zlkQ==" saltValue="QTf5jBNsoifpl5fjKjGVmw=="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922B7-1801-454F-BFD6-13EEDEADD4A3}">
  <sheetPr codeName="Sheet29">
    <tabColor rgb="FF92D050"/>
  </sheetPr>
  <dimension ref="A1:BB482"/>
  <sheetViews>
    <sheetView zoomScaleNormal="100" workbookViewId="0"/>
  </sheetViews>
  <sheetFormatPr defaultRowHeight="14.4"/>
  <cols>
    <col min="1" max="1" width="62.6640625" customWidth="1"/>
    <col min="2" max="2" width="71.33203125" customWidth="1"/>
    <col min="3" max="3" width="36.88671875" customWidth="1"/>
    <col min="4" max="4" width="21.44140625" customWidth="1"/>
    <col min="5" max="5" width="29.5546875" customWidth="1"/>
    <col min="6" max="6" width="21.44140625" customWidth="1"/>
  </cols>
  <sheetData>
    <row r="1" spans="1:54" ht="63">
      <c r="A1" s="4" t="s">
        <v>114</v>
      </c>
      <c r="B1" s="557" t="s">
        <v>4168</v>
      </c>
      <c r="C1" s="525"/>
    </row>
    <row r="2" spans="1:54" ht="45" customHeight="1">
      <c r="A2" s="1061" t="s">
        <v>15</v>
      </c>
      <c r="B2" s="1061"/>
    </row>
    <row r="3" spans="1:54" ht="27.75" customHeight="1">
      <c r="A3" s="1064" t="s">
        <v>4164</v>
      </c>
      <c r="B3" s="1064"/>
    </row>
    <row r="4" spans="1:54" ht="15" customHeight="1">
      <c r="A4" s="661"/>
      <c r="B4" s="661"/>
    </row>
    <row r="5" spans="1:54" s="522" customFormat="1" ht="15.9" customHeight="1">
      <c r="A5" s="1063" t="s">
        <v>115</v>
      </c>
      <c r="B5" s="1063"/>
      <c r="C5" s="529"/>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row>
    <row r="6" spans="1:54">
      <c r="A6" s="1" t="s">
        <v>116</v>
      </c>
      <c r="B6" s="528"/>
      <c r="C6" s="18"/>
    </row>
    <row r="7" spans="1:54">
      <c r="A7" s="1" t="s">
        <v>117</v>
      </c>
      <c r="B7" s="528"/>
    </row>
    <row r="8" spans="1:54">
      <c r="A8" s="1" t="s">
        <v>118</v>
      </c>
      <c r="B8" s="528"/>
    </row>
    <row r="9" spans="1:54">
      <c r="A9" s="344" t="s">
        <v>119</v>
      </c>
      <c r="B9" s="528"/>
    </row>
    <row r="10" spans="1:54">
      <c r="A10" s="1" t="s">
        <v>120</v>
      </c>
      <c r="B10" s="563"/>
    </row>
    <row r="11" spans="1:54" ht="15" customHeight="1">
      <c r="A11" s="1062"/>
      <c r="B11" s="1062"/>
      <c r="C11" s="501"/>
    </row>
    <row r="12" spans="1:54" s="522" customFormat="1" ht="18.600000000000001" customHeight="1">
      <c r="A12" s="536" t="s">
        <v>121</v>
      </c>
      <c r="B12" s="536"/>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row>
    <row r="13" spans="1:54">
      <c r="A13" s="1" t="s">
        <v>116</v>
      </c>
      <c r="B13" s="528"/>
    </row>
    <row r="14" spans="1:54">
      <c r="A14" s="1" t="s">
        <v>122</v>
      </c>
      <c r="B14" s="528"/>
    </row>
    <row r="15" spans="1:54">
      <c r="A15" s="1" t="s">
        <v>123</v>
      </c>
      <c r="B15" s="528"/>
    </row>
    <row r="16" spans="1:54">
      <c r="A16" s="1" t="s">
        <v>124</v>
      </c>
      <c r="B16" s="528"/>
    </row>
    <row r="17" spans="1:2">
      <c r="A17" s="344" t="s">
        <v>125</v>
      </c>
      <c r="B17" s="528"/>
    </row>
    <row r="18" spans="1:2">
      <c r="A18" s="1" t="s">
        <v>117</v>
      </c>
      <c r="B18" s="528"/>
    </row>
    <row r="19" spans="1:2">
      <c r="A19" s="1" t="s">
        <v>118</v>
      </c>
      <c r="B19" s="528"/>
    </row>
    <row r="20" spans="1:2">
      <c r="A20" s="1" t="s">
        <v>126</v>
      </c>
      <c r="B20" s="528"/>
    </row>
    <row r="21" spans="1:2">
      <c r="A21" s="1" t="s">
        <v>120</v>
      </c>
      <c r="B21" s="563"/>
    </row>
    <row r="22" spans="1:2" ht="43.2">
      <c r="A22" s="501" t="s">
        <v>127</v>
      </c>
      <c r="B22" s="528"/>
    </row>
    <row r="23" spans="1:2" ht="43.2">
      <c r="A23" s="501" t="s">
        <v>128</v>
      </c>
      <c r="B23" s="528"/>
    </row>
    <row r="24" spans="1:2">
      <c r="A24" s="501"/>
      <c r="B24" s="625"/>
    </row>
    <row r="25" spans="1:2" ht="15.6">
      <c r="A25" s="536" t="s">
        <v>4113</v>
      </c>
      <c r="B25" s="536"/>
    </row>
    <row r="26" spans="1:2">
      <c r="A26" s="1" t="s">
        <v>116</v>
      </c>
      <c r="B26" s="528"/>
    </row>
    <row r="27" spans="1:2">
      <c r="A27" s="1" t="s">
        <v>122</v>
      </c>
      <c r="B27" s="528"/>
    </row>
    <row r="28" spans="1:2">
      <c r="A28" s="1" t="s">
        <v>123</v>
      </c>
      <c r="B28" s="528"/>
    </row>
    <row r="29" spans="1:2">
      <c r="A29" s="1" t="s">
        <v>124</v>
      </c>
      <c r="B29" s="528"/>
    </row>
    <row r="30" spans="1:2">
      <c r="A30" s="344" t="s">
        <v>125</v>
      </c>
      <c r="B30" s="528"/>
    </row>
    <row r="31" spans="1:2">
      <c r="A31" s="1" t="s">
        <v>117</v>
      </c>
      <c r="B31" s="528"/>
    </row>
    <row r="32" spans="1:2">
      <c r="A32" s="1" t="s">
        <v>118</v>
      </c>
      <c r="B32" s="528"/>
    </row>
    <row r="33" spans="1:3">
      <c r="A33" s="1" t="s">
        <v>126</v>
      </c>
      <c r="B33" s="528"/>
    </row>
    <row r="34" spans="1:3">
      <c r="A34" s="1" t="s">
        <v>120</v>
      </c>
      <c r="B34" s="563"/>
    </row>
    <row r="35" spans="1:3" ht="43.2">
      <c r="A35" s="501" t="s">
        <v>127</v>
      </c>
      <c r="B35" s="528"/>
    </row>
    <row r="36" spans="1:3" ht="43.2">
      <c r="A36" s="501" t="s">
        <v>128</v>
      </c>
      <c r="B36" s="528"/>
    </row>
    <row r="37" spans="1:3">
      <c r="A37" s="501"/>
      <c r="B37" s="612"/>
    </row>
    <row r="38" spans="1:3">
      <c r="A38" s="537" t="s">
        <v>129</v>
      </c>
      <c r="B38" s="537"/>
      <c r="C38" s="18"/>
    </row>
    <row r="39" spans="1:3">
      <c r="A39" s="501" t="s">
        <v>130</v>
      </c>
      <c r="B39" s="292"/>
    </row>
    <row r="40" spans="1:3" ht="28.8">
      <c r="A40" s="501" t="s">
        <v>131</v>
      </c>
      <c r="B40" s="286"/>
    </row>
    <row r="41" spans="1:3">
      <c r="A41" s="538" t="s">
        <v>132</v>
      </c>
      <c r="B41" s="286"/>
    </row>
    <row r="42" spans="1:3" ht="28.8">
      <c r="A42" s="546" t="s">
        <v>133</v>
      </c>
      <c r="B42" s="286"/>
    </row>
    <row r="43" spans="1:3">
      <c r="A43" s="538" t="s">
        <v>134</v>
      </c>
      <c r="B43" s="284"/>
      <c r="C43" s="123"/>
    </row>
    <row r="44" spans="1:3">
      <c r="A44" s="539" t="s">
        <v>135</v>
      </c>
      <c r="B44" s="286"/>
    </row>
    <row r="45" spans="1:3" ht="15" customHeight="1">
      <c r="A45" s="586" t="s">
        <v>136</v>
      </c>
      <c r="B45" s="586"/>
      <c r="C45" s="123"/>
    </row>
    <row r="46" spans="1:3">
      <c r="A46" s="537" t="s">
        <v>137</v>
      </c>
      <c r="B46" s="537" t="s">
        <v>138</v>
      </c>
      <c r="C46" s="123"/>
    </row>
    <row r="47" spans="1:3">
      <c r="A47" s="293"/>
      <c r="B47" s="293"/>
      <c r="C47" s="123"/>
    </row>
    <row r="48" spans="1:3">
      <c r="A48" s="293"/>
      <c r="B48" s="293"/>
      <c r="C48" s="123"/>
    </row>
    <row r="49" spans="1:3">
      <c r="A49" s="293"/>
      <c r="B49" s="293"/>
      <c r="C49" s="123"/>
    </row>
    <row r="50" spans="1:3">
      <c r="A50" s="293"/>
      <c r="B50" s="293"/>
      <c r="C50" s="123"/>
    </row>
    <row r="51" spans="1:3">
      <c r="A51" s="293"/>
      <c r="B51" s="293"/>
      <c r="C51" s="123"/>
    </row>
    <row r="52" spans="1:3" ht="42.9" customHeight="1">
      <c r="A52" s="501" t="s">
        <v>139</v>
      </c>
      <c r="B52" s="523"/>
    </row>
    <row r="53" spans="1:3" ht="15" customHeight="1">
      <c r="A53" s="537" t="s">
        <v>140</v>
      </c>
      <c r="B53" s="537"/>
      <c r="C53" s="537"/>
    </row>
    <row r="54" spans="1:3" ht="15" customHeight="1">
      <c r="A54" s="537" t="s">
        <v>141</v>
      </c>
      <c r="B54" s="537" t="s">
        <v>142</v>
      </c>
      <c r="C54" s="537" t="s">
        <v>143</v>
      </c>
    </row>
    <row r="55" spans="1:3" ht="15" customHeight="1">
      <c r="A55" s="286"/>
      <c r="B55" s="667"/>
      <c r="C55" s="418"/>
    </row>
    <row r="56" spans="1:3" ht="15" customHeight="1">
      <c r="A56" s="286"/>
      <c r="B56" s="667"/>
      <c r="C56" s="418"/>
    </row>
    <row r="57" spans="1:3" ht="15" customHeight="1">
      <c r="A57" s="286"/>
      <c r="B57" s="667"/>
      <c r="C57" s="418"/>
    </row>
    <row r="58" spans="1:3" ht="15" customHeight="1">
      <c r="A58" s="537" t="s">
        <v>144</v>
      </c>
      <c r="B58" s="537"/>
      <c r="C58" s="537"/>
    </row>
    <row r="59" spans="1:3" ht="28.8">
      <c r="A59" s="537" t="s">
        <v>145</v>
      </c>
      <c r="B59" s="537" t="s">
        <v>146</v>
      </c>
      <c r="C59" s="610" t="s">
        <v>147</v>
      </c>
    </row>
    <row r="60" spans="1:3">
      <c r="A60" s="286"/>
      <c r="B60" s="667"/>
      <c r="C60" s="666"/>
    </row>
    <row r="61" spans="1:3">
      <c r="A61" s="286"/>
      <c r="B61" s="667"/>
      <c r="C61" s="666"/>
    </row>
    <row r="62" spans="1:3">
      <c r="A62" s="286"/>
      <c r="B62" s="667"/>
      <c r="C62" s="666"/>
    </row>
    <row r="63" spans="1:3">
      <c r="A63" s="286"/>
      <c r="B63" s="667"/>
      <c r="C63" s="666"/>
    </row>
    <row r="64" spans="1:3" ht="15" customHeight="1">
      <c r="A64" s="1062"/>
      <c r="B64" s="1062"/>
      <c r="C64" s="501"/>
    </row>
    <row r="65" spans="1:54" s="522" customFormat="1" ht="18">
      <c r="A65" s="534" t="s">
        <v>148</v>
      </c>
      <c r="B65" s="540"/>
      <c r="C65" s="18"/>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row>
    <row r="66" spans="1:54">
      <c r="A66" s="1" t="s">
        <v>149</v>
      </c>
      <c r="B66" s="528"/>
    </row>
    <row r="67" spans="1:54">
      <c r="A67" s="1" t="s">
        <v>122</v>
      </c>
      <c r="B67" s="528"/>
    </row>
    <row r="68" spans="1:54">
      <c r="A68" s="1" t="s">
        <v>123</v>
      </c>
      <c r="B68" s="528"/>
    </row>
    <row r="69" spans="1:54">
      <c r="A69" s="1" t="s">
        <v>124</v>
      </c>
      <c r="B69" s="528"/>
    </row>
    <row r="70" spans="1:54">
      <c r="A70" s="344" t="s">
        <v>125</v>
      </c>
      <c r="B70" s="547"/>
    </row>
    <row r="71" spans="1:54">
      <c r="A71" s="1" t="s">
        <v>117</v>
      </c>
      <c r="B71" s="528"/>
    </row>
    <row r="72" spans="1:54">
      <c r="A72" s="1" t="s">
        <v>118</v>
      </c>
      <c r="B72" s="528"/>
    </row>
    <row r="73" spans="1:54">
      <c r="A73" s="1" t="s">
        <v>126</v>
      </c>
      <c r="B73" s="528"/>
    </row>
    <row r="74" spans="1:54">
      <c r="A74" s="1" t="s">
        <v>120</v>
      </c>
      <c r="B74" s="563"/>
    </row>
    <row r="75" spans="1:54">
      <c r="A75" s="501" t="s">
        <v>150</v>
      </c>
      <c r="B75" s="528"/>
    </row>
    <row r="76" spans="1:54" ht="43.2">
      <c r="A76" s="501" t="s">
        <v>127</v>
      </c>
      <c r="B76" s="528"/>
    </row>
    <row r="77" spans="1:54" ht="43.2">
      <c r="A77" s="501" t="s">
        <v>128</v>
      </c>
      <c r="B77" s="528"/>
    </row>
    <row r="78" spans="1:54">
      <c r="A78" s="1062"/>
      <c r="B78" s="1062"/>
    </row>
    <row r="79" spans="1:54" s="522" customFormat="1" ht="18">
      <c r="A79" s="534" t="s">
        <v>151</v>
      </c>
      <c r="B79" s="540"/>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row>
    <row r="80" spans="1:54">
      <c r="A80" s="1" t="s">
        <v>116</v>
      </c>
      <c r="B80" s="528"/>
    </row>
    <row r="81" spans="1:54">
      <c r="A81" s="1" t="s">
        <v>122</v>
      </c>
      <c r="B81" s="528"/>
    </row>
    <row r="82" spans="1:54">
      <c r="A82" s="1" t="s">
        <v>123</v>
      </c>
      <c r="B82" s="528"/>
    </row>
    <row r="83" spans="1:54">
      <c r="A83" s="1" t="s">
        <v>124</v>
      </c>
      <c r="B83" s="528"/>
    </row>
    <row r="84" spans="1:54">
      <c r="A84" s="344" t="s">
        <v>125</v>
      </c>
      <c r="B84" s="547"/>
    </row>
    <row r="85" spans="1:54">
      <c r="A85" s="1" t="s">
        <v>117</v>
      </c>
      <c r="B85" s="528"/>
    </row>
    <row r="86" spans="1:54">
      <c r="A86" s="1" t="s">
        <v>118</v>
      </c>
      <c r="B86" s="528"/>
    </row>
    <row r="87" spans="1:54">
      <c r="A87" s="1" t="s">
        <v>126</v>
      </c>
      <c r="B87" s="528"/>
    </row>
    <row r="88" spans="1:54">
      <c r="A88" s="1" t="s">
        <v>120</v>
      </c>
      <c r="B88" s="563"/>
    </row>
    <row r="89" spans="1:54" ht="15.75" customHeight="1">
      <c r="A89" s="1065"/>
      <c r="B89" s="1065"/>
    </row>
    <row r="90" spans="1:54" s="522" customFormat="1" ht="18">
      <c r="A90" s="534" t="s">
        <v>152</v>
      </c>
      <c r="B90" s="54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row>
    <row r="91" spans="1:54">
      <c r="A91" s="1" t="s">
        <v>116</v>
      </c>
      <c r="B91" s="528"/>
    </row>
    <row r="92" spans="1:54">
      <c r="A92" s="1" t="s">
        <v>122</v>
      </c>
      <c r="B92" s="528"/>
    </row>
    <row r="93" spans="1:54">
      <c r="A93" s="1" t="s">
        <v>123</v>
      </c>
      <c r="B93" s="528"/>
    </row>
    <row r="94" spans="1:54">
      <c r="A94" s="1" t="s">
        <v>124</v>
      </c>
      <c r="B94" s="528"/>
    </row>
    <row r="95" spans="1:54">
      <c r="A95" s="344" t="s">
        <v>125</v>
      </c>
      <c r="B95" s="547"/>
    </row>
    <row r="96" spans="1:54">
      <c r="A96" s="1" t="s">
        <v>117</v>
      </c>
      <c r="B96" s="528"/>
    </row>
    <row r="97" spans="1:54">
      <c r="A97" s="1" t="s">
        <v>118</v>
      </c>
      <c r="B97" s="528"/>
    </row>
    <row r="98" spans="1:54">
      <c r="A98" s="1" t="s">
        <v>126</v>
      </c>
      <c r="B98" s="528"/>
    </row>
    <row r="99" spans="1:54">
      <c r="A99" s="1" t="s">
        <v>120</v>
      </c>
      <c r="B99" s="563"/>
    </row>
    <row r="100" spans="1:54">
      <c r="A100" s="1065"/>
      <c r="B100" s="1065"/>
    </row>
    <row r="101" spans="1:54" s="522" customFormat="1" ht="18">
      <c r="A101" s="534" t="s">
        <v>153</v>
      </c>
      <c r="B101" s="540"/>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row>
    <row r="102" spans="1:54">
      <c r="A102" s="1" t="s">
        <v>116</v>
      </c>
      <c r="B102" s="528"/>
    </row>
    <row r="103" spans="1:54">
      <c r="A103" s="1" t="s">
        <v>122</v>
      </c>
      <c r="B103" s="528"/>
    </row>
    <row r="104" spans="1:54">
      <c r="A104" s="1" t="s">
        <v>123</v>
      </c>
      <c r="B104" s="528"/>
    </row>
    <row r="105" spans="1:54">
      <c r="A105" s="1" t="s">
        <v>124</v>
      </c>
      <c r="B105" s="528"/>
    </row>
    <row r="106" spans="1:54">
      <c r="A106" s="344" t="s">
        <v>125</v>
      </c>
      <c r="B106" s="547"/>
    </row>
    <row r="107" spans="1:54">
      <c r="A107" s="1" t="s">
        <v>117</v>
      </c>
      <c r="B107" s="528"/>
    </row>
    <row r="108" spans="1:54">
      <c r="A108" s="1" t="s">
        <v>118</v>
      </c>
      <c r="B108" s="528"/>
    </row>
    <row r="109" spans="1:54">
      <c r="A109" s="1" t="s">
        <v>126</v>
      </c>
      <c r="B109" s="528"/>
    </row>
    <row r="110" spans="1:54">
      <c r="A110" s="1" t="s">
        <v>120</v>
      </c>
      <c r="B110" s="528"/>
    </row>
    <row r="111" spans="1:54">
      <c r="A111" s="501" t="s">
        <v>150</v>
      </c>
      <c r="B111" s="528"/>
    </row>
    <row r="112" spans="1:54" ht="15.75" customHeight="1">
      <c r="A112" s="1" t="s">
        <v>154</v>
      </c>
      <c r="B112" s="528"/>
    </row>
    <row r="113" spans="1:54">
      <c r="A113" s="1" t="s">
        <v>155</v>
      </c>
      <c r="B113" s="528"/>
    </row>
    <row r="114" spans="1:54">
      <c r="A114" s="1" t="s">
        <v>156</v>
      </c>
      <c r="B114" s="528"/>
      <c r="C114" s="18"/>
    </row>
    <row r="115" spans="1:54">
      <c r="A115" s="1062"/>
      <c r="B115" s="1062"/>
      <c r="C115" s="18"/>
    </row>
    <row r="116" spans="1:54" s="522" customFormat="1" ht="18">
      <c r="A116" s="534" t="s">
        <v>157</v>
      </c>
      <c r="B116" s="540"/>
      <c r="C116" s="525"/>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row>
    <row r="117" spans="1:54">
      <c r="A117" s="1" t="s">
        <v>116</v>
      </c>
      <c r="B117" s="528"/>
      <c r="C117" t="s">
        <v>158</v>
      </c>
    </row>
    <row r="118" spans="1:54">
      <c r="A118" s="1" t="s">
        <v>122</v>
      </c>
      <c r="B118" s="528"/>
    </row>
    <row r="119" spans="1:54">
      <c r="A119" s="1" t="s">
        <v>123</v>
      </c>
      <c r="B119" s="528"/>
    </row>
    <row r="120" spans="1:54">
      <c r="A120" s="1" t="s">
        <v>124</v>
      </c>
      <c r="B120" s="528"/>
    </row>
    <row r="121" spans="1:54">
      <c r="A121" s="344" t="s">
        <v>125</v>
      </c>
      <c r="B121" s="547"/>
    </row>
    <row r="122" spans="1:54">
      <c r="A122" s="1" t="s">
        <v>117</v>
      </c>
      <c r="B122" s="528"/>
    </row>
    <row r="123" spans="1:54">
      <c r="A123" s="1" t="s">
        <v>118</v>
      </c>
      <c r="B123" s="528"/>
    </row>
    <row r="124" spans="1:54">
      <c r="A124" s="1" t="s">
        <v>126</v>
      </c>
      <c r="B124" s="528"/>
    </row>
    <row r="125" spans="1:54">
      <c r="A125" s="1" t="s">
        <v>120</v>
      </c>
      <c r="B125" s="528"/>
    </row>
    <row r="126" spans="1:54">
      <c r="A126" s="1" t="s">
        <v>154</v>
      </c>
      <c r="B126" s="528"/>
    </row>
    <row r="127" spans="1:54">
      <c r="A127" s="1" t="s">
        <v>159</v>
      </c>
      <c r="B127" s="528"/>
    </row>
    <row r="128" spans="1:54">
      <c r="A128" s="537" t="s">
        <v>4165</v>
      </c>
      <c r="B128" s="537"/>
      <c r="C128" s="18"/>
    </row>
    <row r="129" spans="1:3" ht="57.6">
      <c r="A129" s="501" t="s">
        <v>160</v>
      </c>
      <c r="B129" s="286"/>
      <c r="C129" s="123"/>
    </row>
    <row r="130" spans="1:3" ht="28.8">
      <c r="A130" s="501" t="s">
        <v>161</v>
      </c>
      <c r="B130" s="286"/>
      <c r="C130" s="123"/>
    </row>
    <row r="131" spans="1:3" ht="19.5" customHeight="1">
      <c r="A131" s="1" t="s">
        <v>162</v>
      </c>
      <c r="B131" s="286"/>
    </row>
    <row r="132" spans="1:3" ht="27.9" customHeight="1">
      <c r="A132" s="501" t="s">
        <v>163</v>
      </c>
      <c r="B132" s="286"/>
    </row>
    <row r="133" spans="1:3" ht="44.4" customHeight="1">
      <c r="A133" s="501" t="s">
        <v>164</v>
      </c>
      <c r="B133" s="286"/>
      <c r="C133" s="501"/>
    </row>
    <row r="134" spans="1:3" ht="48.6" customHeight="1">
      <c r="A134" s="501" t="s">
        <v>165</v>
      </c>
      <c r="B134" s="286"/>
      <c r="C134" s="501"/>
    </row>
    <row r="135" spans="1:3">
      <c r="A135" s="538" t="s">
        <v>166</v>
      </c>
      <c r="B135" s="286"/>
      <c r="C135" s="526"/>
    </row>
    <row r="136" spans="1:3">
      <c r="A136" s="501" t="s">
        <v>167</v>
      </c>
      <c r="B136" s="284"/>
      <c r="C136" s="501"/>
    </row>
    <row r="137" spans="1:3" ht="30.9" customHeight="1">
      <c r="A137" s="628" t="s">
        <v>168</v>
      </c>
      <c r="B137" s="286"/>
      <c r="C137" s="501"/>
    </row>
    <row r="138" spans="1:3" ht="43.2">
      <c r="A138" s="501" t="s">
        <v>169</v>
      </c>
      <c r="B138" s="286"/>
      <c r="C138" s="501"/>
    </row>
    <row r="139" spans="1:3">
      <c r="A139" s="102" t="s">
        <v>170</v>
      </c>
      <c r="B139" s="286"/>
    </row>
    <row r="140" spans="1:3" ht="43.2">
      <c r="A140" s="501" t="s">
        <v>171</v>
      </c>
      <c r="B140" s="286"/>
      <c r="C140" s="501"/>
    </row>
    <row r="141" spans="1:3">
      <c r="A141" s="102" t="s">
        <v>170</v>
      </c>
      <c r="B141" s="286"/>
    </row>
    <row r="142" spans="1:3">
      <c r="A142" s="1" t="s">
        <v>172</v>
      </c>
      <c r="B142" s="532"/>
    </row>
    <row r="143" spans="1:3">
      <c r="A143" s="1" t="s">
        <v>173</v>
      </c>
      <c r="B143" s="286"/>
    </row>
    <row r="144" spans="1:3" ht="115.2">
      <c r="A144" s="501" t="s">
        <v>174</v>
      </c>
      <c r="B144" s="533"/>
      <c r="C144" s="501"/>
    </row>
    <row r="145" spans="1:54">
      <c r="A145" s="1062"/>
      <c r="B145" s="1062"/>
      <c r="C145" s="501"/>
    </row>
    <row r="146" spans="1:54" s="522" customFormat="1" ht="18">
      <c r="A146" s="534" t="s">
        <v>175</v>
      </c>
      <c r="B146" s="540"/>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row>
    <row r="147" spans="1:54">
      <c r="A147" s="1" t="s">
        <v>116</v>
      </c>
      <c r="B147" s="528"/>
    </row>
    <row r="148" spans="1:54">
      <c r="A148" s="1" t="s">
        <v>122</v>
      </c>
      <c r="B148" s="528"/>
    </row>
    <row r="149" spans="1:54">
      <c r="A149" s="1" t="s">
        <v>123</v>
      </c>
      <c r="B149" s="528"/>
    </row>
    <row r="150" spans="1:54">
      <c r="A150" s="1" t="s">
        <v>124</v>
      </c>
      <c r="B150" s="528"/>
    </row>
    <row r="151" spans="1:54">
      <c r="A151" s="344" t="s">
        <v>125</v>
      </c>
      <c r="B151" s="547"/>
    </row>
    <row r="152" spans="1:54">
      <c r="A152" s="1" t="s">
        <v>117</v>
      </c>
      <c r="B152" s="528"/>
    </row>
    <row r="153" spans="1:54">
      <c r="A153" s="1" t="s">
        <v>118</v>
      </c>
      <c r="B153" s="528"/>
    </row>
    <row r="154" spans="1:54">
      <c r="A154" s="1" t="s">
        <v>126</v>
      </c>
      <c r="B154" s="527"/>
    </row>
    <row r="155" spans="1:54">
      <c r="A155" s="1" t="s">
        <v>120</v>
      </c>
      <c r="B155" s="528"/>
    </row>
    <row r="156" spans="1:54">
      <c r="A156" s="1062"/>
      <c r="B156" s="1062"/>
    </row>
    <row r="157" spans="1:54" s="522" customFormat="1" ht="18">
      <c r="A157" s="534" t="s">
        <v>176</v>
      </c>
      <c r="B157" s="540"/>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row>
    <row r="158" spans="1:54">
      <c r="A158" s="1" t="s">
        <v>116</v>
      </c>
      <c r="B158" s="528"/>
    </row>
    <row r="159" spans="1:54">
      <c r="A159" s="1" t="s">
        <v>122</v>
      </c>
      <c r="B159" s="528"/>
    </row>
    <row r="160" spans="1:54">
      <c r="A160" s="1" t="s">
        <v>123</v>
      </c>
      <c r="B160" s="528"/>
    </row>
    <row r="161" spans="1:54">
      <c r="A161" s="1" t="s">
        <v>124</v>
      </c>
      <c r="B161" s="528"/>
    </row>
    <row r="162" spans="1:54">
      <c r="A162" s="1" t="s">
        <v>177</v>
      </c>
      <c r="B162" s="527"/>
    </row>
    <row r="163" spans="1:54">
      <c r="A163" s="1" t="s">
        <v>117</v>
      </c>
      <c r="B163" s="528"/>
    </row>
    <row r="164" spans="1:54">
      <c r="A164" s="1" t="s">
        <v>118</v>
      </c>
      <c r="B164" s="528"/>
    </row>
    <row r="165" spans="1:54">
      <c r="A165" s="1" t="s">
        <v>126</v>
      </c>
      <c r="B165" s="527"/>
    </row>
    <row r="166" spans="1:54">
      <c r="A166" s="1" t="s">
        <v>120</v>
      </c>
      <c r="B166" s="528"/>
    </row>
    <row r="167" spans="1:54">
      <c r="A167" s="1" t="s">
        <v>150</v>
      </c>
      <c r="B167" s="528"/>
    </row>
    <row r="168" spans="1:54" ht="43.2">
      <c r="A168" s="501" t="s">
        <v>127</v>
      </c>
      <c r="B168" s="528"/>
    </row>
    <row r="169" spans="1:54" ht="43.2">
      <c r="A169" s="501" t="s">
        <v>128</v>
      </c>
      <c r="B169" s="528"/>
    </row>
    <row r="170" spans="1:54">
      <c r="A170" s="1062"/>
      <c r="B170" s="1062"/>
    </row>
    <row r="171" spans="1:54" s="522" customFormat="1" ht="18">
      <c r="A171" s="534" t="s">
        <v>178</v>
      </c>
      <c r="B171" s="540"/>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row>
    <row r="172" spans="1:54">
      <c r="A172" s="1" t="s">
        <v>116</v>
      </c>
      <c r="B172" s="528"/>
    </row>
    <row r="173" spans="1:54">
      <c r="A173" s="1" t="s">
        <v>122</v>
      </c>
      <c r="B173" s="528"/>
    </row>
    <row r="174" spans="1:54">
      <c r="A174" s="1" t="s">
        <v>123</v>
      </c>
      <c r="B174" s="528"/>
    </row>
    <row r="175" spans="1:54">
      <c r="A175" s="1" t="s">
        <v>124</v>
      </c>
      <c r="B175" s="528"/>
    </row>
    <row r="176" spans="1:54">
      <c r="A176" s="344" t="s">
        <v>125</v>
      </c>
      <c r="B176" s="547"/>
    </row>
    <row r="177" spans="1:54">
      <c r="A177" s="1" t="s">
        <v>117</v>
      </c>
      <c r="B177" s="528"/>
    </row>
    <row r="178" spans="1:54">
      <c r="A178" s="1" t="s">
        <v>118</v>
      </c>
      <c r="B178" s="528"/>
    </row>
    <row r="179" spans="1:54">
      <c r="A179" s="1" t="s">
        <v>126</v>
      </c>
      <c r="B179" s="527"/>
    </row>
    <row r="180" spans="1:54">
      <c r="A180" s="1" t="s">
        <v>120</v>
      </c>
      <c r="B180" s="528"/>
    </row>
    <row r="181" spans="1:54">
      <c r="A181" s="1" t="s">
        <v>150</v>
      </c>
      <c r="B181" s="528"/>
    </row>
    <row r="182" spans="1:54" ht="43.2">
      <c r="A182" s="501" t="s">
        <v>127</v>
      </c>
      <c r="B182" s="528"/>
    </row>
    <row r="183" spans="1:54" ht="43.2">
      <c r="A183" s="501" t="s">
        <v>128</v>
      </c>
      <c r="B183" s="528"/>
    </row>
    <row r="184" spans="1:54">
      <c r="A184" s="1062"/>
      <c r="B184" s="1062"/>
    </row>
    <row r="185" spans="1:54" s="522" customFormat="1" ht="18">
      <c r="A185" s="534" t="s">
        <v>179</v>
      </c>
      <c r="B185" s="540"/>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row>
    <row r="186" spans="1:54">
      <c r="A186" s="1" t="s">
        <v>116</v>
      </c>
      <c r="B186" s="528"/>
    </row>
    <row r="187" spans="1:54">
      <c r="A187" s="1" t="s">
        <v>122</v>
      </c>
      <c r="B187" s="528"/>
    </row>
    <row r="188" spans="1:54">
      <c r="A188" s="1" t="s">
        <v>123</v>
      </c>
      <c r="B188" s="528"/>
    </row>
    <row r="189" spans="1:54">
      <c r="A189" s="1" t="s">
        <v>124</v>
      </c>
      <c r="B189" s="528"/>
    </row>
    <row r="190" spans="1:54">
      <c r="A190" s="344" t="s">
        <v>125</v>
      </c>
      <c r="B190" s="547"/>
    </row>
    <row r="191" spans="1:54">
      <c r="A191" s="1" t="s">
        <v>117</v>
      </c>
      <c r="B191" s="528"/>
    </row>
    <row r="192" spans="1:54">
      <c r="A192" s="1" t="s">
        <v>118</v>
      </c>
      <c r="B192" s="528"/>
    </row>
    <row r="193" spans="1:54">
      <c r="A193" s="1" t="s">
        <v>126</v>
      </c>
      <c r="B193" s="528"/>
    </row>
    <row r="194" spans="1:54">
      <c r="A194" s="1" t="s">
        <v>120</v>
      </c>
      <c r="B194" s="528"/>
    </row>
    <row r="195" spans="1:54">
      <c r="A195" s="1" t="s">
        <v>150</v>
      </c>
      <c r="B195" s="528"/>
    </row>
    <row r="196" spans="1:54" ht="43.2">
      <c r="A196" s="501" t="s">
        <v>127</v>
      </c>
      <c r="B196" s="528"/>
    </row>
    <row r="197" spans="1:54" ht="43.2">
      <c r="A197" s="501" t="s">
        <v>128</v>
      </c>
      <c r="B197" s="528"/>
    </row>
    <row r="198" spans="1:54" ht="15" customHeight="1">
      <c r="A198" s="1062"/>
      <c r="B198" s="1062"/>
    </row>
    <row r="199" spans="1:54" s="522" customFormat="1" ht="18">
      <c r="A199" s="534" t="s">
        <v>180</v>
      </c>
      <c r="B199" s="540"/>
      <c r="C199" s="18"/>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row>
    <row r="200" spans="1:54">
      <c r="A200" s="1" t="s">
        <v>116</v>
      </c>
      <c r="B200" s="528"/>
    </row>
    <row r="201" spans="1:54">
      <c r="A201" s="1" t="s">
        <v>122</v>
      </c>
      <c r="B201" s="528"/>
    </row>
    <row r="202" spans="1:54">
      <c r="A202" s="1" t="s">
        <v>123</v>
      </c>
      <c r="B202" s="528"/>
    </row>
    <row r="203" spans="1:54">
      <c r="A203" s="1" t="s">
        <v>124</v>
      </c>
      <c r="B203" s="528"/>
    </row>
    <row r="204" spans="1:54">
      <c r="A204" s="344" t="s">
        <v>125</v>
      </c>
      <c r="B204" s="547"/>
    </row>
    <row r="205" spans="1:54">
      <c r="A205" s="1" t="s">
        <v>117</v>
      </c>
      <c r="B205" s="528"/>
    </row>
    <row r="206" spans="1:54">
      <c r="A206" s="1" t="s">
        <v>118</v>
      </c>
      <c r="B206" s="528"/>
    </row>
    <row r="207" spans="1:54">
      <c r="A207" s="1" t="s">
        <v>126</v>
      </c>
      <c r="B207" s="527"/>
    </row>
    <row r="208" spans="1:54">
      <c r="A208" s="1" t="s">
        <v>120</v>
      </c>
      <c r="B208" s="528"/>
    </row>
    <row r="209" spans="1:2">
      <c r="A209" s="1" t="s">
        <v>150</v>
      </c>
      <c r="B209" s="528"/>
    </row>
    <row r="210" spans="1:2" ht="43.2">
      <c r="A210" s="501" t="s">
        <v>127</v>
      </c>
      <c r="B210" s="528"/>
    </row>
    <row r="211" spans="1:2" ht="43.2">
      <c r="A211" s="501" t="s">
        <v>128</v>
      </c>
      <c r="B211" s="528"/>
    </row>
    <row r="212" spans="1:2">
      <c r="A212" s="1062"/>
      <c r="B212" s="1062"/>
    </row>
    <row r="213" spans="1:2" ht="18">
      <c r="A213" s="534" t="s">
        <v>181</v>
      </c>
      <c r="B213" s="535"/>
    </row>
    <row r="214" spans="1:2">
      <c r="A214" s="1" t="s">
        <v>116</v>
      </c>
      <c r="B214" s="528"/>
    </row>
    <row r="215" spans="1:2">
      <c r="A215" s="1" t="s">
        <v>182</v>
      </c>
      <c r="B215" s="528"/>
    </row>
    <row r="216" spans="1:2">
      <c r="A216" s="1" t="s">
        <v>122</v>
      </c>
      <c r="B216" s="528"/>
    </row>
    <row r="217" spans="1:2">
      <c r="A217" s="1" t="s">
        <v>123</v>
      </c>
      <c r="B217" s="528"/>
    </row>
    <row r="218" spans="1:2">
      <c r="A218" s="1" t="s">
        <v>124</v>
      </c>
      <c r="B218" s="528"/>
    </row>
    <row r="219" spans="1:2">
      <c r="A219" s="344" t="s">
        <v>125</v>
      </c>
      <c r="B219" s="547"/>
    </row>
    <row r="220" spans="1:2">
      <c r="A220" s="1" t="s">
        <v>117</v>
      </c>
      <c r="B220" s="528"/>
    </row>
    <row r="221" spans="1:2">
      <c r="A221" s="1" t="s">
        <v>118</v>
      </c>
      <c r="B221" s="528"/>
    </row>
    <row r="222" spans="1:2">
      <c r="A222" s="1" t="s">
        <v>126</v>
      </c>
      <c r="B222" s="528"/>
    </row>
    <row r="223" spans="1:2">
      <c r="A223" s="1" t="s">
        <v>120</v>
      </c>
      <c r="B223" s="563"/>
    </row>
    <row r="224" spans="1:2">
      <c r="A224" s="1062"/>
      <c r="B224" s="1062"/>
    </row>
    <row r="225" spans="1:2" ht="18">
      <c r="A225" s="534" t="s">
        <v>181</v>
      </c>
      <c r="B225" s="535"/>
    </row>
    <row r="226" spans="1:2">
      <c r="A226" s="1" t="s">
        <v>116</v>
      </c>
      <c r="B226" s="528"/>
    </row>
    <row r="227" spans="1:2">
      <c r="A227" s="1" t="s">
        <v>182</v>
      </c>
      <c r="B227" s="528"/>
    </row>
    <row r="228" spans="1:2">
      <c r="A228" s="1" t="s">
        <v>122</v>
      </c>
      <c r="B228" s="528"/>
    </row>
    <row r="229" spans="1:2">
      <c r="A229" s="1" t="s">
        <v>123</v>
      </c>
      <c r="B229" s="528"/>
    </row>
    <row r="230" spans="1:2">
      <c r="A230" s="1" t="s">
        <v>124</v>
      </c>
      <c r="B230" s="528"/>
    </row>
    <row r="231" spans="1:2">
      <c r="A231" s="344" t="s">
        <v>125</v>
      </c>
      <c r="B231" s="547"/>
    </row>
    <row r="232" spans="1:2">
      <c r="A232" s="1" t="s">
        <v>117</v>
      </c>
      <c r="B232" s="528"/>
    </row>
    <row r="233" spans="1:2">
      <c r="A233" s="1" t="s">
        <v>118</v>
      </c>
      <c r="B233" s="528"/>
    </row>
    <row r="234" spans="1:2">
      <c r="A234" s="1" t="s">
        <v>126</v>
      </c>
      <c r="B234" s="528"/>
    </row>
    <row r="235" spans="1:2">
      <c r="A235" s="1" t="s">
        <v>120</v>
      </c>
      <c r="B235" s="528"/>
    </row>
    <row r="236" spans="1:2">
      <c r="A236" s="1062"/>
      <c r="B236" s="1062"/>
    </row>
    <row r="237" spans="1:2" ht="18">
      <c r="A237" s="534" t="s">
        <v>181</v>
      </c>
      <c r="B237" s="535"/>
    </row>
    <row r="238" spans="1:2">
      <c r="A238" s="1" t="s">
        <v>116</v>
      </c>
      <c r="B238" s="528"/>
    </row>
    <row r="239" spans="1:2">
      <c r="A239" s="1" t="s">
        <v>182</v>
      </c>
      <c r="B239" s="528"/>
    </row>
    <row r="240" spans="1:2">
      <c r="A240" s="1" t="s">
        <v>122</v>
      </c>
      <c r="B240" s="528"/>
    </row>
    <row r="241" spans="1:2">
      <c r="A241" s="1" t="s">
        <v>123</v>
      </c>
      <c r="B241" s="528"/>
    </row>
    <row r="242" spans="1:2">
      <c r="A242" s="1" t="s">
        <v>124</v>
      </c>
      <c r="B242" s="528"/>
    </row>
    <row r="243" spans="1:2">
      <c r="A243" s="344" t="s">
        <v>125</v>
      </c>
      <c r="B243" s="547"/>
    </row>
    <row r="244" spans="1:2">
      <c r="A244" s="1" t="s">
        <v>117</v>
      </c>
      <c r="B244" s="528"/>
    </row>
    <row r="245" spans="1:2">
      <c r="A245" s="1" t="s">
        <v>118</v>
      </c>
      <c r="B245" s="528"/>
    </row>
    <row r="246" spans="1:2">
      <c r="A246" s="1" t="s">
        <v>126</v>
      </c>
      <c r="B246" s="527"/>
    </row>
    <row r="247" spans="1:2">
      <c r="A247" s="1" t="s">
        <v>120</v>
      </c>
      <c r="B247" s="528"/>
    </row>
    <row r="248" spans="1:2">
      <c r="A248" s="1062"/>
      <c r="B248" s="1062"/>
    </row>
    <row r="249" spans="1:2" ht="18">
      <c r="A249" s="534" t="s">
        <v>183</v>
      </c>
      <c r="B249" s="535"/>
    </row>
    <row r="250" spans="1:2">
      <c r="A250" s="1" t="s">
        <v>116</v>
      </c>
      <c r="B250" s="528"/>
    </row>
    <row r="251" spans="1:2">
      <c r="A251" s="1" t="s">
        <v>122</v>
      </c>
      <c r="B251" s="528"/>
    </row>
    <row r="252" spans="1:2">
      <c r="A252" s="1" t="s">
        <v>123</v>
      </c>
      <c r="B252" s="528"/>
    </row>
    <row r="253" spans="1:2">
      <c r="A253" s="1" t="s">
        <v>124</v>
      </c>
      <c r="B253" s="528"/>
    </row>
    <row r="254" spans="1:2">
      <c r="A254" s="344" t="s">
        <v>125</v>
      </c>
      <c r="B254" s="547"/>
    </row>
    <row r="255" spans="1:2">
      <c r="A255" s="1" t="s">
        <v>117</v>
      </c>
      <c r="B255" s="528"/>
    </row>
    <row r="256" spans="1:2">
      <c r="A256" s="1" t="s">
        <v>118</v>
      </c>
      <c r="B256" s="528"/>
    </row>
    <row r="257" spans="1:2">
      <c r="A257" s="1" t="s">
        <v>126</v>
      </c>
      <c r="B257" s="527"/>
    </row>
    <row r="258" spans="1:2">
      <c r="A258" s="1" t="s">
        <v>120</v>
      </c>
      <c r="B258" s="563"/>
    </row>
    <row r="259" spans="1:2">
      <c r="A259" s="1062"/>
      <c r="B259" s="1062"/>
    </row>
    <row r="260" spans="1:2" ht="18">
      <c r="A260" s="534" t="s">
        <v>184</v>
      </c>
      <c r="B260" s="535"/>
    </row>
    <row r="261" spans="1:2">
      <c r="A261" s="1" t="s">
        <v>116</v>
      </c>
      <c r="B261" s="528"/>
    </row>
    <row r="262" spans="1:2">
      <c r="A262" s="1" t="s">
        <v>122</v>
      </c>
      <c r="B262" s="528"/>
    </row>
    <row r="263" spans="1:2">
      <c r="A263" s="1" t="s">
        <v>123</v>
      </c>
      <c r="B263" s="528"/>
    </row>
    <row r="264" spans="1:2">
      <c r="A264" s="1" t="s">
        <v>124</v>
      </c>
      <c r="B264" s="528"/>
    </row>
    <row r="265" spans="1:2">
      <c r="A265" s="344" t="s">
        <v>125</v>
      </c>
      <c r="B265" s="547"/>
    </row>
    <row r="266" spans="1:2">
      <c r="A266" s="1" t="s">
        <v>117</v>
      </c>
      <c r="B266" s="528"/>
    </row>
    <row r="267" spans="1:2">
      <c r="A267" s="1" t="s">
        <v>118</v>
      </c>
      <c r="B267" s="528"/>
    </row>
    <row r="268" spans="1:2">
      <c r="A268" s="1" t="s">
        <v>126</v>
      </c>
      <c r="B268" s="527"/>
    </row>
    <row r="269" spans="1:2">
      <c r="A269" s="1" t="s">
        <v>120</v>
      </c>
      <c r="B269" s="528"/>
    </row>
    <row r="270" spans="1:2">
      <c r="A270" s="1062"/>
      <c r="B270" s="1062"/>
    </row>
    <row r="271" spans="1:2" ht="18">
      <c r="A271" s="534" t="s">
        <v>185</v>
      </c>
      <c r="B271" s="535"/>
    </row>
    <row r="272" spans="1:2">
      <c r="A272" s="1" t="s">
        <v>116</v>
      </c>
      <c r="B272" s="528"/>
    </row>
    <row r="273" spans="1:2">
      <c r="A273" s="1" t="s">
        <v>122</v>
      </c>
      <c r="B273" s="528"/>
    </row>
    <row r="274" spans="1:2">
      <c r="A274" s="1" t="s">
        <v>123</v>
      </c>
      <c r="B274" s="528"/>
    </row>
    <row r="275" spans="1:2">
      <c r="A275" s="1" t="s">
        <v>124</v>
      </c>
      <c r="B275" s="528"/>
    </row>
    <row r="276" spans="1:2">
      <c r="A276" s="344" t="s">
        <v>125</v>
      </c>
      <c r="B276" s="547"/>
    </row>
    <row r="277" spans="1:2">
      <c r="A277" s="1" t="s">
        <v>117</v>
      </c>
      <c r="B277" s="528"/>
    </row>
    <row r="278" spans="1:2">
      <c r="A278" s="1" t="s">
        <v>118</v>
      </c>
      <c r="B278" s="528"/>
    </row>
    <row r="279" spans="1:2">
      <c r="A279" s="1" t="s">
        <v>126</v>
      </c>
      <c r="B279" s="528"/>
    </row>
    <row r="280" spans="1:2">
      <c r="A280" s="1" t="s">
        <v>120</v>
      </c>
      <c r="B280" s="528"/>
    </row>
    <row r="281" spans="1:2">
      <c r="A281" s="1062"/>
      <c r="B281" s="1062"/>
    </row>
    <row r="282" spans="1:2" ht="18">
      <c r="A282" s="534" t="s">
        <v>186</v>
      </c>
      <c r="B282" s="535"/>
    </row>
    <row r="283" spans="1:2">
      <c r="A283" s="1" t="s">
        <v>116</v>
      </c>
      <c r="B283" s="528"/>
    </row>
    <row r="284" spans="1:2">
      <c r="A284" s="1" t="s">
        <v>122</v>
      </c>
      <c r="B284" s="528"/>
    </row>
    <row r="285" spans="1:2">
      <c r="A285" s="1" t="s">
        <v>123</v>
      </c>
      <c r="B285" s="528"/>
    </row>
    <row r="286" spans="1:2">
      <c r="A286" s="1" t="s">
        <v>124</v>
      </c>
      <c r="B286" s="528"/>
    </row>
    <row r="287" spans="1:2">
      <c r="A287" s="344" t="s">
        <v>125</v>
      </c>
      <c r="B287" s="547"/>
    </row>
    <row r="288" spans="1:2">
      <c r="A288" s="1" t="s">
        <v>117</v>
      </c>
      <c r="B288" s="528"/>
    </row>
    <row r="289" spans="1:2">
      <c r="A289" s="1" t="s">
        <v>118</v>
      </c>
      <c r="B289" s="528"/>
    </row>
    <row r="290" spans="1:2">
      <c r="A290" s="1" t="s">
        <v>126</v>
      </c>
      <c r="B290" s="528"/>
    </row>
    <row r="291" spans="1:2">
      <c r="A291" s="1" t="s">
        <v>120</v>
      </c>
      <c r="B291" s="528"/>
    </row>
    <row r="292" spans="1:2">
      <c r="A292" s="1062"/>
      <c r="B292" s="1062"/>
    </row>
    <row r="293" spans="1:2" ht="18">
      <c r="A293" s="534" t="s">
        <v>187</v>
      </c>
      <c r="B293" s="535"/>
    </row>
    <row r="294" spans="1:2">
      <c r="A294" s="1" t="s">
        <v>116</v>
      </c>
      <c r="B294" s="528"/>
    </row>
    <row r="295" spans="1:2">
      <c r="A295" s="1" t="s">
        <v>122</v>
      </c>
      <c r="B295" s="528"/>
    </row>
    <row r="296" spans="1:2">
      <c r="A296" s="1" t="s">
        <v>123</v>
      </c>
      <c r="B296" s="528"/>
    </row>
    <row r="297" spans="1:2">
      <c r="A297" s="1" t="s">
        <v>124</v>
      </c>
      <c r="B297" s="528"/>
    </row>
    <row r="298" spans="1:2">
      <c r="A298" s="344" t="s">
        <v>125</v>
      </c>
      <c r="B298" s="547"/>
    </row>
    <row r="299" spans="1:2">
      <c r="A299" s="1" t="s">
        <v>117</v>
      </c>
      <c r="B299" s="528"/>
    </row>
    <row r="300" spans="1:2">
      <c r="A300" s="1" t="s">
        <v>118</v>
      </c>
      <c r="B300" s="528"/>
    </row>
    <row r="301" spans="1:2">
      <c r="A301" s="1" t="s">
        <v>126</v>
      </c>
      <c r="B301" s="528"/>
    </row>
    <row r="302" spans="1:2">
      <c r="A302" s="1" t="s">
        <v>120</v>
      </c>
      <c r="B302" s="528"/>
    </row>
    <row r="303" spans="1:2">
      <c r="A303" s="1062"/>
      <c r="B303" s="1062"/>
    </row>
    <row r="304" spans="1:2" ht="18">
      <c r="A304" s="534" t="s">
        <v>188</v>
      </c>
      <c r="B304" s="535"/>
    </row>
    <row r="305" spans="1:2">
      <c r="A305" s="1" t="s">
        <v>116</v>
      </c>
      <c r="B305" s="528"/>
    </row>
    <row r="306" spans="1:2">
      <c r="A306" s="1" t="s">
        <v>122</v>
      </c>
      <c r="B306" s="528"/>
    </row>
    <row r="307" spans="1:2">
      <c r="A307" s="1" t="s">
        <v>123</v>
      </c>
      <c r="B307" s="528"/>
    </row>
    <row r="308" spans="1:2">
      <c r="A308" s="1" t="s">
        <v>124</v>
      </c>
      <c r="B308" s="528"/>
    </row>
    <row r="309" spans="1:2">
      <c r="A309" s="1" t="s">
        <v>177</v>
      </c>
      <c r="B309" s="528"/>
    </row>
    <row r="310" spans="1:2">
      <c r="A310" s="1" t="s">
        <v>117</v>
      </c>
      <c r="B310" s="528"/>
    </row>
    <row r="311" spans="1:2">
      <c r="A311" s="1" t="s">
        <v>118</v>
      </c>
      <c r="B311" s="528"/>
    </row>
    <row r="312" spans="1:2">
      <c r="A312" s="1" t="s">
        <v>126</v>
      </c>
      <c r="B312" s="528"/>
    </row>
    <row r="313" spans="1:2">
      <c r="A313" s="1" t="s">
        <v>120</v>
      </c>
      <c r="B313" s="528"/>
    </row>
    <row r="314" spans="1:2">
      <c r="A314" s="1062"/>
      <c r="B314" s="1062"/>
    </row>
    <row r="315" spans="1:2" ht="18">
      <c r="A315" s="534" t="s">
        <v>189</v>
      </c>
      <c r="B315" s="535"/>
    </row>
    <row r="316" spans="1:2">
      <c r="A316" s="1" t="s">
        <v>116</v>
      </c>
      <c r="B316" s="528"/>
    </row>
    <row r="317" spans="1:2">
      <c r="A317" s="1" t="s">
        <v>122</v>
      </c>
      <c r="B317" s="528"/>
    </row>
    <row r="318" spans="1:2">
      <c r="A318" s="1" t="s">
        <v>123</v>
      </c>
      <c r="B318" s="528"/>
    </row>
    <row r="319" spans="1:2">
      <c r="A319" s="1" t="s">
        <v>124</v>
      </c>
      <c r="B319" s="528"/>
    </row>
    <row r="320" spans="1:2">
      <c r="A320" s="344" t="s">
        <v>125</v>
      </c>
      <c r="B320" s="547"/>
    </row>
    <row r="321" spans="1:2">
      <c r="A321" s="1" t="s">
        <v>117</v>
      </c>
      <c r="B321" s="528"/>
    </row>
    <row r="322" spans="1:2">
      <c r="A322" s="1" t="s">
        <v>118</v>
      </c>
      <c r="B322" s="528"/>
    </row>
    <row r="323" spans="1:2">
      <c r="A323" s="1" t="s">
        <v>126</v>
      </c>
      <c r="B323" s="528"/>
    </row>
    <row r="324" spans="1:2">
      <c r="A324" s="1" t="s">
        <v>120</v>
      </c>
      <c r="B324" s="528"/>
    </row>
    <row r="325" spans="1:2">
      <c r="A325" s="1062"/>
      <c r="B325" s="1062"/>
    </row>
    <row r="326" spans="1:2" ht="18">
      <c r="A326" s="534" t="s">
        <v>190</v>
      </c>
      <c r="B326" s="535"/>
    </row>
    <row r="327" spans="1:2">
      <c r="A327" s="1" t="s">
        <v>116</v>
      </c>
      <c r="B327" s="528"/>
    </row>
    <row r="328" spans="1:2">
      <c r="A328" s="1" t="s">
        <v>122</v>
      </c>
      <c r="B328" s="528"/>
    </row>
    <row r="329" spans="1:2">
      <c r="A329" s="1" t="s">
        <v>123</v>
      </c>
      <c r="B329" s="528"/>
    </row>
    <row r="330" spans="1:2">
      <c r="A330" s="1" t="s">
        <v>124</v>
      </c>
      <c r="B330" s="528"/>
    </row>
    <row r="331" spans="1:2">
      <c r="A331" s="344" t="s">
        <v>125</v>
      </c>
      <c r="B331" s="547"/>
    </row>
    <row r="332" spans="1:2">
      <c r="A332" s="1" t="s">
        <v>117</v>
      </c>
      <c r="B332" s="528"/>
    </row>
    <row r="333" spans="1:2">
      <c r="A333" s="1" t="s">
        <v>118</v>
      </c>
      <c r="B333" s="528"/>
    </row>
    <row r="334" spans="1:2">
      <c r="A334" s="1" t="s">
        <v>126</v>
      </c>
      <c r="B334" s="528"/>
    </row>
    <row r="335" spans="1:2">
      <c r="A335" s="1" t="s">
        <v>120</v>
      </c>
      <c r="B335" s="528"/>
    </row>
    <row r="336" spans="1:2">
      <c r="A336" s="1062"/>
      <c r="B336" s="1062"/>
    </row>
    <row r="337" spans="1:2" ht="18">
      <c r="A337" s="534" t="s">
        <v>191</v>
      </c>
      <c r="B337" s="535"/>
    </row>
    <row r="338" spans="1:2">
      <c r="A338" s="1" t="s">
        <v>116</v>
      </c>
      <c r="B338" s="528"/>
    </row>
    <row r="339" spans="1:2">
      <c r="A339" s="1" t="s">
        <v>122</v>
      </c>
      <c r="B339" s="528"/>
    </row>
    <row r="340" spans="1:2">
      <c r="A340" s="1" t="s">
        <v>123</v>
      </c>
      <c r="B340" s="528"/>
    </row>
    <row r="341" spans="1:2">
      <c r="A341" s="1" t="s">
        <v>124</v>
      </c>
      <c r="B341" s="528"/>
    </row>
    <row r="342" spans="1:2">
      <c r="A342" s="344" t="s">
        <v>125</v>
      </c>
      <c r="B342" s="547"/>
    </row>
    <row r="343" spans="1:2">
      <c r="A343" s="1" t="s">
        <v>117</v>
      </c>
      <c r="B343" s="528"/>
    </row>
    <row r="344" spans="1:2">
      <c r="A344" s="1" t="s">
        <v>118</v>
      </c>
      <c r="B344" s="528"/>
    </row>
    <row r="345" spans="1:2">
      <c r="A345" s="1" t="s">
        <v>126</v>
      </c>
      <c r="B345" s="528"/>
    </row>
    <row r="346" spans="1:2">
      <c r="A346" s="1" t="s">
        <v>120</v>
      </c>
      <c r="B346" s="563"/>
    </row>
    <row r="347" spans="1:2">
      <c r="A347" s="1062"/>
      <c r="B347" s="1062"/>
    </row>
    <row r="348" spans="1:2" ht="18">
      <c r="A348" s="534" t="s">
        <v>192</v>
      </c>
      <c r="B348" s="535"/>
    </row>
    <row r="349" spans="1:2">
      <c r="A349" s="1" t="s">
        <v>116</v>
      </c>
      <c r="B349" s="528"/>
    </row>
    <row r="350" spans="1:2">
      <c r="A350" s="1" t="s">
        <v>122</v>
      </c>
      <c r="B350" s="528"/>
    </row>
    <row r="351" spans="1:2">
      <c r="A351" s="1" t="s">
        <v>123</v>
      </c>
      <c r="B351" s="528"/>
    </row>
    <row r="352" spans="1:2">
      <c r="A352" s="1" t="s">
        <v>124</v>
      </c>
      <c r="B352" s="528"/>
    </row>
    <row r="353" spans="1:2">
      <c r="A353" s="344" t="s">
        <v>125</v>
      </c>
      <c r="B353" s="547"/>
    </row>
    <row r="354" spans="1:2">
      <c r="A354" s="1" t="s">
        <v>117</v>
      </c>
      <c r="B354" s="528"/>
    </row>
    <row r="355" spans="1:2">
      <c r="A355" s="1" t="s">
        <v>118</v>
      </c>
      <c r="B355" s="528"/>
    </row>
    <row r="356" spans="1:2">
      <c r="A356" s="1" t="s">
        <v>126</v>
      </c>
      <c r="B356" s="528"/>
    </row>
    <row r="357" spans="1:2">
      <c r="A357" s="1" t="s">
        <v>120</v>
      </c>
      <c r="B357" s="528"/>
    </row>
    <row r="358" spans="1:2">
      <c r="A358" s="1" t="s">
        <v>193</v>
      </c>
      <c r="B358" s="580"/>
    </row>
    <row r="359" spans="1:2">
      <c r="A359" s="1062"/>
      <c r="B359" s="1062"/>
    </row>
    <row r="360" spans="1:2" ht="18">
      <c r="A360" s="534" t="s">
        <v>194</v>
      </c>
      <c r="B360" s="535"/>
    </row>
    <row r="361" spans="1:2">
      <c r="A361" s="1" t="s">
        <v>116</v>
      </c>
      <c r="B361" s="528"/>
    </row>
    <row r="362" spans="1:2">
      <c r="A362" s="1" t="s">
        <v>122</v>
      </c>
      <c r="B362" s="528"/>
    </row>
    <row r="363" spans="1:2">
      <c r="A363" s="1" t="s">
        <v>123</v>
      </c>
      <c r="B363" s="528"/>
    </row>
    <row r="364" spans="1:2">
      <c r="A364" s="1" t="s">
        <v>124</v>
      </c>
      <c r="B364" s="528"/>
    </row>
    <row r="365" spans="1:2">
      <c r="A365" s="344" t="s">
        <v>125</v>
      </c>
      <c r="B365" s="547"/>
    </row>
    <row r="366" spans="1:2">
      <c r="A366" s="1" t="s">
        <v>117</v>
      </c>
      <c r="B366" s="528"/>
    </row>
    <row r="367" spans="1:2">
      <c r="A367" s="1" t="s">
        <v>118</v>
      </c>
      <c r="B367" s="528"/>
    </row>
    <row r="368" spans="1:2">
      <c r="A368" s="1" t="s">
        <v>126</v>
      </c>
      <c r="B368" s="528"/>
    </row>
    <row r="369" spans="1:2">
      <c r="A369" s="1" t="s">
        <v>120</v>
      </c>
      <c r="B369" s="528"/>
    </row>
    <row r="370" spans="1:2">
      <c r="A370" s="1062"/>
      <c r="B370" s="1062"/>
    </row>
    <row r="371" spans="1:2" ht="18">
      <c r="A371" s="534" t="s">
        <v>195</v>
      </c>
      <c r="B371" s="535"/>
    </row>
    <row r="372" spans="1:2">
      <c r="A372" s="1" t="s">
        <v>116</v>
      </c>
      <c r="B372" s="528"/>
    </row>
    <row r="373" spans="1:2">
      <c r="A373" s="1" t="s">
        <v>122</v>
      </c>
      <c r="B373" s="528"/>
    </row>
    <row r="374" spans="1:2">
      <c r="A374" s="1" t="s">
        <v>123</v>
      </c>
      <c r="B374" s="528"/>
    </row>
    <row r="375" spans="1:2">
      <c r="A375" s="1" t="s">
        <v>124</v>
      </c>
      <c r="B375" s="528"/>
    </row>
    <row r="376" spans="1:2">
      <c r="A376" s="344" t="s">
        <v>125</v>
      </c>
      <c r="B376" s="547"/>
    </row>
    <row r="377" spans="1:2">
      <c r="A377" s="1" t="s">
        <v>117</v>
      </c>
      <c r="B377" s="528"/>
    </row>
    <row r="378" spans="1:2">
      <c r="A378" s="1" t="s">
        <v>118</v>
      </c>
      <c r="B378" s="528"/>
    </row>
    <row r="379" spans="1:2">
      <c r="A379" s="1" t="s">
        <v>126</v>
      </c>
      <c r="B379" s="528"/>
    </row>
    <row r="380" spans="1:2">
      <c r="A380" s="1" t="s">
        <v>120</v>
      </c>
      <c r="B380" s="528"/>
    </row>
    <row r="381" spans="1:2">
      <c r="A381" s="1062"/>
      <c r="B381" s="1062"/>
    </row>
    <row r="382" spans="1:2" ht="18">
      <c r="A382" s="534" t="s">
        <v>196</v>
      </c>
      <c r="B382" s="535"/>
    </row>
    <row r="383" spans="1:2" ht="14.25" customHeight="1">
      <c r="A383" s="1" t="s">
        <v>197</v>
      </c>
      <c r="B383" s="528"/>
    </row>
    <row r="384" spans="1:2" ht="14.25" customHeight="1">
      <c r="A384" s="1" t="s">
        <v>198</v>
      </c>
      <c r="B384" s="528"/>
    </row>
    <row r="385" spans="1:2">
      <c r="A385" s="1" t="s">
        <v>122</v>
      </c>
      <c r="B385" s="528"/>
    </row>
    <row r="386" spans="1:2">
      <c r="A386" s="1" t="s">
        <v>123</v>
      </c>
      <c r="B386" s="528"/>
    </row>
    <row r="387" spans="1:2">
      <c r="A387" s="1" t="s">
        <v>124</v>
      </c>
      <c r="B387" s="528"/>
    </row>
    <row r="388" spans="1:2">
      <c r="A388" s="344" t="s">
        <v>125</v>
      </c>
      <c r="B388" s="547"/>
    </row>
    <row r="389" spans="1:2">
      <c r="A389" s="1" t="s">
        <v>117</v>
      </c>
      <c r="B389" s="528"/>
    </row>
    <row r="390" spans="1:2">
      <c r="A390" s="1" t="s">
        <v>118</v>
      </c>
      <c r="B390" s="528"/>
    </row>
    <row r="391" spans="1:2">
      <c r="A391" s="1" t="s">
        <v>126</v>
      </c>
      <c r="B391" s="528"/>
    </row>
    <row r="392" spans="1:2">
      <c r="A392" s="1" t="s">
        <v>120</v>
      </c>
      <c r="B392" s="528"/>
    </row>
    <row r="393" spans="1:2">
      <c r="A393" s="1062"/>
      <c r="B393" s="1062"/>
    </row>
    <row r="394" spans="1:2" ht="18">
      <c r="A394" s="534" t="s">
        <v>199</v>
      </c>
      <c r="B394" s="535"/>
    </row>
    <row r="395" spans="1:2">
      <c r="A395" s="1" t="s">
        <v>200</v>
      </c>
      <c r="B395" s="528"/>
    </row>
    <row r="396" spans="1:2">
      <c r="A396" s="1" t="s">
        <v>198</v>
      </c>
      <c r="B396" s="528"/>
    </row>
    <row r="397" spans="1:2">
      <c r="A397" s="1" t="s">
        <v>122</v>
      </c>
      <c r="B397" s="528"/>
    </row>
    <row r="398" spans="1:2">
      <c r="A398" s="1" t="s">
        <v>123</v>
      </c>
      <c r="B398" s="528"/>
    </row>
    <row r="399" spans="1:2">
      <c r="A399" s="1" t="s">
        <v>124</v>
      </c>
      <c r="B399" s="528"/>
    </row>
    <row r="400" spans="1:2">
      <c r="A400" s="344" t="s">
        <v>125</v>
      </c>
      <c r="B400" s="547"/>
    </row>
    <row r="401" spans="1:2">
      <c r="A401" s="1" t="s">
        <v>117</v>
      </c>
      <c r="B401" s="528"/>
    </row>
    <row r="402" spans="1:2">
      <c r="A402" s="1" t="s">
        <v>118</v>
      </c>
      <c r="B402" s="528"/>
    </row>
    <row r="403" spans="1:2">
      <c r="A403" s="1" t="s">
        <v>126</v>
      </c>
      <c r="B403" s="528"/>
    </row>
    <row r="404" spans="1:2">
      <c r="A404" s="1" t="s">
        <v>120</v>
      </c>
      <c r="B404" s="528"/>
    </row>
    <row r="405" spans="1:2">
      <c r="A405" s="1062"/>
      <c r="B405" s="1062"/>
    </row>
    <row r="406" spans="1:2" ht="18">
      <c r="A406" s="534" t="s">
        <v>201</v>
      </c>
      <c r="B406" s="535"/>
    </row>
    <row r="407" spans="1:2">
      <c r="A407" s="1" t="s">
        <v>200</v>
      </c>
      <c r="B407" s="528"/>
    </row>
    <row r="408" spans="1:2">
      <c r="A408" s="1" t="s">
        <v>122</v>
      </c>
      <c r="B408" s="528"/>
    </row>
    <row r="409" spans="1:2">
      <c r="A409" s="1" t="s">
        <v>123</v>
      </c>
      <c r="B409" s="528"/>
    </row>
    <row r="410" spans="1:2">
      <c r="A410" s="1" t="s">
        <v>124</v>
      </c>
      <c r="B410" s="528"/>
    </row>
    <row r="411" spans="1:2">
      <c r="A411" s="344" t="s">
        <v>125</v>
      </c>
      <c r="B411" s="547"/>
    </row>
    <row r="412" spans="1:2">
      <c r="A412" s="1" t="s">
        <v>117</v>
      </c>
      <c r="B412" s="528"/>
    </row>
    <row r="413" spans="1:2">
      <c r="A413" s="1" t="s">
        <v>118</v>
      </c>
      <c r="B413" s="528"/>
    </row>
    <row r="414" spans="1:2">
      <c r="A414" s="1" t="s">
        <v>126</v>
      </c>
      <c r="B414" s="528"/>
    </row>
    <row r="415" spans="1:2">
      <c r="A415" s="1" t="s">
        <v>120</v>
      </c>
      <c r="B415" s="563"/>
    </row>
    <row r="416" spans="1:2">
      <c r="A416" s="1"/>
      <c r="B416" s="625"/>
    </row>
    <row r="417" spans="1:2" ht="18">
      <c r="A417" s="534" t="s">
        <v>202</v>
      </c>
      <c r="B417" s="535"/>
    </row>
    <row r="418" spans="1:2">
      <c r="A418" s="1" t="s">
        <v>200</v>
      </c>
      <c r="B418" s="528"/>
    </row>
    <row r="419" spans="1:2">
      <c r="A419" s="1" t="s">
        <v>122</v>
      </c>
      <c r="B419" s="528"/>
    </row>
    <row r="420" spans="1:2">
      <c r="A420" s="1" t="s">
        <v>123</v>
      </c>
      <c r="B420" s="528"/>
    </row>
    <row r="421" spans="1:2">
      <c r="A421" s="1" t="s">
        <v>124</v>
      </c>
      <c r="B421" s="528"/>
    </row>
    <row r="422" spans="1:2">
      <c r="A422" s="344" t="s">
        <v>125</v>
      </c>
      <c r="B422" s="547"/>
    </row>
    <row r="423" spans="1:2">
      <c r="A423" s="1" t="s">
        <v>117</v>
      </c>
      <c r="B423" s="528"/>
    </row>
    <row r="424" spans="1:2">
      <c r="A424" s="1" t="s">
        <v>118</v>
      </c>
      <c r="B424" s="528"/>
    </row>
    <row r="425" spans="1:2">
      <c r="A425" s="1" t="s">
        <v>126</v>
      </c>
      <c r="B425" s="528"/>
    </row>
    <row r="426" spans="1:2">
      <c r="A426" s="1" t="s">
        <v>120</v>
      </c>
      <c r="B426" s="528"/>
    </row>
    <row r="427" spans="1:2">
      <c r="A427" s="1062"/>
      <c r="B427" s="1062"/>
    </row>
    <row r="428" spans="1:2" ht="18">
      <c r="A428" s="534" t="s">
        <v>203</v>
      </c>
      <c r="B428" s="535"/>
    </row>
    <row r="429" spans="1:2">
      <c r="A429" s="1" t="s">
        <v>116</v>
      </c>
      <c r="B429" s="528"/>
    </row>
    <row r="430" spans="1:2">
      <c r="A430" s="1" t="s">
        <v>122</v>
      </c>
      <c r="B430" s="528"/>
    </row>
    <row r="431" spans="1:2">
      <c r="A431" s="1" t="s">
        <v>123</v>
      </c>
      <c r="B431" s="528"/>
    </row>
    <row r="432" spans="1:2">
      <c r="A432" s="1" t="s">
        <v>124</v>
      </c>
      <c r="B432" s="528"/>
    </row>
    <row r="433" spans="1:24">
      <c r="A433" s="344" t="s">
        <v>125</v>
      </c>
      <c r="B433" s="547"/>
    </row>
    <row r="434" spans="1:24">
      <c r="A434" s="1" t="s">
        <v>204</v>
      </c>
      <c r="B434" s="528"/>
    </row>
    <row r="435" spans="1:24">
      <c r="A435" s="1" t="s">
        <v>205</v>
      </c>
      <c r="B435" s="528"/>
    </row>
    <row r="436" spans="1:24">
      <c r="A436" s="1" t="s">
        <v>126</v>
      </c>
      <c r="B436" s="528"/>
    </row>
    <row r="437" spans="1:24">
      <c r="A437" s="1" t="s">
        <v>120</v>
      </c>
      <c r="B437" s="528"/>
    </row>
    <row r="438" spans="1:24">
      <c r="A438" s="1062"/>
      <c r="B438" s="1062"/>
    </row>
    <row r="439" spans="1:24" s="521" customFormat="1" ht="18">
      <c r="A439" s="541" t="s">
        <v>206</v>
      </c>
      <c r="B439" s="542"/>
      <c r="C439"/>
      <c r="D439"/>
      <c r="E439"/>
      <c r="F439"/>
      <c r="G439"/>
      <c r="H439"/>
      <c r="I439"/>
      <c r="J439"/>
      <c r="K439"/>
      <c r="L439"/>
      <c r="M439"/>
      <c r="N439"/>
      <c r="O439"/>
      <c r="P439"/>
      <c r="Q439"/>
      <c r="R439"/>
      <c r="S439"/>
      <c r="T439"/>
      <c r="U439"/>
      <c r="V439"/>
      <c r="W439"/>
      <c r="X439"/>
    </row>
    <row r="440" spans="1:24" ht="18">
      <c r="A440" s="534" t="s">
        <v>207</v>
      </c>
      <c r="B440" s="535"/>
    </row>
    <row r="441" spans="1:24">
      <c r="A441" s="1" t="s">
        <v>116</v>
      </c>
      <c r="B441" s="528"/>
    </row>
    <row r="442" spans="1:24">
      <c r="A442" s="1" t="s">
        <v>122</v>
      </c>
      <c r="B442" s="528"/>
    </row>
    <row r="443" spans="1:24">
      <c r="A443" s="1" t="s">
        <v>123</v>
      </c>
      <c r="B443" s="528"/>
    </row>
    <row r="444" spans="1:24">
      <c r="A444" s="1" t="s">
        <v>124</v>
      </c>
      <c r="B444" s="528"/>
    </row>
    <row r="445" spans="1:24">
      <c r="A445" s="344" t="s">
        <v>125</v>
      </c>
      <c r="B445" s="547"/>
    </row>
    <row r="446" spans="1:24">
      <c r="A446" s="1" t="s">
        <v>117</v>
      </c>
      <c r="B446" s="528"/>
    </row>
    <row r="447" spans="1:24">
      <c r="A447" s="1" t="s">
        <v>118</v>
      </c>
      <c r="B447" s="528"/>
    </row>
    <row r="448" spans="1:24">
      <c r="A448" s="1" t="s">
        <v>126</v>
      </c>
      <c r="B448" s="528"/>
    </row>
    <row r="449" spans="1:2">
      <c r="A449" s="1" t="s">
        <v>120</v>
      </c>
      <c r="B449" s="528"/>
    </row>
    <row r="450" spans="1:2">
      <c r="A450" s="1062"/>
      <c r="B450" s="1062"/>
    </row>
    <row r="451" spans="1:2" ht="18">
      <c r="A451" s="534" t="s">
        <v>208</v>
      </c>
      <c r="B451" s="535"/>
    </row>
    <row r="452" spans="1:2">
      <c r="A452" s="1" t="s">
        <v>116</v>
      </c>
      <c r="B452" s="528"/>
    </row>
    <row r="453" spans="1:2">
      <c r="A453" s="1" t="s">
        <v>122</v>
      </c>
      <c r="B453" s="528"/>
    </row>
    <row r="454" spans="1:2">
      <c r="A454" s="1" t="s">
        <v>123</v>
      </c>
      <c r="B454" s="528"/>
    </row>
    <row r="455" spans="1:2">
      <c r="A455" s="1" t="s">
        <v>124</v>
      </c>
      <c r="B455" s="528"/>
    </row>
    <row r="456" spans="1:2">
      <c r="A456" s="344" t="s">
        <v>125</v>
      </c>
      <c r="B456" s="547"/>
    </row>
    <row r="457" spans="1:2">
      <c r="A457" s="1" t="s">
        <v>117</v>
      </c>
      <c r="B457" s="528"/>
    </row>
    <row r="458" spans="1:2">
      <c r="A458" s="1" t="s">
        <v>118</v>
      </c>
      <c r="B458" s="528"/>
    </row>
    <row r="459" spans="1:2">
      <c r="A459" s="1" t="s">
        <v>126</v>
      </c>
      <c r="B459" s="528"/>
    </row>
    <row r="460" spans="1:2">
      <c r="A460" s="1" t="s">
        <v>120</v>
      </c>
      <c r="B460" s="528"/>
    </row>
    <row r="461" spans="1:2">
      <c r="A461" s="1062"/>
      <c r="B461" s="1062"/>
    </row>
    <row r="462" spans="1:2" ht="18">
      <c r="A462" s="534" t="s">
        <v>209</v>
      </c>
      <c r="B462" s="535"/>
    </row>
    <row r="463" spans="1:2">
      <c r="A463" s="1" t="s">
        <v>116</v>
      </c>
      <c r="B463" s="528"/>
    </row>
    <row r="464" spans="1:2">
      <c r="A464" s="1" t="s">
        <v>122</v>
      </c>
      <c r="B464" s="528"/>
    </row>
    <row r="465" spans="1:2">
      <c r="A465" s="1" t="s">
        <v>123</v>
      </c>
      <c r="B465" s="528"/>
    </row>
    <row r="466" spans="1:2">
      <c r="A466" s="1" t="s">
        <v>124</v>
      </c>
      <c r="B466" s="528"/>
    </row>
    <row r="467" spans="1:2">
      <c r="A467" s="344" t="s">
        <v>125</v>
      </c>
      <c r="B467" s="547"/>
    </row>
    <row r="468" spans="1:2">
      <c r="A468" s="1" t="s">
        <v>117</v>
      </c>
      <c r="B468" s="528"/>
    </row>
    <row r="469" spans="1:2">
      <c r="A469" s="1" t="s">
        <v>118</v>
      </c>
      <c r="B469" s="528"/>
    </row>
    <row r="470" spans="1:2">
      <c r="A470" s="1" t="s">
        <v>126</v>
      </c>
      <c r="B470" s="528"/>
    </row>
    <row r="471" spans="1:2">
      <c r="A471" s="1" t="s">
        <v>120</v>
      </c>
      <c r="B471" s="528"/>
    </row>
    <row r="472" spans="1:2">
      <c r="A472" s="1062"/>
      <c r="B472" s="1062"/>
    </row>
    <row r="473" spans="1:2" ht="18">
      <c r="A473" s="534" t="s">
        <v>210</v>
      </c>
      <c r="B473" s="535"/>
    </row>
    <row r="474" spans="1:2">
      <c r="A474" s="1" t="s">
        <v>116</v>
      </c>
      <c r="B474" s="528"/>
    </row>
    <row r="475" spans="1:2">
      <c r="A475" s="1" t="s">
        <v>122</v>
      </c>
      <c r="B475" s="528"/>
    </row>
    <row r="476" spans="1:2">
      <c r="A476" s="1" t="s">
        <v>123</v>
      </c>
      <c r="B476" s="528"/>
    </row>
    <row r="477" spans="1:2">
      <c r="A477" s="1" t="s">
        <v>124</v>
      </c>
      <c r="B477" s="528"/>
    </row>
    <row r="478" spans="1:2">
      <c r="A478" s="344" t="s">
        <v>125</v>
      </c>
      <c r="B478" s="547"/>
    </row>
    <row r="479" spans="1:2" ht="15" customHeight="1">
      <c r="A479" s="1" t="s">
        <v>117</v>
      </c>
      <c r="B479" s="528"/>
    </row>
    <row r="480" spans="1:2">
      <c r="A480" s="1" t="s">
        <v>118</v>
      </c>
      <c r="B480" s="528"/>
    </row>
    <row r="481" spans="1:2">
      <c r="A481" s="1" t="s">
        <v>126</v>
      </c>
      <c r="B481" s="528"/>
    </row>
    <row r="482" spans="1:2">
      <c r="A482" s="1" t="s">
        <v>120</v>
      </c>
      <c r="B482" s="528"/>
    </row>
  </sheetData>
  <sheetProtection algorithmName="SHA-512" hashValue="LA4+zLhO0cxh10QxumZb5Y7/MraGmKDn2R8GYuKnqGGnaZbBbca0iO6FVeANTIztBf/wz8lsMtQLxhiunN1k0A==" saltValue="Uq3ToIYKKGz/U2trInNWaA==" spinCount="100000" sheet="1" objects="1" scenarios="1"/>
  <dataConsolidate/>
  <mergeCells count="37">
    <mergeCell ref="A347:B347"/>
    <mergeCell ref="A336:B336"/>
    <mergeCell ref="A325:B325"/>
    <mergeCell ref="A314:B314"/>
    <mergeCell ref="A405:B405"/>
    <mergeCell ref="A393:B393"/>
    <mergeCell ref="A381:B381"/>
    <mergeCell ref="A370:B370"/>
    <mergeCell ref="A359:B359"/>
    <mergeCell ref="A472:B472"/>
    <mergeCell ref="A461:B461"/>
    <mergeCell ref="A450:B450"/>
    <mergeCell ref="A438:B438"/>
    <mergeCell ref="A427:B427"/>
    <mergeCell ref="A303:B303"/>
    <mergeCell ref="A292:B292"/>
    <mergeCell ref="A281:B281"/>
    <mergeCell ref="A270:B270"/>
    <mergeCell ref="A259:B259"/>
    <mergeCell ref="A248:B248"/>
    <mergeCell ref="A236:B236"/>
    <mergeCell ref="A224:B224"/>
    <mergeCell ref="A212:B212"/>
    <mergeCell ref="A184:B184"/>
    <mergeCell ref="A198:B198"/>
    <mergeCell ref="A170:B170"/>
    <mergeCell ref="A156:B156"/>
    <mergeCell ref="A145:B145"/>
    <mergeCell ref="A115:B115"/>
    <mergeCell ref="A89:B89"/>
    <mergeCell ref="A100:B100"/>
    <mergeCell ref="A2:B2"/>
    <mergeCell ref="A78:B78"/>
    <mergeCell ref="A64:B64"/>
    <mergeCell ref="A11:B11"/>
    <mergeCell ref="A5:B5"/>
    <mergeCell ref="A3:B3"/>
  </mergeCells>
  <dataValidations count="17">
    <dataValidation type="list" allowBlank="1" showInputMessage="1" showErrorMessage="1" errorTitle="Owning an Interest " error="Please select a valid value for NP/PHA owning an interest." sqref="B130" xr:uid="{9F065954-6442-4197-A5B6-7007D24CDE2F}">
      <formula1>Yes_No_List</formula1>
    </dataValidation>
    <dataValidation type="list" allowBlank="1" showInputMessage="1" showErrorMessage="1" errorTitle="Tax Credits in Other States" error="Please select a valid value for previous tax credits in other states." sqref="B42" xr:uid="{F46957E4-2F9E-4EEF-87C0-F1F39BE0FAD5}">
      <formula1>Yes_No_List</formula1>
    </dataValidation>
    <dataValidation type="list" allowBlank="1" showInputMessage="1" showErrorMessage="1" errorTitle="Previous Tax Credits in Colorado" error="Please select a valid value for previous tax credits in Colorado." sqref="B40" xr:uid="{3FA395FC-0098-4B0D-B41C-5E863E1A2F49}">
      <formula1>Yes_No_List</formula1>
    </dataValidation>
    <dataValidation type="list" allowBlank="1" showInputMessage="1" showErrorMessage="1" errorTitle="Entity Type" error="Please supply a valid value for Entity Type." sqref="B39" xr:uid="{5DE35456-B401-4D77-9CD9-935A0195A503}">
      <formula1>Entity_Type_List</formula1>
    </dataValidation>
    <dataValidation type="custom" allowBlank="1" showInputMessage="1" showErrorMessage="1" errorTitle="State Equity Factor" error="Please enter a number for State Equity Factor and ensure that the number does not exceed 4 deimals." sqref="B439" xr:uid="{FC912CA2-71DF-4139-A918-711C2F4C99AF}">
      <formula1>ROUND(MOD(10000*B439,1), 3)= 0</formula1>
    </dataValidation>
    <dataValidation allowBlank="1" showInputMessage="1" showErrorMessage="1" errorTitle="State Equity Factor" error="Please enter a number for State Equity Factor and ensure that the number does not exceed 4 deimals." sqref="B18:B19 B71:B72 B31:B32" xr:uid="{C5D87039-8F2F-474B-B546-955AE8D7EB51}"/>
    <dataValidation type="custom" allowBlank="1" showInputMessage="1" showErrorMessage="1" errorTitle="Numbers Only" error="Please enter a ten digit number" sqref="B9 B20 B33" xr:uid="{6D8C4B87-1BA1-4E09-8986-81619D3BED5C}">
      <formula1>AND(B9&gt;1111111111,B9&lt;9999999999)</formula1>
    </dataValidation>
    <dataValidation type="custom" allowBlank="1" showInputMessage="1" showErrorMessage="1" sqref="B478 B106 B151 B176 B204 B219 B231 B320 B254 B243 B190 B162 B121 B95 B309 B298 B287 B265 B276 B70 B84 B331 B342 B353 B365 B376 B388 B400 B422 B433 B445 B456 B467 B17 B411 B30" xr:uid="{B5510F6D-3E58-4D82-935E-FA4E3CE82378}">
      <formula1>AND(B17&gt;11111,B17&lt;99999)</formula1>
    </dataValidation>
    <dataValidation type="custom" allowBlank="1" showInputMessage="1" showErrorMessage="1" errorTitle="Enter numbers only" error="Please eneter a ten digit number" sqref="B73" xr:uid="{3FDB2673-47C9-44F4-BD0A-43865A86DFC2}">
      <formula1>AND(B73&gt;1111111111,B73&lt;9999999999)</formula1>
    </dataValidation>
    <dataValidation allowBlank="1" showInputMessage="1" errorTitle="State Equity Factor" error="Please enter a number for State Equity Factor and ensure that the number does not exceed 4 deimals." sqref="B88 B85:B86 B81:B82 B196:B197 B210:B211 B76:B77 B168:B169 B182:B183 B22:B25 B35:B37" xr:uid="{6F7FFBA1-4B66-461B-8E79-0A8B36FB0EE4}"/>
    <dataValidation type="custom" allowBlank="1" showInputMessage="1" showErrorMessage="1" sqref="B87 B124 B154 B179 B193 B207 B222 B234 B246 B257 B98 B268 B165 B481 B312 B279 B290 B301 B323 B334 B345 B356 B368 B379 B391 B403 B425 B436 B448 B459 B470 B109 B414" xr:uid="{64650D1E-0A99-45A5-8FC5-72F6C4EAA2E6}">
      <formula1>AND(B87&gt;1111111111,B87&lt;9999999999)</formula1>
    </dataValidation>
    <dataValidation type="list" allowBlank="1" showInputMessage="1" showErrorMessage="1" sqref="B126" xr:uid="{41D0AB3A-EAEA-4324-99AA-DA7CF710978C}">
      <formula1>Legal_Status_List</formula1>
    </dataValidation>
    <dataValidation type="date" allowBlank="1" showInputMessage="1" showErrorMessage="1" sqref="B142" xr:uid="{D21985E2-6DD1-4D8A-A183-839B42B94878}">
      <formula1>1</formula1>
      <formula2>56980</formula2>
    </dataValidation>
    <dataValidation type="textLength" operator="lessThanOrEqual" allowBlank="1" showInputMessage="1" showErrorMessage="1" errorTitle="50 Character Limit" error="Must be less than 50 characters" sqref="B6 B13 B66 B80 B91 B102 B117 B147 B158 B186 B200 B214 B226 B238 B250 B261 B272 B283 B294 B305 B316 B327 B338 B349 B361 B372 B383:B384 B395:B396 B418 B429 B441 B452 B463 B474 B407 B26" xr:uid="{0CA7A7B9-1843-4BE3-9900-BDD3BFFDB318}">
      <formula1>50</formula1>
    </dataValidation>
    <dataValidation type="list" allowBlank="1" showInputMessage="1" showErrorMessage="1" errorTitle="Developments in Service" error="Please select a valid value for developments in service." sqref="B44" xr:uid="{B4AC0444-696E-4376-8160-84217076D0C2}">
      <formula1>Yes_No_List</formula1>
    </dataValidation>
    <dataValidation type="whole" allowBlank="1" showInputMessage="1" showErrorMessage="1" sqref="B113" xr:uid="{DA86EF3D-BB91-4BE5-A5F2-2124F1E0CAA9}">
      <formula1>0</formula1>
      <formula2>999999999</formula2>
    </dataValidation>
    <dataValidation type="list" allowBlank="1" showInputMessage="1" showErrorMessage="1" errorTitle="Legal Status" error="Select value from Legal Status dropdown" sqref="B112" xr:uid="{6411D959-F936-4FCB-A6E6-6221F16A04F4}">
      <formula1>Legal_Status_List</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State Equity Factor" error="Please enter a number for State Equity Factor and ensure that the number does not exceed 4 deimals." xr:uid="{292EB839-8909-40F6-BE9E-C5DB18AF4486}">
          <x14:formula1>
            <xm:f>Lookup!$A$204:$A$253</xm:f>
          </x14:formula1>
          <xm:sqref>B242 B253</xm:sqref>
        </x14:dataValidation>
        <x14:dataValidation type="list" allowBlank="1" showInputMessage="1" showErrorMessage="1" errorTitle="Status of Entity" error="Please select from the Status of Entity dropdown." xr:uid="{F5F264EB-BA68-4162-82F7-26816E394A10}">
          <x14:formula1>
            <xm:f>Lookup!$B$194:$B$195</xm:f>
          </x14:formula1>
          <xm:sqref>B114</xm:sqref>
        </x14:dataValidation>
        <x14:dataValidation type="list" allowBlank="1" showInputMessage="1" showErrorMessage="1" xr:uid="{3D0E1EF3-D7EA-4D26-84EA-6FF4AA9E177F}">
          <x14:formula1>
            <xm:f>Lookup!$A$204:$A$253</xm:f>
          </x14:formula1>
          <xm:sqref>B16 B477 B466 B455 B444 B432 B421 B399 B387 B375 B364 B352 B341 B330 B319 B297 B308 B286 B275 B264 B230 B218 B203 B189 B175 B150 B161 B120 B105 B94 B83 B69 B410 B29</xm:sqref>
        </x14:dataValidation>
        <x14:dataValidation type="list" allowBlank="1" showInputMessage="1" showErrorMessage="1" xr:uid="{E472F258-F38F-423C-B57F-5061B6B9F3BD}">
          <x14:formula1>
            <xm:f>Lookup!$A$4:$A$5</xm:f>
          </x14:formula1>
          <xm:sqref>B129 B134 B138 B140</xm:sqref>
        </x14:dataValidation>
        <x14:dataValidation type="list" allowBlank="1" showInputMessage="1" showErrorMessage="1" xr:uid="{A687B62C-43D4-48B5-9660-1740E581009B}">
          <x14:formula1>
            <xm:f>Lookup!$F$132:$F$133</xm:f>
          </x14:formula1>
          <xm:sqref>B358</xm:sqref>
        </x14:dataValidation>
        <x14:dataValidation type="list" allowBlank="1" showInputMessage="1" showErrorMessage="1" xr:uid="{D3060AAA-3346-4176-940C-68699D29796B}">
          <x14:formula1>
            <xm:f>Lookup!$D$138:$D$143</xm:f>
          </x14:formula1>
          <xm:sqref>E55:E57 E60:E63</xm:sqref>
        </x14:dataValidation>
        <x14:dataValidation type="list" allowBlank="1" showInputMessage="1" showErrorMessage="1" xr:uid="{2C3A6B11-5FFA-4726-851D-36AD7D038867}">
          <x14:formula1>
            <xm:f>Lookup!$E$138:$E$140</xm:f>
          </x14:formula1>
          <xm:sqref>F55:F57 F60:F63</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theme="1"/>
  </sheetPr>
  <dimension ref="A1:I253"/>
  <sheetViews>
    <sheetView zoomScale="85" zoomScaleNormal="85" workbookViewId="0"/>
  </sheetViews>
  <sheetFormatPr defaultRowHeight="14.4"/>
  <cols>
    <col min="1" max="1" width="33" customWidth="1"/>
    <col min="2" max="2" width="30.5546875" customWidth="1"/>
    <col min="3" max="3" width="44" customWidth="1"/>
    <col min="4" max="4" width="32.109375" customWidth="1"/>
    <col min="5" max="5" width="42.5546875" customWidth="1"/>
    <col min="6" max="6" width="30.5546875" customWidth="1"/>
    <col min="7" max="7" width="36" customWidth="1"/>
    <col min="8" max="8" width="22.5546875" customWidth="1"/>
    <col min="9" max="9" width="26.109375" customWidth="1"/>
    <col min="10" max="13" width="21.5546875" customWidth="1"/>
  </cols>
  <sheetData>
    <row r="1" spans="1:7">
      <c r="A1" s="1" t="s">
        <v>3719</v>
      </c>
    </row>
    <row r="3" spans="1:7">
      <c r="A3" s="1" t="s">
        <v>3720</v>
      </c>
      <c r="C3" s="1" t="s">
        <v>3721</v>
      </c>
    </row>
    <row r="4" spans="1:7">
      <c r="A4" t="s">
        <v>815</v>
      </c>
      <c r="C4" t="s">
        <v>815</v>
      </c>
    </row>
    <row r="5" spans="1:7">
      <c r="A5" t="s">
        <v>599</v>
      </c>
      <c r="C5" t="s">
        <v>599</v>
      </c>
    </row>
    <row r="6" spans="1:7">
      <c r="C6" t="s">
        <v>880</v>
      </c>
    </row>
    <row r="7" spans="1:7">
      <c r="A7" s="1"/>
    </row>
    <row r="8" spans="1:7">
      <c r="A8" s="3" t="s">
        <v>16</v>
      </c>
      <c r="B8" s="3"/>
      <c r="C8" s="3"/>
      <c r="D8" s="3"/>
      <c r="E8" s="3"/>
      <c r="F8" s="3"/>
      <c r="G8" s="3"/>
    </row>
    <row r="10" spans="1:7">
      <c r="A10" s="1" t="s">
        <v>3722</v>
      </c>
      <c r="B10" s="1" t="s">
        <v>2553</v>
      </c>
      <c r="C10" s="1" t="s">
        <v>2554</v>
      </c>
      <c r="D10" s="1" t="s">
        <v>2555</v>
      </c>
      <c r="E10" s="1" t="s">
        <v>3723</v>
      </c>
    </row>
    <row r="11" spans="1:7">
      <c r="A11" t="s">
        <v>329</v>
      </c>
      <c r="B11" t="b">
        <v>0</v>
      </c>
      <c r="C11" t="b">
        <v>1</v>
      </c>
      <c r="D11" t="b">
        <v>0</v>
      </c>
      <c r="E11" t="s">
        <v>3724</v>
      </c>
    </row>
    <row r="12" spans="1:7">
      <c r="A12" t="s">
        <v>3725</v>
      </c>
      <c r="B12" t="b">
        <v>1</v>
      </c>
      <c r="C12" t="b">
        <v>1</v>
      </c>
      <c r="D12" t="b">
        <v>1</v>
      </c>
      <c r="E12" t="s">
        <v>3726</v>
      </c>
    </row>
    <row r="13" spans="1:7">
      <c r="A13" t="s">
        <v>3727</v>
      </c>
      <c r="B13" t="b">
        <v>0</v>
      </c>
      <c r="C13" t="b">
        <v>1</v>
      </c>
      <c r="D13" t="b">
        <v>1</v>
      </c>
      <c r="E13" t="s">
        <v>3728</v>
      </c>
    </row>
    <row r="14" spans="1:7">
      <c r="A14" t="s">
        <v>3729</v>
      </c>
      <c r="B14" t="b">
        <v>1</v>
      </c>
      <c r="C14" t="b">
        <v>0</v>
      </c>
      <c r="D14" t="b">
        <v>1</v>
      </c>
    </row>
    <row r="15" spans="1:7">
      <c r="A15" t="s">
        <v>3730</v>
      </c>
      <c r="B15" t="b">
        <v>0</v>
      </c>
      <c r="C15" t="b">
        <v>0</v>
      </c>
      <c r="D15" t="b">
        <v>1</v>
      </c>
    </row>
    <row r="19" spans="1:9">
      <c r="A19" s="1" t="s">
        <v>221</v>
      </c>
      <c r="B19" s="1" t="s">
        <v>2551</v>
      </c>
      <c r="C19" s="1" t="s">
        <v>2552</v>
      </c>
      <c r="D19" s="1" t="s">
        <v>3731</v>
      </c>
      <c r="E19" s="1" t="s">
        <v>3732</v>
      </c>
      <c r="F19" s="1" t="s">
        <v>3733</v>
      </c>
      <c r="G19" s="1" t="s">
        <v>3734</v>
      </c>
      <c r="H19" s="656" t="s">
        <v>4079</v>
      </c>
      <c r="I19" s="656" t="s">
        <v>4080</v>
      </c>
    </row>
    <row r="20" spans="1:9">
      <c r="A20" t="s">
        <v>3735</v>
      </c>
      <c r="B20" t="b">
        <v>0</v>
      </c>
      <c r="C20" t="b">
        <v>1</v>
      </c>
      <c r="D20" t="b">
        <v>0</v>
      </c>
      <c r="E20">
        <v>10000</v>
      </c>
      <c r="G20" t="b">
        <v>0</v>
      </c>
      <c r="H20" s="265">
        <v>1800000</v>
      </c>
      <c r="I20" s="265"/>
    </row>
    <row r="21" spans="1:9">
      <c r="A21" t="s">
        <v>3736</v>
      </c>
      <c r="B21" t="b">
        <v>0</v>
      </c>
      <c r="C21" t="b">
        <v>1</v>
      </c>
      <c r="D21" t="b">
        <v>1</v>
      </c>
      <c r="E21">
        <v>1</v>
      </c>
      <c r="F21" t="s">
        <v>3737</v>
      </c>
      <c r="G21" t="b">
        <v>0</v>
      </c>
      <c r="H21" s="265">
        <v>1800000</v>
      </c>
      <c r="I21" s="265">
        <v>500000</v>
      </c>
    </row>
    <row r="22" spans="1:9">
      <c r="A22" t="s">
        <v>3738</v>
      </c>
      <c r="B22" t="b">
        <v>1</v>
      </c>
      <c r="C22" t="b">
        <v>1</v>
      </c>
      <c r="D22" t="b">
        <v>0</v>
      </c>
      <c r="E22">
        <v>10000</v>
      </c>
      <c r="G22" t="b">
        <v>0</v>
      </c>
      <c r="H22" s="265">
        <v>1800000</v>
      </c>
      <c r="I22" s="265"/>
    </row>
    <row r="23" spans="1:9">
      <c r="A23" t="s">
        <v>3739</v>
      </c>
      <c r="B23" t="b">
        <v>1</v>
      </c>
      <c r="C23" t="b">
        <v>1</v>
      </c>
      <c r="D23" t="b">
        <v>1</v>
      </c>
      <c r="E23">
        <v>1</v>
      </c>
      <c r="F23" t="s">
        <v>3737</v>
      </c>
      <c r="G23" t="b">
        <v>0</v>
      </c>
      <c r="H23" s="265">
        <v>1800000</v>
      </c>
      <c r="I23" s="265">
        <v>500000</v>
      </c>
    </row>
    <row r="24" spans="1:9">
      <c r="A24" t="s">
        <v>3740</v>
      </c>
      <c r="B24" t="b">
        <v>1</v>
      </c>
      <c r="C24" t="b">
        <v>0</v>
      </c>
      <c r="D24" t="b">
        <v>0</v>
      </c>
      <c r="E24">
        <v>10000</v>
      </c>
      <c r="G24" t="b">
        <v>0</v>
      </c>
      <c r="H24" s="265"/>
      <c r="I24" s="265"/>
    </row>
    <row r="25" spans="1:9">
      <c r="A25" t="s">
        <v>3741</v>
      </c>
      <c r="B25" t="b">
        <v>1</v>
      </c>
      <c r="C25" t="b">
        <v>0</v>
      </c>
      <c r="D25" t="b">
        <v>1</v>
      </c>
      <c r="E25">
        <v>11000</v>
      </c>
      <c r="F25" t="s">
        <v>3742</v>
      </c>
      <c r="G25" t="b">
        <v>0</v>
      </c>
      <c r="I25" s="265">
        <v>1300000</v>
      </c>
    </row>
    <row r="26" spans="1:9">
      <c r="A26" t="s">
        <v>3743</v>
      </c>
      <c r="B26" t="b">
        <v>1</v>
      </c>
      <c r="C26" t="b">
        <v>0</v>
      </c>
      <c r="D26" t="b">
        <v>1</v>
      </c>
      <c r="E26">
        <v>1</v>
      </c>
      <c r="F26" t="s">
        <v>3742</v>
      </c>
      <c r="G26" t="b">
        <v>1</v>
      </c>
      <c r="I26" s="265">
        <v>700000</v>
      </c>
    </row>
    <row r="30" spans="1:9">
      <c r="A30" s="1" t="s">
        <v>215</v>
      </c>
      <c r="B30" s="1" t="s">
        <v>3744</v>
      </c>
      <c r="C30" s="1" t="s">
        <v>3745</v>
      </c>
      <c r="D30" s="1" t="s">
        <v>3746</v>
      </c>
      <c r="E30" s="1" t="s">
        <v>3747</v>
      </c>
    </row>
    <row r="31" spans="1:9">
      <c r="A31" t="s">
        <v>3748</v>
      </c>
      <c r="B31" t="b">
        <v>1</v>
      </c>
      <c r="C31" t="b">
        <v>0</v>
      </c>
      <c r="D31" t="b">
        <v>0</v>
      </c>
      <c r="E31" t="b">
        <v>0</v>
      </c>
    </row>
    <row r="32" spans="1:9">
      <c r="A32" t="s">
        <v>3749</v>
      </c>
      <c r="B32" t="b">
        <v>0</v>
      </c>
      <c r="C32" t="b">
        <v>1</v>
      </c>
      <c r="D32" t="b">
        <v>0</v>
      </c>
      <c r="E32" t="b">
        <v>0</v>
      </c>
    </row>
    <row r="33" spans="1:9">
      <c r="A33" t="s">
        <v>3750</v>
      </c>
      <c r="B33" t="b">
        <v>0</v>
      </c>
      <c r="C33" t="b">
        <v>0</v>
      </c>
      <c r="D33" t="b">
        <v>0</v>
      </c>
      <c r="E33" t="b">
        <v>1</v>
      </c>
    </row>
    <row r="34" spans="1:9">
      <c r="A34" t="s">
        <v>3751</v>
      </c>
      <c r="B34" t="b">
        <v>0</v>
      </c>
      <c r="C34" t="b">
        <v>0</v>
      </c>
      <c r="D34" t="b">
        <v>1</v>
      </c>
      <c r="E34" t="b">
        <v>0</v>
      </c>
    </row>
    <row r="36" spans="1:9">
      <c r="A36" s="1" t="s">
        <v>275</v>
      </c>
      <c r="C36" s="1" t="s">
        <v>271</v>
      </c>
      <c r="D36" s="1" t="s">
        <v>3752</v>
      </c>
      <c r="F36" s="1" t="s">
        <v>270</v>
      </c>
      <c r="G36" s="1" t="s">
        <v>2854</v>
      </c>
      <c r="H36" s="1" t="s">
        <v>2855</v>
      </c>
    </row>
    <row r="37" spans="1:9">
      <c r="A37" t="s">
        <v>3753</v>
      </c>
      <c r="C37" t="s">
        <v>582</v>
      </c>
      <c r="D37">
        <v>1</v>
      </c>
      <c r="F37" t="s">
        <v>2854</v>
      </c>
      <c r="G37" t="b">
        <v>1</v>
      </c>
      <c r="H37" t="b">
        <v>0</v>
      </c>
    </row>
    <row r="38" spans="1:9">
      <c r="A38" t="s">
        <v>3754</v>
      </c>
      <c r="C38" t="s">
        <v>3755</v>
      </c>
      <c r="D38">
        <v>2</v>
      </c>
      <c r="F38" t="s">
        <v>2855</v>
      </c>
      <c r="G38" t="b">
        <v>0</v>
      </c>
      <c r="H38" t="b">
        <v>1</v>
      </c>
    </row>
    <row r="39" spans="1:9">
      <c r="A39" t="s">
        <v>3756</v>
      </c>
      <c r="F39" t="s">
        <v>3757</v>
      </c>
      <c r="G39" t="b">
        <v>0</v>
      </c>
      <c r="H39" t="b">
        <v>0</v>
      </c>
    </row>
    <row r="40" spans="1:9">
      <c r="A40" t="s">
        <v>3758</v>
      </c>
    </row>
    <row r="44" spans="1:9">
      <c r="G44" s="354" t="s">
        <v>3759</v>
      </c>
      <c r="H44" s="354" t="s">
        <v>3760</v>
      </c>
      <c r="I44" s="354" t="s">
        <v>260</v>
      </c>
    </row>
    <row r="45" spans="1:9">
      <c r="A45" s="1" t="s">
        <v>245</v>
      </c>
      <c r="C45" s="1" t="s">
        <v>3761</v>
      </c>
      <c r="E45" s="354" t="s">
        <v>3762</v>
      </c>
      <c r="F45" s="88"/>
      <c r="G45" s="355" t="s">
        <v>4425</v>
      </c>
      <c r="H45" s="355" t="s">
        <v>577</v>
      </c>
      <c r="I45" s="355" t="s">
        <v>3764</v>
      </c>
    </row>
    <row r="46" spans="1:9">
      <c r="A46" t="s">
        <v>3765</v>
      </c>
      <c r="C46" t="s">
        <v>124</v>
      </c>
      <c r="E46" s="355" t="s">
        <v>3766</v>
      </c>
      <c r="G46" s="355" t="s">
        <v>3763</v>
      </c>
      <c r="H46" s="356" t="s">
        <v>3768</v>
      </c>
      <c r="I46" s="356" t="s">
        <v>3769</v>
      </c>
    </row>
    <row r="47" spans="1:9">
      <c r="A47" t="s">
        <v>3770</v>
      </c>
      <c r="C47" t="s">
        <v>852</v>
      </c>
      <c r="E47" s="356" t="s">
        <v>3771</v>
      </c>
      <c r="G47" s="356" t="s">
        <v>3767</v>
      </c>
      <c r="H47" s="355" t="s">
        <v>3773</v>
      </c>
      <c r="I47" s="355" t="s">
        <v>3774</v>
      </c>
    </row>
    <row r="48" spans="1:9">
      <c r="A48" t="s">
        <v>3775</v>
      </c>
      <c r="C48" t="s">
        <v>3728</v>
      </c>
      <c r="E48" s="355" t="s">
        <v>3776</v>
      </c>
      <c r="G48" s="356" t="s">
        <v>3772</v>
      </c>
      <c r="H48" s="356"/>
      <c r="I48" s="356" t="s">
        <v>3778</v>
      </c>
    </row>
    <row r="49" spans="1:9">
      <c r="A49" s="1"/>
      <c r="G49" s="355" t="s">
        <v>3777</v>
      </c>
      <c r="H49" s="355"/>
      <c r="I49" s="355" t="s">
        <v>3780</v>
      </c>
    </row>
    <row r="50" spans="1:9">
      <c r="A50" s="1"/>
      <c r="G50" s="356" t="s">
        <v>3779</v>
      </c>
      <c r="H50" s="485"/>
    </row>
    <row r="51" spans="1:9">
      <c r="A51" s="1" t="s">
        <v>1546</v>
      </c>
      <c r="B51" s="1" t="s">
        <v>1547</v>
      </c>
      <c r="C51" t="s">
        <v>1548</v>
      </c>
      <c r="D51" t="s">
        <v>1549</v>
      </c>
      <c r="E51" s="354" t="s">
        <v>263</v>
      </c>
      <c r="F51" s="634" t="s">
        <v>258</v>
      </c>
      <c r="G51" s="355" t="s">
        <v>3781</v>
      </c>
      <c r="H51" s="485"/>
    </row>
    <row r="52" spans="1:9">
      <c r="A52" t="s">
        <v>3768</v>
      </c>
      <c r="B52" t="s">
        <v>3768</v>
      </c>
      <c r="C52" s="316" t="s">
        <v>3783</v>
      </c>
      <c r="D52" s="316" t="s">
        <v>3783</v>
      </c>
      <c r="E52" s="355" t="s">
        <v>1660</v>
      </c>
      <c r="F52" s="633" t="s">
        <v>3784</v>
      </c>
      <c r="G52" s="356" t="s">
        <v>3782</v>
      </c>
    </row>
    <row r="53" spans="1:9">
      <c r="A53" t="s">
        <v>3786</v>
      </c>
      <c r="B53" t="s">
        <v>3786</v>
      </c>
      <c r="C53" s="316" t="s">
        <v>3787</v>
      </c>
      <c r="D53" s="316" t="s">
        <v>3787</v>
      </c>
      <c r="E53" s="356" t="s">
        <v>3788</v>
      </c>
      <c r="F53" s="478" t="s">
        <v>3789</v>
      </c>
      <c r="G53" s="355" t="s">
        <v>3785</v>
      </c>
    </row>
    <row r="54" spans="1:9">
      <c r="A54" t="s">
        <v>3791</v>
      </c>
      <c r="B54" t="s">
        <v>3791</v>
      </c>
      <c r="C54" s="316" t="s">
        <v>3792</v>
      </c>
      <c r="D54" s="316" t="s">
        <v>3792</v>
      </c>
      <c r="E54" s="355" t="s">
        <v>3728</v>
      </c>
      <c r="F54" s="633" t="s">
        <v>3793</v>
      </c>
      <c r="G54" s="356" t="s">
        <v>3790</v>
      </c>
    </row>
    <row r="55" spans="1:9">
      <c r="A55" t="s">
        <v>3795</v>
      </c>
      <c r="B55" t="s">
        <v>3795</v>
      </c>
      <c r="C55" s="316"/>
      <c r="D55" s="316"/>
      <c r="E55" s="356" t="s">
        <v>2644</v>
      </c>
      <c r="F55" s="478" t="s">
        <v>2644</v>
      </c>
      <c r="G55" s="355" t="s">
        <v>4426</v>
      </c>
    </row>
    <row r="56" spans="1:9">
      <c r="A56" t="s">
        <v>3797</v>
      </c>
      <c r="B56" t="s">
        <v>3797</v>
      </c>
      <c r="C56" s="316"/>
      <c r="D56" s="316"/>
      <c r="E56" s="355" t="s">
        <v>3798</v>
      </c>
      <c r="F56" s="633" t="s">
        <v>3799</v>
      </c>
      <c r="G56" s="356" t="s">
        <v>3796</v>
      </c>
    </row>
    <row r="57" spans="1:9">
      <c r="A57" t="s">
        <v>3801</v>
      </c>
      <c r="B57" t="s">
        <v>3801</v>
      </c>
      <c r="C57" s="316"/>
      <c r="D57" s="316"/>
      <c r="E57" s="356" t="s">
        <v>3802</v>
      </c>
      <c r="F57" s="632" t="s">
        <v>3803</v>
      </c>
      <c r="G57" s="355" t="s">
        <v>3800</v>
      </c>
    </row>
    <row r="58" spans="1:9">
      <c r="A58" t="s">
        <v>3805</v>
      </c>
      <c r="B58" t="s">
        <v>3805</v>
      </c>
      <c r="C58" s="316"/>
      <c r="D58" s="316"/>
      <c r="E58" s="355"/>
      <c r="G58" s="356" t="s">
        <v>3804</v>
      </c>
    </row>
    <row r="59" spans="1:9">
      <c r="C59" s="316"/>
      <c r="D59" s="316"/>
      <c r="G59" s="641" t="s">
        <v>2644</v>
      </c>
    </row>
    <row r="60" spans="1:9">
      <c r="A60" s="3" t="s">
        <v>18</v>
      </c>
      <c r="B60" s="3"/>
      <c r="C60" s="3"/>
      <c r="D60" s="3"/>
      <c r="E60" s="3"/>
      <c r="F60" s="3"/>
      <c r="G60" s="3"/>
    </row>
    <row r="62" spans="1:9">
      <c r="A62" s="1" t="s">
        <v>108</v>
      </c>
      <c r="B62" s="1" t="s">
        <v>3806</v>
      </c>
      <c r="E62" s="1" t="s">
        <v>3807</v>
      </c>
      <c r="F62" s="1" t="s">
        <v>2914</v>
      </c>
      <c r="G62" s="1" t="s">
        <v>3808</v>
      </c>
    </row>
    <row r="63" spans="1:9">
      <c r="A63" s="461">
        <v>0.2</v>
      </c>
      <c r="B63" s="462">
        <v>0</v>
      </c>
      <c r="E63" t="s">
        <v>3809</v>
      </c>
      <c r="F63" t="s">
        <v>1103</v>
      </c>
      <c r="G63" t="b">
        <v>1</v>
      </c>
    </row>
    <row r="64" spans="1:9">
      <c r="A64" s="8">
        <v>0.3</v>
      </c>
      <c r="B64" s="94">
        <v>0</v>
      </c>
      <c r="E64" t="s">
        <v>3811</v>
      </c>
      <c r="F64" t="s">
        <v>1103</v>
      </c>
      <c r="G64" t="b">
        <v>0</v>
      </c>
    </row>
    <row r="65" spans="1:7">
      <c r="A65" s="8">
        <v>0.4</v>
      </c>
      <c r="B65" s="94">
        <v>92.5</v>
      </c>
      <c r="E65" t="s">
        <v>3812</v>
      </c>
      <c r="F65" t="s">
        <v>1104</v>
      </c>
      <c r="G65" t="b">
        <v>1</v>
      </c>
    </row>
    <row r="66" spans="1:7">
      <c r="A66" s="8">
        <v>0.5</v>
      </c>
      <c r="B66" s="94">
        <v>72.5</v>
      </c>
      <c r="E66" t="s">
        <v>3814</v>
      </c>
      <c r="F66" t="s">
        <v>1104</v>
      </c>
      <c r="G66" t="b">
        <v>0</v>
      </c>
    </row>
    <row r="67" spans="1:7">
      <c r="A67" s="8">
        <v>0.6</v>
      </c>
      <c r="B67" s="94">
        <v>50</v>
      </c>
      <c r="E67" t="s">
        <v>3815</v>
      </c>
      <c r="F67" t="s">
        <v>1105</v>
      </c>
      <c r="G67" t="b">
        <v>1</v>
      </c>
    </row>
    <row r="68" spans="1:7">
      <c r="A68" s="461">
        <v>0.7</v>
      </c>
      <c r="B68" s="462">
        <v>0</v>
      </c>
      <c r="E68" t="s">
        <v>3817</v>
      </c>
      <c r="F68" t="s">
        <v>1105</v>
      </c>
      <c r="G68" t="b">
        <v>0</v>
      </c>
    </row>
    <row r="69" spans="1:7">
      <c r="A69" s="461">
        <v>0.8</v>
      </c>
      <c r="B69" s="462">
        <v>0</v>
      </c>
      <c r="E69" t="s">
        <v>3818</v>
      </c>
      <c r="F69" t="s">
        <v>1105</v>
      </c>
      <c r="G69" t="b">
        <v>1</v>
      </c>
    </row>
    <row r="70" spans="1:7">
      <c r="A70" s="70">
        <v>1</v>
      </c>
      <c r="B70" s="94">
        <v>0</v>
      </c>
      <c r="E70" t="s">
        <v>3820</v>
      </c>
      <c r="F70" t="s">
        <v>1105</v>
      </c>
      <c r="G70" t="b">
        <v>0</v>
      </c>
    </row>
    <row r="71" spans="1:7">
      <c r="A71" s="14" t="s">
        <v>2572</v>
      </c>
      <c r="B71" s="94">
        <v>0</v>
      </c>
      <c r="E71" t="s">
        <v>3821</v>
      </c>
      <c r="F71" t="s">
        <v>1106</v>
      </c>
      <c r="G71" t="b">
        <v>1</v>
      </c>
    </row>
    <row r="72" spans="1:7">
      <c r="E72" t="s">
        <v>3823</v>
      </c>
      <c r="F72" t="s">
        <v>1106</v>
      </c>
      <c r="G72" t="b">
        <v>0</v>
      </c>
    </row>
    <row r="73" spans="1:7">
      <c r="E73" t="s">
        <v>3824</v>
      </c>
      <c r="F73" t="s">
        <v>1106</v>
      </c>
      <c r="G73" t="b">
        <v>1</v>
      </c>
    </row>
    <row r="74" spans="1:7">
      <c r="E74" t="s">
        <v>3826</v>
      </c>
      <c r="F74" t="s">
        <v>1106</v>
      </c>
      <c r="G74" t="b">
        <v>0</v>
      </c>
    </row>
    <row r="75" spans="1:7">
      <c r="E75" t="s">
        <v>3827</v>
      </c>
      <c r="F75" t="s">
        <v>1107</v>
      </c>
      <c r="G75" t="b">
        <v>1</v>
      </c>
    </row>
    <row r="76" spans="1:7">
      <c r="E76" t="s">
        <v>3829</v>
      </c>
      <c r="F76" t="s">
        <v>1107</v>
      </c>
      <c r="G76" t="b">
        <v>0</v>
      </c>
    </row>
    <row r="77" spans="1:7">
      <c r="E77" t="s">
        <v>3830</v>
      </c>
      <c r="F77" t="s">
        <v>2592</v>
      </c>
      <c r="G77" t="b">
        <v>1</v>
      </c>
    </row>
    <row r="78" spans="1:7">
      <c r="E78" t="s">
        <v>3832</v>
      </c>
      <c r="F78" t="s">
        <v>2592</v>
      </c>
      <c r="G78" t="b">
        <v>0</v>
      </c>
    </row>
    <row r="88" spans="1:7">
      <c r="A88" s="3" t="s">
        <v>65</v>
      </c>
      <c r="B88" s="3"/>
      <c r="C88" s="3"/>
      <c r="D88" s="3"/>
      <c r="E88" s="3"/>
      <c r="F88" s="3"/>
      <c r="G88" s="3"/>
    </row>
    <row r="89" spans="1:7">
      <c r="A89" s="1"/>
    </row>
    <row r="90" spans="1:7">
      <c r="A90" s="1" t="s">
        <v>3833</v>
      </c>
      <c r="B90" s="1" t="s">
        <v>3834</v>
      </c>
    </row>
    <row r="91" spans="1:7">
      <c r="A91" t="s">
        <v>3835</v>
      </c>
      <c r="B91" t="b">
        <v>0</v>
      </c>
    </row>
    <row r="92" spans="1:7">
      <c r="A92" t="s">
        <v>3836</v>
      </c>
      <c r="B92" t="b">
        <v>1</v>
      </c>
    </row>
    <row r="93" spans="1:7">
      <c r="A93" t="s">
        <v>2570</v>
      </c>
      <c r="B93" t="b">
        <v>1</v>
      </c>
    </row>
    <row r="96" spans="1:7">
      <c r="A96" s="1" t="s">
        <v>510</v>
      </c>
      <c r="B96" s="1" t="s">
        <v>2940</v>
      </c>
    </row>
    <row r="97" spans="1:3">
      <c r="A97" t="s">
        <v>3728</v>
      </c>
      <c r="B97">
        <v>0</v>
      </c>
    </row>
    <row r="98" spans="1:3">
      <c r="A98" t="s">
        <v>3837</v>
      </c>
      <c r="B98">
        <v>5</v>
      </c>
    </row>
    <row r="99" spans="1:3">
      <c r="A99" t="s">
        <v>3838</v>
      </c>
      <c r="B99">
        <v>10</v>
      </c>
    </row>
    <row r="100" spans="1:3">
      <c r="A100" t="s">
        <v>3839</v>
      </c>
      <c r="B100">
        <v>15</v>
      </c>
    </row>
    <row r="104" spans="1:3">
      <c r="A104" s="1" t="s">
        <v>512</v>
      </c>
      <c r="B104" s="1" t="s">
        <v>3840</v>
      </c>
      <c r="C104" s="1" t="s">
        <v>2940</v>
      </c>
    </row>
    <row r="105" spans="1:3">
      <c r="A105" t="s">
        <v>4054</v>
      </c>
      <c r="B105">
        <v>30</v>
      </c>
      <c r="C105">
        <v>25</v>
      </c>
    </row>
    <row r="106" spans="1:3">
      <c r="A106" t="s">
        <v>4055</v>
      </c>
      <c r="B106">
        <v>40</v>
      </c>
      <c r="C106">
        <v>40</v>
      </c>
    </row>
    <row r="110" spans="1:3">
      <c r="A110" s="1" t="s">
        <v>2639</v>
      </c>
      <c r="B110" s="1" t="s">
        <v>2940</v>
      </c>
      <c r="C110" s="1" t="s">
        <v>3841</v>
      </c>
    </row>
    <row r="111" spans="1:3">
      <c r="A111" t="s">
        <v>880</v>
      </c>
      <c r="B111">
        <v>0</v>
      </c>
      <c r="C111" t="b">
        <v>0</v>
      </c>
    </row>
    <row r="112" spans="1:3">
      <c r="A112" t="s">
        <v>2005</v>
      </c>
      <c r="B112">
        <v>8</v>
      </c>
      <c r="C112" t="b">
        <v>1</v>
      </c>
    </row>
    <row r="113" spans="1:7">
      <c r="A113" t="s">
        <v>2008</v>
      </c>
      <c r="B113">
        <v>8</v>
      </c>
      <c r="C113" t="b">
        <v>0</v>
      </c>
    </row>
    <row r="116" spans="1:7">
      <c r="A116" s="3" t="s">
        <v>26</v>
      </c>
      <c r="B116" s="3"/>
      <c r="C116" s="3"/>
      <c r="D116" s="3"/>
      <c r="E116" s="3"/>
      <c r="F116" s="3"/>
      <c r="G116" s="3"/>
    </row>
    <row r="118" spans="1:7">
      <c r="A118" s="1" t="s">
        <v>3842</v>
      </c>
      <c r="C118" t="s">
        <v>371</v>
      </c>
    </row>
    <row r="119" spans="1:7">
      <c r="A119" t="s">
        <v>3843</v>
      </c>
      <c r="C119" t="s">
        <v>3844</v>
      </c>
    </row>
    <row r="120" spans="1:7">
      <c r="A120" t="s">
        <v>3845</v>
      </c>
      <c r="C120" t="s">
        <v>3846</v>
      </c>
    </row>
    <row r="123" spans="1:7">
      <c r="A123" s="3" t="s">
        <v>11</v>
      </c>
      <c r="B123" s="3"/>
      <c r="C123" s="3"/>
      <c r="D123" s="3"/>
      <c r="E123" s="3"/>
      <c r="F123" s="3"/>
      <c r="G123" s="3"/>
    </row>
    <row r="124" spans="1:7">
      <c r="A124" s="1"/>
    </row>
    <row r="125" spans="1:7">
      <c r="A125" s="1" t="s">
        <v>3847</v>
      </c>
      <c r="B125" s="1" t="s">
        <v>3848</v>
      </c>
      <c r="C125" s="1" t="s">
        <v>3849</v>
      </c>
      <c r="D125" s="1" t="s">
        <v>3850</v>
      </c>
    </row>
    <row r="126" spans="1:7">
      <c r="A126" t="s">
        <v>3851</v>
      </c>
      <c r="B126" s="8">
        <v>0.12</v>
      </c>
      <c r="C126" s="8">
        <v>0.1</v>
      </c>
      <c r="D126" s="8">
        <v>0.08</v>
      </c>
    </row>
    <row r="127" spans="1:7">
      <c r="A127" t="s">
        <v>220</v>
      </c>
      <c r="B127" s="8">
        <v>0.1</v>
      </c>
      <c r="C127" s="8">
        <v>0.08</v>
      </c>
      <c r="D127" s="8">
        <v>0.06</v>
      </c>
    </row>
    <row r="128" spans="1:7">
      <c r="A128" s="1"/>
    </row>
    <row r="131" spans="1:7">
      <c r="A131" s="1" t="s">
        <v>154</v>
      </c>
      <c r="B131" s="311" t="s">
        <v>3852</v>
      </c>
      <c r="C131" s="1" t="s">
        <v>3853</v>
      </c>
      <c r="D131" s="1" t="s">
        <v>130</v>
      </c>
      <c r="E131" t="s">
        <v>3854</v>
      </c>
      <c r="F131" s="1" t="s">
        <v>3855</v>
      </c>
      <c r="G131" s="1" t="s">
        <v>3856</v>
      </c>
    </row>
    <row r="132" spans="1:7">
      <c r="A132" t="s">
        <v>3857</v>
      </c>
      <c r="B132" s="8" t="b">
        <v>1</v>
      </c>
      <c r="C132" t="s">
        <v>2092</v>
      </c>
      <c r="D132" t="s">
        <v>3858</v>
      </c>
      <c r="E132" t="s">
        <v>3859</v>
      </c>
      <c r="F132" t="s">
        <v>3860</v>
      </c>
      <c r="G132" t="b">
        <v>0</v>
      </c>
    </row>
    <row r="133" spans="1:7">
      <c r="A133" t="s">
        <v>3861</v>
      </c>
      <c r="B133" s="8" t="b">
        <v>1</v>
      </c>
      <c r="C133" t="s">
        <v>152</v>
      </c>
      <c r="D133" t="s">
        <v>3862</v>
      </c>
      <c r="E133" t="s">
        <v>3863</v>
      </c>
      <c r="F133" t="s">
        <v>3864</v>
      </c>
      <c r="G133" t="b">
        <v>1</v>
      </c>
    </row>
    <row r="134" spans="1:7">
      <c r="A134" t="s">
        <v>3865</v>
      </c>
      <c r="B134" s="8" t="b">
        <v>0</v>
      </c>
      <c r="C134" t="s">
        <v>2124</v>
      </c>
      <c r="D134" t="s">
        <v>3866</v>
      </c>
      <c r="E134" t="s">
        <v>3867</v>
      </c>
    </row>
    <row r="135" spans="1:7">
      <c r="A135" t="s">
        <v>3868</v>
      </c>
      <c r="B135" s="8" t="b">
        <v>0</v>
      </c>
      <c r="C135" t="s">
        <v>178</v>
      </c>
    </row>
    <row r="136" spans="1:7">
      <c r="A136" t="s">
        <v>3869</v>
      </c>
      <c r="B136" s="8" t="b">
        <v>0</v>
      </c>
      <c r="C136" t="s">
        <v>2127</v>
      </c>
      <c r="D136" s="8"/>
    </row>
    <row r="137" spans="1:7">
      <c r="A137" t="s">
        <v>3870</v>
      </c>
      <c r="B137" s="461" t="b">
        <v>0</v>
      </c>
      <c r="C137" t="s">
        <v>3871</v>
      </c>
      <c r="D137" s="479" t="s">
        <v>3872</v>
      </c>
      <c r="E137" s="479" t="s">
        <v>3873</v>
      </c>
    </row>
    <row r="138" spans="1:7">
      <c r="A138" t="s">
        <v>3874</v>
      </c>
      <c r="B138" s="461" t="b">
        <v>0</v>
      </c>
      <c r="C138" t="s">
        <v>2130</v>
      </c>
      <c r="D138" s="476" t="s">
        <v>3875</v>
      </c>
      <c r="E138" s="476" t="s">
        <v>3876</v>
      </c>
    </row>
    <row r="139" spans="1:7">
      <c r="A139" t="s">
        <v>3877</v>
      </c>
      <c r="B139" s="461" t="b">
        <v>0</v>
      </c>
      <c r="C139" t="s">
        <v>2132</v>
      </c>
      <c r="D139" s="477" t="s">
        <v>3878</v>
      </c>
      <c r="E139" s="477" t="s">
        <v>3879</v>
      </c>
    </row>
    <row r="140" spans="1:7">
      <c r="A140" t="s">
        <v>3880</v>
      </c>
      <c r="B140" s="461" t="b">
        <v>0</v>
      </c>
      <c r="C140" t="s">
        <v>2134</v>
      </c>
      <c r="D140" s="476" t="s">
        <v>3881</v>
      </c>
      <c r="E140" s="476" t="s">
        <v>3867</v>
      </c>
    </row>
    <row r="141" spans="1:7">
      <c r="A141" t="s">
        <v>3882</v>
      </c>
      <c r="B141" s="461" t="b">
        <v>0</v>
      </c>
      <c r="C141" t="s">
        <v>186</v>
      </c>
      <c r="D141" s="477" t="s">
        <v>3883</v>
      </c>
    </row>
    <row r="142" spans="1:7">
      <c r="A142" t="s">
        <v>3884</v>
      </c>
      <c r="B142" s="461" t="b">
        <v>0</v>
      </c>
      <c r="C142" t="s">
        <v>188</v>
      </c>
      <c r="D142" s="476" t="s">
        <v>3885</v>
      </c>
    </row>
    <row r="143" spans="1:7">
      <c r="B143" s="461"/>
      <c r="C143" t="s">
        <v>2137</v>
      </c>
      <c r="D143" s="477" t="s">
        <v>3867</v>
      </c>
    </row>
    <row r="144" spans="1:7">
      <c r="B144" s="461"/>
      <c r="C144" t="s">
        <v>2092</v>
      </c>
    </row>
    <row r="145" spans="1:7">
      <c r="B145" s="461"/>
      <c r="C145" t="s">
        <v>191</v>
      </c>
    </row>
    <row r="146" spans="1:7">
      <c r="A146" t="s">
        <v>3886</v>
      </c>
    </row>
    <row r="147" spans="1:7">
      <c r="A147" t="s">
        <v>2150</v>
      </c>
    </row>
    <row r="148" spans="1:7">
      <c r="A148" t="s">
        <v>3887</v>
      </c>
    </row>
    <row r="152" spans="1:7">
      <c r="A152" s="3" t="s">
        <v>69</v>
      </c>
      <c r="B152" s="3"/>
      <c r="C152" s="3"/>
      <c r="D152" s="3"/>
      <c r="E152" s="3"/>
      <c r="F152" s="3"/>
      <c r="G152" s="3"/>
    </row>
    <row r="154" spans="1:7">
      <c r="A154" s="1" t="s">
        <v>3888</v>
      </c>
      <c r="C154" t="s">
        <v>3889</v>
      </c>
      <c r="E154" t="s">
        <v>580</v>
      </c>
    </row>
    <row r="155" spans="1:7">
      <c r="A155" t="s">
        <v>3890</v>
      </c>
      <c r="C155" t="s">
        <v>3891</v>
      </c>
      <c r="E155" t="s">
        <v>3892</v>
      </c>
    </row>
    <row r="156" spans="1:7">
      <c r="A156" t="s">
        <v>3893</v>
      </c>
      <c r="C156" t="s">
        <v>3894</v>
      </c>
      <c r="E156" t="s">
        <v>3895</v>
      </c>
    </row>
    <row r="157" spans="1:7">
      <c r="C157" t="s">
        <v>3896</v>
      </c>
      <c r="E157" t="s">
        <v>3728</v>
      </c>
    </row>
    <row r="158" spans="1:7">
      <c r="C158" t="s">
        <v>3897</v>
      </c>
    </row>
    <row r="159" spans="1:7">
      <c r="A159" s="1"/>
    </row>
    <row r="160" spans="1:7">
      <c r="A160" s="3" t="s">
        <v>3898</v>
      </c>
      <c r="B160" s="3"/>
      <c r="C160" s="3"/>
      <c r="D160" s="3"/>
      <c r="E160" s="3"/>
      <c r="F160" s="3"/>
      <c r="G160" s="3"/>
    </row>
    <row r="161" spans="1:5">
      <c r="A161" s="1"/>
    </row>
    <row r="162" spans="1:5">
      <c r="A162" t="s">
        <v>3899</v>
      </c>
      <c r="B162" t="s">
        <v>2835</v>
      </c>
      <c r="D162" t="s">
        <v>432</v>
      </c>
      <c r="E162" t="s">
        <v>2835</v>
      </c>
    </row>
    <row r="163" spans="1:5">
      <c r="A163" t="b">
        <v>1</v>
      </c>
      <c r="B163" t="s">
        <v>3900</v>
      </c>
      <c r="D163" t="b">
        <v>1</v>
      </c>
      <c r="E163" t="s">
        <v>3901</v>
      </c>
    </row>
    <row r="164" spans="1:5">
      <c r="A164" t="b">
        <v>0</v>
      </c>
      <c r="B164" t="s">
        <v>3902</v>
      </c>
      <c r="D164" t="b">
        <v>0</v>
      </c>
      <c r="E164" t="s">
        <v>3903</v>
      </c>
    </row>
    <row r="167" spans="1:5">
      <c r="A167" s="1" t="s">
        <v>3904</v>
      </c>
      <c r="B167" t="s">
        <v>2835</v>
      </c>
      <c r="D167" t="s">
        <v>3905</v>
      </c>
      <c r="E167" t="s">
        <v>2835</v>
      </c>
    </row>
    <row r="168" spans="1:5">
      <c r="A168" t="b">
        <v>1</v>
      </c>
      <c r="B168" t="s">
        <v>3906</v>
      </c>
      <c r="D168" t="b">
        <v>1</v>
      </c>
      <c r="E168" s="123" t="s">
        <v>4102</v>
      </c>
    </row>
    <row r="169" spans="1:5">
      <c r="A169" s="1" t="b">
        <v>0</v>
      </c>
      <c r="B169" t="s">
        <v>3907</v>
      </c>
      <c r="D169" t="b">
        <v>0</v>
      </c>
      <c r="E169" s="123" t="s">
        <v>4103</v>
      </c>
    </row>
    <row r="172" spans="1:5">
      <c r="A172" t="s">
        <v>3908</v>
      </c>
      <c r="B172" t="s">
        <v>2835</v>
      </c>
      <c r="D172" t="s">
        <v>913</v>
      </c>
      <c r="E172" t="s">
        <v>2835</v>
      </c>
    </row>
    <row r="173" spans="1:5">
      <c r="A173" t="b">
        <v>1</v>
      </c>
      <c r="B173" t="s">
        <v>3909</v>
      </c>
      <c r="D173" t="b">
        <v>1</v>
      </c>
      <c r="E173" t="s">
        <v>3910</v>
      </c>
    </row>
    <row r="174" spans="1:5">
      <c r="A174" t="b">
        <v>0</v>
      </c>
      <c r="B174" t="s">
        <v>3911</v>
      </c>
      <c r="D174" t="b">
        <v>0</v>
      </c>
      <c r="E174" t="s">
        <v>3912</v>
      </c>
    </row>
    <row r="177" spans="1:7">
      <c r="A177" t="s">
        <v>3913</v>
      </c>
      <c r="B177" t="s">
        <v>2835</v>
      </c>
      <c r="D177" t="s">
        <v>3914</v>
      </c>
      <c r="E177" t="s">
        <v>2835</v>
      </c>
    </row>
    <row r="178" spans="1:7">
      <c r="A178" t="b">
        <v>1</v>
      </c>
      <c r="B178" t="s">
        <v>3915</v>
      </c>
      <c r="D178" t="b">
        <v>1</v>
      </c>
      <c r="E178" t="s">
        <v>3916</v>
      </c>
    </row>
    <row r="179" spans="1:7">
      <c r="A179" t="b">
        <v>0</v>
      </c>
      <c r="B179" t="s">
        <v>3917</v>
      </c>
      <c r="D179" t="b">
        <v>0</v>
      </c>
      <c r="E179" t="s">
        <v>3918</v>
      </c>
    </row>
    <row r="182" spans="1:7">
      <c r="A182" t="s">
        <v>3919</v>
      </c>
      <c r="B182" t="s">
        <v>2835</v>
      </c>
      <c r="D182" t="s">
        <v>3920</v>
      </c>
      <c r="E182" t="s">
        <v>2835</v>
      </c>
    </row>
    <row r="183" spans="1:7">
      <c r="A183" t="b">
        <v>1</v>
      </c>
      <c r="B183" t="s">
        <v>1352</v>
      </c>
      <c r="D183" t="b">
        <v>1</v>
      </c>
      <c r="E183" s="281" t="s">
        <v>1353</v>
      </c>
    </row>
    <row r="184" spans="1:7">
      <c r="A184" t="b">
        <v>0</v>
      </c>
      <c r="B184" t="s">
        <v>3921</v>
      </c>
      <c r="D184" t="b">
        <v>0</v>
      </c>
      <c r="E184" s="282" t="s">
        <v>3922</v>
      </c>
    </row>
    <row r="187" spans="1:7">
      <c r="A187" t="s">
        <v>3923</v>
      </c>
      <c r="B187" t="s">
        <v>2835</v>
      </c>
      <c r="D187" s="630" t="s">
        <v>2570</v>
      </c>
      <c r="E187" s="631" t="s">
        <v>2835</v>
      </c>
    </row>
    <row r="188" spans="1:7">
      <c r="A188" t="b">
        <v>1</v>
      </c>
      <c r="B188" s="281" t="s">
        <v>3924</v>
      </c>
      <c r="D188" s="476" t="b">
        <v>1</v>
      </c>
      <c r="E188" s="281" t="s">
        <v>3925</v>
      </c>
    </row>
    <row r="189" spans="1:7">
      <c r="A189" t="b">
        <v>0</v>
      </c>
      <c r="B189" s="282" t="s">
        <v>3926</v>
      </c>
      <c r="D189" t="b">
        <v>0</v>
      </c>
      <c r="E189" t="s">
        <v>1083</v>
      </c>
    </row>
    <row r="191" spans="1:7">
      <c r="A191" s="3" t="s">
        <v>3927</v>
      </c>
      <c r="B191" s="3"/>
      <c r="C191" s="3"/>
      <c r="D191" s="3"/>
      <c r="E191" s="3"/>
      <c r="F191" s="3"/>
      <c r="G191" s="3"/>
    </row>
    <row r="193" spans="1:3">
      <c r="A193" s="479" t="s">
        <v>3928</v>
      </c>
      <c r="B193" s="479" t="s">
        <v>3929</v>
      </c>
      <c r="C193" s="18"/>
    </row>
    <row r="194" spans="1:3">
      <c r="A194" s="476" t="s">
        <v>3930</v>
      </c>
      <c r="B194" s="476" t="s">
        <v>3931</v>
      </c>
      <c r="C194" s="18"/>
    </row>
    <row r="195" spans="1:3">
      <c r="A195" s="477" t="s">
        <v>3932</v>
      </c>
      <c r="B195" s="477" t="s">
        <v>3933</v>
      </c>
    </row>
    <row r="196" spans="1:3">
      <c r="A196" s="476" t="s">
        <v>3934</v>
      </c>
      <c r="B196" s="476"/>
    </row>
    <row r="197" spans="1:3">
      <c r="A197" s="477" t="s">
        <v>3935</v>
      </c>
    </row>
    <row r="198" spans="1:3">
      <c r="A198" s="476" t="s">
        <v>3936</v>
      </c>
    </row>
    <row r="199" spans="1:3">
      <c r="A199" s="477" t="s">
        <v>3937</v>
      </c>
    </row>
    <row r="200" spans="1:3">
      <c r="A200" s="476" t="s">
        <v>3938</v>
      </c>
    </row>
    <row r="201" spans="1:3">
      <c r="A201" s="477" t="s">
        <v>3939</v>
      </c>
    </row>
    <row r="202" spans="1:3">
      <c r="A202" s="478"/>
    </row>
    <row r="203" spans="1:3">
      <c r="A203" s="412" t="s">
        <v>124</v>
      </c>
    </row>
    <row r="204" spans="1:3" ht="16.8">
      <c r="A204" s="414" t="s">
        <v>3940</v>
      </c>
    </row>
    <row r="205" spans="1:3" ht="16.8">
      <c r="A205" s="414" t="s">
        <v>3941</v>
      </c>
    </row>
    <row r="206" spans="1:3" ht="16.8">
      <c r="A206" s="414" t="s">
        <v>3942</v>
      </c>
    </row>
    <row r="207" spans="1:3" ht="16.8">
      <c r="A207" s="414" t="s">
        <v>3943</v>
      </c>
    </row>
    <row r="208" spans="1:3" ht="16.8">
      <c r="A208" s="414" t="s">
        <v>3944</v>
      </c>
    </row>
    <row r="209" spans="1:1" ht="16.8">
      <c r="A209" s="414" t="s">
        <v>1516</v>
      </c>
    </row>
    <row r="210" spans="1:1" ht="16.8">
      <c r="A210" s="414" t="s">
        <v>3945</v>
      </c>
    </row>
    <row r="211" spans="1:1" ht="16.8">
      <c r="A211" s="414" t="s">
        <v>3946</v>
      </c>
    </row>
    <row r="212" spans="1:1" ht="16.8">
      <c r="A212" s="414" t="s">
        <v>3947</v>
      </c>
    </row>
    <row r="213" spans="1:1" ht="16.8">
      <c r="A213" s="414" t="s">
        <v>3948</v>
      </c>
    </row>
    <row r="214" spans="1:1" ht="16.8">
      <c r="A214" s="414" t="s">
        <v>3949</v>
      </c>
    </row>
    <row r="215" spans="1:1" ht="16.8">
      <c r="A215" s="414" t="s">
        <v>3950</v>
      </c>
    </row>
    <row r="216" spans="1:1" ht="16.8">
      <c r="A216" s="414" t="s">
        <v>3951</v>
      </c>
    </row>
    <row r="217" spans="1:1" ht="16.8">
      <c r="A217" s="414" t="s">
        <v>3952</v>
      </c>
    </row>
    <row r="218" spans="1:1" ht="16.8">
      <c r="A218" s="414" t="s">
        <v>3953</v>
      </c>
    </row>
    <row r="219" spans="1:1" ht="16.8">
      <c r="A219" s="414" t="s">
        <v>3954</v>
      </c>
    </row>
    <row r="220" spans="1:1" ht="16.8">
      <c r="A220" s="414" t="s">
        <v>3955</v>
      </c>
    </row>
    <row r="221" spans="1:1" ht="16.8">
      <c r="A221" s="414" t="s">
        <v>3956</v>
      </c>
    </row>
    <row r="222" spans="1:1" ht="16.8">
      <c r="A222" s="414" t="s">
        <v>3957</v>
      </c>
    </row>
    <row r="223" spans="1:1" ht="16.8">
      <c r="A223" s="414" t="s">
        <v>3958</v>
      </c>
    </row>
    <row r="224" spans="1:1" ht="16.8">
      <c r="A224" s="414" t="s">
        <v>3959</v>
      </c>
    </row>
    <row r="225" spans="1:1" ht="16.8">
      <c r="A225" s="414" t="s">
        <v>3960</v>
      </c>
    </row>
    <row r="226" spans="1:1" ht="16.8">
      <c r="A226" s="414" t="s">
        <v>3961</v>
      </c>
    </row>
    <row r="227" spans="1:1" ht="16.8">
      <c r="A227" s="414" t="s">
        <v>3962</v>
      </c>
    </row>
    <row r="228" spans="1:1" ht="16.8">
      <c r="A228" s="414" t="s">
        <v>3963</v>
      </c>
    </row>
    <row r="229" spans="1:1" ht="16.8">
      <c r="A229" s="414" t="s">
        <v>3964</v>
      </c>
    </row>
    <row r="230" spans="1:1" ht="16.8">
      <c r="A230" s="414" t="s">
        <v>3965</v>
      </c>
    </row>
    <row r="231" spans="1:1" ht="16.8">
      <c r="A231" s="414" t="s">
        <v>3966</v>
      </c>
    </row>
    <row r="232" spans="1:1" ht="16.8">
      <c r="A232" s="414" t="s">
        <v>3967</v>
      </c>
    </row>
    <row r="233" spans="1:1" ht="16.8">
      <c r="A233" s="414" t="s">
        <v>3968</v>
      </c>
    </row>
    <row r="234" spans="1:1" ht="16.8">
      <c r="A234" s="414" t="s">
        <v>3969</v>
      </c>
    </row>
    <row r="235" spans="1:1" ht="16.8">
      <c r="A235" s="414" t="s">
        <v>3970</v>
      </c>
    </row>
    <row r="236" spans="1:1" ht="16.8">
      <c r="A236" s="414" t="s">
        <v>3971</v>
      </c>
    </row>
    <row r="237" spans="1:1" ht="16.8">
      <c r="A237" s="414" t="s">
        <v>3972</v>
      </c>
    </row>
    <row r="238" spans="1:1" ht="16.8">
      <c r="A238" s="414" t="s">
        <v>3973</v>
      </c>
    </row>
    <row r="239" spans="1:1" ht="16.8">
      <c r="A239" s="414" t="s">
        <v>3974</v>
      </c>
    </row>
    <row r="240" spans="1:1" ht="16.8">
      <c r="A240" s="414" t="s">
        <v>3975</v>
      </c>
    </row>
    <row r="241" spans="1:1" ht="16.8">
      <c r="A241" s="414" t="s">
        <v>3976</v>
      </c>
    </row>
    <row r="242" spans="1:1" ht="16.8">
      <c r="A242" s="414" t="s">
        <v>3977</v>
      </c>
    </row>
    <row r="243" spans="1:1" ht="16.8">
      <c r="A243" s="414" t="s">
        <v>3978</v>
      </c>
    </row>
    <row r="244" spans="1:1" ht="16.8">
      <c r="A244" s="414" t="s">
        <v>3979</v>
      </c>
    </row>
    <row r="245" spans="1:1" ht="16.8">
      <c r="A245" s="414" t="s">
        <v>3980</v>
      </c>
    </row>
    <row r="246" spans="1:1" ht="16.8">
      <c r="A246" s="414" t="s">
        <v>3981</v>
      </c>
    </row>
    <row r="247" spans="1:1" ht="16.8">
      <c r="A247" s="414" t="s">
        <v>3982</v>
      </c>
    </row>
    <row r="248" spans="1:1" ht="16.8">
      <c r="A248" s="414" t="s">
        <v>3983</v>
      </c>
    </row>
    <row r="249" spans="1:1" ht="16.8">
      <c r="A249" s="414" t="s">
        <v>3984</v>
      </c>
    </row>
    <row r="250" spans="1:1" ht="16.8">
      <c r="A250" s="414" t="s">
        <v>3985</v>
      </c>
    </row>
    <row r="251" spans="1:1" ht="16.8">
      <c r="A251" s="414" t="s">
        <v>3986</v>
      </c>
    </row>
    <row r="252" spans="1:1" ht="16.8">
      <c r="A252" s="414" t="s">
        <v>3987</v>
      </c>
    </row>
    <row r="253" spans="1:1" ht="16.8">
      <c r="A253" s="414" t="s">
        <v>3988</v>
      </c>
    </row>
  </sheetData>
  <sheetProtection algorithmName="SHA-512" hashValue="NDeqHU/t4PwZB3DVByZGFV5B60G2NzXsvySimjWBhXJA4mVuC3YUygAzYjk+r9LVl09jcDxIb/z9qNW9ghlUMw==" saltValue="rqIvsAR2HtO29MEOjUjT1A==" spinCount="100000" sheet="1" objects="1" scenarios="1"/>
  <sortState xmlns:xlrd2="http://schemas.microsoft.com/office/spreadsheetml/2017/richdata2" ref="G46:G58">
    <sortCondition ref="G58"/>
  </sortState>
  <dataValidations count="2">
    <dataValidation type="list" allowBlank="1" showInputMessage="1" showErrorMessage="1" sqref="D137" xr:uid="{31C6A3A7-F976-4186-BD1C-3AA25BCDA000}">
      <formula1>$D$138:$D$143</formula1>
    </dataValidation>
    <dataValidation type="list" allowBlank="1" showInputMessage="1" showErrorMessage="1" sqref="E137" xr:uid="{2F484827-5D69-45F2-9DB2-3C1167C62CE7}">
      <formula1>$E$138:$E$140</formula1>
    </dataValidation>
  </dataValidations>
  <pageMargins left="0.7" right="0.7" top="0.75" bottom="0.75" header="0.3" footer="0.3"/>
  <pageSetup orientation="portrait" r:id="rId1"/>
  <tableParts count="4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FE1BE-5B4B-470F-A4D2-B554247C30EF}">
  <sheetPr codeName="Sheet28"/>
  <dimension ref="C2:BB65"/>
  <sheetViews>
    <sheetView workbookViewId="0"/>
  </sheetViews>
  <sheetFormatPr defaultRowHeight="14.4"/>
  <sheetData>
    <row r="2" spans="3:54">
      <c r="C2" s="14" t="s">
        <v>3989</v>
      </c>
      <c r="D2">
        <v>21</v>
      </c>
      <c r="E2" s="14" t="s">
        <v>3941</v>
      </c>
      <c r="F2">
        <v>1</v>
      </c>
      <c r="G2" s="14" t="s">
        <v>1116</v>
      </c>
      <c r="H2">
        <v>261</v>
      </c>
      <c r="I2" s="14" t="s">
        <v>3748</v>
      </c>
      <c r="J2">
        <v>5</v>
      </c>
      <c r="K2" s="14" t="s">
        <v>323</v>
      </c>
      <c r="L2">
        <v>5</v>
      </c>
      <c r="M2" s="14" t="s">
        <v>3990</v>
      </c>
      <c r="N2">
        <v>6</v>
      </c>
      <c r="O2" s="14" t="s">
        <v>3765</v>
      </c>
      <c r="P2">
        <v>5</v>
      </c>
      <c r="Q2" s="14" t="s">
        <v>3725</v>
      </c>
      <c r="R2">
        <v>19</v>
      </c>
      <c r="S2" s="14" t="s">
        <v>321</v>
      </c>
      <c r="T2">
        <v>21</v>
      </c>
      <c r="U2" s="14" t="s">
        <v>3742</v>
      </c>
      <c r="V2">
        <v>168</v>
      </c>
      <c r="W2" s="14" t="s">
        <v>3724</v>
      </c>
      <c r="X2">
        <v>52</v>
      </c>
      <c r="Y2" s="14" t="s">
        <v>3768</v>
      </c>
      <c r="Z2">
        <v>55</v>
      </c>
      <c r="AA2" s="14" t="s">
        <v>3783</v>
      </c>
      <c r="AB2">
        <v>61</v>
      </c>
      <c r="AC2" s="14" t="s">
        <v>1660</v>
      </c>
      <c r="AD2">
        <v>64</v>
      </c>
      <c r="AE2" s="14" t="s">
        <v>3763</v>
      </c>
      <c r="AF2">
        <v>82</v>
      </c>
      <c r="AG2" s="14" t="s">
        <v>3768</v>
      </c>
      <c r="AH2">
        <v>100</v>
      </c>
      <c r="AI2" s="14" t="s">
        <v>3783</v>
      </c>
      <c r="AJ2">
        <v>117</v>
      </c>
      <c r="AK2" s="14" t="s">
        <v>577</v>
      </c>
      <c r="AL2">
        <v>126</v>
      </c>
      <c r="AM2" s="14" t="s">
        <v>3764</v>
      </c>
      <c r="AN2">
        <v>129</v>
      </c>
      <c r="AO2" s="14" t="s">
        <v>3789</v>
      </c>
      <c r="AP2">
        <v>134</v>
      </c>
      <c r="AQ2" s="14" t="s">
        <v>3843</v>
      </c>
      <c r="AR2">
        <v>1</v>
      </c>
      <c r="AS2" s="14" t="s">
        <v>852</v>
      </c>
      <c r="AT2">
        <v>-1</v>
      </c>
      <c r="AU2" s="14" t="s">
        <v>3991</v>
      </c>
      <c r="AV2">
        <v>11</v>
      </c>
      <c r="AW2" s="14" t="s">
        <v>3809</v>
      </c>
      <c r="AX2">
        <v>6</v>
      </c>
      <c r="AY2" s="14" t="s">
        <v>2121</v>
      </c>
      <c r="AZ2">
        <v>1</v>
      </c>
      <c r="BA2" s="14" t="s">
        <v>2124</v>
      </c>
      <c r="BB2">
        <v>29</v>
      </c>
    </row>
    <row r="3" spans="3:54">
      <c r="C3" s="14" t="s">
        <v>3992</v>
      </c>
      <c r="D3">
        <v>20</v>
      </c>
      <c r="E3" s="14" t="s">
        <v>3940</v>
      </c>
      <c r="F3">
        <v>2</v>
      </c>
      <c r="G3" s="14" t="s">
        <v>1117</v>
      </c>
      <c r="H3">
        <v>198</v>
      </c>
      <c r="I3" s="14" t="s">
        <v>3749</v>
      </c>
      <c r="J3">
        <v>3</v>
      </c>
      <c r="K3" s="14" t="s">
        <v>3993</v>
      </c>
      <c r="L3">
        <v>6</v>
      </c>
      <c r="M3" s="14" t="s">
        <v>3994</v>
      </c>
      <c r="N3">
        <v>7</v>
      </c>
      <c r="O3" s="14" t="s">
        <v>3775</v>
      </c>
      <c r="P3">
        <v>6</v>
      </c>
      <c r="Q3" s="14" t="s">
        <v>3995</v>
      </c>
      <c r="R3">
        <v>11</v>
      </c>
      <c r="S3" s="14" t="s">
        <v>3996</v>
      </c>
      <c r="T3">
        <v>22</v>
      </c>
      <c r="U3" s="14" t="s">
        <v>3737</v>
      </c>
      <c r="V3">
        <v>169</v>
      </c>
      <c r="W3" s="14" t="s">
        <v>3726</v>
      </c>
      <c r="X3">
        <v>53</v>
      </c>
      <c r="Y3" s="14" t="s">
        <v>3786</v>
      </c>
      <c r="Z3">
        <v>57</v>
      </c>
      <c r="AA3" s="14" t="s">
        <v>3787</v>
      </c>
      <c r="AB3">
        <v>62</v>
      </c>
      <c r="AC3" s="14" t="s">
        <v>3788</v>
      </c>
      <c r="AD3">
        <v>65</v>
      </c>
      <c r="AE3" s="14" t="s">
        <v>3777</v>
      </c>
      <c r="AF3">
        <v>83</v>
      </c>
      <c r="AG3" s="14" t="s">
        <v>3786</v>
      </c>
      <c r="AH3">
        <v>101</v>
      </c>
      <c r="AI3" s="14" t="s">
        <v>3787</v>
      </c>
      <c r="AJ3">
        <v>118</v>
      </c>
      <c r="AK3" s="14" t="s">
        <v>3768</v>
      </c>
      <c r="AL3">
        <v>127</v>
      </c>
      <c r="AM3" s="14" t="s">
        <v>3769</v>
      </c>
      <c r="AN3">
        <v>130</v>
      </c>
      <c r="AO3" s="14" t="s">
        <v>3793</v>
      </c>
      <c r="AP3">
        <v>135</v>
      </c>
      <c r="AQ3" s="14" t="s">
        <v>3997</v>
      </c>
      <c r="AR3">
        <v>2</v>
      </c>
      <c r="AS3" s="14" t="s">
        <v>124</v>
      </c>
      <c r="AT3">
        <v>-2</v>
      </c>
      <c r="AU3" s="14" t="s">
        <v>3998</v>
      </c>
      <c r="AV3">
        <v>5</v>
      </c>
      <c r="AW3" s="14" t="s">
        <v>3810</v>
      </c>
      <c r="AX3">
        <v>50</v>
      </c>
      <c r="AY3" s="14" t="s">
        <v>3999</v>
      </c>
      <c r="AZ3">
        <v>2</v>
      </c>
      <c r="BA3" s="14" t="s">
        <v>4132</v>
      </c>
      <c r="BB3">
        <v>40</v>
      </c>
    </row>
    <row r="4" spans="3:54">
      <c r="C4" s="14" t="s">
        <v>4030</v>
      </c>
      <c r="D4">
        <v>17</v>
      </c>
      <c r="E4" s="14" t="s">
        <v>3943</v>
      </c>
      <c r="F4">
        <v>3</v>
      </c>
      <c r="G4" s="14" t="s">
        <v>1118</v>
      </c>
      <c r="H4">
        <v>199</v>
      </c>
      <c r="I4" s="14" t="s">
        <v>3751</v>
      </c>
      <c r="J4">
        <v>4</v>
      </c>
      <c r="K4" s="14" t="s">
        <v>4002</v>
      </c>
      <c r="L4">
        <v>7</v>
      </c>
      <c r="M4" s="14" t="s">
        <v>4003</v>
      </c>
      <c r="N4">
        <v>8</v>
      </c>
      <c r="O4" s="14" t="s">
        <v>3770</v>
      </c>
      <c r="P4">
        <v>7</v>
      </c>
      <c r="Q4" s="14" t="s">
        <v>3727</v>
      </c>
      <c r="R4">
        <v>20</v>
      </c>
      <c r="S4" s="14" t="s">
        <v>4004</v>
      </c>
      <c r="T4">
        <v>23</v>
      </c>
      <c r="W4" s="14" t="s">
        <v>3728</v>
      </c>
      <c r="X4">
        <v>94</v>
      </c>
      <c r="Y4" s="14" t="s">
        <v>3791</v>
      </c>
      <c r="Z4">
        <v>98</v>
      </c>
      <c r="AA4" s="14" t="s">
        <v>3792</v>
      </c>
      <c r="AB4">
        <v>125</v>
      </c>
      <c r="AC4" s="14" t="s">
        <v>3728</v>
      </c>
      <c r="AD4">
        <v>66</v>
      </c>
      <c r="AE4" s="14" t="s">
        <v>3779</v>
      </c>
      <c r="AF4">
        <v>84</v>
      </c>
      <c r="AG4" s="14" t="s">
        <v>3791</v>
      </c>
      <c r="AH4">
        <v>102</v>
      </c>
      <c r="AI4" s="14" t="s">
        <v>3792</v>
      </c>
      <c r="AJ4">
        <v>122</v>
      </c>
      <c r="AK4" s="14" t="s">
        <v>3773</v>
      </c>
      <c r="AL4">
        <v>128</v>
      </c>
      <c r="AM4" s="14" t="s">
        <v>3774</v>
      </c>
      <c r="AN4">
        <v>131</v>
      </c>
      <c r="AO4" s="14" t="s">
        <v>3799</v>
      </c>
      <c r="AP4">
        <v>136</v>
      </c>
      <c r="AQ4" s="14" t="s">
        <v>1093</v>
      </c>
      <c r="AR4">
        <v>3</v>
      </c>
      <c r="AU4" s="14" t="s">
        <v>4005</v>
      </c>
      <c r="AV4">
        <v>6</v>
      </c>
      <c r="AW4" s="14" t="s">
        <v>3811</v>
      </c>
      <c r="AX4">
        <v>41</v>
      </c>
      <c r="BA4" s="14" t="s">
        <v>4000</v>
      </c>
      <c r="BB4">
        <v>33</v>
      </c>
    </row>
    <row r="5" spans="3:54">
      <c r="C5" s="14" t="s">
        <v>4001</v>
      </c>
      <c r="D5">
        <v>22</v>
      </c>
      <c r="E5" s="14" t="s">
        <v>3942</v>
      </c>
      <c r="F5">
        <v>4</v>
      </c>
      <c r="G5" s="14" t="s">
        <v>1119</v>
      </c>
      <c r="H5">
        <v>200</v>
      </c>
      <c r="I5" s="14" t="s">
        <v>3750</v>
      </c>
      <c r="J5">
        <v>6</v>
      </c>
      <c r="K5" s="14" t="s">
        <v>2644</v>
      </c>
      <c r="L5">
        <v>8</v>
      </c>
      <c r="M5" s="14" t="s">
        <v>4007</v>
      </c>
      <c r="N5">
        <v>9</v>
      </c>
      <c r="O5" s="14" t="s">
        <v>4008</v>
      </c>
      <c r="P5">
        <v>8</v>
      </c>
      <c r="Q5" s="14" t="s">
        <v>3729</v>
      </c>
      <c r="R5">
        <v>12</v>
      </c>
      <c r="S5" s="14" t="s">
        <v>4009</v>
      </c>
      <c r="T5">
        <v>24</v>
      </c>
      <c r="Y5" s="14" t="s">
        <v>3795</v>
      </c>
      <c r="Z5">
        <v>99</v>
      </c>
      <c r="AC5" s="14" t="s">
        <v>2644</v>
      </c>
      <c r="AD5">
        <v>67</v>
      </c>
      <c r="AE5" s="14" t="s">
        <v>3781</v>
      </c>
      <c r="AF5">
        <v>85</v>
      </c>
      <c r="AG5" s="14" t="s">
        <v>3795</v>
      </c>
      <c r="AH5">
        <v>103</v>
      </c>
      <c r="AM5" s="14" t="s">
        <v>3778</v>
      </c>
      <c r="AN5">
        <v>132</v>
      </c>
      <c r="AO5" s="14" t="s">
        <v>3803</v>
      </c>
      <c r="AP5">
        <v>137</v>
      </c>
      <c r="AU5" s="14" t="s">
        <v>4010</v>
      </c>
      <c r="AV5">
        <v>7</v>
      </c>
      <c r="AW5" s="14" t="s">
        <v>3812</v>
      </c>
      <c r="AX5">
        <v>7</v>
      </c>
      <c r="BA5" s="14" t="s">
        <v>4006</v>
      </c>
      <c r="BB5">
        <v>-1</v>
      </c>
    </row>
    <row r="6" spans="3:54">
      <c r="C6" s="14" t="s">
        <v>2346</v>
      </c>
      <c r="D6">
        <v>10</v>
      </c>
      <c r="E6" s="14" t="s">
        <v>3944</v>
      </c>
      <c r="F6">
        <v>5</v>
      </c>
      <c r="G6" s="14" t="s">
        <v>1120</v>
      </c>
      <c r="H6">
        <v>201</v>
      </c>
      <c r="K6" s="14" t="s">
        <v>325</v>
      </c>
      <c r="L6">
        <v>11</v>
      </c>
      <c r="M6" s="14" t="s">
        <v>4012</v>
      </c>
      <c r="N6">
        <v>10</v>
      </c>
      <c r="Q6" s="14" t="s">
        <v>4013</v>
      </c>
      <c r="R6">
        <v>13</v>
      </c>
      <c r="S6" s="14" t="s">
        <v>4014</v>
      </c>
      <c r="T6">
        <v>25</v>
      </c>
      <c r="Y6" s="14" t="s">
        <v>3797</v>
      </c>
      <c r="Z6">
        <v>54</v>
      </c>
      <c r="AC6" s="14" t="s">
        <v>3798</v>
      </c>
      <c r="AD6">
        <v>68</v>
      </c>
      <c r="AE6" s="14" t="s">
        <v>3782</v>
      </c>
      <c r="AF6">
        <v>86</v>
      </c>
      <c r="AG6" s="14" t="s">
        <v>3797</v>
      </c>
      <c r="AH6">
        <v>104</v>
      </c>
      <c r="AM6" s="14" t="s">
        <v>3780</v>
      </c>
      <c r="AN6">
        <v>133</v>
      </c>
      <c r="AO6" s="14" t="s">
        <v>3784</v>
      </c>
      <c r="AP6">
        <v>138</v>
      </c>
      <c r="AU6" s="14" t="s">
        <v>4015</v>
      </c>
      <c r="AV6">
        <v>8</v>
      </c>
      <c r="AW6" s="14" t="s">
        <v>3813</v>
      </c>
      <c r="AX6">
        <v>51</v>
      </c>
      <c r="BA6" s="14" t="s">
        <v>4011</v>
      </c>
      <c r="BB6">
        <v>7</v>
      </c>
    </row>
    <row r="7" spans="3:54">
      <c r="C7" s="14" t="s">
        <v>2347</v>
      </c>
      <c r="D7">
        <v>11</v>
      </c>
      <c r="E7" s="14" t="s">
        <v>1516</v>
      </c>
      <c r="F7">
        <v>6</v>
      </c>
      <c r="G7" s="14" t="s">
        <v>1121</v>
      </c>
      <c r="H7">
        <v>202</v>
      </c>
      <c r="K7" s="14" t="s">
        <v>4016</v>
      </c>
      <c r="L7">
        <v>12</v>
      </c>
      <c r="Q7" s="14" t="s">
        <v>329</v>
      </c>
      <c r="R7">
        <v>14</v>
      </c>
      <c r="S7" s="14" t="s">
        <v>4017</v>
      </c>
      <c r="T7">
        <v>26</v>
      </c>
      <c r="Y7" s="14" t="s">
        <v>3801</v>
      </c>
      <c r="Z7">
        <v>56</v>
      </c>
      <c r="AC7" s="14" t="s">
        <v>3802</v>
      </c>
      <c r="AD7">
        <v>69</v>
      </c>
      <c r="AE7" s="14" t="s">
        <v>3785</v>
      </c>
      <c r="AF7">
        <v>87</v>
      </c>
      <c r="AG7" s="14" t="s">
        <v>3801</v>
      </c>
      <c r="AH7">
        <v>105</v>
      </c>
      <c r="AO7" s="14" t="s">
        <v>2644</v>
      </c>
      <c r="AP7">
        <v>139</v>
      </c>
      <c r="AU7" s="14" t="s">
        <v>4018</v>
      </c>
      <c r="AV7">
        <v>12</v>
      </c>
      <c r="AW7" s="14" t="s">
        <v>3814</v>
      </c>
      <c r="AX7">
        <v>42</v>
      </c>
      <c r="BA7" s="14" t="s">
        <v>190</v>
      </c>
      <c r="BB7">
        <v>37</v>
      </c>
    </row>
    <row r="8" spans="3:54">
      <c r="C8" s="14" t="s">
        <v>2348</v>
      </c>
      <c r="D8">
        <v>12</v>
      </c>
      <c r="E8" s="14" t="s">
        <v>3945</v>
      </c>
      <c r="F8">
        <v>7</v>
      </c>
      <c r="G8" s="14" t="s">
        <v>1122</v>
      </c>
      <c r="H8">
        <v>203</v>
      </c>
      <c r="K8" s="14" t="s">
        <v>321</v>
      </c>
      <c r="L8">
        <v>13</v>
      </c>
      <c r="Q8" s="14" t="s">
        <v>4020</v>
      </c>
      <c r="R8">
        <v>15</v>
      </c>
      <c r="S8" s="14" t="s">
        <v>4021</v>
      </c>
      <c r="T8">
        <v>27</v>
      </c>
      <c r="Y8" s="14" t="s">
        <v>3805</v>
      </c>
      <c r="Z8">
        <v>58</v>
      </c>
      <c r="AE8" s="14" t="s">
        <v>3790</v>
      </c>
      <c r="AF8">
        <v>88</v>
      </c>
      <c r="AG8" s="14" t="s">
        <v>3805</v>
      </c>
      <c r="AH8">
        <v>106</v>
      </c>
      <c r="AU8" s="14" t="s">
        <v>4022</v>
      </c>
      <c r="AV8">
        <v>13</v>
      </c>
      <c r="AW8" s="14" t="s">
        <v>3815</v>
      </c>
      <c r="AX8">
        <v>12</v>
      </c>
      <c r="BA8" s="14" t="s">
        <v>4019</v>
      </c>
      <c r="BB8">
        <v>8</v>
      </c>
    </row>
    <row r="9" spans="3:54">
      <c r="C9" s="14" t="s">
        <v>2349</v>
      </c>
      <c r="D9">
        <v>13</v>
      </c>
      <c r="E9" s="14" t="s">
        <v>4023</v>
      </c>
      <c r="F9">
        <v>8</v>
      </c>
      <c r="G9" s="14" t="s">
        <v>1123</v>
      </c>
      <c r="H9">
        <v>204</v>
      </c>
      <c r="K9" s="14" t="s">
        <v>885</v>
      </c>
      <c r="L9">
        <v>14</v>
      </c>
      <c r="Q9" s="14" t="s">
        <v>4024</v>
      </c>
      <c r="R9">
        <v>16</v>
      </c>
      <c r="S9" s="14" t="s">
        <v>4025</v>
      </c>
      <c r="T9">
        <v>28</v>
      </c>
      <c r="AE9" s="14" t="s">
        <v>3794</v>
      </c>
      <c r="AF9">
        <v>89</v>
      </c>
      <c r="AU9" s="14" t="s">
        <v>4139</v>
      </c>
      <c r="AV9">
        <v>14</v>
      </c>
      <c r="AW9" s="14" t="s">
        <v>3816</v>
      </c>
      <c r="AX9">
        <v>52</v>
      </c>
      <c r="BA9" s="14" t="s">
        <v>188</v>
      </c>
      <c r="BB9">
        <v>36</v>
      </c>
    </row>
    <row r="10" spans="3:54">
      <c r="C10" s="14" t="s">
        <v>2350</v>
      </c>
      <c r="D10">
        <v>14</v>
      </c>
      <c r="E10" s="14" t="s">
        <v>3946</v>
      </c>
      <c r="F10">
        <v>9</v>
      </c>
      <c r="G10" s="14" t="s">
        <v>1124</v>
      </c>
      <c r="H10">
        <v>205</v>
      </c>
      <c r="K10" s="14" t="s">
        <v>326</v>
      </c>
      <c r="L10">
        <v>15</v>
      </c>
      <c r="Q10" s="14" t="s">
        <v>3730</v>
      </c>
      <c r="R10">
        <v>17</v>
      </c>
      <c r="S10" s="14" t="s">
        <v>4027</v>
      </c>
      <c r="T10">
        <v>29</v>
      </c>
      <c r="AE10" s="14" t="s">
        <v>3796</v>
      </c>
      <c r="AF10">
        <v>90</v>
      </c>
      <c r="AU10" s="14" t="s">
        <v>4026</v>
      </c>
      <c r="AV10">
        <v>9</v>
      </c>
      <c r="AW10" s="14" t="s">
        <v>3817</v>
      </c>
      <c r="AX10">
        <v>43</v>
      </c>
      <c r="BA10" s="14" t="s">
        <v>2128</v>
      </c>
      <c r="BB10">
        <v>27</v>
      </c>
    </row>
    <row r="11" spans="3:54">
      <c r="C11" s="14" t="s">
        <v>2351</v>
      </c>
      <c r="D11">
        <v>15</v>
      </c>
      <c r="E11" s="14" t="s">
        <v>3947</v>
      </c>
      <c r="F11">
        <v>10</v>
      </c>
      <c r="G11" s="14" t="s">
        <v>1125</v>
      </c>
      <c r="H11">
        <v>206</v>
      </c>
      <c r="K11" s="14" t="s">
        <v>322</v>
      </c>
      <c r="L11">
        <v>17</v>
      </c>
      <c r="Q11" s="14" t="s">
        <v>880</v>
      </c>
      <c r="R11">
        <v>18</v>
      </c>
      <c r="S11" s="14" t="s">
        <v>4028</v>
      </c>
      <c r="T11">
        <v>30</v>
      </c>
      <c r="AE11" s="14" t="s">
        <v>3800</v>
      </c>
      <c r="AF11">
        <v>91</v>
      </c>
      <c r="AU11" s="14" t="s">
        <v>4140</v>
      </c>
      <c r="AV11">
        <v>15</v>
      </c>
      <c r="AW11" s="14" t="s">
        <v>3818</v>
      </c>
      <c r="AX11">
        <v>17</v>
      </c>
      <c r="BA11" s="14" t="s">
        <v>2137</v>
      </c>
      <c r="BB11">
        <v>28</v>
      </c>
    </row>
    <row r="12" spans="3:54">
      <c r="C12" s="14" t="s">
        <v>2352</v>
      </c>
      <c r="D12">
        <v>16</v>
      </c>
      <c r="E12" s="14" t="s">
        <v>3948</v>
      </c>
      <c r="F12">
        <v>11</v>
      </c>
      <c r="G12" s="14" t="s">
        <v>1126</v>
      </c>
      <c r="H12">
        <v>207</v>
      </c>
      <c r="K12" s="14" t="s">
        <v>4430</v>
      </c>
      <c r="L12">
        <v>18</v>
      </c>
      <c r="S12" s="14" t="s">
        <v>4029</v>
      </c>
      <c r="T12">
        <v>31</v>
      </c>
      <c r="AE12" s="14" t="s">
        <v>3804</v>
      </c>
      <c r="AF12">
        <v>92</v>
      </c>
      <c r="AU12" s="14" t="s">
        <v>4141</v>
      </c>
      <c r="AV12">
        <v>16</v>
      </c>
      <c r="AW12" s="14" t="s">
        <v>3820</v>
      </c>
      <c r="AX12">
        <v>44</v>
      </c>
      <c r="BA12" s="14" t="s">
        <v>178</v>
      </c>
      <c r="BB12">
        <v>9</v>
      </c>
    </row>
    <row r="13" spans="3:54">
      <c r="C13" s="14" t="s">
        <v>2353</v>
      </c>
      <c r="D13">
        <v>19</v>
      </c>
      <c r="E13" s="14" t="s">
        <v>3949</v>
      </c>
      <c r="F13">
        <v>12</v>
      </c>
      <c r="G13" s="14" t="s">
        <v>1127</v>
      </c>
      <c r="H13">
        <v>208</v>
      </c>
      <c r="S13" s="14" t="s">
        <v>4031</v>
      </c>
      <c r="T13">
        <v>32</v>
      </c>
      <c r="AE13" s="14" t="s">
        <v>4425</v>
      </c>
      <c r="AF13">
        <v>93</v>
      </c>
      <c r="AU13" s="14" t="s">
        <v>4142</v>
      </c>
      <c r="AV13">
        <v>17</v>
      </c>
      <c r="AW13" s="14" t="s">
        <v>3819</v>
      </c>
      <c r="AX13">
        <v>53</v>
      </c>
      <c r="BA13" s="14" t="s">
        <v>191</v>
      </c>
      <c r="BB13">
        <v>34</v>
      </c>
    </row>
    <row r="14" spans="3:54">
      <c r="C14" s="14" t="s">
        <v>4076</v>
      </c>
      <c r="D14">
        <v>23</v>
      </c>
      <c r="E14" s="14" t="s">
        <v>3953</v>
      </c>
      <c r="F14">
        <v>13</v>
      </c>
      <c r="G14" s="14" t="s">
        <v>1128</v>
      </c>
      <c r="H14">
        <v>209</v>
      </c>
      <c r="S14" s="14" t="s">
        <v>4033</v>
      </c>
      <c r="T14">
        <v>33</v>
      </c>
      <c r="AE14" s="14" t="s">
        <v>3767</v>
      </c>
      <c r="AF14">
        <v>161</v>
      </c>
      <c r="AU14" s="14" t="s">
        <v>4143</v>
      </c>
      <c r="AV14">
        <v>18</v>
      </c>
      <c r="AW14" s="14" t="s">
        <v>3821</v>
      </c>
      <c r="AX14">
        <v>20</v>
      </c>
      <c r="BA14" s="14" t="s">
        <v>4032</v>
      </c>
      <c r="BB14">
        <v>24</v>
      </c>
    </row>
    <row r="15" spans="3:54">
      <c r="C15" s="14" t="s">
        <v>4133</v>
      </c>
      <c r="D15">
        <v>29</v>
      </c>
      <c r="E15" s="14" t="s">
        <v>3950</v>
      </c>
      <c r="F15">
        <v>14</v>
      </c>
      <c r="G15" s="14" t="s">
        <v>1129</v>
      </c>
      <c r="H15">
        <v>210</v>
      </c>
      <c r="S15" s="14" t="s">
        <v>4035</v>
      </c>
      <c r="T15">
        <v>34</v>
      </c>
      <c r="AE15" s="14" t="s">
        <v>3772</v>
      </c>
      <c r="AF15">
        <v>162</v>
      </c>
      <c r="AU15" s="14" t="s">
        <v>2572</v>
      </c>
      <c r="AV15">
        <v>10</v>
      </c>
      <c r="AW15" s="14" t="s">
        <v>3822</v>
      </c>
      <c r="AX15">
        <v>54</v>
      </c>
      <c r="BA15" s="14" t="s">
        <v>4034</v>
      </c>
      <c r="BB15">
        <v>23</v>
      </c>
    </row>
    <row r="16" spans="3:54">
      <c r="C16" s="14" t="s">
        <v>4134</v>
      </c>
      <c r="D16">
        <v>24</v>
      </c>
      <c r="E16" s="14" t="s">
        <v>3951</v>
      </c>
      <c r="F16">
        <v>15</v>
      </c>
      <c r="G16" s="14" t="s">
        <v>1130</v>
      </c>
      <c r="H16">
        <v>211</v>
      </c>
      <c r="S16" s="14" t="s">
        <v>4036</v>
      </c>
      <c r="T16">
        <v>35</v>
      </c>
      <c r="AE16" s="14" t="s">
        <v>2644</v>
      </c>
      <c r="AF16">
        <v>163</v>
      </c>
      <c r="AW16" s="14" t="s">
        <v>3823</v>
      </c>
      <c r="AX16">
        <v>45</v>
      </c>
      <c r="BA16" s="14" t="s">
        <v>2130</v>
      </c>
      <c r="BB16">
        <v>11</v>
      </c>
    </row>
    <row r="17" spans="3:54">
      <c r="C17" s="14" t="s">
        <v>4135</v>
      </c>
      <c r="D17">
        <v>25</v>
      </c>
      <c r="E17" s="14" t="s">
        <v>3952</v>
      </c>
      <c r="F17">
        <v>16</v>
      </c>
      <c r="G17" s="14" t="s">
        <v>1131</v>
      </c>
      <c r="H17">
        <v>212</v>
      </c>
      <c r="S17" s="14" t="s">
        <v>2361</v>
      </c>
      <c r="T17">
        <v>36</v>
      </c>
      <c r="AW17" s="14" t="s">
        <v>3824</v>
      </c>
      <c r="AX17">
        <v>21</v>
      </c>
      <c r="BA17" s="14" t="s">
        <v>4144</v>
      </c>
      <c r="BB17">
        <v>39</v>
      </c>
    </row>
    <row r="18" spans="3:54">
      <c r="C18" s="14" t="s">
        <v>4136</v>
      </c>
      <c r="D18">
        <v>26</v>
      </c>
      <c r="E18" s="14" t="s">
        <v>3954</v>
      </c>
      <c r="F18">
        <v>17</v>
      </c>
      <c r="G18" s="14" t="s">
        <v>2937</v>
      </c>
      <c r="H18">
        <v>213</v>
      </c>
      <c r="S18" s="14" t="s">
        <v>2364</v>
      </c>
      <c r="T18">
        <v>37</v>
      </c>
      <c r="AW18" s="14" t="s">
        <v>3825</v>
      </c>
      <c r="AX18">
        <v>55</v>
      </c>
      <c r="BA18" s="14" t="s">
        <v>4145</v>
      </c>
      <c r="BB18">
        <v>38</v>
      </c>
    </row>
    <row r="19" spans="3:54">
      <c r="C19" s="14" t="s">
        <v>4137</v>
      </c>
      <c r="D19">
        <v>27</v>
      </c>
      <c r="E19" s="14" t="s">
        <v>3955</v>
      </c>
      <c r="F19">
        <v>18</v>
      </c>
      <c r="G19" s="14" t="s">
        <v>1133</v>
      </c>
      <c r="H19">
        <v>214</v>
      </c>
      <c r="S19" s="14" t="s">
        <v>2367</v>
      </c>
      <c r="T19">
        <v>38</v>
      </c>
      <c r="AW19" s="14" t="s">
        <v>3826</v>
      </c>
      <c r="AX19">
        <v>46</v>
      </c>
      <c r="BA19" s="14" t="s">
        <v>4037</v>
      </c>
      <c r="BB19">
        <v>3</v>
      </c>
    </row>
    <row r="20" spans="3:54">
      <c r="C20" s="14" t="s">
        <v>4138</v>
      </c>
      <c r="D20">
        <v>28</v>
      </c>
      <c r="E20" s="14" t="s">
        <v>3956</v>
      </c>
      <c r="F20">
        <v>19</v>
      </c>
      <c r="G20" s="14" t="s">
        <v>1134</v>
      </c>
      <c r="H20">
        <v>215</v>
      </c>
      <c r="S20" s="14" t="s">
        <v>2370</v>
      </c>
      <c r="T20">
        <v>39</v>
      </c>
      <c r="AW20" s="14" t="s">
        <v>3827</v>
      </c>
      <c r="AX20">
        <v>27</v>
      </c>
      <c r="BA20" s="14" t="s">
        <v>2644</v>
      </c>
      <c r="BB20">
        <v>15</v>
      </c>
    </row>
    <row r="21" spans="3:54">
      <c r="E21" s="14" t="s">
        <v>3959</v>
      </c>
      <c r="F21">
        <v>20</v>
      </c>
      <c r="G21" s="14" t="s">
        <v>1135</v>
      </c>
      <c r="H21">
        <v>216</v>
      </c>
      <c r="S21" s="14" t="s">
        <v>2373</v>
      </c>
      <c r="T21">
        <v>40</v>
      </c>
      <c r="AW21" s="14" t="s">
        <v>3828</v>
      </c>
      <c r="AX21">
        <v>56</v>
      </c>
      <c r="BA21" s="14" t="s">
        <v>4038</v>
      </c>
      <c r="BB21">
        <v>31</v>
      </c>
    </row>
    <row r="22" spans="3:54">
      <c r="E22" s="14" t="s">
        <v>3958</v>
      </c>
      <c r="F22">
        <v>21</v>
      </c>
      <c r="G22" s="14" t="s">
        <v>1136</v>
      </c>
      <c r="H22">
        <v>217</v>
      </c>
      <c r="S22" s="14" t="s">
        <v>2376</v>
      </c>
      <c r="T22">
        <v>41</v>
      </c>
      <c r="AW22" s="14" t="s">
        <v>3829</v>
      </c>
      <c r="AX22">
        <v>47</v>
      </c>
      <c r="BA22" s="14" t="s">
        <v>186</v>
      </c>
      <c r="BB22">
        <v>35</v>
      </c>
    </row>
    <row r="23" spans="3:54">
      <c r="E23" s="14" t="s">
        <v>3957</v>
      </c>
      <c r="F23">
        <v>22</v>
      </c>
      <c r="G23" s="14" t="s">
        <v>1137</v>
      </c>
      <c r="H23">
        <v>218</v>
      </c>
      <c r="AW23" s="14" t="s">
        <v>3830</v>
      </c>
      <c r="AX23">
        <v>48</v>
      </c>
      <c r="BA23" s="14" t="s">
        <v>4039</v>
      </c>
      <c r="BB23">
        <v>32</v>
      </c>
    </row>
    <row r="24" spans="3:54">
      <c r="E24" s="14" t="s">
        <v>3960</v>
      </c>
      <c r="F24">
        <v>23</v>
      </c>
      <c r="G24" s="14" t="s">
        <v>1138</v>
      </c>
      <c r="H24">
        <v>219</v>
      </c>
      <c r="AW24" s="14" t="s">
        <v>3832</v>
      </c>
      <c r="AX24">
        <v>49</v>
      </c>
      <c r="BA24" s="14" t="s">
        <v>152</v>
      </c>
      <c r="BB24">
        <v>30</v>
      </c>
    </row>
    <row r="25" spans="3:54">
      <c r="E25" s="14" t="s">
        <v>3961</v>
      </c>
      <c r="F25">
        <v>24</v>
      </c>
      <c r="G25" s="14" t="s">
        <v>1139</v>
      </c>
      <c r="H25">
        <v>220</v>
      </c>
      <c r="AW25" s="14" t="s">
        <v>3831</v>
      </c>
      <c r="AX25">
        <v>57</v>
      </c>
      <c r="BA25" s="14" t="s">
        <v>2092</v>
      </c>
      <c r="BB25">
        <v>22</v>
      </c>
    </row>
    <row r="26" spans="3:54">
      <c r="E26" s="14" t="s">
        <v>3963</v>
      </c>
      <c r="F26">
        <v>25</v>
      </c>
      <c r="G26" s="14" t="s">
        <v>1140</v>
      </c>
      <c r="H26">
        <v>221</v>
      </c>
      <c r="BA26" s="14" t="s">
        <v>4040</v>
      </c>
      <c r="BB26">
        <v>21</v>
      </c>
    </row>
    <row r="27" spans="3:54">
      <c r="E27" s="14" t="s">
        <v>3962</v>
      </c>
      <c r="F27">
        <v>26</v>
      </c>
      <c r="G27" s="14" t="s">
        <v>1141</v>
      </c>
      <c r="H27">
        <v>222</v>
      </c>
      <c r="BA27" s="14" t="s">
        <v>2120</v>
      </c>
      <c r="BB27">
        <v>1</v>
      </c>
    </row>
    <row r="28" spans="3:54">
      <c r="E28" s="14" t="s">
        <v>3964</v>
      </c>
      <c r="F28">
        <v>27</v>
      </c>
      <c r="G28" s="14" t="s">
        <v>1142</v>
      </c>
      <c r="H28">
        <v>223</v>
      </c>
      <c r="BA28" s="14" t="s">
        <v>2127</v>
      </c>
      <c r="BB28">
        <v>14</v>
      </c>
    </row>
    <row r="29" spans="3:54">
      <c r="E29" s="14" t="s">
        <v>3971</v>
      </c>
      <c r="F29">
        <v>28</v>
      </c>
      <c r="G29" s="14" t="s">
        <v>1143</v>
      </c>
      <c r="H29">
        <v>224</v>
      </c>
      <c r="BA29" s="14" t="s">
        <v>4041</v>
      </c>
      <c r="BB29">
        <v>16</v>
      </c>
    </row>
    <row r="30" spans="3:54">
      <c r="E30" s="14" t="s">
        <v>3972</v>
      </c>
      <c r="F30">
        <v>29</v>
      </c>
      <c r="G30" s="14" t="s">
        <v>1144</v>
      </c>
      <c r="H30">
        <v>225</v>
      </c>
      <c r="BA30" s="14" t="s">
        <v>2132</v>
      </c>
      <c r="BB30">
        <v>4</v>
      </c>
    </row>
    <row r="31" spans="3:54">
      <c r="E31" s="14" t="s">
        <v>3965</v>
      </c>
      <c r="F31">
        <v>30</v>
      </c>
      <c r="G31" s="14" t="s">
        <v>1145</v>
      </c>
      <c r="H31">
        <v>226</v>
      </c>
      <c r="BA31" s="14" t="s">
        <v>2134</v>
      </c>
      <c r="BB31">
        <v>5</v>
      </c>
    </row>
    <row r="32" spans="3:54">
      <c r="E32" s="14" t="s">
        <v>3967</v>
      </c>
      <c r="F32">
        <v>31</v>
      </c>
      <c r="G32" s="14" t="s">
        <v>1146</v>
      </c>
      <c r="H32">
        <v>227</v>
      </c>
      <c r="BA32" s="14" t="s">
        <v>1092</v>
      </c>
      <c r="BB32">
        <v>12</v>
      </c>
    </row>
    <row r="33" spans="5:54">
      <c r="E33" s="14" t="s">
        <v>3968</v>
      </c>
      <c r="F33">
        <v>32</v>
      </c>
      <c r="G33" s="14" t="s">
        <v>1147</v>
      </c>
      <c r="H33">
        <v>228</v>
      </c>
      <c r="BA33" s="14" t="s">
        <v>4042</v>
      </c>
      <c r="BB33">
        <v>13</v>
      </c>
    </row>
    <row r="34" spans="5:54">
      <c r="E34" s="14" t="s">
        <v>3969</v>
      </c>
      <c r="F34">
        <v>33</v>
      </c>
      <c r="G34" s="14" t="s">
        <v>1148</v>
      </c>
      <c r="H34">
        <v>229</v>
      </c>
      <c r="BA34" s="14" t="s">
        <v>4043</v>
      </c>
      <c r="BB34">
        <v>2</v>
      </c>
    </row>
    <row r="35" spans="5:54">
      <c r="E35" s="14" t="s">
        <v>3966</v>
      </c>
      <c r="F35">
        <v>34</v>
      </c>
      <c r="G35" s="14" t="s">
        <v>1149</v>
      </c>
      <c r="H35">
        <v>230</v>
      </c>
      <c r="BA35" s="14" t="s">
        <v>4044</v>
      </c>
      <c r="BB35">
        <v>18</v>
      </c>
    </row>
    <row r="36" spans="5:54">
      <c r="E36" s="14" t="s">
        <v>3970</v>
      </c>
      <c r="F36">
        <v>35</v>
      </c>
      <c r="G36" s="14" t="s">
        <v>1150</v>
      </c>
      <c r="H36">
        <v>231</v>
      </c>
    </row>
    <row r="37" spans="5:54">
      <c r="E37" s="14" t="s">
        <v>3973</v>
      </c>
      <c r="F37">
        <v>36</v>
      </c>
      <c r="G37" s="14" t="s">
        <v>1151</v>
      </c>
      <c r="H37">
        <v>232</v>
      </c>
    </row>
    <row r="38" spans="5:54">
      <c r="E38" s="14" t="s">
        <v>3974</v>
      </c>
      <c r="F38">
        <v>37</v>
      </c>
      <c r="G38" s="14" t="s">
        <v>1152</v>
      </c>
      <c r="H38">
        <v>233</v>
      </c>
    </row>
    <row r="39" spans="5:54">
      <c r="E39" s="14" t="s">
        <v>3975</v>
      </c>
      <c r="F39">
        <v>38</v>
      </c>
      <c r="G39" s="14" t="s">
        <v>1153</v>
      </c>
      <c r="H39">
        <v>234</v>
      </c>
    </row>
    <row r="40" spans="5:54">
      <c r="E40" s="14" t="s">
        <v>3976</v>
      </c>
      <c r="F40">
        <v>39</v>
      </c>
      <c r="G40" s="14" t="s">
        <v>1154</v>
      </c>
      <c r="H40">
        <v>235</v>
      </c>
    </row>
    <row r="41" spans="5:54">
      <c r="E41" s="14" t="s">
        <v>3977</v>
      </c>
      <c r="F41">
        <v>40</v>
      </c>
      <c r="G41" s="14" t="s">
        <v>1155</v>
      </c>
      <c r="H41">
        <v>236</v>
      </c>
    </row>
    <row r="42" spans="5:54">
      <c r="E42" s="14" t="s">
        <v>3978</v>
      </c>
      <c r="F42">
        <v>41</v>
      </c>
      <c r="G42" s="14" t="s">
        <v>1156</v>
      </c>
      <c r="H42">
        <v>237</v>
      </c>
    </row>
    <row r="43" spans="5:54">
      <c r="E43" s="14" t="s">
        <v>3979</v>
      </c>
      <c r="F43">
        <v>42</v>
      </c>
      <c r="G43" s="14" t="s">
        <v>1157</v>
      </c>
      <c r="H43">
        <v>238</v>
      </c>
    </row>
    <row r="44" spans="5:54">
      <c r="E44" s="14" t="s">
        <v>3980</v>
      </c>
      <c r="F44">
        <v>43</v>
      </c>
      <c r="G44" s="14" t="s">
        <v>1158</v>
      </c>
      <c r="H44">
        <v>239</v>
      </c>
    </row>
    <row r="45" spans="5:54">
      <c r="E45" s="14" t="s">
        <v>3981</v>
      </c>
      <c r="F45">
        <v>44</v>
      </c>
      <c r="G45" s="14" t="s">
        <v>1159</v>
      </c>
      <c r="H45">
        <v>240</v>
      </c>
    </row>
    <row r="46" spans="5:54">
      <c r="E46" s="14" t="s">
        <v>3982</v>
      </c>
      <c r="F46">
        <v>45</v>
      </c>
      <c r="G46" s="14" t="s">
        <v>1160</v>
      </c>
      <c r="H46">
        <v>241</v>
      </c>
    </row>
    <row r="47" spans="5:54">
      <c r="E47" s="14" t="s">
        <v>3984</v>
      </c>
      <c r="F47">
        <v>46</v>
      </c>
      <c r="G47" s="14" t="s">
        <v>1161</v>
      </c>
      <c r="H47">
        <v>242</v>
      </c>
    </row>
    <row r="48" spans="5:54">
      <c r="E48" s="14" t="s">
        <v>3983</v>
      </c>
      <c r="F48">
        <v>47</v>
      </c>
      <c r="G48" s="14" t="s">
        <v>1162</v>
      </c>
      <c r="H48">
        <v>243</v>
      </c>
    </row>
    <row r="49" spans="5:8">
      <c r="E49" s="14" t="s">
        <v>3985</v>
      </c>
      <c r="F49">
        <v>48</v>
      </c>
      <c r="G49" s="14" t="s">
        <v>1163</v>
      </c>
      <c r="H49">
        <v>244</v>
      </c>
    </row>
    <row r="50" spans="5:8">
      <c r="E50" s="14" t="s">
        <v>3987</v>
      </c>
      <c r="F50">
        <v>49</v>
      </c>
      <c r="G50" s="14" t="s">
        <v>1164</v>
      </c>
      <c r="H50">
        <v>245</v>
      </c>
    </row>
    <row r="51" spans="5:8">
      <c r="E51" s="14" t="s">
        <v>3986</v>
      </c>
      <c r="F51">
        <v>50</v>
      </c>
      <c r="G51" s="14" t="s">
        <v>1165</v>
      </c>
      <c r="H51">
        <v>246</v>
      </c>
    </row>
    <row r="52" spans="5:8">
      <c r="E52" s="14" t="s">
        <v>3988</v>
      </c>
      <c r="F52">
        <v>51</v>
      </c>
      <c r="G52" s="14" t="s">
        <v>1166</v>
      </c>
      <c r="H52">
        <v>247</v>
      </c>
    </row>
    <row r="53" spans="5:8">
      <c r="G53" s="14" t="s">
        <v>2938</v>
      </c>
      <c r="H53">
        <v>248</v>
      </c>
    </row>
    <row r="54" spans="5:8">
      <c r="G54" s="14" t="s">
        <v>1168</v>
      </c>
      <c r="H54">
        <v>249</v>
      </c>
    </row>
    <row r="55" spans="5:8">
      <c r="G55" s="14" t="s">
        <v>1169</v>
      </c>
      <c r="H55">
        <v>250</v>
      </c>
    </row>
    <row r="56" spans="5:8">
      <c r="G56" s="14" t="s">
        <v>1170</v>
      </c>
      <c r="H56">
        <v>251</v>
      </c>
    </row>
    <row r="57" spans="5:8">
      <c r="G57" s="14" t="s">
        <v>1171</v>
      </c>
      <c r="H57">
        <v>252</v>
      </c>
    </row>
    <row r="58" spans="5:8">
      <c r="G58" s="14" t="s">
        <v>1172</v>
      </c>
      <c r="H58">
        <v>253</v>
      </c>
    </row>
    <row r="59" spans="5:8">
      <c r="G59" s="14" t="s">
        <v>1173</v>
      </c>
      <c r="H59">
        <v>254</v>
      </c>
    </row>
    <row r="60" spans="5:8">
      <c r="G60" s="14" t="s">
        <v>4045</v>
      </c>
      <c r="H60">
        <v>255</v>
      </c>
    </row>
    <row r="61" spans="5:8">
      <c r="G61" s="14" t="s">
        <v>1175</v>
      </c>
      <c r="H61">
        <v>256</v>
      </c>
    </row>
    <row r="62" spans="5:8">
      <c r="G62" s="14" t="s">
        <v>1176</v>
      </c>
      <c r="H62">
        <v>257</v>
      </c>
    </row>
    <row r="63" spans="5:8">
      <c r="G63" s="14" t="s">
        <v>1177</v>
      </c>
      <c r="H63">
        <v>258</v>
      </c>
    </row>
    <row r="64" spans="5:8">
      <c r="G64" s="14" t="s">
        <v>1178</v>
      </c>
      <c r="H64">
        <v>259</v>
      </c>
    </row>
    <row r="65" spans="7:8">
      <c r="G65" s="14" t="s">
        <v>1179</v>
      </c>
      <c r="H65">
        <v>260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A1:HE145"/>
  <sheetViews>
    <sheetView showGridLines="0" zoomScale="120" zoomScaleNormal="120" workbookViewId="0">
      <selection activeCell="C14" sqref="C14"/>
    </sheetView>
  </sheetViews>
  <sheetFormatPr defaultColWidth="9" defaultRowHeight="14.4"/>
  <cols>
    <col min="1" max="1" width="58.109375" style="59" customWidth="1"/>
    <col min="2" max="2" width="38.6640625" style="59" customWidth="1"/>
    <col min="3" max="3" width="170.109375" style="59" customWidth="1"/>
    <col min="4" max="16384" width="9" style="59"/>
  </cols>
  <sheetData>
    <row r="1" spans="1:4" ht="21">
      <c r="A1" s="4" t="s">
        <v>4440</v>
      </c>
      <c r="B1" s="2"/>
      <c r="C1" s="441"/>
      <c r="D1" s="88"/>
    </row>
    <row r="2" spans="1:4" ht="14.25" customHeight="1">
      <c r="A2" s="88" t="s">
        <v>211</v>
      </c>
      <c r="B2" s="309" t="s">
        <v>4441</v>
      </c>
      <c r="C2" s="88"/>
      <c r="D2" s="88"/>
    </row>
    <row r="4" spans="1:4">
      <c r="A4" s="1" t="s">
        <v>212</v>
      </c>
      <c r="B4" s="442"/>
      <c r="C4" s="10"/>
      <c r="D4" s="184"/>
    </row>
    <row r="5" spans="1:4">
      <c r="A5" s="1" t="s">
        <v>213</v>
      </c>
      <c r="B5" s="443"/>
      <c r="C5" s="10" t="s">
        <v>214</v>
      </c>
      <c r="D5" s="184"/>
    </row>
    <row r="6" spans="1:4">
      <c r="A6" s="1" t="s">
        <v>215</v>
      </c>
      <c r="B6" s="284"/>
      <c r="C6"/>
      <c r="D6" s="184"/>
    </row>
    <row r="7" spans="1:4">
      <c r="A7" s="1" t="s">
        <v>216</v>
      </c>
      <c r="B7" s="444"/>
      <c r="C7" s="10" t="s">
        <v>217</v>
      </c>
      <c r="D7" s="184"/>
    </row>
    <row r="8" spans="1:4">
      <c r="A8" s="501" t="s">
        <v>218</v>
      </c>
      <c r="B8" s="444"/>
      <c r="C8" s="267" t="s">
        <v>219</v>
      </c>
      <c r="D8" s="184"/>
    </row>
    <row r="9" spans="1:4">
      <c r="A9" s="325" t="s">
        <v>220</v>
      </c>
      <c r="B9" s="444"/>
      <c r="C9" s="267"/>
      <c r="D9" s="184"/>
    </row>
    <row r="10" spans="1:4">
      <c r="A10" s="60" t="s">
        <v>221</v>
      </c>
      <c r="B10" s="444"/>
      <c r="C10" s="10"/>
      <c r="D10" s="184"/>
    </row>
    <row r="11" spans="1:4">
      <c r="A11" s="415" t="s">
        <v>222</v>
      </c>
      <c r="B11" s="650" t="str">
        <f>Calculations!B11</f>
        <v/>
      </c>
      <c r="C11" s="10"/>
      <c r="D11" s="184"/>
    </row>
    <row r="12" spans="1:4">
      <c r="A12" s="415" t="s">
        <v>223</v>
      </c>
      <c r="B12" s="444"/>
      <c r="C12" s="10"/>
      <c r="D12" s="184"/>
    </row>
    <row r="13" spans="1:4">
      <c r="A13" s="60" t="s">
        <v>224</v>
      </c>
      <c r="B13" s="444"/>
      <c r="C13" s="10"/>
      <c r="D13" s="88"/>
    </row>
    <row r="14" spans="1:4">
      <c r="A14" s="415" t="s">
        <v>225</v>
      </c>
      <c r="B14" s="444"/>
      <c r="C14" s="10"/>
      <c r="D14" s="88"/>
    </row>
    <row r="15" spans="1:4">
      <c r="A15" s="1" t="s">
        <v>226</v>
      </c>
      <c r="B15" s="444"/>
      <c r="C15" s="10" t="s">
        <v>227</v>
      </c>
      <c r="D15" s="184"/>
    </row>
    <row r="16" spans="1:4">
      <c r="A16" s="60" t="s">
        <v>228</v>
      </c>
      <c r="B16" s="445"/>
      <c r="C16" s="10"/>
      <c r="D16" s="184"/>
    </row>
    <row r="17" spans="1:213" ht="14.1" customHeight="1">
      <c r="A17" s="60" t="s">
        <v>229</v>
      </c>
      <c r="B17" s="445"/>
      <c r="C17" s="10"/>
      <c r="D17" s="184"/>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c r="AG17" s="88"/>
      <c r="AH17" s="88"/>
      <c r="AI17" s="88"/>
      <c r="AJ17" s="88"/>
      <c r="AK17" s="88"/>
      <c r="AL17" s="88"/>
      <c r="AM17" s="88"/>
      <c r="AN17" s="88"/>
      <c r="AO17" s="88"/>
      <c r="AP17" s="88"/>
      <c r="AQ17" s="88"/>
      <c r="AR17" s="88"/>
      <c r="AS17" s="88"/>
      <c r="AT17" s="88"/>
      <c r="AU17" s="88"/>
      <c r="AV17" s="88"/>
      <c r="AW17" s="88"/>
      <c r="AX17" s="88"/>
      <c r="AY17" s="88"/>
      <c r="AZ17" s="88"/>
      <c r="BA17" s="88"/>
      <c r="BB17" s="88"/>
      <c r="BC17" s="88"/>
      <c r="BD17" s="88"/>
      <c r="BE17" s="88"/>
      <c r="BF17" s="88"/>
      <c r="BG17" s="88"/>
      <c r="BH17" s="88"/>
      <c r="BI17" s="88"/>
      <c r="BJ17" s="88"/>
      <c r="BK17" s="88"/>
      <c r="BL17" s="88"/>
      <c r="BM17" s="88"/>
      <c r="BN17" s="88"/>
      <c r="BO17" s="88"/>
      <c r="BP17" s="88"/>
      <c r="BQ17" s="88"/>
      <c r="BR17" s="88"/>
      <c r="BS17" s="88"/>
      <c r="BT17" s="88"/>
      <c r="BU17" s="88"/>
      <c r="BV17" s="88"/>
      <c r="BW17" s="88"/>
      <c r="BX17" s="88"/>
      <c r="BY17" s="88"/>
      <c r="BZ17" s="88"/>
      <c r="CA17" s="88"/>
      <c r="CB17" s="88"/>
      <c r="CC17" s="88"/>
      <c r="CD17" s="88"/>
      <c r="CE17" s="88"/>
      <c r="CF17" s="88"/>
      <c r="CG17" s="88"/>
      <c r="CH17" s="88"/>
      <c r="CI17" s="88"/>
      <c r="CJ17" s="88"/>
      <c r="CK17" s="88"/>
      <c r="CL17" s="88"/>
      <c r="CM17" s="88"/>
      <c r="CN17" s="88"/>
      <c r="CO17" s="88"/>
      <c r="CP17" s="88"/>
      <c r="CQ17" s="88"/>
      <c r="CR17" s="88"/>
      <c r="CS17" s="88"/>
      <c r="CT17" s="88"/>
      <c r="CU17" s="88"/>
      <c r="CV17" s="88"/>
      <c r="CW17" s="88"/>
      <c r="CX17" s="88"/>
      <c r="CY17" s="88"/>
      <c r="CZ17" s="88"/>
      <c r="DA17" s="88"/>
      <c r="DB17" s="88"/>
      <c r="DC17" s="88"/>
      <c r="DD17" s="88"/>
      <c r="DE17" s="88"/>
      <c r="DF17" s="88"/>
      <c r="DG17" s="88"/>
      <c r="DH17" s="88"/>
      <c r="DI17" s="88"/>
      <c r="DJ17" s="88"/>
      <c r="DK17" s="88"/>
      <c r="DL17" s="88"/>
      <c r="DM17" s="88"/>
      <c r="DN17" s="88"/>
      <c r="DO17" s="88"/>
      <c r="DP17" s="88"/>
      <c r="DQ17" s="88"/>
      <c r="DR17" s="88"/>
      <c r="DS17" s="88"/>
      <c r="DT17" s="88"/>
      <c r="DU17" s="88"/>
      <c r="DV17" s="88"/>
      <c r="DW17" s="88"/>
      <c r="DX17" s="88"/>
      <c r="DY17" s="88"/>
      <c r="DZ17" s="88"/>
      <c r="EA17" s="88"/>
      <c r="EB17" s="88"/>
      <c r="EC17" s="88"/>
      <c r="ED17" s="88"/>
      <c r="EE17" s="88"/>
      <c r="EF17" s="88"/>
      <c r="EG17" s="88"/>
      <c r="EH17" s="88"/>
      <c r="EI17" s="88"/>
      <c r="EJ17" s="88"/>
      <c r="EK17" s="88"/>
      <c r="EL17" s="88"/>
      <c r="EM17" s="88"/>
      <c r="EN17" s="88"/>
      <c r="EO17" s="88"/>
      <c r="EP17" s="88"/>
      <c r="EQ17" s="88"/>
      <c r="ER17" s="88"/>
      <c r="ES17" s="88"/>
      <c r="ET17" s="88"/>
      <c r="EU17" s="88"/>
      <c r="EV17" s="88"/>
      <c r="EW17" s="88"/>
      <c r="EX17" s="88"/>
      <c r="EY17" s="88"/>
      <c r="EZ17" s="88"/>
      <c r="FA17" s="88"/>
      <c r="FB17" s="88"/>
      <c r="FC17" s="88"/>
      <c r="FD17" s="88"/>
      <c r="FE17" s="88"/>
      <c r="FF17" s="88"/>
      <c r="FG17" s="88"/>
      <c r="FH17" s="88"/>
      <c r="FI17" s="88"/>
      <c r="FJ17" s="88"/>
      <c r="FK17" s="88"/>
      <c r="FL17" s="88"/>
      <c r="FM17" s="88"/>
      <c r="FN17" s="88"/>
      <c r="FO17" s="88"/>
      <c r="FP17" s="88"/>
      <c r="FQ17" s="88"/>
      <c r="FR17" s="88"/>
      <c r="FS17" s="88"/>
      <c r="FT17" s="88"/>
      <c r="FU17" s="88"/>
      <c r="FV17" s="88"/>
      <c r="FW17" s="88"/>
      <c r="FX17" s="88"/>
      <c r="FY17" s="88"/>
      <c r="FZ17" s="88"/>
      <c r="GA17" s="88"/>
      <c r="GB17" s="88"/>
      <c r="GC17" s="88"/>
      <c r="GD17" s="88"/>
      <c r="GE17" s="88"/>
      <c r="GF17" s="88"/>
      <c r="GG17" s="88"/>
      <c r="GH17" s="88"/>
      <c r="GI17" s="88"/>
      <c r="GJ17" s="88"/>
      <c r="GK17" s="88"/>
      <c r="GL17" s="88"/>
      <c r="GM17" s="88"/>
      <c r="GN17" s="88"/>
      <c r="GO17" s="88"/>
      <c r="GP17" s="88"/>
      <c r="GQ17" s="88"/>
      <c r="GR17" s="88"/>
      <c r="GS17" s="88"/>
      <c r="GT17" s="88"/>
      <c r="GU17" s="88"/>
      <c r="GV17" s="88"/>
      <c r="GW17" s="88"/>
      <c r="GX17" s="88"/>
      <c r="GY17" s="88"/>
      <c r="GZ17" s="88"/>
      <c r="HA17" s="88"/>
      <c r="HB17" s="88"/>
      <c r="HC17" s="88"/>
      <c r="HD17" s="88"/>
      <c r="HE17" s="88"/>
    </row>
    <row r="18" spans="1:213" ht="14.1" customHeight="1">
      <c r="A18" s="60" t="s">
        <v>230</v>
      </c>
      <c r="B18" s="445"/>
      <c r="C18" s="10"/>
      <c r="D18" s="184"/>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c r="BB18" s="88"/>
      <c r="BC18" s="88"/>
      <c r="BD18" s="88"/>
      <c r="BE18" s="88"/>
      <c r="BF18" s="88"/>
      <c r="BG18" s="88"/>
      <c r="BH18" s="88"/>
      <c r="BI18" s="88"/>
      <c r="BJ18" s="88"/>
      <c r="BK18" s="88"/>
      <c r="BL18" s="88"/>
      <c r="BM18" s="88"/>
      <c r="BN18" s="88"/>
      <c r="BO18" s="88"/>
      <c r="BP18" s="88"/>
      <c r="BQ18" s="88"/>
      <c r="BR18" s="88"/>
      <c r="BS18" s="88"/>
      <c r="BT18" s="88"/>
      <c r="BU18" s="88"/>
      <c r="BV18" s="88"/>
      <c r="BW18" s="88"/>
      <c r="BX18" s="88"/>
      <c r="BY18" s="88"/>
      <c r="BZ18" s="88"/>
      <c r="CA18" s="88"/>
      <c r="CB18" s="88"/>
      <c r="CC18" s="88"/>
      <c r="CD18" s="88"/>
      <c r="CE18" s="88"/>
      <c r="CF18" s="88"/>
      <c r="CG18" s="88"/>
      <c r="CH18" s="88"/>
      <c r="CI18" s="88"/>
      <c r="CJ18" s="88"/>
      <c r="CK18" s="88"/>
      <c r="CL18" s="88"/>
      <c r="CM18" s="88"/>
      <c r="CN18" s="88"/>
      <c r="CO18" s="88"/>
      <c r="CP18" s="88"/>
      <c r="CQ18" s="88"/>
      <c r="CR18" s="88"/>
      <c r="CS18" s="88"/>
      <c r="CT18" s="88"/>
      <c r="CU18" s="88"/>
      <c r="CV18" s="88"/>
      <c r="CW18" s="88"/>
      <c r="CX18" s="88"/>
      <c r="CY18" s="88"/>
      <c r="CZ18" s="88"/>
      <c r="DA18" s="88"/>
      <c r="DB18" s="88"/>
      <c r="DC18" s="88"/>
      <c r="DD18" s="88"/>
      <c r="DE18" s="88"/>
      <c r="DF18" s="88"/>
      <c r="DG18" s="88"/>
      <c r="DH18" s="88"/>
      <c r="DI18" s="88"/>
      <c r="DJ18" s="88"/>
      <c r="DK18" s="88"/>
      <c r="DL18" s="88"/>
      <c r="DM18" s="88"/>
      <c r="DN18" s="88"/>
      <c r="DO18" s="88"/>
      <c r="DP18" s="88"/>
      <c r="DQ18" s="88"/>
      <c r="DR18" s="88"/>
      <c r="DS18" s="88"/>
      <c r="DT18" s="88"/>
      <c r="DU18" s="88"/>
      <c r="DV18" s="88"/>
      <c r="DW18" s="88"/>
      <c r="DX18" s="88"/>
      <c r="DY18" s="88"/>
      <c r="DZ18" s="88"/>
      <c r="EA18" s="88"/>
      <c r="EB18" s="88"/>
      <c r="EC18" s="88"/>
      <c r="ED18" s="88"/>
      <c r="EE18" s="88"/>
      <c r="EF18" s="88"/>
      <c r="EG18" s="88"/>
      <c r="EH18" s="88"/>
      <c r="EI18" s="88"/>
      <c r="EJ18" s="88"/>
      <c r="EK18" s="88"/>
      <c r="EL18" s="88"/>
      <c r="EM18" s="88"/>
      <c r="EN18" s="88"/>
      <c r="EO18" s="88"/>
      <c r="EP18" s="88"/>
      <c r="EQ18" s="88"/>
      <c r="ER18" s="88"/>
      <c r="ES18" s="88"/>
      <c r="ET18" s="88"/>
      <c r="EU18" s="88"/>
      <c r="EV18" s="88"/>
      <c r="EW18" s="88"/>
      <c r="EX18" s="88"/>
      <c r="EY18" s="88"/>
      <c r="EZ18" s="88"/>
      <c r="FA18" s="88"/>
      <c r="FB18" s="88"/>
      <c r="FC18" s="88"/>
      <c r="FD18" s="88"/>
      <c r="FE18" s="88"/>
      <c r="FF18" s="88"/>
      <c r="FG18" s="88"/>
      <c r="FH18" s="88"/>
      <c r="FI18" s="88"/>
      <c r="FJ18" s="88"/>
      <c r="FK18" s="88"/>
      <c r="FL18" s="88"/>
      <c r="FM18" s="88"/>
      <c r="FN18" s="88"/>
      <c r="FO18" s="88"/>
      <c r="FP18" s="88"/>
      <c r="FQ18" s="88"/>
      <c r="FR18" s="88"/>
      <c r="FS18" s="88"/>
      <c r="FT18" s="88"/>
      <c r="FU18" s="88"/>
      <c r="FV18" s="88"/>
      <c r="FW18" s="88"/>
      <c r="FX18" s="88"/>
      <c r="FY18" s="88"/>
      <c r="FZ18" s="88"/>
      <c r="GA18" s="88"/>
      <c r="GB18" s="88"/>
      <c r="GC18" s="88"/>
      <c r="GD18" s="88"/>
      <c r="GE18" s="88"/>
      <c r="GF18" s="88"/>
      <c r="GG18" s="88"/>
      <c r="GH18" s="88"/>
      <c r="GI18" s="88"/>
      <c r="GJ18" s="88"/>
      <c r="GK18" s="88"/>
      <c r="GL18" s="88"/>
      <c r="GM18" s="88"/>
      <c r="GN18" s="88"/>
      <c r="GO18" s="88"/>
      <c r="GP18" s="88"/>
      <c r="GQ18" s="88"/>
      <c r="GR18" s="88"/>
      <c r="GS18" s="88"/>
      <c r="GT18" s="88"/>
      <c r="GU18" s="88"/>
      <c r="GV18" s="88"/>
      <c r="GW18" s="88"/>
      <c r="GX18" s="88"/>
      <c r="GY18" s="88"/>
      <c r="GZ18" s="88"/>
      <c r="HA18" s="88"/>
      <c r="HB18" s="88"/>
      <c r="HC18" s="88"/>
      <c r="HD18" s="88"/>
      <c r="HE18" s="88"/>
    </row>
    <row r="19" spans="1:213">
      <c r="A19" s="1" t="s">
        <v>231</v>
      </c>
      <c r="B19" s="446">
        <v>0.09</v>
      </c>
      <c r="C19" s="10"/>
      <c r="D19" s="184"/>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8"/>
      <c r="AG19" s="88"/>
      <c r="AH19" s="88"/>
      <c r="AI19" s="88"/>
      <c r="AJ19" s="88"/>
      <c r="AK19" s="88"/>
      <c r="AL19" s="88"/>
      <c r="AM19" s="88"/>
      <c r="AN19" s="88"/>
      <c r="AO19" s="88"/>
      <c r="AP19" s="88"/>
      <c r="AQ19" s="88"/>
      <c r="AR19" s="88"/>
      <c r="AS19" s="88"/>
      <c r="AT19" s="88"/>
      <c r="AU19" s="88"/>
      <c r="AV19" s="88"/>
      <c r="AW19" s="88"/>
      <c r="AX19" s="88"/>
      <c r="AY19" s="88"/>
      <c r="AZ19" s="88"/>
      <c r="BA19" s="88"/>
      <c r="BB19" s="88"/>
      <c r="BC19" s="88"/>
      <c r="BD19" s="88"/>
      <c r="BE19" s="88"/>
      <c r="BF19" s="88"/>
      <c r="BG19" s="88"/>
      <c r="BH19" s="88"/>
      <c r="BI19" s="88"/>
      <c r="BJ19" s="88"/>
      <c r="BK19" s="88"/>
      <c r="BL19" s="88"/>
      <c r="BM19" s="88"/>
      <c r="BN19" s="88"/>
      <c r="BO19" s="88"/>
      <c r="BP19" s="88"/>
      <c r="BQ19" s="88"/>
      <c r="BR19" s="88"/>
      <c r="BS19" s="88"/>
      <c r="BT19" s="88"/>
      <c r="BU19" s="88"/>
      <c r="BV19" s="88"/>
      <c r="BW19" s="88"/>
      <c r="BX19" s="88"/>
      <c r="BY19" s="88"/>
      <c r="BZ19" s="88"/>
      <c r="CA19" s="88"/>
      <c r="CB19" s="88"/>
      <c r="CC19" s="88"/>
      <c r="CD19" s="88"/>
      <c r="CE19" s="88"/>
      <c r="CF19" s="88"/>
      <c r="CG19" s="88"/>
      <c r="CH19" s="88"/>
      <c r="CI19" s="88"/>
      <c r="CJ19" s="88"/>
      <c r="CK19" s="88"/>
      <c r="CL19" s="88"/>
      <c r="CM19" s="88"/>
      <c r="CN19" s="88"/>
      <c r="CO19" s="88"/>
      <c r="CP19" s="88"/>
      <c r="CQ19" s="88"/>
      <c r="CR19" s="88"/>
      <c r="CS19" s="88"/>
      <c r="CT19" s="88"/>
      <c r="CU19" s="88"/>
      <c r="CV19" s="88"/>
      <c r="CW19" s="88"/>
      <c r="CX19" s="88"/>
      <c r="CY19" s="88"/>
      <c r="CZ19" s="88"/>
      <c r="DA19" s="88"/>
      <c r="DB19" s="88"/>
      <c r="DC19" s="88"/>
      <c r="DD19" s="88"/>
      <c r="DE19" s="88"/>
      <c r="DF19" s="88"/>
      <c r="DG19" s="88"/>
      <c r="DH19" s="88"/>
      <c r="DI19" s="88"/>
      <c r="DJ19" s="88"/>
      <c r="DK19" s="88"/>
      <c r="DL19" s="88"/>
      <c r="DM19" s="88"/>
      <c r="DN19" s="88"/>
      <c r="DO19" s="88"/>
      <c r="DP19" s="88"/>
      <c r="DQ19" s="88"/>
      <c r="DR19" s="88"/>
      <c r="DS19" s="88"/>
      <c r="DT19" s="88"/>
      <c r="DU19" s="88"/>
      <c r="DV19" s="88"/>
      <c r="DW19" s="88"/>
      <c r="DX19" s="88"/>
      <c r="DY19" s="88"/>
      <c r="DZ19" s="88"/>
      <c r="EA19" s="88"/>
      <c r="EB19" s="88"/>
      <c r="EC19" s="88"/>
      <c r="ED19" s="88"/>
      <c r="EE19" s="88"/>
      <c r="EF19" s="88"/>
      <c r="EG19" s="88"/>
      <c r="EH19" s="88"/>
      <c r="EI19" s="88"/>
      <c r="EJ19" s="88"/>
      <c r="EK19" s="88"/>
      <c r="EL19" s="88"/>
      <c r="EM19" s="88"/>
      <c r="EN19" s="88"/>
      <c r="EO19" s="88"/>
      <c r="EP19" s="88"/>
      <c r="EQ19" s="88"/>
      <c r="ER19" s="88"/>
      <c r="ES19" s="88"/>
      <c r="ET19" s="88"/>
      <c r="EU19" s="88"/>
      <c r="EV19" s="88"/>
      <c r="EW19" s="88"/>
      <c r="EX19" s="88"/>
      <c r="EY19" s="88"/>
      <c r="EZ19" s="88"/>
      <c r="FA19" s="88"/>
      <c r="FB19" s="88"/>
      <c r="FC19" s="88"/>
      <c r="FD19" s="88"/>
      <c r="FE19" s="88"/>
      <c r="FF19" s="88"/>
      <c r="FG19" s="88"/>
      <c r="FH19" s="88"/>
      <c r="FI19" s="88"/>
      <c r="FJ19" s="88"/>
      <c r="FK19" s="88"/>
      <c r="FL19" s="88"/>
      <c r="FM19" s="88"/>
      <c r="FN19" s="88"/>
      <c r="FO19" s="88"/>
      <c r="FP19" s="88"/>
      <c r="FQ19" s="88"/>
      <c r="FR19" s="88"/>
      <c r="FS19" s="88"/>
      <c r="FT19" s="88"/>
      <c r="FU19" s="88"/>
      <c r="FV19" s="88"/>
      <c r="FW19" s="88"/>
      <c r="FX19" s="88"/>
      <c r="FY19" s="88"/>
      <c r="FZ19" s="88"/>
      <c r="GA19" s="88"/>
      <c r="GB19" s="88"/>
      <c r="GC19" s="88"/>
      <c r="GD19" s="88"/>
      <c r="GE19" s="88"/>
      <c r="GF19" s="88"/>
      <c r="GG19" s="88"/>
      <c r="GH19" s="88"/>
      <c r="GI19" s="88"/>
      <c r="GJ19" s="88"/>
      <c r="GK19" s="88"/>
      <c r="GL19" s="88"/>
      <c r="GM19" s="88"/>
      <c r="GN19" s="88"/>
      <c r="GO19" s="88"/>
      <c r="GP19" s="88"/>
      <c r="GQ19" s="88"/>
      <c r="GR19" s="88"/>
      <c r="GS19" s="88"/>
      <c r="GT19" s="88"/>
      <c r="GU19" s="88"/>
      <c r="GV19" s="88"/>
      <c r="GW19" s="88"/>
      <c r="GX19" s="88"/>
      <c r="GY19" s="88"/>
      <c r="GZ19" s="88"/>
      <c r="HA19" s="88"/>
      <c r="HB19" s="88"/>
      <c r="HC19" s="88"/>
      <c r="HD19" s="88"/>
      <c r="HE19" s="88"/>
    </row>
    <row r="20" spans="1:213" ht="14.25" customHeight="1">
      <c r="A20" s="501" t="s">
        <v>232</v>
      </c>
      <c r="B20" s="649">
        <v>0.04</v>
      </c>
      <c r="C20" s="518"/>
      <c r="D20" s="184"/>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c r="BZ20" s="88"/>
      <c r="CA20" s="88"/>
      <c r="CB20" s="88"/>
      <c r="CC20" s="88"/>
      <c r="CD20" s="88"/>
      <c r="CE20" s="88"/>
      <c r="CF20" s="88"/>
      <c r="CG20" s="88"/>
      <c r="CH20" s="88"/>
      <c r="CI20" s="88"/>
      <c r="CJ20" s="88"/>
      <c r="CK20" s="88"/>
      <c r="CL20" s="88"/>
      <c r="CM20" s="88"/>
      <c r="CN20" s="88"/>
      <c r="CO20" s="88"/>
      <c r="CP20" s="88"/>
      <c r="CQ20" s="88"/>
      <c r="CR20" s="88"/>
      <c r="CS20" s="88"/>
      <c r="CT20" s="88"/>
      <c r="CU20" s="88"/>
      <c r="CV20" s="88"/>
      <c r="CW20" s="88"/>
      <c r="CX20" s="88"/>
      <c r="CY20" s="88"/>
      <c r="CZ20" s="88"/>
      <c r="DA20" s="88"/>
      <c r="DB20" s="88"/>
      <c r="DC20" s="88"/>
      <c r="DD20" s="88"/>
      <c r="DE20" s="88"/>
      <c r="DF20" s="88"/>
      <c r="DG20" s="88"/>
      <c r="DH20" s="88"/>
      <c r="DI20" s="88"/>
      <c r="DJ20" s="88"/>
      <c r="DK20" s="88"/>
      <c r="DL20" s="88"/>
      <c r="DM20" s="88"/>
      <c r="DN20" s="88"/>
      <c r="DO20" s="88"/>
      <c r="DP20" s="88"/>
      <c r="DQ20" s="88"/>
      <c r="DR20" s="88"/>
      <c r="DS20" s="88"/>
      <c r="DT20" s="88"/>
      <c r="DU20" s="88"/>
      <c r="DV20" s="88"/>
      <c r="DW20" s="88"/>
      <c r="DX20" s="88"/>
      <c r="DY20" s="88"/>
      <c r="DZ20" s="88"/>
      <c r="EA20" s="88"/>
      <c r="EB20" s="88"/>
      <c r="EC20" s="88"/>
      <c r="ED20" s="88"/>
      <c r="EE20" s="88"/>
      <c r="EF20" s="88"/>
      <c r="EG20" s="88"/>
      <c r="EH20" s="88"/>
      <c r="EI20" s="88"/>
      <c r="EJ20" s="88"/>
      <c r="EK20" s="88"/>
      <c r="EL20" s="88"/>
      <c r="EM20" s="88"/>
      <c r="EN20" s="88"/>
      <c r="EO20" s="88"/>
      <c r="EP20" s="88"/>
      <c r="EQ20" s="88"/>
      <c r="ER20" s="88"/>
      <c r="ES20" s="88"/>
      <c r="ET20" s="88"/>
      <c r="EU20" s="88"/>
      <c r="EV20" s="88"/>
      <c r="EW20" s="88"/>
      <c r="EX20" s="88"/>
      <c r="EY20" s="88"/>
      <c r="EZ20" s="88"/>
      <c r="FA20" s="88"/>
      <c r="FB20" s="88"/>
      <c r="FC20" s="88"/>
      <c r="FD20" s="88"/>
      <c r="FE20" s="88"/>
      <c r="FF20" s="88"/>
      <c r="FG20" s="88"/>
      <c r="FH20" s="88"/>
      <c r="FI20" s="88"/>
      <c r="FJ20" s="88"/>
      <c r="FK20" s="88"/>
      <c r="FL20" s="88"/>
      <c r="FM20" s="88"/>
      <c r="FN20" s="88"/>
      <c r="FO20" s="88"/>
      <c r="FP20" s="88"/>
      <c r="FQ20" s="88"/>
      <c r="FR20" s="88"/>
      <c r="FS20" s="88"/>
      <c r="FT20" s="88"/>
      <c r="FU20" s="88"/>
      <c r="FV20" s="88"/>
      <c r="FW20" s="88"/>
      <c r="FX20" s="88"/>
      <c r="FY20" s="88"/>
      <c r="FZ20" s="88"/>
      <c r="GA20" s="88"/>
      <c r="GB20" s="88"/>
      <c r="GC20" s="88"/>
      <c r="GD20" s="88"/>
      <c r="GE20" s="88"/>
      <c r="GF20" s="88"/>
      <c r="GG20" s="88"/>
      <c r="GH20" s="88"/>
      <c r="GI20" s="88"/>
      <c r="GJ20" s="88"/>
      <c r="GK20" s="88"/>
      <c r="GL20" s="88"/>
      <c r="GM20" s="88"/>
      <c r="GN20" s="88"/>
      <c r="GO20" s="88"/>
      <c r="GP20" s="88"/>
      <c r="GQ20" s="88"/>
      <c r="GR20" s="88"/>
      <c r="GS20" s="88"/>
      <c r="GT20" s="88"/>
      <c r="GU20" s="88"/>
      <c r="GV20" s="88"/>
      <c r="GW20" s="88"/>
      <c r="GX20" s="88"/>
      <c r="GY20" s="88"/>
      <c r="GZ20" s="88"/>
      <c r="HA20" s="88"/>
      <c r="HB20" s="88"/>
      <c r="HC20" s="88"/>
      <c r="HD20" s="88"/>
      <c r="HE20" s="88"/>
    </row>
    <row r="21" spans="1:213">
      <c r="A21" s="501" t="s">
        <v>233</v>
      </c>
      <c r="B21" s="446">
        <v>0.04</v>
      </c>
      <c r="C21" s="1066"/>
      <c r="D21" s="61"/>
      <c r="E21" s="61"/>
      <c r="F21" s="61"/>
      <c r="G21" s="61"/>
      <c r="H21" s="61"/>
      <c r="I21" s="61"/>
      <c r="J21" s="61"/>
      <c r="K21" s="61"/>
      <c r="L21" s="61"/>
      <c r="M21" s="61"/>
      <c r="N21" s="88"/>
      <c r="O21" s="88"/>
      <c r="P21" s="88"/>
      <c r="Q21" s="88"/>
      <c r="R21" s="88"/>
      <c r="S21" s="88"/>
      <c r="T21" s="88"/>
      <c r="U21" s="88"/>
      <c r="V21" s="88"/>
      <c r="W21" s="88"/>
      <c r="X21" s="88"/>
      <c r="Y21" s="88"/>
      <c r="Z21" s="88"/>
      <c r="AA21" s="88"/>
      <c r="AB21" s="88"/>
      <c r="AC21" s="88"/>
      <c r="AD21" s="88"/>
      <c r="AE21" s="88"/>
      <c r="AF21" s="88"/>
      <c r="AG21" s="88"/>
      <c r="AH21" s="88"/>
      <c r="AI21" s="88"/>
      <c r="AJ21" s="88"/>
      <c r="AK21" s="88"/>
      <c r="AL21" s="88"/>
      <c r="AM21" s="88"/>
      <c r="AN21" s="88"/>
      <c r="AO21" s="88"/>
      <c r="AP21" s="88"/>
      <c r="AQ21" s="88"/>
      <c r="AR21" s="88"/>
      <c r="AS21" s="88"/>
      <c r="AT21" s="88"/>
      <c r="AU21" s="88"/>
      <c r="AV21" s="88"/>
      <c r="AW21" s="88"/>
      <c r="AX21" s="88"/>
      <c r="AY21" s="88"/>
      <c r="AZ21" s="88"/>
      <c r="BA21" s="88"/>
      <c r="BB21" s="88"/>
      <c r="BC21" s="88"/>
      <c r="BD21" s="88"/>
      <c r="BE21" s="88"/>
      <c r="BF21" s="88"/>
      <c r="BG21" s="88"/>
      <c r="BH21" s="88"/>
      <c r="BI21" s="88"/>
      <c r="BJ21" s="88"/>
      <c r="BK21" s="88"/>
      <c r="BL21" s="88"/>
      <c r="BM21" s="88"/>
      <c r="BN21" s="88"/>
      <c r="BO21" s="88"/>
      <c r="BP21" s="88"/>
      <c r="BQ21" s="88"/>
      <c r="BR21" s="88"/>
      <c r="BS21" s="88"/>
      <c r="BT21" s="88"/>
      <c r="BU21" s="88"/>
      <c r="BV21" s="88"/>
      <c r="BW21" s="88"/>
      <c r="BX21" s="88"/>
      <c r="BY21" s="88"/>
      <c r="BZ21" s="88"/>
      <c r="CA21" s="88"/>
      <c r="CB21" s="88"/>
      <c r="CC21" s="88"/>
      <c r="CD21" s="88"/>
      <c r="CE21" s="88"/>
      <c r="CF21" s="88"/>
      <c r="CG21" s="88"/>
      <c r="CH21" s="88"/>
      <c r="CI21" s="88"/>
      <c r="CJ21" s="88"/>
      <c r="CK21" s="88"/>
      <c r="CL21" s="88"/>
      <c r="CM21" s="88"/>
      <c r="CN21" s="88"/>
      <c r="CO21" s="88"/>
      <c r="CP21" s="88"/>
      <c r="CQ21" s="88"/>
      <c r="CR21" s="88"/>
      <c r="CS21" s="88"/>
      <c r="CT21" s="88"/>
      <c r="CU21" s="88"/>
      <c r="CV21" s="88"/>
      <c r="CW21" s="88"/>
      <c r="CX21" s="88"/>
      <c r="CY21" s="88"/>
      <c r="CZ21" s="88"/>
      <c r="DA21" s="88"/>
      <c r="DB21" s="88"/>
      <c r="DC21" s="88"/>
      <c r="DD21" s="88"/>
      <c r="DE21" s="88"/>
      <c r="DF21" s="88"/>
      <c r="DG21" s="88"/>
      <c r="DH21" s="88"/>
      <c r="DI21" s="88"/>
      <c r="DJ21" s="88"/>
      <c r="DK21" s="88"/>
      <c r="DL21" s="88"/>
      <c r="DM21" s="88"/>
      <c r="DN21" s="88"/>
      <c r="DO21" s="88"/>
      <c r="DP21" s="88"/>
      <c r="DQ21" s="88"/>
      <c r="DR21" s="88"/>
      <c r="DS21" s="88"/>
      <c r="DT21" s="88"/>
      <c r="DU21" s="88"/>
      <c r="DV21" s="88"/>
      <c r="DW21" s="88"/>
      <c r="DX21" s="88"/>
      <c r="DY21" s="88"/>
      <c r="DZ21" s="88"/>
      <c r="EA21" s="88"/>
      <c r="EB21" s="88"/>
      <c r="EC21" s="88"/>
      <c r="ED21" s="88"/>
      <c r="EE21" s="88"/>
      <c r="EF21" s="88"/>
      <c r="EG21" s="88"/>
      <c r="EH21" s="88"/>
      <c r="EI21" s="88"/>
      <c r="EJ21" s="88"/>
      <c r="EK21" s="88"/>
      <c r="EL21" s="88"/>
      <c r="EM21" s="88"/>
      <c r="EN21" s="88"/>
      <c r="EO21" s="88"/>
      <c r="EP21" s="88"/>
      <c r="EQ21" s="88"/>
      <c r="ER21" s="88"/>
      <c r="ES21" s="88"/>
      <c r="ET21" s="88"/>
      <c r="EU21" s="88"/>
      <c r="EV21" s="88"/>
      <c r="EW21" s="88"/>
      <c r="EX21" s="88"/>
      <c r="EY21" s="88"/>
      <c r="EZ21" s="88"/>
      <c r="FA21" s="88"/>
      <c r="FB21" s="88"/>
      <c r="FC21" s="88"/>
      <c r="FD21" s="88"/>
      <c r="FE21" s="88"/>
      <c r="FF21" s="88"/>
      <c r="FG21" s="88"/>
      <c r="FH21" s="88"/>
      <c r="FI21" s="88"/>
      <c r="FJ21" s="88"/>
      <c r="FK21" s="88"/>
      <c r="FL21" s="88"/>
      <c r="FM21" s="88"/>
      <c r="FN21" s="88"/>
      <c r="FO21" s="88"/>
      <c r="FP21" s="88"/>
      <c r="FQ21" s="88"/>
      <c r="FR21" s="88"/>
      <c r="FS21" s="88"/>
      <c r="FT21" s="88"/>
      <c r="FU21" s="88"/>
      <c r="FV21" s="88"/>
      <c r="FW21" s="88"/>
      <c r="FX21" s="88"/>
      <c r="FY21" s="88"/>
      <c r="FZ21" s="88"/>
      <c r="GA21" s="88"/>
      <c r="GB21" s="88"/>
      <c r="GC21" s="88"/>
      <c r="GD21" s="88"/>
      <c r="GE21" s="88"/>
      <c r="GF21" s="88"/>
      <c r="GG21" s="88"/>
      <c r="GH21" s="88"/>
      <c r="GI21" s="88"/>
      <c r="GJ21" s="88"/>
      <c r="GK21" s="88"/>
      <c r="GL21" s="88"/>
      <c r="GM21" s="88"/>
      <c r="GN21" s="88"/>
      <c r="GO21" s="88"/>
      <c r="GP21" s="88"/>
      <c r="GQ21" s="88"/>
      <c r="GR21" s="88"/>
      <c r="GS21" s="88"/>
      <c r="GT21" s="88"/>
      <c r="GU21" s="88"/>
      <c r="GV21" s="88"/>
      <c r="GW21" s="88"/>
      <c r="GX21" s="88"/>
      <c r="GY21" s="88"/>
      <c r="GZ21" s="88"/>
      <c r="HA21" s="88"/>
      <c r="HB21" s="88"/>
      <c r="HC21" s="88"/>
      <c r="HD21" s="88"/>
      <c r="HE21" s="88"/>
    </row>
    <row r="22" spans="1:213" customFormat="1">
      <c r="C22" s="1066"/>
    </row>
    <row r="23" spans="1:213" ht="14.25" customHeight="1">
      <c r="A23" s="1"/>
      <c r="B23" s="515"/>
      <c r="C23" s="439"/>
      <c r="D23" s="62"/>
      <c r="E23" s="62"/>
      <c r="F23" s="62"/>
      <c r="G23" s="62"/>
      <c r="H23" s="62"/>
      <c r="I23" s="62"/>
      <c r="J23" s="62"/>
      <c r="K23" s="62"/>
      <c r="L23" s="62"/>
      <c r="M23" s="62"/>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c r="BZ23" s="88"/>
      <c r="CA23" s="88"/>
      <c r="CB23" s="88"/>
      <c r="CC23" s="88"/>
      <c r="CD23" s="88"/>
      <c r="CE23" s="88"/>
      <c r="CF23" s="88"/>
      <c r="CG23" s="88"/>
      <c r="CH23" s="88"/>
      <c r="CI23" s="88"/>
      <c r="CJ23" s="88"/>
      <c r="CK23" s="88"/>
      <c r="CL23" s="88"/>
      <c r="CM23" s="88"/>
      <c r="CN23" s="88"/>
      <c r="CO23" s="88"/>
      <c r="CP23" s="88"/>
      <c r="CQ23" s="88"/>
      <c r="CR23" s="88"/>
      <c r="CS23" s="88"/>
      <c r="CT23" s="88"/>
      <c r="CU23" s="88"/>
      <c r="CV23" s="88"/>
      <c r="CW23" s="88"/>
      <c r="CX23" s="88"/>
      <c r="CY23" s="88"/>
      <c r="CZ23" s="88"/>
      <c r="DA23" s="88"/>
      <c r="DB23" s="88"/>
      <c r="DC23" s="88"/>
      <c r="DD23" s="88"/>
      <c r="DE23" s="88"/>
      <c r="DF23" s="88"/>
      <c r="DG23" s="88"/>
      <c r="DH23" s="88"/>
      <c r="DI23" s="88"/>
      <c r="DJ23" s="88"/>
      <c r="DK23" s="88"/>
      <c r="DL23" s="88"/>
      <c r="DM23" s="88"/>
      <c r="DN23" s="88"/>
      <c r="DO23" s="88"/>
      <c r="DP23" s="88"/>
      <c r="DQ23" s="88"/>
      <c r="DR23" s="88"/>
      <c r="DS23" s="88"/>
      <c r="DT23" s="88"/>
      <c r="DU23" s="88"/>
      <c r="DV23" s="88"/>
      <c r="DW23" s="88"/>
      <c r="DX23" s="88"/>
      <c r="DY23" s="88"/>
      <c r="DZ23" s="88"/>
      <c r="EA23" s="88"/>
      <c r="EB23" s="88"/>
      <c r="EC23" s="88"/>
      <c r="ED23" s="88"/>
      <c r="EE23" s="88"/>
      <c r="EF23" s="88"/>
      <c r="EG23" s="88"/>
      <c r="EH23" s="88"/>
      <c r="EI23" s="88"/>
      <c r="EJ23" s="88"/>
      <c r="EK23" s="88"/>
      <c r="EL23" s="88"/>
      <c r="EM23" s="88"/>
      <c r="EN23" s="88"/>
      <c r="EO23" s="88"/>
      <c r="EP23" s="88"/>
      <c r="EQ23" s="88"/>
      <c r="ER23" s="88"/>
      <c r="ES23" s="88"/>
      <c r="ET23" s="88"/>
      <c r="EU23" s="88"/>
      <c r="EV23" s="88"/>
      <c r="EW23" s="88"/>
      <c r="EX23" s="88"/>
      <c r="EY23" s="88"/>
      <c r="EZ23" s="88"/>
      <c r="FA23" s="88"/>
      <c r="FB23" s="88"/>
      <c r="FC23" s="88"/>
      <c r="FD23" s="88"/>
      <c r="FE23" s="88"/>
      <c r="FF23" s="88"/>
      <c r="FG23" s="88"/>
      <c r="FH23" s="88"/>
      <c r="FI23" s="88"/>
      <c r="FJ23" s="88"/>
      <c r="FK23" s="88"/>
      <c r="FL23" s="88"/>
      <c r="FM23" s="88"/>
      <c r="FN23" s="88"/>
      <c r="FO23" s="88"/>
      <c r="FP23" s="88"/>
      <c r="FQ23" s="88"/>
      <c r="FR23" s="88"/>
      <c r="FS23" s="88"/>
      <c r="FT23" s="88"/>
      <c r="FU23" s="88"/>
      <c r="FV23" s="88"/>
      <c r="FW23" s="88"/>
      <c r="FX23" s="88"/>
      <c r="FY23" s="88"/>
      <c r="FZ23" s="88"/>
      <c r="GA23" s="88"/>
      <c r="GB23" s="88"/>
      <c r="GC23" s="88"/>
      <c r="GD23" s="88"/>
      <c r="GE23" s="88"/>
      <c r="GF23" s="88"/>
      <c r="GG23" s="88"/>
      <c r="GH23" s="88"/>
      <c r="GI23" s="88"/>
      <c r="GJ23" s="88"/>
      <c r="GK23" s="88"/>
      <c r="GL23" s="88"/>
      <c r="GM23" s="88"/>
      <c r="GN23" s="88"/>
      <c r="GO23" s="88"/>
      <c r="GP23" s="88"/>
      <c r="GQ23" s="88"/>
      <c r="GR23" s="88"/>
      <c r="GS23" s="88"/>
      <c r="GT23" s="88"/>
      <c r="GU23" s="88"/>
      <c r="GV23" s="88"/>
      <c r="GW23" s="88"/>
      <c r="GX23" s="88"/>
      <c r="GY23" s="88"/>
      <c r="GZ23" s="88"/>
      <c r="HA23" s="88"/>
      <c r="HB23" s="88"/>
      <c r="HC23" s="88"/>
      <c r="HD23" s="88"/>
      <c r="HE23" s="88"/>
    </row>
    <row r="24" spans="1:213">
      <c r="A24" s="1" t="s">
        <v>234</v>
      </c>
      <c r="B24" s="284"/>
      <c r="C24" s="10" t="s">
        <v>227</v>
      </c>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8"/>
      <c r="AD24" s="88"/>
      <c r="AE24" s="88"/>
      <c r="AF24" s="88"/>
      <c r="AG24" s="88"/>
      <c r="AH24" s="88"/>
      <c r="AI24" s="88"/>
      <c r="AJ24" s="88"/>
      <c r="AK24" s="88"/>
      <c r="AL24" s="88"/>
      <c r="AM24" s="88"/>
      <c r="AN24" s="88"/>
      <c r="AO24" s="88"/>
      <c r="AP24" s="88"/>
      <c r="AQ24" s="88"/>
      <c r="AR24" s="88"/>
      <c r="AS24" s="88"/>
      <c r="AT24" s="88"/>
      <c r="AU24" s="88"/>
      <c r="AV24" s="88"/>
      <c r="AW24" s="88"/>
      <c r="AX24" s="88"/>
      <c r="AY24" s="88"/>
      <c r="AZ24" s="88"/>
      <c r="BA24" s="88"/>
      <c r="BB24" s="88"/>
      <c r="BC24" s="88"/>
      <c r="BD24" s="88"/>
      <c r="BE24" s="88"/>
      <c r="BF24" s="88"/>
      <c r="BG24" s="88"/>
      <c r="BH24" s="88"/>
      <c r="BI24" s="88"/>
      <c r="BJ24" s="88"/>
      <c r="BK24" s="88"/>
      <c r="BL24" s="88"/>
      <c r="BM24" s="88"/>
      <c r="BN24" s="88"/>
      <c r="BO24" s="88"/>
      <c r="BP24" s="88"/>
      <c r="BQ24" s="88"/>
      <c r="BR24" s="88"/>
      <c r="BS24" s="88"/>
      <c r="BT24" s="88"/>
      <c r="BU24" s="88"/>
      <c r="BV24" s="88"/>
      <c r="BW24" s="88"/>
      <c r="BX24" s="88"/>
      <c r="BY24" s="88"/>
      <c r="BZ24" s="88"/>
      <c r="CA24" s="88"/>
      <c r="CB24" s="88"/>
      <c r="CC24" s="88"/>
      <c r="CD24" s="88"/>
      <c r="CE24" s="88"/>
      <c r="CF24" s="88"/>
      <c r="CG24" s="88"/>
      <c r="CH24" s="88"/>
      <c r="CI24" s="88"/>
      <c r="CJ24" s="88"/>
      <c r="CK24" s="88"/>
      <c r="CL24" s="88"/>
      <c r="CM24" s="88"/>
      <c r="CN24" s="88"/>
      <c r="CO24" s="88"/>
      <c r="CP24" s="88"/>
      <c r="CQ24" s="88"/>
      <c r="CR24" s="88"/>
      <c r="CS24" s="88"/>
      <c r="CT24" s="88"/>
      <c r="CU24" s="88"/>
      <c r="CV24" s="88"/>
      <c r="CW24" s="88"/>
      <c r="CX24" s="88"/>
      <c r="CY24" s="88"/>
      <c r="CZ24" s="88"/>
      <c r="DA24" s="88"/>
      <c r="DB24" s="88"/>
      <c r="DC24" s="88"/>
      <c r="DD24" s="88"/>
      <c r="DE24" s="88"/>
      <c r="DF24" s="88"/>
      <c r="DG24" s="88"/>
      <c r="DH24" s="88"/>
      <c r="DI24" s="88"/>
      <c r="DJ24" s="88"/>
      <c r="DK24" s="88"/>
      <c r="DL24" s="88"/>
      <c r="DM24" s="88"/>
      <c r="DN24" s="88"/>
      <c r="DO24" s="88"/>
      <c r="DP24" s="88"/>
      <c r="DQ24" s="88"/>
      <c r="DR24" s="88"/>
      <c r="DS24" s="88"/>
      <c r="DT24" s="88"/>
      <c r="DU24" s="88"/>
      <c r="DV24" s="88"/>
      <c r="DW24" s="88"/>
      <c r="DX24" s="88"/>
      <c r="DY24" s="88"/>
      <c r="DZ24" s="88"/>
      <c r="EA24" s="88"/>
      <c r="EB24" s="88"/>
      <c r="EC24" s="88"/>
      <c r="ED24" s="88"/>
      <c r="EE24" s="88"/>
      <c r="EF24" s="88"/>
      <c r="EG24" s="88"/>
      <c r="EH24" s="88"/>
      <c r="EI24" s="88"/>
      <c r="EJ24" s="88"/>
      <c r="EK24" s="88"/>
      <c r="EL24" s="88"/>
      <c r="EM24" s="88"/>
      <c r="EN24" s="88"/>
      <c r="EO24" s="88"/>
      <c r="EP24" s="88"/>
      <c r="EQ24" s="88"/>
      <c r="ER24" s="88"/>
      <c r="ES24" s="88"/>
      <c r="ET24" s="88"/>
      <c r="EU24" s="88"/>
      <c r="EV24" s="88"/>
      <c r="EW24" s="88"/>
      <c r="EX24" s="88"/>
      <c r="EY24" s="88"/>
      <c r="EZ24" s="88"/>
      <c r="FA24" s="88"/>
      <c r="FB24" s="88"/>
      <c r="FC24" s="88"/>
      <c r="FD24" s="88"/>
      <c r="FE24" s="88"/>
      <c r="FF24" s="88"/>
      <c r="FG24" s="88"/>
      <c r="FH24" s="88"/>
      <c r="FI24" s="88"/>
      <c r="FJ24" s="88"/>
      <c r="FK24" s="88"/>
      <c r="FL24" s="88"/>
      <c r="FM24" s="88"/>
      <c r="FN24" s="88"/>
      <c r="FO24" s="88"/>
      <c r="FP24" s="88"/>
      <c r="FQ24" s="88"/>
      <c r="FR24" s="88"/>
      <c r="FS24" s="88"/>
      <c r="FT24" s="88"/>
      <c r="FU24" s="88"/>
      <c r="FV24" s="88"/>
      <c r="FW24" s="88"/>
      <c r="FX24" s="88"/>
      <c r="FY24" s="88"/>
      <c r="FZ24" s="88"/>
      <c r="GA24" s="88"/>
      <c r="GB24" s="88"/>
      <c r="GC24" s="88"/>
      <c r="GD24" s="88"/>
      <c r="GE24" s="88"/>
      <c r="GF24" s="88"/>
      <c r="GG24" s="88"/>
      <c r="GH24" s="88"/>
      <c r="GI24" s="88"/>
      <c r="GJ24" s="88"/>
      <c r="GK24" s="88"/>
      <c r="GL24" s="88"/>
      <c r="GM24" s="88"/>
      <c r="GN24" s="88"/>
      <c r="GO24" s="88"/>
      <c r="GP24" s="88"/>
      <c r="GQ24" s="88"/>
      <c r="GR24" s="88"/>
      <c r="GS24" s="88"/>
      <c r="GT24" s="88"/>
      <c r="GU24" s="88"/>
      <c r="GV24" s="88"/>
      <c r="GW24" s="88"/>
      <c r="GX24" s="88"/>
      <c r="GY24" s="88"/>
      <c r="GZ24" s="88"/>
      <c r="HA24" s="88"/>
      <c r="HB24" s="88"/>
      <c r="HC24" s="88"/>
      <c r="HD24" s="88"/>
      <c r="HE24" s="88"/>
    </row>
    <row r="25" spans="1:213">
      <c r="A25" s="17" t="s">
        <v>235</v>
      </c>
      <c r="B25" s="284"/>
      <c r="C25" s="10"/>
      <c r="D25" s="88"/>
      <c r="E25" s="88"/>
      <c r="F25" s="88"/>
      <c r="G25" s="88"/>
      <c r="H25" s="88"/>
      <c r="I25" s="88"/>
      <c r="J25" s="88"/>
      <c r="K25" s="88"/>
      <c r="L25" s="88"/>
      <c r="M25" s="88"/>
      <c r="N25" s="88"/>
      <c r="O25" s="88"/>
      <c r="P25" s="88"/>
      <c r="Q25" s="88"/>
      <c r="R25" s="88"/>
      <c r="S25" s="88"/>
      <c r="T25" s="88"/>
      <c r="U25" s="88"/>
      <c r="V25" s="88"/>
      <c r="W25" s="88"/>
      <c r="X25" s="88"/>
      <c r="Y25" s="88"/>
      <c r="Z25" s="88"/>
      <c r="AA25" s="88"/>
      <c r="AB25" s="88"/>
      <c r="AC25" s="88"/>
      <c r="AD25" s="88"/>
      <c r="AE25" s="88"/>
      <c r="AF25" s="88"/>
      <c r="AG25" s="88"/>
      <c r="AH25" s="88"/>
      <c r="AI25" s="88"/>
      <c r="AJ25" s="88"/>
      <c r="AK25" s="88"/>
      <c r="AL25" s="88"/>
      <c r="AM25" s="88"/>
      <c r="AN25" s="88"/>
      <c r="AO25" s="88"/>
      <c r="AP25" s="88"/>
      <c r="AQ25" s="88"/>
      <c r="AR25" s="88"/>
      <c r="AS25" s="88"/>
      <c r="AT25" s="88"/>
      <c r="AU25" s="88"/>
      <c r="AV25" s="88"/>
      <c r="AW25" s="88"/>
      <c r="AX25" s="88"/>
      <c r="AY25" s="88"/>
      <c r="AZ25" s="88"/>
      <c r="BA25" s="88"/>
      <c r="BB25" s="88"/>
      <c r="BC25" s="88"/>
      <c r="BD25" s="88"/>
      <c r="BE25" s="88"/>
      <c r="BF25" s="88"/>
      <c r="BG25" s="88"/>
      <c r="BH25" s="88"/>
      <c r="BI25" s="88"/>
      <c r="BJ25" s="88"/>
      <c r="BK25" s="88"/>
      <c r="BL25" s="88"/>
      <c r="BM25" s="88"/>
      <c r="BN25" s="88"/>
      <c r="BO25" s="88"/>
      <c r="BP25" s="88"/>
      <c r="BQ25" s="88"/>
      <c r="BR25" s="88"/>
      <c r="BS25" s="88"/>
      <c r="BT25" s="88"/>
      <c r="BU25" s="88"/>
      <c r="BV25" s="88"/>
      <c r="BW25" s="88"/>
      <c r="BX25" s="88"/>
      <c r="BY25" s="88"/>
      <c r="BZ25" s="88"/>
      <c r="CA25" s="88"/>
      <c r="CB25" s="88"/>
      <c r="CC25" s="88"/>
      <c r="CD25" s="88"/>
      <c r="CE25" s="88"/>
      <c r="CF25" s="88"/>
      <c r="CG25" s="88"/>
      <c r="CH25" s="88"/>
      <c r="CI25" s="88"/>
      <c r="CJ25" s="88"/>
      <c r="CK25" s="88"/>
      <c r="CL25" s="88"/>
      <c r="CM25" s="88"/>
      <c r="CN25" s="88"/>
      <c r="CO25" s="88"/>
      <c r="CP25" s="88"/>
      <c r="CQ25" s="88"/>
      <c r="CR25" s="88"/>
      <c r="CS25" s="88"/>
      <c r="CT25" s="88"/>
      <c r="CU25" s="88"/>
      <c r="CV25" s="88"/>
      <c r="CW25" s="88"/>
      <c r="CX25" s="88"/>
      <c r="CY25" s="88"/>
      <c r="CZ25" s="88"/>
      <c r="DA25" s="88"/>
      <c r="DB25" s="88"/>
      <c r="DC25" s="88"/>
      <c r="DD25" s="88"/>
      <c r="DE25" s="88"/>
      <c r="DF25" s="88"/>
      <c r="DG25" s="88"/>
      <c r="DH25" s="88"/>
      <c r="DI25" s="88"/>
      <c r="DJ25" s="88"/>
      <c r="DK25" s="88"/>
      <c r="DL25" s="88"/>
      <c r="DM25" s="88"/>
      <c r="DN25" s="88"/>
      <c r="DO25" s="88"/>
      <c r="DP25" s="88"/>
      <c r="DQ25" s="88"/>
      <c r="DR25" s="88"/>
      <c r="DS25" s="88"/>
      <c r="DT25" s="88"/>
      <c r="DU25" s="88"/>
      <c r="DV25" s="88"/>
      <c r="DW25" s="88"/>
      <c r="DX25" s="88"/>
      <c r="DY25" s="88"/>
      <c r="DZ25" s="88"/>
      <c r="EA25" s="88"/>
      <c r="EB25" s="88"/>
      <c r="EC25" s="88"/>
      <c r="ED25" s="88"/>
      <c r="EE25" s="88"/>
      <c r="EF25" s="88"/>
      <c r="EG25" s="88"/>
      <c r="EH25" s="88"/>
      <c r="EI25" s="88"/>
      <c r="EJ25" s="88"/>
      <c r="EK25" s="88"/>
      <c r="EL25" s="88"/>
      <c r="EM25" s="88"/>
      <c r="EN25" s="88"/>
      <c r="EO25" s="88"/>
      <c r="EP25" s="88"/>
      <c r="EQ25" s="88"/>
      <c r="ER25" s="88"/>
      <c r="ES25" s="88"/>
      <c r="ET25" s="88"/>
      <c r="EU25" s="88"/>
      <c r="EV25" s="88"/>
      <c r="EW25" s="88"/>
      <c r="EX25" s="88"/>
      <c r="EY25" s="88"/>
      <c r="EZ25" s="88"/>
      <c r="FA25" s="88"/>
      <c r="FB25" s="88"/>
      <c r="FC25" s="88"/>
      <c r="FD25" s="88"/>
      <c r="FE25" s="88"/>
      <c r="FF25" s="88"/>
      <c r="FG25" s="88"/>
      <c r="FH25" s="88"/>
      <c r="FI25" s="88"/>
      <c r="FJ25" s="88"/>
      <c r="FK25" s="88"/>
      <c r="FL25" s="88"/>
      <c r="FM25" s="88"/>
      <c r="FN25" s="88"/>
      <c r="FO25" s="88"/>
      <c r="FP25" s="88"/>
      <c r="FQ25" s="88"/>
      <c r="FR25" s="88"/>
      <c r="FS25" s="88"/>
      <c r="FT25" s="88"/>
      <c r="FU25" s="88"/>
      <c r="FV25" s="88"/>
      <c r="FW25" s="88"/>
      <c r="FX25" s="88"/>
      <c r="FY25" s="88"/>
      <c r="FZ25" s="88"/>
      <c r="GA25" s="88"/>
      <c r="GB25" s="88"/>
      <c r="GC25" s="88"/>
      <c r="GD25" s="88"/>
      <c r="GE25" s="88"/>
      <c r="GF25" s="88"/>
      <c r="GG25" s="88"/>
      <c r="GH25" s="88"/>
      <c r="GI25" s="88"/>
      <c r="GJ25" s="88"/>
      <c r="GK25" s="88"/>
      <c r="GL25" s="88"/>
      <c r="GM25" s="88"/>
      <c r="GN25" s="88"/>
      <c r="GO25" s="88"/>
      <c r="GP25" s="88"/>
      <c r="GQ25" s="88"/>
      <c r="GR25" s="88"/>
      <c r="GS25" s="88"/>
      <c r="GT25" s="88"/>
      <c r="GU25" s="88"/>
      <c r="GV25" s="88"/>
      <c r="GW25" s="88"/>
      <c r="GX25" s="88"/>
      <c r="GY25" s="88"/>
      <c r="GZ25" s="88"/>
      <c r="HA25" s="88"/>
      <c r="HB25" s="88"/>
      <c r="HC25" s="88"/>
      <c r="HD25" s="88"/>
      <c r="HE25" s="88"/>
    </row>
    <row r="26" spans="1:213">
      <c r="A26" s="1" t="s">
        <v>236</v>
      </c>
      <c r="B26" s="317"/>
      <c r="C26" s="10" t="s">
        <v>237</v>
      </c>
      <c r="D26" s="88"/>
      <c r="E26" s="88"/>
      <c r="F26" s="88"/>
      <c r="G26" s="88"/>
      <c r="H26" s="88"/>
      <c r="I26" s="88"/>
      <c r="J26" s="88"/>
      <c r="K26" s="88"/>
      <c r="L26" s="88"/>
      <c r="M26" s="88"/>
      <c r="N26" s="88"/>
      <c r="O26" s="88"/>
      <c r="P26" s="88"/>
      <c r="Q26" s="88"/>
      <c r="R26" s="88"/>
      <c r="S26" s="88"/>
      <c r="T26" s="88"/>
      <c r="U26" s="88"/>
      <c r="V26" s="88"/>
      <c r="W26" s="88"/>
      <c r="X26" s="88"/>
      <c r="Y26" s="88"/>
      <c r="Z26" s="88"/>
      <c r="AA26" s="88"/>
      <c r="AB26" s="88"/>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88"/>
      <c r="BG26" s="88"/>
      <c r="BH26" s="88"/>
      <c r="BI26" s="88"/>
      <c r="BJ26" s="88"/>
      <c r="BK26" s="88"/>
      <c r="BL26" s="88"/>
      <c r="BM26" s="88"/>
      <c r="BN26" s="88"/>
      <c r="BO26" s="88"/>
      <c r="BP26" s="88"/>
      <c r="BQ26" s="88"/>
      <c r="BR26" s="88"/>
      <c r="BS26" s="88"/>
      <c r="BT26" s="88"/>
      <c r="BU26" s="88"/>
      <c r="BV26" s="88"/>
      <c r="BW26" s="88"/>
      <c r="BX26" s="88"/>
      <c r="BY26" s="88"/>
      <c r="BZ26" s="88"/>
      <c r="CA26" s="88"/>
      <c r="CB26" s="88"/>
      <c r="CC26" s="88"/>
      <c r="CD26" s="88"/>
      <c r="CE26" s="88"/>
      <c r="CF26" s="88"/>
      <c r="CG26" s="88"/>
      <c r="CH26" s="88"/>
      <c r="CI26" s="88"/>
      <c r="CJ26" s="88"/>
      <c r="CK26" s="88"/>
      <c r="CL26" s="88"/>
      <c r="CM26" s="88"/>
      <c r="CN26" s="88"/>
      <c r="CO26" s="88"/>
      <c r="CP26" s="88"/>
      <c r="CQ26" s="88"/>
      <c r="CR26" s="88"/>
      <c r="CS26" s="88"/>
      <c r="CT26" s="88"/>
      <c r="CU26" s="88"/>
      <c r="CV26" s="88"/>
      <c r="CW26" s="88"/>
      <c r="CX26" s="88"/>
      <c r="CY26" s="88"/>
      <c r="CZ26" s="88"/>
      <c r="DA26" s="88"/>
      <c r="DB26" s="88"/>
      <c r="DC26" s="88"/>
      <c r="DD26" s="88"/>
      <c r="DE26" s="88"/>
      <c r="DF26" s="88"/>
      <c r="DG26" s="88"/>
      <c r="DH26" s="88"/>
      <c r="DI26" s="88"/>
      <c r="DJ26" s="88"/>
      <c r="DK26" s="88"/>
      <c r="DL26" s="88"/>
      <c r="DM26" s="88"/>
      <c r="DN26" s="88"/>
      <c r="DO26" s="88"/>
      <c r="DP26" s="88"/>
      <c r="DQ26" s="88"/>
      <c r="DR26" s="88"/>
      <c r="DS26" s="88"/>
      <c r="DT26" s="88"/>
      <c r="DU26" s="88"/>
      <c r="DV26" s="88"/>
      <c r="DW26" s="88"/>
      <c r="DX26" s="88"/>
      <c r="DY26" s="88"/>
      <c r="DZ26" s="88"/>
      <c r="EA26" s="88"/>
      <c r="EB26" s="88"/>
      <c r="EC26" s="88"/>
      <c r="ED26" s="88"/>
      <c r="EE26" s="88"/>
      <c r="EF26" s="88"/>
      <c r="EG26" s="88"/>
      <c r="EH26" s="88"/>
      <c r="EI26" s="88"/>
      <c r="EJ26" s="88"/>
      <c r="EK26" s="88"/>
      <c r="EL26" s="88"/>
      <c r="EM26" s="88"/>
      <c r="EN26" s="88"/>
      <c r="EO26" s="88"/>
      <c r="EP26" s="88"/>
      <c r="EQ26" s="88"/>
      <c r="ER26" s="88"/>
      <c r="ES26" s="88"/>
      <c r="ET26" s="88"/>
      <c r="EU26" s="88"/>
      <c r="EV26" s="88"/>
      <c r="EW26" s="88"/>
      <c r="EX26" s="88"/>
      <c r="EY26" s="88"/>
      <c r="EZ26" s="88"/>
      <c r="FA26" s="88"/>
      <c r="FB26" s="88"/>
      <c r="FC26" s="88"/>
      <c r="FD26" s="88"/>
      <c r="FE26" s="88"/>
      <c r="FF26" s="88"/>
      <c r="FG26" s="88"/>
      <c r="FH26" s="88"/>
      <c r="FI26" s="88"/>
      <c r="FJ26" s="88"/>
      <c r="FK26" s="88"/>
      <c r="FL26" s="88"/>
      <c r="FM26" s="88"/>
      <c r="FN26" s="88"/>
      <c r="FO26" s="88"/>
      <c r="FP26" s="88"/>
      <c r="FQ26" s="88"/>
      <c r="FR26" s="88"/>
      <c r="FS26" s="88"/>
      <c r="FT26" s="88"/>
      <c r="FU26" s="88"/>
      <c r="FV26" s="88"/>
      <c r="FW26" s="88"/>
      <c r="FX26" s="88"/>
      <c r="FY26" s="88"/>
      <c r="FZ26" s="88"/>
      <c r="GA26" s="88"/>
      <c r="GB26" s="88"/>
      <c r="GC26" s="88"/>
      <c r="GD26" s="88"/>
      <c r="GE26" s="88"/>
      <c r="GF26" s="88"/>
      <c r="GG26" s="88"/>
      <c r="GH26" s="88"/>
      <c r="GI26" s="88"/>
      <c r="GJ26" s="88"/>
      <c r="GK26" s="88"/>
      <c r="GL26" s="88"/>
      <c r="GM26" s="88"/>
      <c r="GN26" s="88"/>
      <c r="GO26" s="88"/>
      <c r="GP26" s="88"/>
      <c r="GQ26" s="88"/>
      <c r="GR26" s="88"/>
      <c r="GS26" s="88"/>
      <c r="GT26" s="88"/>
      <c r="GU26" s="88"/>
      <c r="GV26" s="88"/>
      <c r="GW26" s="88"/>
      <c r="GX26" s="88"/>
      <c r="GY26" s="88"/>
      <c r="GZ26" s="88"/>
      <c r="HA26" s="88"/>
      <c r="HB26" s="88"/>
      <c r="HC26" s="88"/>
      <c r="HD26" s="88"/>
      <c r="HE26" s="88"/>
    </row>
    <row r="27" spans="1:213">
      <c r="A27" s="88"/>
      <c r="B27" s="88"/>
      <c r="C27" s="88"/>
      <c r="D27" s="88"/>
      <c r="E27" s="88"/>
      <c r="F27" s="88"/>
      <c r="G27" s="88"/>
      <c r="H27" s="88"/>
      <c r="I27" s="88"/>
      <c r="J27" s="88"/>
      <c r="K27" s="88"/>
      <c r="L27" s="88"/>
      <c r="M27" s="88"/>
      <c r="N27" s="88"/>
      <c r="O27" s="88"/>
      <c r="P27" s="88"/>
      <c r="Q27" s="88"/>
      <c r="R27" s="88"/>
      <c r="S27" s="88"/>
      <c r="T27" s="88"/>
      <c r="U27" s="88"/>
      <c r="V27" s="88"/>
      <c r="W27" s="88"/>
      <c r="X27" s="88"/>
      <c r="Y27" s="88"/>
      <c r="Z27" s="88"/>
      <c r="AA27" s="88"/>
      <c r="AB27" s="88"/>
      <c r="AC27" s="88"/>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D27" s="88"/>
      <c r="BE27" s="88"/>
      <c r="BF27" s="88"/>
      <c r="BG27" s="88"/>
      <c r="BH27" s="88"/>
      <c r="BI27" s="88"/>
      <c r="BJ27" s="88"/>
      <c r="BK27" s="88"/>
      <c r="BL27" s="88"/>
      <c r="BM27" s="88"/>
      <c r="BN27" s="88"/>
      <c r="BO27" s="88"/>
      <c r="BP27" s="88"/>
      <c r="BQ27" s="88"/>
      <c r="BR27" s="88"/>
      <c r="BS27" s="88"/>
      <c r="BT27" s="88"/>
      <c r="BU27" s="88"/>
      <c r="BV27" s="88"/>
      <c r="BW27" s="88"/>
      <c r="BX27" s="88"/>
      <c r="BY27" s="88"/>
      <c r="BZ27" s="88"/>
      <c r="CA27" s="88"/>
      <c r="CB27" s="88"/>
      <c r="CC27" s="88"/>
      <c r="CD27" s="88"/>
      <c r="CE27" s="88"/>
      <c r="CF27" s="88"/>
      <c r="CG27" s="88"/>
      <c r="CH27" s="88"/>
      <c r="CI27" s="88"/>
      <c r="CJ27" s="88"/>
      <c r="CK27" s="88"/>
      <c r="CL27" s="88"/>
      <c r="CM27" s="88"/>
      <c r="CN27" s="88"/>
      <c r="CO27" s="88"/>
      <c r="CP27" s="88"/>
      <c r="CQ27" s="88"/>
      <c r="CR27" s="88"/>
      <c r="CS27" s="88"/>
      <c r="CT27" s="88"/>
      <c r="CU27" s="88"/>
      <c r="CV27" s="88"/>
      <c r="CW27" s="88"/>
      <c r="CX27" s="88"/>
      <c r="CY27" s="88"/>
      <c r="CZ27" s="88"/>
      <c r="DA27" s="88"/>
      <c r="DB27" s="88"/>
      <c r="DC27" s="88"/>
      <c r="DD27" s="88"/>
      <c r="DE27" s="88"/>
      <c r="DF27" s="88"/>
      <c r="DG27" s="88"/>
      <c r="DH27" s="88"/>
      <c r="DI27" s="88"/>
      <c r="DJ27" s="88"/>
      <c r="DK27" s="88"/>
      <c r="DL27" s="88"/>
      <c r="DM27" s="88"/>
      <c r="DN27" s="88"/>
      <c r="DO27" s="88"/>
      <c r="DP27" s="88"/>
      <c r="DQ27" s="88"/>
      <c r="DR27" s="88"/>
      <c r="DS27" s="88"/>
      <c r="DT27" s="88"/>
      <c r="DU27" s="88"/>
      <c r="DV27" s="88"/>
      <c r="DW27" s="88"/>
      <c r="DX27" s="88"/>
      <c r="DY27" s="88"/>
      <c r="DZ27" s="88"/>
      <c r="EA27" s="88"/>
      <c r="EB27" s="88"/>
      <c r="EC27" s="88"/>
      <c r="ED27" s="88"/>
      <c r="EE27" s="88"/>
      <c r="EF27" s="88"/>
      <c r="EG27" s="88"/>
      <c r="EH27" s="88"/>
      <c r="EI27" s="88"/>
      <c r="EJ27" s="88"/>
      <c r="EK27" s="88"/>
      <c r="EL27" s="88"/>
      <c r="EM27" s="88"/>
      <c r="EN27" s="88"/>
      <c r="EO27" s="88"/>
      <c r="EP27" s="88"/>
      <c r="EQ27" s="88"/>
      <c r="ER27" s="88"/>
      <c r="ES27" s="88"/>
      <c r="ET27" s="88"/>
      <c r="EU27" s="88"/>
      <c r="EV27" s="88"/>
      <c r="EW27" s="88"/>
      <c r="EX27" s="88"/>
      <c r="EY27" s="88"/>
      <c r="EZ27" s="88"/>
      <c r="FA27" s="88"/>
      <c r="FB27" s="88"/>
      <c r="FC27" s="88"/>
      <c r="FD27" s="88"/>
      <c r="FE27" s="88"/>
      <c r="FF27" s="88"/>
      <c r="FG27" s="88"/>
      <c r="FH27" s="88"/>
      <c r="FI27" s="88"/>
      <c r="FJ27" s="88"/>
      <c r="FK27" s="88"/>
      <c r="FL27" s="88"/>
      <c r="FM27" s="88"/>
      <c r="FN27" s="88"/>
      <c r="FO27" s="88"/>
      <c r="FP27" s="88"/>
      <c r="FQ27" s="88"/>
      <c r="FR27" s="88"/>
      <c r="FS27" s="88"/>
      <c r="FT27" s="88"/>
      <c r="FU27" s="88"/>
      <c r="FV27" s="88"/>
      <c r="FW27" s="88"/>
      <c r="FX27" s="88"/>
      <c r="FY27" s="88"/>
      <c r="FZ27" s="88"/>
      <c r="GA27" s="88"/>
      <c r="GB27" s="88"/>
      <c r="GC27" s="88"/>
      <c r="GD27" s="88"/>
      <c r="GE27" s="88"/>
      <c r="GF27" s="88"/>
      <c r="GG27" s="88"/>
      <c r="GH27" s="88"/>
      <c r="GI27" s="88"/>
      <c r="GJ27" s="88"/>
      <c r="GK27" s="88"/>
      <c r="GL27" s="88"/>
      <c r="GM27" s="88"/>
      <c r="GN27" s="88"/>
      <c r="GO27" s="88"/>
      <c r="GP27" s="88"/>
      <c r="GQ27" s="88"/>
      <c r="GR27" s="88"/>
      <c r="GS27" s="88"/>
      <c r="GT27" s="88"/>
      <c r="GU27" s="88"/>
      <c r="GV27" s="88"/>
      <c r="GW27" s="88"/>
      <c r="GX27" s="88"/>
      <c r="GY27" s="88"/>
      <c r="GZ27" s="88"/>
      <c r="HA27" s="88"/>
      <c r="HB27" s="88"/>
      <c r="HC27" s="88"/>
      <c r="HD27" s="88"/>
      <c r="HE27" s="88"/>
    </row>
    <row r="28" spans="1:213">
      <c r="A28" s="3" t="s">
        <v>238</v>
      </c>
      <c r="B28" s="3"/>
      <c r="C28" s="3"/>
      <c r="D28" s="447"/>
      <c r="E28" s="88"/>
      <c r="F28" s="88"/>
      <c r="G28" s="88"/>
      <c r="H28" s="88"/>
      <c r="I28" s="88"/>
      <c r="J28" s="88"/>
      <c r="K28" s="88"/>
      <c r="L28" s="88"/>
      <c r="M28" s="88"/>
      <c r="N28" s="88"/>
      <c r="O28" s="88"/>
      <c r="P28" s="88"/>
      <c r="Q28" s="88"/>
      <c r="R28" s="88"/>
      <c r="S28" s="88"/>
      <c r="T28" s="88"/>
      <c r="U28" s="88"/>
      <c r="V28" s="88"/>
      <c r="W28" s="88"/>
      <c r="X28" s="88"/>
      <c r="Y28" s="88"/>
      <c r="Z28" s="88"/>
      <c r="AA28" s="88"/>
      <c r="AB28" s="88"/>
      <c r="AC28" s="88"/>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G28" s="88"/>
      <c r="BH28" s="88"/>
      <c r="BI28" s="88"/>
      <c r="BJ28" s="88"/>
      <c r="BK28" s="88"/>
      <c r="BL28" s="88"/>
      <c r="BM28" s="88"/>
      <c r="BN28" s="88"/>
      <c r="BO28" s="88"/>
      <c r="BP28" s="88"/>
      <c r="BQ28" s="88"/>
      <c r="BR28" s="88"/>
      <c r="BS28" s="88"/>
      <c r="BT28" s="88"/>
      <c r="BU28" s="88"/>
      <c r="BV28" s="88"/>
      <c r="BW28" s="88"/>
      <c r="BX28" s="88"/>
      <c r="BY28" s="88"/>
      <c r="BZ28" s="88"/>
      <c r="CA28" s="88"/>
      <c r="CB28" s="88"/>
      <c r="CC28" s="88"/>
      <c r="CD28" s="88"/>
      <c r="CE28" s="88"/>
      <c r="CF28" s="88"/>
      <c r="CG28" s="88"/>
      <c r="CH28" s="88"/>
      <c r="CI28" s="88"/>
      <c r="CJ28" s="88"/>
      <c r="CK28" s="88"/>
      <c r="CL28" s="88"/>
      <c r="CM28" s="88"/>
      <c r="CN28" s="88"/>
      <c r="CO28" s="88"/>
      <c r="CP28" s="88"/>
      <c r="CQ28" s="88"/>
      <c r="CR28" s="88"/>
      <c r="CS28" s="88"/>
      <c r="CT28" s="88"/>
      <c r="CU28" s="88"/>
      <c r="CV28" s="88"/>
      <c r="CW28" s="88"/>
      <c r="CX28" s="88"/>
      <c r="CY28" s="88"/>
      <c r="CZ28" s="88"/>
      <c r="DA28" s="88"/>
      <c r="DB28" s="88"/>
      <c r="DC28" s="88"/>
      <c r="DD28" s="88"/>
      <c r="DE28" s="88"/>
      <c r="DF28" s="88"/>
      <c r="DG28" s="88"/>
      <c r="DH28" s="88"/>
      <c r="DI28" s="88"/>
      <c r="DJ28" s="88"/>
      <c r="DK28" s="88"/>
      <c r="DL28" s="88"/>
      <c r="DM28" s="88"/>
      <c r="DN28" s="88"/>
      <c r="DO28" s="88"/>
      <c r="DP28" s="88"/>
      <c r="DQ28" s="88"/>
      <c r="DR28" s="88"/>
      <c r="DS28" s="88"/>
      <c r="DT28" s="88"/>
      <c r="DU28" s="88"/>
      <c r="DV28" s="88"/>
      <c r="DW28" s="88"/>
      <c r="DX28" s="88"/>
      <c r="DY28" s="88"/>
      <c r="DZ28" s="88"/>
      <c r="EA28" s="88"/>
      <c r="EB28" s="88"/>
      <c r="EC28" s="88"/>
      <c r="ED28" s="88"/>
      <c r="EE28" s="88"/>
      <c r="EF28" s="88"/>
      <c r="EG28" s="88"/>
      <c r="EH28" s="88"/>
      <c r="EI28" s="88"/>
      <c r="EJ28" s="88"/>
      <c r="EK28" s="88"/>
      <c r="EL28" s="88"/>
      <c r="EM28" s="88"/>
      <c r="EN28" s="88"/>
      <c r="EO28" s="88"/>
      <c r="EP28" s="88"/>
      <c r="EQ28" s="88"/>
      <c r="ER28" s="88"/>
      <c r="ES28" s="88"/>
      <c r="ET28" s="88"/>
      <c r="EU28" s="88"/>
      <c r="EV28" s="88"/>
      <c r="EW28" s="88"/>
      <c r="EX28" s="88"/>
      <c r="EY28" s="88"/>
      <c r="EZ28" s="88"/>
      <c r="FA28" s="88"/>
      <c r="FB28" s="88"/>
      <c r="FC28" s="88"/>
      <c r="FD28" s="88"/>
      <c r="FE28" s="88"/>
      <c r="FF28" s="88"/>
      <c r="FG28" s="88"/>
      <c r="FH28" s="88"/>
      <c r="FI28" s="88"/>
      <c r="FJ28" s="88"/>
      <c r="FK28" s="88"/>
      <c r="FL28" s="88"/>
      <c r="FM28" s="88"/>
      <c r="FN28" s="88"/>
      <c r="FO28" s="88"/>
      <c r="FP28" s="88"/>
      <c r="FQ28" s="88"/>
      <c r="FR28" s="88"/>
      <c r="FS28" s="88"/>
      <c r="FT28" s="88"/>
      <c r="FU28" s="88"/>
      <c r="FV28" s="88"/>
      <c r="FW28" s="88"/>
      <c r="FX28" s="88"/>
      <c r="FY28" s="88"/>
      <c r="FZ28" s="88"/>
      <c r="GA28" s="88"/>
      <c r="GB28" s="88"/>
      <c r="GC28" s="88"/>
      <c r="GD28" s="88"/>
      <c r="GE28" s="88"/>
      <c r="GF28" s="88"/>
      <c r="GG28" s="88"/>
      <c r="GH28" s="88"/>
      <c r="GI28" s="88"/>
      <c r="GJ28" s="88"/>
      <c r="GK28" s="88"/>
      <c r="GL28" s="88"/>
      <c r="GM28" s="88"/>
      <c r="GN28" s="88"/>
      <c r="GO28" s="88"/>
      <c r="GP28" s="88"/>
      <c r="GQ28" s="88"/>
      <c r="GR28" s="88"/>
      <c r="GS28" s="88"/>
      <c r="GT28" s="88"/>
      <c r="GU28" s="88"/>
      <c r="GV28" s="88"/>
      <c r="GW28" s="88"/>
      <c r="GX28" s="88"/>
      <c r="GY28" s="88"/>
      <c r="GZ28" s="88"/>
      <c r="HA28" s="88"/>
      <c r="HB28" s="88"/>
      <c r="HC28" s="88"/>
      <c r="HD28" s="88"/>
      <c r="HE28" s="88"/>
    </row>
    <row r="29" spans="1:213">
      <c r="A29" s="1" t="s">
        <v>137</v>
      </c>
      <c r="B29" s="284"/>
      <c r="C29" s="62"/>
      <c r="D29" s="88"/>
      <c r="E29" s="88"/>
      <c r="F29" s="88"/>
      <c r="G29" s="88"/>
      <c r="H29" s="88"/>
      <c r="I29" s="88"/>
      <c r="J29" s="88"/>
      <c r="K29" s="88"/>
      <c r="L29" s="88"/>
      <c r="M29" s="88"/>
      <c r="N29" s="88"/>
      <c r="O29" s="88"/>
      <c r="P29" s="88"/>
      <c r="Q29" s="88"/>
      <c r="R29" s="88"/>
      <c r="S29" s="88"/>
      <c r="T29" s="88"/>
      <c r="U29" s="88"/>
      <c r="V29" s="88"/>
      <c r="W29" s="88"/>
      <c r="X29" s="88"/>
      <c r="Y29" s="88"/>
      <c r="Z29" s="88"/>
      <c r="AA29" s="88"/>
      <c r="AB29" s="88"/>
      <c r="AC29" s="88"/>
      <c r="AD29" s="88"/>
      <c r="AE29" s="88"/>
      <c r="AF29" s="88"/>
      <c r="AG29" s="88"/>
      <c r="AH29" s="88"/>
      <c r="AI29" s="88"/>
      <c r="AJ29" s="88"/>
      <c r="AK29" s="88"/>
      <c r="AL29" s="88"/>
      <c r="AM29" s="88"/>
      <c r="AN29" s="88"/>
      <c r="AO29" s="88"/>
      <c r="AP29" s="88"/>
      <c r="AQ29" s="88"/>
      <c r="AR29" s="88"/>
      <c r="AS29" s="88"/>
      <c r="AT29" s="88"/>
      <c r="AU29" s="88"/>
      <c r="AV29" s="88"/>
      <c r="AW29" s="88"/>
      <c r="AX29" s="88"/>
      <c r="AY29" s="88"/>
      <c r="AZ29" s="88"/>
      <c r="BA29" s="88"/>
      <c r="BB29" s="88"/>
      <c r="BC29" s="88"/>
      <c r="BD29" s="88"/>
      <c r="BE29" s="88"/>
      <c r="BF29" s="88"/>
      <c r="BG29" s="88"/>
      <c r="BH29" s="88"/>
      <c r="BI29" s="88"/>
      <c r="BJ29" s="88"/>
      <c r="BK29" s="88"/>
      <c r="BL29" s="88"/>
      <c r="BM29" s="88"/>
      <c r="BN29" s="88"/>
      <c r="BO29" s="88"/>
      <c r="BP29" s="88"/>
      <c r="BQ29" s="88"/>
      <c r="BR29" s="88"/>
      <c r="BS29" s="88"/>
      <c r="BT29" s="88"/>
      <c r="BU29" s="88"/>
      <c r="BV29" s="88"/>
      <c r="BW29" s="88"/>
      <c r="BX29" s="88"/>
      <c r="BY29" s="88"/>
      <c r="BZ29" s="88"/>
      <c r="CA29" s="88"/>
      <c r="CB29" s="88"/>
      <c r="CC29" s="88"/>
      <c r="CD29" s="88"/>
      <c r="CE29" s="88"/>
      <c r="CF29" s="88"/>
      <c r="CG29" s="88"/>
      <c r="CH29" s="88"/>
      <c r="CI29" s="88"/>
      <c r="CJ29" s="88"/>
      <c r="CK29" s="88"/>
      <c r="CL29" s="88"/>
      <c r="CM29" s="88"/>
      <c r="CN29" s="88"/>
      <c r="CO29" s="88"/>
      <c r="CP29" s="88"/>
      <c r="CQ29" s="88"/>
      <c r="CR29" s="88"/>
      <c r="CS29" s="88"/>
      <c r="CT29" s="88"/>
      <c r="CU29" s="88"/>
      <c r="CV29" s="88"/>
      <c r="CW29" s="88"/>
      <c r="CX29" s="88"/>
      <c r="CY29" s="88"/>
      <c r="CZ29" s="88"/>
      <c r="DA29" s="88"/>
      <c r="DB29" s="88"/>
      <c r="DC29" s="88"/>
      <c r="DD29" s="88"/>
      <c r="DE29" s="88"/>
      <c r="DF29" s="88"/>
      <c r="DG29" s="88"/>
      <c r="DH29" s="88"/>
      <c r="DI29" s="88"/>
      <c r="DJ29" s="88"/>
      <c r="DK29" s="88"/>
      <c r="DL29" s="88"/>
      <c r="DM29" s="88"/>
      <c r="DN29" s="88"/>
      <c r="DO29" s="88"/>
      <c r="DP29" s="88"/>
      <c r="DQ29" s="88"/>
      <c r="DR29" s="88"/>
      <c r="DS29" s="88"/>
      <c r="DT29" s="88"/>
      <c r="DU29" s="88"/>
      <c r="DV29" s="88"/>
      <c r="DW29" s="88"/>
      <c r="DX29" s="88"/>
      <c r="DY29" s="88"/>
      <c r="DZ29" s="88"/>
      <c r="EA29" s="88"/>
      <c r="EB29" s="88"/>
      <c r="EC29" s="88"/>
      <c r="ED29" s="88"/>
      <c r="EE29" s="88"/>
      <c r="EF29" s="88"/>
      <c r="EG29" s="88"/>
      <c r="EH29" s="88"/>
      <c r="EI29" s="88"/>
      <c r="EJ29" s="88"/>
      <c r="EK29" s="88"/>
      <c r="EL29" s="88"/>
      <c r="EM29" s="88"/>
      <c r="EN29" s="88"/>
      <c r="EO29" s="88"/>
      <c r="EP29" s="88"/>
      <c r="EQ29" s="88"/>
      <c r="ER29" s="88"/>
      <c r="ES29" s="88"/>
      <c r="ET29" s="88"/>
      <c r="EU29" s="88"/>
      <c r="EV29" s="88"/>
      <c r="EW29" s="88"/>
      <c r="EX29" s="88"/>
      <c r="EY29" s="88"/>
      <c r="EZ29" s="88"/>
      <c r="FA29" s="88"/>
      <c r="FB29" s="88"/>
      <c r="FC29" s="88"/>
      <c r="FD29" s="88"/>
      <c r="FE29" s="88"/>
      <c r="FF29" s="88"/>
      <c r="FG29" s="88"/>
      <c r="FH29" s="88"/>
      <c r="FI29" s="88"/>
      <c r="FJ29" s="88"/>
      <c r="FK29" s="88"/>
      <c r="FL29" s="88"/>
      <c r="FM29" s="88"/>
      <c r="FN29" s="88"/>
      <c r="FO29" s="88"/>
      <c r="FP29" s="88"/>
      <c r="FQ29" s="88"/>
      <c r="FR29" s="88"/>
      <c r="FS29" s="88"/>
      <c r="FT29" s="88"/>
      <c r="FU29" s="88"/>
      <c r="FV29" s="88"/>
      <c r="FW29" s="88"/>
      <c r="FX29" s="88"/>
      <c r="FY29" s="88"/>
      <c r="FZ29" s="88"/>
      <c r="GA29" s="88"/>
      <c r="GB29" s="88"/>
      <c r="GC29" s="88"/>
      <c r="GD29" s="88"/>
      <c r="GE29" s="88"/>
      <c r="GF29" s="88"/>
      <c r="GG29" s="88"/>
      <c r="GH29" s="88"/>
      <c r="GI29" s="88"/>
      <c r="GJ29" s="88"/>
      <c r="GK29" s="88"/>
      <c r="GL29" s="88"/>
      <c r="GM29" s="88"/>
      <c r="GN29" s="88"/>
      <c r="GO29" s="88"/>
      <c r="GP29" s="88"/>
      <c r="GQ29" s="88"/>
      <c r="GR29" s="88"/>
      <c r="GS29" s="88"/>
      <c r="GT29" s="88"/>
      <c r="GU29" s="88"/>
      <c r="GV29" s="88"/>
      <c r="GW29" s="88"/>
      <c r="GX29" s="88"/>
      <c r="GY29" s="88"/>
      <c r="GZ29" s="88"/>
      <c r="HA29" s="88"/>
      <c r="HB29" s="88"/>
      <c r="HC29" s="88"/>
      <c r="HD29" s="88"/>
      <c r="HE29" s="88"/>
    </row>
    <row r="30" spans="1:213">
      <c r="A30" s="1" t="s">
        <v>122</v>
      </c>
      <c r="B30" s="284"/>
      <c r="C30" s="10"/>
      <c r="D30" s="88"/>
      <c r="E30" s="88"/>
      <c r="F30" s="88"/>
      <c r="G30" s="88"/>
      <c r="H30" s="88"/>
      <c r="I30" s="88"/>
      <c r="J30" s="88"/>
      <c r="K30" s="88"/>
      <c r="L30" s="88"/>
      <c r="M30" s="88"/>
      <c r="N30" s="88"/>
      <c r="O30" s="88"/>
      <c r="P30" s="88"/>
      <c r="Q30" s="88"/>
      <c r="R30" s="88"/>
      <c r="S30" s="88"/>
      <c r="T30" s="88"/>
      <c r="U30" s="88"/>
      <c r="V30" s="88"/>
      <c r="W30" s="88"/>
      <c r="X30" s="88"/>
      <c r="Y30" s="88"/>
      <c r="Z30" s="88"/>
      <c r="AA30" s="88"/>
      <c r="AB30" s="88"/>
      <c r="AC30" s="88"/>
      <c r="AD30" s="88"/>
      <c r="AE30" s="88"/>
      <c r="AF30" s="88"/>
      <c r="AG30" s="88"/>
      <c r="AH30" s="88"/>
      <c r="AI30" s="88"/>
      <c r="AJ30" s="88"/>
      <c r="AK30" s="88"/>
      <c r="AL30" s="88"/>
      <c r="AM30" s="88"/>
      <c r="AN30" s="88"/>
      <c r="AO30" s="88"/>
      <c r="AP30" s="88"/>
      <c r="AQ30" s="88"/>
      <c r="AR30" s="88"/>
      <c r="AS30" s="88"/>
      <c r="AT30" s="88"/>
      <c r="AU30" s="88"/>
      <c r="AV30" s="88"/>
      <c r="AW30" s="88"/>
      <c r="AX30" s="88"/>
      <c r="AY30" s="88"/>
      <c r="AZ30" s="88"/>
      <c r="BA30" s="88"/>
      <c r="BB30" s="88"/>
      <c r="BC30" s="88"/>
      <c r="BD30" s="88"/>
      <c r="BE30" s="88"/>
      <c r="BF30" s="88"/>
      <c r="BG30" s="88"/>
      <c r="BH30" s="88"/>
      <c r="BI30" s="88"/>
      <c r="BJ30" s="88"/>
      <c r="BK30" s="88"/>
      <c r="BL30" s="88"/>
      <c r="BM30" s="88"/>
      <c r="BN30" s="88"/>
      <c r="BO30" s="88"/>
      <c r="BP30" s="88"/>
      <c r="BQ30" s="88"/>
      <c r="BR30" s="88"/>
      <c r="BS30" s="88"/>
      <c r="BT30" s="88"/>
      <c r="BU30" s="88"/>
      <c r="BV30" s="88"/>
      <c r="BW30" s="88"/>
      <c r="BX30" s="88"/>
      <c r="BY30" s="88"/>
      <c r="BZ30" s="88"/>
      <c r="CA30" s="88"/>
      <c r="CB30" s="88"/>
      <c r="CC30" s="88"/>
      <c r="CD30" s="88"/>
      <c r="CE30" s="88"/>
      <c r="CF30" s="88"/>
      <c r="CG30" s="88"/>
      <c r="CH30" s="88"/>
      <c r="CI30" s="88"/>
      <c r="CJ30" s="88"/>
      <c r="CK30" s="88"/>
      <c r="CL30" s="88"/>
      <c r="CM30" s="88"/>
      <c r="CN30" s="88"/>
      <c r="CO30" s="88"/>
      <c r="CP30" s="88"/>
      <c r="CQ30" s="88"/>
      <c r="CR30" s="88"/>
      <c r="CS30" s="88"/>
      <c r="CT30" s="88"/>
      <c r="CU30" s="88"/>
      <c r="CV30" s="88"/>
      <c r="CW30" s="88"/>
      <c r="CX30" s="88"/>
      <c r="CY30" s="88"/>
      <c r="CZ30" s="88"/>
      <c r="DA30" s="88"/>
      <c r="DB30" s="88"/>
      <c r="DC30" s="88"/>
      <c r="DD30" s="88"/>
      <c r="DE30" s="88"/>
      <c r="DF30" s="88"/>
      <c r="DG30" s="88"/>
      <c r="DH30" s="88"/>
      <c r="DI30" s="88"/>
      <c r="DJ30" s="88"/>
      <c r="DK30" s="88"/>
      <c r="DL30" s="88"/>
      <c r="DM30" s="88"/>
      <c r="DN30" s="88"/>
      <c r="DO30" s="88"/>
      <c r="DP30" s="88"/>
      <c r="DQ30" s="88"/>
      <c r="DR30" s="88"/>
      <c r="DS30" s="88"/>
      <c r="DT30" s="88"/>
      <c r="DU30" s="88"/>
      <c r="DV30" s="88"/>
      <c r="DW30" s="88"/>
      <c r="DX30" s="88"/>
      <c r="DY30" s="88"/>
      <c r="DZ30" s="88"/>
      <c r="EA30" s="88"/>
      <c r="EB30" s="88"/>
      <c r="EC30" s="88"/>
      <c r="ED30" s="88"/>
      <c r="EE30" s="88"/>
      <c r="EF30" s="88"/>
      <c r="EG30" s="88"/>
      <c r="EH30" s="88"/>
      <c r="EI30" s="88"/>
      <c r="EJ30" s="88"/>
      <c r="EK30" s="88"/>
      <c r="EL30" s="88"/>
      <c r="EM30" s="88"/>
      <c r="EN30" s="88"/>
      <c r="EO30" s="88"/>
      <c r="EP30" s="88"/>
      <c r="EQ30" s="88"/>
      <c r="ER30" s="88"/>
      <c r="ES30" s="88"/>
      <c r="ET30" s="88"/>
      <c r="EU30" s="88"/>
      <c r="EV30" s="88"/>
      <c r="EW30" s="88"/>
      <c r="EX30" s="88"/>
      <c r="EY30" s="88"/>
      <c r="EZ30" s="88"/>
      <c r="FA30" s="88"/>
      <c r="FB30" s="88"/>
      <c r="FC30" s="88"/>
      <c r="FD30" s="88"/>
      <c r="FE30" s="88"/>
      <c r="FF30" s="88"/>
      <c r="FG30" s="88"/>
      <c r="FH30" s="88"/>
      <c r="FI30" s="88"/>
      <c r="FJ30" s="88"/>
      <c r="FK30" s="88"/>
      <c r="FL30" s="88"/>
      <c r="FM30" s="88"/>
      <c r="FN30" s="88"/>
      <c r="FO30" s="88"/>
      <c r="FP30" s="88"/>
      <c r="FQ30" s="88"/>
      <c r="FR30" s="88"/>
      <c r="FS30" s="88"/>
      <c r="FT30" s="88"/>
      <c r="FU30" s="88"/>
      <c r="FV30" s="88"/>
      <c r="FW30" s="88"/>
      <c r="FX30" s="88"/>
      <c r="FY30" s="88"/>
      <c r="FZ30" s="88"/>
      <c r="GA30" s="88"/>
      <c r="GB30" s="88"/>
      <c r="GC30" s="88"/>
      <c r="GD30" s="88"/>
      <c r="GE30" s="88"/>
      <c r="GF30" s="88"/>
      <c r="GG30" s="88"/>
      <c r="GH30" s="88"/>
      <c r="GI30" s="88"/>
      <c r="GJ30" s="88"/>
      <c r="GK30" s="88"/>
      <c r="GL30" s="88"/>
      <c r="GM30" s="88"/>
      <c r="GN30" s="88"/>
      <c r="GO30" s="88"/>
      <c r="GP30" s="88"/>
      <c r="GQ30" s="88"/>
      <c r="GR30" s="88"/>
      <c r="GS30" s="88"/>
      <c r="GT30" s="88"/>
      <c r="GU30" s="88"/>
      <c r="GV30" s="88"/>
      <c r="GW30" s="88"/>
      <c r="GX30" s="88"/>
      <c r="GY30" s="88"/>
      <c r="GZ30" s="88"/>
      <c r="HA30" s="88"/>
      <c r="HB30" s="88"/>
      <c r="HC30" s="88"/>
      <c r="HD30" s="88"/>
      <c r="HE30" s="88"/>
    </row>
    <row r="31" spans="1:213">
      <c r="A31" s="60" t="s">
        <v>239</v>
      </c>
      <c r="B31" s="284"/>
      <c r="C31" s="10"/>
      <c r="D31" s="88"/>
      <c r="E31" s="88"/>
      <c r="F31" s="88"/>
      <c r="G31" s="88"/>
      <c r="H31" s="88"/>
      <c r="I31" s="88"/>
      <c r="J31" s="88"/>
      <c r="K31" s="88"/>
      <c r="L31" s="88"/>
      <c r="M31" s="88"/>
      <c r="N31" s="88"/>
      <c r="O31" s="88"/>
      <c r="P31" s="88"/>
      <c r="Q31" s="88"/>
      <c r="R31" s="88"/>
      <c r="S31" s="88"/>
      <c r="T31" s="88"/>
      <c r="U31" s="88"/>
      <c r="V31" s="88"/>
      <c r="W31" s="88"/>
      <c r="X31" s="88"/>
      <c r="Y31" s="88"/>
      <c r="Z31" s="88"/>
      <c r="AA31" s="88"/>
      <c r="AB31" s="88"/>
      <c r="AC31" s="88"/>
      <c r="AD31" s="88"/>
      <c r="AE31" s="88"/>
      <c r="AF31" s="88"/>
      <c r="AG31" s="88"/>
      <c r="AH31" s="88"/>
      <c r="AI31" s="88"/>
      <c r="AJ31" s="88"/>
      <c r="AK31" s="88"/>
      <c r="AL31" s="88"/>
      <c r="AM31" s="88"/>
      <c r="AN31" s="88"/>
      <c r="AO31" s="88"/>
      <c r="AP31" s="88"/>
      <c r="AQ31" s="88"/>
      <c r="AR31" s="88"/>
      <c r="AS31" s="88"/>
      <c r="AT31" s="88"/>
      <c r="AU31" s="88"/>
      <c r="AV31" s="88"/>
      <c r="AW31" s="88"/>
      <c r="AX31" s="88"/>
      <c r="AY31" s="88"/>
      <c r="AZ31" s="88"/>
      <c r="BA31" s="88"/>
      <c r="BB31" s="88"/>
      <c r="BC31" s="88"/>
      <c r="BD31" s="88"/>
      <c r="BE31" s="88"/>
      <c r="BF31" s="88"/>
      <c r="BG31" s="88"/>
      <c r="BH31" s="88"/>
      <c r="BI31" s="88"/>
      <c r="BJ31" s="88"/>
      <c r="BK31" s="88"/>
      <c r="BL31" s="88"/>
      <c r="BM31" s="88"/>
      <c r="BN31" s="88"/>
      <c r="BO31" s="88"/>
      <c r="BP31" s="88"/>
      <c r="BQ31" s="88"/>
      <c r="BR31" s="88"/>
      <c r="BS31" s="88"/>
      <c r="BT31" s="88"/>
      <c r="BU31" s="88"/>
      <c r="BV31" s="88"/>
      <c r="BW31" s="88"/>
      <c r="BX31" s="88"/>
      <c r="BY31" s="88"/>
      <c r="BZ31" s="88"/>
      <c r="CA31" s="88"/>
      <c r="CB31" s="88"/>
      <c r="CC31" s="88"/>
      <c r="CD31" s="88"/>
      <c r="CE31" s="88"/>
      <c r="CF31" s="88"/>
      <c r="CG31" s="88"/>
      <c r="CH31" s="88"/>
      <c r="CI31" s="88"/>
      <c r="CJ31" s="88"/>
      <c r="CK31" s="88"/>
      <c r="CL31" s="88"/>
      <c r="CM31" s="88"/>
      <c r="CN31" s="88"/>
      <c r="CO31" s="88"/>
      <c r="CP31" s="88"/>
      <c r="CQ31" s="88"/>
      <c r="CR31" s="88"/>
      <c r="CS31" s="88"/>
      <c r="CT31" s="88"/>
      <c r="CU31" s="88"/>
      <c r="CV31" s="88"/>
      <c r="CW31" s="88"/>
      <c r="CX31" s="88"/>
      <c r="CY31" s="88"/>
      <c r="CZ31" s="88"/>
      <c r="DA31" s="88"/>
      <c r="DB31" s="88"/>
      <c r="DC31" s="88"/>
      <c r="DD31" s="88"/>
      <c r="DE31" s="88"/>
      <c r="DF31" s="88"/>
      <c r="DG31" s="88"/>
      <c r="DH31" s="88"/>
      <c r="DI31" s="88"/>
      <c r="DJ31" s="88"/>
      <c r="DK31" s="88"/>
      <c r="DL31" s="88"/>
      <c r="DM31" s="88"/>
      <c r="DN31" s="88"/>
      <c r="DO31" s="88"/>
      <c r="DP31" s="88"/>
      <c r="DQ31" s="88"/>
      <c r="DR31" s="88"/>
      <c r="DS31" s="88"/>
      <c r="DT31" s="88"/>
      <c r="DU31" s="88"/>
      <c r="DV31" s="88"/>
      <c r="DW31" s="88"/>
      <c r="DX31" s="88"/>
      <c r="DY31" s="88"/>
      <c r="DZ31" s="88"/>
      <c r="EA31" s="88"/>
      <c r="EB31" s="88"/>
      <c r="EC31" s="88"/>
      <c r="ED31" s="88"/>
      <c r="EE31" s="88"/>
      <c r="EF31" s="88"/>
      <c r="EG31" s="88"/>
      <c r="EH31" s="88"/>
      <c r="EI31" s="88"/>
      <c r="EJ31" s="88"/>
      <c r="EK31" s="88"/>
      <c r="EL31" s="88"/>
      <c r="EM31" s="88"/>
      <c r="EN31" s="88"/>
      <c r="EO31" s="88"/>
      <c r="EP31" s="88"/>
      <c r="EQ31" s="88"/>
      <c r="ER31" s="88"/>
      <c r="ES31" s="88"/>
      <c r="ET31" s="88"/>
      <c r="EU31" s="88"/>
      <c r="EV31" s="88"/>
      <c r="EW31" s="88"/>
      <c r="EX31" s="88"/>
      <c r="EY31" s="88"/>
      <c r="EZ31" s="88"/>
      <c r="FA31" s="88"/>
      <c r="FB31" s="88"/>
      <c r="FC31" s="88"/>
      <c r="FD31" s="88"/>
      <c r="FE31" s="88"/>
      <c r="FF31" s="88"/>
      <c r="FG31" s="88"/>
      <c r="FH31" s="88"/>
      <c r="FI31" s="88"/>
      <c r="FJ31" s="88"/>
      <c r="FK31" s="88"/>
      <c r="FL31" s="88"/>
      <c r="FM31" s="88"/>
      <c r="FN31" s="88"/>
      <c r="FO31" s="88"/>
      <c r="FP31" s="88"/>
      <c r="FQ31" s="88"/>
      <c r="FR31" s="88"/>
      <c r="FS31" s="88"/>
      <c r="FT31" s="88"/>
      <c r="FU31" s="88"/>
      <c r="FV31" s="88"/>
      <c r="FW31" s="88"/>
      <c r="FX31" s="88"/>
      <c r="FY31" s="88"/>
      <c r="FZ31" s="88"/>
      <c r="GA31" s="88"/>
      <c r="GB31" s="88"/>
      <c r="GC31" s="88"/>
      <c r="GD31" s="88"/>
      <c r="GE31" s="88"/>
      <c r="GF31" s="88"/>
      <c r="GG31" s="88"/>
      <c r="GH31" s="88"/>
      <c r="GI31" s="88"/>
      <c r="GJ31" s="88"/>
      <c r="GK31" s="88"/>
      <c r="GL31" s="88"/>
      <c r="GM31" s="88"/>
      <c r="GN31" s="88"/>
      <c r="GO31" s="88"/>
      <c r="GP31" s="88"/>
      <c r="GQ31" s="88"/>
      <c r="GR31" s="88"/>
      <c r="GS31" s="88"/>
      <c r="GT31" s="88"/>
      <c r="GU31" s="88"/>
      <c r="GV31" s="88"/>
      <c r="GW31" s="88"/>
      <c r="GX31" s="88"/>
      <c r="GY31" s="88"/>
      <c r="GZ31" s="88"/>
      <c r="HA31" s="88"/>
      <c r="HB31" s="88"/>
      <c r="HC31" s="88"/>
      <c r="HD31" s="88"/>
      <c r="HE31" s="88"/>
    </row>
    <row r="32" spans="1:213">
      <c r="A32" s="60" t="s">
        <v>177</v>
      </c>
      <c r="B32" s="284"/>
      <c r="C32" s="10"/>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88"/>
      <c r="BC32" s="88"/>
      <c r="BD32" s="88"/>
      <c r="BE32" s="88"/>
      <c r="BF32" s="88"/>
      <c r="BG32" s="88"/>
      <c r="BH32" s="88"/>
      <c r="BI32" s="88"/>
      <c r="BJ32" s="88"/>
      <c r="BK32" s="88"/>
      <c r="BL32" s="88"/>
      <c r="BM32" s="88"/>
      <c r="BN32" s="88"/>
      <c r="BO32" s="88"/>
      <c r="BP32" s="88"/>
      <c r="BQ32" s="88"/>
      <c r="BR32" s="88"/>
      <c r="BS32" s="88"/>
      <c r="BT32" s="88"/>
      <c r="BU32" s="88"/>
      <c r="BV32" s="88"/>
      <c r="BW32" s="88"/>
      <c r="BX32" s="88"/>
      <c r="BY32" s="88"/>
      <c r="BZ32" s="88"/>
      <c r="CA32" s="88"/>
      <c r="CB32" s="88"/>
      <c r="CC32" s="88"/>
      <c r="CD32" s="88"/>
      <c r="CE32" s="88"/>
      <c r="CF32" s="88"/>
      <c r="CG32" s="88"/>
      <c r="CH32" s="88"/>
      <c r="CI32" s="88"/>
      <c r="CJ32" s="88"/>
      <c r="CK32" s="88"/>
      <c r="CL32" s="88"/>
      <c r="CM32" s="88"/>
      <c r="CN32" s="88"/>
      <c r="CO32" s="88"/>
      <c r="CP32" s="88"/>
      <c r="CQ32" s="88"/>
      <c r="CR32" s="88"/>
      <c r="CS32" s="88"/>
      <c r="CT32" s="88"/>
      <c r="CU32" s="88"/>
      <c r="CV32" s="88"/>
      <c r="CW32" s="88"/>
      <c r="CX32" s="88"/>
      <c r="CY32" s="88"/>
      <c r="CZ32" s="88"/>
      <c r="DA32" s="88"/>
      <c r="DB32" s="88"/>
      <c r="DC32" s="88"/>
      <c r="DD32" s="88"/>
      <c r="DE32" s="88"/>
      <c r="DF32" s="88"/>
      <c r="DG32" s="88"/>
      <c r="DH32" s="88"/>
      <c r="DI32" s="88"/>
      <c r="DJ32" s="88"/>
      <c r="DK32" s="88"/>
      <c r="DL32" s="88"/>
      <c r="DM32" s="88"/>
      <c r="DN32" s="88"/>
      <c r="DO32" s="88"/>
      <c r="DP32" s="88"/>
      <c r="DQ32" s="88"/>
      <c r="DR32" s="88"/>
      <c r="DS32" s="88"/>
      <c r="DT32" s="88"/>
      <c r="DU32" s="88"/>
      <c r="DV32" s="88"/>
      <c r="DW32" s="88"/>
      <c r="DX32" s="88"/>
      <c r="DY32" s="88"/>
      <c r="DZ32" s="88"/>
      <c r="EA32" s="88"/>
      <c r="EB32" s="88"/>
      <c r="EC32" s="88"/>
      <c r="ED32" s="88"/>
      <c r="EE32" s="88"/>
      <c r="EF32" s="88"/>
      <c r="EG32" s="88"/>
      <c r="EH32" s="88"/>
      <c r="EI32" s="88"/>
      <c r="EJ32" s="88"/>
      <c r="EK32" s="88"/>
      <c r="EL32" s="88"/>
      <c r="EM32" s="88"/>
      <c r="EN32" s="88"/>
      <c r="EO32" s="88"/>
      <c r="EP32" s="88"/>
      <c r="EQ32" s="88"/>
      <c r="ER32" s="88"/>
      <c r="ES32" s="88"/>
      <c r="ET32" s="88"/>
      <c r="EU32" s="88"/>
      <c r="EV32" s="88"/>
      <c r="EW32" s="88"/>
      <c r="EX32" s="88"/>
      <c r="EY32" s="88"/>
      <c r="EZ32" s="88"/>
      <c r="FA32" s="88"/>
      <c r="FB32" s="88"/>
      <c r="FC32" s="88"/>
      <c r="FD32" s="88"/>
      <c r="FE32" s="88"/>
      <c r="FF32" s="88"/>
      <c r="FG32" s="88"/>
      <c r="FH32" s="88"/>
      <c r="FI32" s="88"/>
      <c r="FJ32" s="88"/>
      <c r="FK32" s="88"/>
      <c r="FL32" s="88"/>
      <c r="FM32" s="88"/>
      <c r="FN32" s="88"/>
      <c r="FO32" s="88"/>
      <c r="FP32" s="88"/>
      <c r="FQ32" s="88"/>
      <c r="FR32" s="88"/>
      <c r="FS32" s="88"/>
      <c r="FT32" s="88"/>
      <c r="FU32" s="88"/>
      <c r="FV32" s="88"/>
      <c r="FW32" s="88"/>
      <c r="FX32" s="88"/>
      <c r="FY32" s="88"/>
      <c r="FZ32" s="88"/>
      <c r="GA32" s="88"/>
      <c r="GB32" s="88"/>
      <c r="GC32" s="88"/>
      <c r="GD32" s="88"/>
      <c r="GE32" s="88"/>
      <c r="GF32" s="88"/>
      <c r="GG32" s="88"/>
      <c r="GH32" s="88"/>
      <c r="GI32" s="88"/>
      <c r="GJ32" s="88"/>
      <c r="GK32" s="88"/>
      <c r="GL32" s="88"/>
      <c r="GM32" s="88"/>
      <c r="GN32" s="88"/>
      <c r="GO32" s="88"/>
      <c r="GP32" s="88"/>
      <c r="GQ32" s="88"/>
      <c r="GR32" s="88"/>
      <c r="GS32" s="88"/>
      <c r="GT32" s="88"/>
      <c r="GU32" s="88"/>
      <c r="GV32" s="88"/>
      <c r="GW32" s="88"/>
      <c r="GX32" s="88"/>
      <c r="GY32" s="88"/>
      <c r="GZ32" s="88"/>
      <c r="HA32" s="88"/>
      <c r="HB32" s="88"/>
      <c r="HC32" s="88"/>
      <c r="HD32" s="88"/>
      <c r="HE32" s="88"/>
    </row>
    <row r="33" spans="1:213">
      <c r="A33" s="60" t="s">
        <v>240</v>
      </c>
      <c r="B33" s="284"/>
      <c r="C33" s="10"/>
      <c r="D33" s="88"/>
      <c r="E33" s="88"/>
      <c r="F33" s="88"/>
      <c r="G33" s="88"/>
      <c r="H33" s="88"/>
      <c r="I33" s="88"/>
      <c r="J33" s="88"/>
      <c r="K33" s="88"/>
      <c r="L33" s="88"/>
      <c r="M33" s="88"/>
      <c r="N33" s="88"/>
      <c r="O33" s="88"/>
      <c r="P33" s="88"/>
      <c r="Q33" s="88"/>
      <c r="R33" s="88"/>
      <c r="S33" s="88"/>
      <c r="T33" s="88"/>
      <c r="U33" s="88"/>
      <c r="V33" s="88"/>
      <c r="W33" s="88"/>
      <c r="X33" s="88"/>
      <c r="Y33" s="88"/>
      <c r="Z33" s="88"/>
      <c r="AA33" s="88"/>
      <c r="AB33" s="88"/>
      <c r="AC33" s="88"/>
      <c r="AD33" s="88"/>
      <c r="AE33" s="88"/>
      <c r="AF33" s="88"/>
      <c r="AG33" s="88"/>
      <c r="AH33" s="88"/>
      <c r="AI33" s="88"/>
      <c r="AJ33" s="88"/>
      <c r="AK33" s="88"/>
      <c r="AL33" s="88"/>
      <c r="AM33" s="88"/>
      <c r="AN33" s="88"/>
      <c r="AO33" s="88"/>
      <c r="AP33" s="88"/>
      <c r="AQ33" s="88"/>
      <c r="AR33" s="88"/>
      <c r="AS33" s="88"/>
      <c r="AT33" s="88"/>
      <c r="AU33" s="88"/>
      <c r="AV33" s="88"/>
      <c r="AW33" s="88"/>
      <c r="AX33" s="88"/>
      <c r="AY33" s="88"/>
      <c r="AZ33" s="88"/>
      <c r="BA33" s="88"/>
      <c r="BB33" s="88"/>
      <c r="BC33" s="88"/>
      <c r="BD33" s="88"/>
      <c r="BE33" s="88"/>
      <c r="BF33" s="88"/>
      <c r="BG33" s="88"/>
      <c r="BH33" s="88"/>
      <c r="BI33" s="88"/>
      <c r="BJ33" s="88"/>
      <c r="BK33" s="88"/>
      <c r="BL33" s="88"/>
      <c r="BM33" s="88"/>
      <c r="BN33" s="88"/>
      <c r="BO33" s="88"/>
      <c r="BP33" s="88"/>
      <c r="BQ33" s="88"/>
      <c r="BR33" s="88"/>
      <c r="BS33" s="88"/>
      <c r="BT33" s="88"/>
      <c r="BU33" s="88"/>
      <c r="BV33" s="88"/>
      <c r="BW33" s="88"/>
      <c r="BX33" s="88"/>
      <c r="BY33" s="88"/>
      <c r="BZ33" s="88"/>
      <c r="CA33" s="88"/>
      <c r="CB33" s="88"/>
      <c r="CC33" s="88"/>
      <c r="CD33" s="88"/>
      <c r="CE33" s="88"/>
      <c r="CF33" s="88"/>
      <c r="CG33" s="88"/>
      <c r="CH33" s="88"/>
      <c r="CI33" s="88"/>
      <c r="CJ33" s="88"/>
      <c r="CK33" s="88"/>
      <c r="CL33" s="88"/>
      <c r="CM33" s="88"/>
      <c r="CN33" s="88"/>
      <c r="CO33" s="88"/>
      <c r="CP33" s="88"/>
      <c r="CQ33" s="88"/>
      <c r="CR33" s="88"/>
      <c r="CS33" s="88"/>
      <c r="CT33" s="88"/>
      <c r="CU33" s="88"/>
      <c r="CV33" s="88"/>
      <c r="CW33" s="88"/>
      <c r="CX33" s="88"/>
      <c r="CY33" s="88"/>
      <c r="CZ33" s="88"/>
      <c r="DA33" s="88"/>
      <c r="DB33" s="88"/>
      <c r="DC33" s="88"/>
      <c r="DD33" s="88"/>
      <c r="DE33" s="88"/>
      <c r="DF33" s="88"/>
      <c r="DG33" s="88"/>
      <c r="DH33" s="88"/>
      <c r="DI33" s="88"/>
      <c r="DJ33" s="88"/>
      <c r="DK33" s="88"/>
      <c r="DL33" s="88"/>
      <c r="DM33" s="88"/>
      <c r="DN33" s="88"/>
      <c r="DO33" s="88"/>
      <c r="DP33" s="88"/>
      <c r="DQ33" s="88"/>
      <c r="DR33" s="88"/>
      <c r="DS33" s="88"/>
      <c r="DT33" s="88"/>
      <c r="DU33" s="88"/>
      <c r="DV33" s="88"/>
      <c r="DW33" s="88"/>
      <c r="DX33" s="88"/>
      <c r="DY33" s="88"/>
      <c r="DZ33" s="88"/>
      <c r="EA33" s="88"/>
      <c r="EB33" s="88"/>
      <c r="EC33" s="88"/>
      <c r="ED33" s="88"/>
      <c r="EE33" s="88"/>
      <c r="EF33" s="88"/>
      <c r="EG33" s="88"/>
      <c r="EH33" s="88"/>
      <c r="EI33" s="88"/>
      <c r="EJ33" s="88"/>
      <c r="EK33" s="88"/>
      <c r="EL33" s="88"/>
      <c r="EM33" s="88"/>
      <c r="EN33" s="88"/>
      <c r="EO33" s="88"/>
      <c r="EP33" s="88"/>
      <c r="EQ33" s="88"/>
      <c r="ER33" s="88"/>
      <c r="ES33" s="88"/>
      <c r="ET33" s="88"/>
      <c r="EU33" s="88"/>
      <c r="EV33" s="88"/>
      <c r="EW33" s="88"/>
      <c r="EX33" s="88"/>
      <c r="EY33" s="88"/>
      <c r="EZ33" s="88"/>
      <c r="FA33" s="88"/>
      <c r="FB33" s="88"/>
      <c r="FC33" s="88"/>
      <c r="FD33" s="88"/>
      <c r="FE33" s="88"/>
      <c r="FF33" s="88"/>
      <c r="FG33" s="88"/>
      <c r="FH33" s="88"/>
      <c r="FI33" s="88"/>
      <c r="FJ33" s="88"/>
      <c r="FK33" s="88"/>
      <c r="FL33" s="88"/>
      <c r="FM33" s="88"/>
      <c r="FN33" s="88"/>
      <c r="FO33" s="88"/>
      <c r="FP33" s="88"/>
      <c r="FQ33" s="88"/>
      <c r="FR33" s="88"/>
      <c r="FS33" s="88"/>
      <c r="FT33" s="88"/>
      <c r="FU33" s="88"/>
      <c r="FV33" s="88"/>
      <c r="FW33" s="88"/>
      <c r="FX33" s="88"/>
      <c r="FY33" s="88"/>
      <c r="FZ33" s="88"/>
      <c r="GA33" s="88"/>
      <c r="GB33" s="88"/>
      <c r="GC33" s="88"/>
      <c r="GD33" s="88"/>
      <c r="GE33" s="88"/>
      <c r="GF33" s="88"/>
      <c r="GG33" s="88"/>
      <c r="GH33" s="88"/>
      <c r="GI33" s="88"/>
      <c r="GJ33" s="88"/>
      <c r="GK33" s="88"/>
      <c r="GL33" s="88"/>
      <c r="GM33" s="88"/>
      <c r="GN33" s="88"/>
      <c r="GO33" s="88"/>
      <c r="GP33" s="88"/>
      <c r="GQ33" s="88"/>
      <c r="GR33" s="88"/>
      <c r="GS33" s="88"/>
      <c r="GT33" s="88"/>
      <c r="GU33" s="88"/>
      <c r="GV33" s="88"/>
      <c r="GW33" s="88"/>
      <c r="GX33" s="88"/>
      <c r="GY33" s="88"/>
      <c r="GZ33" s="88"/>
      <c r="HA33" s="88"/>
      <c r="HB33" s="88"/>
      <c r="HC33" s="88"/>
      <c r="HD33" s="88"/>
      <c r="HE33" s="88"/>
    </row>
    <row r="34" spans="1:213">
      <c r="A34" s="60" t="s">
        <v>241</v>
      </c>
      <c r="B34" s="444"/>
      <c r="C34" s="10"/>
      <c r="D34" s="88"/>
      <c r="E34" s="88"/>
      <c r="F34" s="88"/>
      <c r="G34" s="88"/>
      <c r="H34" s="88"/>
      <c r="I34" s="88"/>
      <c r="J34" s="88"/>
      <c r="K34" s="88"/>
      <c r="L34" s="88"/>
      <c r="M34" s="88"/>
      <c r="N34" s="88"/>
      <c r="O34" s="88"/>
      <c r="P34" s="88"/>
      <c r="Q34" s="88"/>
      <c r="R34" s="88"/>
      <c r="S34" s="88"/>
      <c r="T34" s="88"/>
      <c r="U34" s="88"/>
      <c r="V34" s="88"/>
      <c r="W34" s="88"/>
      <c r="X34" s="88"/>
      <c r="Y34" s="88"/>
      <c r="Z34" s="88"/>
      <c r="AA34" s="88"/>
      <c r="AB34" s="88"/>
      <c r="AC34" s="88"/>
      <c r="AD34" s="88"/>
      <c r="AE34" s="88"/>
      <c r="AF34" s="88"/>
      <c r="AG34" s="88"/>
      <c r="AH34" s="88"/>
      <c r="AI34" s="88"/>
      <c r="AJ34" s="88"/>
      <c r="AK34" s="88"/>
      <c r="AL34" s="88"/>
      <c r="AM34" s="88"/>
      <c r="AN34" s="88"/>
      <c r="AO34" s="88"/>
      <c r="AP34" s="88"/>
      <c r="AQ34" s="88"/>
      <c r="AR34" s="88"/>
      <c r="AS34" s="88"/>
      <c r="AT34" s="88"/>
      <c r="AU34" s="88"/>
      <c r="AV34" s="88"/>
      <c r="AW34" s="88"/>
      <c r="AX34" s="88"/>
      <c r="AY34" s="88"/>
      <c r="AZ34" s="88"/>
      <c r="BA34" s="88"/>
      <c r="BB34" s="88"/>
      <c r="BC34" s="88"/>
      <c r="BD34" s="88"/>
      <c r="BE34" s="88"/>
      <c r="BF34" s="88"/>
      <c r="BG34" s="88"/>
      <c r="BH34" s="88"/>
      <c r="BI34" s="88"/>
      <c r="BJ34" s="88"/>
      <c r="BK34" s="88"/>
      <c r="BL34" s="88"/>
      <c r="BM34" s="88"/>
      <c r="BN34" s="88"/>
      <c r="BO34" s="88"/>
      <c r="BP34" s="88"/>
      <c r="BQ34" s="88"/>
      <c r="BR34" s="88"/>
      <c r="BS34" s="88"/>
      <c r="BT34" s="88"/>
      <c r="BU34" s="88"/>
      <c r="BV34" s="88"/>
      <c r="BW34" s="88"/>
      <c r="BX34" s="88"/>
      <c r="BY34" s="88"/>
      <c r="BZ34" s="88"/>
      <c r="CA34" s="88"/>
      <c r="CB34" s="88"/>
      <c r="CC34" s="88"/>
      <c r="CD34" s="88"/>
      <c r="CE34" s="88"/>
      <c r="CF34" s="88"/>
      <c r="CG34" s="88"/>
      <c r="CH34" s="88"/>
      <c r="CI34" s="88"/>
      <c r="CJ34" s="88"/>
      <c r="CK34" s="88"/>
      <c r="CL34" s="88"/>
      <c r="CM34" s="88"/>
      <c r="CN34" s="88"/>
      <c r="CO34" s="88"/>
      <c r="CP34" s="88"/>
      <c r="CQ34" s="88"/>
      <c r="CR34" s="88"/>
      <c r="CS34" s="88"/>
      <c r="CT34" s="88"/>
      <c r="CU34" s="88"/>
      <c r="CV34" s="88"/>
      <c r="CW34" s="88"/>
      <c r="CX34" s="88"/>
      <c r="CY34" s="88"/>
      <c r="CZ34" s="88"/>
      <c r="DA34" s="88"/>
      <c r="DB34" s="88"/>
      <c r="DC34" s="88"/>
      <c r="DD34" s="88"/>
      <c r="DE34" s="88"/>
      <c r="DF34" s="88"/>
      <c r="DG34" s="88"/>
      <c r="DH34" s="88"/>
      <c r="DI34" s="88"/>
      <c r="DJ34" s="88"/>
      <c r="DK34" s="88"/>
      <c r="DL34" s="88"/>
      <c r="DM34" s="88"/>
      <c r="DN34" s="88"/>
      <c r="DO34" s="88"/>
      <c r="DP34" s="88"/>
      <c r="DQ34" s="88"/>
      <c r="DR34" s="88"/>
      <c r="DS34" s="88"/>
      <c r="DT34" s="88"/>
      <c r="DU34" s="88"/>
      <c r="DV34" s="88"/>
      <c r="DW34" s="88"/>
      <c r="DX34" s="88"/>
      <c r="DY34" s="88"/>
      <c r="DZ34" s="88"/>
      <c r="EA34" s="88"/>
      <c r="EB34" s="88"/>
      <c r="EC34" s="88"/>
      <c r="ED34" s="88"/>
      <c r="EE34" s="88"/>
      <c r="EF34" s="88"/>
      <c r="EG34" s="88"/>
      <c r="EH34" s="88"/>
      <c r="EI34" s="88"/>
      <c r="EJ34" s="88"/>
      <c r="EK34" s="88"/>
      <c r="EL34" s="88"/>
      <c r="EM34" s="88"/>
      <c r="EN34" s="88"/>
      <c r="EO34" s="88"/>
      <c r="EP34" s="88"/>
      <c r="EQ34" s="88"/>
      <c r="ER34" s="88"/>
      <c r="ES34" s="88"/>
      <c r="ET34" s="88"/>
      <c r="EU34" s="88"/>
      <c r="EV34" s="88"/>
      <c r="EW34" s="88"/>
      <c r="EX34" s="88"/>
      <c r="EY34" s="88"/>
      <c r="EZ34" s="88"/>
      <c r="FA34" s="88"/>
      <c r="FB34" s="88"/>
      <c r="FC34" s="88"/>
      <c r="FD34" s="88"/>
      <c r="FE34" s="88"/>
      <c r="FF34" s="88"/>
      <c r="FG34" s="88"/>
      <c r="FH34" s="88"/>
      <c r="FI34" s="88"/>
      <c r="FJ34" s="88"/>
      <c r="FK34" s="88"/>
      <c r="FL34" s="88"/>
      <c r="FM34" s="88"/>
      <c r="FN34" s="88"/>
      <c r="FO34" s="88"/>
      <c r="FP34" s="88"/>
      <c r="FQ34" s="88"/>
      <c r="FR34" s="88"/>
      <c r="FS34" s="88"/>
      <c r="FT34" s="88"/>
      <c r="FU34" s="88"/>
      <c r="FV34" s="88"/>
      <c r="FW34" s="88"/>
      <c r="FX34" s="88"/>
      <c r="FY34" s="88"/>
      <c r="FZ34" s="88"/>
      <c r="GA34" s="88"/>
      <c r="GB34" s="88"/>
      <c r="GC34" s="88"/>
      <c r="GD34" s="88"/>
      <c r="GE34" s="88"/>
      <c r="GF34" s="88"/>
      <c r="GG34" s="88"/>
      <c r="GH34" s="88"/>
      <c r="GI34" s="88"/>
      <c r="GJ34" s="88"/>
      <c r="GK34" s="88"/>
      <c r="GL34" s="88"/>
      <c r="GM34" s="88"/>
      <c r="GN34" s="88"/>
      <c r="GO34" s="88"/>
      <c r="GP34" s="88"/>
      <c r="GQ34" s="88"/>
      <c r="GR34" s="88"/>
      <c r="GS34" s="88"/>
      <c r="GT34" s="88"/>
      <c r="GU34" s="88"/>
      <c r="GV34" s="88"/>
      <c r="GW34" s="88"/>
      <c r="GX34" s="88"/>
      <c r="GY34" s="88"/>
      <c r="GZ34" s="88"/>
      <c r="HA34" s="88"/>
      <c r="HB34" s="88"/>
      <c r="HC34" s="88"/>
      <c r="HD34" s="88"/>
      <c r="HE34" s="88"/>
    </row>
    <row r="35" spans="1:213">
      <c r="A35" s="129" t="s">
        <v>242</v>
      </c>
      <c r="B35" s="444"/>
      <c r="C35" s="10"/>
      <c r="D35" s="88"/>
      <c r="E35" s="88"/>
      <c r="F35" s="88"/>
      <c r="G35" s="88"/>
      <c r="H35" s="88"/>
      <c r="I35" s="88"/>
      <c r="J35" s="88"/>
      <c r="K35" s="88"/>
      <c r="L35" s="88"/>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c r="AM35" s="88"/>
      <c r="AN35" s="88"/>
      <c r="AO35" s="88"/>
      <c r="AP35" s="88"/>
      <c r="AQ35" s="88"/>
      <c r="AR35" s="88"/>
      <c r="AS35" s="88"/>
      <c r="AT35" s="88"/>
      <c r="AU35" s="88"/>
      <c r="AV35" s="88"/>
      <c r="AW35" s="88"/>
      <c r="AX35" s="88"/>
      <c r="AY35" s="88"/>
      <c r="AZ35" s="88"/>
      <c r="BA35" s="88"/>
      <c r="BB35" s="88"/>
      <c r="BC35" s="88"/>
      <c r="BD35" s="88"/>
      <c r="BE35" s="88"/>
      <c r="BF35" s="88"/>
      <c r="BG35" s="88"/>
      <c r="BH35" s="88"/>
      <c r="BI35" s="88"/>
      <c r="BJ35" s="88"/>
      <c r="BK35" s="88"/>
      <c r="BL35" s="88"/>
      <c r="BM35" s="88"/>
      <c r="BN35" s="88"/>
      <c r="BO35" s="88"/>
      <c r="BP35" s="88"/>
      <c r="BQ35" s="88"/>
      <c r="BR35" s="88"/>
      <c r="BS35" s="88"/>
      <c r="BT35" s="88"/>
      <c r="BU35" s="88"/>
      <c r="BV35" s="88"/>
      <c r="BW35" s="88"/>
      <c r="BX35" s="88"/>
      <c r="BY35" s="88"/>
      <c r="BZ35" s="88"/>
      <c r="CA35" s="88"/>
      <c r="CB35" s="88"/>
      <c r="CC35" s="88"/>
      <c r="CD35" s="88"/>
      <c r="CE35" s="88"/>
      <c r="CF35" s="88"/>
      <c r="CG35" s="88"/>
      <c r="CH35" s="88"/>
      <c r="CI35" s="88"/>
      <c r="CJ35" s="88"/>
      <c r="CK35" s="88"/>
      <c r="CL35" s="88"/>
      <c r="CM35" s="88"/>
      <c r="CN35" s="88"/>
      <c r="CO35" s="88"/>
      <c r="CP35" s="88"/>
      <c r="CQ35" s="88"/>
      <c r="CR35" s="88"/>
      <c r="CS35" s="88"/>
      <c r="CT35" s="88"/>
      <c r="CU35" s="88"/>
      <c r="CV35" s="88"/>
      <c r="CW35" s="88"/>
      <c r="CX35" s="88"/>
      <c r="CY35" s="88"/>
      <c r="CZ35" s="88"/>
      <c r="DA35" s="88"/>
      <c r="DB35" s="88"/>
      <c r="DC35" s="88"/>
      <c r="DD35" s="88"/>
      <c r="DE35" s="88"/>
      <c r="DF35" s="88"/>
      <c r="DG35" s="88"/>
      <c r="DH35" s="88"/>
      <c r="DI35" s="88"/>
      <c r="DJ35" s="88"/>
      <c r="DK35" s="88"/>
      <c r="DL35" s="88"/>
      <c r="DM35" s="88"/>
      <c r="DN35" s="88"/>
      <c r="DO35" s="88"/>
      <c r="DP35" s="88"/>
      <c r="DQ35" s="88"/>
      <c r="DR35" s="88"/>
      <c r="DS35" s="88"/>
      <c r="DT35" s="88"/>
      <c r="DU35" s="88"/>
      <c r="DV35" s="88"/>
      <c r="DW35" s="88"/>
      <c r="DX35" s="88"/>
      <c r="DY35" s="88"/>
      <c r="DZ35" s="88"/>
      <c r="EA35" s="88"/>
      <c r="EB35" s="88"/>
      <c r="EC35" s="88"/>
      <c r="ED35" s="88"/>
      <c r="EE35" s="88"/>
      <c r="EF35" s="88"/>
      <c r="EG35" s="88"/>
      <c r="EH35" s="88"/>
      <c r="EI35" s="88"/>
      <c r="EJ35" s="88"/>
      <c r="EK35" s="88"/>
      <c r="EL35" s="88"/>
      <c r="EM35" s="88"/>
      <c r="EN35" s="88"/>
      <c r="EO35" s="88"/>
      <c r="EP35" s="88"/>
      <c r="EQ35" s="88"/>
      <c r="ER35" s="88"/>
      <c r="ES35" s="88"/>
      <c r="ET35" s="88"/>
      <c r="EU35" s="88"/>
      <c r="EV35" s="88"/>
      <c r="EW35" s="88"/>
      <c r="EX35" s="88"/>
      <c r="EY35" s="88"/>
      <c r="EZ35" s="88"/>
      <c r="FA35" s="88"/>
      <c r="FB35" s="88"/>
      <c r="FC35" s="88"/>
      <c r="FD35" s="88"/>
      <c r="FE35" s="88"/>
      <c r="FF35" s="88"/>
      <c r="FG35" s="88"/>
      <c r="FH35" s="88"/>
      <c r="FI35" s="88"/>
      <c r="FJ35" s="88"/>
      <c r="FK35" s="88"/>
      <c r="FL35" s="88"/>
      <c r="FM35" s="88"/>
      <c r="FN35" s="88"/>
      <c r="FO35" s="88"/>
      <c r="FP35" s="88"/>
      <c r="FQ35" s="88"/>
      <c r="FR35" s="88"/>
      <c r="FS35" s="88"/>
      <c r="FT35" s="88"/>
      <c r="FU35" s="88"/>
      <c r="FV35" s="88"/>
      <c r="FW35" s="88"/>
      <c r="FX35" s="88"/>
      <c r="FY35" s="88"/>
      <c r="FZ35" s="88"/>
      <c r="GA35" s="88"/>
      <c r="GB35" s="88"/>
      <c r="GC35" s="88"/>
      <c r="GD35" s="88"/>
      <c r="GE35" s="88"/>
      <c r="GF35" s="88"/>
      <c r="GG35" s="88"/>
      <c r="GH35" s="88"/>
      <c r="GI35" s="88"/>
      <c r="GJ35" s="88"/>
      <c r="GK35" s="88"/>
      <c r="GL35" s="88"/>
      <c r="GM35" s="88"/>
      <c r="GN35" s="88"/>
      <c r="GO35" s="88"/>
      <c r="GP35" s="88"/>
      <c r="GQ35" s="88"/>
      <c r="GR35" s="88"/>
      <c r="GS35" s="88"/>
      <c r="GT35" s="88"/>
      <c r="GU35" s="88"/>
      <c r="GV35" s="88"/>
      <c r="GW35" s="88"/>
      <c r="GX35" s="88"/>
      <c r="GY35" s="88"/>
      <c r="GZ35" s="88"/>
      <c r="HA35" s="88"/>
      <c r="HB35" s="88"/>
      <c r="HC35" s="88"/>
      <c r="HD35" s="88"/>
      <c r="HE35" s="88"/>
    </row>
    <row r="36" spans="1:213">
      <c r="A36" s="448" t="s">
        <v>243</v>
      </c>
      <c r="B36" s="444"/>
      <c r="C36" s="10"/>
      <c r="D36" s="88"/>
      <c r="E36" s="88"/>
      <c r="F36" s="88"/>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8"/>
      <c r="BF36" s="88"/>
      <c r="BG36" s="88"/>
      <c r="BH36" s="88"/>
      <c r="BI36" s="88"/>
      <c r="BJ36" s="88"/>
      <c r="BK36" s="88"/>
      <c r="BL36" s="88"/>
      <c r="BM36" s="88"/>
      <c r="BN36" s="88"/>
      <c r="BO36" s="88"/>
      <c r="BP36" s="88"/>
      <c r="BQ36" s="88"/>
      <c r="BR36" s="88"/>
      <c r="BS36" s="88"/>
      <c r="BT36" s="88"/>
      <c r="BU36" s="88"/>
      <c r="BV36" s="88"/>
      <c r="BW36" s="88"/>
      <c r="BX36" s="88"/>
      <c r="BY36" s="88"/>
      <c r="BZ36" s="88"/>
      <c r="CA36" s="88"/>
      <c r="CB36" s="88"/>
      <c r="CC36" s="88"/>
      <c r="CD36" s="88"/>
      <c r="CE36" s="88"/>
      <c r="CF36" s="88"/>
      <c r="CG36" s="88"/>
      <c r="CH36" s="88"/>
      <c r="CI36" s="88"/>
      <c r="CJ36" s="88"/>
      <c r="CK36" s="88"/>
      <c r="CL36" s="88"/>
      <c r="CM36" s="88"/>
      <c r="CN36" s="88"/>
      <c r="CO36" s="88"/>
      <c r="CP36" s="88"/>
      <c r="CQ36" s="88"/>
      <c r="CR36" s="88"/>
      <c r="CS36" s="88"/>
      <c r="CT36" s="88"/>
      <c r="CU36" s="88"/>
      <c r="CV36" s="88"/>
      <c r="CW36" s="88"/>
      <c r="CX36" s="88"/>
      <c r="CY36" s="88"/>
      <c r="CZ36" s="88"/>
      <c r="DA36" s="88"/>
      <c r="DB36" s="88"/>
      <c r="DC36" s="88"/>
      <c r="DD36" s="88"/>
      <c r="DE36" s="88"/>
      <c r="DF36" s="88"/>
      <c r="DG36" s="88"/>
      <c r="DH36" s="88"/>
      <c r="DI36" s="88"/>
      <c r="DJ36" s="88"/>
      <c r="DK36" s="88"/>
      <c r="DL36" s="88"/>
      <c r="DM36" s="88"/>
      <c r="DN36" s="88"/>
      <c r="DO36" s="88"/>
      <c r="DP36" s="88"/>
      <c r="DQ36" s="88"/>
      <c r="DR36" s="88"/>
      <c r="DS36" s="88"/>
      <c r="DT36" s="88"/>
      <c r="DU36" s="88"/>
      <c r="DV36" s="88"/>
      <c r="DW36" s="88"/>
      <c r="DX36" s="88"/>
      <c r="DY36" s="88"/>
      <c r="DZ36" s="88"/>
      <c r="EA36" s="88"/>
      <c r="EB36" s="88"/>
      <c r="EC36" s="88"/>
      <c r="ED36" s="88"/>
      <c r="EE36" s="88"/>
      <c r="EF36" s="88"/>
      <c r="EG36" s="88"/>
      <c r="EH36" s="88"/>
      <c r="EI36" s="88"/>
      <c r="EJ36" s="88"/>
      <c r="EK36" s="88"/>
      <c r="EL36" s="88"/>
      <c r="EM36" s="88"/>
      <c r="EN36" s="88"/>
      <c r="EO36" s="88"/>
      <c r="EP36" s="88"/>
      <c r="EQ36" s="88"/>
      <c r="ER36" s="88"/>
      <c r="ES36" s="88"/>
      <c r="ET36" s="88"/>
      <c r="EU36" s="88"/>
      <c r="EV36" s="88"/>
      <c r="EW36" s="88"/>
      <c r="EX36" s="88"/>
      <c r="EY36" s="88"/>
      <c r="EZ36" s="88"/>
      <c r="FA36" s="88"/>
      <c r="FB36" s="88"/>
      <c r="FC36" s="88"/>
      <c r="FD36" s="88"/>
      <c r="FE36" s="88"/>
      <c r="FF36" s="88"/>
      <c r="FG36" s="88"/>
      <c r="FH36" s="88"/>
      <c r="FI36" s="88"/>
      <c r="FJ36" s="88"/>
      <c r="FK36" s="88"/>
      <c r="FL36" s="88"/>
      <c r="FM36" s="88"/>
      <c r="FN36" s="88"/>
      <c r="FO36" s="88"/>
      <c r="FP36" s="88"/>
      <c r="FQ36" s="88"/>
      <c r="FR36" s="88"/>
      <c r="FS36" s="88"/>
      <c r="FT36" s="88"/>
      <c r="FU36" s="88"/>
      <c r="FV36" s="88"/>
      <c r="FW36" s="88"/>
      <c r="FX36" s="88"/>
      <c r="FY36" s="88"/>
      <c r="FZ36" s="88"/>
      <c r="GA36" s="88"/>
      <c r="GB36" s="88"/>
      <c r="GC36" s="88"/>
      <c r="GD36" s="88"/>
      <c r="GE36" s="88"/>
      <c r="GF36" s="88"/>
      <c r="GG36" s="88"/>
      <c r="GH36" s="88"/>
      <c r="GI36" s="88"/>
      <c r="GJ36" s="88"/>
      <c r="GK36" s="88"/>
      <c r="GL36" s="88"/>
      <c r="GM36" s="88"/>
      <c r="GN36" s="88"/>
      <c r="GO36" s="88"/>
      <c r="GP36" s="88"/>
      <c r="GQ36" s="88"/>
      <c r="GR36" s="88"/>
      <c r="GS36" s="88"/>
      <c r="GT36" s="88"/>
      <c r="GU36" s="88"/>
      <c r="GV36" s="88"/>
      <c r="GW36" s="88"/>
      <c r="GX36" s="88"/>
      <c r="GY36" s="88"/>
      <c r="GZ36" s="88"/>
      <c r="HA36" s="88"/>
      <c r="HB36" s="88"/>
      <c r="HC36" s="88"/>
      <c r="HD36" s="88"/>
      <c r="HE36" s="88"/>
    </row>
    <row r="37" spans="1:213">
      <c r="A37" s="448" t="s">
        <v>244</v>
      </c>
      <c r="B37" s="444"/>
      <c r="C37" s="10"/>
      <c r="D37" s="88"/>
      <c r="E37" s="88"/>
      <c r="F37" s="88"/>
      <c r="G37" s="88"/>
      <c r="H37" s="88"/>
      <c r="I37" s="88"/>
      <c r="J37" s="88"/>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88"/>
      <c r="BD37" s="88"/>
      <c r="BE37" s="88"/>
      <c r="BF37" s="88"/>
      <c r="BG37" s="88"/>
      <c r="BH37" s="88"/>
      <c r="BI37" s="88"/>
      <c r="BJ37" s="88"/>
      <c r="BK37" s="88"/>
      <c r="BL37" s="88"/>
      <c r="BM37" s="88"/>
      <c r="BN37" s="88"/>
      <c r="BO37" s="88"/>
      <c r="BP37" s="88"/>
      <c r="BQ37" s="88"/>
      <c r="BR37" s="88"/>
      <c r="BS37" s="88"/>
      <c r="BT37" s="88"/>
      <c r="BU37" s="88"/>
      <c r="BV37" s="88"/>
      <c r="BW37" s="88"/>
      <c r="BX37" s="88"/>
      <c r="BY37" s="88"/>
      <c r="BZ37" s="88"/>
      <c r="CA37" s="88"/>
      <c r="CB37" s="88"/>
      <c r="CC37" s="88"/>
      <c r="CD37" s="88"/>
      <c r="CE37" s="88"/>
      <c r="CF37" s="88"/>
      <c r="CG37" s="88"/>
      <c r="CH37" s="88"/>
      <c r="CI37" s="88"/>
      <c r="CJ37" s="88"/>
      <c r="CK37" s="88"/>
      <c r="CL37" s="88"/>
      <c r="CM37" s="88"/>
      <c r="CN37" s="88"/>
      <c r="CO37" s="88"/>
      <c r="CP37" s="88"/>
      <c r="CQ37" s="88"/>
      <c r="CR37" s="88"/>
      <c r="CS37" s="88"/>
      <c r="CT37" s="88"/>
      <c r="CU37" s="88"/>
      <c r="CV37" s="88"/>
      <c r="CW37" s="88"/>
      <c r="CX37" s="88"/>
      <c r="CY37" s="88"/>
      <c r="CZ37" s="88"/>
      <c r="DA37" s="88"/>
      <c r="DB37" s="88"/>
      <c r="DC37" s="88"/>
      <c r="DD37" s="88"/>
      <c r="DE37" s="88"/>
      <c r="DF37" s="88"/>
      <c r="DG37" s="88"/>
      <c r="DH37" s="88"/>
      <c r="DI37" s="88"/>
      <c r="DJ37" s="88"/>
      <c r="DK37" s="88"/>
      <c r="DL37" s="88"/>
      <c r="DM37" s="88"/>
      <c r="DN37" s="88"/>
      <c r="DO37" s="88"/>
      <c r="DP37" s="88"/>
      <c r="DQ37" s="88"/>
      <c r="DR37" s="88"/>
      <c r="DS37" s="88"/>
      <c r="DT37" s="88"/>
      <c r="DU37" s="88"/>
      <c r="DV37" s="88"/>
      <c r="DW37" s="88"/>
      <c r="DX37" s="88"/>
      <c r="DY37" s="88"/>
      <c r="DZ37" s="88"/>
      <c r="EA37" s="88"/>
      <c r="EB37" s="88"/>
      <c r="EC37" s="88"/>
      <c r="ED37" s="88"/>
      <c r="EE37" s="88"/>
      <c r="EF37" s="88"/>
      <c r="EG37" s="88"/>
      <c r="EH37" s="88"/>
      <c r="EI37" s="88"/>
      <c r="EJ37" s="88"/>
      <c r="EK37" s="88"/>
      <c r="EL37" s="88"/>
      <c r="EM37" s="88"/>
      <c r="EN37" s="88"/>
      <c r="EO37" s="88"/>
      <c r="EP37" s="88"/>
      <c r="EQ37" s="88"/>
      <c r="ER37" s="88"/>
      <c r="ES37" s="88"/>
      <c r="ET37" s="88"/>
      <c r="EU37" s="88"/>
      <c r="EV37" s="88"/>
      <c r="EW37" s="88"/>
      <c r="EX37" s="88"/>
      <c r="EY37" s="88"/>
      <c r="EZ37" s="88"/>
      <c r="FA37" s="88"/>
      <c r="FB37" s="88"/>
      <c r="FC37" s="88"/>
      <c r="FD37" s="88"/>
      <c r="FE37" s="88"/>
      <c r="FF37" s="88"/>
      <c r="FG37" s="88"/>
      <c r="FH37" s="88"/>
      <c r="FI37" s="88"/>
      <c r="FJ37" s="88"/>
      <c r="FK37" s="88"/>
      <c r="FL37" s="88"/>
      <c r="FM37" s="88"/>
      <c r="FN37" s="88"/>
      <c r="FO37" s="88"/>
      <c r="FP37" s="88"/>
      <c r="FQ37" s="88"/>
      <c r="FR37" s="88"/>
      <c r="FS37" s="88"/>
      <c r="FT37" s="88"/>
      <c r="FU37" s="88"/>
      <c r="FV37" s="88"/>
      <c r="FW37" s="88"/>
      <c r="FX37" s="88"/>
      <c r="FY37" s="88"/>
      <c r="FZ37" s="88"/>
      <c r="GA37" s="88"/>
      <c r="GB37" s="88"/>
      <c r="GC37" s="88"/>
      <c r="GD37" s="88"/>
      <c r="GE37" s="88"/>
      <c r="GF37" s="88"/>
      <c r="GG37" s="88"/>
      <c r="GH37" s="88"/>
      <c r="GI37" s="88"/>
      <c r="GJ37" s="88"/>
      <c r="GK37" s="88"/>
      <c r="GL37" s="88"/>
      <c r="GM37" s="88"/>
      <c r="GN37" s="88"/>
      <c r="GO37" s="88"/>
      <c r="GP37" s="88"/>
      <c r="GQ37" s="88"/>
      <c r="GR37" s="88"/>
      <c r="GS37" s="88"/>
      <c r="GT37" s="88"/>
      <c r="GU37" s="88"/>
      <c r="GV37" s="88"/>
      <c r="GW37" s="88"/>
      <c r="GX37" s="88"/>
      <c r="GY37" s="88"/>
      <c r="GZ37" s="88"/>
      <c r="HA37" s="88"/>
      <c r="HB37" s="88"/>
      <c r="HC37" s="88"/>
      <c r="HD37" s="88"/>
      <c r="HE37" s="88"/>
    </row>
    <row r="38" spans="1:213">
      <c r="A38" s="1" t="s">
        <v>245</v>
      </c>
      <c r="B38" s="444"/>
      <c r="C38" s="88"/>
      <c r="D38" s="88"/>
      <c r="E38" s="88"/>
      <c r="F38" s="88"/>
      <c r="G38" s="88"/>
      <c r="H38" s="88"/>
      <c r="I38" s="88"/>
      <c r="J38" s="88"/>
      <c r="K38" s="88"/>
      <c r="L38" s="88"/>
      <c r="M38" s="88"/>
      <c r="N38" s="88"/>
      <c r="O38" s="88"/>
      <c r="P38" s="88"/>
      <c r="Q38" s="88"/>
      <c r="R38" s="88"/>
      <c r="S38" s="88"/>
      <c r="T38" s="88"/>
      <c r="U38" s="88"/>
      <c r="V38" s="88"/>
      <c r="W38" s="88"/>
      <c r="X38" s="88"/>
      <c r="Y38" s="88"/>
      <c r="Z38" s="88"/>
      <c r="AA38" s="88"/>
      <c r="AB38" s="88"/>
      <c r="AC38" s="88"/>
      <c r="AD38" s="88"/>
      <c r="AE38" s="88"/>
      <c r="AF38" s="88"/>
      <c r="AG38" s="88"/>
      <c r="AH38" s="88"/>
      <c r="AI38" s="88"/>
      <c r="AJ38" s="88"/>
      <c r="AK38" s="88"/>
      <c r="AL38" s="88"/>
      <c r="AM38" s="88"/>
      <c r="AN38" s="88"/>
      <c r="AO38" s="88"/>
      <c r="AP38" s="88"/>
      <c r="AQ38" s="88"/>
      <c r="AR38" s="88"/>
      <c r="AS38" s="88"/>
      <c r="AT38" s="88"/>
      <c r="AU38" s="88"/>
      <c r="AV38" s="88"/>
      <c r="AW38" s="88"/>
      <c r="AX38" s="88"/>
      <c r="AY38" s="88"/>
      <c r="AZ38" s="88"/>
      <c r="BA38" s="88"/>
      <c r="BB38" s="88"/>
      <c r="BC38" s="88"/>
      <c r="BD38" s="88"/>
      <c r="BE38" s="88"/>
      <c r="BF38" s="88"/>
      <c r="BG38" s="88"/>
      <c r="BH38" s="88"/>
      <c r="BI38" s="88"/>
      <c r="BJ38" s="88"/>
      <c r="BK38" s="88"/>
      <c r="BL38" s="88"/>
      <c r="BM38" s="88"/>
      <c r="BN38" s="88"/>
      <c r="BO38" s="88"/>
      <c r="BP38" s="88"/>
      <c r="BQ38" s="88"/>
      <c r="BR38" s="88"/>
      <c r="BS38" s="88"/>
      <c r="BT38" s="88"/>
      <c r="BU38" s="88"/>
      <c r="BV38" s="88"/>
      <c r="BW38" s="88"/>
      <c r="BX38" s="88"/>
      <c r="BY38" s="88"/>
      <c r="BZ38" s="88"/>
      <c r="CA38" s="88"/>
      <c r="CB38" s="88"/>
      <c r="CC38" s="88"/>
      <c r="CD38" s="88"/>
      <c r="CE38" s="88"/>
      <c r="CF38" s="88"/>
      <c r="CG38" s="88"/>
      <c r="CH38" s="88"/>
      <c r="CI38" s="88"/>
      <c r="CJ38" s="88"/>
      <c r="CK38" s="88"/>
      <c r="CL38" s="88"/>
      <c r="CM38" s="88"/>
      <c r="CN38" s="88"/>
      <c r="CO38" s="88"/>
      <c r="CP38" s="88"/>
      <c r="CQ38" s="88"/>
      <c r="CR38" s="88"/>
      <c r="CS38" s="88"/>
      <c r="CT38" s="88"/>
      <c r="CU38" s="88"/>
      <c r="CV38" s="88"/>
      <c r="CW38" s="88"/>
      <c r="CX38" s="88"/>
      <c r="CY38" s="88"/>
      <c r="CZ38" s="88"/>
      <c r="DA38" s="88"/>
      <c r="DB38" s="88"/>
      <c r="DC38" s="88"/>
      <c r="DD38" s="88"/>
      <c r="DE38" s="88"/>
      <c r="DF38" s="88"/>
      <c r="DG38" s="88"/>
      <c r="DH38" s="88"/>
      <c r="DI38" s="88"/>
      <c r="DJ38" s="88"/>
      <c r="DK38" s="88"/>
      <c r="DL38" s="88"/>
      <c r="DM38" s="88"/>
      <c r="DN38" s="88"/>
      <c r="DO38" s="88"/>
      <c r="DP38" s="88"/>
      <c r="DQ38" s="88"/>
      <c r="DR38" s="88"/>
      <c r="DS38" s="88"/>
      <c r="DT38" s="88"/>
      <c r="DU38" s="88"/>
      <c r="DV38" s="88"/>
      <c r="DW38" s="88"/>
      <c r="DX38" s="88"/>
      <c r="DY38" s="88"/>
      <c r="DZ38" s="88"/>
      <c r="EA38" s="88"/>
      <c r="EB38" s="88"/>
      <c r="EC38" s="88"/>
      <c r="ED38" s="88"/>
      <c r="EE38" s="88"/>
      <c r="EF38" s="88"/>
      <c r="EG38" s="88"/>
      <c r="EH38" s="88"/>
      <c r="EI38" s="88"/>
      <c r="EJ38" s="88"/>
      <c r="EK38" s="88"/>
      <c r="EL38" s="88"/>
      <c r="EM38" s="88"/>
      <c r="EN38" s="88"/>
      <c r="EO38" s="88"/>
      <c r="EP38" s="88"/>
      <c r="EQ38" s="88"/>
      <c r="ER38" s="88"/>
      <c r="ES38" s="88"/>
      <c r="ET38" s="88"/>
      <c r="EU38" s="88"/>
      <c r="EV38" s="88"/>
      <c r="EW38" s="88"/>
      <c r="EX38" s="88"/>
      <c r="EY38" s="88"/>
      <c r="EZ38" s="88"/>
      <c r="FA38" s="88"/>
      <c r="FB38" s="88"/>
      <c r="FC38" s="88"/>
      <c r="FD38" s="88"/>
      <c r="FE38" s="88"/>
      <c r="FF38" s="88"/>
      <c r="FG38" s="88"/>
      <c r="FH38" s="88"/>
      <c r="FI38" s="88"/>
      <c r="FJ38" s="88"/>
      <c r="FK38" s="88"/>
      <c r="FL38" s="88"/>
      <c r="FM38" s="88"/>
      <c r="FN38" s="88"/>
      <c r="FO38" s="88"/>
      <c r="FP38" s="88"/>
      <c r="FQ38" s="88"/>
      <c r="FR38" s="88"/>
      <c r="FS38" s="88"/>
      <c r="FT38" s="88"/>
      <c r="FU38" s="88"/>
      <c r="FV38" s="88"/>
      <c r="FW38" s="88"/>
      <c r="FX38" s="88"/>
      <c r="FY38" s="88"/>
      <c r="FZ38" s="88"/>
      <c r="GA38" s="88"/>
      <c r="GB38" s="88"/>
      <c r="GC38" s="88"/>
      <c r="GD38" s="88"/>
      <c r="GE38" s="88"/>
      <c r="GF38" s="88"/>
      <c r="GG38" s="88"/>
      <c r="GH38" s="88"/>
      <c r="GI38" s="88"/>
      <c r="GJ38" s="88"/>
      <c r="GK38" s="88"/>
      <c r="GL38" s="88"/>
      <c r="GM38" s="88"/>
      <c r="GN38" s="88"/>
      <c r="GO38" s="88"/>
      <c r="GP38" s="88"/>
      <c r="GQ38" s="88"/>
      <c r="GR38" s="88"/>
      <c r="GS38" s="88"/>
      <c r="GT38" s="88"/>
      <c r="GU38" s="88"/>
      <c r="GV38" s="88"/>
      <c r="GW38" s="88"/>
      <c r="GX38" s="88"/>
      <c r="GY38" s="88"/>
      <c r="GZ38" s="88"/>
      <c r="HA38" s="88"/>
      <c r="HB38" s="88"/>
      <c r="HC38" s="88"/>
      <c r="HD38" s="88"/>
      <c r="HE38" s="88"/>
    </row>
    <row r="39" spans="1:213">
      <c r="A39" s="516" t="s">
        <v>246</v>
      </c>
      <c r="B39" s="284"/>
      <c r="C39" s="255"/>
      <c r="D39"/>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88"/>
      <c r="AF39" s="88"/>
      <c r="AG39" s="88"/>
      <c r="AH39" s="88"/>
      <c r="AI39" s="88"/>
      <c r="AJ39" s="88"/>
      <c r="AK39" s="88"/>
      <c r="AL39" s="88"/>
      <c r="AM39" s="88"/>
      <c r="AN39" s="88"/>
      <c r="AO39" s="88"/>
      <c r="AP39" s="88"/>
      <c r="AQ39" s="88"/>
      <c r="AR39" s="88"/>
      <c r="AS39" s="88"/>
      <c r="AT39" s="88"/>
      <c r="AU39" s="88"/>
      <c r="AV39" s="88"/>
      <c r="AW39" s="88"/>
      <c r="AX39" s="88"/>
      <c r="AY39" s="88"/>
      <c r="AZ39" s="88"/>
      <c r="BA39" s="88"/>
      <c r="BB39" s="88"/>
      <c r="BC39" s="88"/>
      <c r="BD39" s="88"/>
      <c r="BE39" s="88"/>
      <c r="BF39" s="88"/>
      <c r="BG39" s="88"/>
      <c r="BH39" s="88"/>
      <c r="BI39" s="88"/>
      <c r="BJ39" s="88"/>
      <c r="BK39" s="88"/>
      <c r="BL39" s="88"/>
      <c r="BM39" s="88"/>
      <c r="BN39" s="88"/>
      <c r="BO39" s="88"/>
      <c r="BP39" s="88"/>
      <c r="BQ39" s="88"/>
      <c r="BR39" s="88"/>
      <c r="BS39" s="88"/>
      <c r="BT39" s="88"/>
      <c r="BU39" s="88"/>
      <c r="BV39" s="88"/>
      <c r="BW39" s="88"/>
      <c r="BX39" s="88"/>
      <c r="BY39" s="88"/>
      <c r="BZ39" s="88"/>
      <c r="CA39" s="88"/>
      <c r="CB39" s="88"/>
      <c r="CC39" s="88"/>
      <c r="CD39" s="88"/>
      <c r="CE39" s="88"/>
      <c r="CF39" s="88"/>
      <c r="CG39" s="88"/>
      <c r="CH39" s="88"/>
      <c r="CI39" s="88"/>
      <c r="CJ39" s="88"/>
      <c r="CK39" s="88"/>
      <c r="CL39" s="88"/>
      <c r="CM39" s="88"/>
      <c r="CN39" s="88"/>
      <c r="CO39" s="88"/>
      <c r="CP39" s="88"/>
      <c r="CQ39" s="88"/>
      <c r="CR39" s="88"/>
      <c r="CS39" s="88"/>
      <c r="CT39" s="88"/>
      <c r="CU39" s="88"/>
      <c r="CV39" s="88"/>
      <c r="CW39" s="88"/>
      <c r="CX39" s="88"/>
      <c r="CY39" s="88"/>
      <c r="CZ39" s="88"/>
      <c r="DA39" s="88"/>
      <c r="DB39" s="88"/>
      <c r="DC39" s="88"/>
      <c r="DD39" s="88"/>
      <c r="DE39" s="88"/>
      <c r="DF39" s="88"/>
      <c r="DG39" s="88"/>
      <c r="DH39" s="88"/>
      <c r="DI39" s="88"/>
      <c r="DJ39" s="88"/>
      <c r="DK39" s="88"/>
      <c r="DL39" s="88"/>
      <c r="DM39" s="88"/>
      <c r="DN39" s="88"/>
      <c r="DO39" s="88"/>
      <c r="DP39" s="88"/>
      <c r="DQ39" s="88"/>
      <c r="DR39" s="88"/>
      <c r="DS39" s="88"/>
      <c r="DT39" s="88"/>
      <c r="DU39" s="88"/>
      <c r="DV39" s="88"/>
      <c r="DW39" s="88"/>
      <c r="DX39" s="88"/>
      <c r="DY39" s="88"/>
      <c r="DZ39" s="88"/>
      <c r="EA39" s="88"/>
      <c r="EB39" s="88"/>
      <c r="EC39" s="88"/>
      <c r="ED39" s="88"/>
      <c r="EE39" s="88"/>
      <c r="EF39" s="88"/>
      <c r="EG39" s="88"/>
      <c r="EH39" s="88"/>
      <c r="EI39" s="88"/>
      <c r="EJ39" s="88"/>
      <c r="EK39" s="88"/>
      <c r="EL39" s="88"/>
      <c r="EM39" s="88"/>
      <c r="EN39" s="88"/>
      <c r="EO39" s="88"/>
      <c r="EP39" s="88"/>
      <c r="EQ39" s="88"/>
      <c r="ER39" s="88"/>
      <c r="ES39" s="88"/>
      <c r="ET39" s="88"/>
      <c r="EU39" s="88"/>
      <c r="EV39" s="88"/>
      <c r="EW39" s="88"/>
      <c r="EX39" s="88"/>
      <c r="EY39" s="88"/>
      <c r="EZ39" s="88"/>
      <c r="FA39" s="88"/>
      <c r="FB39" s="88"/>
      <c r="FC39" s="88"/>
      <c r="FD39" s="88"/>
      <c r="FE39" s="88"/>
      <c r="FF39" s="88"/>
      <c r="FG39" s="88"/>
      <c r="FH39" s="88"/>
      <c r="FI39" s="88"/>
      <c r="FJ39" s="88"/>
      <c r="FK39" s="88"/>
      <c r="FL39" s="88"/>
      <c r="FM39" s="88"/>
      <c r="FN39" s="88"/>
      <c r="FO39" s="88"/>
      <c r="FP39" s="88"/>
      <c r="FQ39" s="88"/>
      <c r="FR39" s="88"/>
      <c r="FS39" s="88"/>
      <c r="FT39" s="88"/>
      <c r="FU39" s="88"/>
      <c r="FV39" s="88"/>
      <c r="FW39" s="88"/>
      <c r="FX39" s="88"/>
      <c r="FY39" s="88"/>
      <c r="FZ39" s="88"/>
      <c r="GA39" s="88"/>
      <c r="GB39" s="88"/>
      <c r="GC39" s="88"/>
      <c r="GD39" s="88"/>
      <c r="GE39" s="88"/>
      <c r="GF39" s="88"/>
      <c r="GG39" s="88"/>
      <c r="GH39" s="88"/>
      <c r="GI39" s="88"/>
      <c r="GJ39" s="88"/>
      <c r="GK39" s="88"/>
      <c r="GL39" s="88"/>
      <c r="GM39" s="88"/>
      <c r="GN39" s="88"/>
      <c r="GO39" s="88"/>
      <c r="GP39" s="88"/>
      <c r="GQ39" s="88"/>
      <c r="GR39" s="88"/>
      <c r="GS39" s="88"/>
      <c r="GT39" s="88"/>
      <c r="GU39" s="88"/>
      <c r="GV39" s="88"/>
      <c r="GW39" s="88"/>
      <c r="GX39" s="88"/>
      <c r="GY39" s="88"/>
      <c r="GZ39" s="88"/>
      <c r="HA39" s="88"/>
      <c r="HB39" s="88"/>
      <c r="HC39" s="88"/>
      <c r="HD39" s="88"/>
      <c r="HE39" s="88"/>
    </row>
    <row r="40" spans="1:213">
      <c r="A40" s="516" t="s">
        <v>247</v>
      </c>
      <c r="B40" s="444"/>
      <c r="C40" s="255"/>
      <c r="D40" s="88"/>
      <c r="E40" s="88"/>
      <c r="F40" s="88"/>
      <c r="G40" s="88"/>
      <c r="H40" s="88"/>
      <c r="I40" s="88"/>
      <c r="J40" s="88"/>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c r="AN40" s="88"/>
      <c r="AO40" s="88"/>
      <c r="AP40" s="88"/>
      <c r="AQ40" s="88"/>
      <c r="AR40" s="88"/>
      <c r="AS40" s="88"/>
      <c r="AT40" s="88"/>
      <c r="AU40" s="88"/>
      <c r="AV40" s="88"/>
      <c r="AW40" s="88"/>
      <c r="AX40" s="88"/>
      <c r="AY40" s="88"/>
      <c r="AZ40" s="88"/>
      <c r="BA40" s="88"/>
      <c r="BB40" s="88"/>
      <c r="BC40" s="88"/>
      <c r="BD40" s="88"/>
      <c r="BE40" s="88"/>
      <c r="BF40" s="88"/>
      <c r="BG40" s="88"/>
      <c r="BH40" s="88"/>
      <c r="BI40" s="88"/>
      <c r="BJ40" s="88"/>
      <c r="BK40" s="88"/>
      <c r="BL40" s="88"/>
      <c r="BM40" s="88"/>
      <c r="BN40" s="88"/>
      <c r="BO40" s="88"/>
      <c r="BP40" s="88"/>
      <c r="BQ40" s="88"/>
      <c r="BR40" s="88"/>
      <c r="BS40" s="88"/>
      <c r="BT40" s="88"/>
      <c r="BU40" s="88"/>
      <c r="BV40" s="88"/>
      <c r="BW40" s="88"/>
      <c r="BX40" s="88"/>
      <c r="BY40" s="88"/>
      <c r="BZ40" s="88"/>
      <c r="CA40" s="88"/>
      <c r="CB40" s="88"/>
      <c r="CC40" s="88"/>
      <c r="CD40" s="88"/>
      <c r="CE40" s="88"/>
      <c r="CF40" s="88"/>
      <c r="CG40" s="88"/>
      <c r="CH40" s="88"/>
      <c r="CI40" s="88"/>
      <c r="CJ40" s="88"/>
      <c r="CK40" s="88"/>
      <c r="CL40" s="88"/>
      <c r="CM40" s="88"/>
      <c r="CN40" s="88"/>
      <c r="CO40" s="88"/>
      <c r="CP40" s="88"/>
      <c r="CQ40" s="88"/>
      <c r="CR40" s="88"/>
      <c r="CS40" s="88"/>
      <c r="CT40" s="88"/>
      <c r="CU40" s="88"/>
      <c r="CV40" s="88"/>
      <c r="CW40" s="88"/>
      <c r="CX40" s="88"/>
      <c r="CY40" s="88"/>
      <c r="CZ40" s="88"/>
      <c r="DA40" s="88"/>
      <c r="DB40" s="88"/>
      <c r="DC40" s="88"/>
      <c r="DD40" s="88"/>
      <c r="DE40" s="88"/>
      <c r="DF40" s="88"/>
      <c r="DG40" s="88"/>
      <c r="DH40" s="88"/>
      <c r="DI40" s="88"/>
      <c r="DJ40" s="88"/>
      <c r="DK40" s="88"/>
      <c r="DL40" s="88"/>
      <c r="DM40" s="88"/>
      <c r="DN40" s="88"/>
      <c r="DO40" s="88"/>
      <c r="DP40" s="88"/>
      <c r="DQ40" s="88"/>
      <c r="DR40" s="88"/>
      <c r="DS40" s="88"/>
      <c r="DT40" s="88"/>
      <c r="DU40" s="88"/>
      <c r="DV40" s="88"/>
      <c r="DW40" s="88"/>
      <c r="DX40" s="88"/>
      <c r="DY40" s="88"/>
      <c r="DZ40" s="88"/>
      <c r="EA40" s="88"/>
      <c r="EB40" s="88"/>
      <c r="EC40" s="88"/>
      <c r="ED40" s="88"/>
      <c r="EE40" s="88"/>
      <c r="EF40" s="88"/>
      <c r="EG40" s="88"/>
      <c r="EH40" s="88"/>
      <c r="EI40" s="88"/>
      <c r="EJ40" s="88"/>
      <c r="EK40" s="88"/>
      <c r="EL40" s="88"/>
      <c r="EM40" s="88"/>
      <c r="EN40" s="88"/>
      <c r="EO40" s="88"/>
      <c r="EP40" s="88"/>
      <c r="EQ40" s="88"/>
      <c r="ER40" s="88"/>
      <c r="ES40" s="88"/>
      <c r="ET40" s="88"/>
      <c r="EU40" s="88"/>
      <c r="EV40" s="88"/>
      <c r="EW40" s="88"/>
      <c r="EX40" s="88"/>
      <c r="EY40" s="88"/>
      <c r="EZ40" s="88"/>
      <c r="FA40" s="88"/>
      <c r="FB40" s="88"/>
      <c r="FC40" s="88"/>
      <c r="FD40" s="88"/>
      <c r="FE40" s="88"/>
      <c r="FF40" s="88"/>
      <c r="FG40" s="88"/>
      <c r="FH40" s="88"/>
      <c r="FI40" s="88"/>
      <c r="FJ40" s="88"/>
      <c r="FK40" s="88"/>
      <c r="FL40" s="88"/>
      <c r="FM40" s="88"/>
      <c r="FN40" s="88"/>
      <c r="FO40" s="88"/>
      <c r="FP40" s="88"/>
      <c r="FQ40" s="88"/>
      <c r="FR40" s="88"/>
      <c r="FS40" s="88"/>
      <c r="FT40" s="88"/>
      <c r="FU40" s="88"/>
      <c r="FV40" s="88"/>
      <c r="FW40" s="88"/>
      <c r="FX40" s="88"/>
      <c r="FY40" s="88"/>
      <c r="FZ40" s="88"/>
      <c r="GA40" s="88"/>
      <c r="GB40" s="88"/>
      <c r="GC40" s="88"/>
      <c r="GD40" s="88"/>
      <c r="GE40" s="88"/>
      <c r="GF40" s="88"/>
      <c r="GG40" s="88"/>
      <c r="GH40" s="88"/>
      <c r="GI40" s="88"/>
      <c r="GJ40" s="88"/>
      <c r="GK40" s="88"/>
      <c r="GL40" s="88"/>
      <c r="GM40" s="88"/>
      <c r="GN40" s="88"/>
      <c r="GO40" s="88"/>
      <c r="GP40" s="88"/>
      <c r="GQ40" s="88"/>
      <c r="GR40" s="88"/>
      <c r="GS40" s="88"/>
      <c r="GT40" s="88"/>
      <c r="GU40" s="88"/>
      <c r="GV40" s="88"/>
      <c r="GW40" s="88"/>
      <c r="GX40" s="88"/>
      <c r="GY40" s="88"/>
      <c r="GZ40" s="88"/>
      <c r="HA40" s="88"/>
      <c r="HB40" s="88"/>
      <c r="HC40" s="88"/>
      <c r="HD40" s="88"/>
      <c r="HE40" s="88"/>
    </row>
    <row r="41" spans="1:213">
      <c r="A41" s="516" t="s">
        <v>248</v>
      </c>
      <c r="B41" s="284"/>
      <c r="C41" s="255"/>
      <c r="D41" s="88"/>
      <c r="E41" s="88"/>
      <c r="F41" s="88"/>
      <c r="G41" s="88"/>
      <c r="H41" s="88"/>
      <c r="I41" s="88"/>
      <c r="J41" s="88"/>
      <c r="K41" s="88"/>
      <c r="L41" s="88"/>
      <c r="M41" s="88"/>
      <c r="N41" s="88"/>
      <c r="O41" s="88"/>
      <c r="P41" s="88"/>
      <c r="Q41" s="88"/>
      <c r="R41" s="88"/>
      <c r="S41" s="88"/>
      <c r="T41" s="88"/>
      <c r="U41" s="88"/>
      <c r="V41" s="88"/>
      <c r="W41" s="88"/>
      <c r="X41" s="88"/>
      <c r="Y41" s="88"/>
      <c r="Z41" s="88"/>
      <c r="AA41" s="88"/>
      <c r="AB41" s="88"/>
      <c r="AC41" s="88"/>
      <c r="AD41" s="88"/>
      <c r="AE41" s="88"/>
      <c r="AF41" s="88"/>
      <c r="AG41" s="88"/>
      <c r="AH41" s="88"/>
      <c r="AI41" s="88"/>
      <c r="AJ41" s="88"/>
      <c r="AK41" s="88"/>
      <c r="AL41" s="88"/>
      <c r="AM41" s="88"/>
      <c r="AN41" s="88"/>
      <c r="AO41" s="88"/>
      <c r="AP41" s="88"/>
      <c r="AQ41" s="88"/>
      <c r="AR41" s="88"/>
      <c r="AS41" s="88"/>
      <c r="AT41" s="88"/>
      <c r="AU41" s="88"/>
      <c r="AV41" s="88"/>
      <c r="AW41" s="88"/>
      <c r="AX41" s="88"/>
      <c r="AY41" s="88"/>
      <c r="AZ41" s="88"/>
      <c r="BA41" s="88"/>
      <c r="BB41" s="88"/>
      <c r="BC41" s="88"/>
      <c r="BD41" s="88"/>
      <c r="BE41" s="88"/>
      <c r="BF41" s="88"/>
      <c r="BG41" s="88"/>
      <c r="BH41" s="88"/>
      <c r="BI41" s="88"/>
      <c r="BJ41" s="88"/>
      <c r="BK41" s="88"/>
      <c r="BL41" s="88"/>
      <c r="BM41" s="88"/>
      <c r="BN41" s="88"/>
      <c r="BO41" s="88"/>
      <c r="BP41" s="88"/>
      <c r="BQ41" s="88"/>
      <c r="BR41" s="88"/>
      <c r="BS41" s="88"/>
      <c r="BT41" s="88"/>
      <c r="BU41" s="88"/>
      <c r="BV41" s="88"/>
      <c r="BW41" s="88"/>
      <c r="BX41" s="88"/>
      <c r="BY41" s="88"/>
      <c r="BZ41" s="88"/>
      <c r="CA41" s="88"/>
      <c r="CB41" s="88"/>
      <c r="CC41" s="88"/>
      <c r="CD41" s="88"/>
      <c r="CE41" s="88"/>
      <c r="CF41" s="88"/>
      <c r="CG41" s="88"/>
      <c r="CH41" s="88"/>
      <c r="CI41" s="88"/>
      <c r="CJ41" s="88"/>
      <c r="CK41" s="88"/>
      <c r="CL41" s="88"/>
      <c r="CM41" s="88"/>
      <c r="CN41" s="88"/>
      <c r="CO41" s="88"/>
      <c r="CP41" s="88"/>
      <c r="CQ41" s="88"/>
      <c r="CR41" s="88"/>
      <c r="CS41" s="88"/>
      <c r="CT41" s="88"/>
      <c r="CU41" s="88"/>
      <c r="CV41" s="88"/>
      <c r="CW41" s="88"/>
      <c r="CX41" s="88"/>
      <c r="CY41" s="88"/>
      <c r="CZ41" s="88"/>
      <c r="DA41" s="88"/>
      <c r="DB41" s="88"/>
      <c r="DC41" s="88"/>
      <c r="DD41" s="88"/>
      <c r="DE41" s="88"/>
      <c r="DF41" s="88"/>
      <c r="DG41" s="88"/>
      <c r="DH41" s="88"/>
      <c r="DI41" s="88"/>
      <c r="DJ41" s="88"/>
      <c r="DK41" s="88"/>
      <c r="DL41" s="88"/>
      <c r="DM41" s="88"/>
      <c r="DN41" s="88"/>
      <c r="DO41" s="88"/>
      <c r="DP41" s="88"/>
      <c r="DQ41" s="88"/>
      <c r="DR41" s="88"/>
      <c r="DS41" s="88"/>
      <c r="DT41" s="88"/>
      <c r="DU41" s="88"/>
      <c r="DV41" s="88"/>
      <c r="DW41" s="88"/>
      <c r="DX41" s="88"/>
      <c r="DY41" s="88"/>
      <c r="DZ41" s="88"/>
      <c r="EA41" s="88"/>
      <c r="EB41" s="88"/>
      <c r="EC41" s="88"/>
      <c r="ED41" s="88"/>
      <c r="EE41" s="88"/>
      <c r="EF41" s="88"/>
      <c r="EG41" s="88"/>
      <c r="EH41" s="88"/>
      <c r="EI41" s="88"/>
      <c r="EJ41" s="88"/>
      <c r="EK41" s="88"/>
      <c r="EL41" s="88"/>
      <c r="EM41" s="88"/>
      <c r="EN41" s="88"/>
      <c r="EO41" s="88"/>
      <c r="EP41" s="88"/>
      <c r="EQ41" s="88"/>
      <c r="ER41" s="88"/>
      <c r="ES41" s="88"/>
      <c r="ET41" s="88"/>
      <c r="EU41" s="88"/>
      <c r="EV41" s="88"/>
      <c r="EW41" s="88"/>
      <c r="EX41" s="88"/>
      <c r="EY41" s="88"/>
      <c r="EZ41" s="88"/>
      <c r="FA41" s="88"/>
      <c r="FB41" s="88"/>
      <c r="FC41" s="88"/>
      <c r="FD41" s="88"/>
      <c r="FE41" s="88"/>
      <c r="FF41" s="88"/>
      <c r="FG41" s="88"/>
      <c r="FH41" s="88"/>
      <c r="FI41" s="88"/>
      <c r="FJ41" s="88"/>
      <c r="FK41" s="88"/>
      <c r="FL41" s="88"/>
      <c r="FM41" s="88"/>
      <c r="FN41" s="88"/>
      <c r="FO41" s="88"/>
      <c r="FP41" s="88"/>
      <c r="FQ41" s="88"/>
      <c r="FR41" s="88"/>
      <c r="FS41" s="88"/>
      <c r="FT41" s="88"/>
      <c r="FU41" s="88"/>
      <c r="FV41" s="88"/>
      <c r="FW41" s="88"/>
      <c r="FX41" s="88"/>
      <c r="FY41" s="88"/>
      <c r="FZ41" s="88"/>
      <c r="GA41" s="88"/>
      <c r="GB41" s="88"/>
      <c r="GC41" s="88"/>
      <c r="GD41" s="88"/>
      <c r="GE41" s="88"/>
      <c r="GF41" s="88"/>
      <c r="GG41" s="88"/>
      <c r="GH41" s="88"/>
      <c r="GI41" s="88"/>
      <c r="GJ41" s="88"/>
      <c r="GK41" s="88"/>
      <c r="GL41" s="88"/>
      <c r="GM41" s="88"/>
      <c r="GN41" s="88"/>
      <c r="GO41" s="88"/>
      <c r="GP41" s="88"/>
      <c r="GQ41" s="88"/>
      <c r="GR41" s="88"/>
      <c r="GS41" s="88"/>
      <c r="GT41" s="88"/>
      <c r="GU41" s="88"/>
      <c r="GV41" s="88"/>
      <c r="GW41" s="88"/>
      <c r="GX41" s="88"/>
      <c r="GY41" s="88"/>
      <c r="GZ41" s="88"/>
      <c r="HA41" s="88"/>
      <c r="HB41" s="88"/>
      <c r="HC41" s="88"/>
      <c r="HD41" s="88"/>
      <c r="HE41" s="88"/>
    </row>
    <row r="42" spans="1:213">
      <c r="A42" s="1" t="s">
        <v>249</v>
      </c>
      <c r="B42" s="444"/>
      <c r="C42" s="255" t="s">
        <v>250</v>
      </c>
      <c r="D42" s="88"/>
      <c r="E42" s="88"/>
      <c r="F42" s="88"/>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c r="BA42" s="88"/>
      <c r="BB42" s="88"/>
      <c r="BC42" s="88"/>
      <c r="BD42" s="88"/>
      <c r="BE42" s="88"/>
      <c r="BF42" s="88"/>
      <c r="BG42" s="88"/>
      <c r="BH42" s="88"/>
      <c r="BI42" s="88"/>
      <c r="BJ42" s="88"/>
      <c r="BK42" s="88"/>
      <c r="BL42" s="88"/>
      <c r="BM42" s="88"/>
      <c r="BN42" s="88"/>
      <c r="BO42" s="88"/>
      <c r="BP42" s="88"/>
      <c r="BQ42" s="88"/>
      <c r="BR42" s="88"/>
      <c r="BS42" s="88"/>
      <c r="BT42" s="88"/>
      <c r="BU42" s="88"/>
      <c r="BV42" s="88"/>
      <c r="BW42" s="88"/>
      <c r="BX42" s="88"/>
      <c r="BY42" s="88"/>
      <c r="BZ42" s="88"/>
      <c r="CA42" s="88"/>
      <c r="CB42" s="88"/>
      <c r="CC42" s="88"/>
      <c r="CD42" s="88"/>
      <c r="CE42" s="88"/>
      <c r="CF42" s="88"/>
      <c r="CG42" s="88"/>
      <c r="CH42" s="88"/>
      <c r="CI42" s="88"/>
      <c r="CJ42" s="88"/>
      <c r="CK42" s="88"/>
      <c r="CL42" s="88"/>
      <c r="CM42" s="88"/>
      <c r="CN42" s="88"/>
      <c r="CO42" s="88"/>
      <c r="CP42" s="88"/>
      <c r="CQ42" s="88"/>
      <c r="CR42" s="88"/>
      <c r="CS42" s="88"/>
      <c r="CT42" s="88"/>
      <c r="CU42" s="88"/>
      <c r="CV42" s="88"/>
      <c r="CW42" s="88"/>
      <c r="CX42" s="88"/>
      <c r="CY42" s="88"/>
      <c r="CZ42" s="88"/>
      <c r="DA42" s="88"/>
      <c r="DB42" s="88"/>
      <c r="DC42" s="88"/>
      <c r="DD42" s="88"/>
      <c r="DE42" s="88"/>
      <c r="DF42" s="88"/>
      <c r="DG42" s="88"/>
      <c r="DH42" s="88"/>
      <c r="DI42" s="88"/>
      <c r="DJ42" s="88"/>
      <c r="DK42" s="88"/>
      <c r="DL42" s="88"/>
      <c r="DM42" s="88"/>
      <c r="DN42" s="88"/>
      <c r="DO42" s="88"/>
      <c r="DP42" s="88"/>
      <c r="DQ42" s="88"/>
      <c r="DR42" s="88"/>
      <c r="DS42" s="88"/>
      <c r="DT42" s="88"/>
      <c r="DU42" s="88"/>
      <c r="DV42" s="88"/>
      <c r="DW42" s="88"/>
      <c r="DX42" s="88"/>
      <c r="DY42" s="88"/>
      <c r="DZ42" s="88"/>
      <c r="EA42" s="88"/>
      <c r="EB42" s="88"/>
      <c r="EC42" s="88"/>
      <c r="ED42" s="88"/>
      <c r="EE42" s="88"/>
      <c r="EF42" s="88"/>
      <c r="EG42" s="88"/>
      <c r="EH42" s="88"/>
      <c r="EI42" s="88"/>
      <c r="EJ42" s="88"/>
      <c r="EK42" s="88"/>
      <c r="EL42" s="88"/>
      <c r="EM42" s="88"/>
      <c r="EN42" s="88"/>
      <c r="EO42" s="88"/>
      <c r="EP42" s="88"/>
      <c r="EQ42" s="88"/>
      <c r="ER42" s="88"/>
      <c r="ES42" s="88"/>
      <c r="ET42" s="88"/>
      <c r="EU42" s="88"/>
      <c r="EV42" s="88"/>
      <c r="EW42" s="88"/>
      <c r="EX42" s="88"/>
      <c r="EY42" s="88"/>
      <c r="EZ42" s="88"/>
      <c r="FA42" s="88"/>
      <c r="FB42" s="88"/>
      <c r="FC42" s="88"/>
      <c r="FD42" s="88"/>
      <c r="FE42" s="88"/>
      <c r="FF42" s="88"/>
      <c r="FG42" s="88"/>
      <c r="FH42" s="88"/>
      <c r="FI42" s="88"/>
      <c r="FJ42" s="88"/>
      <c r="FK42" s="88"/>
      <c r="FL42" s="88"/>
      <c r="FM42" s="88"/>
      <c r="FN42" s="88"/>
      <c r="FO42" s="88"/>
      <c r="FP42" s="88"/>
      <c r="FQ42" s="88"/>
      <c r="FR42" s="88"/>
      <c r="FS42" s="88"/>
      <c r="FT42" s="88"/>
      <c r="FU42" s="88"/>
      <c r="FV42" s="88"/>
      <c r="FW42" s="88"/>
      <c r="FX42" s="88"/>
      <c r="FY42" s="88"/>
      <c r="FZ42" s="88"/>
      <c r="GA42" s="88"/>
      <c r="GB42" s="88"/>
      <c r="GC42" s="88"/>
      <c r="GD42" s="88"/>
      <c r="GE42" s="88"/>
      <c r="GF42" s="88"/>
      <c r="GG42" s="88"/>
      <c r="GH42" s="88"/>
      <c r="GI42" s="88"/>
      <c r="GJ42" s="88"/>
      <c r="GK42" s="88"/>
      <c r="GL42" s="88"/>
      <c r="GM42" s="88"/>
      <c r="GN42" s="88"/>
      <c r="GO42" s="88"/>
      <c r="GP42" s="88"/>
      <c r="GQ42" s="88"/>
      <c r="GR42" s="88"/>
      <c r="GS42" s="88"/>
      <c r="GT42" s="88"/>
      <c r="GU42" s="88"/>
      <c r="GV42" s="88"/>
      <c r="GW42" s="88"/>
      <c r="GX42" s="88"/>
      <c r="GY42" s="88"/>
      <c r="GZ42" s="88"/>
      <c r="HA42" s="88"/>
      <c r="HB42" s="88"/>
      <c r="HC42" s="88"/>
      <c r="HD42" s="88"/>
      <c r="HE42" s="88"/>
    </row>
    <row r="43" spans="1:213">
      <c r="A43" s="516" t="s">
        <v>251</v>
      </c>
      <c r="B43" s="444"/>
      <c r="C43" s="255"/>
      <c r="D43" s="88"/>
      <c r="E43" s="88"/>
      <c r="F43" s="88"/>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88"/>
      <c r="BC43" s="88"/>
      <c r="BD43" s="88"/>
      <c r="BE43" s="88"/>
      <c r="BF43" s="88"/>
      <c r="BG43" s="88"/>
      <c r="BH43" s="88"/>
      <c r="BI43" s="88"/>
      <c r="BJ43" s="88"/>
      <c r="BK43" s="88"/>
      <c r="BL43" s="88"/>
      <c r="BM43" s="88"/>
      <c r="BN43" s="88"/>
      <c r="BO43" s="88"/>
      <c r="BP43" s="88"/>
      <c r="BQ43" s="88"/>
      <c r="BR43" s="88"/>
      <c r="BS43" s="88"/>
      <c r="BT43" s="88"/>
      <c r="BU43" s="88"/>
      <c r="BV43" s="88"/>
      <c r="BW43" s="88"/>
      <c r="BX43" s="88"/>
      <c r="BY43" s="88"/>
      <c r="BZ43" s="88"/>
      <c r="CA43" s="88"/>
      <c r="CB43" s="88"/>
      <c r="CC43" s="88"/>
      <c r="CD43" s="88"/>
      <c r="CE43" s="88"/>
      <c r="CF43" s="88"/>
      <c r="CG43" s="88"/>
      <c r="CH43" s="88"/>
      <c r="CI43" s="88"/>
      <c r="CJ43" s="88"/>
      <c r="CK43" s="88"/>
      <c r="CL43" s="88"/>
      <c r="CM43" s="88"/>
      <c r="CN43" s="88"/>
      <c r="CO43" s="88"/>
      <c r="CP43" s="88"/>
      <c r="CQ43" s="88"/>
      <c r="CR43" s="88"/>
      <c r="CS43" s="88"/>
      <c r="CT43" s="88"/>
      <c r="CU43" s="88"/>
      <c r="CV43" s="88"/>
      <c r="CW43" s="88"/>
      <c r="CX43" s="88"/>
      <c r="CY43" s="88"/>
      <c r="CZ43" s="88"/>
      <c r="DA43" s="88"/>
      <c r="DB43" s="88"/>
      <c r="DC43" s="88"/>
      <c r="DD43" s="88"/>
      <c r="DE43" s="88"/>
      <c r="DF43" s="88"/>
      <c r="DG43" s="88"/>
      <c r="DH43" s="88"/>
      <c r="DI43" s="88"/>
      <c r="DJ43" s="88"/>
      <c r="DK43" s="88"/>
      <c r="DL43" s="88"/>
      <c r="DM43" s="88"/>
      <c r="DN43" s="88"/>
      <c r="DO43" s="88"/>
      <c r="DP43" s="88"/>
      <c r="DQ43" s="88"/>
      <c r="DR43" s="88"/>
      <c r="DS43" s="88"/>
      <c r="DT43" s="88"/>
      <c r="DU43" s="88"/>
      <c r="DV43" s="88"/>
      <c r="DW43" s="88"/>
      <c r="DX43" s="88"/>
      <c r="DY43" s="88"/>
      <c r="DZ43" s="88"/>
      <c r="EA43" s="88"/>
      <c r="EB43" s="88"/>
      <c r="EC43" s="88"/>
      <c r="ED43" s="88"/>
      <c r="EE43" s="88"/>
      <c r="EF43" s="88"/>
      <c r="EG43" s="88"/>
      <c r="EH43" s="88"/>
      <c r="EI43" s="88"/>
      <c r="EJ43" s="88"/>
      <c r="EK43" s="88"/>
      <c r="EL43" s="88"/>
      <c r="EM43" s="88"/>
      <c r="EN43" s="88"/>
      <c r="EO43" s="88"/>
      <c r="EP43" s="88"/>
      <c r="EQ43" s="88"/>
      <c r="ER43" s="88"/>
      <c r="ES43" s="88"/>
      <c r="ET43" s="88"/>
      <c r="EU43" s="88"/>
      <c r="EV43" s="88"/>
      <c r="EW43" s="88"/>
      <c r="EX43" s="88"/>
      <c r="EY43" s="88"/>
      <c r="EZ43" s="88"/>
      <c r="FA43" s="88"/>
      <c r="FB43" s="88"/>
      <c r="FC43" s="88"/>
      <c r="FD43" s="88"/>
      <c r="FE43" s="88"/>
      <c r="FF43" s="88"/>
      <c r="FG43" s="88"/>
      <c r="FH43" s="88"/>
      <c r="FI43" s="88"/>
      <c r="FJ43" s="88"/>
      <c r="FK43" s="88"/>
      <c r="FL43" s="88"/>
      <c r="FM43" s="88"/>
      <c r="FN43" s="88"/>
      <c r="FO43" s="88"/>
      <c r="FP43" s="88"/>
      <c r="FQ43" s="88"/>
      <c r="FR43" s="88"/>
      <c r="FS43" s="88"/>
      <c r="FT43" s="88"/>
      <c r="FU43" s="88"/>
      <c r="FV43" s="88"/>
      <c r="FW43" s="88"/>
      <c r="FX43" s="88"/>
      <c r="FY43" s="88"/>
      <c r="FZ43" s="88"/>
      <c r="GA43" s="88"/>
      <c r="GB43" s="88"/>
      <c r="GC43" s="88"/>
      <c r="GD43" s="88"/>
      <c r="GE43" s="88"/>
      <c r="GF43" s="88"/>
      <c r="GG43" s="88"/>
      <c r="GH43" s="88"/>
      <c r="GI43" s="88"/>
      <c r="GJ43" s="88"/>
      <c r="GK43" s="88"/>
      <c r="GL43" s="88"/>
      <c r="GM43" s="88"/>
      <c r="GN43" s="88"/>
      <c r="GO43" s="88"/>
      <c r="GP43" s="88"/>
      <c r="GQ43" s="88"/>
      <c r="GR43" s="88"/>
      <c r="GS43" s="88"/>
      <c r="GT43" s="88"/>
      <c r="GU43" s="88"/>
      <c r="GV43" s="88"/>
      <c r="GW43" s="88"/>
      <c r="GX43" s="88"/>
      <c r="GY43" s="88"/>
      <c r="GZ43" s="88"/>
      <c r="HA43" s="88"/>
      <c r="HB43" s="88"/>
      <c r="HC43" s="88"/>
      <c r="HD43" s="88"/>
      <c r="HE43" s="88"/>
    </row>
    <row r="44" spans="1:213">
      <c r="A44" s="516" t="s">
        <v>252</v>
      </c>
      <c r="B44" s="444"/>
      <c r="C44" s="255"/>
      <c r="D44" s="88"/>
      <c r="E44" s="88"/>
      <c r="F44" s="88"/>
      <c r="G44" s="88"/>
      <c r="H44" s="88"/>
      <c r="I44" s="88"/>
      <c r="J44" s="88"/>
      <c r="K44" s="88"/>
      <c r="L44" s="88"/>
      <c r="M44" s="88"/>
      <c r="N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c r="BA44" s="88"/>
      <c r="BB44" s="88"/>
      <c r="BC44" s="88"/>
      <c r="BD44" s="88"/>
      <c r="BE44" s="88"/>
      <c r="BF44" s="88"/>
      <c r="BG44" s="88"/>
      <c r="BH44" s="88"/>
      <c r="BI44" s="88"/>
      <c r="BJ44" s="88"/>
      <c r="BK44" s="88"/>
      <c r="BL44" s="88"/>
      <c r="BM44" s="88"/>
      <c r="BN44" s="88"/>
      <c r="BO44" s="88"/>
      <c r="BP44" s="88"/>
      <c r="BQ44" s="88"/>
      <c r="BR44" s="88"/>
      <c r="BS44" s="88"/>
      <c r="BT44" s="88"/>
      <c r="BU44" s="88"/>
      <c r="BV44" s="88"/>
      <c r="BW44" s="88"/>
      <c r="BX44" s="88"/>
      <c r="BY44" s="88"/>
      <c r="BZ44" s="88"/>
      <c r="CA44" s="88"/>
      <c r="CB44" s="88"/>
      <c r="CC44" s="88"/>
      <c r="CD44" s="88"/>
      <c r="CE44" s="88"/>
      <c r="CF44" s="88"/>
      <c r="CG44" s="88"/>
      <c r="CH44" s="88"/>
      <c r="CI44" s="88"/>
      <c r="CJ44" s="88"/>
      <c r="CK44" s="88"/>
      <c r="CL44" s="88"/>
      <c r="CM44" s="88"/>
      <c r="CN44" s="88"/>
      <c r="CO44" s="88"/>
      <c r="CP44" s="88"/>
      <c r="CQ44" s="88"/>
      <c r="CR44" s="88"/>
      <c r="CS44" s="88"/>
      <c r="CT44" s="88"/>
      <c r="CU44" s="88"/>
      <c r="CV44" s="88"/>
      <c r="CW44" s="88"/>
      <c r="CX44" s="88"/>
      <c r="CY44" s="88"/>
      <c r="CZ44" s="88"/>
      <c r="DA44" s="88"/>
      <c r="DB44" s="88"/>
      <c r="DC44" s="88"/>
      <c r="DD44" s="88"/>
      <c r="DE44" s="88"/>
      <c r="DF44" s="88"/>
      <c r="DG44" s="88"/>
      <c r="DH44" s="88"/>
      <c r="DI44" s="88"/>
      <c r="DJ44" s="88"/>
      <c r="DK44" s="88"/>
      <c r="DL44" s="88"/>
      <c r="DM44" s="88"/>
      <c r="DN44" s="88"/>
      <c r="DO44" s="88"/>
      <c r="DP44" s="88"/>
      <c r="DQ44" s="88"/>
      <c r="DR44" s="88"/>
      <c r="DS44" s="88"/>
      <c r="DT44" s="88"/>
      <c r="DU44" s="88"/>
      <c r="DV44" s="88"/>
      <c r="DW44" s="88"/>
      <c r="DX44" s="88"/>
      <c r="DY44" s="88"/>
      <c r="DZ44" s="88"/>
      <c r="EA44" s="88"/>
      <c r="EB44" s="88"/>
      <c r="EC44" s="88"/>
      <c r="ED44" s="88"/>
      <c r="EE44" s="88"/>
      <c r="EF44" s="88"/>
      <c r="EG44" s="88"/>
      <c r="EH44" s="88"/>
      <c r="EI44" s="88"/>
      <c r="EJ44" s="88"/>
      <c r="EK44" s="88"/>
      <c r="EL44" s="88"/>
      <c r="EM44" s="88"/>
      <c r="EN44" s="88"/>
      <c r="EO44" s="88"/>
      <c r="EP44" s="88"/>
      <c r="EQ44" s="88"/>
      <c r="ER44" s="88"/>
      <c r="ES44" s="88"/>
      <c r="ET44" s="88"/>
      <c r="EU44" s="88"/>
      <c r="EV44" s="88"/>
      <c r="EW44" s="88"/>
      <c r="EX44" s="88"/>
      <c r="EY44" s="88"/>
      <c r="EZ44" s="88"/>
      <c r="FA44" s="88"/>
      <c r="FB44" s="88"/>
      <c r="FC44" s="88"/>
      <c r="FD44" s="88"/>
      <c r="FE44" s="88"/>
      <c r="FF44" s="88"/>
      <c r="FG44" s="88"/>
      <c r="FH44" s="88"/>
      <c r="FI44" s="88"/>
      <c r="FJ44" s="88"/>
      <c r="FK44" s="88"/>
      <c r="FL44" s="88"/>
      <c r="FM44" s="88"/>
      <c r="FN44" s="88"/>
      <c r="FO44" s="88"/>
      <c r="FP44" s="88"/>
      <c r="FQ44" s="88"/>
      <c r="FR44" s="88"/>
      <c r="FS44" s="88"/>
      <c r="FT44" s="88"/>
      <c r="FU44" s="88"/>
      <c r="FV44" s="88"/>
      <c r="FW44" s="88"/>
      <c r="FX44" s="88"/>
      <c r="FY44" s="88"/>
      <c r="FZ44" s="88"/>
      <c r="GA44" s="88"/>
      <c r="GB44" s="88"/>
      <c r="GC44" s="88"/>
      <c r="GD44" s="88"/>
      <c r="GE44" s="88"/>
      <c r="GF44" s="88"/>
      <c r="GG44" s="88"/>
      <c r="GH44" s="88"/>
      <c r="GI44" s="88"/>
      <c r="GJ44" s="88"/>
      <c r="GK44" s="88"/>
      <c r="GL44" s="88"/>
      <c r="GM44" s="88"/>
      <c r="GN44" s="88"/>
      <c r="GO44" s="88"/>
      <c r="GP44" s="88"/>
      <c r="GQ44" s="88"/>
      <c r="GR44" s="88"/>
      <c r="GS44" s="88"/>
      <c r="GT44" s="88"/>
      <c r="GU44" s="88"/>
      <c r="GV44" s="88"/>
      <c r="GW44" s="88"/>
      <c r="GX44" s="88"/>
      <c r="GY44" s="88"/>
      <c r="GZ44" s="88"/>
      <c r="HA44" s="88"/>
      <c r="HB44" s="88"/>
      <c r="HC44" s="88"/>
      <c r="HD44" s="88"/>
      <c r="HE44" s="88"/>
    </row>
    <row r="45" spans="1:213">
      <c r="A45" s="1" t="s">
        <v>253</v>
      </c>
      <c r="B45" s="444"/>
      <c r="C45" s="255"/>
      <c r="D45" s="88"/>
      <c r="E45" s="88"/>
      <c r="F45" s="88"/>
      <c r="G45" s="88"/>
      <c r="H45" s="88"/>
      <c r="I45" s="88"/>
      <c r="J45" s="88"/>
      <c r="K45" s="88"/>
      <c r="L45" s="88"/>
      <c r="M45" s="88"/>
      <c r="N45" s="88"/>
      <c r="O45" s="88"/>
      <c r="P45" s="88"/>
      <c r="Q45" s="88"/>
      <c r="R45" s="88"/>
      <c r="S45" s="88"/>
      <c r="T45" s="88"/>
      <c r="U45" s="88"/>
      <c r="V45" s="88"/>
      <c r="W45" s="88"/>
      <c r="X45" s="88"/>
      <c r="Y45" s="88"/>
      <c r="Z45" s="88"/>
      <c r="AA45" s="88"/>
      <c r="AB45" s="88"/>
      <c r="AC45" s="88"/>
      <c r="AD45" s="88"/>
      <c r="AE45" s="88"/>
      <c r="AF45" s="88"/>
      <c r="AG45" s="88"/>
      <c r="AH45" s="88"/>
      <c r="AI45" s="88"/>
      <c r="AJ45" s="88"/>
      <c r="AK45" s="88"/>
      <c r="AL45" s="88"/>
      <c r="AM45" s="88"/>
      <c r="AN45" s="88"/>
      <c r="AO45" s="88"/>
      <c r="AP45" s="88"/>
      <c r="AQ45" s="88"/>
      <c r="AR45" s="88"/>
      <c r="AS45" s="88"/>
      <c r="AT45" s="88"/>
      <c r="AU45" s="88"/>
      <c r="AV45" s="88"/>
      <c r="AW45" s="88"/>
      <c r="AX45" s="88"/>
      <c r="AY45" s="88"/>
      <c r="AZ45" s="88"/>
      <c r="BA45" s="88"/>
      <c r="BB45" s="88"/>
      <c r="BC45" s="88"/>
      <c r="BD45" s="88"/>
      <c r="BE45" s="88"/>
      <c r="BF45" s="88"/>
      <c r="BG45" s="88"/>
      <c r="BH45" s="88"/>
      <c r="BI45" s="88"/>
      <c r="BJ45" s="88"/>
      <c r="BK45" s="88"/>
      <c r="BL45" s="88"/>
      <c r="BM45" s="88"/>
      <c r="BN45" s="88"/>
      <c r="BO45" s="88"/>
      <c r="BP45" s="88"/>
      <c r="BQ45" s="88"/>
      <c r="BR45" s="88"/>
      <c r="BS45" s="88"/>
      <c r="BT45" s="88"/>
      <c r="BU45" s="88"/>
      <c r="BV45" s="88"/>
      <c r="BW45" s="88"/>
      <c r="BX45" s="88"/>
      <c r="BY45" s="88"/>
      <c r="BZ45" s="88"/>
      <c r="CA45" s="88"/>
      <c r="CB45" s="88"/>
      <c r="CC45" s="88"/>
      <c r="CD45" s="88"/>
      <c r="CE45" s="88"/>
      <c r="CF45" s="88"/>
      <c r="CG45" s="88"/>
      <c r="CH45" s="88"/>
      <c r="CI45" s="88"/>
      <c r="CJ45" s="88"/>
      <c r="CK45" s="88"/>
      <c r="CL45" s="88"/>
      <c r="CM45" s="88"/>
      <c r="CN45" s="88"/>
      <c r="CO45" s="88"/>
      <c r="CP45" s="88"/>
      <c r="CQ45" s="88"/>
      <c r="CR45" s="88"/>
      <c r="CS45" s="88"/>
      <c r="CT45" s="88"/>
      <c r="CU45" s="88"/>
      <c r="CV45" s="88"/>
      <c r="CW45" s="88"/>
      <c r="CX45" s="88"/>
      <c r="CY45" s="88"/>
      <c r="CZ45" s="88"/>
      <c r="DA45" s="88"/>
      <c r="DB45" s="88"/>
      <c r="DC45" s="88"/>
      <c r="DD45" s="88"/>
      <c r="DE45" s="88"/>
      <c r="DF45" s="88"/>
      <c r="DG45" s="88"/>
      <c r="DH45" s="88"/>
      <c r="DI45" s="88"/>
      <c r="DJ45" s="88"/>
      <c r="DK45" s="88"/>
      <c r="DL45" s="88"/>
      <c r="DM45" s="88"/>
      <c r="DN45" s="88"/>
      <c r="DO45" s="88"/>
      <c r="DP45" s="88"/>
      <c r="DQ45" s="88"/>
      <c r="DR45" s="88"/>
      <c r="DS45" s="88"/>
      <c r="DT45" s="88"/>
      <c r="DU45" s="88"/>
      <c r="DV45" s="88"/>
      <c r="DW45" s="88"/>
      <c r="DX45" s="88"/>
      <c r="DY45" s="88"/>
      <c r="DZ45" s="88"/>
      <c r="EA45" s="88"/>
      <c r="EB45" s="88"/>
      <c r="EC45" s="88"/>
      <c r="ED45" s="88"/>
      <c r="EE45" s="88"/>
      <c r="EF45" s="88"/>
      <c r="EG45" s="88"/>
      <c r="EH45" s="88"/>
      <c r="EI45" s="88"/>
      <c r="EJ45" s="88"/>
      <c r="EK45" s="88"/>
      <c r="EL45" s="88"/>
      <c r="EM45" s="88"/>
      <c r="EN45" s="88"/>
      <c r="EO45" s="88"/>
      <c r="EP45" s="88"/>
      <c r="EQ45" s="88"/>
      <c r="ER45" s="88"/>
      <c r="ES45" s="88"/>
      <c r="ET45" s="88"/>
      <c r="EU45" s="88"/>
      <c r="EV45" s="88"/>
      <c r="EW45" s="88"/>
      <c r="EX45" s="88"/>
      <c r="EY45" s="88"/>
      <c r="EZ45" s="88"/>
      <c r="FA45" s="88"/>
      <c r="FB45" s="88"/>
      <c r="FC45" s="88"/>
      <c r="FD45" s="88"/>
      <c r="FE45" s="88"/>
      <c r="FF45" s="88"/>
      <c r="FG45" s="88"/>
      <c r="FH45" s="88"/>
      <c r="FI45" s="88"/>
      <c r="FJ45" s="88"/>
      <c r="FK45" s="88"/>
      <c r="FL45" s="88"/>
      <c r="FM45" s="88"/>
      <c r="FN45" s="88"/>
      <c r="FO45" s="88"/>
      <c r="FP45" s="88"/>
      <c r="FQ45" s="88"/>
      <c r="FR45" s="88"/>
      <c r="FS45" s="88"/>
      <c r="FT45" s="88"/>
      <c r="FU45" s="88"/>
      <c r="FV45" s="88"/>
      <c r="FW45" s="88"/>
      <c r="FX45" s="88"/>
      <c r="FY45" s="88"/>
      <c r="FZ45" s="88"/>
      <c r="GA45" s="88"/>
      <c r="GB45" s="88"/>
      <c r="GC45" s="88"/>
      <c r="GD45" s="88"/>
      <c r="GE45" s="88"/>
      <c r="GF45" s="88"/>
      <c r="GG45" s="88"/>
      <c r="GH45" s="88"/>
      <c r="GI45" s="88"/>
      <c r="GJ45" s="88"/>
      <c r="GK45" s="88"/>
      <c r="GL45" s="88"/>
      <c r="GM45" s="88"/>
      <c r="GN45" s="88"/>
      <c r="GO45" s="88"/>
      <c r="GP45" s="88"/>
      <c r="GQ45" s="88"/>
      <c r="GR45" s="88"/>
      <c r="GS45" s="88"/>
      <c r="GT45" s="88"/>
      <c r="GU45" s="88"/>
      <c r="GV45" s="88"/>
      <c r="GW45" s="88"/>
      <c r="GX45" s="88"/>
      <c r="GY45" s="88"/>
      <c r="GZ45" s="88"/>
      <c r="HA45" s="88"/>
      <c r="HB45" s="88"/>
      <c r="HC45" s="88"/>
      <c r="HD45" s="88"/>
      <c r="HE45" s="88"/>
    </row>
    <row r="46" spans="1:213">
      <c r="A46" s="344" t="s">
        <v>254</v>
      </c>
      <c r="B46" s="284"/>
      <c r="C46" s="255"/>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c r="AO46" s="88"/>
      <c r="AP46" s="88"/>
      <c r="AQ46" s="88"/>
      <c r="AR46" s="88"/>
      <c r="AS46" s="88"/>
      <c r="AT46" s="88"/>
      <c r="AU46" s="88"/>
      <c r="AV46" s="88"/>
      <c r="AW46" s="88"/>
      <c r="AX46" s="88"/>
      <c r="AY46" s="88"/>
      <c r="AZ46" s="88"/>
      <c r="BA46" s="88"/>
      <c r="BB46" s="88"/>
      <c r="BC46" s="88"/>
      <c r="BD46" s="88"/>
      <c r="BE46" s="88"/>
      <c r="BF46" s="88"/>
      <c r="BG46" s="88"/>
      <c r="BH46" s="88"/>
      <c r="BI46" s="88"/>
      <c r="BJ46" s="88"/>
      <c r="BK46" s="88"/>
      <c r="BL46" s="88"/>
      <c r="BM46" s="88"/>
      <c r="BN46" s="88"/>
      <c r="BO46" s="88"/>
      <c r="BP46" s="88"/>
      <c r="BQ46" s="88"/>
      <c r="BR46" s="88"/>
      <c r="BS46" s="88"/>
      <c r="BT46" s="88"/>
      <c r="BU46" s="88"/>
      <c r="BV46" s="88"/>
      <c r="BW46" s="88"/>
      <c r="BX46" s="88"/>
      <c r="BY46" s="88"/>
      <c r="BZ46" s="88"/>
      <c r="CA46" s="88"/>
      <c r="CB46" s="88"/>
      <c r="CC46" s="88"/>
      <c r="CD46" s="88"/>
      <c r="CE46" s="88"/>
      <c r="CF46" s="88"/>
      <c r="CG46" s="88"/>
      <c r="CH46" s="88"/>
      <c r="CI46" s="88"/>
      <c r="CJ46" s="88"/>
      <c r="CK46" s="88"/>
      <c r="CL46" s="88"/>
      <c r="CM46" s="88"/>
      <c r="CN46" s="88"/>
      <c r="CO46" s="88"/>
      <c r="CP46" s="88"/>
      <c r="CQ46" s="88"/>
      <c r="CR46" s="88"/>
      <c r="CS46" s="88"/>
      <c r="CT46" s="88"/>
      <c r="CU46" s="88"/>
      <c r="CV46" s="88"/>
      <c r="CW46" s="88"/>
      <c r="CX46" s="88"/>
      <c r="CY46" s="88"/>
      <c r="CZ46" s="88"/>
      <c r="DA46" s="88"/>
      <c r="DB46" s="88"/>
      <c r="DC46" s="88"/>
      <c r="DD46" s="88"/>
      <c r="DE46" s="88"/>
      <c r="DF46" s="88"/>
      <c r="DG46" s="88"/>
      <c r="DH46" s="88"/>
      <c r="DI46" s="88"/>
      <c r="DJ46" s="88"/>
      <c r="DK46" s="88"/>
      <c r="DL46" s="88"/>
      <c r="DM46" s="88"/>
      <c r="DN46" s="88"/>
      <c r="DO46" s="88"/>
      <c r="DP46" s="88"/>
      <c r="DQ46" s="88"/>
      <c r="DR46" s="88"/>
      <c r="DS46" s="88"/>
      <c r="DT46" s="88"/>
      <c r="DU46" s="88"/>
      <c r="DV46" s="88"/>
      <c r="DW46" s="88"/>
      <c r="DX46" s="88"/>
      <c r="DY46" s="88"/>
      <c r="DZ46" s="88"/>
      <c r="EA46" s="88"/>
      <c r="EB46" s="88"/>
      <c r="EC46" s="88"/>
      <c r="ED46" s="88"/>
      <c r="EE46" s="88"/>
      <c r="EF46" s="88"/>
      <c r="EG46" s="88"/>
      <c r="EH46" s="88"/>
      <c r="EI46" s="88"/>
      <c r="EJ46" s="88"/>
      <c r="EK46" s="88"/>
      <c r="EL46" s="88"/>
      <c r="EM46" s="88"/>
      <c r="EN46" s="88"/>
      <c r="EO46" s="88"/>
      <c r="EP46" s="88"/>
      <c r="EQ46" s="88"/>
      <c r="ER46" s="88"/>
      <c r="ES46" s="88"/>
      <c r="ET46" s="88"/>
      <c r="EU46" s="88"/>
      <c r="EV46" s="88"/>
      <c r="EW46" s="88"/>
      <c r="EX46" s="88"/>
      <c r="EY46" s="88"/>
      <c r="EZ46" s="88"/>
      <c r="FA46" s="88"/>
      <c r="FB46" s="88"/>
      <c r="FC46" s="88"/>
      <c r="FD46" s="88"/>
      <c r="FE46" s="88"/>
      <c r="FF46" s="88"/>
      <c r="FG46" s="88"/>
      <c r="FH46" s="88"/>
      <c r="FI46" s="88"/>
      <c r="FJ46" s="88"/>
      <c r="FK46" s="88"/>
      <c r="FL46" s="88"/>
      <c r="FM46" s="88"/>
      <c r="FN46" s="88"/>
      <c r="FO46" s="88"/>
      <c r="FP46" s="88"/>
      <c r="FQ46" s="88"/>
      <c r="FR46" s="88"/>
      <c r="FS46" s="88"/>
      <c r="FT46" s="88"/>
      <c r="FU46" s="88"/>
      <c r="FV46" s="88"/>
      <c r="FW46" s="88"/>
      <c r="FX46" s="88"/>
      <c r="FY46" s="88"/>
      <c r="FZ46" s="88"/>
      <c r="GA46" s="88"/>
      <c r="GB46" s="88"/>
      <c r="GC46" s="88"/>
      <c r="GD46" s="88"/>
      <c r="GE46" s="88"/>
      <c r="GF46" s="88"/>
      <c r="GG46" s="88"/>
      <c r="GH46" s="88"/>
      <c r="GI46" s="88"/>
      <c r="GJ46" s="88"/>
      <c r="GK46" s="88"/>
      <c r="GL46" s="88"/>
      <c r="GM46" s="88"/>
      <c r="GN46" s="88"/>
      <c r="GO46" s="88"/>
      <c r="GP46" s="88"/>
      <c r="GQ46" s="88"/>
      <c r="GR46" s="88"/>
      <c r="GS46" s="88"/>
      <c r="GT46" s="88"/>
      <c r="GU46" s="88"/>
      <c r="GV46" s="88"/>
      <c r="GW46" s="88"/>
      <c r="GX46" s="88"/>
      <c r="GY46" s="88"/>
      <c r="GZ46" s="88"/>
      <c r="HA46" s="88"/>
      <c r="HB46" s="88"/>
      <c r="HC46" s="88"/>
      <c r="HD46" s="88"/>
      <c r="HE46" s="88"/>
    </row>
    <row r="47" spans="1:213">
      <c r="A47" s="344" t="s">
        <v>255</v>
      </c>
      <c r="B47" s="284"/>
      <c r="C47" s="255"/>
      <c r="D47" s="88"/>
      <c r="E47" s="88"/>
      <c r="F47" s="88"/>
      <c r="G47" s="88"/>
      <c r="H47" s="88"/>
      <c r="I47" s="88"/>
      <c r="J47" s="88"/>
      <c r="K47" s="88"/>
      <c r="L47" s="88"/>
      <c r="M47" s="88"/>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88"/>
      <c r="BE47" s="88"/>
      <c r="BF47" s="88"/>
      <c r="BG47" s="88"/>
      <c r="BH47" s="88"/>
      <c r="BI47" s="88"/>
      <c r="BJ47" s="88"/>
      <c r="BK47" s="88"/>
      <c r="BL47" s="88"/>
      <c r="BM47" s="88"/>
      <c r="BN47" s="88"/>
      <c r="BO47" s="88"/>
      <c r="BP47" s="88"/>
      <c r="BQ47" s="88"/>
      <c r="BR47" s="88"/>
      <c r="BS47" s="88"/>
      <c r="BT47" s="88"/>
      <c r="BU47" s="88"/>
      <c r="BV47" s="88"/>
      <c r="BW47" s="88"/>
      <c r="BX47" s="88"/>
      <c r="BY47" s="88"/>
      <c r="BZ47" s="88"/>
      <c r="CA47" s="88"/>
      <c r="CB47" s="88"/>
      <c r="CC47" s="88"/>
      <c r="CD47" s="88"/>
      <c r="CE47" s="88"/>
      <c r="CF47" s="88"/>
      <c r="CG47" s="88"/>
      <c r="CH47" s="88"/>
      <c r="CI47" s="88"/>
      <c r="CJ47" s="88"/>
      <c r="CK47" s="88"/>
      <c r="CL47" s="88"/>
      <c r="CM47" s="88"/>
      <c r="CN47" s="88"/>
      <c r="CO47" s="88"/>
      <c r="CP47" s="88"/>
      <c r="CQ47" s="88"/>
      <c r="CR47" s="88"/>
      <c r="CS47" s="88"/>
      <c r="CT47" s="88"/>
      <c r="CU47" s="88"/>
      <c r="CV47" s="88"/>
      <c r="CW47" s="88"/>
      <c r="CX47" s="88"/>
      <c r="CY47" s="88"/>
      <c r="CZ47" s="88"/>
      <c r="DA47" s="88"/>
      <c r="DB47" s="88"/>
      <c r="DC47" s="88"/>
      <c r="DD47" s="88"/>
      <c r="DE47" s="88"/>
      <c r="DF47" s="88"/>
      <c r="DG47" s="88"/>
      <c r="DH47" s="88"/>
      <c r="DI47" s="88"/>
      <c r="DJ47" s="88"/>
      <c r="DK47" s="88"/>
      <c r="DL47" s="88"/>
      <c r="DM47" s="88"/>
      <c r="DN47" s="88"/>
      <c r="DO47" s="88"/>
      <c r="DP47" s="88"/>
      <c r="DQ47" s="88"/>
      <c r="DR47" s="88"/>
      <c r="DS47" s="88"/>
      <c r="DT47" s="88"/>
      <c r="DU47" s="88"/>
      <c r="DV47" s="88"/>
      <c r="DW47" s="88"/>
      <c r="DX47" s="88"/>
      <c r="DY47" s="88"/>
      <c r="DZ47" s="88"/>
      <c r="EA47" s="88"/>
      <c r="EB47" s="88"/>
      <c r="EC47" s="88"/>
      <c r="ED47" s="88"/>
      <c r="EE47" s="88"/>
      <c r="EF47" s="88"/>
      <c r="EG47" s="88"/>
      <c r="EH47" s="88"/>
      <c r="EI47" s="88"/>
      <c r="EJ47" s="88"/>
      <c r="EK47" s="88"/>
      <c r="EL47" s="88"/>
      <c r="EM47" s="88"/>
      <c r="EN47" s="88"/>
      <c r="EO47" s="88"/>
      <c r="EP47" s="88"/>
      <c r="EQ47" s="88"/>
      <c r="ER47" s="88"/>
      <c r="ES47" s="88"/>
      <c r="ET47" s="88"/>
      <c r="EU47" s="88"/>
      <c r="EV47" s="88"/>
      <c r="EW47" s="88"/>
      <c r="EX47" s="88"/>
      <c r="EY47" s="88"/>
      <c r="EZ47" s="88"/>
      <c r="FA47" s="88"/>
      <c r="FB47" s="88"/>
      <c r="FC47" s="88"/>
      <c r="FD47" s="88"/>
      <c r="FE47" s="88"/>
      <c r="FF47" s="88"/>
      <c r="FG47" s="88"/>
      <c r="FH47" s="88"/>
      <c r="FI47" s="88"/>
      <c r="FJ47" s="88"/>
      <c r="FK47" s="88"/>
      <c r="FL47" s="88"/>
      <c r="FM47" s="88"/>
      <c r="FN47" s="88"/>
      <c r="FO47" s="88"/>
      <c r="FP47" s="88"/>
      <c r="FQ47" s="88"/>
      <c r="FR47" s="88"/>
      <c r="FS47" s="88"/>
      <c r="FT47" s="88"/>
      <c r="FU47" s="88"/>
      <c r="FV47" s="88"/>
      <c r="FW47" s="88"/>
      <c r="FX47" s="88"/>
      <c r="FY47" s="88"/>
      <c r="FZ47" s="88"/>
      <c r="GA47" s="88"/>
      <c r="GB47" s="88"/>
      <c r="GC47" s="88"/>
      <c r="GD47" s="88"/>
      <c r="GE47" s="88"/>
      <c r="GF47" s="88"/>
      <c r="GG47" s="88"/>
      <c r="GH47" s="88"/>
      <c r="GI47" s="88"/>
      <c r="GJ47" s="88"/>
      <c r="GK47" s="88"/>
      <c r="GL47" s="88"/>
      <c r="GM47" s="88"/>
      <c r="GN47" s="88"/>
      <c r="GO47" s="88"/>
      <c r="GP47" s="88"/>
      <c r="GQ47" s="88"/>
      <c r="GR47" s="88"/>
      <c r="GS47" s="88"/>
      <c r="GT47" s="88"/>
      <c r="GU47" s="88"/>
      <c r="GV47" s="88"/>
      <c r="GW47" s="88"/>
      <c r="GX47" s="88"/>
      <c r="GY47" s="88"/>
      <c r="GZ47" s="88"/>
      <c r="HA47" s="88"/>
      <c r="HB47" s="88"/>
      <c r="HC47" s="88"/>
      <c r="HD47" s="88"/>
      <c r="HE47" s="88"/>
    </row>
    <row r="48" spans="1:213">
      <c r="A48" s="344" t="s">
        <v>256</v>
      </c>
      <c r="B48" s="284"/>
      <c r="C48" s="255"/>
      <c r="D48" s="88"/>
      <c r="E48" s="88"/>
      <c r="F48" s="88"/>
      <c r="G48" s="88"/>
      <c r="H48" s="88"/>
      <c r="I48" s="88"/>
      <c r="J48" s="88"/>
      <c r="K48" s="88"/>
      <c r="L48" s="88"/>
      <c r="M48" s="88"/>
      <c r="N48" s="88"/>
      <c r="O48" s="88"/>
      <c r="P48" s="88"/>
      <c r="Q48" s="88"/>
      <c r="R48" s="88"/>
      <c r="S48" s="88"/>
      <c r="T48" s="88"/>
      <c r="U48" s="88"/>
      <c r="V48" s="88"/>
      <c r="W48" s="88"/>
      <c r="X48" s="88"/>
      <c r="Y48" s="88"/>
      <c r="Z48" s="88"/>
      <c r="AA48" s="88"/>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88"/>
      <c r="BA48" s="88"/>
      <c r="BB48" s="88"/>
      <c r="BC48" s="88"/>
      <c r="BD48" s="88"/>
      <c r="BE48" s="88"/>
      <c r="BF48" s="88"/>
      <c r="BG48" s="88"/>
      <c r="BH48" s="88"/>
      <c r="BI48" s="88"/>
      <c r="BJ48" s="88"/>
      <c r="BK48" s="88"/>
      <c r="BL48" s="88"/>
      <c r="BM48" s="88"/>
      <c r="BN48" s="88"/>
      <c r="BO48" s="88"/>
      <c r="BP48" s="88"/>
      <c r="BQ48" s="88"/>
      <c r="BR48" s="88"/>
      <c r="BS48" s="88"/>
      <c r="BT48" s="88"/>
      <c r="BU48" s="88"/>
      <c r="BV48" s="88"/>
      <c r="BW48" s="88"/>
      <c r="BX48" s="88"/>
      <c r="BY48" s="88"/>
      <c r="BZ48" s="88"/>
      <c r="CA48" s="88"/>
      <c r="CB48" s="88"/>
      <c r="CC48" s="88"/>
      <c r="CD48" s="88"/>
      <c r="CE48" s="88"/>
      <c r="CF48" s="88"/>
      <c r="CG48" s="88"/>
      <c r="CH48" s="88"/>
      <c r="CI48" s="88"/>
      <c r="CJ48" s="88"/>
      <c r="CK48" s="88"/>
      <c r="CL48" s="88"/>
      <c r="CM48" s="88"/>
      <c r="CN48" s="88"/>
      <c r="CO48" s="88"/>
      <c r="CP48" s="88"/>
      <c r="CQ48" s="88"/>
      <c r="CR48" s="88"/>
      <c r="CS48" s="88"/>
      <c r="CT48" s="88"/>
      <c r="CU48" s="88"/>
      <c r="CV48" s="88"/>
      <c r="CW48" s="88"/>
      <c r="CX48" s="88"/>
      <c r="CY48" s="88"/>
      <c r="CZ48" s="88"/>
      <c r="DA48" s="88"/>
      <c r="DB48" s="88"/>
      <c r="DC48" s="88"/>
      <c r="DD48" s="88"/>
      <c r="DE48" s="88"/>
      <c r="DF48" s="88"/>
      <c r="DG48" s="88"/>
      <c r="DH48" s="88"/>
      <c r="DI48" s="88"/>
      <c r="DJ48" s="88"/>
      <c r="DK48" s="88"/>
      <c r="DL48" s="88"/>
      <c r="DM48" s="88"/>
      <c r="DN48" s="88"/>
      <c r="DO48" s="88"/>
      <c r="DP48" s="88"/>
      <c r="DQ48" s="88"/>
      <c r="DR48" s="88"/>
      <c r="DS48" s="88"/>
      <c r="DT48" s="88"/>
      <c r="DU48" s="88"/>
      <c r="DV48" s="88"/>
      <c r="DW48" s="88"/>
      <c r="DX48" s="88"/>
      <c r="DY48" s="88"/>
      <c r="DZ48" s="88"/>
      <c r="EA48" s="88"/>
      <c r="EB48" s="88"/>
      <c r="EC48" s="88"/>
      <c r="ED48" s="88"/>
      <c r="EE48" s="88"/>
      <c r="EF48" s="88"/>
      <c r="EG48" s="88"/>
      <c r="EH48" s="88"/>
      <c r="EI48" s="88"/>
      <c r="EJ48" s="88"/>
      <c r="EK48" s="88"/>
      <c r="EL48" s="88"/>
      <c r="EM48" s="88"/>
      <c r="EN48" s="88"/>
      <c r="EO48" s="88"/>
      <c r="EP48" s="88"/>
      <c r="EQ48" s="88"/>
      <c r="ER48" s="88"/>
      <c r="ES48" s="88"/>
      <c r="ET48" s="88"/>
      <c r="EU48" s="88"/>
      <c r="EV48" s="88"/>
      <c r="EW48" s="88"/>
      <c r="EX48" s="88"/>
      <c r="EY48" s="88"/>
      <c r="EZ48" s="88"/>
      <c r="FA48" s="88"/>
      <c r="FB48" s="88"/>
      <c r="FC48" s="88"/>
      <c r="FD48" s="88"/>
      <c r="FE48" s="88"/>
      <c r="FF48" s="88"/>
      <c r="FG48" s="88"/>
      <c r="FH48" s="88"/>
      <c r="FI48" s="88"/>
      <c r="FJ48" s="88"/>
      <c r="FK48" s="88"/>
      <c r="FL48" s="88"/>
      <c r="FM48" s="88"/>
      <c r="FN48" s="88"/>
      <c r="FO48" s="88"/>
      <c r="FP48" s="88"/>
      <c r="FQ48" s="88"/>
      <c r="FR48" s="88"/>
      <c r="FS48" s="88"/>
      <c r="FT48" s="88"/>
      <c r="FU48" s="88"/>
      <c r="FV48" s="88"/>
      <c r="FW48" s="88"/>
      <c r="FX48" s="88"/>
      <c r="FY48" s="88"/>
      <c r="FZ48" s="88"/>
      <c r="GA48" s="88"/>
      <c r="GB48" s="88"/>
      <c r="GC48" s="88"/>
      <c r="GD48" s="88"/>
      <c r="GE48" s="88"/>
      <c r="GF48" s="88"/>
      <c r="GG48" s="88"/>
      <c r="GH48" s="88"/>
      <c r="GI48" s="88"/>
      <c r="GJ48" s="88"/>
      <c r="GK48" s="88"/>
      <c r="GL48" s="88"/>
      <c r="GM48" s="88"/>
      <c r="GN48" s="88"/>
      <c r="GO48" s="88"/>
      <c r="GP48" s="88"/>
      <c r="GQ48" s="88"/>
      <c r="GR48" s="88"/>
      <c r="GS48" s="88"/>
      <c r="GT48" s="88"/>
      <c r="GU48" s="88"/>
      <c r="GV48" s="88"/>
      <c r="GW48" s="88"/>
      <c r="GX48" s="88"/>
      <c r="GY48" s="88"/>
      <c r="GZ48" s="88"/>
      <c r="HA48" s="88"/>
      <c r="HB48" s="88"/>
      <c r="HC48" s="88"/>
      <c r="HD48" s="88"/>
      <c r="HE48" s="88"/>
    </row>
    <row r="49" spans="1:213">
      <c r="A49" s="344" t="s">
        <v>257</v>
      </c>
      <c r="B49" s="284"/>
      <c r="C49" s="255"/>
      <c r="D49" s="88"/>
      <c r="E49" s="88"/>
      <c r="F49" s="88"/>
      <c r="G49" s="88"/>
      <c r="H49" s="88"/>
      <c r="I49" s="88"/>
      <c r="J49" s="88"/>
      <c r="K49" s="88"/>
      <c r="L49" s="88"/>
      <c r="M49" s="88"/>
      <c r="N49" s="88"/>
      <c r="O49" s="88"/>
      <c r="P49" s="88"/>
      <c r="Q49" s="88"/>
      <c r="R49" s="88"/>
      <c r="S49" s="88"/>
      <c r="T49" s="88"/>
      <c r="U49" s="88"/>
      <c r="V49" s="88"/>
      <c r="W49" s="88"/>
      <c r="X49" s="88"/>
      <c r="Y49" s="88"/>
      <c r="Z49" s="88"/>
      <c r="AA49" s="88"/>
      <c r="AB49" s="88"/>
      <c r="AC49" s="88"/>
      <c r="AD49" s="88"/>
      <c r="AE49" s="88"/>
      <c r="AF49" s="88"/>
      <c r="AG49" s="88"/>
      <c r="AH49" s="88"/>
      <c r="AI49" s="88"/>
      <c r="AJ49" s="88"/>
      <c r="AK49" s="88"/>
      <c r="AL49" s="88"/>
      <c r="AM49" s="88"/>
      <c r="AN49" s="88"/>
      <c r="AO49" s="88"/>
      <c r="AP49" s="88"/>
      <c r="AQ49" s="88"/>
      <c r="AR49" s="88"/>
      <c r="AS49" s="88"/>
      <c r="AT49" s="88"/>
      <c r="AU49" s="88"/>
      <c r="AV49" s="88"/>
      <c r="AW49" s="88"/>
      <c r="AX49" s="88"/>
      <c r="AY49" s="88"/>
      <c r="AZ49" s="88"/>
      <c r="BA49" s="88"/>
      <c r="BB49" s="88"/>
      <c r="BC49" s="88"/>
      <c r="BD49" s="88"/>
      <c r="BE49" s="88"/>
      <c r="BF49" s="88"/>
      <c r="BG49" s="88"/>
      <c r="BH49" s="88"/>
      <c r="BI49" s="88"/>
      <c r="BJ49" s="88"/>
      <c r="BK49" s="88"/>
      <c r="BL49" s="88"/>
      <c r="BM49" s="88"/>
      <c r="BN49" s="88"/>
      <c r="BO49" s="88"/>
      <c r="BP49" s="88"/>
      <c r="BQ49" s="88"/>
      <c r="BR49" s="88"/>
      <c r="BS49" s="88"/>
      <c r="BT49" s="88"/>
      <c r="BU49" s="88"/>
      <c r="BV49" s="88"/>
      <c r="BW49" s="88"/>
      <c r="BX49" s="88"/>
      <c r="BY49" s="88"/>
      <c r="BZ49" s="88"/>
      <c r="CA49" s="88"/>
      <c r="CB49" s="88"/>
      <c r="CC49" s="88"/>
      <c r="CD49" s="88"/>
      <c r="CE49" s="88"/>
      <c r="CF49" s="88"/>
      <c r="CG49" s="88"/>
      <c r="CH49" s="88"/>
      <c r="CI49" s="88"/>
      <c r="CJ49" s="88"/>
      <c r="CK49" s="88"/>
      <c r="CL49" s="88"/>
      <c r="CM49" s="88"/>
      <c r="CN49" s="88"/>
      <c r="CO49" s="88"/>
      <c r="CP49" s="88"/>
      <c r="CQ49" s="88"/>
      <c r="CR49" s="88"/>
      <c r="CS49" s="88"/>
      <c r="CT49" s="88"/>
      <c r="CU49" s="88"/>
      <c r="CV49" s="88"/>
      <c r="CW49" s="88"/>
      <c r="CX49" s="88"/>
      <c r="CY49" s="88"/>
      <c r="CZ49" s="88"/>
      <c r="DA49" s="88"/>
      <c r="DB49" s="88"/>
      <c r="DC49" s="88"/>
      <c r="DD49" s="88"/>
      <c r="DE49" s="88"/>
      <c r="DF49" s="88"/>
      <c r="DG49" s="88"/>
      <c r="DH49" s="88"/>
      <c r="DI49" s="88"/>
      <c r="DJ49" s="88"/>
      <c r="DK49" s="88"/>
      <c r="DL49" s="88"/>
      <c r="DM49" s="88"/>
      <c r="DN49" s="88"/>
      <c r="DO49" s="88"/>
      <c r="DP49" s="88"/>
      <c r="DQ49" s="88"/>
      <c r="DR49" s="88"/>
      <c r="DS49" s="88"/>
      <c r="DT49" s="88"/>
      <c r="DU49" s="88"/>
      <c r="DV49" s="88"/>
      <c r="DW49" s="88"/>
      <c r="DX49" s="88"/>
      <c r="DY49" s="88"/>
      <c r="DZ49" s="88"/>
      <c r="EA49" s="88"/>
      <c r="EB49" s="88"/>
      <c r="EC49" s="88"/>
      <c r="ED49" s="88"/>
      <c r="EE49" s="88"/>
      <c r="EF49" s="88"/>
      <c r="EG49" s="88"/>
      <c r="EH49" s="88"/>
      <c r="EI49" s="88"/>
      <c r="EJ49" s="88"/>
      <c r="EK49" s="88"/>
      <c r="EL49" s="88"/>
      <c r="EM49" s="88"/>
      <c r="EN49" s="88"/>
      <c r="EO49" s="88"/>
      <c r="EP49" s="88"/>
      <c r="EQ49" s="88"/>
      <c r="ER49" s="88"/>
      <c r="ES49" s="88"/>
      <c r="ET49" s="88"/>
      <c r="EU49" s="88"/>
      <c r="EV49" s="88"/>
      <c r="EW49" s="88"/>
      <c r="EX49" s="88"/>
      <c r="EY49" s="88"/>
      <c r="EZ49" s="88"/>
      <c r="FA49" s="88"/>
      <c r="FB49" s="88"/>
      <c r="FC49" s="88"/>
      <c r="FD49" s="88"/>
      <c r="FE49" s="88"/>
      <c r="FF49" s="88"/>
      <c r="FG49" s="88"/>
      <c r="FH49" s="88"/>
      <c r="FI49" s="88"/>
      <c r="FJ49" s="88"/>
      <c r="FK49" s="88"/>
      <c r="FL49" s="88"/>
      <c r="FM49" s="88"/>
      <c r="FN49" s="88"/>
      <c r="FO49" s="88"/>
      <c r="FP49" s="88"/>
      <c r="FQ49" s="88"/>
      <c r="FR49" s="88"/>
      <c r="FS49" s="88"/>
      <c r="FT49" s="88"/>
      <c r="FU49" s="88"/>
      <c r="FV49" s="88"/>
      <c r="FW49" s="88"/>
      <c r="FX49" s="88"/>
      <c r="FY49" s="88"/>
      <c r="FZ49" s="88"/>
      <c r="GA49" s="88"/>
      <c r="GB49" s="88"/>
      <c r="GC49" s="88"/>
      <c r="GD49" s="88"/>
      <c r="GE49" s="88"/>
      <c r="GF49" s="88"/>
      <c r="GG49" s="88"/>
      <c r="GH49" s="88"/>
      <c r="GI49" s="88"/>
      <c r="GJ49" s="88"/>
      <c r="GK49" s="88"/>
      <c r="GL49" s="88"/>
      <c r="GM49" s="88"/>
      <c r="GN49" s="88"/>
      <c r="GO49" s="88"/>
      <c r="GP49" s="88"/>
      <c r="GQ49" s="88"/>
      <c r="GR49" s="88"/>
      <c r="GS49" s="88"/>
      <c r="GT49" s="88"/>
      <c r="GU49" s="88"/>
      <c r="GV49" s="88"/>
      <c r="GW49" s="88"/>
      <c r="GX49" s="88"/>
      <c r="GY49" s="88"/>
      <c r="GZ49" s="88"/>
      <c r="HA49" s="88"/>
      <c r="HB49" s="88"/>
      <c r="HC49" s="88"/>
      <c r="HD49" s="88"/>
      <c r="HE49" s="88"/>
    </row>
    <row r="50" spans="1:213">
      <c r="A50" s="344" t="s">
        <v>258</v>
      </c>
      <c r="B50" s="284"/>
      <c r="C50" s="255"/>
      <c r="D50" s="88"/>
      <c r="E50" s="88"/>
      <c r="F50" s="88"/>
      <c r="G50" s="88"/>
      <c r="H50" s="88"/>
      <c r="I50" s="88"/>
      <c r="J50" s="88"/>
      <c r="K50" s="88"/>
      <c r="L50" s="88"/>
      <c r="M50" s="88"/>
      <c r="N50" s="88"/>
      <c r="O50" s="88"/>
      <c r="P50" s="88"/>
      <c r="Q50" s="88"/>
      <c r="R50" s="88"/>
      <c r="S50" s="88"/>
      <c r="T50" s="88"/>
      <c r="U50" s="88"/>
      <c r="V50" s="88"/>
      <c r="W50" s="88"/>
      <c r="X50" s="88"/>
      <c r="Y50" s="88"/>
      <c r="Z50" s="88"/>
      <c r="AA50" s="88"/>
      <c r="AB50" s="88"/>
      <c r="AC50" s="88"/>
      <c r="AD50" s="88"/>
      <c r="AE50" s="88"/>
      <c r="AF50" s="88"/>
      <c r="AG50" s="88"/>
      <c r="AH50" s="88"/>
      <c r="AI50" s="88"/>
      <c r="AJ50" s="88"/>
      <c r="AK50" s="88"/>
      <c r="AL50" s="88"/>
      <c r="AM50" s="88"/>
      <c r="AN50" s="88"/>
      <c r="AO50" s="88"/>
      <c r="AP50" s="88"/>
      <c r="AQ50" s="88"/>
      <c r="AR50" s="88"/>
      <c r="AS50" s="88"/>
      <c r="AT50" s="88"/>
      <c r="AU50" s="88"/>
      <c r="AV50" s="88"/>
      <c r="AW50" s="88"/>
      <c r="AX50" s="88"/>
      <c r="AY50" s="88"/>
      <c r="AZ50" s="88"/>
      <c r="BA50" s="88"/>
      <c r="BB50" s="88"/>
      <c r="BC50" s="88"/>
      <c r="BD50" s="88"/>
      <c r="BE50" s="88"/>
      <c r="BF50" s="88"/>
      <c r="BG50" s="88"/>
      <c r="BH50" s="88"/>
      <c r="BI50" s="88"/>
      <c r="BJ50" s="88"/>
      <c r="BK50" s="88"/>
      <c r="BL50" s="88"/>
      <c r="BM50" s="88"/>
      <c r="BN50" s="88"/>
      <c r="BO50" s="88"/>
      <c r="BP50" s="88"/>
      <c r="BQ50" s="88"/>
      <c r="BR50" s="88"/>
      <c r="BS50" s="88"/>
      <c r="BT50" s="88"/>
      <c r="BU50" s="88"/>
      <c r="BV50" s="88"/>
      <c r="BW50" s="88"/>
      <c r="BX50" s="88"/>
      <c r="BY50" s="88"/>
      <c r="BZ50" s="88"/>
      <c r="CA50" s="88"/>
      <c r="CB50" s="88"/>
      <c r="CC50" s="88"/>
      <c r="CD50" s="88"/>
      <c r="CE50" s="88"/>
      <c r="CF50" s="88"/>
      <c r="CG50" s="88"/>
      <c r="CH50" s="88"/>
      <c r="CI50" s="88"/>
      <c r="CJ50" s="88"/>
      <c r="CK50" s="88"/>
      <c r="CL50" s="88"/>
      <c r="CM50" s="88"/>
      <c r="CN50" s="88"/>
      <c r="CO50" s="88"/>
      <c r="CP50" s="88"/>
      <c r="CQ50" s="88"/>
      <c r="CR50" s="88"/>
      <c r="CS50" s="88"/>
      <c r="CT50" s="88"/>
      <c r="CU50" s="88"/>
      <c r="CV50" s="88"/>
      <c r="CW50" s="88"/>
      <c r="CX50" s="88"/>
      <c r="CY50" s="88"/>
      <c r="CZ50" s="88"/>
      <c r="DA50" s="88"/>
      <c r="DB50" s="88"/>
      <c r="DC50" s="88"/>
      <c r="DD50" s="88"/>
      <c r="DE50" s="88"/>
      <c r="DF50" s="88"/>
      <c r="DG50" s="88"/>
      <c r="DH50" s="88"/>
      <c r="DI50" s="88"/>
      <c r="DJ50" s="88"/>
      <c r="DK50" s="88"/>
      <c r="DL50" s="88"/>
      <c r="DM50" s="88"/>
      <c r="DN50" s="88"/>
      <c r="DO50" s="88"/>
      <c r="DP50" s="88"/>
      <c r="DQ50" s="88"/>
      <c r="DR50" s="88"/>
      <c r="DS50" s="88"/>
      <c r="DT50" s="88"/>
      <c r="DU50" s="88"/>
      <c r="DV50" s="88"/>
      <c r="DW50" s="88"/>
      <c r="DX50" s="88"/>
      <c r="DY50" s="88"/>
      <c r="DZ50" s="88"/>
      <c r="EA50" s="88"/>
      <c r="EB50" s="88"/>
      <c r="EC50" s="88"/>
      <c r="ED50" s="88"/>
      <c r="EE50" s="88"/>
      <c r="EF50" s="88"/>
      <c r="EG50" s="88"/>
      <c r="EH50" s="88"/>
      <c r="EI50" s="88"/>
      <c r="EJ50" s="88"/>
      <c r="EK50" s="88"/>
      <c r="EL50" s="88"/>
      <c r="EM50" s="88"/>
      <c r="EN50" s="88"/>
      <c r="EO50" s="88"/>
      <c r="EP50" s="88"/>
      <c r="EQ50" s="88"/>
      <c r="ER50" s="88"/>
      <c r="ES50" s="88"/>
      <c r="ET50" s="88"/>
      <c r="EU50" s="88"/>
      <c r="EV50" s="88"/>
      <c r="EW50" s="88"/>
      <c r="EX50" s="88"/>
      <c r="EY50" s="88"/>
      <c r="EZ50" s="88"/>
      <c r="FA50" s="88"/>
      <c r="FB50" s="88"/>
      <c r="FC50" s="88"/>
      <c r="FD50" s="88"/>
      <c r="FE50" s="88"/>
      <c r="FF50" s="88"/>
      <c r="FG50" s="88"/>
      <c r="FH50" s="88"/>
      <c r="FI50" s="88"/>
      <c r="FJ50" s="88"/>
      <c r="FK50" s="88"/>
      <c r="FL50" s="88"/>
      <c r="FM50" s="88"/>
      <c r="FN50" s="88"/>
      <c r="FO50" s="88"/>
      <c r="FP50" s="88"/>
      <c r="FQ50" s="88"/>
      <c r="FR50" s="88"/>
      <c r="FS50" s="88"/>
      <c r="FT50" s="88"/>
      <c r="FU50" s="88"/>
      <c r="FV50" s="88"/>
      <c r="FW50" s="88"/>
      <c r="FX50" s="88"/>
      <c r="FY50" s="88"/>
      <c r="FZ50" s="88"/>
      <c r="GA50" s="88"/>
      <c r="GB50" s="88"/>
      <c r="GC50" s="88"/>
      <c r="GD50" s="88"/>
      <c r="GE50" s="88"/>
      <c r="GF50" s="88"/>
      <c r="GG50" s="88"/>
      <c r="GH50" s="88"/>
      <c r="GI50" s="88"/>
      <c r="GJ50" s="88"/>
      <c r="GK50" s="88"/>
      <c r="GL50" s="88"/>
      <c r="GM50" s="88"/>
      <c r="GN50" s="88"/>
      <c r="GO50" s="88"/>
      <c r="GP50" s="88"/>
      <c r="GQ50" s="88"/>
      <c r="GR50" s="88"/>
      <c r="GS50" s="88"/>
      <c r="GT50" s="88"/>
      <c r="GU50" s="88"/>
      <c r="GV50" s="88"/>
      <c r="GW50" s="88"/>
      <c r="GX50" s="88"/>
      <c r="GY50" s="88"/>
      <c r="GZ50" s="88"/>
      <c r="HA50" s="88"/>
      <c r="HB50" s="88"/>
      <c r="HC50" s="88"/>
      <c r="HD50" s="88"/>
      <c r="HE50" s="88"/>
    </row>
    <row r="51" spans="1:213">
      <c r="A51" s="344" t="s">
        <v>259</v>
      </c>
      <c r="B51" s="284"/>
      <c r="C51" s="255"/>
      <c r="D51" s="88"/>
      <c r="E51" s="88"/>
      <c r="F51" s="88"/>
      <c r="G51" s="88"/>
      <c r="H51" s="88"/>
      <c r="I51" s="88"/>
      <c r="J51" s="88"/>
      <c r="K51" s="88"/>
      <c r="L51" s="88"/>
      <c r="M51" s="88"/>
      <c r="N51" s="88"/>
      <c r="O51" s="88"/>
      <c r="P51" s="88"/>
      <c r="Q51" s="88"/>
      <c r="R51" s="88"/>
      <c r="S51" s="88"/>
      <c r="T51" s="88"/>
      <c r="U51" s="88"/>
      <c r="V51" s="88"/>
      <c r="W51" s="88"/>
      <c r="X51" s="88"/>
      <c r="Y51" s="88"/>
      <c r="Z51" s="88"/>
      <c r="AA51" s="88"/>
      <c r="AB51" s="88"/>
      <c r="AC51" s="88"/>
      <c r="AD51" s="88"/>
      <c r="AE51" s="88"/>
      <c r="AF51" s="88"/>
      <c r="AG51" s="88"/>
      <c r="AH51" s="88"/>
      <c r="AI51" s="88"/>
      <c r="AJ51" s="88"/>
      <c r="AK51" s="88"/>
      <c r="AL51" s="88"/>
      <c r="AM51" s="88"/>
      <c r="AN51" s="88"/>
      <c r="AO51" s="88"/>
      <c r="AP51" s="88"/>
      <c r="AQ51" s="88"/>
      <c r="AR51" s="88"/>
      <c r="AS51" s="88"/>
      <c r="AT51" s="88"/>
      <c r="AU51" s="88"/>
      <c r="AV51" s="88"/>
      <c r="AW51" s="88"/>
      <c r="AX51" s="88"/>
      <c r="AY51" s="88"/>
      <c r="AZ51" s="88"/>
      <c r="BA51" s="88"/>
      <c r="BB51" s="88"/>
      <c r="BC51" s="88"/>
      <c r="BD51" s="88"/>
      <c r="BE51" s="88"/>
      <c r="BF51" s="88"/>
      <c r="BG51" s="88"/>
      <c r="BH51" s="88"/>
      <c r="BI51" s="88"/>
      <c r="BJ51" s="88"/>
      <c r="BK51" s="88"/>
      <c r="BL51" s="88"/>
      <c r="BM51" s="88"/>
      <c r="BN51" s="88"/>
      <c r="BO51" s="88"/>
      <c r="BP51" s="88"/>
      <c r="BQ51" s="88"/>
      <c r="BR51" s="88"/>
      <c r="BS51" s="88"/>
      <c r="BT51" s="88"/>
      <c r="BU51" s="88"/>
      <c r="BV51" s="88"/>
      <c r="BW51" s="88"/>
      <c r="BX51" s="88"/>
      <c r="BY51" s="88"/>
      <c r="BZ51" s="88"/>
      <c r="CA51" s="88"/>
      <c r="CB51" s="88"/>
      <c r="CC51" s="88"/>
      <c r="CD51" s="88"/>
      <c r="CE51" s="88"/>
      <c r="CF51" s="88"/>
      <c r="CG51" s="88"/>
      <c r="CH51" s="88"/>
      <c r="CI51" s="88"/>
      <c r="CJ51" s="88"/>
      <c r="CK51" s="88"/>
      <c r="CL51" s="88"/>
      <c r="CM51" s="88"/>
      <c r="CN51" s="88"/>
      <c r="CO51" s="88"/>
      <c r="CP51" s="88"/>
      <c r="CQ51" s="88"/>
      <c r="CR51" s="88"/>
      <c r="CS51" s="88"/>
      <c r="CT51" s="88"/>
      <c r="CU51" s="88"/>
      <c r="CV51" s="88"/>
      <c r="CW51" s="88"/>
      <c r="CX51" s="88"/>
      <c r="CY51" s="88"/>
      <c r="CZ51" s="88"/>
      <c r="DA51" s="88"/>
      <c r="DB51" s="88"/>
      <c r="DC51" s="88"/>
      <c r="DD51" s="88"/>
      <c r="DE51" s="88"/>
      <c r="DF51" s="88"/>
      <c r="DG51" s="88"/>
      <c r="DH51" s="88"/>
      <c r="DI51" s="88"/>
      <c r="DJ51" s="88"/>
      <c r="DK51" s="88"/>
      <c r="DL51" s="88"/>
      <c r="DM51" s="88"/>
      <c r="DN51" s="88"/>
      <c r="DO51" s="88"/>
      <c r="DP51" s="88"/>
      <c r="DQ51" s="88"/>
      <c r="DR51" s="88"/>
      <c r="DS51" s="88"/>
      <c r="DT51" s="88"/>
      <c r="DU51" s="88"/>
      <c r="DV51" s="88"/>
      <c r="DW51" s="88"/>
      <c r="DX51" s="88"/>
      <c r="DY51" s="88"/>
      <c r="DZ51" s="88"/>
      <c r="EA51" s="88"/>
      <c r="EB51" s="88"/>
      <c r="EC51" s="88"/>
      <c r="ED51" s="88"/>
      <c r="EE51" s="88"/>
      <c r="EF51" s="88"/>
      <c r="EG51" s="88"/>
      <c r="EH51" s="88"/>
      <c r="EI51" s="88"/>
      <c r="EJ51" s="88"/>
      <c r="EK51" s="88"/>
      <c r="EL51" s="88"/>
      <c r="EM51" s="88"/>
      <c r="EN51" s="88"/>
      <c r="EO51" s="88"/>
      <c r="EP51" s="88"/>
      <c r="EQ51" s="88"/>
      <c r="ER51" s="88"/>
      <c r="ES51" s="88"/>
      <c r="ET51" s="88"/>
      <c r="EU51" s="88"/>
      <c r="EV51" s="88"/>
      <c r="EW51" s="88"/>
      <c r="EX51" s="88"/>
      <c r="EY51" s="88"/>
      <c r="EZ51" s="88"/>
      <c r="FA51" s="88"/>
      <c r="FB51" s="88"/>
      <c r="FC51" s="88"/>
      <c r="FD51" s="88"/>
      <c r="FE51" s="88"/>
      <c r="FF51" s="88"/>
      <c r="FG51" s="88"/>
      <c r="FH51" s="88"/>
      <c r="FI51" s="88"/>
      <c r="FJ51" s="88"/>
      <c r="FK51" s="88"/>
      <c r="FL51" s="88"/>
      <c r="FM51" s="88"/>
      <c r="FN51" s="88"/>
      <c r="FO51" s="88"/>
      <c r="FP51" s="88"/>
      <c r="FQ51" s="88"/>
      <c r="FR51" s="88"/>
      <c r="FS51" s="88"/>
      <c r="FT51" s="88"/>
      <c r="FU51" s="88"/>
      <c r="FV51" s="88"/>
      <c r="FW51" s="88"/>
      <c r="FX51" s="88"/>
      <c r="FY51" s="88"/>
      <c r="FZ51" s="88"/>
      <c r="GA51" s="88"/>
      <c r="GB51" s="88"/>
      <c r="GC51" s="88"/>
      <c r="GD51" s="88"/>
      <c r="GE51" s="88"/>
      <c r="GF51" s="88"/>
      <c r="GG51" s="88"/>
      <c r="GH51" s="88"/>
      <c r="GI51" s="88"/>
      <c r="GJ51" s="88"/>
      <c r="GK51" s="88"/>
      <c r="GL51" s="88"/>
      <c r="GM51" s="88"/>
      <c r="GN51" s="88"/>
      <c r="GO51" s="88"/>
      <c r="GP51" s="88"/>
      <c r="GQ51" s="88"/>
      <c r="GR51" s="88"/>
      <c r="GS51" s="88"/>
      <c r="GT51" s="88"/>
      <c r="GU51" s="88"/>
      <c r="GV51" s="88"/>
      <c r="GW51" s="88"/>
      <c r="GX51" s="88"/>
      <c r="GY51" s="88"/>
      <c r="GZ51" s="88"/>
      <c r="HA51" s="88"/>
      <c r="HB51" s="88"/>
      <c r="HC51" s="88"/>
      <c r="HD51" s="88"/>
      <c r="HE51" s="88"/>
    </row>
    <row r="52" spans="1:213">
      <c r="A52" s="344" t="s">
        <v>260</v>
      </c>
      <c r="B52" s="284"/>
      <c r="C52" s="255"/>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88"/>
      <c r="BC52" s="88"/>
      <c r="BD52" s="88"/>
      <c r="BE52" s="88"/>
      <c r="BF52" s="88"/>
      <c r="BG52" s="88"/>
      <c r="BH52" s="88"/>
      <c r="BI52" s="88"/>
      <c r="BJ52" s="88"/>
      <c r="BK52" s="88"/>
      <c r="BL52" s="88"/>
      <c r="BM52" s="88"/>
      <c r="BN52" s="88"/>
      <c r="BO52" s="88"/>
      <c r="BP52" s="88"/>
      <c r="BQ52" s="88"/>
      <c r="BR52" s="88"/>
      <c r="BS52" s="88"/>
      <c r="BT52" s="88"/>
      <c r="BU52" s="88"/>
      <c r="BV52" s="88"/>
      <c r="BW52" s="88"/>
      <c r="BX52" s="88"/>
      <c r="BY52" s="88"/>
      <c r="BZ52" s="88"/>
      <c r="CA52" s="88"/>
      <c r="CB52" s="88"/>
      <c r="CC52" s="88"/>
      <c r="CD52" s="88"/>
      <c r="CE52" s="88"/>
      <c r="CF52" s="88"/>
      <c r="CG52" s="88"/>
      <c r="CH52" s="88"/>
      <c r="CI52" s="88"/>
      <c r="CJ52" s="88"/>
      <c r="CK52" s="88"/>
      <c r="CL52" s="88"/>
      <c r="CM52" s="88"/>
      <c r="CN52" s="88"/>
      <c r="CO52" s="88"/>
      <c r="CP52" s="88"/>
      <c r="CQ52" s="88"/>
      <c r="CR52" s="88"/>
      <c r="CS52" s="88"/>
      <c r="CT52" s="88"/>
      <c r="CU52" s="88"/>
      <c r="CV52" s="88"/>
      <c r="CW52" s="88"/>
      <c r="CX52" s="88"/>
      <c r="CY52" s="88"/>
      <c r="CZ52" s="88"/>
      <c r="DA52" s="88"/>
      <c r="DB52" s="88"/>
      <c r="DC52" s="88"/>
      <c r="DD52" s="88"/>
      <c r="DE52" s="88"/>
      <c r="DF52" s="88"/>
      <c r="DG52" s="88"/>
      <c r="DH52" s="88"/>
      <c r="DI52" s="88"/>
      <c r="DJ52" s="88"/>
      <c r="DK52" s="88"/>
      <c r="DL52" s="88"/>
      <c r="DM52" s="88"/>
      <c r="DN52" s="88"/>
      <c r="DO52" s="88"/>
      <c r="DP52" s="88"/>
      <c r="DQ52" s="88"/>
      <c r="DR52" s="88"/>
      <c r="DS52" s="88"/>
      <c r="DT52" s="88"/>
      <c r="DU52" s="88"/>
      <c r="DV52" s="88"/>
      <c r="DW52" s="88"/>
      <c r="DX52" s="88"/>
      <c r="DY52" s="88"/>
      <c r="DZ52" s="88"/>
      <c r="EA52" s="88"/>
      <c r="EB52" s="88"/>
      <c r="EC52" s="88"/>
      <c r="ED52" s="88"/>
      <c r="EE52" s="88"/>
      <c r="EF52" s="88"/>
      <c r="EG52" s="88"/>
      <c r="EH52" s="88"/>
      <c r="EI52" s="88"/>
      <c r="EJ52" s="88"/>
      <c r="EK52" s="88"/>
      <c r="EL52" s="88"/>
      <c r="EM52" s="88"/>
      <c r="EN52" s="88"/>
      <c r="EO52" s="88"/>
      <c r="EP52" s="88"/>
      <c r="EQ52" s="88"/>
      <c r="ER52" s="88"/>
      <c r="ES52" s="88"/>
      <c r="ET52" s="88"/>
      <c r="EU52" s="88"/>
      <c r="EV52" s="88"/>
      <c r="EW52" s="88"/>
      <c r="EX52" s="88"/>
      <c r="EY52" s="88"/>
      <c r="EZ52" s="88"/>
      <c r="FA52" s="88"/>
      <c r="FB52" s="88"/>
      <c r="FC52" s="88"/>
      <c r="FD52" s="88"/>
      <c r="FE52" s="88"/>
      <c r="FF52" s="88"/>
      <c r="FG52" s="88"/>
      <c r="FH52" s="88"/>
      <c r="FI52" s="88"/>
      <c r="FJ52" s="88"/>
      <c r="FK52" s="88"/>
      <c r="FL52" s="88"/>
      <c r="FM52" s="88"/>
      <c r="FN52" s="88"/>
      <c r="FO52" s="88"/>
      <c r="FP52" s="88"/>
      <c r="FQ52" s="88"/>
      <c r="FR52" s="88"/>
      <c r="FS52" s="88"/>
      <c r="FT52" s="88"/>
      <c r="FU52" s="88"/>
      <c r="FV52" s="88"/>
      <c r="FW52" s="88"/>
      <c r="FX52" s="88"/>
      <c r="FY52" s="88"/>
      <c r="FZ52" s="88"/>
      <c r="GA52" s="88"/>
      <c r="GB52" s="88"/>
      <c r="GC52" s="88"/>
      <c r="GD52" s="88"/>
      <c r="GE52" s="88"/>
      <c r="GF52" s="88"/>
      <c r="GG52" s="88"/>
      <c r="GH52" s="88"/>
      <c r="GI52" s="88"/>
      <c r="GJ52" s="88"/>
      <c r="GK52" s="88"/>
      <c r="GL52" s="88"/>
      <c r="GM52" s="88"/>
      <c r="GN52" s="88"/>
      <c r="GO52" s="88"/>
      <c r="GP52" s="88"/>
      <c r="GQ52" s="88"/>
      <c r="GR52" s="88"/>
      <c r="GS52" s="88"/>
      <c r="GT52" s="88"/>
      <c r="GU52" s="88"/>
      <c r="GV52" s="88"/>
      <c r="GW52" s="88"/>
      <c r="GX52" s="88"/>
      <c r="GY52" s="88"/>
      <c r="GZ52" s="88"/>
      <c r="HA52" s="88"/>
      <c r="HB52" s="88"/>
      <c r="HC52" s="88"/>
      <c r="HD52" s="88"/>
      <c r="HE52" s="88"/>
    </row>
    <row r="53" spans="1:213" s="18" customFormat="1">
      <c r="A53" s="344" t="s">
        <v>261</v>
      </c>
      <c r="B53" s="530"/>
      <c r="C53" s="531"/>
    </row>
    <row r="54" spans="1:213">
      <c r="A54" s="1" t="s">
        <v>262</v>
      </c>
      <c r="B54" s="444"/>
      <c r="C54" s="255"/>
      <c r="D54" s="88"/>
      <c r="E54" s="88"/>
      <c r="F54" s="88"/>
      <c r="G54" s="88"/>
      <c r="H54" s="88"/>
      <c r="I54" s="88"/>
      <c r="J54" s="88"/>
      <c r="K54" s="88"/>
      <c r="L54" s="88"/>
      <c r="M54" s="88"/>
      <c r="N54" s="88"/>
      <c r="O54" s="88"/>
      <c r="P54" s="88"/>
      <c r="Q54" s="88"/>
      <c r="R54" s="88"/>
      <c r="S54" s="88"/>
      <c r="T54" s="88"/>
      <c r="U54" s="88"/>
      <c r="V54" s="88"/>
      <c r="W54" s="88"/>
      <c r="X54" s="88"/>
      <c r="Y54" s="88"/>
      <c r="Z54" s="88"/>
      <c r="AA54" s="88"/>
      <c r="AB54" s="88"/>
      <c r="AC54" s="88"/>
      <c r="AD54" s="88"/>
      <c r="AE54" s="88"/>
      <c r="AF54" s="88"/>
      <c r="AG54" s="88"/>
      <c r="AH54" s="88"/>
      <c r="AI54" s="88"/>
      <c r="AJ54" s="88"/>
      <c r="AK54" s="88"/>
      <c r="AL54" s="88"/>
      <c r="AM54" s="88"/>
      <c r="AN54" s="88"/>
      <c r="AO54" s="88"/>
      <c r="AP54" s="88"/>
      <c r="AQ54" s="88"/>
      <c r="AR54" s="88"/>
      <c r="AS54" s="88"/>
      <c r="AT54" s="88"/>
      <c r="AU54" s="88"/>
      <c r="AV54" s="88"/>
      <c r="AW54" s="88"/>
      <c r="AX54" s="88"/>
      <c r="AY54" s="88"/>
      <c r="AZ54" s="88"/>
      <c r="BA54" s="88"/>
      <c r="BB54" s="88"/>
      <c r="BC54" s="88"/>
      <c r="BD54" s="88"/>
      <c r="BE54" s="88"/>
      <c r="BF54" s="88"/>
      <c r="BG54" s="88"/>
      <c r="BH54" s="88"/>
      <c r="BI54" s="88"/>
      <c r="BJ54" s="88"/>
      <c r="BK54" s="88"/>
      <c r="BL54" s="88"/>
      <c r="BM54" s="88"/>
      <c r="BN54" s="88"/>
      <c r="BO54" s="88"/>
      <c r="BP54" s="88"/>
      <c r="BQ54" s="88"/>
      <c r="BR54" s="88"/>
      <c r="BS54" s="88"/>
      <c r="BT54" s="88"/>
      <c r="BU54" s="88"/>
      <c r="BV54" s="88"/>
      <c r="BW54" s="88"/>
      <c r="BX54" s="88"/>
      <c r="BY54" s="88"/>
      <c r="BZ54" s="88"/>
      <c r="CA54" s="88"/>
      <c r="CB54" s="88"/>
      <c r="CC54" s="88"/>
      <c r="CD54" s="88"/>
      <c r="CE54" s="88"/>
      <c r="CF54" s="88"/>
      <c r="CG54" s="88"/>
      <c r="CH54" s="88"/>
      <c r="CI54" s="88"/>
      <c r="CJ54" s="88"/>
      <c r="CK54" s="88"/>
      <c r="CL54" s="88"/>
      <c r="CM54" s="88"/>
      <c r="CN54" s="88"/>
      <c r="CO54" s="88"/>
      <c r="CP54" s="88"/>
      <c r="CQ54" s="88"/>
      <c r="CR54" s="88"/>
      <c r="CS54" s="88"/>
      <c r="CT54" s="88"/>
      <c r="CU54" s="88"/>
      <c r="CV54" s="88"/>
      <c r="CW54" s="88"/>
      <c r="CX54" s="88"/>
      <c r="CY54" s="88"/>
      <c r="CZ54" s="88"/>
      <c r="DA54" s="88"/>
      <c r="DB54" s="88"/>
      <c r="DC54" s="88"/>
      <c r="DD54" s="88"/>
      <c r="DE54" s="88"/>
      <c r="DF54" s="88"/>
      <c r="DG54" s="88"/>
      <c r="DH54" s="88"/>
      <c r="DI54" s="88"/>
      <c r="DJ54" s="88"/>
      <c r="DK54" s="88"/>
      <c r="DL54" s="88"/>
      <c r="DM54" s="88"/>
      <c r="DN54" s="88"/>
      <c r="DO54" s="88"/>
      <c r="DP54" s="88"/>
      <c r="DQ54" s="88"/>
      <c r="DR54" s="88"/>
      <c r="DS54" s="88"/>
      <c r="DT54" s="88"/>
      <c r="DU54" s="88"/>
      <c r="DV54" s="88"/>
      <c r="DW54" s="88"/>
      <c r="DX54" s="88"/>
      <c r="DY54" s="88"/>
      <c r="DZ54" s="88"/>
      <c r="EA54" s="88"/>
      <c r="EB54" s="88"/>
      <c r="EC54" s="88"/>
      <c r="ED54" s="88"/>
      <c r="EE54" s="88"/>
      <c r="EF54" s="88"/>
      <c r="EG54" s="88"/>
      <c r="EH54" s="88"/>
      <c r="EI54" s="88"/>
      <c r="EJ54" s="88"/>
      <c r="EK54" s="88"/>
      <c r="EL54" s="88"/>
      <c r="EM54" s="88"/>
      <c r="EN54" s="88"/>
      <c r="EO54" s="88"/>
      <c r="EP54" s="88"/>
      <c r="EQ54" s="88"/>
      <c r="ER54" s="88"/>
      <c r="ES54" s="88"/>
      <c r="ET54" s="88"/>
      <c r="EU54" s="88"/>
      <c r="EV54" s="88"/>
      <c r="EW54" s="88"/>
      <c r="EX54" s="88"/>
      <c r="EY54" s="88"/>
      <c r="EZ54" s="88"/>
      <c r="FA54" s="88"/>
      <c r="FB54" s="88"/>
      <c r="FC54" s="88"/>
      <c r="FD54" s="88"/>
      <c r="FE54" s="88"/>
      <c r="FF54" s="88"/>
      <c r="FG54" s="88"/>
      <c r="FH54" s="88"/>
      <c r="FI54" s="88"/>
      <c r="FJ54" s="88"/>
      <c r="FK54" s="88"/>
      <c r="FL54" s="88"/>
      <c r="FM54" s="88"/>
      <c r="FN54" s="88"/>
      <c r="FO54" s="88"/>
      <c r="FP54" s="88"/>
      <c r="FQ54" s="88"/>
      <c r="FR54" s="88"/>
      <c r="FS54" s="88"/>
      <c r="FT54" s="88"/>
      <c r="FU54" s="88"/>
      <c r="FV54" s="88"/>
      <c r="FW54" s="88"/>
      <c r="FX54" s="88"/>
      <c r="FY54" s="88"/>
      <c r="FZ54" s="88"/>
      <c r="GA54" s="88"/>
      <c r="GB54" s="88"/>
      <c r="GC54" s="88"/>
      <c r="GD54" s="88"/>
      <c r="GE54" s="88"/>
      <c r="GF54" s="88"/>
      <c r="GG54" s="88"/>
      <c r="GH54" s="88"/>
      <c r="GI54" s="88"/>
      <c r="GJ54" s="88"/>
      <c r="GK54" s="88"/>
      <c r="GL54" s="88"/>
      <c r="GM54" s="88"/>
      <c r="GN54" s="88"/>
      <c r="GO54" s="88"/>
      <c r="GP54" s="88"/>
      <c r="GQ54" s="88"/>
      <c r="GR54" s="88"/>
      <c r="GS54" s="88"/>
      <c r="GT54" s="88"/>
      <c r="GU54" s="88"/>
      <c r="GV54" s="88"/>
      <c r="GW54" s="88"/>
      <c r="GX54" s="88"/>
      <c r="GY54" s="88"/>
      <c r="GZ54" s="88"/>
      <c r="HA54" s="88"/>
      <c r="HB54" s="88"/>
      <c r="HC54" s="88"/>
      <c r="HD54" s="88"/>
      <c r="HE54" s="88"/>
    </row>
    <row r="55" spans="1:213">
      <c r="A55" s="1" t="s">
        <v>263</v>
      </c>
      <c r="B55" s="285"/>
      <c r="C55" s="255"/>
      <c r="D55" s="88"/>
      <c r="E55" s="88"/>
      <c r="F55" s="88"/>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c r="AR55" s="88"/>
      <c r="AS55" s="88"/>
      <c r="AT55" s="88"/>
      <c r="AU55" s="88"/>
      <c r="AV55" s="88"/>
      <c r="AW55" s="88"/>
      <c r="AX55" s="88"/>
      <c r="AY55" s="88"/>
      <c r="AZ55" s="88"/>
      <c r="BA55" s="88"/>
      <c r="BB55" s="88"/>
      <c r="BC55" s="88"/>
      <c r="BD55" s="88"/>
      <c r="BE55" s="88"/>
      <c r="BF55" s="88"/>
      <c r="BG55" s="88"/>
      <c r="BH55" s="88"/>
      <c r="BI55" s="88"/>
      <c r="BJ55" s="88"/>
      <c r="BK55" s="88"/>
      <c r="BL55" s="88"/>
      <c r="BM55" s="88"/>
      <c r="BN55" s="88"/>
      <c r="BO55" s="88"/>
      <c r="BP55" s="88"/>
      <c r="BQ55" s="88"/>
      <c r="BR55" s="88"/>
      <c r="BS55" s="88"/>
      <c r="BT55" s="88"/>
      <c r="BU55" s="88"/>
      <c r="BV55" s="88"/>
      <c r="BW55" s="88"/>
      <c r="BX55" s="88"/>
      <c r="BY55" s="88"/>
      <c r="BZ55" s="88"/>
      <c r="CA55" s="88"/>
      <c r="CB55" s="88"/>
      <c r="CC55" s="88"/>
      <c r="CD55" s="88"/>
      <c r="CE55" s="88"/>
      <c r="CF55" s="88"/>
      <c r="CG55" s="88"/>
      <c r="CH55" s="88"/>
      <c r="CI55" s="88"/>
      <c r="CJ55" s="88"/>
      <c r="CK55" s="88"/>
      <c r="CL55" s="88"/>
      <c r="CM55" s="88"/>
      <c r="CN55" s="88"/>
      <c r="CO55" s="88"/>
      <c r="CP55" s="88"/>
      <c r="CQ55" s="88"/>
      <c r="CR55" s="88"/>
      <c r="CS55" s="88"/>
      <c r="CT55" s="88"/>
      <c r="CU55" s="88"/>
      <c r="CV55" s="88"/>
      <c r="CW55" s="88"/>
      <c r="CX55" s="88"/>
      <c r="CY55" s="88"/>
      <c r="CZ55" s="88"/>
      <c r="DA55" s="88"/>
      <c r="DB55" s="88"/>
      <c r="DC55" s="88"/>
      <c r="DD55" s="88"/>
      <c r="DE55" s="88"/>
      <c r="DF55" s="88"/>
      <c r="DG55" s="88"/>
      <c r="DH55" s="88"/>
      <c r="DI55" s="88"/>
      <c r="DJ55" s="88"/>
      <c r="DK55" s="88"/>
      <c r="DL55" s="88"/>
      <c r="DM55" s="88"/>
      <c r="DN55" s="88"/>
      <c r="DO55" s="88"/>
      <c r="DP55" s="88"/>
      <c r="DQ55" s="88"/>
      <c r="DR55" s="88"/>
      <c r="DS55" s="88"/>
      <c r="DT55" s="88"/>
      <c r="DU55" s="88"/>
      <c r="DV55" s="88"/>
      <c r="DW55" s="88"/>
      <c r="DX55" s="88"/>
      <c r="DY55" s="88"/>
      <c r="DZ55" s="88"/>
      <c r="EA55" s="88"/>
      <c r="EB55" s="88"/>
      <c r="EC55" s="88"/>
      <c r="ED55" s="88"/>
      <c r="EE55" s="88"/>
      <c r="EF55" s="88"/>
      <c r="EG55" s="88"/>
      <c r="EH55" s="88"/>
      <c r="EI55" s="88"/>
      <c r="EJ55" s="88"/>
      <c r="EK55" s="88"/>
      <c r="EL55" s="88"/>
      <c r="EM55" s="88"/>
      <c r="EN55" s="88"/>
      <c r="EO55" s="88"/>
      <c r="EP55" s="88"/>
      <c r="EQ55" s="88"/>
      <c r="ER55" s="88"/>
      <c r="ES55" s="88"/>
      <c r="ET55" s="88"/>
      <c r="EU55" s="88"/>
      <c r="EV55" s="88"/>
      <c r="EW55" s="88"/>
      <c r="EX55" s="88"/>
      <c r="EY55" s="88"/>
      <c r="EZ55" s="88"/>
      <c r="FA55" s="88"/>
      <c r="FB55" s="88"/>
      <c r="FC55" s="88"/>
      <c r="FD55" s="88"/>
      <c r="FE55" s="88"/>
      <c r="FF55" s="88"/>
      <c r="FG55" s="88"/>
      <c r="FH55" s="88"/>
      <c r="FI55" s="88"/>
      <c r="FJ55" s="88"/>
      <c r="FK55" s="88"/>
      <c r="FL55" s="88"/>
      <c r="FM55" s="88"/>
      <c r="FN55" s="88"/>
      <c r="FO55" s="88"/>
      <c r="FP55" s="88"/>
      <c r="FQ55" s="88"/>
      <c r="FR55" s="88"/>
      <c r="FS55" s="88"/>
      <c r="FT55" s="88"/>
      <c r="FU55" s="88"/>
      <c r="FV55" s="88"/>
      <c r="FW55" s="88"/>
      <c r="FX55" s="88"/>
      <c r="FY55" s="88"/>
      <c r="FZ55" s="88"/>
      <c r="GA55" s="88"/>
      <c r="GB55" s="88"/>
      <c r="GC55" s="88"/>
      <c r="GD55" s="88"/>
      <c r="GE55" s="88"/>
      <c r="GF55" s="88"/>
      <c r="GG55" s="88"/>
      <c r="GH55" s="88"/>
      <c r="GI55" s="88"/>
      <c r="GJ55" s="88"/>
      <c r="GK55" s="88"/>
      <c r="GL55" s="88"/>
      <c r="GM55" s="88"/>
      <c r="GN55" s="88"/>
      <c r="GO55" s="88"/>
      <c r="GP55" s="88"/>
      <c r="GQ55" s="88"/>
      <c r="GR55" s="88"/>
      <c r="GS55" s="88"/>
      <c r="GT55" s="88"/>
      <c r="GU55" s="88"/>
      <c r="GV55" s="88"/>
      <c r="GW55" s="88"/>
      <c r="GX55" s="88"/>
      <c r="GY55" s="88"/>
      <c r="GZ55" s="88"/>
      <c r="HA55" s="88"/>
      <c r="HB55" s="88"/>
      <c r="HC55" s="88"/>
      <c r="HD55" s="88"/>
      <c r="HE55" s="88"/>
    </row>
    <row r="56" spans="1:213" customFormat="1">
      <c r="A56" s="1" t="s">
        <v>264</v>
      </c>
      <c r="B56" s="585"/>
      <c r="C56" s="255"/>
    </row>
    <row r="57" spans="1:213">
      <c r="A57" s="1" t="s">
        <v>265</v>
      </c>
      <c r="B57" s="444"/>
      <c r="C57" s="6"/>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88"/>
      <c r="AE57" s="88"/>
      <c r="AF57" s="88"/>
      <c r="AG57" s="88"/>
      <c r="AH57" s="88"/>
      <c r="AI57" s="88"/>
      <c r="AJ57" s="88"/>
      <c r="AK57" s="88"/>
      <c r="AL57" s="88"/>
      <c r="AM57" s="88"/>
      <c r="AN57" s="88"/>
      <c r="AO57" s="88"/>
      <c r="AP57" s="88"/>
      <c r="AQ57" s="88"/>
      <c r="AR57" s="88"/>
      <c r="AS57" s="88"/>
      <c r="AT57" s="88"/>
      <c r="AU57" s="88"/>
      <c r="AV57" s="88"/>
      <c r="AW57" s="88"/>
      <c r="AX57" s="88"/>
      <c r="AY57" s="88"/>
      <c r="AZ57" s="88"/>
      <c r="BA57" s="88"/>
      <c r="BB57" s="88"/>
      <c r="BC57" s="88"/>
      <c r="BD57" s="88"/>
      <c r="BE57" s="88"/>
      <c r="BF57" s="88"/>
      <c r="BG57" s="88"/>
      <c r="BH57" s="88"/>
      <c r="BI57" s="88"/>
      <c r="BJ57" s="88"/>
      <c r="BK57" s="88"/>
      <c r="BL57" s="88"/>
      <c r="BM57" s="88"/>
      <c r="BN57" s="88"/>
      <c r="BO57" s="88"/>
      <c r="BP57" s="88"/>
      <c r="BQ57" s="88"/>
      <c r="BR57" s="88"/>
      <c r="BS57" s="88"/>
      <c r="BT57" s="88"/>
      <c r="BU57" s="88"/>
      <c r="BV57" s="88"/>
      <c r="BW57" s="88"/>
      <c r="BX57" s="88"/>
      <c r="BY57" s="88"/>
      <c r="BZ57" s="88"/>
      <c r="CA57" s="88"/>
      <c r="CB57" s="88"/>
      <c r="CC57" s="88"/>
      <c r="CD57" s="88"/>
      <c r="CE57" s="88"/>
      <c r="CF57" s="88"/>
      <c r="CG57" s="88"/>
      <c r="CH57" s="88"/>
      <c r="CI57" s="88"/>
      <c r="CJ57" s="88"/>
      <c r="CK57" s="88"/>
      <c r="CL57" s="88"/>
      <c r="CM57" s="88"/>
      <c r="CN57" s="88"/>
      <c r="CO57" s="88"/>
      <c r="CP57" s="88"/>
      <c r="CQ57" s="88"/>
      <c r="CR57" s="88"/>
      <c r="CS57" s="88"/>
      <c r="CT57" s="88"/>
      <c r="CU57" s="88"/>
      <c r="CV57" s="88"/>
      <c r="CW57" s="88"/>
      <c r="CX57" s="88"/>
      <c r="CY57" s="88"/>
      <c r="CZ57" s="88"/>
      <c r="DA57" s="88"/>
      <c r="DB57" s="88"/>
      <c r="DC57" s="88"/>
      <c r="DD57" s="88"/>
      <c r="DE57" s="88"/>
      <c r="DF57" s="88"/>
      <c r="DG57" s="88"/>
      <c r="DH57" s="88"/>
      <c r="DI57" s="88"/>
      <c r="DJ57" s="88"/>
      <c r="DK57" s="88"/>
      <c r="DL57" s="88"/>
      <c r="DM57" s="88"/>
      <c r="DN57" s="88"/>
      <c r="DO57" s="88"/>
      <c r="DP57" s="88"/>
      <c r="DQ57" s="88"/>
      <c r="DR57" s="88"/>
      <c r="DS57" s="88"/>
      <c r="DT57" s="88"/>
      <c r="DU57" s="88"/>
      <c r="DV57" s="88"/>
      <c r="DW57" s="88"/>
      <c r="DX57" s="88"/>
      <c r="DY57" s="88"/>
      <c r="DZ57" s="88"/>
      <c r="EA57" s="88"/>
      <c r="EB57" s="88"/>
      <c r="EC57" s="88"/>
      <c r="ED57" s="88"/>
      <c r="EE57" s="88"/>
      <c r="EF57" s="88"/>
      <c r="EG57" s="88"/>
      <c r="EH57" s="88"/>
      <c r="EI57" s="88"/>
      <c r="EJ57" s="88"/>
      <c r="EK57" s="88"/>
      <c r="EL57" s="88"/>
      <c r="EM57" s="88"/>
      <c r="EN57" s="88"/>
      <c r="EO57" s="88"/>
      <c r="EP57" s="88"/>
      <c r="EQ57" s="88"/>
      <c r="ER57" s="88"/>
      <c r="ES57" s="88"/>
      <c r="ET57" s="88"/>
      <c r="EU57" s="88"/>
      <c r="EV57" s="88"/>
      <c r="EW57" s="88"/>
      <c r="EX57" s="88"/>
      <c r="EY57" s="88"/>
      <c r="EZ57" s="88"/>
      <c r="FA57" s="88"/>
      <c r="FB57" s="88"/>
      <c r="FC57" s="88"/>
      <c r="FD57" s="88"/>
      <c r="FE57" s="88"/>
      <c r="FF57" s="88"/>
      <c r="FG57" s="88"/>
      <c r="FH57" s="88"/>
      <c r="FI57" s="88"/>
      <c r="FJ57" s="88"/>
      <c r="FK57" s="88"/>
      <c r="FL57" s="88"/>
      <c r="FM57" s="88"/>
      <c r="FN57" s="88"/>
      <c r="FO57" s="88"/>
      <c r="FP57" s="88"/>
      <c r="FQ57" s="88"/>
      <c r="FR57" s="88"/>
      <c r="FS57" s="88"/>
      <c r="FT57" s="88"/>
      <c r="FU57" s="88"/>
      <c r="FV57" s="88"/>
      <c r="FW57" s="88"/>
      <c r="FX57" s="88"/>
      <c r="FY57" s="88"/>
      <c r="FZ57" s="88"/>
      <c r="GA57" s="88"/>
      <c r="GB57" s="88"/>
      <c r="GC57" s="88"/>
      <c r="GD57" s="88"/>
      <c r="GE57" s="88"/>
      <c r="GF57" s="88"/>
      <c r="GG57" s="88"/>
      <c r="GH57" s="88"/>
      <c r="GI57" s="88"/>
      <c r="GJ57" s="88"/>
      <c r="GK57" s="88"/>
      <c r="GL57" s="88"/>
      <c r="GM57" s="88"/>
      <c r="GN57" s="88"/>
      <c r="GO57" s="88"/>
      <c r="GP57" s="88"/>
      <c r="GQ57" s="88"/>
      <c r="GR57" s="88"/>
      <c r="GS57" s="88"/>
      <c r="GT57" s="88"/>
      <c r="GU57" s="88"/>
      <c r="GV57" s="88"/>
      <c r="GW57" s="88"/>
      <c r="GX57" s="88"/>
      <c r="GY57" s="88"/>
      <c r="GZ57" s="88"/>
      <c r="HA57" s="88"/>
      <c r="HB57" s="88"/>
      <c r="HC57" s="88"/>
      <c r="HD57" s="88"/>
      <c r="HE57" s="88"/>
    </row>
    <row r="58" spans="1:213">
      <c r="A58" s="1" t="s">
        <v>266</v>
      </c>
      <c r="B58" s="444"/>
      <c r="C58" s="6"/>
      <c r="D58" s="88"/>
      <c r="E58" s="88"/>
      <c r="F58" s="88"/>
      <c r="G58" s="88"/>
      <c r="H58" s="88"/>
      <c r="I58" s="88"/>
      <c r="J58" s="88"/>
      <c r="K58" s="88"/>
      <c r="L58" s="88"/>
      <c r="M58" s="88"/>
      <c r="N58" s="88"/>
      <c r="O58" s="88"/>
      <c r="P58" s="88"/>
      <c r="Q58" s="88"/>
      <c r="R58" s="88"/>
      <c r="S58" s="88"/>
      <c r="T58" s="88"/>
      <c r="U58" s="88"/>
      <c r="V58" s="88"/>
      <c r="W58" s="88"/>
      <c r="X58" s="88"/>
      <c r="Y58" s="88"/>
      <c r="Z58" s="88"/>
      <c r="AA58" s="88"/>
      <c r="AB58" s="88"/>
      <c r="AC58" s="88"/>
      <c r="AD58" s="88"/>
      <c r="AE58" s="88"/>
      <c r="AF58" s="88"/>
      <c r="AG58" s="88"/>
      <c r="AH58" s="88"/>
      <c r="AI58" s="88"/>
      <c r="AJ58" s="88"/>
      <c r="AK58" s="88"/>
      <c r="AL58" s="88"/>
      <c r="AM58" s="88"/>
      <c r="AN58" s="88"/>
      <c r="AO58" s="88"/>
      <c r="AP58" s="88"/>
      <c r="AQ58" s="88"/>
      <c r="AR58" s="88"/>
      <c r="AS58" s="88"/>
      <c r="AT58" s="88"/>
      <c r="AU58" s="88"/>
      <c r="AV58" s="88"/>
      <c r="AW58" s="88"/>
      <c r="AX58" s="88"/>
      <c r="AY58" s="88"/>
      <c r="AZ58" s="88"/>
      <c r="BA58" s="88"/>
      <c r="BB58" s="88"/>
      <c r="BC58" s="88"/>
      <c r="BD58" s="88"/>
      <c r="BE58" s="88"/>
      <c r="BF58" s="88"/>
      <c r="BG58" s="88"/>
      <c r="BH58" s="88"/>
      <c r="BI58" s="88"/>
      <c r="BJ58" s="88"/>
      <c r="BK58" s="88"/>
      <c r="BL58" s="88"/>
      <c r="BM58" s="88"/>
      <c r="BN58" s="88"/>
      <c r="BO58" s="88"/>
      <c r="BP58" s="88"/>
      <c r="BQ58" s="88"/>
      <c r="BR58" s="88"/>
      <c r="BS58" s="88"/>
      <c r="BT58" s="88"/>
      <c r="BU58" s="88"/>
      <c r="BV58" s="88"/>
      <c r="BW58" s="88"/>
      <c r="BX58" s="88"/>
      <c r="BY58" s="88"/>
      <c r="BZ58" s="88"/>
      <c r="CA58" s="88"/>
      <c r="CB58" s="88"/>
      <c r="CC58" s="88"/>
      <c r="CD58" s="88"/>
      <c r="CE58" s="88"/>
      <c r="CF58" s="88"/>
      <c r="CG58" s="88"/>
      <c r="CH58" s="88"/>
      <c r="CI58" s="88"/>
      <c r="CJ58" s="88"/>
      <c r="CK58" s="88"/>
      <c r="CL58" s="88"/>
      <c r="CM58" s="88"/>
      <c r="CN58" s="88"/>
      <c r="CO58" s="88"/>
      <c r="CP58" s="88"/>
      <c r="CQ58" s="88"/>
      <c r="CR58" s="88"/>
      <c r="CS58" s="88"/>
      <c r="CT58" s="88"/>
      <c r="CU58" s="88"/>
      <c r="CV58" s="88"/>
      <c r="CW58" s="88"/>
      <c r="CX58" s="88"/>
      <c r="CY58" s="88"/>
      <c r="CZ58" s="88"/>
      <c r="DA58" s="88"/>
      <c r="DB58" s="88"/>
      <c r="DC58" s="88"/>
      <c r="DD58" s="88"/>
      <c r="DE58" s="88"/>
      <c r="DF58" s="88"/>
      <c r="DG58" s="88"/>
      <c r="DH58" s="88"/>
      <c r="DI58" s="88"/>
      <c r="DJ58" s="88"/>
      <c r="DK58" s="88"/>
      <c r="DL58" s="88"/>
      <c r="DM58" s="88"/>
      <c r="DN58" s="88"/>
      <c r="DO58" s="88"/>
      <c r="DP58" s="88"/>
      <c r="DQ58" s="88"/>
      <c r="DR58" s="88"/>
      <c r="DS58" s="88"/>
      <c r="DT58" s="88"/>
      <c r="DU58" s="88"/>
      <c r="DV58" s="88"/>
      <c r="DW58" s="88"/>
      <c r="DX58" s="88"/>
      <c r="DY58" s="88"/>
      <c r="DZ58" s="88"/>
      <c r="EA58" s="88"/>
      <c r="EB58" s="88"/>
      <c r="EC58" s="88"/>
      <c r="ED58" s="88"/>
      <c r="EE58" s="88"/>
      <c r="EF58" s="88"/>
      <c r="EG58" s="88"/>
      <c r="EH58" s="88"/>
      <c r="EI58" s="88"/>
      <c r="EJ58" s="88"/>
      <c r="EK58" s="88"/>
      <c r="EL58" s="88"/>
      <c r="EM58" s="88"/>
      <c r="EN58" s="88"/>
      <c r="EO58" s="88"/>
      <c r="EP58" s="88"/>
      <c r="EQ58" s="88"/>
      <c r="ER58" s="88"/>
      <c r="ES58" s="88"/>
      <c r="ET58" s="88"/>
      <c r="EU58" s="88"/>
      <c r="EV58" s="88"/>
      <c r="EW58" s="88"/>
      <c r="EX58" s="88"/>
      <c r="EY58" s="88"/>
      <c r="EZ58" s="88"/>
      <c r="FA58" s="88"/>
      <c r="FB58" s="88"/>
      <c r="FC58" s="88"/>
      <c r="FD58" s="88"/>
      <c r="FE58" s="88"/>
      <c r="FF58" s="88"/>
      <c r="FG58" s="88"/>
      <c r="FH58" s="88"/>
      <c r="FI58" s="88"/>
      <c r="FJ58" s="88"/>
      <c r="FK58" s="88"/>
      <c r="FL58" s="88"/>
      <c r="FM58" s="88"/>
      <c r="FN58" s="88"/>
      <c r="FO58" s="88"/>
      <c r="FP58" s="88"/>
      <c r="FQ58" s="88"/>
      <c r="FR58" s="88"/>
      <c r="FS58" s="88"/>
      <c r="FT58" s="88"/>
      <c r="FU58" s="88"/>
      <c r="FV58" s="88"/>
      <c r="FW58" s="88"/>
      <c r="FX58" s="88"/>
      <c r="FY58" s="88"/>
      <c r="FZ58" s="88"/>
      <c r="GA58" s="88"/>
      <c r="GB58" s="88"/>
      <c r="GC58" s="88"/>
      <c r="GD58" s="88"/>
      <c r="GE58" s="88"/>
      <c r="GF58" s="88"/>
      <c r="GG58" s="88"/>
      <c r="GH58" s="88"/>
      <c r="GI58" s="88"/>
      <c r="GJ58" s="88"/>
      <c r="GK58" s="88"/>
      <c r="GL58" s="88"/>
      <c r="GM58" s="88"/>
      <c r="GN58" s="88"/>
      <c r="GO58" s="88"/>
      <c r="GP58" s="88"/>
      <c r="GQ58" s="88"/>
      <c r="GR58" s="88"/>
      <c r="GS58" s="88"/>
      <c r="GT58" s="88"/>
      <c r="GU58" s="88"/>
      <c r="GV58" s="88"/>
      <c r="GW58" s="88"/>
      <c r="GX58" s="88"/>
      <c r="GY58" s="88"/>
      <c r="GZ58" s="88"/>
      <c r="HA58" s="88"/>
      <c r="HB58" s="88"/>
      <c r="HC58" s="88"/>
      <c r="HD58" s="88"/>
      <c r="HE58" s="88"/>
    </row>
    <row r="59" spans="1:213" customFormat="1">
      <c r="A59" s="1" t="s">
        <v>267</v>
      </c>
      <c r="B59" s="285"/>
      <c r="C59" s="6" t="s">
        <v>268</v>
      </c>
    </row>
    <row r="60" spans="1:213" customFormat="1">
      <c r="A60" s="1" t="s">
        <v>269</v>
      </c>
      <c r="B60" s="285"/>
      <c r="C60" s="6" t="s">
        <v>268</v>
      </c>
    </row>
    <row r="61" spans="1:213">
      <c r="A61" s="1" t="s">
        <v>270</v>
      </c>
      <c r="B61" s="444"/>
      <c r="C61"/>
      <c r="D61" s="88"/>
      <c r="E61" s="88"/>
      <c r="F61" s="88"/>
      <c r="G61" s="88"/>
      <c r="H61" s="88"/>
      <c r="I61" s="88"/>
      <c r="J61" s="88"/>
      <c r="K61" s="88"/>
      <c r="L61" s="88"/>
      <c r="M61" s="88"/>
      <c r="N61" s="88"/>
      <c r="O61" s="88"/>
      <c r="P61" s="88"/>
      <c r="Q61" s="88"/>
      <c r="R61" s="88"/>
      <c r="S61" s="88"/>
      <c r="T61" s="88"/>
      <c r="U61" s="88"/>
      <c r="V61" s="88"/>
      <c r="W61" s="88"/>
      <c r="X61" s="88"/>
      <c r="Y61" s="88"/>
      <c r="Z61" s="88"/>
      <c r="AA61" s="88"/>
      <c r="AB61" s="88"/>
      <c r="AC61" s="88"/>
      <c r="AD61" s="88"/>
      <c r="AE61" s="88"/>
      <c r="AF61" s="88"/>
      <c r="AG61" s="88"/>
      <c r="AH61" s="88"/>
      <c r="AI61" s="88"/>
      <c r="AJ61" s="88"/>
      <c r="AK61" s="88"/>
      <c r="AL61" s="88"/>
      <c r="AM61" s="88"/>
      <c r="AN61" s="88"/>
      <c r="AO61" s="88"/>
      <c r="AP61" s="88"/>
      <c r="AQ61" s="88"/>
      <c r="AR61" s="88"/>
      <c r="AS61" s="88"/>
      <c r="AT61" s="88"/>
      <c r="AU61" s="88"/>
      <c r="AV61" s="88"/>
      <c r="AW61" s="88"/>
      <c r="AX61" s="88"/>
      <c r="AY61" s="88"/>
      <c r="AZ61" s="88"/>
      <c r="BA61" s="88"/>
      <c r="BB61" s="88"/>
      <c r="BC61" s="88"/>
      <c r="BD61" s="88"/>
      <c r="BE61" s="88"/>
      <c r="BF61" s="88"/>
      <c r="BG61" s="88"/>
      <c r="BH61" s="88"/>
      <c r="BI61" s="88"/>
      <c r="BJ61" s="88"/>
      <c r="BK61" s="88"/>
      <c r="BL61" s="88"/>
      <c r="BM61" s="88"/>
      <c r="BN61" s="88"/>
      <c r="BO61" s="88"/>
      <c r="BP61" s="88"/>
      <c r="BQ61" s="88"/>
      <c r="BR61" s="88"/>
      <c r="BS61" s="88"/>
      <c r="BT61" s="88"/>
      <c r="BU61" s="88"/>
      <c r="BV61" s="88"/>
      <c r="BW61" s="88"/>
      <c r="BX61" s="88"/>
      <c r="BY61" s="88"/>
      <c r="BZ61" s="88"/>
      <c r="CA61" s="88"/>
      <c r="CB61" s="88"/>
      <c r="CC61" s="88"/>
      <c r="CD61" s="88"/>
      <c r="CE61" s="88"/>
      <c r="CF61" s="88"/>
      <c r="CG61" s="88"/>
      <c r="CH61" s="88"/>
      <c r="CI61" s="88"/>
      <c r="CJ61" s="88"/>
      <c r="CK61" s="88"/>
      <c r="CL61" s="88"/>
      <c r="CM61" s="88"/>
      <c r="CN61" s="88"/>
      <c r="CO61" s="88"/>
      <c r="CP61" s="88"/>
      <c r="CQ61" s="88"/>
      <c r="CR61" s="88"/>
      <c r="CS61" s="88"/>
      <c r="CT61" s="88"/>
      <c r="CU61" s="88"/>
      <c r="CV61" s="88"/>
      <c r="CW61" s="88"/>
      <c r="CX61" s="88"/>
      <c r="CY61" s="88"/>
      <c r="CZ61" s="88"/>
      <c r="DA61" s="88"/>
      <c r="DB61" s="88"/>
      <c r="DC61" s="88"/>
      <c r="DD61" s="88"/>
      <c r="DE61" s="88"/>
      <c r="DF61" s="88"/>
      <c r="DG61" s="88"/>
      <c r="DH61" s="88"/>
      <c r="DI61" s="88"/>
      <c r="DJ61" s="88"/>
      <c r="DK61" s="88"/>
      <c r="DL61" s="88"/>
      <c r="DM61" s="88"/>
      <c r="DN61" s="88"/>
      <c r="DO61" s="88"/>
      <c r="DP61" s="88"/>
      <c r="DQ61" s="88"/>
      <c r="DR61" s="88"/>
      <c r="DS61" s="88"/>
      <c r="DT61" s="88"/>
      <c r="DU61" s="88"/>
      <c r="DV61" s="88"/>
      <c r="DW61" s="88"/>
      <c r="DX61" s="88"/>
      <c r="DY61" s="88"/>
      <c r="DZ61" s="88"/>
      <c r="EA61" s="88"/>
      <c r="EB61" s="88"/>
      <c r="EC61" s="88"/>
      <c r="ED61" s="88"/>
      <c r="EE61" s="88"/>
      <c r="EF61" s="88"/>
      <c r="EG61" s="88"/>
      <c r="EH61" s="88"/>
      <c r="EI61" s="88"/>
      <c r="EJ61" s="88"/>
      <c r="EK61" s="88"/>
      <c r="EL61" s="88"/>
      <c r="EM61" s="88"/>
      <c r="EN61" s="88"/>
      <c r="EO61" s="88"/>
      <c r="EP61" s="88"/>
      <c r="EQ61" s="88"/>
      <c r="ER61" s="88"/>
      <c r="ES61" s="88"/>
      <c r="ET61" s="88"/>
      <c r="EU61" s="88"/>
      <c r="EV61" s="88"/>
      <c r="EW61" s="88"/>
      <c r="EX61" s="88"/>
      <c r="EY61" s="88"/>
      <c r="EZ61" s="88"/>
      <c r="FA61" s="88"/>
      <c r="FB61" s="88"/>
      <c r="FC61" s="88"/>
      <c r="FD61" s="88"/>
      <c r="FE61" s="88"/>
      <c r="FF61" s="88"/>
      <c r="FG61" s="88"/>
      <c r="FH61" s="88"/>
      <c r="FI61" s="88"/>
      <c r="FJ61" s="88"/>
      <c r="FK61" s="88"/>
      <c r="FL61" s="88"/>
      <c r="FM61" s="88"/>
      <c r="FN61" s="88"/>
      <c r="FO61" s="88"/>
      <c r="FP61" s="88"/>
      <c r="FQ61" s="88"/>
      <c r="FR61" s="88"/>
      <c r="FS61" s="88"/>
      <c r="FT61" s="88"/>
      <c r="FU61" s="88"/>
      <c r="FV61" s="88"/>
      <c r="FW61" s="88"/>
      <c r="FX61" s="88"/>
      <c r="FY61" s="88"/>
      <c r="FZ61" s="88"/>
      <c r="GA61" s="88"/>
      <c r="GB61" s="88"/>
      <c r="GC61" s="88"/>
      <c r="GD61" s="88"/>
      <c r="GE61" s="88"/>
      <c r="GF61" s="88"/>
      <c r="GG61" s="88"/>
      <c r="GH61" s="88"/>
      <c r="GI61" s="88"/>
      <c r="GJ61" s="88"/>
      <c r="GK61" s="88"/>
      <c r="GL61" s="88"/>
      <c r="GM61" s="88"/>
      <c r="GN61" s="88"/>
      <c r="GO61" s="88"/>
      <c r="GP61" s="88"/>
      <c r="GQ61" s="88"/>
      <c r="GR61" s="88"/>
      <c r="GS61" s="88"/>
      <c r="GT61" s="88"/>
      <c r="GU61" s="88"/>
      <c r="GV61" s="88"/>
      <c r="GW61" s="88"/>
      <c r="GX61" s="88"/>
      <c r="GY61" s="88"/>
      <c r="GZ61" s="88"/>
      <c r="HA61" s="88"/>
      <c r="HB61" s="88"/>
      <c r="HC61" s="88"/>
      <c r="HD61" s="88"/>
      <c r="HE61" s="88"/>
    </row>
    <row r="62" spans="1:213">
      <c r="A62" s="1" t="s">
        <v>271</v>
      </c>
      <c r="B62" s="284"/>
      <c r="C62" s="6"/>
      <c r="D62" s="88"/>
      <c r="E62" s="88"/>
      <c r="F62" s="88"/>
      <c r="G62" s="88"/>
      <c r="H62" s="88"/>
      <c r="I62" s="88"/>
      <c r="J62" s="88"/>
      <c r="K62" s="88"/>
      <c r="L62" s="88"/>
      <c r="M62" s="88"/>
      <c r="N62" s="88"/>
      <c r="O62" s="88"/>
      <c r="P62" s="88"/>
      <c r="Q62" s="88"/>
      <c r="R62" s="88"/>
      <c r="S62" s="88"/>
      <c r="T62" s="88"/>
      <c r="U62" s="88"/>
      <c r="V62" s="88"/>
      <c r="W62" s="88"/>
      <c r="X62" s="88"/>
      <c r="Y62" s="88"/>
      <c r="Z62" s="88"/>
      <c r="AA62" s="88"/>
      <c r="AB62" s="88"/>
      <c r="AC62" s="88"/>
      <c r="AD62" s="88"/>
      <c r="AE62" s="88"/>
      <c r="AF62" s="88"/>
      <c r="AG62" s="88"/>
      <c r="AH62" s="88"/>
      <c r="AI62" s="88"/>
      <c r="AJ62" s="88"/>
      <c r="AK62" s="88"/>
      <c r="AL62" s="88"/>
      <c r="AM62" s="88"/>
      <c r="AN62" s="88"/>
      <c r="AO62" s="88"/>
      <c r="AP62" s="88"/>
      <c r="AQ62" s="88"/>
      <c r="AR62" s="88"/>
      <c r="AS62" s="88"/>
      <c r="AT62" s="88"/>
      <c r="AU62" s="88"/>
      <c r="AV62" s="88"/>
      <c r="AW62" s="88"/>
      <c r="AX62" s="88"/>
      <c r="AY62" s="88"/>
      <c r="AZ62" s="88"/>
      <c r="BA62" s="88"/>
      <c r="BB62" s="88"/>
      <c r="BC62" s="88"/>
      <c r="BD62" s="88"/>
      <c r="BE62" s="88"/>
      <c r="BF62" s="88"/>
      <c r="BG62" s="88"/>
      <c r="BH62" s="88"/>
      <c r="BI62" s="88"/>
      <c r="BJ62" s="88"/>
      <c r="BK62" s="88"/>
      <c r="BL62" s="88"/>
      <c r="BM62" s="88"/>
      <c r="BN62" s="88"/>
      <c r="BO62" s="88"/>
      <c r="BP62" s="88"/>
      <c r="BQ62" s="88"/>
      <c r="BR62" s="88"/>
      <c r="BS62" s="88"/>
      <c r="BT62" s="88"/>
      <c r="BU62" s="88"/>
      <c r="BV62" s="88"/>
      <c r="BW62" s="88"/>
      <c r="BX62" s="88"/>
      <c r="BY62" s="88"/>
      <c r="BZ62" s="88"/>
      <c r="CA62" s="88"/>
      <c r="CB62" s="88"/>
      <c r="CC62" s="88"/>
      <c r="CD62" s="88"/>
      <c r="CE62" s="88"/>
      <c r="CF62" s="88"/>
      <c r="CG62" s="88"/>
      <c r="CH62" s="88"/>
      <c r="CI62" s="88"/>
      <c r="CJ62" s="88"/>
      <c r="CK62" s="88"/>
      <c r="CL62" s="88"/>
      <c r="CM62" s="88"/>
      <c r="CN62" s="88"/>
      <c r="CO62" s="88"/>
      <c r="CP62" s="88"/>
      <c r="CQ62" s="88"/>
      <c r="CR62" s="88"/>
      <c r="CS62" s="88"/>
      <c r="CT62" s="88"/>
      <c r="CU62" s="88"/>
      <c r="CV62" s="88"/>
      <c r="CW62" s="88"/>
      <c r="CX62" s="88"/>
      <c r="CY62" s="88"/>
      <c r="CZ62" s="88"/>
      <c r="DA62" s="88"/>
      <c r="DB62" s="88"/>
      <c r="DC62" s="88"/>
      <c r="DD62" s="88"/>
      <c r="DE62" s="88"/>
      <c r="DF62" s="88"/>
      <c r="DG62" s="88"/>
      <c r="DH62" s="88"/>
      <c r="DI62" s="88"/>
      <c r="DJ62" s="88"/>
      <c r="DK62" s="88"/>
      <c r="DL62" s="88"/>
      <c r="DM62" s="88"/>
      <c r="DN62" s="88"/>
      <c r="DO62" s="88"/>
      <c r="DP62" s="88"/>
      <c r="DQ62" s="88"/>
      <c r="DR62" s="88"/>
      <c r="DS62" s="88"/>
      <c r="DT62" s="88"/>
      <c r="DU62" s="88"/>
      <c r="DV62" s="88"/>
      <c r="DW62" s="88"/>
      <c r="DX62" s="88"/>
      <c r="DY62" s="88"/>
      <c r="DZ62" s="88"/>
      <c r="EA62" s="88"/>
      <c r="EB62" s="88"/>
      <c r="EC62" s="88"/>
      <c r="ED62" s="88"/>
      <c r="EE62" s="88"/>
      <c r="EF62" s="88"/>
      <c r="EG62" s="88"/>
      <c r="EH62" s="88"/>
      <c r="EI62" s="88"/>
      <c r="EJ62" s="88"/>
      <c r="EK62" s="88"/>
      <c r="EL62" s="88"/>
      <c r="EM62" s="88"/>
      <c r="EN62" s="88"/>
      <c r="EO62" s="88"/>
      <c r="EP62" s="88"/>
      <c r="EQ62" s="88"/>
      <c r="ER62" s="88"/>
      <c r="ES62" s="88"/>
      <c r="ET62" s="88"/>
      <c r="EU62" s="88"/>
      <c r="EV62" s="88"/>
      <c r="EW62" s="88"/>
      <c r="EX62" s="88"/>
      <c r="EY62" s="88"/>
      <c r="EZ62" s="88"/>
      <c r="FA62" s="88"/>
      <c r="FB62" s="88"/>
      <c r="FC62" s="88"/>
      <c r="FD62" s="88"/>
      <c r="FE62" s="88"/>
      <c r="FF62" s="88"/>
      <c r="FG62" s="88"/>
      <c r="FH62" s="88"/>
      <c r="FI62" s="88"/>
      <c r="FJ62" s="88"/>
      <c r="FK62" s="88"/>
      <c r="FL62" s="88"/>
      <c r="FM62" s="88"/>
      <c r="FN62" s="88"/>
      <c r="FO62" s="88"/>
      <c r="FP62" s="88"/>
      <c r="FQ62" s="88"/>
      <c r="FR62" s="88"/>
      <c r="FS62" s="88"/>
      <c r="FT62" s="88"/>
      <c r="FU62" s="88"/>
      <c r="FV62" s="88"/>
      <c r="FW62" s="88"/>
      <c r="FX62" s="88"/>
      <c r="FY62" s="88"/>
      <c r="FZ62" s="88"/>
      <c r="GA62" s="88"/>
      <c r="GB62" s="88"/>
      <c r="GC62" s="88"/>
      <c r="GD62" s="88"/>
      <c r="GE62" s="88"/>
      <c r="GF62" s="88"/>
      <c r="GG62" s="88"/>
      <c r="GH62" s="88"/>
      <c r="GI62" s="88"/>
      <c r="GJ62" s="88"/>
      <c r="GK62" s="88"/>
      <c r="GL62" s="88"/>
      <c r="GM62" s="88"/>
      <c r="GN62" s="88"/>
      <c r="GO62" s="88"/>
      <c r="GP62" s="88"/>
      <c r="GQ62" s="88"/>
      <c r="GR62" s="88"/>
      <c r="GS62" s="88"/>
      <c r="GT62" s="88"/>
      <c r="GU62" s="88"/>
      <c r="GV62" s="88"/>
      <c r="GW62" s="88"/>
      <c r="GX62" s="88"/>
      <c r="GY62" s="88"/>
      <c r="GZ62" s="88"/>
      <c r="HA62" s="88"/>
      <c r="HB62" s="88"/>
      <c r="HC62" s="88"/>
      <c r="HD62" s="88"/>
      <c r="HE62" s="88"/>
    </row>
    <row r="63" spans="1:213">
      <c r="A63" s="1" t="s">
        <v>272</v>
      </c>
      <c r="B63" s="496"/>
      <c r="C63" s="6" t="s">
        <v>268</v>
      </c>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8"/>
      <c r="AD63" s="88"/>
      <c r="AE63" s="88"/>
      <c r="AF63" s="88"/>
      <c r="AG63" s="88"/>
      <c r="AH63" s="88"/>
      <c r="AI63" s="88"/>
      <c r="AJ63" s="88"/>
      <c r="AK63" s="88"/>
      <c r="AL63" s="88"/>
      <c r="AM63" s="88"/>
      <c r="AN63" s="88"/>
      <c r="AO63" s="88"/>
      <c r="AP63" s="88"/>
      <c r="AQ63" s="88"/>
      <c r="AR63" s="88"/>
      <c r="AS63" s="88"/>
      <c r="AT63" s="88"/>
      <c r="AU63" s="88"/>
      <c r="AV63" s="88"/>
      <c r="AW63" s="88"/>
      <c r="AX63" s="88"/>
      <c r="AY63" s="88"/>
      <c r="AZ63" s="88"/>
      <c r="BA63" s="88"/>
      <c r="BB63" s="88"/>
      <c r="BC63" s="88"/>
      <c r="BD63" s="88"/>
      <c r="BE63" s="88"/>
      <c r="BF63" s="88"/>
      <c r="BG63" s="88"/>
      <c r="BH63" s="88"/>
      <c r="BI63" s="88"/>
      <c r="BJ63" s="88"/>
      <c r="BK63" s="88"/>
      <c r="BL63" s="88"/>
      <c r="BM63" s="88"/>
      <c r="BN63" s="88"/>
      <c r="BO63" s="88"/>
      <c r="BP63" s="88"/>
      <c r="BQ63" s="88"/>
      <c r="BR63" s="88"/>
      <c r="BS63" s="88"/>
      <c r="BT63" s="88"/>
      <c r="BU63" s="88"/>
      <c r="BV63" s="88"/>
      <c r="BW63" s="88"/>
      <c r="BX63" s="88"/>
      <c r="BY63" s="88"/>
      <c r="BZ63" s="88"/>
      <c r="CA63" s="88"/>
      <c r="CB63" s="88"/>
      <c r="CC63" s="88"/>
      <c r="CD63" s="88"/>
      <c r="CE63" s="88"/>
      <c r="CF63" s="88"/>
      <c r="CG63" s="88"/>
      <c r="CH63" s="88"/>
      <c r="CI63" s="88"/>
      <c r="CJ63" s="88"/>
      <c r="CK63" s="88"/>
      <c r="CL63" s="88"/>
      <c r="CM63" s="88"/>
      <c r="CN63" s="88"/>
      <c r="CO63" s="88"/>
      <c r="CP63" s="88"/>
      <c r="CQ63" s="88"/>
      <c r="CR63" s="88"/>
      <c r="CS63" s="88"/>
      <c r="CT63" s="88"/>
      <c r="CU63" s="88"/>
      <c r="CV63" s="88"/>
      <c r="CW63" s="88"/>
      <c r="CX63" s="88"/>
      <c r="CY63" s="88"/>
      <c r="CZ63" s="88"/>
      <c r="DA63" s="88"/>
      <c r="DB63" s="88"/>
      <c r="DC63" s="88"/>
      <c r="DD63" s="88"/>
      <c r="DE63" s="88"/>
      <c r="DF63" s="88"/>
      <c r="DG63" s="88"/>
      <c r="DH63" s="88"/>
      <c r="DI63" s="88"/>
      <c r="DJ63" s="88"/>
      <c r="DK63" s="88"/>
      <c r="DL63" s="88"/>
      <c r="DM63" s="88"/>
      <c r="DN63" s="88"/>
      <c r="DO63" s="88"/>
      <c r="DP63" s="88"/>
      <c r="DQ63" s="88"/>
      <c r="DR63" s="88"/>
      <c r="DS63" s="88"/>
      <c r="DT63" s="88"/>
      <c r="DU63" s="88"/>
      <c r="DV63" s="88"/>
      <c r="DW63" s="88"/>
      <c r="DX63" s="88"/>
      <c r="DY63" s="88"/>
      <c r="DZ63" s="88"/>
      <c r="EA63" s="88"/>
      <c r="EB63" s="88"/>
      <c r="EC63" s="88"/>
      <c r="ED63" s="88"/>
      <c r="EE63" s="88"/>
      <c r="EF63" s="88"/>
      <c r="EG63" s="88"/>
      <c r="EH63" s="88"/>
      <c r="EI63" s="88"/>
      <c r="EJ63" s="88"/>
      <c r="EK63" s="88"/>
      <c r="EL63" s="88"/>
      <c r="EM63" s="88"/>
      <c r="EN63" s="88"/>
      <c r="EO63" s="88"/>
      <c r="EP63" s="88"/>
      <c r="EQ63" s="88"/>
      <c r="ER63" s="88"/>
      <c r="ES63" s="88"/>
      <c r="ET63" s="88"/>
      <c r="EU63" s="88"/>
      <c r="EV63" s="88"/>
      <c r="EW63" s="88"/>
      <c r="EX63" s="88"/>
      <c r="EY63" s="88"/>
      <c r="EZ63" s="88"/>
      <c r="FA63" s="88"/>
      <c r="FB63" s="88"/>
      <c r="FC63" s="88"/>
      <c r="FD63" s="88"/>
      <c r="FE63" s="88"/>
      <c r="FF63" s="88"/>
      <c r="FG63" s="88"/>
      <c r="FH63" s="88"/>
      <c r="FI63" s="88"/>
      <c r="FJ63" s="88"/>
      <c r="FK63" s="88"/>
      <c r="FL63" s="88"/>
      <c r="FM63" s="88"/>
      <c r="FN63" s="88"/>
      <c r="FO63" s="88"/>
      <c r="FP63" s="88"/>
      <c r="FQ63" s="88"/>
      <c r="FR63" s="88"/>
      <c r="FS63" s="88"/>
      <c r="FT63" s="88"/>
      <c r="FU63" s="88"/>
      <c r="FV63" s="88"/>
      <c r="FW63" s="88"/>
      <c r="FX63" s="88"/>
      <c r="FY63" s="88"/>
      <c r="FZ63" s="88"/>
      <c r="GA63" s="88"/>
      <c r="GB63" s="88"/>
      <c r="GC63" s="88"/>
      <c r="GD63" s="88"/>
      <c r="GE63" s="88"/>
      <c r="GF63" s="88"/>
      <c r="GG63" s="88"/>
      <c r="GH63" s="88"/>
      <c r="GI63" s="88"/>
      <c r="GJ63" s="88"/>
      <c r="GK63" s="88"/>
      <c r="GL63" s="88"/>
      <c r="GM63" s="88"/>
      <c r="GN63" s="88"/>
      <c r="GO63" s="88"/>
      <c r="GP63" s="88"/>
      <c r="GQ63" s="88"/>
      <c r="GR63" s="88"/>
      <c r="GS63" s="88"/>
      <c r="GT63" s="88"/>
      <c r="GU63" s="88"/>
      <c r="GV63" s="88"/>
      <c r="GW63" s="88"/>
      <c r="GX63" s="88"/>
      <c r="GY63" s="88"/>
      <c r="GZ63" s="88"/>
      <c r="HA63" s="88"/>
      <c r="HB63" s="88"/>
      <c r="HC63" s="88"/>
      <c r="HD63" s="88"/>
      <c r="HE63" s="88"/>
    </row>
    <row r="64" spans="1:213">
      <c r="A64" s="1" t="s">
        <v>273</v>
      </c>
      <c r="B64" s="470"/>
      <c r="C64" s="6" t="s">
        <v>268</v>
      </c>
      <c r="D64" s="88"/>
      <c r="E64" s="88"/>
      <c r="F64" s="88"/>
      <c r="G64" s="88"/>
      <c r="H64" s="88"/>
      <c r="I64" s="88"/>
      <c r="J64" s="88"/>
      <c r="K64" s="88"/>
      <c r="L64" s="88"/>
      <c r="M64" s="88"/>
      <c r="N64" s="88"/>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88"/>
      <c r="AP64" s="88"/>
      <c r="AQ64" s="88"/>
      <c r="AR64" s="88"/>
      <c r="AS64" s="88"/>
      <c r="AT64" s="88"/>
      <c r="AU64" s="88"/>
      <c r="AV64" s="88"/>
      <c r="AW64" s="88"/>
      <c r="AX64" s="88"/>
      <c r="AY64" s="88"/>
      <c r="AZ64" s="88"/>
      <c r="BA64" s="88"/>
      <c r="BB64" s="88"/>
      <c r="BC64" s="88"/>
      <c r="BD64" s="88"/>
      <c r="BE64" s="88"/>
      <c r="BF64" s="88"/>
      <c r="BG64" s="88"/>
      <c r="BH64" s="88"/>
      <c r="BI64" s="88"/>
      <c r="BJ64" s="88"/>
      <c r="BK64" s="88"/>
      <c r="BL64" s="88"/>
      <c r="BM64" s="88"/>
      <c r="BN64" s="88"/>
      <c r="BO64" s="88"/>
      <c r="BP64" s="88"/>
      <c r="BQ64" s="88"/>
      <c r="BR64" s="88"/>
      <c r="BS64" s="88"/>
      <c r="BT64" s="88"/>
      <c r="BU64" s="88"/>
      <c r="BV64" s="88"/>
      <c r="BW64" s="88"/>
      <c r="BX64" s="88"/>
      <c r="BY64" s="88"/>
      <c r="BZ64" s="88"/>
      <c r="CA64" s="88"/>
      <c r="CB64" s="88"/>
      <c r="CC64" s="88"/>
      <c r="CD64" s="88"/>
      <c r="CE64" s="88"/>
      <c r="CF64" s="88"/>
      <c r="CG64" s="88"/>
      <c r="CH64" s="88"/>
      <c r="CI64" s="88"/>
      <c r="CJ64" s="88"/>
      <c r="CK64" s="88"/>
      <c r="CL64" s="88"/>
      <c r="CM64" s="88"/>
      <c r="CN64" s="88"/>
      <c r="CO64" s="88"/>
      <c r="CP64" s="88"/>
      <c r="CQ64" s="88"/>
      <c r="CR64" s="88"/>
      <c r="CS64" s="88"/>
      <c r="CT64" s="88"/>
      <c r="CU64" s="88"/>
      <c r="CV64" s="88"/>
      <c r="CW64" s="88"/>
      <c r="CX64" s="88"/>
      <c r="CY64" s="88"/>
      <c r="CZ64" s="88"/>
      <c r="DA64" s="88"/>
      <c r="DB64" s="88"/>
      <c r="DC64" s="88"/>
      <c r="DD64" s="88"/>
      <c r="DE64" s="88"/>
      <c r="DF64" s="88"/>
      <c r="DG64" s="88"/>
      <c r="DH64" s="88"/>
      <c r="DI64" s="88"/>
      <c r="DJ64" s="88"/>
      <c r="DK64" s="88"/>
      <c r="DL64" s="88"/>
      <c r="DM64" s="88"/>
      <c r="DN64" s="88"/>
      <c r="DO64" s="88"/>
      <c r="DP64" s="88"/>
      <c r="DQ64" s="88"/>
      <c r="DR64" s="88"/>
      <c r="DS64" s="88"/>
      <c r="DT64" s="88"/>
      <c r="DU64" s="88"/>
      <c r="DV64" s="88"/>
      <c r="DW64" s="88"/>
      <c r="DX64" s="88"/>
      <c r="DY64" s="88"/>
      <c r="DZ64" s="88"/>
      <c r="EA64" s="88"/>
      <c r="EB64" s="88"/>
      <c r="EC64" s="88"/>
      <c r="ED64" s="88"/>
      <c r="EE64" s="88"/>
      <c r="EF64" s="88"/>
      <c r="EG64" s="88"/>
      <c r="EH64" s="88"/>
      <c r="EI64" s="88"/>
      <c r="EJ64" s="88"/>
      <c r="EK64" s="88"/>
      <c r="EL64" s="88"/>
      <c r="EM64" s="88"/>
      <c r="EN64" s="88"/>
      <c r="EO64" s="88"/>
      <c r="EP64" s="88"/>
      <c r="EQ64" s="88"/>
      <c r="ER64" s="88"/>
      <c r="ES64" s="88"/>
      <c r="ET64" s="88"/>
      <c r="EU64" s="88"/>
      <c r="EV64" s="88"/>
      <c r="EW64" s="88"/>
      <c r="EX64" s="88"/>
      <c r="EY64" s="88"/>
      <c r="EZ64" s="88"/>
      <c r="FA64" s="88"/>
      <c r="FB64" s="88"/>
      <c r="FC64" s="88"/>
      <c r="FD64" s="88"/>
      <c r="FE64" s="88"/>
      <c r="FF64" s="88"/>
      <c r="FG64" s="88"/>
      <c r="FH64" s="88"/>
      <c r="FI64" s="88"/>
      <c r="FJ64" s="88"/>
      <c r="FK64" s="88"/>
      <c r="FL64" s="88"/>
      <c r="FM64" s="88"/>
      <c r="FN64" s="88"/>
      <c r="FO64" s="88"/>
      <c r="FP64" s="88"/>
      <c r="FQ64" s="88"/>
      <c r="FR64" s="88"/>
      <c r="FS64" s="88"/>
      <c r="FT64" s="88"/>
      <c r="FU64" s="88"/>
      <c r="FV64" s="88"/>
      <c r="FW64" s="88"/>
      <c r="FX64" s="88"/>
      <c r="FY64" s="88"/>
      <c r="FZ64" s="88"/>
      <c r="GA64" s="88"/>
      <c r="GB64" s="88"/>
      <c r="GC64" s="88"/>
      <c r="GD64" s="88"/>
      <c r="GE64" s="88"/>
      <c r="GF64" s="88"/>
      <c r="GG64" s="88"/>
      <c r="GH64" s="88"/>
      <c r="GI64" s="88"/>
      <c r="GJ64" s="88"/>
      <c r="GK64" s="88"/>
      <c r="GL64" s="88"/>
      <c r="GM64" s="88"/>
      <c r="GN64" s="88"/>
      <c r="GO64" s="88"/>
      <c r="GP64" s="88"/>
      <c r="GQ64" s="88"/>
      <c r="GR64" s="88"/>
      <c r="GS64" s="88"/>
      <c r="GT64" s="88"/>
      <c r="GU64" s="88"/>
      <c r="GV64" s="88"/>
      <c r="GW64" s="88"/>
      <c r="GX64" s="88"/>
      <c r="GY64" s="88"/>
      <c r="GZ64" s="88"/>
      <c r="HA64" s="88"/>
      <c r="HB64" s="88"/>
      <c r="HC64" s="88"/>
      <c r="HD64" s="88"/>
      <c r="HE64" s="88"/>
    </row>
    <row r="65" spans="1:213">
      <c r="A65" s="1" t="s">
        <v>274</v>
      </c>
      <c r="B65" s="470"/>
      <c r="C65" s="6" t="s">
        <v>268</v>
      </c>
      <c r="D65" s="88"/>
      <c r="E65" s="88"/>
      <c r="F65" s="88"/>
      <c r="G65" s="88"/>
      <c r="H65" s="88"/>
      <c r="I65" s="88"/>
      <c r="J65" s="88"/>
      <c r="K65" s="88"/>
      <c r="L65" s="88"/>
      <c r="M65" s="88"/>
      <c r="N65" s="88"/>
      <c r="O65" s="88"/>
      <c r="P65" s="88"/>
      <c r="Q65" s="88"/>
      <c r="R65" s="88"/>
      <c r="S65" s="88"/>
      <c r="T65" s="88"/>
      <c r="U65" s="88"/>
      <c r="V65" s="88"/>
      <c r="W65" s="88"/>
      <c r="X65" s="88"/>
      <c r="Y65" s="88"/>
      <c r="Z65" s="88"/>
      <c r="AA65" s="88"/>
      <c r="AB65" s="88"/>
      <c r="AC65" s="88"/>
      <c r="AD65" s="88"/>
      <c r="AE65" s="88"/>
      <c r="AF65" s="88"/>
      <c r="AG65" s="88"/>
      <c r="AH65" s="88"/>
      <c r="AI65" s="88"/>
      <c r="AJ65" s="88"/>
      <c r="AK65" s="88"/>
      <c r="AL65" s="88"/>
      <c r="AM65" s="88"/>
      <c r="AN65" s="88"/>
      <c r="AO65" s="88"/>
      <c r="AP65" s="88"/>
      <c r="AQ65" s="88"/>
      <c r="AR65" s="88"/>
      <c r="AS65" s="88"/>
      <c r="AT65" s="88"/>
      <c r="AU65" s="88"/>
      <c r="AV65" s="88"/>
      <c r="AW65" s="88"/>
      <c r="AX65" s="88"/>
      <c r="AY65" s="88"/>
      <c r="AZ65" s="88"/>
      <c r="BA65" s="88"/>
      <c r="BB65" s="88"/>
      <c r="BC65" s="88"/>
      <c r="BD65" s="88"/>
      <c r="BE65" s="88"/>
      <c r="BF65" s="88"/>
      <c r="BG65" s="88"/>
      <c r="BH65" s="88"/>
      <c r="BI65" s="88"/>
      <c r="BJ65" s="88"/>
      <c r="BK65" s="88"/>
      <c r="BL65" s="88"/>
      <c r="BM65" s="88"/>
      <c r="BN65" s="88"/>
      <c r="BO65" s="88"/>
      <c r="BP65" s="88"/>
      <c r="BQ65" s="88"/>
      <c r="BR65" s="88"/>
      <c r="BS65" s="88"/>
      <c r="BT65" s="88"/>
      <c r="BU65" s="88"/>
      <c r="BV65" s="88"/>
      <c r="BW65" s="88"/>
      <c r="BX65" s="88"/>
      <c r="BY65" s="88"/>
      <c r="BZ65" s="88"/>
      <c r="CA65" s="88"/>
      <c r="CB65" s="88"/>
      <c r="CC65" s="88"/>
      <c r="CD65" s="88"/>
      <c r="CE65" s="88"/>
      <c r="CF65" s="88"/>
      <c r="CG65" s="88"/>
      <c r="CH65" s="88"/>
      <c r="CI65" s="88"/>
      <c r="CJ65" s="88"/>
      <c r="CK65" s="88"/>
      <c r="CL65" s="88"/>
      <c r="CM65" s="88"/>
      <c r="CN65" s="88"/>
      <c r="CO65" s="88"/>
      <c r="CP65" s="88"/>
      <c r="CQ65" s="88"/>
      <c r="CR65" s="88"/>
      <c r="CS65" s="88"/>
      <c r="CT65" s="88"/>
      <c r="CU65" s="88"/>
      <c r="CV65" s="88"/>
      <c r="CW65" s="88"/>
      <c r="CX65" s="88"/>
      <c r="CY65" s="88"/>
      <c r="CZ65" s="88"/>
      <c r="DA65" s="88"/>
      <c r="DB65" s="88"/>
      <c r="DC65" s="88"/>
      <c r="DD65" s="88"/>
      <c r="DE65" s="88"/>
      <c r="DF65" s="88"/>
      <c r="DG65" s="88"/>
      <c r="DH65" s="88"/>
      <c r="DI65" s="88"/>
      <c r="DJ65" s="88"/>
      <c r="DK65" s="88"/>
      <c r="DL65" s="88"/>
      <c r="DM65" s="88"/>
      <c r="DN65" s="88"/>
      <c r="DO65" s="88"/>
      <c r="DP65" s="88"/>
      <c r="DQ65" s="88"/>
      <c r="DR65" s="88"/>
      <c r="DS65" s="88"/>
      <c r="DT65" s="88"/>
      <c r="DU65" s="88"/>
      <c r="DV65" s="88"/>
      <c r="DW65" s="88"/>
      <c r="DX65" s="88"/>
      <c r="DY65" s="88"/>
      <c r="DZ65" s="88"/>
      <c r="EA65" s="88"/>
      <c r="EB65" s="88"/>
      <c r="EC65" s="88"/>
      <c r="ED65" s="88"/>
      <c r="EE65" s="88"/>
      <c r="EF65" s="88"/>
      <c r="EG65" s="88"/>
      <c r="EH65" s="88"/>
      <c r="EI65" s="88"/>
      <c r="EJ65" s="88"/>
      <c r="EK65" s="88"/>
      <c r="EL65" s="88"/>
      <c r="EM65" s="88"/>
      <c r="EN65" s="88"/>
      <c r="EO65" s="88"/>
      <c r="EP65" s="88"/>
      <c r="EQ65" s="88"/>
      <c r="ER65" s="88"/>
      <c r="ES65" s="88"/>
      <c r="ET65" s="88"/>
      <c r="EU65" s="88"/>
      <c r="EV65" s="88"/>
      <c r="EW65" s="88"/>
      <c r="EX65" s="88"/>
      <c r="EY65" s="88"/>
      <c r="EZ65" s="88"/>
      <c r="FA65" s="88"/>
      <c r="FB65" s="88"/>
      <c r="FC65" s="88"/>
      <c r="FD65" s="88"/>
      <c r="FE65" s="88"/>
      <c r="FF65" s="88"/>
      <c r="FG65" s="88"/>
      <c r="FH65" s="88"/>
      <c r="FI65" s="88"/>
      <c r="FJ65" s="88"/>
      <c r="FK65" s="88"/>
      <c r="FL65" s="88"/>
      <c r="FM65" s="88"/>
      <c r="FN65" s="88"/>
      <c r="FO65" s="88"/>
      <c r="FP65" s="88"/>
      <c r="FQ65" s="88"/>
      <c r="FR65" s="88"/>
      <c r="FS65" s="88"/>
      <c r="FT65" s="88"/>
      <c r="FU65" s="88"/>
      <c r="FV65" s="88"/>
      <c r="FW65" s="88"/>
      <c r="FX65" s="88"/>
      <c r="FY65" s="88"/>
      <c r="FZ65" s="88"/>
      <c r="GA65" s="88"/>
      <c r="GB65" s="88"/>
      <c r="GC65" s="88"/>
      <c r="GD65" s="88"/>
      <c r="GE65" s="88"/>
      <c r="GF65" s="88"/>
      <c r="GG65" s="88"/>
      <c r="GH65" s="88"/>
      <c r="GI65" s="88"/>
      <c r="GJ65" s="88"/>
      <c r="GK65" s="88"/>
      <c r="GL65" s="88"/>
      <c r="GM65" s="88"/>
      <c r="GN65" s="88"/>
      <c r="GO65" s="88"/>
      <c r="GP65" s="88"/>
      <c r="GQ65" s="88"/>
      <c r="GR65" s="88"/>
      <c r="GS65" s="88"/>
      <c r="GT65" s="88"/>
      <c r="GU65" s="88"/>
      <c r="GV65" s="88"/>
      <c r="GW65" s="88"/>
      <c r="GX65" s="88"/>
      <c r="GY65" s="88"/>
      <c r="GZ65" s="88"/>
      <c r="HA65" s="88"/>
      <c r="HB65" s="88"/>
      <c r="HC65" s="88"/>
      <c r="HD65" s="88"/>
      <c r="HE65" s="88"/>
    </row>
    <row r="66" spans="1:213">
      <c r="A66" s="1" t="s">
        <v>275</v>
      </c>
      <c r="B66" s="444"/>
      <c r="C66" s="88"/>
      <c r="D66" s="88"/>
      <c r="E66" s="88"/>
      <c r="F66" s="88"/>
      <c r="G66" s="88"/>
      <c r="H66" s="88"/>
      <c r="I66" s="88"/>
      <c r="J66" s="88"/>
      <c r="K66" s="88"/>
      <c r="L66" s="88"/>
      <c r="M66" s="88"/>
      <c r="N66" s="88"/>
      <c r="O66" s="88"/>
      <c r="P66" s="88"/>
      <c r="Q66" s="88"/>
      <c r="R66" s="88"/>
      <c r="S66" s="88"/>
      <c r="T66" s="88"/>
      <c r="U66" s="88"/>
      <c r="V66" s="88"/>
      <c r="W66" s="88"/>
      <c r="X66" s="88"/>
      <c r="Y66" s="88"/>
      <c r="Z66" s="88"/>
      <c r="AA66" s="88"/>
      <c r="AB66" s="88"/>
      <c r="AC66" s="88"/>
      <c r="AD66" s="88"/>
      <c r="AE66" s="88"/>
      <c r="AF66" s="88"/>
      <c r="AG66" s="88"/>
      <c r="AH66" s="88"/>
      <c r="AI66" s="88"/>
      <c r="AJ66" s="88"/>
      <c r="AK66" s="88"/>
      <c r="AL66" s="88"/>
      <c r="AM66" s="88"/>
      <c r="AN66" s="88"/>
      <c r="AO66" s="88"/>
      <c r="AP66" s="88"/>
      <c r="AQ66" s="88"/>
      <c r="AR66" s="88"/>
      <c r="AS66" s="88"/>
      <c r="AT66" s="88"/>
      <c r="AU66" s="88"/>
      <c r="AV66" s="88"/>
      <c r="AW66" s="88"/>
      <c r="AX66" s="88"/>
      <c r="AY66" s="88"/>
      <c r="AZ66" s="88"/>
      <c r="BA66" s="88"/>
      <c r="BB66" s="88"/>
      <c r="BC66" s="88"/>
      <c r="BD66" s="88"/>
      <c r="BE66" s="88"/>
      <c r="BF66" s="88"/>
      <c r="BG66" s="88"/>
      <c r="BH66" s="88"/>
      <c r="BI66" s="88"/>
      <c r="BJ66" s="88"/>
      <c r="BK66" s="88"/>
      <c r="BL66" s="88"/>
      <c r="BM66" s="88"/>
      <c r="BN66" s="88"/>
      <c r="BO66" s="88"/>
      <c r="BP66" s="88"/>
      <c r="BQ66" s="88"/>
      <c r="BR66" s="88"/>
      <c r="BS66" s="88"/>
      <c r="BT66" s="88"/>
      <c r="BU66" s="88"/>
      <c r="BV66" s="88"/>
      <c r="BW66" s="88"/>
      <c r="BX66" s="88"/>
      <c r="BY66" s="88"/>
      <c r="BZ66" s="88"/>
      <c r="CA66" s="88"/>
      <c r="CB66" s="88"/>
      <c r="CC66" s="88"/>
      <c r="CD66" s="88"/>
      <c r="CE66" s="88"/>
      <c r="CF66" s="88"/>
      <c r="CG66" s="88"/>
      <c r="CH66" s="88"/>
      <c r="CI66" s="88"/>
      <c r="CJ66" s="88"/>
      <c r="CK66" s="88"/>
      <c r="CL66" s="88"/>
      <c r="CM66" s="88"/>
      <c r="CN66" s="88"/>
      <c r="CO66" s="88"/>
      <c r="CP66" s="88"/>
      <c r="CQ66" s="88"/>
      <c r="CR66" s="88"/>
      <c r="CS66" s="88"/>
      <c r="CT66" s="88"/>
      <c r="CU66" s="88"/>
      <c r="CV66" s="88"/>
      <c r="CW66" s="88"/>
      <c r="CX66" s="88"/>
      <c r="CY66" s="88"/>
      <c r="CZ66" s="88"/>
      <c r="DA66" s="88"/>
      <c r="DB66" s="88"/>
      <c r="DC66" s="88"/>
      <c r="DD66" s="88"/>
      <c r="DE66" s="88"/>
      <c r="DF66" s="88"/>
      <c r="DG66" s="88"/>
      <c r="DH66" s="88"/>
      <c r="DI66" s="88"/>
      <c r="DJ66" s="88"/>
      <c r="DK66" s="88"/>
      <c r="DL66" s="88"/>
      <c r="DM66" s="88"/>
      <c r="DN66" s="88"/>
      <c r="DO66" s="88"/>
      <c r="DP66" s="88"/>
      <c r="DQ66" s="88"/>
      <c r="DR66" s="88"/>
      <c r="DS66" s="88"/>
      <c r="DT66" s="88"/>
      <c r="DU66" s="88"/>
      <c r="DV66" s="88"/>
      <c r="DW66" s="88"/>
      <c r="DX66" s="88"/>
      <c r="DY66" s="88"/>
      <c r="DZ66" s="88"/>
      <c r="EA66" s="88"/>
      <c r="EB66" s="88"/>
      <c r="EC66" s="88"/>
      <c r="ED66" s="88"/>
      <c r="EE66" s="88"/>
      <c r="EF66" s="88"/>
      <c r="EG66" s="88"/>
      <c r="EH66" s="88"/>
      <c r="EI66" s="88"/>
      <c r="EJ66" s="88"/>
      <c r="EK66" s="88"/>
      <c r="EL66" s="88"/>
      <c r="EM66" s="88"/>
      <c r="EN66" s="88"/>
      <c r="EO66" s="88"/>
      <c r="EP66" s="88"/>
      <c r="EQ66" s="88"/>
      <c r="ER66" s="88"/>
      <c r="ES66" s="88"/>
      <c r="ET66" s="88"/>
      <c r="EU66" s="88"/>
      <c r="EV66" s="88"/>
      <c r="EW66" s="88"/>
      <c r="EX66" s="88"/>
      <c r="EY66" s="88"/>
      <c r="EZ66" s="88"/>
      <c r="FA66" s="88"/>
      <c r="FB66" s="88"/>
      <c r="FC66" s="88"/>
      <c r="FD66" s="88"/>
      <c r="FE66" s="88"/>
      <c r="FF66" s="88"/>
      <c r="FG66" s="88"/>
      <c r="FH66" s="88"/>
      <c r="FI66" s="88"/>
      <c r="FJ66" s="88"/>
      <c r="FK66" s="88"/>
      <c r="FL66" s="88"/>
      <c r="FM66" s="88"/>
      <c r="FN66" s="88"/>
      <c r="FO66" s="88"/>
      <c r="FP66" s="88"/>
      <c r="FQ66" s="88"/>
      <c r="FR66" s="88"/>
      <c r="FS66" s="88"/>
      <c r="FT66" s="88"/>
      <c r="FU66" s="88"/>
      <c r="FV66" s="88"/>
      <c r="FW66" s="88"/>
      <c r="FX66" s="88"/>
      <c r="FY66" s="88"/>
      <c r="FZ66" s="88"/>
      <c r="GA66" s="88"/>
      <c r="GB66" s="88"/>
      <c r="GC66" s="88"/>
      <c r="GD66" s="88"/>
      <c r="GE66" s="88"/>
      <c r="GF66" s="88"/>
      <c r="GG66" s="88"/>
      <c r="GH66" s="88"/>
      <c r="GI66" s="88"/>
      <c r="GJ66" s="88"/>
      <c r="GK66" s="88"/>
      <c r="GL66" s="88"/>
      <c r="GM66" s="88"/>
      <c r="GN66" s="88"/>
      <c r="GO66" s="88"/>
      <c r="GP66" s="88"/>
      <c r="GQ66" s="88"/>
      <c r="GR66" s="88"/>
      <c r="GS66" s="88"/>
      <c r="GT66" s="88"/>
      <c r="GU66" s="88"/>
      <c r="GV66" s="88"/>
      <c r="GW66" s="88"/>
      <c r="GX66" s="88"/>
      <c r="GY66" s="88"/>
      <c r="GZ66" s="88"/>
      <c r="HA66" s="88"/>
      <c r="HB66" s="88"/>
      <c r="HC66" s="88"/>
      <c r="HD66" s="88"/>
      <c r="HE66" s="88"/>
    </row>
    <row r="67" spans="1:213" s="561" customFormat="1">
      <c r="A67" s="560"/>
      <c r="B67" s="560"/>
      <c r="C67" s="560"/>
      <c r="D67" s="560"/>
      <c r="E67" s="560"/>
      <c r="F67" s="560"/>
      <c r="G67" s="560"/>
      <c r="H67" s="560"/>
      <c r="I67" s="560"/>
      <c r="J67" s="560"/>
      <c r="K67" s="560"/>
      <c r="L67" s="560"/>
      <c r="M67" s="560"/>
      <c r="N67" s="560"/>
      <c r="O67" s="560"/>
      <c r="P67" s="560"/>
      <c r="Q67" s="560"/>
      <c r="R67" s="560"/>
      <c r="S67" s="560"/>
      <c r="T67" s="560"/>
      <c r="U67" s="560"/>
      <c r="V67" s="560"/>
      <c r="W67" s="560"/>
      <c r="X67" s="560"/>
      <c r="Y67" s="560"/>
      <c r="Z67" s="560"/>
      <c r="AA67" s="560"/>
      <c r="AB67" s="560"/>
      <c r="AC67" s="560"/>
      <c r="AD67" s="560"/>
      <c r="AE67" s="560"/>
      <c r="AF67" s="560"/>
      <c r="AG67" s="560"/>
      <c r="AH67" s="560"/>
      <c r="AI67" s="560"/>
      <c r="AJ67" s="560"/>
      <c r="AK67" s="560"/>
      <c r="AL67" s="560"/>
      <c r="AM67" s="560"/>
      <c r="AN67" s="560"/>
      <c r="AO67" s="560"/>
      <c r="AP67" s="560"/>
      <c r="AQ67" s="560"/>
      <c r="AR67" s="560"/>
      <c r="AS67" s="560"/>
      <c r="AT67" s="560"/>
      <c r="AU67" s="560"/>
      <c r="AV67" s="560"/>
      <c r="AW67" s="560"/>
      <c r="AX67" s="560"/>
      <c r="AY67" s="560"/>
      <c r="AZ67" s="560"/>
      <c r="BA67" s="560"/>
      <c r="BB67" s="560"/>
      <c r="BC67" s="560"/>
      <c r="BD67" s="560"/>
      <c r="BE67" s="560"/>
      <c r="BF67" s="560"/>
      <c r="BG67" s="560"/>
      <c r="BH67" s="560"/>
      <c r="BI67" s="560"/>
      <c r="BJ67" s="560"/>
      <c r="BK67" s="560"/>
      <c r="BL67" s="560"/>
      <c r="BM67" s="560"/>
      <c r="BN67" s="560"/>
      <c r="BO67" s="560"/>
      <c r="BP67" s="560"/>
      <c r="BQ67" s="560"/>
      <c r="BR67" s="560"/>
      <c r="BS67" s="560"/>
      <c r="BT67" s="560"/>
      <c r="BU67" s="560"/>
      <c r="BV67" s="560"/>
      <c r="BW67" s="560"/>
      <c r="BX67" s="560"/>
      <c r="BY67" s="560"/>
      <c r="BZ67" s="560"/>
      <c r="CA67" s="560"/>
      <c r="CB67" s="560"/>
      <c r="CC67" s="560"/>
      <c r="CD67" s="560"/>
      <c r="CE67" s="560"/>
      <c r="CF67" s="560"/>
      <c r="CG67" s="560"/>
      <c r="CH67" s="560"/>
      <c r="CI67" s="560"/>
      <c r="CJ67" s="560"/>
      <c r="CK67" s="560"/>
      <c r="CL67" s="560"/>
      <c r="CM67" s="560"/>
      <c r="CN67" s="560"/>
      <c r="CO67" s="560"/>
      <c r="CP67" s="560"/>
      <c r="CQ67" s="560"/>
      <c r="CR67" s="560"/>
      <c r="CS67" s="560"/>
      <c r="CT67" s="560"/>
      <c r="CU67" s="560"/>
      <c r="CV67" s="560"/>
      <c r="CW67" s="560"/>
      <c r="CX67" s="560"/>
      <c r="CY67" s="560"/>
      <c r="CZ67" s="560"/>
      <c r="DA67" s="560"/>
      <c r="DB67" s="560"/>
      <c r="DC67" s="560"/>
      <c r="DD67" s="560"/>
      <c r="DE67" s="560"/>
      <c r="DF67" s="560"/>
      <c r="DG67" s="560"/>
      <c r="DH67" s="560"/>
      <c r="DI67" s="560"/>
      <c r="DJ67" s="560"/>
      <c r="DK67" s="560"/>
      <c r="DL67" s="560"/>
      <c r="DM67" s="560"/>
      <c r="DN67" s="560"/>
      <c r="DO67" s="560"/>
      <c r="DP67" s="560"/>
      <c r="DQ67" s="560"/>
      <c r="DR67" s="560"/>
      <c r="DS67" s="560"/>
      <c r="DT67" s="560"/>
      <c r="DU67" s="560"/>
      <c r="DV67" s="560"/>
      <c r="DW67" s="560"/>
      <c r="DX67" s="560"/>
      <c r="DY67" s="560"/>
      <c r="DZ67" s="560"/>
      <c r="EA67" s="560"/>
      <c r="EB67" s="560"/>
      <c r="EC67" s="560"/>
      <c r="ED67" s="560"/>
      <c r="EE67" s="560"/>
      <c r="EF67" s="560"/>
      <c r="EG67" s="560"/>
      <c r="EH67" s="560"/>
      <c r="EI67" s="560"/>
      <c r="EJ67" s="560"/>
      <c r="EK67" s="560"/>
      <c r="EL67" s="560"/>
      <c r="EM67" s="560"/>
      <c r="EN67" s="560"/>
      <c r="EO67" s="560"/>
      <c r="EP67" s="560"/>
      <c r="EQ67" s="560"/>
      <c r="ER67" s="560"/>
      <c r="ES67" s="560"/>
      <c r="ET67" s="560"/>
      <c r="EU67" s="560"/>
      <c r="EV67" s="560"/>
      <c r="EW67" s="560"/>
      <c r="EX67" s="560"/>
      <c r="EY67" s="560"/>
      <c r="EZ67" s="560"/>
      <c r="FA67" s="560"/>
      <c r="FB67" s="560"/>
      <c r="FC67" s="560"/>
      <c r="FD67" s="560"/>
      <c r="FE67" s="560"/>
      <c r="FF67" s="560"/>
      <c r="FG67" s="560"/>
      <c r="FH67" s="560"/>
      <c r="FI67" s="560"/>
      <c r="FJ67" s="560"/>
      <c r="FK67" s="560"/>
      <c r="FL67" s="560"/>
      <c r="FM67" s="560"/>
      <c r="FN67" s="560"/>
      <c r="FO67" s="560"/>
      <c r="FP67" s="560"/>
      <c r="FQ67" s="560"/>
      <c r="FR67" s="560"/>
      <c r="FS67" s="560"/>
      <c r="FT67" s="560"/>
      <c r="FU67" s="560"/>
      <c r="FV67" s="560"/>
      <c r="FW67" s="560"/>
      <c r="FX67" s="560"/>
      <c r="FY67" s="560"/>
      <c r="FZ67" s="560"/>
      <c r="GA67" s="560"/>
      <c r="GB67" s="560"/>
      <c r="GC67" s="560"/>
      <c r="GD67" s="560"/>
      <c r="GE67" s="560"/>
      <c r="GF67" s="560"/>
      <c r="GG67" s="560"/>
      <c r="GH67" s="560"/>
      <c r="GI67" s="560"/>
      <c r="GJ67" s="560"/>
      <c r="GK67" s="560"/>
      <c r="GL67" s="560"/>
      <c r="GM67" s="560"/>
      <c r="GN67" s="560"/>
      <c r="GO67" s="560"/>
      <c r="GP67" s="560"/>
      <c r="GQ67" s="560"/>
      <c r="GR67" s="560"/>
      <c r="GS67" s="560"/>
      <c r="GT67" s="560"/>
      <c r="GU67" s="560"/>
      <c r="GV67" s="560"/>
      <c r="GW67" s="560"/>
      <c r="GX67" s="560"/>
      <c r="GY67" s="560"/>
      <c r="GZ67" s="560"/>
      <c r="HA67" s="560"/>
      <c r="HB67" s="560"/>
      <c r="HC67" s="560"/>
      <c r="HD67" s="560"/>
      <c r="HE67" s="560"/>
    </row>
    <row r="68" spans="1:213">
      <c r="A68" s="1" t="s">
        <v>276</v>
      </c>
      <c r="B68" s="284"/>
      <c r="C68" s="255" t="s">
        <v>277</v>
      </c>
      <c r="D68" s="88"/>
      <c r="E68" s="88"/>
      <c r="F68" s="88"/>
      <c r="G68" s="88"/>
      <c r="H68" s="88"/>
      <c r="I68" s="88"/>
      <c r="J68" s="88"/>
      <c r="K68" s="88"/>
      <c r="L68" s="88"/>
      <c r="M68" s="88"/>
      <c r="N68" s="88"/>
      <c r="O68" s="88"/>
      <c r="P68" s="88"/>
      <c r="Q68" s="88"/>
      <c r="R68" s="88"/>
      <c r="S68" s="88"/>
      <c r="T68" s="88"/>
      <c r="U68" s="88"/>
      <c r="V68" s="88"/>
      <c r="W68" s="88"/>
      <c r="X68" s="88"/>
      <c r="Y68" s="88"/>
      <c r="Z68" s="88"/>
      <c r="AA68" s="88"/>
      <c r="AB68" s="88"/>
      <c r="AC68" s="88"/>
      <c r="AD68" s="88"/>
      <c r="AE68" s="88"/>
      <c r="AF68" s="88"/>
      <c r="AG68" s="88"/>
      <c r="AH68" s="88"/>
      <c r="AI68" s="88"/>
      <c r="AJ68" s="88"/>
      <c r="AK68" s="88"/>
      <c r="AL68" s="88"/>
      <c r="AM68" s="88"/>
      <c r="AN68" s="88"/>
      <c r="AO68" s="88"/>
      <c r="AP68" s="88"/>
      <c r="AQ68" s="88"/>
      <c r="AR68" s="88"/>
      <c r="AS68" s="88"/>
      <c r="AT68" s="88"/>
      <c r="AU68" s="88"/>
      <c r="AV68" s="88"/>
      <c r="AW68" s="88"/>
      <c r="AX68" s="88"/>
      <c r="AY68" s="88"/>
      <c r="AZ68" s="88"/>
      <c r="BA68" s="88"/>
      <c r="BB68" s="88"/>
      <c r="BC68" s="88"/>
      <c r="BD68" s="88"/>
      <c r="BE68" s="88"/>
      <c r="BF68" s="88"/>
      <c r="BG68" s="88"/>
      <c r="BH68" s="88"/>
      <c r="BI68" s="88"/>
      <c r="BJ68" s="88"/>
      <c r="BK68" s="88"/>
      <c r="BL68" s="88"/>
      <c r="BM68" s="88"/>
      <c r="BN68" s="88"/>
      <c r="BO68" s="88"/>
      <c r="BP68" s="88"/>
      <c r="BQ68" s="88"/>
      <c r="BR68" s="88"/>
      <c r="BS68" s="88"/>
      <c r="BT68" s="88"/>
      <c r="BU68" s="88"/>
      <c r="BV68" s="88"/>
      <c r="BW68" s="88"/>
      <c r="BX68" s="88"/>
      <c r="BY68" s="88"/>
      <c r="BZ68" s="88"/>
      <c r="CA68" s="88"/>
      <c r="CB68" s="88"/>
      <c r="CC68" s="88"/>
      <c r="CD68" s="88"/>
      <c r="CE68" s="88"/>
      <c r="CF68" s="88"/>
      <c r="CG68" s="88"/>
      <c r="CH68" s="88"/>
      <c r="CI68" s="88"/>
      <c r="CJ68" s="88"/>
      <c r="CK68" s="88"/>
      <c r="CL68" s="88"/>
      <c r="CM68" s="88"/>
      <c r="CN68" s="88"/>
      <c r="CO68" s="88"/>
      <c r="CP68" s="88"/>
      <c r="CQ68" s="88"/>
      <c r="CR68" s="88"/>
      <c r="CS68" s="88"/>
      <c r="CT68" s="88"/>
      <c r="CU68" s="88"/>
      <c r="CV68" s="88"/>
      <c r="CW68" s="88"/>
      <c r="CX68" s="88"/>
      <c r="CY68" s="88"/>
      <c r="CZ68" s="88"/>
      <c r="DA68" s="88"/>
      <c r="DB68" s="88"/>
      <c r="DC68" s="88"/>
      <c r="DD68" s="88"/>
      <c r="DE68" s="88"/>
      <c r="DF68" s="88"/>
      <c r="DG68" s="88"/>
      <c r="DH68" s="88"/>
      <c r="DI68" s="88"/>
      <c r="DJ68" s="88"/>
      <c r="DK68" s="88"/>
      <c r="DL68" s="88"/>
      <c r="DM68" s="88"/>
      <c r="DN68" s="88"/>
      <c r="DO68" s="88"/>
      <c r="DP68" s="88"/>
      <c r="DQ68" s="88"/>
      <c r="DR68" s="88"/>
      <c r="DS68" s="88"/>
      <c r="DT68" s="88"/>
      <c r="DU68" s="88"/>
      <c r="DV68" s="88"/>
      <c r="DW68" s="88"/>
      <c r="DX68" s="88"/>
      <c r="DY68" s="88"/>
      <c r="DZ68" s="88"/>
      <c r="EA68" s="88"/>
      <c r="EB68" s="88"/>
      <c r="EC68" s="88"/>
      <c r="ED68" s="88"/>
      <c r="EE68" s="88"/>
      <c r="EF68" s="88"/>
      <c r="EG68" s="88"/>
      <c r="EH68" s="88"/>
      <c r="EI68" s="88"/>
      <c r="EJ68" s="88"/>
      <c r="EK68" s="88"/>
      <c r="EL68" s="88"/>
      <c r="EM68" s="88"/>
      <c r="EN68" s="88"/>
      <c r="EO68" s="88"/>
      <c r="EP68" s="88"/>
      <c r="EQ68" s="88"/>
      <c r="ER68" s="88"/>
      <c r="ES68" s="88"/>
      <c r="ET68" s="88"/>
      <c r="EU68" s="88"/>
      <c r="EV68" s="88"/>
      <c r="EW68" s="88"/>
      <c r="EX68" s="88"/>
      <c r="EY68" s="88"/>
      <c r="EZ68" s="88"/>
      <c r="FA68" s="88"/>
      <c r="FB68" s="88"/>
      <c r="FC68" s="88"/>
      <c r="FD68" s="88"/>
      <c r="FE68" s="88"/>
      <c r="FF68" s="88"/>
      <c r="FG68" s="88"/>
      <c r="FH68" s="88"/>
      <c r="FI68" s="88"/>
      <c r="FJ68" s="88"/>
      <c r="FK68" s="88"/>
      <c r="FL68" s="88"/>
      <c r="FM68" s="88"/>
      <c r="FN68" s="88"/>
      <c r="FO68" s="88"/>
      <c r="FP68" s="88"/>
      <c r="FQ68" s="88"/>
      <c r="FR68" s="88"/>
      <c r="FS68" s="88"/>
      <c r="FT68" s="88"/>
      <c r="FU68" s="88"/>
      <c r="FV68" s="88"/>
      <c r="FW68" s="88"/>
      <c r="FX68" s="88"/>
      <c r="FY68" s="88"/>
      <c r="FZ68" s="88"/>
      <c r="GA68" s="88"/>
      <c r="GB68" s="88"/>
      <c r="GC68" s="88"/>
      <c r="GD68" s="88"/>
      <c r="GE68" s="88"/>
      <c r="GF68" s="88"/>
      <c r="GG68" s="88"/>
      <c r="GH68" s="88"/>
      <c r="GI68" s="88"/>
      <c r="GJ68" s="88"/>
      <c r="GK68" s="88"/>
      <c r="GL68" s="88"/>
      <c r="GM68" s="88"/>
      <c r="GN68" s="88"/>
      <c r="GO68" s="88"/>
      <c r="GP68" s="88"/>
      <c r="GQ68" s="88"/>
      <c r="GR68" s="88"/>
      <c r="GS68" s="88"/>
      <c r="GT68" s="88"/>
      <c r="GU68" s="88"/>
      <c r="GV68" s="88"/>
      <c r="GW68" s="88"/>
      <c r="GX68" s="88"/>
      <c r="GY68" s="88"/>
      <c r="GZ68" s="88"/>
      <c r="HA68" s="88"/>
      <c r="HB68" s="88"/>
      <c r="HC68" s="88"/>
      <c r="HD68" s="88"/>
      <c r="HE68" s="88"/>
    </row>
    <row r="69" spans="1:213">
      <c r="A69" s="1" t="s">
        <v>278</v>
      </c>
      <c r="B69" s="444"/>
      <c r="C69" s="88"/>
      <c r="D69" s="88"/>
      <c r="E69" s="88"/>
      <c r="F69" s="88"/>
      <c r="G69" s="88"/>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8"/>
      <c r="BY69" s="88"/>
      <c r="BZ69" s="88"/>
      <c r="CA69" s="88"/>
      <c r="CB69" s="88"/>
      <c r="CC69" s="88"/>
      <c r="CD69" s="88"/>
      <c r="CE69" s="88"/>
      <c r="CF69" s="88"/>
      <c r="CG69" s="88"/>
      <c r="CH69" s="88"/>
      <c r="CI69" s="88"/>
      <c r="CJ69" s="88"/>
      <c r="CK69" s="88"/>
      <c r="CL69" s="88"/>
      <c r="CM69" s="88"/>
      <c r="CN69" s="88"/>
      <c r="CO69" s="88"/>
      <c r="CP69" s="88"/>
      <c r="CQ69" s="88"/>
      <c r="CR69" s="88"/>
      <c r="CS69" s="88"/>
      <c r="CT69" s="88"/>
      <c r="CU69" s="88"/>
      <c r="CV69" s="88"/>
      <c r="CW69" s="88"/>
      <c r="CX69" s="88"/>
      <c r="CY69" s="88"/>
      <c r="CZ69" s="88"/>
      <c r="DA69" s="88"/>
      <c r="DB69" s="88"/>
      <c r="DC69" s="88"/>
      <c r="DD69" s="88"/>
      <c r="DE69" s="88"/>
      <c r="DF69" s="88"/>
      <c r="DG69" s="88"/>
      <c r="DH69" s="88"/>
      <c r="DI69" s="88"/>
      <c r="DJ69" s="88"/>
      <c r="DK69" s="88"/>
      <c r="DL69" s="88"/>
      <c r="DM69" s="88"/>
      <c r="DN69" s="88"/>
      <c r="DO69" s="88"/>
      <c r="DP69" s="88"/>
      <c r="DQ69" s="88"/>
      <c r="DR69" s="88"/>
      <c r="DS69" s="88"/>
      <c r="DT69" s="88"/>
      <c r="DU69" s="88"/>
      <c r="DV69" s="88"/>
      <c r="DW69" s="88"/>
      <c r="DX69" s="88"/>
      <c r="DY69" s="88"/>
      <c r="DZ69" s="88"/>
      <c r="EA69" s="88"/>
      <c r="EB69" s="88"/>
      <c r="EC69" s="88"/>
      <c r="ED69" s="88"/>
      <c r="EE69" s="88"/>
      <c r="EF69" s="88"/>
      <c r="EG69" s="88"/>
      <c r="EH69" s="88"/>
      <c r="EI69" s="88"/>
      <c r="EJ69" s="88"/>
      <c r="EK69" s="88"/>
      <c r="EL69" s="88"/>
      <c r="EM69" s="88"/>
      <c r="EN69" s="88"/>
      <c r="EO69" s="88"/>
      <c r="EP69" s="88"/>
      <c r="EQ69" s="88"/>
      <c r="ER69" s="88"/>
      <c r="ES69" s="88"/>
      <c r="ET69" s="88"/>
      <c r="EU69" s="88"/>
      <c r="EV69" s="88"/>
      <c r="EW69" s="88"/>
      <c r="EX69" s="88"/>
      <c r="EY69" s="88"/>
      <c r="EZ69" s="88"/>
      <c r="FA69" s="88"/>
      <c r="FB69" s="88"/>
      <c r="FC69" s="88"/>
      <c r="FD69" s="88"/>
      <c r="FE69" s="88"/>
      <c r="FF69" s="88"/>
      <c r="FG69" s="88"/>
      <c r="FH69" s="88"/>
      <c r="FI69" s="88"/>
      <c r="FJ69" s="88"/>
      <c r="FK69" s="88"/>
      <c r="FL69" s="88"/>
      <c r="FM69" s="88"/>
      <c r="FN69" s="88"/>
      <c r="FO69" s="88"/>
      <c r="FP69" s="88"/>
      <c r="FQ69" s="88"/>
      <c r="FR69" s="88"/>
      <c r="FS69" s="88"/>
      <c r="FT69" s="88"/>
      <c r="FU69" s="88"/>
      <c r="FV69" s="88"/>
      <c r="FW69" s="88"/>
      <c r="FX69" s="88"/>
      <c r="FY69" s="88"/>
      <c r="FZ69" s="88"/>
      <c r="GA69" s="88"/>
      <c r="GB69" s="88"/>
      <c r="GC69" s="88"/>
      <c r="GD69" s="88"/>
      <c r="GE69" s="88"/>
      <c r="GF69" s="88"/>
      <c r="GG69" s="88"/>
      <c r="GH69" s="88"/>
      <c r="GI69" s="88"/>
      <c r="GJ69" s="88"/>
      <c r="GK69" s="88"/>
      <c r="GL69" s="88"/>
      <c r="GM69" s="88"/>
      <c r="GN69" s="88"/>
      <c r="GO69" s="88"/>
      <c r="GP69" s="88"/>
      <c r="GQ69" s="88"/>
      <c r="GR69" s="88"/>
      <c r="GS69" s="88"/>
      <c r="GT69" s="88"/>
      <c r="GU69" s="88"/>
      <c r="GV69" s="88"/>
      <c r="GW69" s="88"/>
      <c r="GX69" s="88"/>
      <c r="GY69" s="88"/>
      <c r="GZ69" s="88"/>
      <c r="HA69" s="88"/>
      <c r="HB69" s="88"/>
      <c r="HC69" s="88"/>
      <c r="HD69" s="88"/>
      <c r="HE69" s="88"/>
    </row>
    <row r="70" spans="1:213">
      <c r="A70" s="1" t="s">
        <v>279</v>
      </c>
      <c r="B70" s="444"/>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88"/>
      <c r="AZ70" s="88"/>
      <c r="BA70" s="88"/>
      <c r="BB70" s="88"/>
      <c r="BC70" s="88"/>
      <c r="BD70" s="88"/>
      <c r="BE70" s="88"/>
      <c r="BF70" s="88"/>
      <c r="BG70" s="88"/>
      <c r="BH70" s="88"/>
      <c r="BI70" s="88"/>
      <c r="BJ70" s="88"/>
      <c r="BK70" s="88"/>
      <c r="BL70" s="88"/>
      <c r="BM70" s="88"/>
      <c r="BN70" s="88"/>
      <c r="BO70" s="88"/>
      <c r="BP70" s="88"/>
      <c r="BQ70" s="88"/>
      <c r="BR70" s="88"/>
      <c r="BS70" s="88"/>
      <c r="BT70" s="88"/>
      <c r="BU70" s="88"/>
      <c r="BV70" s="88"/>
      <c r="BW70" s="88"/>
      <c r="BX70" s="88"/>
      <c r="BY70" s="88"/>
      <c r="BZ70" s="88"/>
      <c r="CA70" s="88"/>
      <c r="CB70" s="88"/>
      <c r="CC70" s="88"/>
      <c r="CD70" s="88"/>
      <c r="CE70" s="88"/>
      <c r="CF70" s="88"/>
      <c r="CG70" s="88"/>
      <c r="CH70" s="88"/>
      <c r="CI70" s="88"/>
      <c r="CJ70" s="88"/>
      <c r="CK70" s="88"/>
      <c r="CL70" s="88"/>
      <c r="CM70" s="88"/>
      <c r="CN70" s="88"/>
      <c r="CO70" s="88"/>
      <c r="CP70" s="88"/>
      <c r="CQ70" s="88"/>
      <c r="CR70" s="88"/>
      <c r="CS70" s="88"/>
      <c r="CT70" s="88"/>
      <c r="CU70" s="88"/>
      <c r="CV70" s="88"/>
      <c r="CW70" s="88"/>
      <c r="CX70" s="88"/>
      <c r="CY70" s="88"/>
      <c r="CZ70" s="88"/>
      <c r="DA70" s="88"/>
      <c r="DB70" s="88"/>
      <c r="DC70" s="88"/>
      <c r="DD70" s="88"/>
      <c r="DE70" s="88"/>
      <c r="DF70" s="88"/>
      <c r="DG70" s="88"/>
      <c r="DH70" s="88"/>
      <c r="DI70" s="88"/>
      <c r="DJ70" s="88"/>
      <c r="DK70" s="88"/>
      <c r="DL70" s="88"/>
      <c r="DM70" s="88"/>
      <c r="DN70" s="88"/>
      <c r="DO70" s="88"/>
      <c r="DP70" s="88"/>
      <c r="DQ70" s="88"/>
      <c r="DR70" s="88"/>
      <c r="DS70" s="88"/>
      <c r="DT70" s="88"/>
      <c r="DU70" s="88"/>
      <c r="DV70" s="88"/>
      <c r="DW70" s="88"/>
      <c r="DX70" s="88"/>
      <c r="DY70" s="88"/>
      <c r="DZ70" s="88"/>
      <c r="EA70" s="88"/>
      <c r="EB70" s="88"/>
      <c r="EC70" s="88"/>
      <c r="ED70" s="88"/>
      <c r="EE70" s="88"/>
      <c r="EF70" s="88"/>
      <c r="EG70" s="88"/>
      <c r="EH70" s="88"/>
      <c r="EI70" s="88"/>
      <c r="EJ70" s="88"/>
      <c r="EK70" s="88"/>
      <c r="EL70" s="88"/>
      <c r="EM70" s="88"/>
      <c r="EN70" s="88"/>
      <c r="EO70" s="88"/>
      <c r="EP70" s="88"/>
      <c r="EQ70" s="88"/>
      <c r="ER70" s="88"/>
      <c r="ES70" s="88"/>
      <c r="ET70" s="88"/>
      <c r="EU70" s="88"/>
      <c r="EV70" s="88"/>
      <c r="EW70" s="88"/>
      <c r="EX70" s="88"/>
      <c r="EY70" s="88"/>
      <c r="EZ70" s="88"/>
      <c r="FA70" s="88"/>
      <c r="FB70" s="88"/>
      <c r="FC70" s="88"/>
      <c r="FD70" s="88"/>
      <c r="FE70" s="88"/>
      <c r="FF70" s="88"/>
      <c r="FG70" s="88"/>
      <c r="FH70" s="88"/>
      <c r="FI70" s="88"/>
      <c r="FJ70" s="88"/>
      <c r="FK70" s="88"/>
      <c r="FL70" s="88"/>
      <c r="FM70" s="88"/>
      <c r="FN70" s="88"/>
      <c r="FO70" s="88"/>
      <c r="FP70" s="88"/>
      <c r="FQ70" s="88"/>
      <c r="FR70" s="88"/>
      <c r="FS70" s="88"/>
      <c r="FT70" s="88"/>
      <c r="FU70" s="88"/>
      <c r="FV70" s="88"/>
      <c r="FW70" s="88"/>
      <c r="FX70" s="88"/>
      <c r="FY70" s="88"/>
      <c r="FZ70" s="88"/>
      <c r="GA70" s="88"/>
      <c r="GB70" s="88"/>
      <c r="GC70" s="88"/>
      <c r="GD70" s="88"/>
      <c r="GE70" s="88"/>
      <c r="GF70" s="88"/>
      <c r="GG70" s="88"/>
      <c r="GH70" s="88"/>
      <c r="GI70" s="88"/>
      <c r="GJ70" s="88"/>
      <c r="GK70" s="88"/>
      <c r="GL70" s="88"/>
      <c r="GM70" s="88"/>
      <c r="GN70" s="88"/>
      <c r="GO70" s="88"/>
      <c r="GP70" s="88"/>
      <c r="GQ70" s="88"/>
      <c r="GR70" s="88"/>
      <c r="GS70" s="88"/>
      <c r="GT70" s="88"/>
      <c r="GU70" s="88"/>
      <c r="GV70" s="88"/>
      <c r="GW70" s="88"/>
      <c r="GX70" s="88"/>
      <c r="GY70" s="88"/>
      <c r="GZ70" s="88"/>
      <c r="HA70" s="88"/>
      <c r="HB70" s="88"/>
      <c r="HC70" s="88"/>
      <c r="HD70" s="88"/>
      <c r="HE70" s="88"/>
    </row>
    <row r="71" spans="1:213">
      <c r="A71" s="1" t="s">
        <v>280</v>
      </c>
      <c r="B71" s="444"/>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88"/>
      <c r="AN71" s="88"/>
      <c r="AO71" s="88"/>
      <c r="AP71" s="88"/>
      <c r="AQ71" s="88"/>
      <c r="AR71" s="88"/>
      <c r="AS71" s="88"/>
      <c r="AT71" s="88"/>
      <c r="AU71" s="88"/>
      <c r="AV71" s="88"/>
      <c r="AW71" s="88"/>
      <c r="AX71" s="88"/>
      <c r="AY71" s="88"/>
      <c r="AZ71" s="88"/>
      <c r="BA71" s="88"/>
      <c r="BB71" s="88"/>
      <c r="BC71" s="88"/>
      <c r="BD71" s="88"/>
      <c r="BE71" s="88"/>
      <c r="BF71" s="88"/>
      <c r="BG71" s="88"/>
      <c r="BH71" s="88"/>
      <c r="BI71" s="88"/>
      <c r="BJ71" s="88"/>
      <c r="BK71" s="88"/>
      <c r="BL71" s="88"/>
      <c r="BM71" s="88"/>
      <c r="BN71" s="88"/>
      <c r="BO71" s="88"/>
      <c r="BP71" s="88"/>
      <c r="BQ71" s="88"/>
      <c r="BR71" s="88"/>
      <c r="BS71" s="88"/>
      <c r="BT71" s="88"/>
      <c r="BU71" s="88"/>
      <c r="BV71" s="88"/>
      <c r="BW71" s="88"/>
      <c r="BX71" s="88"/>
      <c r="BY71" s="88"/>
      <c r="BZ71" s="88"/>
      <c r="CA71" s="88"/>
      <c r="CB71" s="88"/>
      <c r="CC71" s="88"/>
      <c r="CD71" s="88"/>
      <c r="CE71" s="88"/>
      <c r="CF71" s="88"/>
      <c r="CG71" s="88"/>
      <c r="CH71" s="88"/>
      <c r="CI71" s="88"/>
      <c r="CJ71" s="88"/>
      <c r="CK71" s="88"/>
      <c r="CL71" s="88"/>
      <c r="CM71" s="88"/>
      <c r="CN71" s="88"/>
      <c r="CO71" s="88"/>
      <c r="CP71" s="88"/>
      <c r="CQ71" s="88"/>
      <c r="CR71" s="88"/>
      <c r="CS71" s="88"/>
      <c r="CT71" s="88"/>
      <c r="CU71" s="88"/>
      <c r="CV71" s="88"/>
      <c r="CW71" s="88"/>
      <c r="CX71" s="88"/>
      <c r="CY71" s="88"/>
      <c r="CZ71" s="88"/>
      <c r="DA71" s="88"/>
      <c r="DB71" s="88"/>
      <c r="DC71" s="88"/>
      <c r="DD71" s="88"/>
      <c r="DE71" s="88"/>
      <c r="DF71" s="88"/>
      <c r="DG71" s="88"/>
      <c r="DH71" s="88"/>
      <c r="DI71" s="88"/>
      <c r="DJ71" s="88"/>
      <c r="DK71" s="88"/>
      <c r="DL71" s="88"/>
      <c r="DM71" s="88"/>
      <c r="DN71" s="88"/>
      <c r="DO71" s="88"/>
      <c r="DP71" s="88"/>
      <c r="DQ71" s="88"/>
      <c r="DR71" s="88"/>
      <c r="DS71" s="88"/>
      <c r="DT71" s="88"/>
      <c r="DU71" s="88"/>
      <c r="DV71" s="88"/>
      <c r="DW71" s="88"/>
      <c r="DX71" s="88"/>
      <c r="DY71" s="88"/>
      <c r="DZ71" s="88"/>
      <c r="EA71" s="88"/>
      <c r="EB71" s="88"/>
      <c r="EC71" s="88"/>
      <c r="ED71" s="88"/>
      <c r="EE71" s="88"/>
      <c r="EF71" s="88"/>
      <c r="EG71" s="88"/>
      <c r="EH71" s="88"/>
      <c r="EI71" s="88"/>
      <c r="EJ71" s="88"/>
      <c r="EK71" s="88"/>
      <c r="EL71" s="88"/>
      <c r="EM71" s="88"/>
      <c r="EN71" s="88"/>
      <c r="EO71" s="88"/>
      <c r="EP71" s="88"/>
      <c r="EQ71" s="88"/>
      <c r="ER71" s="88"/>
      <c r="ES71" s="88"/>
      <c r="ET71" s="88"/>
      <c r="EU71" s="88"/>
      <c r="EV71" s="88"/>
      <c r="EW71" s="88"/>
      <c r="EX71" s="88"/>
      <c r="EY71" s="88"/>
      <c r="EZ71" s="88"/>
      <c r="FA71" s="88"/>
      <c r="FB71" s="88"/>
      <c r="FC71" s="88"/>
      <c r="FD71" s="88"/>
      <c r="FE71" s="88"/>
      <c r="FF71" s="88"/>
      <c r="FG71" s="88"/>
      <c r="FH71" s="88"/>
      <c r="FI71" s="88"/>
      <c r="FJ71" s="88"/>
      <c r="FK71" s="88"/>
      <c r="FL71" s="88"/>
      <c r="FM71" s="88"/>
      <c r="FN71" s="88"/>
      <c r="FO71" s="88"/>
      <c r="FP71" s="88"/>
      <c r="FQ71" s="88"/>
      <c r="FR71" s="88"/>
      <c r="FS71" s="88"/>
      <c r="FT71" s="88"/>
      <c r="FU71" s="88"/>
      <c r="FV71" s="88"/>
      <c r="FW71" s="88"/>
      <c r="FX71" s="88"/>
      <c r="FY71" s="88"/>
      <c r="FZ71" s="88"/>
      <c r="GA71" s="88"/>
      <c r="GB71" s="88"/>
      <c r="GC71" s="88"/>
      <c r="GD71" s="88"/>
      <c r="GE71" s="88"/>
      <c r="GF71" s="88"/>
      <c r="GG71" s="88"/>
      <c r="GH71" s="88"/>
      <c r="GI71" s="88"/>
      <c r="GJ71" s="88"/>
      <c r="GK71" s="88"/>
      <c r="GL71" s="88"/>
      <c r="GM71" s="88"/>
      <c r="GN71" s="88"/>
      <c r="GO71" s="88"/>
      <c r="GP71" s="88"/>
      <c r="GQ71" s="88"/>
      <c r="GR71" s="88"/>
      <c r="GS71" s="88"/>
      <c r="GT71" s="88"/>
      <c r="GU71" s="88"/>
      <c r="GV71" s="88"/>
      <c r="GW71" s="88"/>
      <c r="GX71" s="88"/>
      <c r="GY71" s="88"/>
      <c r="GZ71" s="88"/>
      <c r="HA71" s="88"/>
      <c r="HB71" s="88"/>
      <c r="HC71" s="88"/>
      <c r="HD71" s="88"/>
      <c r="HE71" s="88"/>
    </row>
    <row r="72" spans="1:213">
      <c r="A72" s="1" t="s">
        <v>281</v>
      </c>
      <c r="B72" s="444"/>
      <c r="C72" s="88"/>
      <c r="D72" s="88"/>
      <c r="E72" s="88"/>
      <c r="F72" s="88"/>
      <c r="G72" s="88"/>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88"/>
      <c r="AZ72" s="88"/>
      <c r="BA72" s="88"/>
      <c r="BB72" s="88"/>
      <c r="BC72" s="88"/>
      <c r="BD72" s="88"/>
      <c r="BE72" s="88"/>
      <c r="BF72" s="88"/>
      <c r="BG72" s="88"/>
      <c r="BH72" s="88"/>
      <c r="BI72" s="88"/>
      <c r="BJ72" s="88"/>
      <c r="BK72" s="88"/>
      <c r="BL72" s="88"/>
      <c r="BM72" s="88"/>
      <c r="BN72" s="88"/>
      <c r="BO72" s="88"/>
      <c r="BP72" s="88"/>
      <c r="BQ72" s="88"/>
      <c r="BR72" s="88"/>
      <c r="BS72" s="88"/>
      <c r="BT72" s="88"/>
      <c r="BU72" s="88"/>
      <c r="BV72" s="88"/>
      <c r="BW72" s="88"/>
      <c r="BX72" s="88"/>
      <c r="BY72" s="88"/>
      <c r="BZ72" s="88"/>
      <c r="CA72" s="88"/>
      <c r="CB72" s="88"/>
      <c r="CC72" s="88"/>
      <c r="CD72" s="88"/>
      <c r="CE72" s="88"/>
      <c r="CF72" s="88"/>
      <c r="CG72" s="88"/>
      <c r="CH72" s="88"/>
      <c r="CI72" s="88"/>
      <c r="CJ72" s="88"/>
      <c r="CK72" s="88"/>
      <c r="CL72" s="88"/>
      <c r="CM72" s="88"/>
      <c r="CN72" s="88"/>
      <c r="CO72" s="88"/>
      <c r="CP72" s="88"/>
      <c r="CQ72" s="88"/>
      <c r="CR72" s="88"/>
      <c r="CS72" s="88"/>
      <c r="CT72" s="88"/>
      <c r="CU72" s="88"/>
      <c r="CV72" s="88"/>
      <c r="CW72" s="88"/>
      <c r="CX72" s="88"/>
      <c r="CY72" s="88"/>
      <c r="CZ72" s="88"/>
      <c r="DA72" s="88"/>
      <c r="DB72" s="88"/>
      <c r="DC72" s="88"/>
      <c r="DD72" s="88"/>
      <c r="DE72" s="88"/>
      <c r="DF72" s="88"/>
      <c r="DG72" s="88"/>
      <c r="DH72" s="88"/>
      <c r="DI72" s="88"/>
      <c r="DJ72" s="88"/>
      <c r="DK72" s="88"/>
      <c r="DL72" s="88"/>
      <c r="DM72" s="88"/>
      <c r="DN72" s="88"/>
      <c r="DO72" s="88"/>
      <c r="DP72" s="88"/>
      <c r="DQ72" s="88"/>
      <c r="DR72" s="88"/>
      <c r="DS72" s="88"/>
      <c r="DT72" s="88"/>
      <c r="DU72" s="88"/>
      <c r="DV72" s="88"/>
      <c r="DW72" s="88"/>
      <c r="DX72" s="88"/>
      <c r="DY72" s="88"/>
      <c r="DZ72" s="88"/>
      <c r="EA72" s="88"/>
      <c r="EB72" s="88"/>
      <c r="EC72" s="88"/>
      <c r="ED72" s="88"/>
      <c r="EE72" s="88"/>
      <c r="EF72" s="88"/>
      <c r="EG72" s="88"/>
      <c r="EH72" s="88"/>
      <c r="EI72" s="88"/>
      <c r="EJ72" s="88"/>
      <c r="EK72" s="88"/>
      <c r="EL72" s="88"/>
      <c r="EM72" s="88"/>
      <c r="EN72" s="88"/>
      <c r="EO72" s="88"/>
      <c r="EP72" s="88"/>
      <c r="EQ72" s="88"/>
      <c r="ER72" s="88"/>
      <c r="ES72" s="88"/>
      <c r="ET72" s="88"/>
      <c r="EU72" s="88"/>
      <c r="EV72" s="88"/>
      <c r="EW72" s="88"/>
      <c r="EX72" s="88"/>
      <c r="EY72" s="88"/>
      <c r="EZ72" s="88"/>
      <c r="FA72" s="88"/>
      <c r="FB72" s="88"/>
      <c r="FC72" s="88"/>
      <c r="FD72" s="88"/>
      <c r="FE72" s="88"/>
      <c r="FF72" s="88"/>
      <c r="FG72" s="88"/>
      <c r="FH72" s="88"/>
      <c r="FI72" s="88"/>
      <c r="FJ72" s="88"/>
      <c r="FK72" s="88"/>
      <c r="FL72" s="88"/>
      <c r="FM72" s="88"/>
      <c r="FN72" s="88"/>
      <c r="FO72" s="88"/>
      <c r="FP72" s="88"/>
      <c r="FQ72" s="88"/>
      <c r="FR72" s="88"/>
      <c r="FS72" s="88"/>
      <c r="FT72" s="88"/>
      <c r="FU72" s="88"/>
      <c r="FV72" s="88"/>
      <c r="FW72" s="88"/>
      <c r="FX72" s="88"/>
      <c r="FY72" s="88"/>
      <c r="FZ72" s="88"/>
      <c r="GA72" s="88"/>
      <c r="GB72" s="88"/>
      <c r="GC72" s="88"/>
      <c r="GD72" s="88"/>
      <c r="GE72" s="88"/>
      <c r="GF72" s="88"/>
      <c r="GG72" s="88"/>
      <c r="GH72" s="88"/>
      <c r="GI72" s="88"/>
      <c r="GJ72" s="88"/>
      <c r="GK72" s="88"/>
      <c r="GL72" s="88"/>
      <c r="GM72" s="88"/>
      <c r="GN72" s="88"/>
      <c r="GO72" s="88"/>
      <c r="GP72" s="88"/>
      <c r="GQ72" s="88"/>
      <c r="GR72" s="88"/>
      <c r="GS72" s="88"/>
      <c r="GT72" s="88"/>
      <c r="GU72" s="88"/>
      <c r="GV72" s="88"/>
      <c r="GW72" s="88"/>
      <c r="GX72" s="88"/>
      <c r="GY72" s="88"/>
      <c r="GZ72" s="88"/>
      <c r="HA72" s="88"/>
      <c r="HB72" s="88"/>
      <c r="HC72" s="88"/>
      <c r="HD72" s="88"/>
      <c r="HE72" s="88"/>
    </row>
    <row r="73" spans="1:213">
      <c r="A73" s="1" t="s">
        <v>282</v>
      </c>
      <c r="B73" s="444"/>
      <c r="C73" s="319"/>
      <c r="D73" s="88"/>
      <c r="E73" s="88"/>
      <c r="F73" s="88"/>
      <c r="G73" s="88"/>
      <c r="H73" s="88"/>
      <c r="I73" s="88"/>
      <c r="J73" s="88"/>
      <c r="K73" s="88"/>
      <c r="L73" s="88"/>
      <c r="M73" s="88"/>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88"/>
      <c r="AT73" s="88"/>
      <c r="AU73" s="88"/>
      <c r="AV73" s="88"/>
      <c r="AW73" s="88"/>
      <c r="AX73" s="88"/>
      <c r="AY73" s="88"/>
      <c r="AZ73" s="88"/>
      <c r="BA73" s="88"/>
      <c r="BB73" s="88"/>
      <c r="BC73" s="88"/>
      <c r="BD73" s="88"/>
      <c r="BE73" s="88"/>
      <c r="BF73" s="88"/>
      <c r="BG73" s="88"/>
      <c r="BH73" s="88"/>
      <c r="BI73" s="88"/>
      <c r="BJ73" s="88"/>
      <c r="BK73" s="88"/>
      <c r="BL73" s="88"/>
      <c r="BM73" s="88"/>
      <c r="BN73" s="88"/>
      <c r="BO73" s="88"/>
      <c r="BP73" s="88"/>
      <c r="BQ73" s="88"/>
      <c r="BR73" s="88"/>
      <c r="BS73" s="88"/>
      <c r="BT73" s="88"/>
      <c r="BU73" s="88"/>
      <c r="BV73" s="88"/>
      <c r="BW73" s="88"/>
      <c r="BX73" s="88"/>
      <c r="BY73" s="88"/>
      <c r="BZ73" s="88"/>
      <c r="CA73" s="88"/>
      <c r="CB73" s="88"/>
      <c r="CC73" s="88"/>
      <c r="CD73" s="88"/>
      <c r="CE73" s="88"/>
      <c r="CF73" s="88"/>
      <c r="CG73" s="88"/>
      <c r="CH73" s="88"/>
      <c r="CI73" s="88"/>
      <c r="CJ73" s="88"/>
      <c r="CK73" s="88"/>
      <c r="CL73" s="88"/>
      <c r="CM73" s="88"/>
      <c r="CN73" s="88"/>
      <c r="CO73" s="88"/>
      <c r="CP73" s="88"/>
      <c r="CQ73" s="88"/>
      <c r="CR73" s="88"/>
      <c r="CS73" s="88"/>
      <c r="CT73" s="88"/>
      <c r="CU73" s="88"/>
      <c r="CV73" s="88"/>
      <c r="CW73" s="88"/>
      <c r="CX73" s="88"/>
      <c r="CY73" s="88"/>
      <c r="CZ73" s="88"/>
      <c r="DA73" s="88"/>
      <c r="DB73" s="88"/>
      <c r="DC73" s="88"/>
      <c r="DD73" s="88"/>
      <c r="DE73" s="88"/>
      <c r="DF73" s="88"/>
      <c r="DG73" s="88"/>
      <c r="DH73" s="88"/>
      <c r="DI73" s="88"/>
      <c r="DJ73" s="88"/>
      <c r="DK73" s="88"/>
      <c r="DL73" s="88"/>
      <c r="DM73" s="88"/>
      <c r="DN73" s="88"/>
      <c r="DO73" s="88"/>
      <c r="DP73" s="88"/>
      <c r="DQ73" s="88"/>
      <c r="DR73" s="88"/>
      <c r="DS73" s="88"/>
      <c r="DT73" s="88"/>
      <c r="DU73" s="88"/>
      <c r="DV73" s="88"/>
      <c r="DW73" s="88"/>
      <c r="DX73" s="88"/>
      <c r="DY73" s="88"/>
      <c r="DZ73" s="88"/>
      <c r="EA73" s="88"/>
      <c r="EB73" s="88"/>
      <c r="EC73" s="88"/>
      <c r="ED73" s="88"/>
      <c r="EE73" s="88"/>
      <c r="EF73" s="88"/>
      <c r="EG73" s="88"/>
      <c r="EH73" s="88"/>
      <c r="EI73" s="88"/>
      <c r="EJ73" s="88"/>
      <c r="EK73" s="88"/>
      <c r="EL73" s="88"/>
      <c r="EM73" s="88"/>
      <c r="EN73" s="88"/>
      <c r="EO73" s="88"/>
      <c r="EP73" s="88"/>
      <c r="EQ73" s="88"/>
      <c r="ER73" s="88"/>
      <c r="ES73" s="88"/>
      <c r="ET73" s="88"/>
      <c r="EU73" s="88"/>
      <c r="EV73" s="88"/>
      <c r="EW73" s="88"/>
      <c r="EX73" s="88"/>
      <c r="EY73" s="88"/>
      <c r="EZ73" s="88"/>
      <c r="FA73" s="88"/>
      <c r="FB73" s="88"/>
      <c r="FC73" s="88"/>
      <c r="FD73" s="88"/>
      <c r="FE73" s="88"/>
      <c r="FF73" s="88"/>
      <c r="FG73" s="88"/>
      <c r="FH73" s="88"/>
      <c r="FI73" s="88"/>
      <c r="FJ73" s="88"/>
      <c r="FK73" s="88"/>
      <c r="FL73" s="88"/>
      <c r="FM73" s="88"/>
      <c r="FN73" s="88"/>
      <c r="FO73" s="88"/>
      <c r="FP73" s="88"/>
      <c r="FQ73" s="88"/>
      <c r="FR73" s="88"/>
      <c r="FS73" s="88"/>
      <c r="FT73" s="88"/>
      <c r="FU73" s="88"/>
      <c r="FV73" s="88"/>
      <c r="FW73" s="88"/>
      <c r="FX73" s="88"/>
      <c r="FY73" s="88"/>
      <c r="FZ73" s="88"/>
      <c r="GA73" s="88"/>
      <c r="GB73" s="88"/>
      <c r="GC73" s="88"/>
      <c r="GD73" s="88"/>
      <c r="GE73" s="88"/>
      <c r="GF73" s="88"/>
      <c r="GG73" s="88"/>
      <c r="GH73" s="88"/>
      <c r="GI73" s="88"/>
      <c r="GJ73" s="88"/>
      <c r="GK73" s="88"/>
      <c r="GL73" s="88"/>
      <c r="GM73" s="88"/>
      <c r="GN73" s="88"/>
      <c r="GO73" s="88"/>
      <c r="GP73" s="88"/>
      <c r="GQ73" s="88"/>
      <c r="GR73" s="88"/>
      <c r="GS73" s="88"/>
      <c r="GT73" s="88"/>
      <c r="GU73" s="88"/>
      <c r="GV73" s="88"/>
      <c r="GW73" s="88"/>
      <c r="GX73" s="88"/>
      <c r="GY73" s="88"/>
      <c r="GZ73" s="88"/>
      <c r="HA73" s="88"/>
      <c r="HB73" s="88"/>
      <c r="HC73" s="88"/>
      <c r="HD73" s="88"/>
      <c r="HE73" s="88"/>
    </row>
    <row r="74" spans="1:213">
      <c r="A74" s="60" t="s">
        <v>283</v>
      </c>
      <c r="B74" s="444"/>
      <c r="C74"/>
      <c r="D74" s="88"/>
      <c r="E74" s="88"/>
      <c r="F74" s="88"/>
      <c r="G74" s="88"/>
      <c r="H74" s="88"/>
      <c r="I74" s="88"/>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c r="AJ74" s="88"/>
      <c r="AK74" s="88"/>
      <c r="AL74" s="88"/>
      <c r="AM74" s="88"/>
      <c r="AN74" s="88"/>
      <c r="AO74" s="88"/>
      <c r="AP74" s="88"/>
      <c r="AQ74" s="88"/>
      <c r="AR74" s="88"/>
      <c r="AS74" s="88"/>
      <c r="AT74" s="88"/>
      <c r="AU74" s="88"/>
      <c r="AV74" s="88"/>
      <c r="AW74" s="88"/>
      <c r="AX74" s="88"/>
      <c r="AY74" s="88"/>
      <c r="AZ74" s="88"/>
      <c r="BA74" s="88"/>
      <c r="BB74" s="88"/>
      <c r="BC74" s="88"/>
      <c r="BD74" s="88"/>
      <c r="BE74" s="88"/>
      <c r="BF74" s="88"/>
      <c r="BG74" s="88"/>
      <c r="BH74" s="88"/>
      <c r="BI74" s="88"/>
      <c r="BJ74" s="88"/>
      <c r="BK74" s="88"/>
      <c r="BL74" s="88"/>
      <c r="BM74" s="88"/>
      <c r="BN74" s="88"/>
      <c r="BO74" s="88"/>
      <c r="BP74" s="88"/>
      <c r="BQ74" s="88"/>
      <c r="BR74" s="88"/>
      <c r="BS74" s="88"/>
      <c r="BT74" s="88"/>
      <c r="BU74" s="88"/>
      <c r="BV74" s="88"/>
      <c r="BW74" s="88"/>
      <c r="BX74" s="88"/>
      <c r="BY74" s="88"/>
      <c r="BZ74" s="88"/>
      <c r="CA74" s="88"/>
      <c r="CB74" s="88"/>
      <c r="CC74" s="88"/>
      <c r="CD74" s="88"/>
      <c r="CE74" s="88"/>
      <c r="CF74" s="88"/>
      <c r="CG74" s="88"/>
      <c r="CH74" s="88"/>
      <c r="CI74" s="88"/>
      <c r="CJ74" s="88"/>
      <c r="CK74" s="88"/>
      <c r="CL74" s="88"/>
      <c r="CM74" s="88"/>
      <c r="CN74" s="88"/>
      <c r="CO74" s="88"/>
      <c r="CP74" s="88"/>
      <c r="CQ74" s="88"/>
      <c r="CR74" s="88"/>
      <c r="CS74" s="88"/>
      <c r="CT74" s="88"/>
      <c r="CU74" s="88"/>
      <c r="CV74" s="88"/>
      <c r="CW74" s="88"/>
      <c r="CX74" s="88"/>
      <c r="CY74" s="88"/>
      <c r="CZ74" s="88"/>
      <c r="DA74" s="88"/>
      <c r="DB74" s="88"/>
      <c r="DC74" s="88"/>
      <c r="DD74" s="88"/>
      <c r="DE74" s="88"/>
      <c r="DF74" s="88"/>
      <c r="DG74" s="88"/>
      <c r="DH74" s="88"/>
      <c r="DI74" s="88"/>
      <c r="DJ74" s="88"/>
      <c r="DK74" s="88"/>
      <c r="DL74" s="88"/>
      <c r="DM74" s="88"/>
      <c r="DN74" s="88"/>
      <c r="DO74" s="88"/>
      <c r="DP74" s="88"/>
      <c r="DQ74" s="88"/>
      <c r="DR74" s="88"/>
      <c r="DS74" s="88"/>
      <c r="DT74" s="88"/>
      <c r="DU74" s="88"/>
      <c r="DV74" s="88"/>
      <c r="DW74" s="88"/>
      <c r="DX74" s="88"/>
      <c r="DY74" s="88"/>
      <c r="DZ74" s="88"/>
      <c r="EA74" s="88"/>
      <c r="EB74" s="88"/>
      <c r="EC74" s="88"/>
      <c r="ED74" s="88"/>
      <c r="EE74" s="88"/>
      <c r="EF74" s="88"/>
      <c r="EG74" s="88"/>
      <c r="EH74" s="88"/>
      <c r="EI74" s="88"/>
      <c r="EJ74" s="88"/>
      <c r="EK74" s="88"/>
      <c r="EL74" s="88"/>
      <c r="EM74" s="88"/>
      <c r="EN74" s="88"/>
      <c r="EO74" s="88"/>
      <c r="EP74" s="88"/>
      <c r="EQ74" s="88"/>
      <c r="ER74" s="88"/>
      <c r="ES74" s="88"/>
      <c r="ET74" s="88"/>
      <c r="EU74" s="88"/>
      <c r="EV74" s="88"/>
      <c r="EW74" s="88"/>
      <c r="EX74" s="88"/>
      <c r="EY74" s="88"/>
      <c r="EZ74" s="88"/>
      <c r="FA74" s="88"/>
      <c r="FB74" s="88"/>
      <c r="FC74" s="88"/>
      <c r="FD74" s="88"/>
      <c r="FE74" s="88"/>
      <c r="FF74" s="88"/>
      <c r="FG74" s="88"/>
      <c r="FH74" s="88"/>
      <c r="FI74" s="88"/>
      <c r="FJ74" s="88"/>
      <c r="FK74" s="88"/>
      <c r="FL74" s="88"/>
      <c r="FM74" s="88"/>
      <c r="FN74" s="88"/>
      <c r="FO74" s="88"/>
      <c r="FP74" s="88"/>
      <c r="FQ74" s="88"/>
      <c r="FR74" s="88"/>
      <c r="FS74" s="88"/>
      <c r="FT74" s="88"/>
      <c r="FU74" s="88"/>
      <c r="FV74" s="88"/>
      <c r="FW74" s="88"/>
      <c r="FX74" s="88"/>
      <c r="FY74" s="88"/>
      <c r="FZ74" s="88"/>
      <c r="GA74" s="88"/>
      <c r="GB74" s="88"/>
      <c r="GC74" s="88"/>
      <c r="GD74" s="88"/>
      <c r="GE74" s="88"/>
      <c r="GF74" s="88"/>
      <c r="GG74" s="88"/>
      <c r="GH74" s="88"/>
      <c r="GI74" s="88"/>
      <c r="GJ74" s="88"/>
      <c r="GK74" s="88"/>
      <c r="GL74" s="88"/>
      <c r="GM74" s="88"/>
      <c r="GN74" s="88"/>
      <c r="GO74" s="88"/>
      <c r="GP74" s="88"/>
      <c r="GQ74" s="88"/>
      <c r="GR74" s="88"/>
      <c r="GS74" s="88"/>
      <c r="GT74" s="88"/>
      <c r="GU74" s="88"/>
      <c r="GV74" s="88"/>
      <c r="GW74" s="88"/>
      <c r="GX74" s="88"/>
      <c r="GY74" s="88"/>
      <c r="GZ74" s="88"/>
      <c r="HA74" s="88"/>
      <c r="HB74" s="88"/>
      <c r="HC74" s="88"/>
      <c r="HD74" s="88"/>
      <c r="HE74" s="88"/>
    </row>
    <row r="75" spans="1:213">
      <c r="A75" s="17" t="s">
        <v>284</v>
      </c>
      <c r="B75" s="284"/>
      <c r="C75" s="255"/>
      <c r="D75" s="88"/>
      <c r="E75" s="88"/>
      <c r="F75" s="88"/>
      <c r="G75" s="88"/>
      <c r="H75" s="88"/>
      <c r="I75" s="88"/>
      <c r="J75" s="88"/>
      <c r="K75" s="88"/>
      <c r="L75" s="88"/>
      <c r="M75" s="88"/>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8"/>
      <c r="BF75" s="88"/>
      <c r="BG75" s="88"/>
      <c r="BH75" s="88"/>
      <c r="BI75" s="88"/>
      <c r="BJ75" s="88"/>
      <c r="BK75" s="88"/>
      <c r="BL75" s="88"/>
      <c r="BM75" s="88"/>
      <c r="BN75" s="88"/>
      <c r="BO75" s="88"/>
      <c r="BP75" s="88"/>
      <c r="BQ75" s="88"/>
      <c r="BR75" s="88"/>
      <c r="BS75" s="88"/>
      <c r="BT75" s="88"/>
      <c r="BU75" s="88"/>
      <c r="BV75" s="88"/>
      <c r="BW75" s="88"/>
      <c r="BX75" s="88"/>
      <c r="BY75" s="88"/>
      <c r="BZ75" s="88"/>
      <c r="CA75" s="88"/>
      <c r="CB75" s="88"/>
      <c r="CC75" s="88"/>
      <c r="CD75" s="88"/>
      <c r="CE75" s="88"/>
      <c r="CF75" s="88"/>
      <c r="CG75" s="88"/>
      <c r="CH75" s="88"/>
      <c r="CI75" s="88"/>
      <c r="CJ75" s="88"/>
      <c r="CK75" s="88"/>
      <c r="CL75" s="88"/>
      <c r="CM75" s="88"/>
      <c r="CN75" s="88"/>
      <c r="CO75" s="88"/>
      <c r="CP75" s="88"/>
      <c r="CQ75" s="88"/>
      <c r="CR75" s="88"/>
      <c r="CS75" s="88"/>
      <c r="CT75" s="88"/>
      <c r="CU75" s="88"/>
      <c r="CV75" s="88"/>
      <c r="CW75" s="88"/>
      <c r="CX75" s="88"/>
      <c r="CY75" s="88"/>
      <c r="CZ75" s="88"/>
      <c r="DA75" s="88"/>
      <c r="DB75" s="88"/>
      <c r="DC75" s="88"/>
      <c r="DD75" s="88"/>
      <c r="DE75" s="88"/>
      <c r="DF75" s="88"/>
      <c r="DG75" s="88"/>
      <c r="DH75" s="88"/>
      <c r="DI75" s="88"/>
      <c r="DJ75" s="88"/>
      <c r="DK75" s="88"/>
      <c r="DL75" s="88"/>
      <c r="DM75" s="88"/>
      <c r="DN75" s="88"/>
      <c r="DO75" s="88"/>
      <c r="DP75" s="88"/>
      <c r="DQ75" s="88"/>
      <c r="DR75" s="88"/>
      <c r="DS75" s="88"/>
      <c r="DT75" s="88"/>
      <c r="DU75" s="88"/>
      <c r="DV75" s="88"/>
      <c r="DW75" s="88"/>
      <c r="DX75" s="88"/>
      <c r="DY75" s="88"/>
      <c r="DZ75" s="88"/>
      <c r="EA75" s="88"/>
      <c r="EB75" s="88"/>
      <c r="EC75" s="88"/>
      <c r="ED75" s="88"/>
      <c r="EE75" s="88"/>
      <c r="EF75" s="88"/>
      <c r="EG75" s="88"/>
      <c r="EH75" s="88"/>
      <c r="EI75" s="88"/>
      <c r="EJ75" s="88"/>
      <c r="EK75" s="88"/>
      <c r="EL75" s="88"/>
      <c r="EM75" s="88"/>
      <c r="EN75" s="88"/>
      <c r="EO75" s="88"/>
      <c r="EP75" s="88"/>
      <c r="EQ75" s="88"/>
      <c r="ER75" s="88"/>
      <c r="ES75" s="88"/>
      <c r="ET75" s="88"/>
      <c r="EU75" s="88"/>
      <c r="EV75" s="88"/>
      <c r="EW75" s="88"/>
      <c r="EX75" s="88"/>
      <c r="EY75" s="88"/>
      <c r="EZ75" s="88"/>
      <c r="FA75" s="88"/>
      <c r="FB75" s="88"/>
      <c r="FC75" s="88"/>
      <c r="FD75" s="88"/>
      <c r="FE75" s="88"/>
      <c r="FF75" s="88"/>
      <c r="FG75" s="88"/>
      <c r="FH75" s="88"/>
      <c r="FI75" s="88"/>
      <c r="FJ75" s="88"/>
      <c r="FK75" s="88"/>
      <c r="FL75" s="88"/>
      <c r="FM75" s="88"/>
      <c r="FN75" s="88"/>
      <c r="FO75" s="88"/>
      <c r="FP75" s="88"/>
      <c r="FQ75" s="88"/>
      <c r="FR75" s="88"/>
      <c r="FS75" s="88"/>
      <c r="FT75" s="88"/>
      <c r="FU75" s="88"/>
      <c r="FV75" s="88"/>
      <c r="FW75" s="88"/>
      <c r="FX75" s="88"/>
      <c r="FY75" s="88"/>
      <c r="FZ75" s="88"/>
      <c r="GA75" s="88"/>
      <c r="GB75" s="88"/>
      <c r="GC75" s="88"/>
      <c r="GD75" s="88"/>
      <c r="GE75" s="88"/>
      <c r="GF75" s="88"/>
      <c r="GG75" s="88"/>
      <c r="GH75" s="88"/>
      <c r="GI75" s="88"/>
      <c r="GJ75" s="88"/>
      <c r="GK75" s="88"/>
      <c r="GL75" s="88"/>
      <c r="GM75" s="88"/>
      <c r="GN75" s="88"/>
      <c r="GO75" s="88"/>
      <c r="GP75" s="88"/>
      <c r="GQ75" s="88"/>
      <c r="GR75" s="88"/>
      <c r="GS75" s="88"/>
      <c r="GT75" s="88"/>
      <c r="GU75" s="88"/>
      <c r="GV75" s="88"/>
      <c r="GW75" s="88"/>
      <c r="GX75" s="88"/>
      <c r="GY75" s="88"/>
      <c r="GZ75" s="88"/>
      <c r="HA75" s="88"/>
      <c r="HB75" s="88"/>
      <c r="HC75" s="88"/>
      <c r="HD75" s="88"/>
      <c r="HE75" s="88"/>
    </row>
    <row r="76" spans="1:213">
      <c r="A76" s="17" t="s">
        <v>285</v>
      </c>
      <c r="B76" s="449">
        <v>0</v>
      </c>
      <c r="C76" s="6" t="s">
        <v>286</v>
      </c>
      <c r="D76" s="88"/>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88"/>
      <c r="AQ76" s="88"/>
      <c r="AR76" s="88"/>
      <c r="AS76" s="88"/>
      <c r="AT76" s="88"/>
      <c r="AU76" s="88"/>
      <c r="AV76" s="88"/>
      <c r="AW76" s="88"/>
      <c r="AX76" s="88"/>
      <c r="AY76" s="88"/>
      <c r="AZ76" s="88"/>
      <c r="BA76" s="88"/>
      <c r="BB76" s="88"/>
      <c r="BC76" s="88"/>
      <c r="BD76" s="88"/>
      <c r="BE76" s="88"/>
      <c r="BF76" s="88"/>
      <c r="BG76" s="88"/>
      <c r="BH76" s="88"/>
      <c r="BI76" s="88"/>
      <c r="BJ76" s="88"/>
      <c r="BK76" s="88"/>
      <c r="BL76" s="88"/>
      <c r="BM76" s="88"/>
      <c r="BN76" s="88"/>
      <c r="BO76" s="88"/>
      <c r="BP76" s="88"/>
      <c r="BQ76" s="88"/>
      <c r="BR76" s="88"/>
      <c r="BS76" s="88"/>
      <c r="BT76" s="88"/>
      <c r="BU76" s="88"/>
      <c r="BV76" s="88"/>
      <c r="BW76" s="88"/>
      <c r="BX76" s="88"/>
      <c r="BY76" s="88"/>
      <c r="BZ76" s="88"/>
      <c r="CA76" s="88"/>
      <c r="CB76" s="88"/>
      <c r="CC76" s="88"/>
      <c r="CD76" s="88"/>
      <c r="CE76" s="88"/>
      <c r="CF76" s="88"/>
      <c r="CG76" s="88"/>
      <c r="CH76" s="88"/>
      <c r="CI76" s="88"/>
      <c r="CJ76" s="88"/>
      <c r="CK76" s="88"/>
      <c r="CL76" s="88"/>
      <c r="CM76" s="88"/>
      <c r="CN76" s="88"/>
      <c r="CO76" s="88"/>
      <c r="CP76" s="88"/>
      <c r="CQ76" s="88"/>
      <c r="CR76" s="88"/>
      <c r="CS76" s="88"/>
      <c r="CT76" s="88"/>
      <c r="CU76" s="88"/>
      <c r="CV76" s="88"/>
      <c r="CW76" s="88"/>
      <c r="CX76" s="88"/>
      <c r="CY76" s="88"/>
      <c r="CZ76" s="88"/>
      <c r="DA76" s="88"/>
      <c r="DB76" s="88"/>
      <c r="DC76" s="88"/>
      <c r="DD76" s="88"/>
      <c r="DE76" s="88"/>
      <c r="DF76" s="88"/>
      <c r="DG76" s="88"/>
      <c r="DH76" s="88"/>
      <c r="DI76" s="88"/>
      <c r="DJ76" s="88"/>
      <c r="DK76" s="88"/>
      <c r="DL76" s="88"/>
      <c r="DM76" s="88"/>
      <c r="DN76" s="88"/>
      <c r="DO76" s="88"/>
      <c r="DP76" s="88"/>
      <c r="DQ76" s="88"/>
      <c r="DR76" s="88"/>
      <c r="DS76" s="88"/>
      <c r="DT76" s="88"/>
      <c r="DU76" s="88"/>
      <c r="DV76" s="88"/>
      <c r="DW76" s="88"/>
      <c r="DX76" s="88"/>
      <c r="DY76" s="88"/>
      <c r="DZ76" s="88"/>
      <c r="EA76" s="88"/>
      <c r="EB76" s="88"/>
      <c r="EC76" s="88"/>
      <c r="ED76" s="88"/>
      <c r="EE76" s="88"/>
      <c r="EF76" s="88"/>
      <c r="EG76" s="88"/>
      <c r="EH76" s="88"/>
      <c r="EI76" s="88"/>
      <c r="EJ76" s="88"/>
      <c r="EK76" s="88"/>
      <c r="EL76" s="88"/>
      <c r="EM76" s="88"/>
      <c r="EN76" s="88"/>
      <c r="EO76" s="88"/>
      <c r="EP76" s="88"/>
      <c r="EQ76" s="88"/>
      <c r="ER76" s="88"/>
      <c r="ES76" s="88"/>
      <c r="ET76" s="88"/>
      <c r="EU76" s="88"/>
      <c r="EV76" s="88"/>
      <c r="EW76" s="88"/>
      <c r="EX76" s="88"/>
      <c r="EY76" s="88"/>
      <c r="EZ76" s="88"/>
      <c r="FA76" s="88"/>
      <c r="FB76" s="88"/>
      <c r="FC76" s="88"/>
      <c r="FD76" s="88"/>
      <c r="FE76" s="88"/>
      <c r="FF76" s="88"/>
      <c r="FG76" s="88"/>
      <c r="FH76" s="88"/>
      <c r="FI76" s="88"/>
      <c r="FJ76" s="88"/>
      <c r="FK76" s="88"/>
      <c r="FL76" s="88"/>
      <c r="FM76" s="88"/>
      <c r="FN76" s="88"/>
      <c r="FO76" s="88"/>
      <c r="FP76" s="88"/>
      <c r="FQ76" s="88"/>
      <c r="FR76" s="88"/>
      <c r="FS76" s="88"/>
      <c r="FT76" s="88"/>
      <c r="FU76" s="88"/>
      <c r="FV76" s="88"/>
      <c r="FW76" s="88"/>
      <c r="FX76" s="88"/>
      <c r="FY76" s="88"/>
      <c r="FZ76" s="88"/>
      <c r="GA76" s="88"/>
      <c r="GB76" s="88"/>
      <c r="GC76" s="88"/>
      <c r="GD76" s="88"/>
      <c r="GE76" s="88"/>
      <c r="GF76" s="88"/>
      <c r="GG76" s="88"/>
      <c r="GH76" s="88"/>
      <c r="GI76" s="88"/>
      <c r="GJ76" s="88"/>
      <c r="GK76" s="88"/>
      <c r="GL76" s="88"/>
      <c r="GM76" s="88"/>
      <c r="GN76" s="88"/>
      <c r="GO76" s="88"/>
      <c r="GP76" s="88"/>
      <c r="GQ76" s="88"/>
      <c r="GR76" s="88"/>
      <c r="GS76" s="88"/>
      <c r="GT76" s="88"/>
      <c r="GU76" s="88"/>
      <c r="GV76" s="88"/>
      <c r="GW76" s="88"/>
      <c r="GX76" s="88"/>
      <c r="GY76" s="88"/>
      <c r="GZ76" s="88"/>
      <c r="HA76" s="88"/>
      <c r="HB76" s="88"/>
      <c r="HC76" s="88"/>
      <c r="HD76" s="88"/>
      <c r="HE76" s="88"/>
    </row>
    <row r="77" spans="1:213">
      <c r="A77" s="17" t="s">
        <v>287</v>
      </c>
      <c r="B77" s="449">
        <v>0</v>
      </c>
      <c r="C77" s="6" t="s">
        <v>286</v>
      </c>
      <c r="D77" s="88"/>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88"/>
      <c r="AE77" s="88"/>
      <c r="AF77" s="88"/>
      <c r="AG77" s="88"/>
      <c r="AH77" s="88"/>
      <c r="AI77" s="88"/>
      <c r="AJ77" s="88"/>
      <c r="AK77" s="88"/>
      <c r="AL77" s="88"/>
      <c r="AM77" s="88"/>
      <c r="AN77" s="88"/>
      <c r="AO77" s="88"/>
      <c r="AP77" s="88"/>
      <c r="AQ77" s="88"/>
      <c r="AR77" s="88"/>
      <c r="AS77" s="88"/>
      <c r="AT77" s="88"/>
      <c r="AU77" s="88"/>
      <c r="AV77" s="88"/>
      <c r="AW77" s="88"/>
      <c r="AX77" s="88"/>
      <c r="AY77" s="88"/>
      <c r="AZ77" s="88"/>
      <c r="BA77" s="88"/>
      <c r="BB77" s="88"/>
      <c r="BC77" s="88"/>
      <c r="BD77" s="88"/>
      <c r="BE77" s="88"/>
      <c r="BF77" s="88"/>
      <c r="BG77" s="88"/>
      <c r="BH77" s="88"/>
      <c r="BI77" s="88"/>
      <c r="BJ77" s="88"/>
      <c r="BK77" s="88"/>
      <c r="BL77" s="88"/>
      <c r="BM77" s="88"/>
      <c r="BN77" s="88"/>
      <c r="BO77" s="88"/>
      <c r="BP77" s="88"/>
      <c r="BQ77" s="88"/>
      <c r="BR77" s="88"/>
      <c r="BS77" s="88"/>
      <c r="BT77" s="88"/>
      <c r="BU77" s="88"/>
      <c r="BV77" s="88"/>
      <c r="BW77" s="88"/>
      <c r="BX77" s="88"/>
      <c r="BY77" s="88"/>
      <c r="BZ77" s="88"/>
      <c r="CA77" s="88"/>
      <c r="CB77" s="88"/>
      <c r="CC77" s="88"/>
      <c r="CD77" s="88"/>
      <c r="CE77" s="88"/>
      <c r="CF77" s="88"/>
      <c r="CG77" s="88"/>
      <c r="CH77" s="88"/>
      <c r="CI77" s="88"/>
      <c r="CJ77" s="88"/>
      <c r="CK77" s="88"/>
      <c r="CL77" s="88"/>
      <c r="CM77" s="88"/>
      <c r="CN77" s="88"/>
      <c r="CO77" s="88"/>
      <c r="CP77" s="88"/>
      <c r="CQ77" s="88"/>
      <c r="CR77" s="88"/>
      <c r="CS77" s="88"/>
      <c r="CT77" s="88"/>
      <c r="CU77" s="88"/>
      <c r="CV77" s="88"/>
      <c r="CW77" s="88"/>
      <c r="CX77" s="88"/>
      <c r="CY77" s="88"/>
      <c r="CZ77" s="88"/>
      <c r="DA77" s="88"/>
      <c r="DB77" s="88"/>
      <c r="DC77" s="88"/>
      <c r="DD77" s="88"/>
      <c r="DE77" s="88"/>
      <c r="DF77" s="88"/>
      <c r="DG77" s="88"/>
      <c r="DH77" s="88"/>
      <c r="DI77" s="88"/>
      <c r="DJ77" s="88"/>
      <c r="DK77" s="88"/>
      <c r="DL77" s="88"/>
      <c r="DM77" s="88"/>
      <c r="DN77" s="88"/>
      <c r="DO77" s="88"/>
      <c r="DP77" s="88"/>
      <c r="DQ77" s="88"/>
      <c r="DR77" s="88"/>
      <c r="DS77" s="88"/>
      <c r="DT77" s="88"/>
      <c r="DU77" s="88"/>
      <c r="DV77" s="88"/>
      <c r="DW77" s="88"/>
      <c r="DX77" s="88"/>
      <c r="DY77" s="88"/>
      <c r="DZ77" s="88"/>
      <c r="EA77" s="88"/>
      <c r="EB77" s="88"/>
      <c r="EC77" s="88"/>
      <c r="ED77" s="88"/>
      <c r="EE77" s="88"/>
      <c r="EF77" s="88"/>
      <c r="EG77" s="88"/>
      <c r="EH77" s="88"/>
      <c r="EI77" s="88"/>
      <c r="EJ77" s="88"/>
      <c r="EK77" s="88"/>
      <c r="EL77" s="88"/>
      <c r="EM77" s="88"/>
      <c r="EN77" s="88"/>
      <c r="EO77" s="88"/>
      <c r="EP77" s="88"/>
      <c r="EQ77" s="88"/>
      <c r="ER77" s="88"/>
      <c r="ES77" s="88"/>
      <c r="ET77" s="88"/>
      <c r="EU77" s="88"/>
      <c r="EV77" s="88"/>
      <c r="EW77" s="88"/>
      <c r="EX77" s="88"/>
      <c r="EY77" s="88"/>
      <c r="EZ77" s="88"/>
      <c r="FA77" s="88"/>
      <c r="FB77" s="88"/>
      <c r="FC77" s="88"/>
      <c r="FD77" s="88"/>
      <c r="FE77" s="88"/>
      <c r="FF77" s="88"/>
      <c r="FG77" s="88"/>
      <c r="FH77" s="88"/>
      <c r="FI77" s="88"/>
      <c r="FJ77" s="88"/>
      <c r="FK77" s="88"/>
      <c r="FL77" s="88"/>
      <c r="FM77" s="88"/>
      <c r="FN77" s="88"/>
      <c r="FO77" s="88"/>
      <c r="FP77" s="88"/>
      <c r="FQ77" s="88"/>
      <c r="FR77" s="88"/>
      <c r="FS77" s="88"/>
      <c r="FT77" s="88"/>
      <c r="FU77" s="88"/>
      <c r="FV77" s="88"/>
      <c r="FW77" s="88"/>
      <c r="FX77" s="88"/>
      <c r="FY77" s="88"/>
      <c r="FZ77" s="88"/>
      <c r="GA77" s="88"/>
      <c r="GB77" s="88"/>
      <c r="GC77" s="88"/>
      <c r="GD77" s="88"/>
      <c r="GE77" s="88"/>
      <c r="GF77" s="88"/>
      <c r="GG77" s="88"/>
      <c r="GH77" s="88"/>
      <c r="GI77" s="88"/>
      <c r="GJ77" s="88"/>
      <c r="GK77" s="88"/>
      <c r="GL77" s="88"/>
      <c r="GM77" s="88"/>
      <c r="GN77" s="88"/>
      <c r="GO77" s="88"/>
      <c r="GP77" s="88"/>
      <c r="GQ77" s="88"/>
      <c r="GR77" s="88"/>
      <c r="GS77" s="88"/>
      <c r="GT77" s="88"/>
      <c r="GU77" s="88"/>
      <c r="GV77" s="88"/>
      <c r="GW77" s="88"/>
      <c r="GX77" s="88"/>
      <c r="GY77" s="88"/>
      <c r="GZ77" s="88"/>
      <c r="HA77" s="88"/>
      <c r="HB77" s="88"/>
      <c r="HC77" s="88"/>
      <c r="HD77" s="88"/>
      <c r="HE77" s="88"/>
    </row>
    <row r="78" spans="1:213">
      <c r="A78" s="17" t="s">
        <v>288</v>
      </c>
      <c r="B78" s="449">
        <v>0</v>
      </c>
      <c r="C78" s="6" t="s">
        <v>286</v>
      </c>
      <c r="D78" s="88"/>
      <c r="E78" s="88"/>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c r="BA78" s="88"/>
      <c r="BB78" s="88"/>
      <c r="BC78" s="88"/>
      <c r="BD78" s="88"/>
      <c r="BE78" s="88"/>
      <c r="BF78" s="88"/>
      <c r="BG78" s="88"/>
      <c r="BH78" s="88"/>
      <c r="BI78" s="88"/>
      <c r="BJ78" s="88"/>
      <c r="BK78" s="88"/>
      <c r="BL78" s="88"/>
      <c r="BM78" s="88"/>
      <c r="BN78" s="88"/>
      <c r="BO78" s="88"/>
      <c r="BP78" s="88"/>
      <c r="BQ78" s="88"/>
      <c r="BR78" s="88"/>
      <c r="BS78" s="88"/>
      <c r="BT78" s="88"/>
      <c r="BU78" s="88"/>
      <c r="BV78" s="88"/>
      <c r="BW78" s="88"/>
      <c r="BX78" s="88"/>
      <c r="BY78" s="88"/>
      <c r="BZ78" s="88"/>
      <c r="CA78" s="88"/>
      <c r="CB78" s="88"/>
      <c r="CC78" s="88"/>
      <c r="CD78" s="88"/>
      <c r="CE78" s="88"/>
      <c r="CF78" s="88"/>
      <c r="CG78" s="88"/>
      <c r="CH78" s="88"/>
      <c r="CI78" s="88"/>
      <c r="CJ78" s="88"/>
      <c r="CK78" s="88"/>
      <c r="CL78" s="88"/>
      <c r="CM78" s="88"/>
      <c r="CN78" s="88"/>
      <c r="CO78" s="88"/>
      <c r="CP78" s="88"/>
      <c r="CQ78" s="88"/>
      <c r="CR78" s="88"/>
      <c r="CS78" s="88"/>
      <c r="CT78" s="88"/>
      <c r="CU78" s="88"/>
      <c r="CV78" s="88"/>
      <c r="CW78" s="88"/>
      <c r="CX78" s="88"/>
      <c r="CY78" s="88"/>
      <c r="CZ78" s="88"/>
      <c r="DA78" s="88"/>
      <c r="DB78" s="88"/>
      <c r="DC78" s="88"/>
      <c r="DD78" s="88"/>
      <c r="DE78" s="88"/>
      <c r="DF78" s="88"/>
      <c r="DG78" s="88"/>
      <c r="DH78" s="88"/>
      <c r="DI78" s="88"/>
      <c r="DJ78" s="88"/>
      <c r="DK78" s="88"/>
      <c r="DL78" s="88"/>
      <c r="DM78" s="88"/>
      <c r="DN78" s="88"/>
      <c r="DO78" s="88"/>
      <c r="DP78" s="88"/>
      <c r="DQ78" s="88"/>
      <c r="DR78" s="88"/>
      <c r="DS78" s="88"/>
      <c r="DT78" s="88"/>
      <c r="DU78" s="88"/>
      <c r="DV78" s="88"/>
      <c r="DW78" s="88"/>
      <c r="DX78" s="88"/>
      <c r="DY78" s="88"/>
      <c r="DZ78" s="88"/>
      <c r="EA78" s="88"/>
      <c r="EB78" s="88"/>
      <c r="EC78" s="88"/>
      <c r="ED78" s="88"/>
      <c r="EE78" s="88"/>
      <c r="EF78" s="88"/>
      <c r="EG78" s="88"/>
      <c r="EH78" s="88"/>
      <c r="EI78" s="88"/>
      <c r="EJ78" s="88"/>
      <c r="EK78" s="88"/>
      <c r="EL78" s="88"/>
      <c r="EM78" s="88"/>
      <c r="EN78" s="88"/>
      <c r="EO78" s="88"/>
      <c r="EP78" s="88"/>
      <c r="EQ78" s="88"/>
      <c r="ER78" s="88"/>
      <c r="ES78" s="88"/>
      <c r="ET78" s="88"/>
      <c r="EU78" s="88"/>
      <c r="EV78" s="88"/>
      <c r="EW78" s="88"/>
      <c r="EX78" s="88"/>
      <c r="EY78" s="88"/>
      <c r="EZ78" s="88"/>
      <c r="FA78" s="88"/>
      <c r="FB78" s="88"/>
      <c r="FC78" s="88"/>
      <c r="FD78" s="88"/>
      <c r="FE78" s="88"/>
      <c r="FF78" s="88"/>
      <c r="FG78" s="88"/>
      <c r="FH78" s="88"/>
      <c r="FI78" s="88"/>
      <c r="FJ78" s="88"/>
      <c r="FK78" s="88"/>
      <c r="FL78" s="88"/>
      <c r="FM78" s="88"/>
      <c r="FN78" s="88"/>
      <c r="FO78" s="88"/>
      <c r="FP78" s="88"/>
      <c r="FQ78" s="88"/>
      <c r="FR78" s="88"/>
      <c r="FS78" s="88"/>
      <c r="FT78" s="88"/>
      <c r="FU78" s="88"/>
      <c r="FV78" s="88"/>
      <c r="FW78" s="88"/>
      <c r="FX78" s="88"/>
      <c r="FY78" s="88"/>
      <c r="FZ78" s="88"/>
      <c r="GA78" s="88"/>
      <c r="GB78" s="88"/>
      <c r="GC78" s="88"/>
      <c r="GD78" s="88"/>
      <c r="GE78" s="88"/>
      <c r="GF78" s="88"/>
      <c r="GG78" s="88"/>
      <c r="GH78" s="88"/>
      <c r="GI78" s="88"/>
      <c r="GJ78" s="88"/>
      <c r="GK78" s="88"/>
      <c r="GL78" s="88"/>
      <c r="GM78" s="88"/>
      <c r="GN78" s="88"/>
      <c r="GO78" s="88"/>
      <c r="GP78" s="88"/>
      <c r="GQ78" s="88"/>
      <c r="GR78" s="88"/>
      <c r="GS78" s="88"/>
      <c r="GT78" s="88"/>
      <c r="GU78" s="88"/>
      <c r="GV78" s="88"/>
      <c r="GW78" s="88"/>
      <c r="GX78" s="88"/>
      <c r="GY78" s="88"/>
      <c r="GZ78" s="88"/>
      <c r="HA78" s="88"/>
      <c r="HB78" s="88"/>
      <c r="HC78" s="88"/>
      <c r="HD78" s="88"/>
      <c r="HE78" s="88"/>
    </row>
    <row r="79" spans="1:213">
      <c r="A79" s="17" t="s">
        <v>289</v>
      </c>
      <c r="B79" s="449">
        <v>0</v>
      </c>
      <c r="C79" s="6" t="s">
        <v>286</v>
      </c>
      <c r="D79" s="88"/>
      <c r="E79" s="88"/>
      <c r="F79" s="88"/>
      <c r="G79" s="88"/>
      <c r="H79" s="88"/>
      <c r="I79" s="88"/>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c r="BA79" s="88"/>
      <c r="BB79" s="88"/>
      <c r="BC79" s="88"/>
      <c r="BD79" s="88"/>
      <c r="BE79" s="88"/>
      <c r="BF79" s="88"/>
      <c r="BG79" s="88"/>
      <c r="BH79" s="88"/>
      <c r="BI79" s="88"/>
      <c r="BJ79" s="88"/>
      <c r="BK79" s="88"/>
      <c r="BL79" s="88"/>
      <c r="BM79" s="88"/>
      <c r="BN79" s="88"/>
      <c r="BO79" s="88"/>
      <c r="BP79" s="88"/>
      <c r="BQ79" s="88"/>
      <c r="BR79" s="88"/>
      <c r="BS79" s="88"/>
      <c r="BT79" s="88"/>
      <c r="BU79" s="88"/>
      <c r="BV79" s="88"/>
      <c r="BW79" s="88"/>
      <c r="BX79" s="88"/>
      <c r="BY79" s="88"/>
      <c r="BZ79" s="88"/>
      <c r="CA79" s="88"/>
      <c r="CB79" s="88"/>
      <c r="CC79" s="88"/>
      <c r="CD79" s="88"/>
      <c r="CE79" s="88"/>
      <c r="CF79" s="88"/>
      <c r="CG79" s="88"/>
      <c r="CH79" s="88"/>
      <c r="CI79" s="88"/>
      <c r="CJ79" s="88"/>
      <c r="CK79" s="88"/>
      <c r="CL79" s="88"/>
      <c r="CM79" s="88"/>
      <c r="CN79" s="88"/>
      <c r="CO79" s="88"/>
      <c r="CP79" s="88"/>
      <c r="CQ79" s="88"/>
      <c r="CR79" s="88"/>
      <c r="CS79" s="88"/>
      <c r="CT79" s="88"/>
      <c r="CU79" s="88"/>
      <c r="CV79" s="88"/>
      <c r="CW79" s="88"/>
      <c r="CX79" s="88"/>
      <c r="CY79" s="88"/>
      <c r="CZ79" s="88"/>
      <c r="DA79" s="88"/>
      <c r="DB79" s="88"/>
      <c r="DC79" s="88"/>
      <c r="DD79" s="88"/>
      <c r="DE79" s="88"/>
      <c r="DF79" s="88"/>
      <c r="DG79" s="88"/>
      <c r="DH79" s="88"/>
      <c r="DI79" s="88"/>
      <c r="DJ79" s="88"/>
      <c r="DK79" s="88"/>
      <c r="DL79" s="88"/>
      <c r="DM79" s="88"/>
      <c r="DN79" s="88"/>
      <c r="DO79" s="88"/>
      <c r="DP79" s="88"/>
      <c r="DQ79" s="88"/>
      <c r="DR79" s="88"/>
      <c r="DS79" s="88"/>
      <c r="DT79" s="88"/>
      <c r="DU79" s="88"/>
      <c r="DV79" s="88"/>
      <c r="DW79" s="88"/>
      <c r="DX79" s="88"/>
      <c r="DY79" s="88"/>
      <c r="DZ79" s="88"/>
      <c r="EA79" s="88"/>
      <c r="EB79" s="88"/>
      <c r="EC79" s="88"/>
      <c r="ED79" s="88"/>
      <c r="EE79" s="88"/>
      <c r="EF79" s="88"/>
      <c r="EG79" s="88"/>
      <c r="EH79" s="88"/>
      <c r="EI79" s="88"/>
      <c r="EJ79" s="88"/>
      <c r="EK79" s="88"/>
      <c r="EL79" s="88"/>
      <c r="EM79" s="88"/>
      <c r="EN79" s="88"/>
      <c r="EO79" s="88"/>
      <c r="EP79" s="88"/>
      <c r="EQ79" s="88"/>
      <c r="ER79" s="88"/>
      <c r="ES79" s="88"/>
      <c r="ET79" s="88"/>
      <c r="EU79" s="88"/>
      <c r="EV79" s="88"/>
      <c r="EW79" s="88"/>
      <c r="EX79" s="88"/>
      <c r="EY79" s="88"/>
      <c r="EZ79" s="88"/>
      <c r="FA79" s="88"/>
      <c r="FB79" s="88"/>
      <c r="FC79" s="88"/>
      <c r="FD79" s="88"/>
      <c r="FE79" s="88"/>
      <c r="FF79" s="88"/>
      <c r="FG79" s="88"/>
      <c r="FH79" s="88"/>
      <c r="FI79" s="88"/>
      <c r="FJ79" s="88"/>
      <c r="FK79" s="88"/>
      <c r="FL79" s="88"/>
      <c r="FM79" s="88"/>
      <c r="FN79" s="88"/>
      <c r="FO79" s="88"/>
      <c r="FP79" s="88"/>
      <c r="FQ79" s="88"/>
      <c r="FR79" s="88"/>
      <c r="FS79" s="88"/>
      <c r="FT79" s="88"/>
      <c r="FU79" s="88"/>
      <c r="FV79" s="88"/>
      <c r="FW79" s="88"/>
      <c r="FX79" s="88"/>
      <c r="FY79" s="88"/>
      <c r="FZ79" s="88"/>
      <c r="GA79" s="88"/>
      <c r="GB79" s="88"/>
      <c r="GC79" s="88"/>
      <c r="GD79" s="88"/>
      <c r="GE79" s="88"/>
      <c r="GF79" s="88"/>
      <c r="GG79" s="88"/>
      <c r="GH79" s="88"/>
      <c r="GI79" s="88"/>
      <c r="GJ79" s="88"/>
      <c r="GK79" s="88"/>
      <c r="GL79" s="88"/>
      <c r="GM79" s="88"/>
      <c r="GN79" s="88"/>
      <c r="GO79" s="88"/>
      <c r="GP79" s="88"/>
      <c r="GQ79" s="88"/>
      <c r="GR79" s="88"/>
      <c r="GS79" s="88"/>
      <c r="GT79" s="88"/>
      <c r="GU79" s="88"/>
      <c r="GV79" s="88"/>
      <c r="GW79" s="88"/>
      <c r="GX79" s="88"/>
      <c r="GY79" s="88"/>
      <c r="GZ79" s="88"/>
      <c r="HA79" s="88"/>
      <c r="HB79" s="88"/>
      <c r="HC79" s="88"/>
      <c r="HD79" s="88"/>
      <c r="HE79" s="88"/>
    </row>
    <row r="80" spans="1:213">
      <c r="A80" s="17" t="s">
        <v>290</v>
      </c>
      <c r="B80" s="284"/>
      <c r="C80" s="255" t="s">
        <v>291</v>
      </c>
      <c r="D80" s="88"/>
      <c r="E80" s="88"/>
      <c r="F80" s="88"/>
      <c r="G80" s="88"/>
      <c r="H80" s="88"/>
      <c r="I80" s="88"/>
      <c r="J80" s="88"/>
      <c r="K80" s="88"/>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c r="BM80" s="88"/>
      <c r="BN80" s="88"/>
      <c r="BO80" s="88"/>
      <c r="BP80" s="88"/>
      <c r="BQ80" s="88"/>
      <c r="BR80" s="88"/>
      <c r="BS80" s="88"/>
      <c r="BT80" s="88"/>
      <c r="BU80" s="88"/>
      <c r="BV80" s="88"/>
      <c r="BW80" s="88"/>
      <c r="BX80" s="88"/>
      <c r="BY80" s="88"/>
      <c r="BZ80" s="88"/>
      <c r="CA80" s="88"/>
      <c r="CB80" s="88"/>
      <c r="CC80" s="88"/>
      <c r="CD80" s="88"/>
      <c r="CE80" s="88"/>
      <c r="CF80" s="88"/>
      <c r="CG80" s="88"/>
      <c r="CH80" s="88"/>
      <c r="CI80" s="88"/>
      <c r="CJ80" s="88"/>
      <c r="CK80" s="88"/>
      <c r="CL80" s="88"/>
      <c r="CM80" s="88"/>
      <c r="CN80" s="88"/>
      <c r="CO80" s="88"/>
      <c r="CP80" s="88"/>
      <c r="CQ80" s="88"/>
      <c r="CR80" s="88"/>
      <c r="CS80" s="88"/>
      <c r="CT80" s="88"/>
      <c r="CU80" s="88"/>
      <c r="CV80" s="88"/>
      <c r="CW80" s="88"/>
      <c r="CX80" s="88"/>
      <c r="CY80" s="88"/>
      <c r="CZ80" s="88"/>
      <c r="DA80" s="88"/>
      <c r="DB80" s="88"/>
      <c r="DC80" s="88"/>
      <c r="DD80" s="88"/>
      <c r="DE80" s="88"/>
      <c r="DF80" s="88"/>
      <c r="DG80" s="88"/>
      <c r="DH80" s="88"/>
      <c r="DI80" s="88"/>
      <c r="DJ80" s="88"/>
      <c r="DK80" s="88"/>
      <c r="DL80" s="88"/>
      <c r="DM80" s="88"/>
      <c r="DN80" s="88"/>
      <c r="DO80" s="88"/>
      <c r="DP80" s="88"/>
      <c r="DQ80" s="88"/>
      <c r="DR80" s="88"/>
      <c r="DS80" s="88"/>
      <c r="DT80" s="88"/>
      <c r="DU80" s="88"/>
      <c r="DV80" s="88"/>
      <c r="DW80" s="88"/>
      <c r="DX80" s="88"/>
      <c r="DY80" s="88"/>
      <c r="DZ80" s="88"/>
      <c r="EA80" s="88"/>
      <c r="EB80" s="88"/>
      <c r="EC80" s="88"/>
      <c r="ED80" s="88"/>
      <c r="EE80" s="88"/>
      <c r="EF80" s="88"/>
      <c r="EG80" s="88"/>
      <c r="EH80" s="88"/>
      <c r="EI80" s="88"/>
      <c r="EJ80" s="88"/>
      <c r="EK80" s="88"/>
      <c r="EL80" s="88"/>
      <c r="EM80" s="88"/>
      <c r="EN80" s="88"/>
      <c r="EO80" s="88"/>
      <c r="EP80" s="88"/>
      <c r="EQ80" s="88"/>
      <c r="ER80" s="88"/>
      <c r="ES80" s="88"/>
      <c r="ET80" s="88"/>
      <c r="EU80" s="88"/>
      <c r="EV80" s="88"/>
      <c r="EW80" s="88"/>
      <c r="EX80" s="88"/>
      <c r="EY80" s="88"/>
      <c r="EZ80" s="88"/>
      <c r="FA80" s="88"/>
      <c r="FB80" s="88"/>
      <c r="FC80" s="88"/>
      <c r="FD80" s="88"/>
      <c r="FE80" s="88"/>
      <c r="FF80" s="88"/>
      <c r="FG80" s="88"/>
      <c r="FH80" s="88"/>
      <c r="FI80" s="88"/>
      <c r="FJ80" s="88"/>
      <c r="FK80" s="88"/>
      <c r="FL80" s="88"/>
      <c r="FM80" s="88"/>
      <c r="FN80" s="88"/>
      <c r="FO80" s="88"/>
      <c r="FP80" s="88"/>
      <c r="FQ80" s="88"/>
      <c r="FR80" s="88"/>
      <c r="FS80" s="88"/>
      <c r="FT80" s="88"/>
      <c r="FU80" s="88"/>
      <c r="FV80" s="88"/>
      <c r="FW80" s="88"/>
      <c r="FX80" s="88"/>
      <c r="FY80" s="88"/>
      <c r="FZ80" s="88"/>
      <c r="GA80" s="88"/>
      <c r="GB80" s="88"/>
      <c r="GC80" s="88"/>
      <c r="GD80" s="88"/>
      <c r="GE80" s="88"/>
      <c r="GF80" s="88"/>
      <c r="GG80" s="88"/>
      <c r="GH80" s="88"/>
      <c r="GI80" s="88"/>
      <c r="GJ80" s="88"/>
      <c r="GK80" s="88"/>
      <c r="GL80" s="88"/>
      <c r="GM80" s="88"/>
      <c r="GN80" s="88"/>
      <c r="GO80" s="88"/>
      <c r="GP80" s="88"/>
      <c r="GQ80" s="88"/>
      <c r="GR80" s="88"/>
      <c r="GS80" s="88"/>
      <c r="GT80" s="88"/>
      <c r="GU80" s="88"/>
      <c r="GV80" s="88"/>
      <c r="GW80" s="88"/>
      <c r="GX80" s="88"/>
      <c r="GY80" s="88"/>
      <c r="GZ80" s="88"/>
      <c r="HA80" s="88"/>
      <c r="HB80" s="88"/>
      <c r="HC80" s="88"/>
      <c r="HD80" s="88"/>
      <c r="HE80" s="88"/>
    </row>
    <row r="81" spans="1:213">
      <c r="A81" s="17" t="s">
        <v>292</v>
      </c>
      <c r="B81" s="449">
        <v>0</v>
      </c>
      <c r="C81" s="255" t="s">
        <v>291</v>
      </c>
      <c r="D81" s="88"/>
      <c r="E81" s="88"/>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c r="BA81" s="88"/>
      <c r="BB81" s="88"/>
      <c r="BC81" s="88"/>
      <c r="BD81" s="88"/>
      <c r="BE81" s="88"/>
      <c r="BF81" s="88"/>
      <c r="BG81" s="88"/>
      <c r="BH81" s="88"/>
      <c r="BI81" s="88"/>
      <c r="BJ81" s="88"/>
      <c r="BK81" s="88"/>
      <c r="BL81" s="88"/>
      <c r="BM81" s="88"/>
      <c r="BN81" s="88"/>
      <c r="BO81" s="88"/>
      <c r="BP81" s="88"/>
      <c r="BQ81" s="88"/>
      <c r="BR81" s="88"/>
      <c r="BS81" s="88"/>
      <c r="BT81" s="88"/>
      <c r="BU81" s="88"/>
      <c r="BV81" s="88"/>
      <c r="BW81" s="88"/>
      <c r="BX81" s="88"/>
      <c r="BY81" s="88"/>
      <c r="BZ81" s="88"/>
      <c r="CA81" s="88"/>
      <c r="CB81" s="88"/>
      <c r="CC81" s="88"/>
      <c r="CD81" s="88"/>
      <c r="CE81" s="88"/>
      <c r="CF81" s="88"/>
      <c r="CG81" s="88"/>
      <c r="CH81" s="88"/>
      <c r="CI81" s="88"/>
      <c r="CJ81" s="88"/>
      <c r="CK81" s="88"/>
      <c r="CL81" s="88"/>
      <c r="CM81" s="88"/>
      <c r="CN81" s="88"/>
      <c r="CO81" s="88"/>
      <c r="CP81" s="88"/>
      <c r="CQ81" s="88"/>
      <c r="CR81" s="88"/>
      <c r="CS81" s="88"/>
      <c r="CT81" s="88"/>
      <c r="CU81" s="88"/>
      <c r="CV81" s="88"/>
      <c r="CW81" s="88"/>
      <c r="CX81" s="88"/>
      <c r="CY81" s="88"/>
      <c r="CZ81" s="88"/>
      <c r="DA81" s="88"/>
      <c r="DB81" s="88"/>
      <c r="DC81" s="88"/>
      <c r="DD81" s="88"/>
      <c r="DE81" s="88"/>
      <c r="DF81" s="88"/>
      <c r="DG81" s="88"/>
      <c r="DH81" s="88"/>
      <c r="DI81" s="88"/>
      <c r="DJ81" s="88"/>
      <c r="DK81" s="88"/>
      <c r="DL81" s="88"/>
      <c r="DM81" s="88"/>
      <c r="DN81" s="88"/>
      <c r="DO81" s="88"/>
      <c r="DP81" s="88"/>
      <c r="DQ81" s="88"/>
      <c r="DR81" s="88"/>
      <c r="DS81" s="88"/>
      <c r="DT81" s="88"/>
      <c r="DU81" s="88"/>
      <c r="DV81" s="88"/>
      <c r="DW81" s="88"/>
      <c r="DX81" s="88"/>
      <c r="DY81" s="88"/>
      <c r="DZ81" s="88"/>
      <c r="EA81" s="88"/>
      <c r="EB81" s="88"/>
      <c r="EC81" s="88"/>
      <c r="ED81" s="88"/>
      <c r="EE81" s="88"/>
      <c r="EF81" s="88"/>
      <c r="EG81" s="88"/>
      <c r="EH81" s="88"/>
      <c r="EI81" s="88"/>
      <c r="EJ81" s="88"/>
      <c r="EK81" s="88"/>
      <c r="EL81" s="88"/>
      <c r="EM81" s="88"/>
      <c r="EN81" s="88"/>
      <c r="EO81" s="88"/>
      <c r="EP81" s="88"/>
      <c r="EQ81" s="88"/>
      <c r="ER81" s="88"/>
      <c r="ES81" s="88"/>
      <c r="ET81" s="88"/>
      <c r="EU81" s="88"/>
      <c r="EV81" s="88"/>
      <c r="EW81" s="88"/>
      <c r="EX81" s="88"/>
      <c r="EY81" s="88"/>
      <c r="EZ81" s="88"/>
      <c r="FA81" s="88"/>
      <c r="FB81" s="88"/>
      <c r="FC81" s="88"/>
      <c r="FD81" s="88"/>
      <c r="FE81" s="88"/>
      <c r="FF81" s="88"/>
      <c r="FG81" s="88"/>
      <c r="FH81" s="88"/>
      <c r="FI81" s="88"/>
      <c r="FJ81" s="88"/>
      <c r="FK81" s="88"/>
      <c r="FL81" s="88"/>
      <c r="FM81" s="88"/>
      <c r="FN81" s="88"/>
      <c r="FO81" s="88"/>
      <c r="FP81" s="88"/>
      <c r="FQ81" s="88"/>
      <c r="FR81" s="88"/>
      <c r="FS81" s="88"/>
      <c r="FT81" s="88"/>
      <c r="FU81" s="88"/>
      <c r="FV81" s="88"/>
      <c r="FW81" s="88"/>
      <c r="FX81" s="88"/>
      <c r="FY81" s="88"/>
      <c r="FZ81" s="88"/>
      <c r="GA81" s="88"/>
      <c r="GB81" s="88"/>
      <c r="GC81" s="88"/>
      <c r="GD81" s="88"/>
      <c r="GE81" s="88"/>
      <c r="GF81" s="88"/>
      <c r="GG81" s="88"/>
      <c r="GH81" s="88"/>
      <c r="GI81" s="88"/>
      <c r="GJ81" s="88"/>
      <c r="GK81" s="88"/>
      <c r="GL81" s="88"/>
      <c r="GM81" s="88"/>
      <c r="GN81" s="88"/>
      <c r="GO81" s="88"/>
      <c r="GP81" s="88"/>
      <c r="GQ81" s="88"/>
      <c r="GR81" s="88"/>
      <c r="GS81" s="88"/>
      <c r="GT81" s="88"/>
      <c r="GU81" s="88"/>
      <c r="GV81" s="88"/>
      <c r="GW81" s="88"/>
      <c r="GX81" s="88"/>
      <c r="GY81" s="88"/>
      <c r="GZ81" s="88"/>
      <c r="HA81" s="88"/>
      <c r="HB81" s="88"/>
      <c r="HC81" s="88"/>
      <c r="HD81" s="88"/>
      <c r="HE81" s="88"/>
    </row>
    <row r="82" spans="1:213">
      <c r="A82" s="60" t="s">
        <v>293</v>
      </c>
      <c r="B82" s="444"/>
      <c r="C82" s="88"/>
      <c r="D82" s="88"/>
      <c r="E82" s="88"/>
      <c r="F82" s="88"/>
      <c r="G82" s="88"/>
      <c r="H82" s="88"/>
      <c r="I82" s="88"/>
      <c r="J82" s="88"/>
      <c r="K82" s="88"/>
      <c r="L82" s="88"/>
      <c r="M82" s="88"/>
      <c r="N82" s="88"/>
      <c r="O82" s="88"/>
      <c r="P82" s="88"/>
      <c r="Q82" s="88"/>
      <c r="R82" s="88"/>
      <c r="S82" s="88"/>
      <c r="T82" s="88"/>
      <c r="U82" s="88"/>
      <c r="V82" s="88"/>
      <c r="W82" s="88"/>
      <c r="X82" s="88"/>
      <c r="Y82" s="88"/>
      <c r="Z82" s="88"/>
      <c r="AA82" s="88"/>
      <c r="AB82" s="88"/>
      <c r="AC82" s="88"/>
      <c r="AD82" s="88"/>
      <c r="AE82" s="88"/>
      <c r="AF82" s="88"/>
      <c r="AG82" s="88"/>
      <c r="AH82" s="88"/>
      <c r="AI82" s="88"/>
      <c r="AJ82" s="88"/>
      <c r="AK82" s="88"/>
      <c r="AL82" s="88"/>
      <c r="AM82" s="88"/>
      <c r="AN82" s="88"/>
      <c r="AO82" s="88"/>
      <c r="AP82" s="88"/>
      <c r="AQ82" s="88"/>
      <c r="AR82" s="88"/>
      <c r="AS82" s="88"/>
      <c r="AT82" s="88"/>
      <c r="AU82" s="88"/>
      <c r="AV82" s="88"/>
      <c r="AW82" s="88"/>
      <c r="AX82" s="88"/>
      <c r="AY82" s="88"/>
      <c r="AZ82" s="88"/>
      <c r="BA82" s="88"/>
      <c r="BB82" s="88"/>
      <c r="BC82" s="88"/>
      <c r="BD82" s="88"/>
      <c r="BE82" s="88"/>
      <c r="BF82" s="88"/>
      <c r="BG82" s="88"/>
      <c r="BH82" s="88"/>
      <c r="BI82" s="88"/>
      <c r="BJ82" s="88"/>
      <c r="BK82" s="88"/>
      <c r="BL82" s="88"/>
      <c r="BM82" s="88"/>
      <c r="BN82" s="88"/>
      <c r="BO82" s="88"/>
      <c r="BP82" s="88"/>
      <c r="BQ82" s="88"/>
      <c r="BR82" s="88"/>
      <c r="BS82" s="88"/>
      <c r="BT82" s="88"/>
      <c r="BU82" s="88"/>
      <c r="BV82" s="88"/>
      <c r="BW82" s="88"/>
      <c r="BX82" s="88"/>
      <c r="BY82" s="88"/>
      <c r="BZ82" s="88"/>
      <c r="CA82" s="88"/>
      <c r="CB82" s="88"/>
      <c r="CC82" s="88"/>
      <c r="CD82" s="88"/>
      <c r="CE82" s="88"/>
      <c r="CF82" s="88"/>
      <c r="CG82" s="88"/>
      <c r="CH82" s="88"/>
      <c r="CI82" s="88"/>
      <c r="CJ82" s="88"/>
      <c r="CK82" s="88"/>
      <c r="CL82" s="88"/>
      <c r="CM82" s="88"/>
      <c r="CN82" s="88"/>
      <c r="CO82" s="88"/>
      <c r="CP82" s="88"/>
      <c r="CQ82" s="88"/>
      <c r="CR82" s="88"/>
      <c r="CS82" s="88"/>
      <c r="CT82" s="88"/>
      <c r="CU82" s="88"/>
      <c r="CV82" s="88"/>
      <c r="CW82" s="88"/>
      <c r="CX82" s="88"/>
      <c r="CY82" s="88"/>
      <c r="CZ82" s="88"/>
      <c r="DA82" s="88"/>
      <c r="DB82" s="88"/>
      <c r="DC82" s="88"/>
      <c r="DD82" s="88"/>
      <c r="DE82" s="88"/>
      <c r="DF82" s="88"/>
      <c r="DG82" s="88"/>
      <c r="DH82" s="88"/>
      <c r="DI82" s="88"/>
      <c r="DJ82" s="88"/>
      <c r="DK82" s="88"/>
      <c r="DL82" s="88"/>
      <c r="DM82" s="88"/>
      <c r="DN82" s="88"/>
      <c r="DO82" s="88"/>
      <c r="DP82" s="88"/>
      <c r="DQ82" s="88"/>
      <c r="DR82" s="88"/>
      <c r="DS82" s="88"/>
      <c r="DT82" s="88"/>
      <c r="DU82" s="88"/>
      <c r="DV82" s="88"/>
      <c r="DW82" s="88"/>
      <c r="DX82" s="88"/>
      <c r="DY82" s="88"/>
      <c r="DZ82" s="88"/>
      <c r="EA82" s="88"/>
      <c r="EB82" s="88"/>
      <c r="EC82" s="88"/>
      <c r="ED82" s="88"/>
      <c r="EE82" s="88"/>
      <c r="EF82" s="88"/>
      <c r="EG82" s="88"/>
      <c r="EH82" s="88"/>
      <c r="EI82" s="88"/>
      <c r="EJ82" s="88"/>
      <c r="EK82" s="88"/>
      <c r="EL82" s="88"/>
      <c r="EM82" s="88"/>
      <c r="EN82" s="88"/>
      <c r="EO82" s="88"/>
      <c r="EP82" s="88"/>
      <c r="EQ82" s="88"/>
      <c r="ER82" s="88"/>
      <c r="ES82" s="88"/>
      <c r="ET82" s="88"/>
      <c r="EU82" s="88"/>
      <c r="EV82" s="88"/>
      <c r="EW82" s="88"/>
      <c r="EX82" s="88"/>
      <c r="EY82" s="88"/>
      <c r="EZ82" s="88"/>
      <c r="FA82" s="88"/>
      <c r="FB82" s="88"/>
      <c r="FC82" s="88"/>
      <c r="FD82" s="88"/>
      <c r="FE82" s="88"/>
      <c r="FF82" s="88"/>
      <c r="FG82" s="88"/>
      <c r="FH82" s="88"/>
      <c r="FI82" s="88"/>
      <c r="FJ82" s="88"/>
      <c r="FK82" s="88"/>
      <c r="FL82" s="88"/>
      <c r="FM82" s="88"/>
      <c r="FN82" s="88"/>
      <c r="FO82" s="88"/>
      <c r="FP82" s="88"/>
      <c r="FQ82" s="88"/>
      <c r="FR82" s="88"/>
      <c r="FS82" s="88"/>
      <c r="FT82" s="88"/>
      <c r="FU82" s="88"/>
      <c r="FV82" s="88"/>
      <c r="FW82" s="88"/>
      <c r="FX82" s="88"/>
      <c r="FY82" s="88"/>
      <c r="FZ82" s="88"/>
      <c r="GA82" s="88"/>
      <c r="GB82" s="88"/>
      <c r="GC82" s="88"/>
      <c r="GD82" s="88"/>
      <c r="GE82" s="88"/>
      <c r="GF82" s="88"/>
      <c r="GG82" s="88"/>
      <c r="GH82" s="88"/>
      <c r="GI82" s="88"/>
      <c r="GJ82" s="88"/>
      <c r="GK82" s="88"/>
      <c r="GL82" s="88"/>
      <c r="GM82" s="88"/>
      <c r="GN82" s="88"/>
      <c r="GO82" s="88"/>
      <c r="GP82" s="88"/>
      <c r="GQ82" s="88"/>
      <c r="GR82" s="88"/>
      <c r="GS82" s="88"/>
      <c r="GT82" s="88"/>
      <c r="GU82" s="88"/>
      <c r="GV82" s="88"/>
      <c r="GW82" s="88"/>
      <c r="GX82" s="88"/>
      <c r="GY82" s="88"/>
      <c r="GZ82" s="88"/>
      <c r="HA82" s="88"/>
      <c r="HB82" s="88"/>
      <c r="HC82" s="88"/>
      <c r="HD82" s="88"/>
      <c r="HE82" s="88"/>
    </row>
    <row r="83" spans="1:213">
      <c r="A83" s="17" t="s">
        <v>294</v>
      </c>
      <c r="B83" s="449"/>
      <c r="C83" s="6" t="s">
        <v>286</v>
      </c>
      <c r="D83" s="88"/>
      <c r="E83" s="88"/>
      <c r="F83" s="88"/>
      <c r="G83" s="88"/>
      <c r="H83" s="88"/>
      <c r="I83" s="88"/>
      <c r="J83" s="88"/>
      <c r="K83" s="88"/>
      <c r="L83" s="88"/>
      <c r="M83" s="88"/>
      <c r="N83" s="88"/>
      <c r="O83" s="88"/>
      <c r="P83" s="88"/>
      <c r="Q83" s="88"/>
      <c r="R83" s="88"/>
      <c r="S83" s="88"/>
      <c r="T83" s="88"/>
      <c r="U83" s="88"/>
      <c r="V83" s="88"/>
      <c r="W83" s="88"/>
      <c r="X83" s="88"/>
      <c r="Y83" s="88"/>
      <c r="Z83" s="88"/>
      <c r="AA83" s="88"/>
      <c r="AB83" s="88"/>
      <c r="AC83" s="88"/>
      <c r="AD83" s="88"/>
      <c r="AE83" s="88"/>
      <c r="AF83" s="88"/>
      <c r="AG83" s="88"/>
      <c r="AH83" s="88"/>
      <c r="AI83" s="88"/>
      <c r="AJ83" s="88"/>
      <c r="AK83" s="88"/>
      <c r="AL83" s="88"/>
      <c r="AM83" s="88"/>
      <c r="AN83" s="88"/>
      <c r="AO83" s="88"/>
      <c r="AP83" s="88"/>
      <c r="AQ83" s="88"/>
      <c r="AR83" s="88"/>
      <c r="AS83" s="88"/>
      <c r="AT83" s="88"/>
      <c r="AU83" s="88"/>
      <c r="AV83" s="88"/>
      <c r="AW83" s="88"/>
      <c r="AX83" s="88"/>
      <c r="AY83" s="88"/>
      <c r="AZ83" s="88"/>
      <c r="BA83" s="88"/>
      <c r="BB83" s="88"/>
      <c r="BC83" s="88"/>
      <c r="BD83" s="88"/>
      <c r="BE83" s="88"/>
      <c r="BF83" s="88"/>
      <c r="BG83" s="88"/>
      <c r="BH83" s="88"/>
      <c r="BI83" s="88"/>
      <c r="BJ83" s="88"/>
      <c r="BK83" s="88"/>
      <c r="BL83" s="88"/>
      <c r="BM83" s="88"/>
      <c r="BN83" s="88"/>
      <c r="BO83" s="88"/>
      <c r="BP83" s="88"/>
      <c r="BQ83" s="88"/>
      <c r="BR83" s="88"/>
      <c r="BS83" s="88"/>
      <c r="BT83" s="88"/>
      <c r="BU83" s="88"/>
      <c r="BV83" s="88"/>
      <c r="BW83" s="88"/>
      <c r="BX83" s="88"/>
      <c r="BY83" s="88"/>
      <c r="BZ83" s="88"/>
      <c r="CA83" s="88"/>
      <c r="CB83" s="88"/>
      <c r="CC83" s="88"/>
      <c r="CD83" s="88"/>
      <c r="CE83" s="88"/>
      <c r="CF83" s="88"/>
      <c r="CG83" s="88"/>
      <c r="CH83" s="88"/>
      <c r="CI83" s="88"/>
      <c r="CJ83" s="88"/>
      <c r="CK83" s="88"/>
      <c r="CL83" s="88"/>
      <c r="CM83" s="88"/>
      <c r="CN83" s="88"/>
      <c r="CO83" s="88"/>
      <c r="CP83" s="88"/>
      <c r="CQ83" s="88"/>
      <c r="CR83" s="88"/>
      <c r="CS83" s="88"/>
      <c r="CT83" s="88"/>
      <c r="CU83" s="88"/>
      <c r="CV83" s="88"/>
      <c r="CW83" s="88"/>
      <c r="CX83" s="88"/>
      <c r="CY83" s="88"/>
      <c r="CZ83" s="88"/>
      <c r="DA83" s="88"/>
      <c r="DB83" s="88"/>
      <c r="DC83" s="88"/>
      <c r="DD83" s="88"/>
      <c r="DE83" s="88"/>
      <c r="DF83" s="88"/>
      <c r="DG83" s="88"/>
      <c r="DH83" s="88"/>
      <c r="DI83" s="88"/>
      <c r="DJ83" s="88"/>
      <c r="DK83" s="88"/>
      <c r="DL83" s="88"/>
      <c r="DM83" s="88"/>
      <c r="DN83" s="88"/>
      <c r="DO83" s="88"/>
      <c r="DP83" s="88"/>
      <c r="DQ83" s="88"/>
      <c r="DR83" s="88"/>
      <c r="DS83" s="88"/>
      <c r="DT83" s="88"/>
      <c r="DU83" s="88"/>
      <c r="DV83" s="88"/>
      <c r="DW83" s="88"/>
      <c r="DX83" s="88"/>
      <c r="DY83" s="88"/>
      <c r="DZ83" s="88"/>
      <c r="EA83" s="88"/>
      <c r="EB83" s="88"/>
      <c r="EC83" s="88"/>
      <c r="ED83" s="88"/>
      <c r="EE83" s="88"/>
      <c r="EF83" s="88"/>
      <c r="EG83" s="88"/>
      <c r="EH83" s="88"/>
      <c r="EI83" s="88"/>
      <c r="EJ83" s="88"/>
      <c r="EK83" s="88"/>
      <c r="EL83" s="88"/>
      <c r="EM83" s="88"/>
      <c r="EN83" s="88"/>
      <c r="EO83" s="88"/>
      <c r="EP83" s="88"/>
      <c r="EQ83" s="88"/>
      <c r="ER83" s="88"/>
      <c r="ES83" s="88"/>
      <c r="ET83" s="88"/>
      <c r="EU83" s="88"/>
      <c r="EV83" s="88"/>
      <c r="EW83" s="88"/>
      <c r="EX83" s="88"/>
      <c r="EY83" s="88"/>
      <c r="EZ83" s="88"/>
      <c r="FA83" s="88"/>
      <c r="FB83" s="88"/>
      <c r="FC83" s="88"/>
      <c r="FD83" s="88"/>
      <c r="FE83" s="88"/>
      <c r="FF83" s="88"/>
      <c r="FG83" s="88"/>
      <c r="FH83" s="88"/>
      <c r="FI83" s="88"/>
      <c r="FJ83" s="88"/>
      <c r="FK83" s="88"/>
      <c r="FL83" s="88"/>
      <c r="FM83" s="88"/>
      <c r="FN83" s="88"/>
      <c r="FO83" s="88"/>
      <c r="FP83" s="88"/>
      <c r="FQ83" s="88"/>
      <c r="FR83" s="88"/>
      <c r="FS83" s="88"/>
      <c r="FT83" s="88"/>
      <c r="FU83" s="88"/>
      <c r="FV83" s="88"/>
      <c r="FW83" s="88"/>
      <c r="FX83" s="88"/>
      <c r="FY83" s="88"/>
      <c r="FZ83" s="88"/>
      <c r="GA83" s="88"/>
      <c r="GB83" s="88"/>
      <c r="GC83" s="88"/>
      <c r="GD83" s="88"/>
      <c r="GE83" s="88"/>
      <c r="GF83" s="88"/>
      <c r="GG83" s="88"/>
      <c r="GH83" s="88"/>
      <c r="GI83" s="88"/>
      <c r="GJ83" s="88"/>
      <c r="GK83" s="88"/>
      <c r="GL83" s="88"/>
      <c r="GM83" s="88"/>
      <c r="GN83" s="88"/>
      <c r="GO83" s="88"/>
      <c r="GP83" s="88"/>
      <c r="GQ83" s="88"/>
      <c r="GR83" s="88"/>
      <c r="GS83" s="88"/>
      <c r="GT83" s="88"/>
      <c r="GU83" s="88"/>
      <c r="GV83" s="88"/>
      <c r="GW83" s="88"/>
      <c r="GX83" s="88"/>
      <c r="GY83" s="88"/>
      <c r="GZ83" s="88"/>
      <c r="HA83" s="88"/>
      <c r="HB83" s="88"/>
      <c r="HC83" s="88"/>
      <c r="HD83" s="88"/>
      <c r="HE83" s="88"/>
    </row>
    <row r="84" spans="1:213">
      <c r="A84" s="1" t="s">
        <v>295</v>
      </c>
      <c r="B84" s="444"/>
      <c r="C84" s="88"/>
      <c r="D84" s="88"/>
      <c r="E84" s="88"/>
      <c r="F84" s="88"/>
      <c r="G84" s="88"/>
      <c r="H84" s="88"/>
      <c r="I84" s="88"/>
      <c r="J84" s="88"/>
      <c r="K84" s="88"/>
      <c r="L84" s="88"/>
      <c r="M84" s="88"/>
      <c r="N84" s="88"/>
      <c r="O84" s="88"/>
      <c r="P84" s="88"/>
      <c r="Q84" s="88"/>
      <c r="R84" s="88"/>
      <c r="S84" s="88"/>
      <c r="T84" s="88"/>
      <c r="U84" s="88"/>
      <c r="V84" s="88"/>
      <c r="W84" s="88"/>
      <c r="X84" s="88"/>
      <c r="Y84" s="88"/>
      <c r="Z84" s="88"/>
      <c r="AA84" s="88"/>
      <c r="AB84" s="88"/>
      <c r="AC84" s="88"/>
      <c r="AD84" s="88"/>
      <c r="AE84" s="88"/>
      <c r="AF84" s="88"/>
      <c r="AG84" s="88"/>
      <c r="AH84" s="88"/>
      <c r="AI84" s="88"/>
      <c r="AJ84" s="88"/>
      <c r="AK84" s="88"/>
      <c r="AL84" s="88"/>
      <c r="AM84" s="88"/>
      <c r="AN84" s="88"/>
      <c r="AO84" s="88"/>
      <c r="AP84" s="88"/>
      <c r="AQ84" s="88"/>
      <c r="AR84" s="88"/>
      <c r="AS84" s="88"/>
      <c r="AT84" s="88"/>
      <c r="AU84" s="88"/>
      <c r="AV84" s="88"/>
      <c r="AW84" s="88"/>
      <c r="AX84" s="88"/>
      <c r="AY84" s="88"/>
      <c r="AZ84" s="88"/>
      <c r="BA84" s="88"/>
      <c r="BB84" s="88"/>
      <c r="BC84" s="88"/>
      <c r="BD84" s="88"/>
      <c r="BE84" s="88"/>
      <c r="BF84" s="88"/>
      <c r="BG84" s="88"/>
      <c r="BH84" s="88"/>
      <c r="BI84" s="88"/>
      <c r="BJ84" s="88"/>
      <c r="BK84" s="88"/>
      <c r="BL84" s="88"/>
      <c r="BM84" s="88"/>
      <c r="BN84" s="88"/>
      <c r="BO84" s="88"/>
      <c r="BP84" s="88"/>
      <c r="BQ84" s="88"/>
      <c r="BR84" s="88"/>
      <c r="BS84" s="88"/>
      <c r="BT84" s="88"/>
      <c r="BU84" s="88"/>
      <c r="BV84" s="88"/>
      <c r="BW84" s="88"/>
      <c r="BX84" s="88"/>
      <c r="BY84" s="88"/>
      <c r="BZ84" s="88"/>
      <c r="CA84" s="88"/>
      <c r="CB84" s="88"/>
      <c r="CC84" s="88"/>
      <c r="CD84" s="88"/>
      <c r="CE84" s="88"/>
      <c r="CF84" s="88"/>
      <c r="CG84" s="88"/>
      <c r="CH84" s="88"/>
      <c r="CI84" s="88"/>
      <c r="CJ84" s="88"/>
      <c r="CK84" s="88"/>
      <c r="CL84" s="88"/>
      <c r="CM84" s="88"/>
      <c r="CN84" s="88"/>
      <c r="CO84" s="88"/>
      <c r="CP84" s="88"/>
      <c r="CQ84" s="88"/>
      <c r="CR84" s="88"/>
      <c r="CS84" s="88"/>
      <c r="CT84" s="88"/>
      <c r="CU84" s="88"/>
      <c r="CV84" s="88"/>
      <c r="CW84" s="88"/>
      <c r="CX84" s="88"/>
      <c r="CY84" s="88"/>
      <c r="CZ84" s="88"/>
      <c r="DA84" s="88"/>
      <c r="DB84" s="88"/>
      <c r="DC84" s="88"/>
      <c r="DD84" s="88"/>
      <c r="DE84" s="88"/>
      <c r="DF84" s="88"/>
      <c r="DG84" s="88"/>
      <c r="DH84" s="88"/>
      <c r="DI84" s="88"/>
      <c r="DJ84" s="88"/>
      <c r="DK84" s="88"/>
      <c r="DL84" s="88"/>
      <c r="DM84" s="88"/>
      <c r="DN84" s="88"/>
      <c r="DO84" s="88"/>
      <c r="DP84" s="88"/>
      <c r="DQ84" s="88"/>
      <c r="DR84" s="88"/>
      <c r="DS84" s="88"/>
      <c r="DT84" s="88"/>
      <c r="DU84" s="88"/>
      <c r="DV84" s="88"/>
      <c r="DW84" s="88"/>
      <c r="DX84" s="88"/>
      <c r="DY84" s="88"/>
      <c r="DZ84" s="88"/>
      <c r="EA84" s="88"/>
      <c r="EB84" s="88"/>
      <c r="EC84" s="88"/>
      <c r="ED84" s="88"/>
      <c r="EE84" s="88"/>
      <c r="EF84" s="88"/>
      <c r="EG84" s="88"/>
      <c r="EH84" s="88"/>
      <c r="EI84" s="88"/>
      <c r="EJ84" s="88"/>
      <c r="EK84" s="88"/>
      <c r="EL84" s="88"/>
      <c r="EM84" s="88"/>
      <c r="EN84" s="88"/>
      <c r="EO84" s="88"/>
      <c r="EP84" s="88"/>
      <c r="EQ84" s="88"/>
      <c r="ER84" s="88"/>
      <c r="ES84" s="88"/>
      <c r="ET84" s="88"/>
      <c r="EU84" s="88"/>
      <c r="EV84" s="88"/>
      <c r="EW84" s="88"/>
      <c r="EX84" s="88"/>
      <c r="EY84" s="88"/>
      <c r="EZ84" s="88"/>
      <c r="FA84" s="88"/>
      <c r="FB84" s="88"/>
      <c r="FC84" s="88"/>
      <c r="FD84" s="88"/>
      <c r="FE84" s="88"/>
      <c r="FF84" s="88"/>
      <c r="FG84" s="88"/>
      <c r="FH84" s="88"/>
      <c r="FI84" s="88"/>
      <c r="FJ84" s="88"/>
      <c r="FK84" s="88"/>
      <c r="FL84" s="88"/>
      <c r="FM84" s="88"/>
      <c r="FN84" s="88"/>
      <c r="FO84" s="88"/>
      <c r="FP84" s="88"/>
      <c r="FQ84" s="88"/>
      <c r="FR84" s="88"/>
      <c r="FS84" s="88"/>
      <c r="FT84" s="88"/>
      <c r="FU84" s="88"/>
      <c r="FV84" s="88"/>
      <c r="FW84" s="88"/>
      <c r="FX84" s="88"/>
      <c r="FY84" s="88"/>
      <c r="FZ84" s="88"/>
      <c r="GA84" s="88"/>
      <c r="GB84" s="88"/>
      <c r="GC84" s="88"/>
      <c r="GD84" s="88"/>
      <c r="GE84" s="88"/>
      <c r="GF84" s="88"/>
      <c r="GG84" s="88"/>
      <c r="GH84" s="88"/>
      <c r="GI84" s="88"/>
      <c r="GJ84" s="88"/>
      <c r="GK84" s="88"/>
      <c r="GL84" s="88"/>
      <c r="GM84" s="88"/>
      <c r="GN84" s="88"/>
      <c r="GO84" s="88"/>
      <c r="GP84" s="88"/>
      <c r="GQ84" s="88"/>
      <c r="GR84" s="88"/>
      <c r="GS84" s="88"/>
      <c r="GT84" s="88"/>
      <c r="GU84" s="88"/>
      <c r="GV84" s="88"/>
      <c r="GW84" s="88"/>
      <c r="GX84" s="88"/>
      <c r="GY84" s="88"/>
      <c r="GZ84" s="88"/>
      <c r="HA84" s="88"/>
      <c r="HB84" s="88"/>
      <c r="HC84" s="88"/>
      <c r="HD84" s="88"/>
      <c r="HE84" s="88"/>
    </row>
    <row r="85" spans="1:213">
      <c r="A85" s="17" t="s">
        <v>296</v>
      </c>
      <c r="B85" s="449">
        <v>0</v>
      </c>
      <c r="C85" s="6" t="s">
        <v>286</v>
      </c>
      <c r="D85" s="88"/>
      <c r="E85" s="88"/>
      <c r="F85" s="88"/>
      <c r="G85" s="88"/>
      <c r="H85" s="88"/>
      <c r="I85" s="88"/>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88"/>
      <c r="AK85" s="88"/>
      <c r="AL85" s="88"/>
      <c r="AM85" s="88"/>
      <c r="AN85" s="88"/>
      <c r="AO85" s="88"/>
      <c r="AP85" s="88"/>
      <c r="AQ85" s="88"/>
      <c r="AR85" s="88"/>
      <c r="AS85" s="88"/>
      <c r="AT85" s="88"/>
      <c r="AU85" s="88"/>
      <c r="AV85" s="88"/>
      <c r="AW85" s="88"/>
      <c r="AX85" s="88"/>
      <c r="AY85" s="88"/>
      <c r="AZ85" s="88"/>
      <c r="BA85" s="88"/>
      <c r="BB85" s="88"/>
      <c r="BC85" s="88"/>
      <c r="BD85" s="88"/>
      <c r="BE85" s="88"/>
      <c r="BF85" s="88"/>
      <c r="BG85" s="88"/>
      <c r="BH85" s="88"/>
      <c r="BI85" s="88"/>
      <c r="BJ85" s="88"/>
      <c r="BK85" s="88"/>
      <c r="BL85" s="88"/>
      <c r="BM85" s="88"/>
      <c r="BN85" s="88"/>
      <c r="BO85" s="88"/>
      <c r="BP85" s="88"/>
      <c r="BQ85" s="88"/>
      <c r="BR85" s="88"/>
      <c r="BS85" s="88"/>
      <c r="BT85" s="88"/>
      <c r="BU85" s="88"/>
      <c r="BV85" s="88"/>
      <c r="BW85" s="88"/>
      <c r="BX85" s="88"/>
      <c r="BY85" s="88"/>
      <c r="BZ85" s="88"/>
      <c r="CA85" s="88"/>
      <c r="CB85" s="88"/>
      <c r="CC85" s="88"/>
      <c r="CD85" s="88"/>
      <c r="CE85" s="88"/>
      <c r="CF85" s="88"/>
      <c r="CG85" s="88"/>
      <c r="CH85" s="88"/>
      <c r="CI85" s="88"/>
      <c r="CJ85" s="88"/>
      <c r="CK85" s="88"/>
      <c r="CL85" s="88"/>
      <c r="CM85" s="88"/>
      <c r="CN85" s="88"/>
      <c r="CO85" s="88"/>
      <c r="CP85" s="88"/>
      <c r="CQ85" s="88"/>
      <c r="CR85" s="88"/>
      <c r="CS85" s="88"/>
      <c r="CT85" s="88"/>
      <c r="CU85" s="88"/>
      <c r="CV85" s="88"/>
      <c r="CW85" s="88"/>
      <c r="CX85" s="88"/>
      <c r="CY85" s="88"/>
      <c r="CZ85" s="88"/>
      <c r="DA85" s="88"/>
      <c r="DB85" s="88"/>
      <c r="DC85" s="88"/>
      <c r="DD85" s="88"/>
      <c r="DE85" s="88"/>
      <c r="DF85" s="88"/>
      <c r="DG85" s="88"/>
      <c r="DH85" s="88"/>
      <c r="DI85" s="88"/>
      <c r="DJ85" s="88"/>
      <c r="DK85" s="88"/>
      <c r="DL85" s="88"/>
      <c r="DM85" s="88"/>
      <c r="DN85" s="88"/>
      <c r="DO85" s="88"/>
      <c r="DP85" s="88"/>
      <c r="DQ85" s="88"/>
      <c r="DR85" s="88"/>
      <c r="DS85" s="88"/>
      <c r="DT85" s="88"/>
      <c r="DU85" s="88"/>
      <c r="DV85" s="88"/>
      <c r="DW85" s="88"/>
      <c r="DX85" s="88"/>
      <c r="DY85" s="88"/>
      <c r="DZ85" s="88"/>
      <c r="EA85" s="88"/>
      <c r="EB85" s="88"/>
      <c r="EC85" s="88"/>
      <c r="ED85" s="88"/>
      <c r="EE85" s="88"/>
      <c r="EF85" s="88"/>
      <c r="EG85" s="88"/>
      <c r="EH85" s="88"/>
      <c r="EI85" s="88"/>
      <c r="EJ85" s="88"/>
      <c r="EK85" s="88"/>
      <c r="EL85" s="88"/>
      <c r="EM85" s="88"/>
      <c r="EN85" s="88"/>
      <c r="EO85" s="88"/>
      <c r="EP85" s="88"/>
      <c r="EQ85" s="88"/>
      <c r="ER85" s="88"/>
      <c r="ES85" s="88"/>
      <c r="ET85" s="88"/>
      <c r="EU85" s="88"/>
      <c r="EV85" s="88"/>
      <c r="EW85" s="88"/>
      <c r="EX85" s="88"/>
      <c r="EY85" s="88"/>
      <c r="EZ85" s="88"/>
      <c r="FA85" s="88"/>
      <c r="FB85" s="88"/>
      <c r="FC85" s="88"/>
      <c r="FD85" s="88"/>
      <c r="FE85" s="88"/>
      <c r="FF85" s="88"/>
      <c r="FG85" s="88"/>
      <c r="FH85" s="88"/>
      <c r="FI85" s="88"/>
      <c r="FJ85" s="88"/>
      <c r="FK85" s="88"/>
      <c r="FL85" s="88"/>
      <c r="FM85" s="88"/>
      <c r="FN85" s="88"/>
      <c r="FO85" s="88"/>
      <c r="FP85" s="88"/>
      <c r="FQ85" s="88"/>
      <c r="FR85" s="88"/>
      <c r="FS85" s="88"/>
      <c r="FT85" s="88"/>
      <c r="FU85" s="88"/>
      <c r="FV85" s="88"/>
      <c r="FW85" s="88"/>
      <c r="FX85" s="88"/>
      <c r="FY85" s="88"/>
      <c r="FZ85" s="88"/>
      <c r="GA85" s="88"/>
      <c r="GB85" s="88"/>
      <c r="GC85" s="88"/>
      <c r="GD85" s="88"/>
      <c r="GE85" s="88"/>
      <c r="GF85" s="88"/>
      <c r="GG85" s="88"/>
      <c r="GH85" s="88"/>
      <c r="GI85" s="88"/>
      <c r="GJ85" s="88"/>
      <c r="GK85" s="88"/>
      <c r="GL85" s="88"/>
      <c r="GM85" s="88"/>
      <c r="GN85" s="88"/>
      <c r="GO85" s="88"/>
      <c r="GP85" s="88"/>
      <c r="GQ85" s="88"/>
      <c r="GR85" s="88"/>
      <c r="GS85" s="88"/>
      <c r="GT85" s="88"/>
      <c r="GU85" s="88"/>
      <c r="GV85" s="88"/>
      <c r="GW85" s="88"/>
      <c r="GX85" s="88"/>
      <c r="GY85" s="88"/>
      <c r="GZ85" s="88"/>
      <c r="HA85" s="88"/>
      <c r="HB85" s="88"/>
      <c r="HC85" s="88"/>
      <c r="HD85" s="88"/>
      <c r="HE85" s="88"/>
    </row>
    <row r="86" spans="1:213">
      <c r="A86" s="1" t="s">
        <v>297</v>
      </c>
      <c r="B86" s="444"/>
      <c r="C86" s="88"/>
      <c r="D86" s="88"/>
      <c r="E86" s="88"/>
      <c r="F86" s="88"/>
      <c r="G86" s="88"/>
      <c r="H86" s="88"/>
      <c r="I86" s="88"/>
      <c r="J86" s="88"/>
      <c r="K86" s="88"/>
      <c r="L86" s="88"/>
      <c r="M86" s="88"/>
      <c r="N86" s="88"/>
      <c r="O86" s="88"/>
      <c r="P86" s="88"/>
      <c r="Q86" s="88"/>
      <c r="R86" s="88"/>
      <c r="S86" s="88"/>
      <c r="T86" s="88"/>
      <c r="U86" s="88"/>
      <c r="V86" s="88"/>
      <c r="W86" s="88"/>
      <c r="X86" s="88"/>
      <c r="Y86" s="88"/>
      <c r="Z86" s="88"/>
      <c r="AA86" s="88"/>
      <c r="AB86" s="88"/>
      <c r="AC86" s="88"/>
      <c r="AD86" s="88"/>
      <c r="AE86" s="88"/>
      <c r="AF86" s="88"/>
      <c r="AG86" s="88"/>
      <c r="AH86" s="88"/>
      <c r="AI86" s="88"/>
      <c r="AJ86" s="88"/>
      <c r="AK86" s="88"/>
      <c r="AL86" s="88"/>
      <c r="AM86" s="88"/>
      <c r="AN86" s="88"/>
      <c r="AO86" s="88"/>
      <c r="AP86" s="88"/>
      <c r="AQ86" s="88"/>
      <c r="AR86" s="88"/>
      <c r="AS86" s="88"/>
      <c r="AT86" s="88"/>
      <c r="AU86" s="88"/>
      <c r="AV86" s="88"/>
      <c r="AW86" s="88"/>
      <c r="AX86" s="88"/>
      <c r="AY86" s="88"/>
      <c r="AZ86" s="88"/>
      <c r="BA86" s="88"/>
      <c r="BB86" s="88"/>
      <c r="BC86" s="88"/>
      <c r="BD86" s="88"/>
      <c r="BE86" s="88"/>
      <c r="BF86" s="88"/>
      <c r="BG86" s="88"/>
      <c r="BH86" s="88"/>
      <c r="BI86" s="88"/>
      <c r="BJ86" s="88"/>
      <c r="BK86" s="88"/>
      <c r="BL86" s="88"/>
      <c r="BM86" s="88"/>
      <c r="BN86" s="88"/>
      <c r="BO86" s="88"/>
      <c r="BP86" s="88"/>
      <c r="BQ86" s="88"/>
      <c r="BR86" s="88"/>
      <c r="BS86" s="88"/>
      <c r="BT86" s="88"/>
      <c r="BU86" s="88"/>
      <c r="BV86" s="88"/>
      <c r="BW86" s="88"/>
      <c r="BX86" s="88"/>
      <c r="BY86" s="88"/>
      <c r="BZ86" s="88"/>
      <c r="CA86" s="88"/>
      <c r="CB86" s="88"/>
      <c r="CC86" s="88"/>
      <c r="CD86" s="88"/>
      <c r="CE86" s="88"/>
      <c r="CF86" s="88"/>
      <c r="CG86" s="88"/>
      <c r="CH86" s="88"/>
      <c r="CI86" s="88"/>
      <c r="CJ86" s="88"/>
      <c r="CK86" s="88"/>
      <c r="CL86" s="88"/>
      <c r="CM86" s="88"/>
      <c r="CN86" s="88"/>
      <c r="CO86" s="88"/>
      <c r="CP86" s="88"/>
      <c r="CQ86" s="88"/>
      <c r="CR86" s="88"/>
      <c r="CS86" s="88"/>
      <c r="CT86" s="88"/>
      <c r="CU86" s="88"/>
      <c r="CV86" s="88"/>
      <c r="CW86" s="88"/>
      <c r="CX86" s="88"/>
      <c r="CY86" s="88"/>
      <c r="CZ86" s="88"/>
      <c r="DA86" s="88"/>
      <c r="DB86" s="88"/>
      <c r="DC86" s="88"/>
      <c r="DD86" s="88"/>
      <c r="DE86" s="88"/>
      <c r="DF86" s="88"/>
      <c r="DG86" s="88"/>
      <c r="DH86" s="88"/>
      <c r="DI86" s="88"/>
      <c r="DJ86" s="88"/>
      <c r="DK86" s="88"/>
      <c r="DL86" s="88"/>
      <c r="DM86" s="88"/>
      <c r="DN86" s="88"/>
      <c r="DO86" s="88"/>
      <c r="DP86" s="88"/>
      <c r="DQ86" s="88"/>
      <c r="DR86" s="88"/>
      <c r="DS86" s="88"/>
      <c r="DT86" s="88"/>
      <c r="DU86" s="88"/>
      <c r="DV86" s="88"/>
      <c r="DW86" s="88"/>
      <c r="DX86" s="88"/>
      <c r="DY86" s="88"/>
      <c r="DZ86" s="88"/>
      <c r="EA86" s="88"/>
      <c r="EB86" s="88"/>
      <c r="EC86" s="88"/>
      <c r="ED86" s="88"/>
      <c r="EE86" s="88"/>
      <c r="EF86" s="88"/>
      <c r="EG86" s="88"/>
      <c r="EH86" s="88"/>
      <c r="EI86" s="88"/>
      <c r="EJ86" s="88"/>
      <c r="EK86" s="88"/>
      <c r="EL86" s="88"/>
      <c r="EM86" s="88"/>
      <c r="EN86" s="88"/>
      <c r="EO86" s="88"/>
      <c r="EP86" s="88"/>
      <c r="EQ86" s="88"/>
      <c r="ER86" s="88"/>
      <c r="ES86" s="88"/>
      <c r="ET86" s="88"/>
      <c r="EU86" s="88"/>
      <c r="EV86" s="88"/>
      <c r="EW86" s="88"/>
      <c r="EX86" s="88"/>
      <c r="EY86" s="88"/>
      <c r="EZ86" s="88"/>
      <c r="FA86" s="88"/>
      <c r="FB86" s="88"/>
      <c r="FC86" s="88"/>
      <c r="FD86" s="88"/>
      <c r="FE86" s="88"/>
      <c r="FF86" s="88"/>
      <c r="FG86" s="88"/>
      <c r="FH86" s="88"/>
      <c r="FI86" s="88"/>
      <c r="FJ86" s="88"/>
      <c r="FK86" s="88"/>
      <c r="FL86" s="88"/>
      <c r="FM86" s="88"/>
      <c r="FN86" s="88"/>
      <c r="FO86" s="88"/>
      <c r="FP86" s="88"/>
      <c r="FQ86" s="88"/>
      <c r="FR86" s="88"/>
      <c r="FS86" s="88"/>
      <c r="FT86" s="88"/>
      <c r="FU86" s="88"/>
      <c r="FV86" s="88"/>
      <c r="FW86" s="88"/>
      <c r="FX86" s="88"/>
      <c r="FY86" s="88"/>
      <c r="FZ86" s="88"/>
      <c r="GA86" s="88"/>
      <c r="GB86" s="88"/>
      <c r="GC86" s="88"/>
      <c r="GD86" s="88"/>
      <c r="GE86" s="88"/>
      <c r="GF86" s="88"/>
      <c r="GG86" s="88"/>
      <c r="GH86" s="88"/>
      <c r="GI86" s="88"/>
      <c r="GJ86" s="88"/>
      <c r="GK86" s="88"/>
      <c r="GL86" s="88"/>
      <c r="GM86" s="88"/>
      <c r="GN86" s="88"/>
      <c r="GO86" s="88"/>
      <c r="GP86" s="88"/>
      <c r="GQ86" s="88"/>
      <c r="GR86" s="88"/>
      <c r="GS86" s="88"/>
      <c r="GT86" s="88"/>
      <c r="GU86" s="88"/>
      <c r="GV86" s="88"/>
      <c r="GW86" s="88"/>
      <c r="GX86" s="88"/>
      <c r="GY86" s="88"/>
      <c r="GZ86" s="88"/>
      <c r="HA86" s="88"/>
      <c r="HB86" s="88"/>
      <c r="HC86" s="88"/>
      <c r="HD86" s="88"/>
      <c r="HE86" s="88"/>
    </row>
    <row r="87" spans="1:213">
      <c r="A87" s="17" t="s">
        <v>298</v>
      </c>
      <c r="B87" s="449">
        <v>0</v>
      </c>
      <c r="C87" s="6" t="s">
        <v>286</v>
      </c>
      <c r="D87" s="88"/>
      <c r="E87" s="88"/>
      <c r="F87" s="88"/>
      <c r="G87" s="88"/>
      <c r="H87" s="88"/>
      <c r="I87" s="88"/>
      <c r="J87" s="88"/>
      <c r="K87" s="88"/>
      <c r="L87" s="88"/>
      <c r="M87" s="88"/>
      <c r="N87" s="88"/>
      <c r="O87" s="88"/>
      <c r="P87" s="88"/>
      <c r="Q87" s="88"/>
      <c r="R87" s="88"/>
      <c r="S87" s="88"/>
      <c r="T87" s="88"/>
      <c r="U87" s="88"/>
      <c r="V87" s="88"/>
      <c r="W87" s="88"/>
      <c r="X87" s="88"/>
      <c r="Y87" s="88"/>
      <c r="Z87" s="88"/>
      <c r="AA87" s="88"/>
      <c r="AB87" s="88"/>
      <c r="AC87" s="88"/>
      <c r="AD87" s="88"/>
      <c r="AE87" s="88"/>
      <c r="AF87" s="88"/>
      <c r="AG87" s="88"/>
      <c r="AH87" s="88"/>
      <c r="AI87" s="88"/>
      <c r="AJ87" s="88"/>
      <c r="AK87" s="88"/>
      <c r="AL87" s="88"/>
      <c r="AM87" s="88"/>
      <c r="AN87" s="88"/>
      <c r="AO87" s="88"/>
      <c r="AP87" s="88"/>
      <c r="AQ87" s="88"/>
      <c r="AR87" s="88"/>
      <c r="AS87" s="88"/>
      <c r="AT87" s="88"/>
      <c r="AU87" s="88"/>
      <c r="AV87" s="88"/>
      <c r="AW87" s="88"/>
      <c r="AX87" s="88"/>
      <c r="AY87" s="88"/>
      <c r="AZ87" s="88"/>
      <c r="BA87" s="88"/>
      <c r="BB87" s="88"/>
      <c r="BC87" s="88"/>
      <c r="BD87" s="88"/>
      <c r="BE87" s="88"/>
      <c r="BF87" s="88"/>
      <c r="BG87" s="88"/>
      <c r="BH87" s="88"/>
      <c r="BI87" s="88"/>
      <c r="BJ87" s="88"/>
      <c r="BK87" s="88"/>
      <c r="BL87" s="88"/>
      <c r="BM87" s="88"/>
      <c r="BN87" s="88"/>
      <c r="BO87" s="88"/>
      <c r="BP87" s="88"/>
      <c r="BQ87" s="88"/>
      <c r="BR87" s="88"/>
      <c r="BS87" s="88"/>
      <c r="BT87" s="88"/>
      <c r="BU87" s="88"/>
      <c r="BV87" s="88"/>
      <c r="BW87" s="88"/>
      <c r="BX87" s="88"/>
      <c r="BY87" s="88"/>
      <c r="BZ87" s="88"/>
      <c r="CA87" s="88"/>
      <c r="CB87" s="88"/>
      <c r="CC87" s="88"/>
      <c r="CD87" s="88"/>
      <c r="CE87" s="88"/>
      <c r="CF87" s="88"/>
      <c r="CG87" s="88"/>
      <c r="CH87" s="88"/>
      <c r="CI87" s="88"/>
      <c r="CJ87" s="88"/>
      <c r="CK87" s="88"/>
      <c r="CL87" s="88"/>
      <c r="CM87" s="88"/>
      <c r="CN87" s="88"/>
      <c r="CO87" s="88"/>
      <c r="CP87" s="88"/>
      <c r="CQ87" s="88"/>
      <c r="CR87" s="88"/>
      <c r="CS87" s="88"/>
      <c r="CT87" s="88"/>
      <c r="CU87" s="88"/>
      <c r="CV87" s="88"/>
      <c r="CW87" s="88"/>
      <c r="CX87" s="88"/>
      <c r="CY87" s="88"/>
      <c r="CZ87" s="88"/>
      <c r="DA87" s="88"/>
      <c r="DB87" s="88"/>
      <c r="DC87" s="88"/>
      <c r="DD87" s="88"/>
      <c r="DE87" s="88"/>
      <c r="DF87" s="88"/>
      <c r="DG87" s="88"/>
      <c r="DH87" s="88"/>
      <c r="DI87" s="88"/>
      <c r="DJ87" s="88"/>
      <c r="DK87" s="88"/>
      <c r="DL87" s="88"/>
      <c r="DM87" s="88"/>
      <c r="DN87" s="88"/>
      <c r="DO87" s="88"/>
      <c r="DP87" s="88"/>
      <c r="DQ87" s="88"/>
      <c r="DR87" s="88"/>
      <c r="DS87" s="88"/>
      <c r="DT87" s="88"/>
      <c r="DU87" s="88"/>
      <c r="DV87" s="88"/>
      <c r="DW87" s="88"/>
      <c r="DX87" s="88"/>
      <c r="DY87" s="88"/>
      <c r="DZ87" s="88"/>
      <c r="EA87" s="88"/>
      <c r="EB87" s="88"/>
      <c r="EC87" s="88"/>
      <c r="ED87" s="88"/>
      <c r="EE87" s="88"/>
      <c r="EF87" s="88"/>
      <c r="EG87" s="88"/>
      <c r="EH87" s="88"/>
      <c r="EI87" s="88"/>
      <c r="EJ87" s="88"/>
      <c r="EK87" s="88"/>
      <c r="EL87" s="88"/>
      <c r="EM87" s="88"/>
      <c r="EN87" s="88"/>
      <c r="EO87" s="88"/>
      <c r="EP87" s="88"/>
      <c r="EQ87" s="88"/>
      <c r="ER87" s="88"/>
      <c r="ES87" s="88"/>
      <c r="ET87" s="88"/>
      <c r="EU87" s="88"/>
      <c r="EV87" s="88"/>
      <c r="EW87" s="88"/>
      <c r="EX87" s="88"/>
      <c r="EY87" s="88"/>
      <c r="EZ87" s="88"/>
      <c r="FA87" s="88"/>
      <c r="FB87" s="88"/>
      <c r="FC87" s="88"/>
      <c r="FD87" s="88"/>
      <c r="FE87" s="88"/>
      <c r="FF87" s="88"/>
      <c r="FG87" s="88"/>
      <c r="FH87" s="88"/>
      <c r="FI87" s="88"/>
      <c r="FJ87" s="88"/>
      <c r="FK87" s="88"/>
      <c r="FL87" s="88"/>
      <c r="FM87" s="88"/>
      <c r="FN87" s="88"/>
      <c r="FO87" s="88"/>
      <c r="FP87" s="88"/>
      <c r="FQ87" s="88"/>
      <c r="FR87" s="88"/>
      <c r="FS87" s="88"/>
      <c r="FT87" s="88"/>
      <c r="FU87" s="88"/>
      <c r="FV87" s="88"/>
      <c r="FW87" s="88"/>
      <c r="FX87" s="88"/>
      <c r="FY87" s="88"/>
      <c r="FZ87" s="88"/>
      <c r="GA87" s="88"/>
      <c r="GB87" s="88"/>
      <c r="GC87" s="88"/>
      <c r="GD87" s="88"/>
      <c r="GE87" s="88"/>
      <c r="GF87" s="88"/>
      <c r="GG87" s="88"/>
      <c r="GH87" s="88"/>
      <c r="GI87" s="88"/>
      <c r="GJ87" s="88"/>
      <c r="GK87" s="88"/>
      <c r="GL87" s="88"/>
      <c r="GM87" s="88"/>
      <c r="GN87" s="88"/>
      <c r="GO87" s="88"/>
      <c r="GP87" s="88"/>
      <c r="GQ87" s="88"/>
      <c r="GR87" s="88"/>
      <c r="GS87" s="88"/>
      <c r="GT87" s="88"/>
      <c r="GU87" s="88"/>
      <c r="GV87" s="88"/>
      <c r="GW87" s="88"/>
      <c r="GX87" s="88"/>
      <c r="GY87" s="88"/>
      <c r="GZ87" s="88"/>
      <c r="HA87" s="88"/>
      <c r="HB87" s="88"/>
      <c r="HC87" s="88"/>
      <c r="HD87" s="88"/>
      <c r="HE87" s="88"/>
    </row>
    <row r="88" spans="1:213">
      <c r="A88" s="1" t="s">
        <v>4094</v>
      </c>
      <c r="B88" s="444"/>
      <c r="C88" s="88"/>
      <c r="D88" s="88"/>
      <c r="E88" s="88"/>
      <c r="F88" s="88"/>
      <c r="G88" s="88"/>
      <c r="H88" s="88"/>
      <c r="I88" s="88"/>
      <c r="J88" s="88"/>
      <c r="K88" s="88"/>
      <c r="L88" s="88"/>
      <c r="M88" s="88"/>
      <c r="N88" s="88"/>
      <c r="O88" s="88"/>
      <c r="P88" s="88"/>
      <c r="Q88" s="88"/>
      <c r="R88" s="88"/>
      <c r="S88" s="88"/>
      <c r="T88" s="88"/>
      <c r="U88" s="88"/>
      <c r="V88" s="88"/>
      <c r="W88" s="88"/>
      <c r="X88" s="88"/>
      <c r="Y88" s="88"/>
      <c r="Z88" s="88"/>
      <c r="AA88" s="88"/>
      <c r="AB88" s="88"/>
      <c r="AC88" s="88"/>
      <c r="AD88" s="88"/>
      <c r="AE88" s="88"/>
      <c r="AF88" s="88"/>
      <c r="AG88" s="88"/>
      <c r="AH88" s="88"/>
      <c r="AI88" s="88"/>
      <c r="AJ88" s="88"/>
      <c r="AK88" s="88"/>
      <c r="AL88" s="88"/>
      <c r="AM88" s="88"/>
      <c r="AN88" s="88"/>
      <c r="AO88" s="88"/>
      <c r="AP88" s="88"/>
      <c r="AQ88" s="88"/>
      <c r="AR88" s="88"/>
      <c r="AS88" s="88"/>
      <c r="AT88" s="88"/>
      <c r="AU88" s="88"/>
      <c r="AV88" s="88"/>
      <c r="AW88" s="88"/>
      <c r="AX88" s="88"/>
      <c r="AY88" s="88"/>
      <c r="AZ88" s="88"/>
      <c r="BA88" s="88"/>
      <c r="BB88" s="88"/>
      <c r="BC88" s="88"/>
      <c r="BD88" s="88"/>
      <c r="BE88" s="88"/>
      <c r="BF88" s="88"/>
      <c r="BG88" s="88"/>
      <c r="BH88" s="88"/>
      <c r="BI88" s="88"/>
      <c r="BJ88" s="88"/>
      <c r="BK88" s="88"/>
      <c r="BL88" s="88"/>
      <c r="BM88" s="88"/>
      <c r="BN88" s="88"/>
      <c r="BO88" s="88"/>
      <c r="BP88" s="88"/>
      <c r="BQ88" s="88"/>
      <c r="BR88" s="88"/>
      <c r="BS88" s="88"/>
      <c r="BT88" s="88"/>
      <c r="BU88" s="88"/>
      <c r="BV88" s="88"/>
      <c r="BW88" s="88"/>
      <c r="BX88" s="88"/>
      <c r="BY88" s="88"/>
      <c r="BZ88" s="88"/>
      <c r="CA88" s="88"/>
      <c r="CB88" s="88"/>
      <c r="CC88" s="88"/>
      <c r="CD88" s="88"/>
      <c r="CE88" s="88"/>
      <c r="CF88" s="88"/>
      <c r="CG88" s="88"/>
      <c r="CH88" s="88"/>
      <c r="CI88" s="88"/>
      <c r="CJ88" s="88"/>
      <c r="CK88" s="88"/>
      <c r="CL88" s="88"/>
      <c r="CM88" s="88"/>
      <c r="CN88" s="88"/>
      <c r="CO88" s="88"/>
      <c r="CP88" s="88"/>
      <c r="CQ88" s="88"/>
      <c r="CR88" s="88"/>
      <c r="CS88" s="88"/>
      <c r="CT88" s="88"/>
      <c r="CU88" s="88"/>
      <c r="CV88" s="88"/>
      <c r="CW88" s="88"/>
      <c r="CX88" s="88"/>
      <c r="CY88" s="88"/>
      <c r="CZ88" s="88"/>
      <c r="DA88" s="88"/>
      <c r="DB88" s="88"/>
      <c r="DC88" s="88"/>
      <c r="DD88" s="88"/>
      <c r="DE88" s="88"/>
      <c r="DF88" s="88"/>
      <c r="DG88" s="88"/>
      <c r="DH88" s="88"/>
      <c r="DI88" s="88"/>
      <c r="DJ88" s="88"/>
      <c r="DK88" s="88"/>
      <c r="DL88" s="88"/>
      <c r="DM88" s="88"/>
      <c r="DN88" s="88"/>
      <c r="DO88" s="88"/>
      <c r="DP88" s="88"/>
      <c r="DQ88" s="88"/>
      <c r="DR88" s="88"/>
      <c r="DS88" s="88"/>
      <c r="DT88" s="88"/>
      <c r="DU88" s="88"/>
      <c r="DV88" s="88"/>
      <c r="DW88" s="88"/>
      <c r="DX88" s="88"/>
      <c r="DY88" s="88"/>
      <c r="DZ88" s="88"/>
      <c r="EA88" s="88"/>
      <c r="EB88" s="88"/>
      <c r="EC88" s="88"/>
      <c r="ED88" s="88"/>
      <c r="EE88" s="88"/>
      <c r="EF88" s="88"/>
      <c r="EG88" s="88"/>
      <c r="EH88" s="88"/>
      <c r="EI88" s="88"/>
      <c r="EJ88" s="88"/>
      <c r="EK88" s="88"/>
      <c r="EL88" s="88"/>
      <c r="EM88" s="88"/>
      <c r="EN88" s="88"/>
      <c r="EO88" s="88"/>
      <c r="EP88" s="88"/>
      <c r="EQ88" s="88"/>
      <c r="ER88" s="88"/>
      <c r="ES88" s="88"/>
      <c r="ET88" s="88"/>
      <c r="EU88" s="88"/>
      <c r="EV88" s="88"/>
      <c r="EW88" s="88"/>
      <c r="EX88" s="88"/>
      <c r="EY88" s="88"/>
      <c r="EZ88" s="88"/>
      <c r="FA88" s="88"/>
      <c r="FB88" s="88"/>
      <c r="FC88" s="88"/>
      <c r="FD88" s="88"/>
      <c r="FE88" s="88"/>
      <c r="FF88" s="88"/>
      <c r="FG88" s="88"/>
      <c r="FH88" s="88"/>
      <c r="FI88" s="88"/>
      <c r="FJ88" s="88"/>
      <c r="FK88" s="88"/>
      <c r="FL88" s="88"/>
      <c r="FM88" s="88"/>
      <c r="FN88" s="88"/>
      <c r="FO88" s="88"/>
      <c r="FP88" s="88"/>
      <c r="FQ88" s="88"/>
      <c r="FR88" s="88"/>
      <c r="FS88" s="88"/>
      <c r="FT88" s="88"/>
      <c r="FU88" s="88"/>
      <c r="FV88" s="88"/>
      <c r="FW88" s="88"/>
      <c r="FX88" s="88"/>
      <c r="FY88" s="88"/>
      <c r="FZ88" s="88"/>
      <c r="GA88" s="88"/>
      <c r="GB88" s="88"/>
      <c r="GC88" s="88"/>
      <c r="GD88" s="88"/>
      <c r="GE88" s="88"/>
      <c r="GF88" s="88"/>
      <c r="GG88" s="88"/>
      <c r="GH88" s="88"/>
      <c r="GI88" s="88"/>
      <c r="GJ88" s="88"/>
      <c r="GK88" s="88"/>
      <c r="GL88" s="88"/>
      <c r="GM88" s="88"/>
      <c r="GN88" s="88"/>
      <c r="GO88" s="88"/>
      <c r="GP88" s="88"/>
      <c r="GQ88" s="88"/>
      <c r="GR88" s="88"/>
      <c r="GS88" s="88"/>
      <c r="GT88" s="88"/>
      <c r="GU88" s="88"/>
      <c r="GV88" s="88"/>
      <c r="GW88" s="88"/>
      <c r="GX88" s="88"/>
      <c r="GY88" s="88"/>
      <c r="GZ88" s="88"/>
      <c r="HA88" s="88"/>
      <c r="HB88" s="88"/>
      <c r="HC88" s="88"/>
      <c r="HD88" s="88"/>
      <c r="HE88" s="88"/>
    </row>
    <row r="89" spans="1:213">
      <c r="A89" s="450" t="s">
        <v>299</v>
      </c>
      <c r="B89" s="449">
        <v>0</v>
      </c>
      <c r="C89" s="6" t="s">
        <v>286</v>
      </c>
      <c r="D89" s="88"/>
      <c r="E89" s="88"/>
      <c r="F89" s="88"/>
      <c r="G89" s="88"/>
      <c r="H89" s="88"/>
      <c r="I89" s="88"/>
      <c r="J89" s="88"/>
      <c r="K89" s="88"/>
      <c r="L89" s="88"/>
      <c r="M89" s="88"/>
      <c r="N89" s="88"/>
      <c r="O89" s="88"/>
      <c r="P89" s="88"/>
      <c r="Q89" s="88"/>
      <c r="R89" s="88"/>
      <c r="S89" s="88"/>
      <c r="T89" s="88"/>
      <c r="U89" s="88"/>
      <c r="V89" s="88"/>
      <c r="W89" s="88"/>
      <c r="X89" s="88"/>
      <c r="Y89" s="88"/>
      <c r="Z89" s="88"/>
      <c r="AA89" s="88"/>
      <c r="AB89" s="88"/>
      <c r="AC89" s="88"/>
      <c r="AD89" s="88"/>
      <c r="AE89" s="88"/>
      <c r="AF89" s="88"/>
      <c r="AG89" s="88"/>
      <c r="AH89" s="88"/>
      <c r="AI89" s="88"/>
      <c r="AJ89" s="88"/>
      <c r="AK89" s="88"/>
      <c r="AL89" s="88"/>
      <c r="AM89" s="88"/>
      <c r="AN89" s="88"/>
      <c r="AO89" s="88"/>
      <c r="AP89" s="88"/>
      <c r="AQ89" s="88"/>
      <c r="AR89" s="88"/>
      <c r="AS89" s="88"/>
      <c r="AT89" s="88"/>
      <c r="AU89" s="88"/>
      <c r="AV89" s="88"/>
      <c r="AW89" s="88"/>
      <c r="AX89" s="88"/>
      <c r="AY89" s="88"/>
      <c r="AZ89" s="88"/>
      <c r="BA89" s="88"/>
      <c r="BB89" s="88"/>
      <c r="BC89" s="88"/>
      <c r="BD89" s="88"/>
      <c r="BE89" s="88"/>
      <c r="BF89" s="88"/>
      <c r="BG89" s="88"/>
      <c r="BH89" s="88"/>
      <c r="BI89" s="88"/>
      <c r="BJ89" s="88"/>
      <c r="BK89" s="88"/>
      <c r="BL89" s="88"/>
      <c r="BM89" s="88"/>
      <c r="BN89" s="88"/>
      <c r="BO89" s="88"/>
      <c r="BP89" s="88"/>
      <c r="BQ89" s="88"/>
      <c r="BR89" s="88"/>
      <c r="BS89" s="88"/>
      <c r="BT89" s="88"/>
      <c r="BU89" s="88"/>
      <c r="BV89" s="88"/>
      <c r="BW89" s="88"/>
      <c r="BX89" s="88"/>
      <c r="BY89" s="88"/>
      <c r="BZ89" s="88"/>
      <c r="CA89" s="88"/>
      <c r="CB89" s="88"/>
      <c r="CC89" s="88"/>
      <c r="CD89" s="88"/>
      <c r="CE89" s="88"/>
      <c r="CF89" s="88"/>
      <c r="CG89" s="88"/>
      <c r="CH89" s="88"/>
      <c r="CI89" s="88"/>
      <c r="CJ89" s="88"/>
      <c r="CK89" s="88"/>
      <c r="CL89" s="88"/>
      <c r="CM89" s="88"/>
      <c r="CN89" s="88"/>
      <c r="CO89" s="88"/>
      <c r="CP89" s="88"/>
      <c r="CQ89" s="88"/>
      <c r="CR89" s="88"/>
      <c r="CS89" s="88"/>
      <c r="CT89" s="88"/>
      <c r="CU89" s="88"/>
      <c r="CV89" s="88"/>
      <c r="CW89" s="88"/>
      <c r="CX89" s="88"/>
      <c r="CY89" s="88"/>
      <c r="CZ89" s="88"/>
      <c r="DA89" s="88"/>
      <c r="DB89" s="88"/>
      <c r="DC89" s="88"/>
      <c r="DD89" s="88"/>
      <c r="DE89" s="88"/>
      <c r="DF89" s="88"/>
      <c r="DG89" s="88"/>
      <c r="DH89" s="88"/>
      <c r="DI89" s="88"/>
      <c r="DJ89" s="88"/>
      <c r="DK89" s="88"/>
      <c r="DL89" s="88"/>
      <c r="DM89" s="88"/>
      <c r="DN89" s="88"/>
      <c r="DO89" s="88"/>
      <c r="DP89" s="88"/>
      <c r="DQ89" s="88"/>
      <c r="DR89" s="88"/>
      <c r="DS89" s="88"/>
      <c r="DT89" s="88"/>
      <c r="DU89" s="88"/>
      <c r="DV89" s="88"/>
      <c r="DW89" s="88"/>
      <c r="DX89" s="88"/>
      <c r="DY89" s="88"/>
      <c r="DZ89" s="88"/>
      <c r="EA89" s="88"/>
      <c r="EB89" s="88"/>
      <c r="EC89" s="88"/>
      <c r="ED89" s="88"/>
      <c r="EE89" s="88"/>
      <c r="EF89" s="88"/>
      <c r="EG89" s="88"/>
      <c r="EH89" s="88"/>
      <c r="EI89" s="88"/>
      <c r="EJ89" s="88"/>
      <c r="EK89" s="88"/>
      <c r="EL89" s="88"/>
      <c r="EM89" s="88"/>
      <c r="EN89" s="88"/>
      <c r="EO89" s="88"/>
      <c r="EP89" s="88"/>
      <c r="EQ89" s="88"/>
      <c r="ER89" s="88"/>
      <c r="ES89" s="88"/>
      <c r="ET89" s="88"/>
      <c r="EU89" s="88"/>
      <c r="EV89" s="88"/>
      <c r="EW89" s="88"/>
      <c r="EX89" s="88"/>
      <c r="EY89" s="88"/>
      <c r="EZ89" s="88"/>
      <c r="FA89" s="88"/>
      <c r="FB89" s="88"/>
      <c r="FC89" s="88"/>
      <c r="FD89" s="88"/>
      <c r="FE89" s="88"/>
      <c r="FF89" s="88"/>
      <c r="FG89" s="88"/>
      <c r="FH89" s="88"/>
      <c r="FI89" s="88"/>
      <c r="FJ89" s="88"/>
      <c r="FK89" s="88"/>
      <c r="FL89" s="88"/>
      <c r="FM89" s="88"/>
      <c r="FN89" s="88"/>
      <c r="FO89" s="88"/>
      <c r="FP89" s="88"/>
      <c r="FQ89" s="88"/>
      <c r="FR89" s="88"/>
      <c r="FS89" s="88"/>
      <c r="FT89" s="88"/>
      <c r="FU89" s="88"/>
      <c r="FV89" s="88"/>
      <c r="FW89" s="88"/>
      <c r="FX89" s="88"/>
      <c r="FY89" s="88"/>
      <c r="FZ89" s="88"/>
      <c r="GA89" s="88"/>
      <c r="GB89" s="88"/>
      <c r="GC89" s="88"/>
      <c r="GD89" s="88"/>
      <c r="GE89" s="88"/>
      <c r="GF89" s="88"/>
      <c r="GG89" s="88"/>
      <c r="GH89" s="88"/>
      <c r="GI89" s="88"/>
      <c r="GJ89" s="88"/>
      <c r="GK89" s="88"/>
      <c r="GL89" s="88"/>
      <c r="GM89" s="88"/>
      <c r="GN89" s="88"/>
      <c r="GO89" s="88"/>
      <c r="GP89" s="88"/>
      <c r="GQ89" s="88"/>
      <c r="GR89" s="88"/>
      <c r="GS89" s="88"/>
      <c r="GT89" s="88"/>
      <c r="GU89" s="88"/>
      <c r="GV89" s="88"/>
      <c r="GW89" s="88"/>
      <c r="GX89" s="88"/>
      <c r="GY89" s="88"/>
      <c r="GZ89" s="88"/>
      <c r="HA89" s="88"/>
      <c r="HB89" s="88"/>
      <c r="HC89" s="88"/>
      <c r="HD89" s="88"/>
      <c r="HE89" s="88"/>
    </row>
    <row r="90" spans="1:213">
      <c r="A90" s="1" t="s">
        <v>300</v>
      </c>
      <c r="B90" s="444"/>
      <c r="C90" s="6"/>
      <c r="D90" s="88"/>
      <c r="E90" s="88"/>
      <c r="F90" s="88"/>
      <c r="G90" s="88"/>
      <c r="H90" s="88"/>
      <c r="I90" s="88"/>
      <c r="J90" s="88"/>
      <c r="K90" s="88"/>
      <c r="L90" s="88"/>
      <c r="M90" s="88"/>
      <c r="N90" s="88"/>
      <c r="O90" s="88"/>
      <c r="P90" s="88"/>
      <c r="Q90" s="88"/>
      <c r="R90" s="88"/>
      <c r="S90" s="88"/>
      <c r="T90" s="88"/>
      <c r="U90" s="88"/>
      <c r="V90" s="88"/>
      <c r="W90" s="88"/>
      <c r="X90" s="88"/>
      <c r="Y90" s="88"/>
      <c r="Z90" s="88"/>
      <c r="AA90" s="88"/>
      <c r="AB90" s="88"/>
      <c r="AC90" s="88"/>
      <c r="AD90" s="88"/>
      <c r="AE90" s="88"/>
      <c r="AF90" s="88"/>
      <c r="AG90" s="88"/>
      <c r="AH90" s="88"/>
      <c r="AI90" s="88"/>
      <c r="AJ90" s="88"/>
      <c r="AK90" s="88"/>
      <c r="AL90" s="88"/>
      <c r="AM90" s="88"/>
      <c r="AN90" s="88"/>
      <c r="AO90" s="88"/>
      <c r="AP90" s="88"/>
      <c r="AQ90" s="88"/>
      <c r="AR90" s="88"/>
      <c r="AS90" s="88"/>
      <c r="AT90" s="88"/>
      <c r="AU90" s="88"/>
      <c r="AV90" s="88"/>
      <c r="AW90" s="88"/>
      <c r="AX90" s="88"/>
      <c r="AY90" s="88"/>
      <c r="AZ90" s="88"/>
      <c r="BA90" s="88"/>
      <c r="BB90" s="88"/>
      <c r="BC90" s="88"/>
      <c r="BD90" s="88"/>
      <c r="BE90" s="88"/>
      <c r="BF90" s="88"/>
      <c r="BG90" s="88"/>
      <c r="BH90" s="88"/>
      <c r="BI90" s="88"/>
      <c r="BJ90" s="88"/>
      <c r="BK90" s="88"/>
      <c r="BL90" s="88"/>
      <c r="BM90" s="88"/>
      <c r="BN90" s="88"/>
      <c r="BO90" s="88"/>
      <c r="BP90" s="88"/>
      <c r="BQ90" s="88"/>
      <c r="BR90" s="88"/>
      <c r="BS90" s="88"/>
      <c r="BT90" s="88"/>
      <c r="BU90" s="88"/>
      <c r="BV90" s="88"/>
      <c r="BW90" s="88"/>
      <c r="BX90" s="88"/>
      <c r="BY90" s="88"/>
      <c r="BZ90" s="88"/>
      <c r="CA90" s="88"/>
      <c r="CB90" s="88"/>
      <c r="CC90" s="88"/>
      <c r="CD90" s="88"/>
      <c r="CE90" s="88"/>
      <c r="CF90" s="88"/>
      <c r="CG90" s="88"/>
      <c r="CH90" s="88"/>
      <c r="CI90" s="88"/>
      <c r="CJ90" s="88"/>
      <c r="CK90" s="88"/>
      <c r="CL90" s="88"/>
      <c r="CM90" s="88"/>
      <c r="CN90" s="88"/>
      <c r="CO90" s="88"/>
      <c r="CP90" s="88"/>
      <c r="CQ90" s="88"/>
      <c r="CR90" s="88"/>
      <c r="CS90" s="88"/>
      <c r="CT90" s="88"/>
      <c r="CU90" s="88"/>
      <c r="CV90" s="88"/>
      <c r="CW90" s="88"/>
      <c r="CX90" s="88"/>
      <c r="CY90" s="88"/>
      <c r="CZ90" s="88"/>
      <c r="DA90" s="88"/>
      <c r="DB90" s="88"/>
      <c r="DC90" s="88"/>
      <c r="DD90" s="88"/>
      <c r="DE90" s="88"/>
      <c r="DF90" s="88"/>
      <c r="DG90" s="88"/>
      <c r="DH90" s="88"/>
      <c r="DI90" s="88"/>
      <c r="DJ90" s="88"/>
      <c r="DK90" s="88"/>
      <c r="DL90" s="88"/>
      <c r="DM90" s="88"/>
      <c r="DN90" s="88"/>
      <c r="DO90" s="88"/>
      <c r="DP90" s="88"/>
      <c r="DQ90" s="88"/>
      <c r="DR90" s="88"/>
      <c r="DS90" s="88"/>
      <c r="DT90" s="88"/>
      <c r="DU90" s="88"/>
      <c r="DV90" s="88"/>
      <c r="DW90" s="88"/>
      <c r="DX90" s="88"/>
      <c r="DY90" s="88"/>
      <c r="DZ90" s="88"/>
      <c r="EA90" s="88"/>
      <c r="EB90" s="88"/>
      <c r="EC90" s="88"/>
      <c r="ED90" s="88"/>
      <c r="EE90" s="88"/>
      <c r="EF90" s="88"/>
      <c r="EG90" s="88"/>
      <c r="EH90" s="88"/>
      <c r="EI90" s="88"/>
      <c r="EJ90" s="88"/>
      <c r="EK90" s="88"/>
      <c r="EL90" s="88"/>
      <c r="EM90" s="88"/>
      <c r="EN90" s="88"/>
      <c r="EO90" s="88"/>
      <c r="EP90" s="88"/>
      <c r="EQ90" s="88"/>
      <c r="ER90" s="88"/>
      <c r="ES90" s="88"/>
      <c r="ET90" s="88"/>
      <c r="EU90" s="88"/>
      <c r="EV90" s="88"/>
      <c r="EW90" s="88"/>
      <c r="EX90" s="88"/>
      <c r="EY90" s="88"/>
      <c r="EZ90" s="88"/>
      <c r="FA90" s="88"/>
      <c r="FB90" s="88"/>
      <c r="FC90" s="88"/>
      <c r="FD90" s="88"/>
      <c r="FE90" s="88"/>
      <c r="FF90" s="88"/>
      <c r="FG90" s="88"/>
      <c r="FH90" s="88"/>
      <c r="FI90" s="88"/>
      <c r="FJ90" s="88"/>
      <c r="FK90" s="88"/>
      <c r="FL90" s="88"/>
      <c r="FM90" s="88"/>
      <c r="FN90" s="88"/>
      <c r="FO90" s="88"/>
      <c r="FP90" s="88"/>
      <c r="FQ90" s="88"/>
      <c r="FR90" s="88"/>
      <c r="FS90" s="88"/>
      <c r="FT90" s="88"/>
      <c r="FU90" s="88"/>
      <c r="FV90" s="88"/>
      <c r="FW90" s="88"/>
      <c r="FX90" s="88"/>
      <c r="FY90" s="88"/>
      <c r="FZ90" s="88"/>
      <c r="GA90" s="88"/>
      <c r="GB90" s="88"/>
      <c r="GC90" s="88"/>
      <c r="GD90" s="88"/>
      <c r="GE90" s="88"/>
      <c r="GF90" s="88"/>
      <c r="GG90" s="88"/>
      <c r="GH90" s="88"/>
      <c r="GI90" s="88"/>
      <c r="GJ90" s="88"/>
      <c r="GK90" s="88"/>
      <c r="GL90" s="88"/>
      <c r="GM90" s="88"/>
      <c r="GN90" s="88"/>
      <c r="GO90" s="88"/>
      <c r="GP90" s="88"/>
      <c r="GQ90" s="88"/>
      <c r="GR90" s="88"/>
      <c r="GS90" s="88"/>
      <c r="GT90" s="88"/>
      <c r="GU90" s="88"/>
      <c r="GV90" s="88"/>
      <c r="GW90" s="88"/>
      <c r="GX90" s="88"/>
      <c r="GY90" s="88"/>
      <c r="GZ90" s="88"/>
      <c r="HA90" s="88"/>
      <c r="HB90" s="88"/>
      <c r="HC90" s="88"/>
      <c r="HD90" s="88"/>
      <c r="HE90" s="88"/>
    </row>
    <row r="91" spans="1:213">
      <c r="A91" s="450" t="s">
        <v>301</v>
      </c>
      <c r="B91" s="449">
        <v>0</v>
      </c>
      <c r="C91" s="6" t="s">
        <v>286</v>
      </c>
      <c r="D91" s="88"/>
      <c r="E91" s="88"/>
      <c r="F91" s="88"/>
      <c r="G91" s="88"/>
      <c r="H91" s="88"/>
      <c r="I91" s="88"/>
      <c r="J91" s="88"/>
      <c r="K91" s="88"/>
      <c r="L91" s="88"/>
      <c r="M91" s="88"/>
      <c r="N91" s="88"/>
      <c r="O91" s="88"/>
      <c r="P91" s="88"/>
      <c r="Q91" s="88"/>
      <c r="R91" s="88"/>
      <c r="S91" s="88"/>
      <c r="T91" s="88"/>
      <c r="U91" s="88"/>
      <c r="V91" s="88"/>
      <c r="W91" s="88"/>
      <c r="X91" s="88"/>
      <c r="Y91" s="88"/>
      <c r="Z91" s="88"/>
      <c r="AA91" s="88"/>
      <c r="AB91" s="88"/>
      <c r="AC91" s="88"/>
      <c r="AD91" s="88"/>
      <c r="AE91" s="88"/>
      <c r="AF91" s="88"/>
      <c r="AG91" s="88"/>
      <c r="AH91" s="88"/>
      <c r="AI91" s="88"/>
      <c r="AJ91" s="88"/>
      <c r="AK91" s="88"/>
      <c r="AL91" s="88"/>
      <c r="AM91" s="88"/>
      <c r="AN91" s="88"/>
      <c r="AO91" s="88"/>
      <c r="AP91" s="88"/>
      <c r="AQ91" s="88"/>
      <c r="AR91" s="88"/>
      <c r="AS91" s="88"/>
      <c r="AT91" s="88"/>
      <c r="AU91" s="88"/>
      <c r="AV91" s="88"/>
      <c r="AW91" s="88"/>
      <c r="AX91" s="88"/>
      <c r="AY91" s="88"/>
      <c r="AZ91" s="88"/>
      <c r="BA91" s="88"/>
      <c r="BB91" s="88"/>
      <c r="BC91" s="88"/>
      <c r="BD91" s="88"/>
      <c r="BE91" s="88"/>
      <c r="BF91" s="88"/>
      <c r="BG91" s="88"/>
      <c r="BH91" s="88"/>
      <c r="BI91" s="88"/>
      <c r="BJ91" s="88"/>
      <c r="BK91" s="88"/>
      <c r="BL91" s="88"/>
      <c r="BM91" s="88"/>
      <c r="BN91" s="88"/>
      <c r="BO91" s="88"/>
      <c r="BP91" s="88"/>
      <c r="BQ91" s="88"/>
      <c r="BR91" s="88"/>
      <c r="BS91" s="88"/>
      <c r="BT91" s="88"/>
      <c r="BU91" s="88"/>
      <c r="BV91" s="88"/>
      <c r="BW91" s="88"/>
      <c r="BX91" s="88"/>
      <c r="BY91" s="88"/>
      <c r="BZ91" s="88"/>
      <c r="CA91" s="88"/>
      <c r="CB91" s="88"/>
      <c r="CC91" s="88"/>
      <c r="CD91" s="88"/>
      <c r="CE91" s="88"/>
      <c r="CF91" s="88"/>
      <c r="CG91" s="88"/>
      <c r="CH91" s="88"/>
      <c r="CI91" s="88"/>
      <c r="CJ91" s="88"/>
      <c r="CK91" s="88"/>
      <c r="CL91" s="88"/>
      <c r="CM91" s="88"/>
      <c r="CN91" s="88"/>
      <c r="CO91" s="88"/>
      <c r="CP91" s="88"/>
      <c r="CQ91" s="88"/>
      <c r="CR91" s="88"/>
      <c r="CS91" s="88"/>
      <c r="CT91" s="88"/>
      <c r="CU91" s="88"/>
      <c r="CV91" s="88"/>
      <c r="CW91" s="88"/>
      <c r="CX91" s="88"/>
      <c r="CY91" s="88"/>
      <c r="CZ91" s="88"/>
      <c r="DA91" s="88"/>
      <c r="DB91" s="88"/>
      <c r="DC91" s="88"/>
      <c r="DD91" s="88"/>
      <c r="DE91" s="88"/>
      <c r="DF91" s="88"/>
      <c r="DG91" s="88"/>
      <c r="DH91" s="88"/>
      <c r="DI91" s="88"/>
      <c r="DJ91" s="88"/>
      <c r="DK91" s="88"/>
      <c r="DL91" s="88"/>
      <c r="DM91" s="88"/>
      <c r="DN91" s="88"/>
      <c r="DO91" s="88"/>
      <c r="DP91" s="88"/>
      <c r="DQ91" s="88"/>
      <c r="DR91" s="88"/>
      <c r="DS91" s="88"/>
      <c r="DT91" s="88"/>
      <c r="DU91" s="88"/>
      <c r="DV91" s="88"/>
      <c r="DW91" s="88"/>
      <c r="DX91" s="88"/>
      <c r="DY91" s="88"/>
      <c r="DZ91" s="88"/>
      <c r="EA91" s="88"/>
      <c r="EB91" s="88"/>
      <c r="EC91" s="88"/>
      <c r="ED91" s="88"/>
      <c r="EE91" s="88"/>
      <c r="EF91" s="88"/>
      <c r="EG91" s="88"/>
      <c r="EH91" s="88"/>
      <c r="EI91" s="88"/>
      <c r="EJ91" s="88"/>
      <c r="EK91" s="88"/>
      <c r="EL91" s="88"/>
      <c r="EM91" s="88"/>
      <c r="EN91" s="88"/>
      <c r="EO91" s="88"/>
      <c r="EP91" s="88"/>
      <c r="EQ91" s="88"/>
      <c r="ER91" s="88"/>
      <c r="ES91" s="88"/>
      <c r="ET91" s="88"/>
      <c r="EU91" s="88"/>
      <c r="EV91" s="88"/>
      <c r="EW91" s="88"/>
      <c r="EX91" s="88"/>
      <c r="EY91" s="88"/>
      <c r="EZ91" s="88"/>
      <c r="FA91" s="88"/>
      <c r="FB91" s="88"/>
      <c r="FC91" s="88"/>
      <c r="FD91" s="88"/>
      <c r="FE91" s="88"/>
      <c r="FF91" s="88"/>
      <c r="FG91" s="88"/>
      <c r="FH91" s="88"/>
      <c r="FI91" s="88"/>
      <c r="FJ91" s="88"/>
      <c r="FK91" s="88"/>
      <c r="FL91" s="88"/>
      <c r="FM91" s="88"/>
      <c r="FN91" s="88"/>
      <c r="FO91" s="88"/>
      <c r="FP91" s="88"/>
      <c r="FQ91" s="88"/>
      <c r="FR91" s="88"/>
      <c r="FS91" s="88"/>
      <c r="FT91" s="88"/>
      <c r="FU91" s="88"/>
      <c r="FV91" s="88"/>
      <c r="FW91" s="88"/>
      <c r="FX91" s="88"/>
      <c r="FY91" s="88"/>
      <c r="FZ91" s="88"/>
      <c r="GA91" s="88"/>
      <c r="GB91" s="88"/>
      <c r="GC91" s="88"/>
      <c r="GD91" s="88"/>
      <c r="GE91" s="88"/>
      <c r="GF91" s="88"/>
      <c r="GG91" s="88"/>
      <c r="GH91" s="88"/>
      <c r="GI91" s="88"/>
      <c r="GJ91" s="88"/>
      <c r="GK91" s="88"/>
      <c r="GL91" s="88"/>
      <c r="GM91" s="88"/>
      <c r="GN91" s="88"/>
      <c r="GO91" s="88"/>
      <c r="GP91" s="88"/>
      <c r="GQ91" s="88"/>
      <c r="GR91" s="88"/>
      <c r="GS91" s="88"/>
      <c r="GT91" s="88"/>
      <c r="GU91" s="88"/>
      <c r="GV91" s="88"/>
      <c r="GW91" s="88"/>
      <c r="GX91" s="88"/>
      <c r="GY91" s="88"/>
      <c r="GZ91" s="88"/>
      <c r="HA91" s="88"/>
      <c r="HB91" s="88"/>
      <c r="HC91" s="88"/>
      <c r="HD91" s="88"/>
      <c r="HE91" s="88"/>
    </row>
    <row r="92" spans="1:213">
      <c r="A92" s="63" t="s">
        <v>302</v>
      </c>
      <c r="B92" s="284"/>
      <c r="C92" s="6"/>
      <c r="D92" s="88"/>
      <c r="E92" s="88"/>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88"/>
      <c r="AJ92" s="88"/>
      <c r="AK92" s="88"/>
      <c r="AL92" s="88"/>
      <c r="AM92" s="88"/>
      <c r="AN92" s="88"/>
      <c r="AO92" s="88"/>
      <c r="AP92" s="88"/>
      <c r="AQ92" s="88"/>
      <c r="AR92" s="88"/>
      <c r="AS92" s="88"/>
      <c r="AT92" s="88"/>
      <c r="AU92" s="88"/>
      <c r="AV92" s="88"/>
      <c r="AW92" s="88"/>
      <c r="AX92" s="88"/>
      <c r="AY92" s="88"/>
      <c r="AZ92" s="88"/>
      <c r="BA92" s="88"/>
      <c r="BB92" s="88"/>
      <c r="BC92" s="88"/>
      <c r="BD92" s="88"/>
      <c r="BE92" s="88"/>
      <c r="BF92" s="88"/>
      <c r="BG92" s="88"/>
      <c r="BH92" s="88"/>
      <c r="BI92" s="88"/>
      <c r="BJ92" s="88"/>
      <c r="BK92" s="88"/>
      <c r="BL92" s="88"/>
      <c r="BM92" s="88"/>
      <c r="BN92" s="88"/>
      <c r="BO92" s="88"/>
      <c r="BP92" s="88"/>
      <c r="BQ92" s="88"/>
      <c r="BR92" s="88"/>
      <c r="BS92" s="88"/>
      <c r="BT92" s="88"/>
      <c r="BU92" s="88"/>
      <c r="BV92" s="88"/>
      <c r="BW92" s="88"/>
      <c r="BX92" s="88"/>
      <c r="BY92" s="88"/>
      <c r="BZ92" s="88"/>
      <c r="CA92" s="88"/>
      <c r="CB92" s="88"/>
      <c r="CC92" s="88"/>
      <c r="CD92" s="88"/>
      <c r="CE92" s="88"/>
      <c r="CF92" s="88"/>
      <c r="CG92" s="88"/>
      <c r="CH92" s="88"/>
      <c r="CI92" s="88"/>
      <c r="CJ92" s="88"/>
      <c r="CK92" s="88"/>
      <c r="CL92" s="88"/>
      <c r="CM92" s="88"/>
      <c r="CN92" s="88"/>
      <c r="CO92" s="88"/>
      <c r="CP92" s="88"/>
      <c r="CQ92" s="88"/>
      <c r="CR92" s="88"/>
      <c r="CS92" s="88"/>
      <c r="CT92" s="88"/>
      <c r="CU92" s="88"/>
      <c r="CV92" s="88"/>
      <c r="CW92" s="88"/>
      <c r="CX92" s="88"/>
      <c r="CY92" s="88"/>
      <c r="CZ92" s="88"/>
      <c r="DA92" s="88"/>
      <c r="DB92" s="88"/>
      <c r="DC92" s="88"/>
      <c r="DD92" s="88"/>
      <c r="DE92" s="88"/>
      <c r="DF92" s="88"/>
      <c r="DG92" s="88"/>
      <c r="DH92" s="88"/>
      <c r="DI92" s="88"/>
      <c r="DJ92" s="88"/>
      <c r="DK92" s="88"/>
      <c r="DL92" s="88"/>
      <c r="DM92" s="88"/>
      <c r="DN92" s="88"/>
      <c r="DO92" s="88"/>
      <c r="DP92" s="88"/>
      <c r="DQ92" s="88"/>
      <c r="DR92" s="88"/>
      <c r="DS92" s="88"/>
      <c r="DT92" s="88"/>
      <c r="DU92" s="88"/>
      <c r="DV92" s="88"/>
      <c r="DW92" s="88"/>
      <c r="DX92" s="88"/>
      <c r="DY92" s="88"/>
      <c r="DZ92" s="88"/>
      <c r="EA92" s="88"/>
      <c r="EB92" s="88"/>
      <c r="EC92" s="88"/>
      <c r="ED92" s="88"/>
      <c r="EE92" s="88"/>
      <c r="EF92" s="88"/>
      <c r="EG92" s="88"/>
      <c r="EH92" s="88"/>
      <c r="EI92" s="88"/>
      <c r="EJ92" s="88"/>
      <c r="EK92" s="88"/>
      <c r="EL92" s="88"/>
      <c r="EM92" s="88"/>
      <c r="EN92" s="88"/>
      <c r="EO92" s="88"/>
      <c r="EP92" s="88"/>
      <c r="EQ92" s="88"/>
      <c r="ER92" s="88"/>
      <c r="ES92" s="88"/>
      <c r="ET92" s="88"/>
      <c r="EU92" s="88"/>
      <c r="EV92" s="88"/>
      <c r="EW92" s="88"/>
      <c r="EX92" s="88"/>
      <c r="EY92" s="88"/>
      <c r="EZ92" s="88"/>
      <c r="FA92" s="88"/>
      <c r="FB92" s="88"/>
      <c r="FC92" s="88"/>
      <c r="FD92" s="88"/>
      <c r="FE92" s="88"/>
      <c r="FF92" s="88"/>
      <c r="FG92" s="88"/>
      <c r="FH92" s="88"/>
      <c r="FI92" s="88"/>
      <c r="FJ92" s="88"/>
      <c r="FK92" s="88"/>
      <c r="FL92" s="88"/>
      <c r="FM92" s="88"/>
      <c r="FN92" s="88"/>
      <c r="FO92" s="88"/>
      <c r="FP92" s="88"/>
      <c r="FQ92" s="88"/>
      <c r="FR92" s="88"/>
      <c r="FS92" s="88"/>
      <c r="FT92" s="88"/>
      <c r="FU92" s="88"/>
      <c r="FV92" s="88"/>
      <c r="FW92" s="88"/>
      <c r="FX92" s="88"/>
      <c r="FY92" s="88"/>
      <c r="FZ92" s="88"/>
      <c r="GA92" s="88"/>
      <c r="GB92" s="88"/>
      <c r="GC92" s="88"/>
      <c r="GD92" s="88"/>
      <c r="GE92" s="88"/>
      <c r="GF92" s="88"/>
      <c r="GG92" s="88"/>
      <c r="GH92" s="88"/>
      <c r="GI92" s="88"/>
      <c r="GJ92" s="88"/>
      <c r="GK92" s="88"/>
      <c r="GL92" s="88"/>
      <c r="GM92" s="88"/>
      <c r="GN92" s="88"/>
      <c r="GO92" s="88"/>
      <c r="GP92" s="88"/>
      <c r="GQ92" s="88"/>
      <c r="GR92" s="88"/>
      <c r="GS92" s="88"/>
      <c r="GT92" s="88"/>
      <c r="GU92" s="88"/>
      <c r="GV92" s="88"/>
      <c r="GW92" s="88"/>
      <c r="GX92" s="88"/>
      <c r="GY92" s="88"/>
      <c r="GZ92" s="88"/>
      <c r="HA92" s="88"/>
      <c r="HB92" s="88"/>
      <c r="HC92" s="88"/>
      <c r="HD92" s="88"/>
      <c r="HE92" s="88"/>
    </row>
    <row r="93" spans="1:213">
      <c r="A93" s="1" t="s">
        <v>303</v>
      </c>
      <c r="B93" s="284"/>
      <c r="C93" s="6"/>
      <c r="D93" s="88"/>
      <c r="E93" s="88"/>
      <c r="F93" s="88"/>
      <c r="G93" s="88"/>
      <c r="H93" s="88"/>
      <c r="I93" s="88"/>
      <c r="J93" s="88"/>
      <c r="K93" s="88"/>
      <c r="L93" s="88"/>
      <c r="M93" s="88"/>
      <c r="N93" s="88"/>
      <c r="O93" s="88"/>
      <c r="P93" s="88"/>
      <c r="Q93" s="88"/>
      <c r="R93" s="88"/>
      <c r="S93" s="88"/>
      <c r="T93" s="88"/>
      <c r="U93" s="88"/>
      <c r="V93" s="88"/>
      <c r="W93" s="88"/>
      <c r="X93" s="88"/>
      <c r="Y93" s="88"/>
      <c r="Z93" s="88"/>
      <c r="AA93" s="88"/>
      <c r="AB93" s="88"/>
      <c r="AC93" s="88"/>
      <c r="AD93" s="88"/>
      <c r="AE93" s="88"/>
      <c r="AF93" s="88"/>
      <c r="AG93" s="88"/>
      <c r="AH93" s="88"/>
      <c r="AI93" s="88"/>
      <c r="AJ93" s="88"/>
      <c r="AK93" s="88"/>
      <c r="AL93" s="88"/>
      <c r="AM93" s="88"/>
      <c r="AN93" s="88"/>
      <c r="AO93" s="88"/>
      <c r="AP93" s="88"/>
      <c r="AQ93" s="88"/>
      <c r="AR93" s="88"/>
      <c r="AS93" s="88"/>
      <c r="AT93" s="88"/>
      <c r="AU93" s="88"/>
      <c r="AV93" s="88"/>
      <c r="AW93" s="88"/>
      <c r="AX93" s="88"/>
      <c r="AY93" s="88"/>
      <c r="AZ93" s="88"/>
      <c r="BA93" s="88"/>
      <c r="BB93" s="88"/>
      <c r="BC93" s="88"/>
      <c r="BD93" s="88"/>
      <c r="BE93" s="88"/>
      <c r="BF93" s="88"/>
      <c r="BG93" s="88"/>
      <c r="BH93" s="88"/>
      <c r="BI93" s="88"/>
      <c r="BJ93" s="88"/>
      <c r="BK93" s="88"/>
      <c r="BL93" s="88"/>
      <c r="BM93" s="88"/>
      <c r="BN93" s="88"/>
      <c r="BO93" s="88"/>
      <c r="BP93" s="88"/>
      <c r="BQ93" s="88"/>
      <c r="BR93" s="88"/>
      <c r="BS93" s="88"/>
      <c r="BT93" s="88"/>
      <c r="BU93" s="88"/>
      <c r="BV93" s="88"/>
      <c r="BW93" s="88"/>
      <c r="BX93" s="88"/>
      <c r="BY93" s="88"/>
      <c r="BZ93" s="88"/>
      <c r="CA93" s="88"/>
      <c r="CB93" s="88"/>
      <c r="CC93" s="88"/>
      <c r="CD93" s="88"/>
      <c r="CE93" s="88"/>
      <c r="CF93" s="88"/>
      <c r="CG93" s="88"/>
      <c r="CH93" s="88"/>
      <c r="CI93" s="88"/>
      <c r="CJ93" s="88"/>
      <c r="CK93" s="88"/>
      <c r="CL93" s="88"/>
      <c r="CM93" s="88"/>
      <c r="CN93" s="88"/>
      <c r="CO93" s="88"/>
      <c r="CP93" s="88"/>
      <c r="CQ93" s="88"/>
      <c r="CR93" s="88"/>
      <c r="CS93" s="88"/>
      <c r="CT93" s="88"/>
      <c r="CU93" s="88"/>
      <c r="CV93" s="88"/>
      <c r="CW93" s="88"/>
      <c r="CX93" s="88"/>
      <c r="CY93" s="88"/>
      <c r="CZ93" s="88"/>
      <c r="DA93" s="88"/>
      <c r="DB93" s="88"/>
      <c r="DC93" s="88"/>
      <c r="DD93" s="88"/>
      <c r="DE93" s="88"/>
      <c r="DF93" s="88"/>
      <c r="DG93" s="88"/>
      <c r="DH93" s="88"/>
      <c r="DI93" s="88"/>
      <c r="DJ93" s="88"/>
      <c r="DK93" s="88"/>
      <c r="DL93" s="88"/>
      <c r="DM93" s="88"/>
      <c r="DN93" s="88"/>
      <c r="DO93" s="88"/>
      <c r="DP93" s="88"/>
      <c r="DQ93" s="88"/>
      <c r="DR93" s="88"/>
      <c r="DS93" s="88"/>
      <c r="DT93" s="88"/>
      <c r="DU93" s="88"/>
      <c r="DV93" s="88"/>
      <c r="DW93" s="88"/>
      <c r="DX93" s="88"/>
      <c r="DY93" s="88"/>
      <c r="DZ93" s="88"/>
      <c r="EA93" s="88"/>
      <c r="EB93" s="88"/>
      <c r="EC93" s="88"/>
      <c r="ED93" s="88"/>
      <c r="EE93" s="88"/>
      <c r="EF93" s="88"/>
      <c r="EG93" s="88"/>
      <c r="EH93" s="88"/>
      <c r="EI93" s="88"/>
      <c r="EJ93" s="88"/>
      <c r="EK93" s="88"/>
      <c r="EL93" s="88"/>
      <c r="EM93" s="88"/>
      <c r="EN93" s="88"/>
      <c r="EO93" s="88"/>
      <c r="EP93" s="88"/>
      <c r="EQ93" s="88"/>
      <c r="ER93" s="88"/>
      <c r="ES93" s="88"/>
      <c r="ET93" s="88"/>
      <c r="EU93" s="88"/>
      <c r="EV93" s="88"/>
      <c r="EW93" s="88"/>
      <c r="EX93" s="88"/>
      <c r="EY93" s="88"/>
      <c r="EZ93" s="88"/>
      <c r="FA93" s="88"/>
      <c r="FB93" s="88"/>
      <c r="FC93" s="88"/>
      <c r="FD93" s="88"/>
      <c r="FE93" s="88"/>
      <c r="FF93" s="88"/>
      <c r="FG93" s="88"/>
      <c r="FH93" s="88"/>
      <c r="FI93" s="88"/>
      <c r="FJ93" s="88"/>
      <c r="FK93" s="88"/>
      <c r="FL93" s="88"/>
      <c r="FM93" s="88"/>
      <c r="FN93" s="88"/>
      <c r="FO93" s="88"/>
      <c r="FP93" s="88"/>
      <c r="FQ93" s="88"/>
      <c r="FR93" s="88"/>
      <c r="FS93" s="88"/>
      <c r="FT93" s="88"/>
      <c r="FU93" s="88"/>
      <c r="FV93" s="88"/>
      <c r="FW93" s="88"/>
      <c r="FX93" s="88"/>
      <c r="FY93" s="88"/>
      <c r="FZ93" s="88"/>
      <c r="GA93" s="88"/>
      <c r="GB93" s="88"/>
      <c r="GC93" s="88"/>
      <c r="GD93" s="88"/>
      <c r="GE93" s="88"/>
      <c r="GF93" s="88"/>
      <c r="GG93" s="88"/>
      <c r="GH93" s="88"/>
      <c r="GI93" s="88"/>
      <c r="GJ93" s="88"/>
      <c r="GK93" s="88"/>
      <c r="GL93" s="88"/>
      <c r="GM93" s="88"/>
      <c r="GN93" s="88"/>
      <c r="GO93" s="88"/>
      <c r="GP93" s="88"/>
      <c r="GQ93" s="88"/>
      <c r="GR93" s="88"/>
      <c r="GS93" s="88"/>
      <c r="GT93" s="88"/>
      <c r="GU93" s="88"/>
      <c r="GV93" s="88"/>
      <c r="GW93" s="88"/>
      <c r="GX93" s="88"/>
      <c r="GY93" s="88"/>
      <c r="GZ93" s="88"/>
      <c r="HA93" s="88"/>
      <c r="HB93" s="88"/>
      <c r="HC93" s="88"/>
      <c r="HD93" s="88"/>
      <c r="HE93" s="88"/>
    </row>
    <row r="94" spans="1:213">
      <c r="A94" s="1" t="s">
        <v>304</v>
      </c>
      <c r="B94" s="444"/>
      <c r="C94" s="88"/>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88"/>
      <c r="AE94" s="88"/>
      <c r="AF94" s="88"/>
      <c r="AG94" s="88"/>
      <c r="AH94" s="88"/>
      <c r="AI94" s="88"/>
      <c r="AJ94" s="88"/>
      <c r="AK94" s="88"/>
      <c r="AL94" s="88"/>
      <c r="AM94" s="88"/>
      <c r="AN94" s="88"/>
      <c r="AO94" s="88"/>
      <c r="AP94" s="88"/>
      <c r="AQ94" s="88"/>
      <c r="AR94" s="88"/>
      <c r="AS94" s="88"/>
      <c r="AT94" s="88"/>
      <c r="AU94" s="88"/>
      <c r="AV94" s="88"/>
      <c r="AW94" s="88"/>
      <c r="AX94" s="88"/>
      <c r="AY94" s="88"/>
      <c r="AZ94" s="88"/>
      <c r="BA94" s="88"/>
      <c r="BB94" s="88"/>
      <c r="BC94" s="88"/>
      <c r="BD94" s="88"/>
      <c r="BE94" s="88"/>
      <c r="BF94" s="88"/>
      <c r="BG94" s="88"/>
      <c r="BH94" s="88"/>
      <c r="BI94" s="88"/>
      <c r="BJ94" s="88"/>
      <c r="BK94" s="88"/>
      <c r="BL94" s="88"/>
      <c r="BM94" s="88"/>
      <c r="BN94" s="88"/>
      <c r="BO94" s="88"/>
      <c r="BP94" s="88"/>
      <c r="BQ94" s="88"/>
      <c r="BR94" s="88"/>
      <c r="BS94" s="88"/>
      <c r="BT94" s="88"/>
      <c r="BU94" s="88"/>
      <c r="BV94" s="88"/>
      <c r="BW94" s="88"/>
      <c r="BX94" s="88"/>
      <c r="BY94" s="88"/>
      <c r="BZ94" s="88"/>
      <c r="CA94" s="88"/>
      <c r="CB94" s="88"/>
      <c r="CC94" s="88"/>
      <c r="CD94" s="88"/>
      <c r="CE94" s="88"/>
      <c r="CF94" s="88"/>
      <c r="CG94" s="88"/>
      <c r="CH94" s="88"/>
      <c r="CI94" s="88"/>
      <c r="CJ94" s="88"/>
      <c r="CK94" s="88"/>
      <c r="CL94" s="88"/>
      <c r="CM94" s="88"/>
      <c r="CN94" s="88"/>
      <c r="CO94" s="88"/>
      <c r="CP94" s="88"/>
      <c r="CQ94" s="88"/>
      <c r="CR94" s="88"/>
      <c r="CS94" s="88"/>
      <c r="CT94" s="88"/>
      <c r="CU94" s="88"/>
      <c r="CV94" s="88"/>
      <c r="CW94" s="88"/>
      <c r="CX94" s="88"/>
      <c r="CY94" s="88"/>
      <c r="CZ94" s="88"/>
      <c r="DA94" s="88"/>
      <c r="DB94" s="88"/>
      <c r="DC94" s="88"/>
      <c r="DD94" s="88"/>
      <c r="DE94" s="88"/>
      <c r="DF94" s="88"/>
      <c r="DG94" s="88"/>
      <c r="DH94" s="88"/>
      <c r="DI94" s="88"/>
      <c r="DJ94" s="88"/>
      <c r="DK94" s="88"/>
      <c r="DL94" s="88"/>
      <c r="DM94" s="88"/>
      <c r="DN94" s="88"/>
      <c r="DO94" s="88"/>
      <c r="DP94" s="88"/>
      <c r="DQ94" s="88"/>
      <c r="DR94" s="88"/>
      <c r="DS94" s="88"/>
      <c r="DT94" s="88"/>
      <c r="DU94" s="88"/>
      <c r="DV94" s="88"/>
      <c r="DW94" s="88"/>
      <c r="DX94" s="88"/>
      <c r="DY94" s="88"/>
      <c r="DZ94" s="88"/>
      <c r="EA94" s="88"/>
      <c r="EB94" s="88"/>
      <c r="EC94" s="88"/>
      <c r="ED94" s="88"/>
      <c r="EE94" s="88"/>
      <c r="EF94" s="88"/>
      <c r="EG94" s="88"/>
      <c r="EH94" s="88"/>
      <c r="EI94" s="88"/>
      <c r="EJ94" s="88"/>
      <c r="EK94" s="88"/>
      <c r="EL94" s="88"/>
      <c r="EM94" s="88"/>
      <c r="EN94" s="88"/>
      <c r="EO94" s="88"/>
      <c r="EP94" s="88"/>
      <c r="EQ94" s="88"/>
      <c r="ER94" s="88"/>
      <c r="ES94" s="88"/>
      <c r="ET94" s="88"/>
      <c r="EU94" s="88"/>
      <c r="EV94" s="88"/>
      <c r="EW94" s="88"/>
      <c r="EX94" s="88"/>
      <c r="EY94" s="88"/>
      <c r="EZ94" s="88"/>
      <c r="FA94" s="88"/>
      <c r="FB94" s="88"/>
      <c r="FC94" s="88"/>
      <c r="FD94" s="88"/>
      <c r="FE94" s="88"/>
      <c r="FF94" s="88"/>
      <c r="FG94" s="88"/>
      <c r="FH94" s="88"/>
      <c r="FI94" s="88"/>
      <c r="FJ94" s="88"/>
      <c r="FK94" s="88"/>
      <c r="FL94" s="88"/>
      <c r="FM94" s="88"/>
      <c r="FN94" s="88"/>
      <c r="FO94" s="88"/>
      <c r="FP94" s="88"/>
      <c r="FQ94" s="88"/>
      <c r="FR94" s="88"/>
      <c r="FS94" s="88"/>
      <c r="FT94" s="88"/>
      <c r="FU94" s="88"/>
      <c r="FV94" s="88"/>
      <c r="FW94" s="88"/>
      <c r="FX94" s="88"/>
      <c r="FY94" s="88"/>
      <c r="FZ94" s="88"/>
      <c r="GA94" s="88"/>
      <c r="GB94" s="88"/>
      <c r="GC94" s="88"/>
      <c r="GD94" s="88"/>
      <c r="GE94" s="88"/>
      <c r="GF94" s="88"/>
      <c r="GG94" s="88"/>
      <c r="GH94" s="88"/>
      <c r="GI94" s="88"/>
      <c r="GJ94" s="88"/>
      <c r="GK94" s="88"/>
      <c r="GL94" s="88"/>
      <c r="GM94" s="88"/>
      <c r="GN94" s="88"/>
      <c r="GO94" s="88"/>
      <c r="GP94" s="88"/>
      <c r="GQ94" s="88"/>
      <c r="GR94" s="88"/>
      <c r="GS94" s="88"/>
      <c r="GT94" s="88"/>
      <c r="GU94" s="88"/>
      <c r="GV94" s="88"/>
      <c r="GW94" s="88"/>
      <c r="GX94" s="88"/>
      <c r="GY94" s="88"/>
      <c r="GZ94" s="88"/>
      <c r="HA94" s="88"/>
      <c r="HB94" s="88"/>
      <c r="HC94" s="88"/>
      <c r="HD94" s="88"/>
      <c r="HE94" s="88"/>
    </row>
    <row r="95" spans="1:213">
      <c r="A95" s="63" t="s">
        <v>305</v>
      </c>
      <c r="B95" s="444"/>
      <c r="C95" s="88"/>
      <c r="D95" s="88"/>
      <c r="E95" s="88"/>
      <c r="F95" s="88"/>
      <c r="G95" s="88"/>
      <c r="H95" s="88"/>
      <c r="I95" s="88"/>
      <c r="J95" s="88"/>
      <c r="K95" s="88"/>
      <c r="L95" s="88"/>
      <c r="M95" s="88"/>
      <c r="N95" s="88"/>
      <c r="O95" s="88"/>
      <c r="P95" s="88"/>
      <c r="Q95" s="88"/>
      <c r="R95" s="88"/>
      <c r="S95" s="88"/>
      <c r="T95" s="88"/>
      <c r="U95" s="88"/>
      <c r="V95" s="88"/>
      <c r="W95" s="88"/>
      <c r="X95" s="88"/>
      <c r="Y95" s="88"/>
      <c r="Z95" s="88"/>
      <c r="AA95" s="88"/>
      <c r="AB95" s="88"/>
      <c r="AC95" s="88"/>
      <c r="AD95" s="88"/>
      <c r="AE95" s="88"/>
      <c r="AF95" s="88"/>
      <c r="AG95" s="88"/>
      <c r="AH95" s="88"/>
      <c r="AI95" s="88"/>
      <c r="AJ95" s="88"/>
      <c r="AK95" s="88"/>
      <c r="AL95" s="88"/>
      <c r="AM95" s="88"/>
      <c r="AN95" s="88"/>
      <c r="AO95" s="88"/>
      <c r="AP95" s="88"/>
      <c r="AQ95" s="88"/>
      <c r="AR95" s="88"/>
      <c r="AS95" s="88"/>
      <c r="AT95" s="88"/>
      <c r="AU95" s="88"/>
      <c r="AV95" s="88"/>
      <c r="AW95" s="88"/>
      <c r="AX95" s="88"/>
      <c r="AY95" s="88"/>
      <c r="AZ95" s="88"/>
      <c r="BA95" s="88"/>
      <c r="BB95" s="88"/>
      <c r="BC95" s="88"/>
      <c r="BD95" s="88"/>
      <c r="BE95" s="88"/>
      <c r="BF95" s="88"/>
      <c r="BG95" s="88"/>
      <c r="BH95" s="88"/>
      <c r="BI95" s="88"/>
      <c r="BJ95" s="88"/>
      <c r="BK95" s="88"/>
      <c r="BL95" s="88"/>
      <c r="BM95" s="88"/>
      <c r="BN95" s="88"/>
      <c r="BO95" s="88"/>
      <c r="BP95" s="88"/>
      <c r="BQ95" s="88"/>
      <c r="BR95" s="88"/>
      <c r="BS95" s="88"/>
      <c r="BT95" s="88"/>
      <c r="BU95" s="88"/>
      <c r="BV95" s="88"/>
      <c r="BW95" s="88"/>
      <c r="BX95" s="88"/>
      <c r="BY95" s="88"/>
      <c r="BZ95" s="88"/>
      <c r="CA95" s="88"/>
      <c r="CB95" s="88"/>
      <c r="CC95" s="88"/>
      <c r="CD95" s="88"/>
      <c r="CE95" s="88"/>
      <c r="CF95" s="88"/>
      <c r="CG95" s="88"/>
      <c r="CH95" s="88"/>
      <c r="CI95" s="88"/>
      <c r="CJ95" s="88"/>
      <c r="CK95" s="88"/>
      <c r="CL95" s="88"/>
      <c r="CM95" s="88"/>
      <c r="CN95" s="88"/>
      <c r="CO95" s="88"/>
      <c r="CP95" s="88"/>
      <c r="CQ95" s="88"/>
      <c r="CR95" s="88"/>
      <c r="CS95" s="88"/>
      <c r="CT95" s="88"/>
      <c r="CU95" s="88"/>
      <c r="CV95" s="88"/>
      <c r="CW95" s="88"/>
      <c r="CX95" s="88"/>
      <c r="CY95" s="88"/>
      <c r="CZ95" s="88"/>
      <c r="DA95" s="88"/>
      <c r="DB95" s="88"/>
      <c r="DC95" s="88"/>
      <c r="DD95" s="88"/>
      <c r="DE95" s="88"/>
      <c r="DF95" s="88"/>
      <c r="DG95" s="88"/>
      <c r="DH95" s="88"/>
      <c r="DI95" s="88"/>
      <c r="DJ95" s="88"/>
      <c r="DK95" s="88"/>
      <c r="DL95" s="88"/>
      <c r="DM95" s="88"/>
      <c r="DN95" s="88"/>
      <c r="DO95" s="88"/>
      <c r="DP95" s="88"/>
      <c r="DQ95" s="88"/>
      <c r="DR95" s="88"/>
      <c r="DS95" s="88"/>
      <c r="DT95" s="88"/>
      <c r="DU95" s="88"/>
      <c r="DV95" s="88"/>
      <c r="DW95" s="88"/>
      <c r="DX95" s="88"/>
      <c r="DY95" s="88"/>
      <c r="DZ95" s="88"/>
      <c r="EA95" s="88"/>
      <c r="EB95" s="88"/>
      <c r="EC95" s="88"/>
      <c r="ED95" s="88"/>
      <c r="EE95" s="88"/>
      <c r="EF95" s="88"/>
      <c r="EG95" s="88"/>
      <c r="EH95" s="88"/>
      <c r="EI95" s="88"/>
      <c r="EJ95" s="88"/>
      <c r="EK95" s="88"/>
      <c r="EL95" s="88"/>
      <c r="EM95" s="88"/>
      <c r="EN95" s="88"/>
      <c r="EO95" s="88"/>
      <c r="EP95" s="88"/>
      <c r="EQ95" s="88"/>
      <c r="ER95" s="88"/>
      <c r="ES95" s="88"/>
      <c r="ET95" s="88"/>
      <c r="EU95" s="88"/>
      <c r="EV95" s="88"/>
      <c r="EW95" s="88"/>
      <c r="EX95" s="88"/>
      <c r="EY95" s="88"/>
      <c r="EZ95" s="88"/>
      <c r="FA95" s="88"/>
      <c r="FB95" s="88"/>
      <c r="FC95" s="88"/>
      <c r="FD95" s="88"/>
      <c r="FE95" s="88"/>
      <c r="FF95" s="88"/>
      <c r="FG95" s="88"/>
      <c r="FH95" s="88"/>
      <c r="FI95" s="88"/>
      <c r="FJ95" s="88"/>
      <c r="FK95" s="88"/>
      <c r="FL95" s="88"/>
      <c r="FM95" s="88"/>
      <c r="FN95" s="88"/>
      <c r="FO95" s="88"/>
      <c r="FP95" s="88"/>
      <c r="FQ95" s="88"/>
      <c r="FR95" s="88"/>
      <c r="FS95" s="88"/>
      <c r="FT95" s="88"/>
      <c r="FU95" s="88"/>
      <c r="FV95" s="88"/>
      <c r="FW95" s="88"/>
      <c r="FX95" s="88"/>
      <c r="FY95" s="88"/>
      <c r="FZ95" s="88"/>
      <c r="GA95" s="88"/>
      <c r="GB95" s="88"/>
      <c r="GC95" s="88"/>
      <c r="GD95" s="88"/>
      <c r="GE95" s="88"/>
      <c r="GF95" s="88"/>
      <c r="GG95" s="88"/>
      <c r="GH95" s="88"/>
      <c r="GI95" s="88"/>
      <c r="GJ95" s="88"/>
      <c r="GK95" s="88"/>
      <c r="GL95" s="88"/>
      <c r="GM95" s="88"/>
      <c r="GN95" s="88"/>
      <c r="GO95" s="88"/>
      <c r="GP95" s="88"/>
      <c r="GQ95" s="88"/>
      <c r="GR95" s="88"/>
      <c r="GS95" s="88"/>
      <c r="GT95" s="88"/>
      <c r="GU95" s="88"/>
      <c r="GV95" s="88"/>
      <c r="GW95" s="88"/>
      <c r="GX95" s="88"/>
      <c r="GY95" s="88"/>
      <c r="GZ95" s="88"/>
      <c r="HA95" s="88"/>
      <c r="HB95" s="88"/>
      <c r="HC95" s="88"/>
      <c r="HD95" s="88"/>
      <c r="HE95" s="88"/>
    </row>
    <row r="96" spans="1:213">
      <c r="A96" s="1" t="s">
        <v>306</v>
      </c>
      <c r="B96" s="444"/>
      <c r="C96" s="88"/>
      <c r="D96" s="88"/>
      <c r="E96" s="88"/>
      <c r="F96" s="88"/>
      <c r="G96" s="88"/>
      <c r="H96" s="88"/>
      <c r="I96" s="88"/>
      <c r="J96" s="88"/>
      <c r="K96" s="88"/>
      <c r="L96" s="88"/>
      <c r="M96" s="88"/>
      <c r="N96" s="88"/>
      <c r="O96" s="88"/>
      <c r="P96" s="88"/>
      <c r="Q96" s="88"/>
      <c r="R96" s="88"/>
      <c r="S96" s="88"/>
      <c r="T96" s="88"/>
      <c r="U96" s="88"/>
      <c r="V96" s="88"/>
      <c r="W96" s="88"/>
      <c r="X96" s="88"/>
      <c r="Y96" s="88"/>
      <c r="Z96" s="88"/>
      <c r="AA96" s="88"/>
      <c r="AB96" s="88"/>
      <c r="AC96" s="88"/>
      <c r="AD96" s="88"/>
      <c r="AE96" s="88"/>
      <c r="AF96" s="88"/>
      <c r="AG96" s="88"/>
      <c r="AH96" s="88"/>
      <c r="AI96" s="88"/>
      <c r="AJ96" s="88"/>
      <c r="AK96" s="88"/>
      <c r="AL96" s="88"/>
      <c r="AM96" s="88"/>
      <c r="AN96" s="88"/>
      <c r="AO96" s="88"/>
      <c r="AP96" s="88"/>
      <c r="AQ96" s="88"/>
      <c r="AR96" s="88"/>
      <c r="AS96" s="88"/>
      <c r="AT96" s="88"/>
      <c r="AU96" s="88"/>
      <c r="AV96" s="88"/>
      <c r="AW96" s="88"/>
      <c r="AX96" s="88"/>
      <c r="AY96" s="88"/>
      <c r="AZ96" s="88"/>
      <c r="BA96" s="88"/>
      <c r="BB96" s="88"/>
      <c r="BC96" s="88"/>
      <c r="BD96" s="88"/>
      <c r="BE96" s="88"/>
      <c r="BF96" s="88"/>
      <c r="BG96" s="88"/>
      <c r="BH96" s="88"/>
      <c r="BI96" s="88"/>
      <c r="BJ96" s="88"/>
      <c r="BK96" s="88"/>
      <c r="BL96" s="88"/>
      <c r="BM96" s="88"/>
      <c r="BN96" s="88"/>
      <c r="BO96" s="88"/>
      <c r="BP96" s="88"/>
      <c r="BQ96" s="88"/>
      <c r="BR96" s="88"/>
      <c r="BS96" s="88"/>
      <c r="BT96" s="88"/>
      <c r="BU96" s="88"/>
      <c r="BV96" s="88"/>
      <c r="BW96" s="88"/>
      <c r="BX96" s="88"/>
      <c r="BY96" s="88"/>
      <c r="BZ96" s="88"/>
      <c r="CA96" s="88"/>
      <c r="CB96" s="88"/>
      <c r="CC96" s="88"/>
      <c r="CD96" s="88"/>
      <c r="CE96" s="88"/>
      <c r="CF96" s="88"/>
      <c r="CG96" s="88"/>
      <c r="CH96" s="88"/>
      <c r="CI96" s="88"/>
      <c r="CJ96" s="88"/>
      <c r="CK96" s="88"/>
      <c r="CL96" s="88"/>
      <c r="CM96" s="88"/>
      <c r="CN96" s="88"/>
      <c r="CO96" s="88"/>
      <c r="CP96" s="88"/>
      <c r="CQ96" s="88"/>
      <c r="CR96" s="88"/>
      <c r="CS96" s="88"/>
      <c r="CT96" s="88"/>
      <c r="CU96" s="88"/>
      <c r="CV96" s="88"/>
      <c r="CW96" s="88"/>
      <c r="CX96" s="88"/>
      <c r="CY96" s="88"/>
      <c r="CZ96" s="88"/>
      <c r="DA96" s="88"/>
      <c r="DB96" s="88"/>
      <c r="DC96" s="88"/>
      <c r="DD96" s="88"/>
      <c r="DE96" s="88"/>
      <c r="DF96" s="88"/>
      <c r="DG96" s="88"/>
      <c r="DH96" s="88"/>
      <c r="DI96" s="88"/>
      <c r="DJ96" s="88"/>
      <c r="DK96" s="88"/>
      <c r="DL96" s="88"/>
      <c r="DM96" s="88"/>
      <c r="DN96" s="88"/>
      <c r="DO96" s="88"/>
      <c r="DP96" s="88"/>
      <c r="DQ96" s="88"/>
      <c r="DR96" s="88"/>
      <c r="DS96" s="88"/>
      <c r="DT96" s="88"/>
      <c r="DU96" s="88"/>
      <c r="DV96" s="88"/>
      <c r="DW96" s="88"/>
      <c r="DX96" s="88"/>
      <c r="DY96" s="88"/>
      <c r="DZ96" s="88"/>
      <c r="EA96" s="88"/>
      <c r="EB96" s="88"/>
      <c r="EC96" s="88"/>
      <c r="ED96" s="88"/>
      <c r="EE96" s="88"/>
      <c r="EF96" s="88"/>
      <c r="EG96" s="88"/>
      <c r="EH96" s="88"/>
      <c r="EI96" s="88"/>
      <c r="EJ96" s="88"/>
      <c r="EK96" s="88"/>
      <c r="EL96" s="88"/>
      <c r="EM96" s="88"/>
      <c r="EN96" s="88"/>
      <c r="EO96" s="88"/>
      <c r="EP96" s="88"/>
      <c r="EQ96" s="88"/>
      <c r="ER96" s="88"/>
      <c r="ES96" s="88"/>
      <c r="ET96" s="88"/>
      <c r="EU96" s="88"/>
      <c r="EV96" s="88"/>
      <c r="EW96" s="88"/>
      <c r="EX96" s="88"/>
      <c r="EY96" s="88"/>
      <c r="EZ96" s="88"/>
      <c r="FA96" s="88"/>
      <c r="FB96" s="88"/>
      <c r="FC96" s="88"/>
      <c r="FD96" s="88"/>
      <c r="FE96" s="88"/>
      <c r="FF96" s="88"/>
      <c r="FG96" s="88"/>
      <c r="FH96" s="88"/>
      <c r="FI96" s="88"/>
      <c r="FJ96" s="88"/>
      <c r="FK96" s="88"/>
      <c r="FL96" s="88"/>
      <c r="FM96" s="88"/>
      <c r="FN96" s="88"/>
      <c r="FO96" s="88"/>
      <c r="FP96" s="88"/>
      <c r="FQ96" s="88"/>
      <c r="FR96" s="88"/>
      <c r="FS96" s="88"/>
      <c r="FT96" s="88"/>
      <c r="FU96" s="88"/>
      <c r="FV96" s="88"/>
      <c r="FW96" s="88"/>
      <c r="FX96" s="88"/>
      <c r="FY96" s="88"/>
      <c r="FZ96" s="88"/>
      <c r="GA96" s="88"/>
      <c r="GB96" s="88"/>
      <c r="GC96" s="88"/>
      <c r="GD96" s="88"/>
      <c r="GE96" s="88"/>
      <c r="GF96" s="88"/>
      <c r="GG96" s="88"/>
      <c r="GH96" s="88"/>
      <c r="GI96" s="88"/>
      <c r="GJ96" s="88"/>
      <c r="GK96" s="88"/>
      <c r="GL96" s="88"/>
      <c r="GM96" s="88"/>
      <c r="GN96" s="88"/>
      <c r="GO96" s="88"/>
      <c r="GP96" s="88"/>
      <c r="GQ96" s="88"/>
      <c r="GR96" s="88"/>
      <c r="GS96" s="88"/>
      <c r="GT96" s="88"/>
      <c r="GU96" s="88"/>
      <c r="GV96" s="88"/>
      <c r="GW96" s="88"/>
      <c r="GX96" s="88"/>
      <c r="GY96" s="88"/>
      <c r="GZ96" s="88"/>
      <c r="HA96" s="88"/>
      <c r="HB96" s="88"/>
      <c r="HC96" s="88"/>
      <c r="HD96" s="88"/>
      <c r="HE96" s="88"/>
    </row>
    <row r="97" spans="1:213">
      <c r="A97" s="451" t="s">
        <v>307</v>
      </c>
      <c r="B97" s="444"/>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88"/>
      <c r="AE97" s="88"/>
      <c r="AF97" s="88"/>
      <c r="AG97" s="88"/>
      <c r="AH97" s="88"/>
      <c r="AI97" s="88"/>
      <c r="AJ97" s="88"/>
      <c r="AK97" s="88"/>
      <c r="AL97" s="88"/>
      <c r="AM97" s="88"/>
      <c r="AN97" s="88"/>
      <c r="AO97" s="88"/>
      <c r="AP97" s="88"/>
      <c r="AQ97" s="88"/>
      <c r="AR97" s="88"/>
      <c r="AS97" s="88"/>
      <c r="AT97" s="88"/>
      <c r="AU97" s="88"/>
      <c r="AV97" s="88"/>
      <c r="AW97" s="88"/>
      <c r="AX97" s="88"/>
      <c r="AY97" s="88"/>
      <c r="AZ97" s="88"/>
      <c r="BA97" s="88"/>
      <c r="BB97" s="88"/>
      <c r="BC97" s="88"/>
      <c r="BD97" s="88"/>
      <c r="BE97" s="88"/>
      <c r="BF97" s="88"/>
      <c r="BG97" s="88"/>
      <c r="BH97" s="88"/>
      <c r="BI97" s="88"/>
      <c r="BJ97" s="88"/>
      <c r="BK97" s="88"/>
      <c r="BL97" s="88"/>
      <c r="BM97" s="88"/>
      <c r="BN97" s="88"/>
      <c r="BO97" s="88"/>
      <c r="BP97" s="88"/>
      <c r="BQ97" s="88"/>
      <c r="BR97" s="88"/>
      <c r="BS97" s="88"/>
      <c r="BT97" s="88"/>
      <c r="BU97" s="88"/>
      <c r="BV97" s="88"/>
      <c r="BW97" s="88"/>
      <c r="BX97" s="88"/>
      <c r="BY97" s="88"/>
      <c r="BZ97" s="88"/>
      <c r="CA97" s="88"/>
      <c r="CB97" s="88"/>
      <c r="CC97" s="88"/>
      <c r="CD97" s="88"/>
      <c r="CE97" s="88"/>
      <c r="CF97" s="88"/>
      <c r="CG97" s="88"/>
      <c r="CH97" s="88"/>
      <c r="CI97" s="88"/>
      <c r="CJ97" s="88"/>
      <c r="CK97" s="88"/>
      <c r="CL97" s="88"/>
      <c r="CM97" s="88"/>
      <c r="CN97" s="88"/>
      <c r="CO97" s="88"/>
      <c r="CP97" s="88"/>
      <c r="CQ97" s="88"/>
      <c r="CR97" s="88"/>
      <c r="CS97" s="88"/>
      <c r="CT97" s="88"/>
      <c r="CU97" s="88"/>
      <c r="CV97" s="88"/>
      <c r="CW97" s="88"/>
      <c r="CX97" s="88"/>
      <c r="CY97" s="88"/>
      <c r="CZ97" s="88"/>
      <c r="DA97" s="88"/>
      <c r="DB97" s="88"/>
      <c r="DC97" s="88"/>
      <c r="DD97" s="88"/>
      <c r="DE97" s="88"/>
      <c r="DF97" s="88"/>
      <c r="DG97" s="88"/>
      <c r="DH97" s="88"/>
      <c r="DI97" s="88"/>
      <c r="DJ97" s="88"/>
      <c r="DK97" s="88"/>
      <c r="DL97" s="88"/>
      <c r="DM97" s="88"/>
      <c r="DN97" s="88"/>
      <c r="DO97" s="88"/>
      <c r="DP97" s="88"/>
      <c r="DQ97" s="88"/>
      <c r="DR97" s="88"/>
      <c r="DS97" s="88"/>
      <c r="DT97" s="88"/>
      <c r="DU97" s="88"/>
      <c r="DV97" s="88"/>
      <c r="DW97" s="88"/>
      <c r="DX97" s="88"/>
      <c r="DY97" s="88"/>
      <c r="DZ97" s="88"/>
      <c r="EA97" s="88"/>
      <c r="EB97" s="88"/>
      <c r="EC97" s="88"/>
      <c r="ED97" s="88"/>
      <c r="EE97" s="88"/>
      <c r="EF97" s="88"/>
      <c r="EG97" s="88"/>
      <c r="EH97" s="88"/>
      <c r="EI97" s="88"/>
      <c r="EJ97" s="88"/>
      <c r="EK97" s="88"/>
      <c r="EL97" s="88"/>
      <c r="EM97" s="88"/>
      <c r="EN97" s="88"/>
      <c r="EO97" s="88"/>
      <c r="EP97" s="88"/>
      <c r="EQ97" s="88"/>
      <c r="ER97" s="88"/>
      <c r="ES97" s="88"/>
      <c r="ET97" s="88"/>
      <c r="EU97" s="88"/>
      <c r="EV97" s="88"/>
      <c r="EW97" s="88"/>
      <c r="EX97" s="88"/>
      <c r="EY97" s="88"/>
      <c r="EZ97" s="88"/>
      <c r="FA97" s="88"/>
      <c r="FB97" s="88"/>
      <c r="FC97" s="88"/>
      <c r="FD97" s="88"/>
      <c r="FE97" s="88"/>
      <c r="FF97" s="88"/>
      <c r="FG97" s="88"/>
      <c r="FH97" s="88"/>
      <c r="FI97" s="88"/>
      <c r="FJ97" s="88"/>
      <c r="FK97" s="88"/>
      <c r="FL97" s="88"/>
      <c r="FM97" s="88"/>
      <c r="FN97" s="88"/>
      <c r="FO97" s="88"/>
      <c r="FP97" s="88"/>
      <c r="FQ97" s="88"/>
      <c r="FR97" s="88"/>
      <c r="FS97" s="88"/>
      <c r="FT97" s="88"/>
      <c r="FU97" s="88"/>
      <c r="FV97" s="88"/>
      <c r="FW97" s="88"/>
      <c r="FX97" s="88"/>
      <c r="FY97" s="88"/>
      <c r="FZ97" s="88"/>
      <c r="GA97" s="88"/>
      <c r="GB97" s="88"/>
      <c r="GC97" s="88"/>
      <c r="GD97" s="88"/>
      <c r="GE97" s="88"/>
      <c r="GF97" s="88"/>
      <c r="GG97" s="88"/>
      <c r="GH97" s="88"/>
      <c r="GI97" s="88"/>
      <c r="GJ97" s="88"/>
      <c r="GK97" s="88"/>
      <c r="GL97" s="88"/>
      <c r="GM97" s="88"/>
      <c r="GN97" s="88"/>
      <c r="GO97" s="88"/>
      <c r="GP97" s="88"/>
      <c r="GQ97" s="88"/>
      <c r="GR97" s="88"/>
      <c r="GS97" s="88"/>
      <c r="GT97" s="88"/>
      <c r="GU97" s="88"/>
      <c r="GV97" s="88"/>
      <c r="GW97" s="88"/>
      <c r="GX97" s="88"/>
      <c r="GY97" s="88"/>
      <c r="GZ97" s="88"/>
      <c r="HA97" s="88"/>
      <c r="HB97" s="88"/>
      <c r="HC97" s="88"/>
      <c r="HD97" s="88"/>
      <c r="HE97" s="88"/>
    </row>
    <row r="98" spans="1:213">
      <c r="A98" s="1" t="s">
        <v>308</v>
      </c>
      <c r="B98" s="444"/>
      <c r="C98" s="255" t="s">
        <v>309</v>
      </c>
      <c r="D98" s="88"/>
      <c r="E98" s="88"/>
      <c r="F98" s="88"/>
      <c r="G98" s="88"/>
      <c r="H98" s="88"/>
      <c r="I98" s="88"/>
      <c r="J98" s="88"/>
      <c r="K98" s="88"/>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88"/>
      <c r="AK98" s="88"/>
      <c r="AL98" s="88"/>
      <c r="AM98" s="88"/>
      <c r="AN98" s="88"/>
      <c r="AO98" s="88"/>
      <c r="AP98" s="88"/>
      <c r="AQ98" s="88"/>
      <c r="AR98" s="88"/>
      <c r="AS98" s="88"/>
      <c r="AT98" s="88"/>
      <c r="AU98" s="88"/>
      <c r="AV98" s="88"/>
      <c r="AW98" s="88"/>
      <c r="AX98" s="88"/>
      <c r="AY98" s="88"/>
      <c r="AZ98" s="88"/>
      <c r="BA98" s="88"/>
      <c r="BB98" s="88"/>
      <c r="BC98" s="88"/>
      <c r="BD98" s="88"/>
      <c r="BE98" s="88"/>
      <c r="BF98" s="88"/>
      <c r="BG98" s="88"/>
      <c r="BH98" s="88"/>
      <c r="BI98" s="88"/>
      <c r="BJ98" s="88"/>
      <c r="BK98" s="88"/>
      <c r="BL98" s="88"/>
      <c r="BM98" s="88"/>
      <c r="BN98" s="88"/>
      <c r="BO98" s="88"/>
      <c r="BP98" s="88"/>
      <c r="BQ98" s="88"/>
      <c r="BR98" s="88"/>
      <c r="BS98" s="88"/>
      <c r="BT98" s="88"/>
      <c r="BU98" s="88"/>
      <c r="BV98" s="88"/>
      <c r="BW98" s="88"/>
      <c r="BX98" s="88"/>
      <c r="BY98" s="88"/>
      <c r="BZ98" s="88"/>
      <c r="CA98" s="88"/>
      <c r="CB98" s="88"/>
      <c r="CC98" s="88"/>
      <c r="CD98" s="88"/>
      <c r="CE98" s="88"/>
      <c r="CF98" s="88"/>
      <c r="CG98" s="88"/>
      <c r="CH98" s="88"/>
      <c r="CI98" s="88"/>
      <c r="CJ98" s="88"/>
      <c r="CK98" s="88"/>
      <c r="CL98" s="88"/>
      <c r="CM98" s="88"/>
      <c r="CN98" s="88"/>
      <c r="CO98" s="88"/>
      <c r="CP98" s="88"/>
      <c r="CQ98" s="88"/>
      <c r="CR98" s="88"/>
      <c r="CS98" s="88"/>
      <c r="CT98" s="88"/>
      <c r="CU98" s="88"/>
      <c r="CV98" s="88"/>
      <c r="CW98" s="88"/>
      <c r="CX98" s="88"/>
      <c r="CY98" s="88"/>
      <c r="CZ98" s="88"/>
      <c r="DA98" s="88"/>
      <c r="DB98" s="88"/>
      <c r="DC98" s="88"/>
      <c r="DD98" s="88"/>
      <c r="DE98" s="88"/>
      <c r="DF98" s="88"/>
      <c r="DG98" s="88"/>
      <c r="DH98" s="88"/>
      <c r="DI98" s="88"/>
      <c r="DJ98" s="88"/>
      <c r="DK98" s="88"/>
      <c r="DL98" s="88"/>
      <c r="DM98" s="88"/>
      <c r="DN98" s="88"/>
      <c r="DO98" s="88"/>
      <c r="DP98" s="88"/>
      <c r="DQ98" s="88"/>
      <c r="DR98" s="88"/>
      <c r="DS98" s="88"/>
      <c r="DT98" s="88"/>
      <c r="DU98" s="88"/>
      <c r="DV98" s="88"/>
      <c r="DW98" s="88"/>
      <c r="DX98" s="88"/>
      <c r="DY98" s="88"/>
      <c r="DZ98" s="88"/>
      <c r="EA98" s="88"/>
      <c r="EB98" s="88"/>
      <c r="EC98" s="88"/>
      <c r="ED98" s="88"/>
      <c r="EE98" s="88"/>
      <c r="EF98" s="88"/>
      <c r="EG98" s="88"/>
      <c r="EH98" s="88"/>
      <c r="EI98" s="88"/>
      <c r="EJ98" s="88"/>
      <c r="EK98" s="88"/>
      <c r="EL98" s="88"/>
      <c r="EM98" s="88"/>
      <c r="EN98" s="88"/>
      <c r="EO98" s="88"/>
      <c r="EP98" s="88"/>
      <c r="EQ98" s="88"/>
      <c r="ER98" s="88"/>
      <c r="ES98" s="88"/>
      <c r="ET98" s="88"/>
      <c r="EU98" s="88"/>
      <c r="EV98" s="88"/>
      <c r="EW98" s="88"/>
      <c r="EX98" s="88"/>
      <c r="EY98" s="88"/>
      <c r="EZ98" s="88"/>
      <c r="FA98" s="88"/>
      <c r="FB98" s="88"/>
      <c r="FC98" s="88"/>
      <c r="FD98" s="88"/>
      <c r="FE98" s="88"/>
      <c r="FF98" s="88"/>
      <c r="FG98" s="88"/>
      <c r="FH98" s="88"/>
      <c r="FI98" s="88"/>
      <c r="FJ98" s="88"/>
      <c r="FK98" s="88"/>
      <c r="FL98" s="88"/>
      <c r="FM98" s="88"/>
      <c r="FN98" s="88"/>
      <c r="FO98" s="88"/>
      <c r="FP98" s="88"/>
      <c r="FQ98" s="88"/>
      <c r="FR98" s="88"/>
      <c r="FS98" s="88"/>
      <c r="FT98" s="88"/>
      <c r="FU98" s="88"/>
      <c r="FV98" s="88"/>
      <c r="FW98" s="88"/>
      <c r="FX98" s="88"/>
      <c r="FY98" s="88"/>
      <c r="FZ98" s="88"/>
      <c r="GA98" s="88"/>
      <c r="GB98" s="88"/>
      <c r="GC98" s="88"/>
      <c r="GD98" s="88"/>
      <c r="GE98" s="88"/>
      <c r="GF98" s="88"/>
      <c r="GG98" s="88"/>
      <c r="GH98" s="88"/>
      <c r="GI98" s="88"/>
      <c r="GJ98" s="88"/>
      <c r="GK98" s="88"/>
      <c r="GL98" s="88"/>
      <c r="GM98" s="88"/>
      <c r="GN98" s="88"/>
      <c r="GO98" s="88"/>
      <c r="GP98" s="88"/>
      <c r="GQ98" s="88"/>
      <c r="GR98" s="88"/>
      <c r="GS98" s="88"/>
      <c r="GT98" s="88"/>
      <c r="GU98" s="88"/>
      <c r="GV98" s="88"/>
      <c r="GW98" s="88"/>
      <c r="GX98" s="88"/>
      <c r="GY98" s="88"/>
      <c r="GZ98" s="88"/>
      <c r="HA98" s="88"/>
      <c r="HB98" s="88"/>
      <c r="HC98" s="88"/>
      <c r="HD98" s="88"/>
      <c r="HE98" s="88"/>
    </row>
    <row r="99" spans="1:213">
      <c r="A99" s="17" t="s">
        <v>310</v>
      </c>
      <c r="B99" s="444">
        <v>0</v>
      </c>
      <c r="C99" s="6" t="s">
        <v>286</v>
      </c>
      <c r="D99" s="88"/>
      <c r="E99" s="88"/>
      <c r="F99" s="88"/>
      <c r="G99" s="88"/>
      <c r="H99" s="88"/>
      <c r="I99" s="88"/>
      <c r="J99" s="88"/>
      <c r="K99" s="88"/>
      <c r="L99" s="88"/>
      <c r="M99" s="88"/>
      <c r="N99" s="88"/>
      <c r="O99" s="88"/>
      <c r="P99" s="88"/>
      <c r="Q99" s="88"/>
      <c r="R99" s="88"/>
      <c r="S99" s="88"/>
      <c r="T99" s="88"/>
      <c r="U99" s="88"/>
      <c r="V99" s="88"/>
      <c r="W99" s="88"/>
      <c r="X99" s="88"/>
      <c r="Y99" s="88"/>
      <c r="Z99" s="88"/>
      <c r="AA99" s="88"/>
      <c r="AB99" s="88"/>
      <c r="AC99" s="88"/>
      <c r="AD99" s="88"/>
      <c r="AE99" s="88"/>
      <c r="AF99" s="88"/>
      <c r="AG99" s="88"/>
      <c r="AH99" s="88"/>
      <c r="AI99" s="88"/>
      <c r="AJ99" s="88"/>
      <c r="AK99" s="88"/>
      <c r="AL99" s="88"/>
      <c r="AM99" s="88"/>
      <c r="AN99" s="88"/>
      <c r="AO99" s="88"/>
      <c r="AP99" s="88"/>
      <c r="AQ99" s="88"/>
      <c r="AR99" s="88"/>
      <c r="AS99" s="88"/>
      <c r="AT99" s="88"/>
      <c r="AU99" s="88"/>
      <c r="AV99" s="88"/>
      <c r="AW99" s="88"/>
      <c r="AX99" s="88"/>
      <c r="AY99" s="88"/>
      <c r="AZ99" s="88"/>
      <c r="BA99" s="88"/>
      <c r="BB99" s="88"/>
      <c r="BC99" s="88"/>
      <c r="BD99" s="88"/>
      <c r="BE99" s="88"/>
      <c r="BF99" s="88"/>
      <c r="BG99" s="88"/>
      <c r="BH99" s="88"/>
      <c r="BI99" s="88"/>
      <c r="BJ99" s="88"/>
      <c r="BK99" s="88"/>
      <c r="BL99" s="88"/>
      <c r="BM99" s="88"/>
      <c r="BN99" s="88"/>
      <c r="BO99" s="88"/>
      <c r="BP99" s="88"/>
      <c r="BQ99" s="88"/>
      <c r="BR99" s="88"/>
      <c r="BS99" s="88"/>
      <c r="BT99" s="88"/>
      <c r="BU99" s="88"/>
      <c r="BV99" s="88"/>
      <c r="BW99" s="88"/>
      <c r="BX99" s="88"/>
      <c r="BY99" s="88"/>
      <c r="BZ99" s="88"/>
      <c r="CA99" s="88"/>
      <c r="CB99" s="88"/>
      <c r="CC99" s="88"/>
      <c r="CD99" s="88"/>
      <c r="CE99" s="88"/>
      <c r="CF99" s="88"/>
      <c r="CG99" s="88"/>
      <c r="CH99" s="88"/>
      <c r="CI99" s="88"/>
      <c r="CJ99" s="88"/>
      <c r="CK99" s="88"/>
      <c r="CL99" s="88"/>
      <c r="CM99" s="88"/>
      <c r="CN99" s="88"/>
      <c r="CO99" s="88"/>
      <c r="CP99" s="88"/>
      <c r="CQ99" s="88"/>
      <c r="CR99" s="88"/>
      <c r="CS99" s="88"/>
      <c r="CT99" s="88"/>
      <c r="CU99" s="88"/>
      <c r="CV99" s="88"/>
      <c r="CW99" s="88"/>
      <c r="CX99" s="88"/>
      <c r="CY99" s="88"/>
      <c r="CZ99" s="88"/>
      <c r="DA99" s="88"/>
      <c r="DB99" s="88"/>
      <c r="DC99" s="88"/>
      <c r="DD99" s="88"/>
      <c r="DE99" s="88"/>
      <c r="DF99" s="88"/>
      <c r="DG99" s="88"/>
      <c r="DH99" s="88"/>
      <c r="DI99" s="88"/>
      <c r="DJ99" s="88"/>
      <c r="DK99" s="88"/>
      <c r="DL99" s="88"/>
      <c r="DM99" s="88"/>
      <c r="DN99" s="88"/>
      <c r="DO99" s="88"/>
      <c r="DP99" s="88"/>
      <c r="DQ99" s="88"/>
      <c r="DR99" s="88"/>
      <c r="DS99" s="88"/>
      <c r="DT99" s="88"/>
      <c r="DU99" s="88"/>
      <c r="DV99" s="88"/>
      <c r="DW99" s="88"/>
      <c r="DX99" s="88"/>
      <c r="DY99" s="88"/>
      <c r="DZ99" s="88"/>
      <c r="EA99" s="88"/>
      <c r="EB99" s="88"/>
      <c r="EC99" s="88"/>
      <c r="ED99" s="88"/>
      <c r="EE99" s="88"/>
      <c r="EF99" s="88"/>
      <c r="EG99" s="88"/>
      <c r="EH99" s="88"/>
      <c r="EI99" s="88"/>
      <c r="EJ99" s="88"/>
      <c r="EK99" s="88"/>
      <c r="EL99" s="88"/>
      <c r="EM99" s="88"/>
      <c r="EN99" s="88"/>
      <c r="EO99" s="88"/>
      <c r="EP99" s="88"/>
      <c r="EQ99" s="88"/>
      <c r="ER99" s="88"/>
      <c r="ES99" s="88"/>
      <c r="ET99" s="88"/>
      <c r="EU99" s="88"/>
      <c r="EV99" s="88"/>
      <c r="EW99" s="88"/>
      <c r="EX99" s="88"/>
      <c r="EY99" s="88"/>
      <c r="EZ99" s="88"/>
      <c r="FA99" s="88"/>
      <c r="FB99" s="88"/>
      <c r="FC99" s="88"/>
      <c r="FD99" s="88"/>
      <c r="FE99" s="88"/>
      <c r="FF99" s="88"/>
      <c r="FG99" s="88"/>
      <c r="FH99" s="88"/>
      <c r="FI99" s="88"/>
      <c r="FJ99" s="88"/>
      <c r="FK99" s="88"/>
      <c r="FL99" s="88"/>
      <c r="FM99" s="88"/>
      <c r="FN99" s="88"/>
      <c r="FO99" s="88"/>
      <c r="FP99" s="88"/>
      <c r="FQ99" s="88"/>
      <c r="FR99" s="88"/>
      <c r="FS99" s="88"/>
      <c r="FT99" s="88"/>
      <c r="FU99" s="88"/>
      <c r="FV99" s="88"/>
      <c r="FW99" s="88"/>
      <c r="FX99" s="88"/>
      <c r="FY99" s="88"/>
      <c r="FZ99" s="88"/>
      <c r="GA99" s="88"/>
      <c r="GB99" s="88"/>
      <c r="GC99" s="88"/>
      <c r="GD99" s="88"/>
      <c r="GE99" s="88"/>
      <c r="GF99" s="88"/>
      <c r="GG99" s="88"/>
      <c r="GH99" s="88"/>
      <c r="GI99" s="88"/>
      <c r="GJ99" s="88"/>
      <c r="GK99" s="88"/>
      <c r="GL99" s="88"/>
      <c r="GM99" s="88"/>
      <c r="GN99" s="88"/>
      <c r="GO99" s="88"/>
      <c r="GP99" s="88"/>
      <c r="GQ99" s="88"/>
      <c r="GR99" s="88"/>
      <c r="GS99" s="88"/>
      <c r="GT99" s="88"/>
      <c r="GU99" s="88"/>
      <c r="GV99" s="88"/>
      <c r="GW99" s="88"/>
      <c r="GX99" s="88"/>
      <c r="GY99" s="88"/>
      <c r="GZ99" s="88"/>
      <c r="HA99" s="88"/>
      <c r="HB99" s="88"/>
      <c r="HC99" s="88"/>
      <c r="HD99" s="88"/>
      <c r="HE99" s="88"/>
    </row>
    <row r="100" spans="1:213">
      <c r="A100" s="1" t="s">
        <v>311</v>
      </c>
      <c r="B100" s="444"/>
      <c r="C100"/>
      <c r="D100" s="88"/>
      <c r="E100" s="88"/>
      <c r="F100" s="88"/>
      <c r="G100" s="88"/>
      <c r="H100" s="88"/>
      <c r="I100" s="88"/>
      <c r="J100" s="88"/>
      <c r="K100" s="88"/>
      <c r="L100" s="88"/>
      <c r="M100" s="88"/>
      <c r="N100" s="88"/>
      <c r="O100" s="88"/>
      <c r="P100" s="88"/>
      <c r="Q100" s="88"/>
      <c r="R100" s="88"/>
      <c r="S100" s="88"/>
      <c r="T100" s="88"/>
      <c r="U100" s="88"/>
      <c r="V100" s="88"/>
      <c r="W100" s="88"/>
      <c r="X100" s="88"/>
      <c r="Y100" s="88"/>
      <c r="Z100" s="88"/>
      <c r="AA100" s="88"/>
      <c r="AB100" s="88"/>
      <c r="AC100" s="88"/>
      <c r="AD100" s="88"/>
      <c r="AE100" s="88"/>
      <c r="AF100" s="88"/>
      <c r="AG100" s="88"/>
      <c r="AH100" s="88"/>
      <c r="AI100" s="88"/>
      <c r="AJ100" s="88"/>
      <c r="AK100" s="88"/>
      <c r="AL100" s="88"/>
      <c r="AM100" s="88"/>
      <c r="AN100" s="88"/>
      <c r="AO100" s="88"/>
      <c r="AP100" s="88"/>
      <c r="AQ100" s="88"/>
      <c r="AR100" s="88"/>
      <c r="AS100" s="88"/>
      <c r="AT100" s="88"/>
      <c r="AU100" s="88"/>
      <c r="AV100" s="88"/>
      <c r="AW100" s="88"/>
      <c r="AX100" s="88"/>
      <c r="AY100" s="88"/>
      <c r="AZ100" s="88"/>
      <c r="BA100" s="88"/>
      <c r="BB100" s="88"/>
      <c r="BC100" s="88"/>
      <c r="BD100" s="88"/>
      <c r="BE100" s="88"/>
      <c r="BF100" s="88"/>
      <c r="BG100" s="88"/>
      <c r="BH100" s="88"/>
      <c r="BI100" s="88"/>
      <c r="BJ100" s="88"/>
      <c r="BK100" s="88"/>
      <c r="BL100" s="88"/>
      <c r="BM100" s="88"/>
      <c r="BN100" s="88"/>
      <c r="BO100" s="88"/>
      <c r="BP100" s="88"/>
      <c r="BQ100" s="88"/>
      <c r="BR100" s="88"/>
      <c r="BS100" s="88"/>
      <c r="BT100" s="88"/>
      <c r="BU100" s="88"/>
      <c r="BV100" s="88"/>
      <c r="BW100" s="88"/>
      <c r="BX100" s="88"/>
      <c r="BY100" s="88"/>
      <c r="BZ100" s="88"/>
      <c r="CA100" s="88"/>
      <c r="CB100" s="88"/>
      <c r="CC100" s="88"/>
      <c r="CD100" s="88"/>
      <c r="CE100" s="88"/>
      <c r="CF100" s="88"/>
      <c r="CG100" s="88"/>
      <c r="CH100" s="88"/>
      <c r="CI100" s="88"/>
      <c r="CJ100" s="88"/>
      <c r="CK100" s="88"/>
      <c r="CL100" s="88"/>
      <c r="CM100" s="88"/>
      <c r="CN100" s="88"/>
      <c r="CO100" s="88"/>
      <c r="CP100" s="88"/>
      <c r="CQ100" s="88"/>
      <c r="CR100" s="88"/>
      <c r="CS100" s="88"/>
      <c r="CT100" s="88"/>
      <c r="CU100" s="88"/>
      <c r="CV100" s="88"/>
      <c r="CW100" s="88"/>
      <c r="CX100" s="88"/>
      <c r="CY100" s="88"/>
      <c r="CZ100" s="88"/>
      <c r="DA100" s="88"/>
      <c r="DB100" s="88"/>
      <c r="DC100" s="88"/>
      <c r="DD100" s="88"/>
      <c r="DE100" s="88"/>
      <c r="DF100" s="88"/>
      <c r="DG100" s="88"/>
      <c r="DH100" s="88"/>
      <c r="DI100" s="88"/>
      <c r="DJ100" s="88"/>
      <c r="DK100" s="88"/>
      <c r="DL100" s="88"/>
      <c r="DM100" s="88"/>
      <c r="DN100" s="88"/>
      <c r="DO100" s="88"/>
      <c r="DP100" s="88"/>
      <c r="DQ100" s="88"/>
      <c r="DR100" s="88"/>
      <c r="DS100" s="88"/>
      <c r="DT100" s="88"/>
      <c r="DU100" s="88"/>
      <c r="DV100" s="88"/>
      <c r="DW100" s="88"/>
      <c r="DX100" s="88"/>
      <c r="DY100" s="88"/>
      <c r="DZ100" s="88"/>
      <c r="EA100" s="88"/>
      <c r="EB100" s="88"/>
      <c r="EC100" s="88"/>
      <c r="ED100" s="88"/>
      <c r="EE100" s="88"/>
      <c r="EF100" s="88"/>
      <c r="EG100" s="88"/>
      <c r="EH100" s="88"/>
      <c r="EI100" s="88"/>
      <c r="EJ100" s="88"/>
      <c r="EK100" s="88"/>
      <c r="EL100" s="88"/>
      <c r="EM100" s="88"/>
      <c r="EN100" s="88"/>
      <c r="EO100" s="88"/>
      <c r="EP100" s="88"/>
      <c r="EQ100" s="88"/>
      <c r="ER100" s="88"/>
      <c r="ES100" s="88"/>
      <c r="ET100" s="88"/>
      <c r="EU100" s="88"/>
      <c r="EV100" s="88"/>
      <c r="EW100" s="88"/>
      <c r="EX100" s="88"/>
      <c r="EY100" s="88"/>
      <c r="EZ100" s="88"/>
      <c r="FA100" s="88"/>
      <c r="FB100" s="88"/>
      <c r="FC100" s="88"/>
      <c r="FD100" s="88"/>
      <c r="FE100" s="88"/>
      <c r="FF100" s="88"/>
      <c r="FG100" s="88"/>
      <c r="FH100" s="88"/>
      <c r="FI100" s="88"/>
      <c r="FJ100" s="88"/>
      <c r="FK100" s="88"/>
      <c r="FL100" s="88"/>
      <c r="FM100" s="88"/>
      <c r="FN100" s="88"/>
      <c r="FO100" s="88"/>
      <c r="FP100" s="88"/>
      <c r="FQ100" s="88"/>
      <c r="FR100" s="88"/>
      <c r="FS100" s="88"/>
      <c r="FT100" s="88"/>
      <c r="FU100" s="88"/>
      <c r="FV100" s="88"/>
      <c r="FW100" s="88"/>
      <c r="FX100" s="88"/>
      <c r="FY100" s="88"/>
      <c r="FZ100" s="88"/>
      <c r="GA100" s="88"/>
      <c r="GB100" s="88"/>
      <c r="GC100" s="88"/>
      <c r="GD100" s="88"/>
      <c r="GE100" s="88"/>
      <c r="GF100" s="88"/>
      <c r="GG100" s="88"/>
      <c r="GH100" s="88"/>
      <c r="GI100" s="88"/>
      <c r="GJ100" s="88"/>
      <c r="GK100" s="88"/>
      <c r="GL100" s="88"/>
      <c r="GM100" s="88"/>
      <c r="GN100" s="88"/>
      <c r="GO100" s="88"/>
      <c r="GP100" s="88"/>
      <c r="GQ100" s="88"/>
      <c r="GR100" s="88"/>
      <c r="GS100" s="88"/>
      <c r="GT100" s="88"/>
      <c r="GU100" s="88"/>
      <c r="GV100" s="88"/>
      <c r="GW100" s="88"/>
      <c r="GX100" s="88"/>
      <c r="GY100" s="88"/>
      <c r="GZ100" s="88"/>
      <c r="HA100" s="88"/>
      <c r="HB100" s="88"/>
      <c r="HC100" s="88"/>
      <c r="HD100" s="88"/>
      <c r="HE100" s="88"/>
    </row>
    <row r="101" spans="1:213">
      <c r="A101" s="1" t="s">
        <v>312</v>
      </c>
      <c r="B101" s="284"/>
      <c r="C101"/>
      <c r="D101" s="88"/>
      <c r="E101" s="88"/>
      <c r="F101" s="88"/>
      <c r="G101" s="88"/>
      <c r="H101" s="88"/>
      <c r="I101" s="88"/>
      <c r="J101" s="88"/>
      <c r="K101" s="88"/>
      <c r="L101" s="88"/>
      <c r="M101" s="88"/>
      <c r="N101" s="88"/>
      <c r="O101" s="88"/>
      <c r="P101" s="88"/>
      <c r="Q101" s="88"/>
      <c r="R101" s="88"/>
      <c r="S101" s="88"/>
      <c r="T101" s="88"/>
      <c r="U101" s="88"/>
      <c r="V101" s="88"/>
      <c r="W101" s="88"/>
      <c r="X101" s="88"/>
      <c r="Y101" s="88"/>
      <c r="Z101" s="88"/>
      <c r="AA101" s="88"/>
      <c r="AB101" s="88"/>
      <c r="AC101" s="88"/>
      <c r="AD101" s="88"/>
      <c r="AE101" s="88"/>
      <c r="AF101" s="88"/>
      <c r="AG101" s="88"/>
      <c r="AH101" s="88"/>
      <c r="AI101" s="88"/>
      <c r="AJ101" s="88"/>
      <c r="AK101" s="88"/>
      <c r="AL101" s="88"/>
      <c r="AM101" s="88"/>
      <c r="AN101" s="88"/>
      <c r="AO101" s="88"/>
      <c r="AP101" s="88"/>
      <c r="AQ101" s="88"/>
      <c r="AR101" s="88"/>
      <c r="AS101" s="88"/>
      <c r="AT101" s="88"/>
      <c r="AU101" s="88"/>
      <c r="AV101" s="88"/>
      <c r="AW101" s="88"/>
      <c r="AX101" s="88"/>
      <c r="AY101" s="88"/>
      <c r="AZ101" s="88"/>
      <c r="BA101" s="88"/>
      <c r="BB101" s="88"/>
      <c r="BC101" s="88"/>
      <c r="BD101" s="88"/>
      <c r="BE101" s="88"/>
      <c r="BF101" s="88"/>
      <c r="BG101" s="88"/>
      <c r="BH101" s="88"/>
      <c r="BI101" s="88"/>
      <c r="BJ101" s="88"/>
      <c r="BK101" s="88"/>
      <c r="BL101" s="88"/>
      <c r="BM101" s="88"/>
      <c r="BN101" s="88"/>
      <c r="BO101" s="88"/>
      <c r="BP101" s="88"/>
      <c r="BQ101" s="88"/>
      <c r="BR101" s="88"/>
      <c r="BS101" s="88"/>
      <c r="BT101" s="88"/>
      <c r="BU101" s="88"/>
      <c r="BV101" s="88"/>
      <c r="BW101" s="88"/>
      <c r="BX101" s="88"/>
      <c r="BY101" s="88"/>
      <c r="BZ101" s="88"/>
      <c r="CA101" s="88"/>
      <c r="CB101" s="88"/>
      <c r="CC101" s="88"/>
      <c r="CD101" s="88"/>
      <c r="CE101" s="88"/>
      <c r="CF101" s="88"/>
      <c r="CG101" s="88"/>
      <c r="CH101" s="88"/>
      <c r="CI101" s="88"/>
      <c r="CJ101" s="88"/>
      <c r="CK101" s="88"/>
      <c r="CL101" s="88"/>
      <c r="CM101" s="88"/>
      <c r="CN101" s="88"/>
      <c r="CO101" s="88"/>
      <c r="CP101" s="88"/>
      <c r="CQ101" s="88"/>
      <c r="CR101" s="88"/>
      <c r="CS101" s="88"/>
      <c r="CT101" s="88"/>
      <c r="CU101" s="88"/>
      <c r="CV101" s="88"/>
      <c r="CW101" s="88"/>
      <c r="CX101" s="88"/>
      <c r="CY101" s="88"/>
      <c r="CZ101" s="88"/>
      <c r="DA101" s="88"/>
      <c r="DB101" s="88"/>
      <c r="DC101" s="88"/>
      <c r="DD101" s="88"/>
      <c r="DE101" s="88"/>
      <c r="DF101" s="88"/>
      <c r="DG101" s="88"/>
      <c r="DH101" s="88"/>
      <c r="DI101" s="88"/>
      <c r="DJ101" s="88"/>
      <c r="DK101" s="88"/>
      <c r="DL101" s="88"/>
      <c r="DM101" s="88"/>
      <c r="DN101" s="88"/>
      <c r="DO101" s="88"/>
      <c r="DP101" s="88"/>
      <c r="DQ101" s="88"/>
      <c r="DR101" s="88"/>
      <c r="DS101" s="88"/>
      <c r="DT101" s="88"/>
      <c r="DU101" s="88"/>
      <c r="DV101" s="88"/>
      <c r="DW101" s="88"/>
      <c r="DX101" s="88"/>
      <c r="DY101" s="88"/>
      <c r="DZ101" s="88"/>
      <c r="EA101" s="88"/>
      <c r="EB101" s="88"/>
      <c r="EC101" s="88"/>
      <c r="ED101" s="88"/>
      <c r="EE101" s="88"/>
      <c r="EF101" s="88"/>
      <c r="EG101" s="88"/>
      <c r="EH101" s="88"/>
      <c r="EI101" s="88"/>
      <c r="EJ101" s="88"/>
      <c r="EK101" s="88"/>
      <c r="EL101" s="88"/>
      <c r="EM101" s="88"/>
      <c r="EN101" s="88"/>
      <c r="EO101" s="88"/>
      <c r="EP101" s="88"/>
      <c r="EQ101" s="88"/>
      <c r="ER101" s="88"/>
      <c r="ES101" s="88"/>
      <c r="ET101" s="88"/>
      <c r="EU101" s="88"/>
      <c r="EV101" s="88"/>
      <c r="EW101" s="88"/>
      <c r="EX101" s="88"/>
      <c r="EY101" s="88"/>
      <c r="EZ101" s="88"/>
      <c r="FA101" s="88"/>
      <c r="FB101" s="88"/>
      <c r="FC101" s="88"/>
      <c r="FD101" s="88"/>
      <c r="FE101" s="88"/>
      <c r="FF101" s="88"/>
      <c r="FG101" s="88"/>
      <c r="FH101" s="88"/>
      <c r="FI101" s="88"/>
      <c r="FJ101" s="88"/>
      <c r="FK101" s="88"/>
      <c r="FL101" s="88"/>
      <c r="FM101" s="88"/>
      <c r="FN101" s="88"/>
      <c r="FO101" s="88"/>
      <c r="FP101" s="88"/>
      <c r="FQ101" s="88"/>
      <c r="FR101" s="88"/>
      <c r="FS101" s="88"/>
      <c r="FT101" s="88"/>
      <c r="FU101" s="88"/>
      <c r="FV101" s="88"/>
      <c r="FW101" s="88"/>
      <c r="FX101" s="88"/>
      <c r="FY101" s="88"/>
      <c r="FZ101" s="88"/>
      <c r="GA101" s="88"/>
      <c r="GB101" s="88"/>
      <c r="GC101" s="88"/>
      <c r="GD101" s="88"/>
      <c r="GE101" s="88"/>
      <c r="GF101" s="88"/>
      <c r="GG101" s="88"/>
      <c r="GH101" s="88"/>
      <c r="GI101" s="88"/>
      <c r="GJ101" s="88"/>
      <c r="GK101" s="88"/>
      <c r="GL101" s="88"/>
      <c r="GM101" s="88"/>
      <c r="GN101" s="88"/>
      <c r="GO101" s="88"/>
      <c r="GP101" s="88"/>
      <c r="GQ101" s="88"/>
      <c r="GR101" s="88"/>
      <c r="GS101" s="88"/>
      <c r="GT101" s="88"/>
      <c r="GU101" s="88"/>
      <c r="GV101" s="88"/>
      <c r="GW101" s="88"/>
      <c r="GX101" s="88"/>
      <c r="GY101" s="88"/>
      <c r="GZ101" s="88"/>
      <c r="HA101" s="88"/>
      <c r="HB101" s="88"/>
      <c r="HC101" s="88"/>
      <c r="HD101" s="88"/>
      <c r="HE101" s="88"/>
    </row>
    <row r="102" spans="1:213" customFormat="1">
      <c r="A102" s="1" t="s">
        <v>313</v>
      </c>
      <c r="B102" s="444"/>
      <c r="AI102" s="88"/>
      <c r="AJ102" s="88"/>
      <c r="AK102" s="88"/>
      <c r="AL102" s="88"/>
      <c r="AM102" s="88"/>
      <c r="AN102" s="88"/>
      <c r="AO102" s="88"/>
      <c r="AP102" s="88"/>
      <c r="AQ102" s="88"/>
      <c r="AR102" s="88"/>
      <c r="AS102" s="88"/>
      <c r="AT102" s="88"/>
      <c r="AU102" s="88"/>
      <c r="AV102" s="88"/>
      <c r="AW102" s="88"/>
      <c r="AX102" s="88"/>
      <c r="AY102" s="88"/>
      <c r="AZ102" s="88"/>
      <c r="BA102" s="88"/>
      <c r="BB102" s="88"/>
      <c r="BC102" s="88"/>
      <c r="BD102" s="88"/>
      <c r="BE102" s="88"/>
      <c r="BF102" s="88"/>
      <c r="BG102" s="88"/>
      <c r="BH102" s="88"/>
      <c r="BI102" s="88"/>
      <c r="BJ102" s="88"/>
      <c r="BK102" s="88"/>
      <c r="BL102" s="88"/>
      <c r="BM102" s="88"/>
      <c r="BN102" s="88"/>
      <c r="BO102" s="88"/>
      <c r="BP102" s="88"/>
      <c r="BQ102" s="88"/>
      <c r="BR102" s="88"/>
      <c r="BS102" s="88"/>
      <c r="BT102" s="88"/>
      <c r="BU102" s="88"/>
      <c r="BV102" s="88"/>
      <c r="BW102" s="88"/>
      <c r="BX102" s="88"/>
      <c r="BY102" s="88"/>
      <c r="BZ102" s="88"/>
      <c r="CA102" s="88"/>
      <c r="CB102" s="88"/>
      <c r="CC102" s="88"/>
      <c r="CD102" s="88"/>
      <c r="CE102" s="88"/>
      <c r="CF102" s="88"/>
      <c r="CG102" s="88"/>
      <c r="CH102" s="88"/>
      <c r="CI102" s="88"/>
      <c r="CJ102" s="88"/>
      <c r="CK102" s="88"/>
      <c r="CL102" s="88"/>
      <c r="CM102" s="88"/>
      <c r="CN102" s="88"/>
      <c r="CO102" s="88"/>
      <c r="CP102" s="88"/>
      <c r="CQ102" s="88"/>
      <c r="CR102" s="88"/>
      <c r="CS102" s="88"/>
      <c r="CT102" s="88"/>
      <c r="CU102" s="88"/>
      <c r="CV102" s="88"/>
      <c r="CW102" s="88"/>
      <c r="CX102" s="88"/>
      <c r="CY102" s="88"/>
      <c r="CZ102" s="88"/>
      <c r="DA102" s="88"/>
      <c r="DB102" s="88"/>
      <c r="DC102" s="88"/>
      <c r="DD102" s="88"/>
      <c r="DE102" s="88"/>
      <c r="DF102" s="88"/>
      <c r="DG102" s="88"/>
      <c r="DH102" s="88"/>
      <c r="DI102" s="88"/>
      <c r="DJ102" s="88"/>
      <c r="DK102" s="88"/>
      <c r="DL102" s="88"/>
      <c r="DM102" s="88"/>
      <c r="DN102" s="88"/>
      <c r="DO102" s="88"/>
      <c r="DP102" s="88"/>
      <c r="DQ102" s="88"/>
      <c r="DR102" s="88"/>
      <c r="DS102" s="88"/>
      <c r="DT102" s="88"/>
      <c r="DU102" s="88"/>
      <c r="DV102" s="88"/>
      <c r="DW102" s="88"/>
      <c r="DX102" s="88"/>
      <c r="DY102" s="88"/>
      <c r="DZ102" s="88"/>
      <c r="EA102" s="88"/>
      <c r="EB102" s="88"/>
      <c r="EC102" s="88"/>
      <c r="ED102" s="88"/>
      <c r="EE102" s="88"/>
      <c r="EF102" s="88"/>
      <c r="EG102" s="88"/>
      <c r="EH102" s="88"/>
      <c r="EI102" s="88"/>
      <c r="EJ102" s="88"/>
      <c r="EK102" s="88"/>
      <c r="EL102" s="88"/>
      <c r="EM102" s="88"/>
      <c r="EN102" s="88"/>
      <c r="EO102" s="88"/>
      <c r="EP102" s="88"/>
      <c r="EQ102" s="88"/>
      <c r="ER102" s="88"/>
      <c r="ES102" s="88"/>
      <c r="ET102" s="88"/>
      <c r="EU102" s="88"/>
      <c r="EV102" s="88"/>
      <c r="EW102" s="88"/>
      <c r="EX102" s="88"/>
      <c r="EY102" s="88"/>
      <c r="EZ102" s="88"/>
      <c r="FA102" s="88"/>
      <c r="FB102" s="88"/>
      <c r="FC102" s="88"/>
      <c r="FD102" s="88"/>
      <c r="FE102" s="88"/>
      <c r="FF102" s="88"/>
      <c r="FG102" s="88"/>
      <c r="FH102" s="88"/>
      <c r="FI102" s="88"/>
      <c r="FJ102" s="88"/>
      <c r="FK102" s="88"/>
      <c r="FL102" s="88"/>
      <c r="FM102" s="88"/>
      <c r="FN102" s="88"/>
      <c r="FO102" s="88"/>
      <c r="FP102" s="88"/>
      <c r="FQ102" s="88"/>
      <c r="FR102" s="88"/>
      <c r="FS102" s="88"/>
      <c r="FT102" s="88"/>
      <c r="FU102" s="88"/>
      <c r="FV102" s="88"/>
      <c r="FW102" s="88"/>
      <c r="FX102" s="88"/>
      <c r="FY102" s="88"/>
      <c r="FZ102" s="88"/>
      <c r="GA102" s="88"/>
      <c r="GB102" s="88"/>
      <c r="GC102" s="88"/>
      <c r="GD102" s="88"/>
      <c r="GE102" s="88"/>
      <c r="GF102" s="88"/>
      <c r="GG102" s="88"/>
      <c r="GH102" s="88"/>
      <c r="GI102" s="88"/>
      <c r="GJ102" s="88"/>
      <c r="GK102" s="88"/>
      <c r="GL102" s="88"/>
      <c r="GM102" s="88"/>
      <c r="GN102" s="88"/>
      <c r="GO102" s="88"/>
      <c r="GP102" s="88"/>
      <c r="GQ102" s="88"/>
      <c r="GR102" s="88"/>
      <c r="GS102" s="88"/>
      <c r="GT102" s="88"/>
      <c r="GU102" s="88"/>
      <c r="GV102" s="88"/>
      <c r="GW102" s="88"/>
      <c r="GX102" s="88"/>
      <c r="GY102" s="88"/>
      <c r="GZ102" s="88"/>
      <c r="HA102" s="88"/>
      <c r="HB102" s="88"/>
      <c r="HC102" s="88"/>
      <c r="HD102" s="88"/>
      <c r="HE102" s="88"/>
    </row>
    <row r="103" spans="1:213" customFormat="1">
      <c r="A103" s="17" t="s">
        <v>314</v>
      </c>
      <c r="B103" s="284"/>
      <c r="AI103" s="88"/>
      <c r="AJ103" s="88"/>
      <c r="AK103" s="88"/>
      <c r="AL103" s="88"/>
      <c r="AM103" s="88"/>
      <c r="AN103" s="88"/>
      <c r="AO103" s="88"/>
      <c r="AP103" s="88"/>
      <c r="AQ103" s="88"/>
      <c r="AR103" s="88"/>
      <c r="AS103" s="88"/>
      <c r="AT103" s="88"/>
      <c r="AU103" s="88"/>
      <c r="AV103" s="88"/>
      <c r="AW103" s="88"/>
      <c r="AX103" s="88"/>
      <c r="AY103" s="88"/>
      <c r="AZ103" s="88"/>
      <c r="BA103" s="88"/>
      <c r="BB103" s="88"/>
      <c r="BC103" s="88"/>
      <c r="BD103" s="88"/>
      <c r="BE103" s="88"/>
      <c r="BF103" s="88"/>
      <c r="BG103" s="88"/>
      <c r="BH103" s="88"/>
      <c r="BI103" s="88"/>
      <c r="BJ103" s="88"/>
      <c r="BK103" s="88"/>
      <c r="BL103" s="88"/>
      <c r="BM103" s="88"/>
      <c r="BN103" s="88"/>
      <c r="BO103" s="88"/>
      <c r="BP103" s="88"/>
      <c r="BQ103" s="88"/>
      <c r="BR103" s="88"/>
      <c r="BS103" s="88"/>
      <c r="BT103" s="88"/>
      <c r="BU103" s="88"/>
      <c r="BV103" s="88"/>
      <c r="BW103" s="88"/>
      <c r="BX103" s="88"/>
      <c r="BY103" s="88"/>
      <c r="BZ103" s="88"/>
      <c r="CA103" s="88"/>
      <c r="CB103" s="88"/>
      <c r="CC103" s="88"/>
      <c r="CD103" s="88"/>
      <c r="CE103" s="88"/>
      <c r="CF103" s="88"/>
      <c r="CG103" s="88"/>
      <c r="CH103" s="88"/>
      <c r="CI103" s="88"/>
      <c r="CJ103" s="88"/>
      <c r="CK103" s="88"/>
      <c r="CL103" s="88"/>
      <c r="CM103" s="88"/>
      <c r="CN103" s="88"/>
      <c r="CO103" s="88"/>
      <c r="CP103" s="88"/>
      <c r="CQ103" s="88"/>
      <c r="CR103" s="88"/>
      <c r="CS103" s="88"/>
      <c r="CT103" s="88"/>
      <c r="CU103" s="88"/>
      <c r="CV103" s="88"/>
      <c r="CW103" s="88"/>
      <c r="CX103" s="88"/>
      <c r="CY103" s="88"/>
      <c r="CZ103" s="88"/>
      <c r="DA103" s="88"/>
      <c r="DB103" s="88"/>
      <c r="DC103" s="88"/>
      <c r="DD103" s="88"/>
      <c r="DE103" s="88"/>
      <c r="DF103" s="88"/>
      <c r="DG103" s="88"/>
      <c r="DH103" s="88"/>
      <c r="DI103" s="88"/>
      <c r="DJ103" s="88"/>
      <c r="DK103" s="88"/>
      <c r="DL103" s="88"/>
      <c r="DM103" s="88"/>
      <c r="DN103" s="88"/>
      <c r="DO103" s="88"/>
      <c r="DP103" s="88"/>
      <c r="DQ103" s="88"/>
      <c r="DR103" s="88"/>
      <c r="DS103" s="88"/>
      <c r="DT103" s="88"/>
      <c r="DU103" s="88"/>
      <c r="DV103" s="88"/>
      <c r="DW103" s="88"/>
      <c r="DX103" s="88"/>
      <c r="DY103" s="88"/>
      <c r="DZ103" s="88"/>
      <c r="EA103" s="88"/>
      <c r="EB103" s="88"/>
      <c r="EC103" s="88"/>
      <c r="ED103" s="88"/>
      <c r="EE103" s="88"/>
      <c r="EF103" s="88"/>
      <c r="EG103" s="88"/>
      <c r="EH103" s="88"/>
      <c r="EI103" s="88"/>
      <c r="EJ103" s="88"/>
      <c r="EK103" s="88"/>
      <c r="EL103" s="88"/>
      <c r="EM103" s="88"/>
      <c r="EN103" s="88"/>
      <c r="EO103" s="88"/>
      <c r="EP103" s="88"/>
      <c r="EQ103" s="88"/>
      <c r="ER103" s="88"/>
      <c r="ES103" s="88"/>
      <c r="ET103" s="88"/>
      <c r="EU103" s="88"/>
      <c r="EV103" s="88"/>
      <c r="EW103" s="88"/>
      <c r="EX103" s="88"/>
      <c r="EY103" s="88"/>
      <c r="EZ103" s="88"/>
      <c r="FA103" s="88"/>
      <c r="FB103" s="88"/>
      <c r="FC103" s="88"/>
      <c r="FD103" s="88"/>
      <c r="FE103" s="88"/>
      <c r="FF103" s="88"/>
      <c r="FG103" s="88"/>
      <c r="FH103" s="88"/>
      <c r="FI103" s="88"/>
      <c r="FJ103" s="88"/>
      <c r="FK103" s="88"/>
      <c r="FL103" s="88"/>
      <c r="FM103" s="88"/>
      <c r="FN103" s="88"/>
      <c r="FO103" s="88"/>
      <c r="FP103" s="88"/>
      <c r="FQ103" s="88"/>
      <c r="FR103" s="88"/>
      <c r="FS103" s="88"/>
      <c r="FT103" s="88"/>
      <c r="FU103" s="88"/>
      <c r="FV103" s="88"/>
      <c r="FW103" s="88"/>
      <c r="FX103" s="88"/>
      <c r="FY103" s="88"/>
      <c r="FZ103" s="88"/>
      <c r="GA103" s="88"/>
      <c r="GB103" s="88"/>
      <c r="GC103" s="88"/>
      <c r="GD103" s="88"/>
      <c r="GE103" s="88"/>
      <c r="GF103" s="88"/>
      <c r="GG103" s="88"/>
      <c r="GH103" s="88"/>
      <c r="GI103" s="88"/>
      <c r="GJ103" s="88"/>
      <c r="GK103" s="88"/>
      <c r="GL103" s="88"/>
      <c r="GM103" s="88"/>
      <c r="GN103" s="88"/>
      <c r="GO103" s="88"/>
      <c r="GP103" s="88"/>
      <c r="GQ103" s="88"/>
      <c r="GR103" s="88"/>
      <c r="GS103" s="88"/>
      <c r="GT103" s="88"/>
      <c r="GU103" s="88"/>
      <c r="GV103" s="88"/>
      <c r="GW103" s="88"/>
      <c r="GX103" s="88"/>
      <c r="GY103" s="88"/>
      <c r="GZ103" s="88"/>
      <c r="HA103" s="88"/>
      <c r="HB103" s="88"/>
      <c r="HC103" s="88"/>
      <c r="HD103" s="88"/>
      <c r="HE103" s="88"/>
    </row>
    <row r="104" spans="1:213" customFormat="1">
      <c r="A104" s="17" t="s">
        <v>315</v>
      </c>
      <c r="B104" s="444">
        <v>0</v>
      </c>
      <c r="C104" s="6" t="s">
        <v>286</v>
      </c>
      <c r="AI104" s="88"/>
      <c r="AJ104" s="88"/>
      <c r="AK104" s="88"/>
      <c r="AL104" s="88"/>
      <c r="AM104" s="88"/>
      <c r="AN104" s="88"/>
      <c r="AO104" s="88"/>
      <c r="AP104" s="88"/>
      <c r="AQ104" s="88"/>
      <c r="AR104" s="88"/>
      <c r="AS104" s="88"/>
      <c r="AT104" s="88"/>
      <c r="AU104" s="88"/>
      <c r="AV104" s="88"/>
      <c r="AW104" s="88"/>
      <c r="AX104" s="88"/>
      <c r="AY104" s="88"/>
      <c r="AZ104" s="88"/>
      <c r="BA104" s="88"/>
      <c r="BB104" s="88"/>
      <c r="BC104" s="88"/>
      <c r="BD104" s="88"/>
      <c r="BE104" s="88"/>
      <c r="BF104" s="88"/>
      <c r="BG104" s="88"/>
      <c r="BH104" s="88"/>
      <c r="BI104" s="88"/>
      <c r="BJ104" s="88"/>
      <c r="BK104" s="88"/>
      <c r="BL104" s="88"/>
      <c r="BM104" s="88"/>
      <c r="BN104" s="88"/>
      <c r="BO104" s="88"/>
      <c r="BP104" s="88"/>
      <c r="BQ104" s="88"/>
      <c r="BR104" s="88"/>
      <c r="BS104" s="88"/>
      <c r="BT104" s="88"/>
      <c r="BU104" s="88"/>
      <c r="BV104" s="88"/>
      <c r="BW104" s="88"/>
      <c r="BX104" s="88"/>
      <c r="BY104" s="88"/>
      <c r="BZ104" s="88"/>
      <c r="CA104" s="88"/>
      <c r="CB104" s="88"/>
      <c r="CC104" s="88"/>
      <c r="CD104" s="88"/>
      <c r="CE104" s="88"/>
      <c r="CF104" s="88"/>
      <c r="CG104" s="88"/>
      <c r="CH104" s="88"/>
      <c r="CI104" s="88"/>
      <c r="CJ104" s="88"/>
      <c r="CK104" s="88"/>
      <c r="CL104" s="88"/>
      <c r="CM104" s="88"/>
      <c r="CN104" s="88"/>
      <c r="CO104" s="88"/>
      <c r="CP104" s="88"/>
      <c r="CQ104" s="88"/>
      <c r="CR104" s="88"/>
      <c r="CS104" s="88"/>
      <c r="CT104" s="88"/>
      <c r="CU104" s="88"/>
      <c r="CV104" s="88"/>
      <c r="CW104" s="88"/>
      <c r="CX104" s="88"/>
      <c r="CY104" s="88"/>
      <c r="CZ104" s="88"/>
      <c r="DA104" s="88"/>
      <c r="DB104" s="88"/>
      <c r="DC104" s="88"/>
      <c r="DD104" s="88"/>
      <c r="DE104" s="88"/>
      <c r="DF104" s="88"/>
      <c r="DG104" s="88"/>
      <c r="DH104" s="88"/>
      <c r="DI104" s="88"/>
      <c r="DJ104" s="88"/>
      <c r="DK104" s="88"/>
      <c r="DL104" s="88"/>
      <c r="DM104" s="88"/>
      <c r="DN104" s="88"/>
      <c r="DO104" s="88"/>
      <c r="DP104" s="88"/>
      <c r="DQ104" s="88"/>
      <c r="DR104" s="88"/>
      <c r="DS104" s="88"/>
      <c r="DT104" s="88"/>
      <c r="DU104" s="88"/>
      <c r="DV104" s="88"/>
      <c r="DW104" s="88"/>
      <c r="DX104" s="88"/>
      <c r="DY104" s="88"/>
      <c r="DZ104" s="88"/>
      <c r="EA104" s="88"/>
      <c r="EB104" s="88"/>
      <c r="EC104" s="88"/>
      <c r="ED104" s="88"/>
      <c r="EE104" s="88"/>
      <c r="EF104" s="88"/>
      <c r="EG104" s="88"/>
      <c r="EH104" s="88"/>
      <c r="EI104" s="88"/>
      <c r="EJ104" s="88"/>
      <c r="EK104" s="88"/>
      <c r="EL104" s="88"/>
      <c r="EM104" s="88"/>
      <c r="EN104" s="88"/>
      <c r="EO104" s="88"/>
      <c r="EP104" s="88"/>
      <c r="EQ104" s="88"/>
      <c r="ER104" s="88"/>
      <c r="ES104" s="88"/>
      <c r="ET104" s="88"/>
      <c r="EU104" s="88"/>
      <c r="EV104" s="88"/>
      <c r="EW104" s="88"/>
      <c r="EX104" s="88"/>
      <c r="EY104" s="88"/>
      <c r="EZ104" s="88"/>
      <c r="FA104" s="88"/>
      <c r="FB104" s="88"/>
      <c r="FC104" s="88"/>
      <c r="FD104" s="88"/>
      <c r="FE104" s="88"/>
      <c r="FF104" s="88"/>
      <c r="FG104" s="88"/>
      <c r="FH104" s="88"/>
      <c r="FI104" s="88"/>
      <c r="FJ104" s="88"/>
      <c r="FK104" s="88"/>
      <c r="FL104" s="88"/>
      <c r="FM104" s="88"/>
      <c r="FN104" s="88"/>
      <c r="FO104" s="88"/>
      <c r="FP104" s="88"/>
      <c r="FQ104" s="88"/>
      <c r="FR104" s="88"/>
      <c r="FS104" s="88"/>
      <c r="FT104" s="88"/>
      <c r="FU104" s="88"/>
      <c r="FV104" s="88"/>
      <c r="FW104" s="88"/>
      <c r="FX104" s="88"/>
      <c r="FY104" s="88"/>
      <c r="FZ104" s="88"/>
      <c r="GA104" s="88"/>
      <c r="GB104" s="88"/>
      <c r="GC104" s="88"/>
      <c r="GD104" s="88"/>
      <c r="GE104" s="88"/>
      <c r="GF104" s="88"/>
      <c r="GG104" s="88"/>
      <c r="GH104" s="88"/>
      <c r="GI104" s="88"/>
      <c r="GJ104" s="88"/>
      <c r="GK104" s="88"/>
      <c r="GL104" s="88"/>
      <c r="GM104" s="88"/>
      <c r="GN104" s="88"/>
      <c r="GO104" s="88"/>
      <c r="GP104" s="88"/>
      <c r="GQ104" s="88"/>
      <c r="GR104" s="88"/>
      <c r="GS104" s="88"/>
      <c r="GT104" s="88"/>
      <c r="GU104" s="88"/>
      <c r="GV104" s="88"/>
      <c r="GW104" s="88"/>
      <c r="GX104" s="88"/>
      <c r="GY104" s="88"/>
      <c r="GZ104" s="88"/>
      <c r="HA104" s="88"/>
      <c r="HB104" s="88"/>
      <c r="HC104" s="88"/>
      <c r="HD104" s="88"/>
      <c r="HE104" s="88"/>
    </row>
    <row r="105" spans="1:213" customFormat="1">
      <c r="A105" s="17" t="s">
        <v>316</v>
      </c>
      <c r="B105" s="284"/>
      <c r="AI105" s="88"/>
      <c r="AJ105" s="88"/>
      <c r="AK105" s="88"/>
      <c r="AL105" s="88"/>
      <c r="AM105" s="88"/>
      <c r="AN105" s="88"/>
      <c r="AO105" s="88"/>
      <c r="AP105" s="88"/>
      <c r="AQ105" s="88"/>
      <c r="AR105" s="88"/>
      <c r="AS105" s="88"/>
      <c r="AT105" s="88"/>
      <c r="AU105" s="88"/>
      <c r="AV105" s="88"/>
      <c r="AW105" s="88"/>
      <c r="AX105" s="88"/>
      <c r="AY105" s="88"/>
      <c r="AZ105" s="88"/>
      <c r="BA105" s="88"/>
      <c r="BB105" s="88"/>
      <c r="BC105" s="88"/>
      <c r="BD105" s="88"/>
      <c r="BE105" s="88"/>
      <c r="BF105" s="88"/>
      <c r="BG105" s="88"/>
      <c r="BH105" s="88"/>
      <c r="BI105" s="88"/>
      <c r="BJ105" s="88"/>
      <c r="BK105" s="88"/>
      <c r="BL105" s="88"/>
      <c r="BM105" s="88"/>
      <c r="BN105" s="88"/>
      <c r="BO105" s="88"/>
      <c r="BP105" s="88"/>
      <c r="BQ105" s="88"/>
      <c r="BR105" s="88"/>
      <c r="BS105" s="88"/>
      <c r="BT105" s="88"/>
      <c r="BU105" s="88"/>
      <c r="BV105" s="88"/>
      <c r="BW105" s="88"/>
      <c r="BX105" s="88"/>
      <c r="BY105" s="88"/>
      <c r="BZ105" s="88"/>
      <c r="CA105" s="88"/>
      <c r="CB105" s="88"/>
      <c r="CC105" s="88"/>
      <c r="CD105" s="88"/>
      <c r="CE105" s="88"/>
      <c r="CF105" s="88"/>
      <c r="CG105" s="88"/>
      <c r="CH105" s="88"/>
      <c r="CI105" s="88"/>
      <c r="CJ105" s="88"/>
      <c r="CK105" s="88"/>
      <c r="CL105" s="88"/>
      <c r="CM105" s="88"/>
      <c r="CN105" s="88"/>
      <c r="CO105" s="88"/>
      <c r="CP105" s="88"/>
      <c r="CQ105" s="88"/>
      <c r="CR105" s="88"/>
      <c r="CS105" s="88"/>
      <c r="CT105" s="88"/>
      <c r="CU105" s="88"/>
      <c r="CV105" s="88"/>
      <c r="CW105" s="88"/>
      <c r="CX105" s="88"/>
      <c r="CY105" s="88"/>
      <c r="CZ105" s="88"/>
      <c r="DA105" s="88"/>
      <c r="DB105" s="88"/>
      <c r="DC105" s="88"/>
      <c r="DD105" s="88"/>
      <c r="DE105" s="88"/>
      <c r="DF105" s="88"/>
      <c r="DG105" s="88"/>
      <c r="DH105" s="88"/>
      <c r="DI105" s="88"/>
      <c r="DJ105" s="88"/>
      <c r="DK105" s="88"/>
      <c r="DL105" s="88"/>
      <c r="DM105" s="88"/>
      <c r="DN105" s="88"/>
      <c r="DO105" s="88"/>
      <c r="DP105" s="88"/>
      <c r="DQ105" s="88"/>
      <c r="DR105" s="88"/>
      <c r="DS105" s="88"/>
      <c r="DT105" s="88"/>
      <c r="DU105" s="88"/>
      <c r="DV105" s="88"/>
      <c r="DW105" s="88"/>
      <c r="DX105" s="88"/>
      <c r="DY105" s="88"/>
      <c r="DZ105" s="88"/>
      <c r="EA105" s="88"/>
      <c r="EB105" s="88"/>
      <c r="EC105" s="88"/>
      <c r="ED105" s="88"/>
      <c r="EE105" s="88"/>
      <c r="EF105" s="88"/>
      <c r="EG105" s="88"/>
      <c r="EH105" s="88"/>
      <c r="EI105" s="88"/>
      <c r="EJ105" s="88"/>
      <c r="EK105" s="88"/>
      <c r="EL105" s="88"/>
      <c r="EM105" s="88"/>
      <c r="EN105" s="88"/>
      <c r="EO105" s="88"/>
      <c r="EP105" s="88"/>
      <c r="EQ105" s="88"/>
      <c r="ER105" s="88"/>
      <c r="ES105" s="88"/>
      <c r="ET105" s="88"/>
      <c r="EU105" s="88"/>
      <c r="EV105" s="88"/>
      <c r="EW105" s="88"/>
      <c r="EX105" s="88"/>
      <c r="EY105" s="88"/>
      <c r="EZ105" s="88"/>
      <c r="FA105" s="88"/>
      <c r="FB105" s="88"/>
      <c r="FC105" s="88"/>
      <c r="FD105" s="88"/>
      <c r="FE105" s="88"/>
      <c r="FF105" s="88"/>
      <c r="FG105" s="88"/>
      <c r="FH105" s="88"/>
      <c r="FI105" s="88"/>
      <c r="FJ105" s="88"/>
      <c r="FK105" s="88"/>
      <c r="FL105" s="88"/>
      <c r="FM105" s="88"/>
      <c r="FN105" s="88"/>
      <c r="FO105" s="88"/>
      <c r="FP105" s="88"/>
      <c r="FQ105" s="88"/>
      <c r="FR105" s="88"/>
      <c r="FS105" s="88"/>
      <c r="FT105" s="88"/>
      <c r="FU105" s="88"/>
      <c r="FV105" s="88"/>
      <c r="FW105" s="88"/>
      <c r="FX105" s="88"/>
      <c r="FY105" s="88"/>
      <c r="FZ105" s="88"/>
      <c r="GA105" s="88"/>
      <c r="GB105" s="88"/>
      <c r="GC105" s="88"/>
      <c r="GD105" s="88"/>
      <c r="GE105" s="88"/>
      <c r="GF105" s="88"/>
      <c r="GG105" s="88"/>
      <c r="GH105" s="88"/>
      <c r="GI105" s="88"/>
      <c r="GJ105" s="88"/>
      <c r="GK105" s="88"/>
      <c r="GL105" s="88"/>
      <c r="GM105" s="88"/>
      <c r="GN105" s="88"/>
      <c r="GO105" s="88"/>
      <c r="GP105" s="88"/>
      <c r="GQ105" s="88"/>
      <c r="GR105" s="88"/>
      <c r="GS105" s="88"/>
      <c r="GT105" s="88"/>
      <c r="GU105" s="88"/>
      <c r="GV105" s="88"/>
      <c r="GW105" s="88"/>
      <c r="GX105" s="88"/>
      <c r="GY105" s="88"/>
      <c r="GZ105" s="88"/>
      <c r="HA105" s="88"/>
      <c r="HB105" s="88"/>
      <c r="HC105" s="88"/>
      <c r="HD105" s="88"/>
      <c r="HE105" s="88"/>
    </row>
    <row r="106" spans="1:213" customFormat="1">
      <c r="A106" s="1" t="s">
        <v>317</v>
      </c>
      <c r="B106" s="444"/>
      <c r="AI106" s="88"/>
      <c r="AJ106" s="88"/>
      <c r="AK106" s="88"/>
      <c r="AL106" s="88"/>
      <c r="AM106" s="88"/>
      <c r="AN106" s="88"/>
      <c r="AO106" s="88"/>
      <c r="AP106" s="88"/>
      <c r="AQ106" s="88"/>
      <c r="AR106" s="88"/>
      <c r="AS106" s="88"/>
      <c r="AT106" s="88"/>
      <c r="AU106" s="88"/>
      <c r="AV106" s="88"/>
      <c r="AW106" s="88"/>
      <c r="AX106" s="88"/>
      <c r="AY106" s="88"/>
      <c r="AZ106" s="88"/>
      <c r="BA106" s="88"/>
      <c r="BB106" s="88"/>
      <c r="BC106" s="88"/>
      <c r="BD106" s="88"/>
      <c r="BE106" s="88"/>
      <c r="BF106" s="88"/>
      <c r="BG106" s="88"/>
      <c r="BH106" s="88"/>
      <c r="BI106" s="88"/>
      <c r="BJ106" s="88"/>
      <c r="BK106" s="88"/>
      <c r="BL106" s="88"/>
      <c r="BM106" s="88"/>
      <c r="BN106" s="88"/>
      <c r="BO106" s="88"/>
      <c r="BP106" s="88"/>
      <c r="BQ106" s="88"/>
      <c r="BR106" s="88"/>
      <c r="BS106" s="88"/>
      <c r="BT106" s="88"/>
      <c r="BU106" s="88"/>
      <c r="BV106" s="88"/>
      <c r="BW106" s="88"/>
      <c r="BX106" s="88"/>
      <c r="BY106" s="88"/>
      <c r="BZ106" s="88"/>
      <c r="CA106" s="88"/>
      <c r="CB106" s="88"/>
      <c r="CC106" s="88"/>
      <c r="CD106" s="88"/>
      <c r="CE106" s="88"/>
      <c r="CF106" s="88"/>
      <c r="CG106" s="88"/>
      <c r="CH106" s="88"/>
      <c r="CI106" s="88"/>
      <c r="CJ106" s="88"/>
      <c r="CK106" s="88"/>
      <c r="CL106" s="88"/>
      <c r="CM106" s="88"/>
      <c r="CN106" s="88"/>
      <c r="CO106" s="88"/>
      <c r="CP106" s="88"/>
      <c r="CQ106" s="88"/>
      <c r="CR106" s="88"/>
      <c r="CS106" s="88"/>
      <c r="CT106" s="88"/>
      <c r="CU106" s="88"/>
      <c r="CV106" s="88"/>
      <c r="CW106" s="88"/>
      <c r="CX106" s="88"/>
      <c r="CY106" s="88"/>
      <c r="CZ106" s="88"/>
      <c r="DA106" s="88"/>
      <c r="DB106" s="88"/>
      <c r="DC106" s="88"/>
      <c r="DD106" s="88"/>
      <c r="DE106" s="88"/>
      <c r="DF106" s="88"/>
      <c r="DG106" s="88"/>
      <c r="DH106" s="88"/>
      <c r="DI106" s="88"/>
      <c r="DJ106" s="88"/>
      <c r="DK106" s="88"/>
      <c r="DL106" s="88"/>
      <c r="DM106" s="88"/>
      <c r="DN106" s="88"/>
      <c r="DO106" s="88"/>
      <c r="DP106" s="88"/>
      <c r="DQ106" s="88"/>
      <c r="DR106" s="88"/>
      <c r="DS106" s="88"/>
      <c r="DT106" s="88"/>
      <c r="DU106" s="88"/>
      <c r="DV106" s="88"/>
      <c r="DW106" s="88"/>
      <c r="DX106" s="88"/>
      <c r="DY106" s="88"/>
      <c r="DZ106" s="88"/>
      <c r="EA106" s="88"/>
      <c r="EB106" s="88"/>
      <c r="EC106" s="88"/>
      <c r="ED106" s="88"/>
      <c r="EE106" s="88"/>
      <c r="EF106" s="88"/>
      <c r="EG106" s="88"/>
      <c r="EH106" s="88"/>
      <c r="EI106" s="88"/>
      <c r="EJ106" s="88"/>
      <c r="EK106" s="88"/>
      <c r="EL106" s="88"/>
      <c r="EM106" s="88"/>
      <c r="EN106" s="88"/>
      <c r="EO106" s="88"/>
      <c r="EP106" s="88"/>
      <c r="EQ106" s="88"/>
      <c r="ER106" s="88"/>
      <c r="ES106" s="88"/>
      <c r="ET106" s="88"/>
      <c r="EU106" s="88"/>
      <c r="EV106" s="88"/>
      <c r="EW106" s="88"/>
      <c r="EX106" s="88"/>
      <c r="EY106" s="88"/>
      <c r="EZ106" s="88"/>
      <c r="FA106" s="88"/>
      <c r="FB106" s="88"/>
      <c r="FC106" s="88"/>
      <c r="FD106" s="88"/>
      <c r="FE106" s="88"/>
      <c r="FF106" s="88"/>
      <c r="FG106" s="88"/>
      <c r="FH106" s="88"/>
      <c r="FI106" s="88"/>
      <c r="FJ106" s="88"/>
      <c r="FK106" s="88"/>
      <c r="FL106" s="88"/>
      <c r="FM106" s="88"/>
      <c r="FN106" s="88"/>
      <c r="FO106" s="88"/>
      <c r="FP106" s="88"/>
      <c r="FQ106" s="88"/>
      <c r="FR106" s="88"/>
      <c r="FS106" s="88"/>
      <c r="FT106" s="88"/>
      <c r="FU106" s="88"/>
      <c r="FV106" s="88"/>
      <c r="FW106" s="88"/>
      <c r="FX106" s="88"/>
      <c r="FY106" s="88"/>
      <c r="FZ106" s="88"/>
      <c r="GA106" s="88"/>
      <c r="GB106" s="88"/>
      <c r="GC106" s="88"/>
      <c r="GD106" s="88"/>
      <c r="GE106" s="88"/>
      <c r="GF106" s="88"/>
      <c r="GG106" s="88"/>
      <c r="GH106" s="88"/>
      <c r="GI106" s="88"/>
      <c r="GJ106" s="88"/>
      <c r="GK106" s="88"/>
      <c r="GL106" s="88"/>
      <c r="GM106" s="88"/>
      <c r="GN106" s="88"/>
      <c r="GO106" s="88"/>
      <c r="GP106" s="88"/>
      <c r="GQ106" s="88"/>
      <c r="GR106" s="88"/>
      <c r="GS106" s="88"/>
      <c r="GT106" s="88"/>
      <c r="GU106" s="88"/>
      <c r="GV106" s="88"/>
      <c r="GW106" s="88"/>
      <c r="GX106" s="88"/>
      <c r="GY106" s="88"/>
      <c r="GZ106" s="88"/>
      <c r="HA106" s="88"/>
      <c r="HB106" s="88"/>
      <c r="HC106" s="88"/>
      <c r="HD106" s="88"/>
      <c r="HE106" s="88"/>
    </row>
    <row r="107" spans="1:213" customFormat="1">
      <c r="A107" s="60" t="s">
        <v>318</v>
      </c>
      <c r="B107" s="284"/>
      <c r="C107" s="88"/>
      <c r="AI107" s="88"/>
      <c r="AJ107" s="88"/>
      <c r="AK107" s="88"/>
      <c r="AL107" s="88"/>
      <c r="AM107" s="88"/>
      <c r="AN107" s="88"/>
      <c r="AO107" s="88"/>
      <c r="AP107" s="88"/>
      <c r="AQ107" s="88"/>
      <c r="AR107" s="88"/>
      <c r="AS107" s="88"/>
      <c r="AT107" s="88"/>
      <c r="AU107" s="88"/>
      <c r="AV107" s="88"/>
      <c r="AW107" s="88"/>
      <c r="AX107" s="88"/>
      <c r="AY107" s="88"/>
      <c r="AZ107" s="88"/>
      <c r="BA107" s="88"/>
      <c r="BB107" s="88"/>
      <c r="BC107" s="88"/>
      <c r="BD107" s="88"/>
      <c r="BE107" s="88"/>
      <c r="BF107" s="88"/>
      <c r="BG107" s="88"/>
      <c r="BH107" s="88"/>
      <c r="BI107" s="88"/>
      <c r="BJ107" s="88"/>
      <c r="BK107" s="88"/>
      <c r="BL107" s="88"/>
      <c r="BM107" s="88"/>
      <c r="BN107" s="88"/>
      <c r="BO107" s="88"/>
      <c r="BP107" s="88"/>
      <c r="BQ107" s="88"/>
      <c r="BR107" s="88"/>
      <c r="BS107" s="88"/>
      <c r="BT107" s="88"/>
      <c r="BU107" s="88"/>
      <c r="BV107" s="88"/>
      <c r="BW107" s="88"/>
      <c r="BX107" s="88"/>
      <c r="BY107" s="88"/>
      <c r="BZ107" s="88"/>
      <c r="CA107" s="88"/>
      <c r="CB107" s="88"/>
      <c r="CC107" s="88"/>
      <c r="CD107" s="88"/>
      <c r="CE107" s="88"/>
      <c r="CF107" s="88"/>
      <c r="CG107" s="88"/>
      <c r="CH107" s="88"/>
      <c r="CI107" s="88"/>
      <c r="CJ107" s="88"/>
      <c r="CK107" s="88"/>
      <c r="CL107" s="88"/>
      <c r="CM107" s="88"/>
      <c r="CN107" s="88"/>
      <c r="CO107" s="88"/>
      <c r="CP107" s="88"/>
      <c r="CQ107" s="88"/>
      <c r="CR107" s="88"/>
      <c r="CS107" s="88"/>
      <c r="CT107" s="88"/>
      <c r="CU107" s="88"/>
      <c r="CV107" s="88"/>
      <c r="CW107" s="88"/>
      <c r="CX107" s="88"/>
      <c r="CY107" s="88"/>
      <c r="CZ107" s="88"/>
      <c r="DA107" s="88"/>
      <c r="DB107" s="88"/>
      <c r="DC107" s="88"/>
      <c r="DD107" s="88"/>
      <c r="DE107" s="88"/>
      <c r="DF107" s="88"/>
      <c r="DG107" s="88"/>
      <c r="DH107" s="88"/>
      <c r="DI107" s="88"/>
      <c r="DJ107" s="88"/>
      <c r="DK107" s="88"/>
      <c r="DL107" s="88"/>
      <c r="DM107" s="88"/>
      <c r="DN107" s="88"/>
      <c r="DO107" s="88"/>
      <c r="DP107" s="88"/>
      <c r="DQ107" s="88"/>
      <c r="DR107" s="88"/>
      <c r="DS107" s="88"/>
      <c r="DT107" s="88"/>
      <c r="DU107" s="88"/>
      <c r="DV107" s="88"/>
      <c r="DW107" s="88"/>
      <c r="DX107" s="88"/>
      <c r="DY107" s="88"/>
      <c r="DZ107" s="88"/>
      <c r="EA107" s="88"/>
      <c r="EB107" s="88"/>
      <c r="EC107" s="88"/>
      <c r="ED107" s="88"/>
      <c r="EE107" s="88"/>
      <c r="EF107" s="88"/>
      <c r="EG107" s="88"/>
      <c r="EH107" s="88"/>
      <c r="EI107" s="88"/>
      <c r="EJ107" s="88"/>
      <c r="EK107" s="88"/>
      <c r="EL107" s="88"/>
      <c r="EM107" s="88"/>
      <c r="EN107" s="88"/>
      <c r="EO107" s="88"/>
      <c r="EP107" s="88"/>
      <c r="EQ107" s="88"/>
      <c r="ER107" s="88"/>
      <c r="ES107" s="88"/>
      <c r="ET107" s="88"/>
      <c r="EU107" s="88"/>
      <c r="EV107" s="88"/>
      <c r="EW107" s="88"/>
      <c r="EX107" s="88"/>
      <c r="EY107" s="88"/>
      <c r="EZ107" s="88"/>
      <c r="FA107" s="88"/>
      <c r="FB107" s="88"/>
      <c r="FC107" s="88"/>
      <c r="FD107" s="88"/>
      <c r="FE107" s="88"/>
      <c r="FF107" s="88"/>
      <c r="FG107" s="88"/>
      <c r="FH107" s="88"/>
      <c r="FI107" s="88"/>
      <c r="FJ107" s="88"/>
      <c r="FK107" s="88"/>
      <c r="FL107" s="88"/>
      <c r="FM107" s="88"/>
      <c r="FN107" s="88"/>
      <c r="FO107" s="88"/>
      <c r="FP107" s="88"/>
      <c r="FQ107" s="88"/>
      <c r="FR107" s="88"/>
      <c r="FS107" s="88"/>
      <c r="FT107" s="88"/>
      <c r="FU107" s="88"/>
      <c r="FV107" s="88"/>
      <c r="FW107" s="88"/>
      <c r="FX107" s="88"/>
      <c r="FY107" s="88"/>
      <c r="FZ107" s="88"/>
      <c r="GA107" s="88"/>
      <c r="GB107" s="88"/>
      <c r="GC107" s="88"/>
      <c r="GD107" s="88"/>
      <c r="GE107" s="88"/>
      <c r="GF107" s="88"/>
      <c r="GG107" s="88"/>
      <c r="GH107" s="88"/>
      <c r="GI107" s="88"/>
      <c r="GJ107" s="88"/>
      <c r="GK107" s="88"/>
      <c r="GL107" s="88"/>
      <c r="GM107" s="88"/>
      <c r="GN107" s="88"/>
      <c r="GO107" s="88"/>
      <c r="GP107" s="88"/>
      <c r="GQ107" s="88"/>
      <c r="GR107" s="88"/>
      <c r="GS107" s="88"/>
      <c r="GT107" s="88"/>
      <c r="GU107" s="88"/>
      <c r="GV107" s="88"/>
      <c r="GW107" s="88"/>
      <c r="GX107" s="88"/>
      <c r="GY107" s="88"/>
      <c r="GZ107" s="88"/>
      <c r="HA107" s="88"/>
      <c r="HB107" s="88"/>
      <c r="HC107" s="88"/>
      <c r="HD107" s="88"/>
      <c r="HE107" s="88"/>
    </row>
    <row r="108" spans="1:213">
      <c r="A108" s="3" t="s">
        <v>319</v>
      </c>
      <c r="B108" s="593" t="s">
        <v>320</v>
      </c>
      <c r="C108" s="3"/>
      <c r="D108" s="88"/>
      <c r="E108" s="88"/>
      <c r="F108" s="88"/>
      <c r="G108" s="88"/>
      <c r="H108" s="88"/>
      <c r="I108" s="88"/>
      <c r="J108" s="88"/>
      <c r="K108" s="88"/>
      <c r="L108" s="88"/>
      <c r="M108" s="88"/>
      <c r="N108" s="88"/>
      <c r="O108" s="88"/>
      <c r="P108" s="88"/>
      <c r="Q108" s="88"/>
      <c r="R108" s="88"/>
      <c r="S108" s="88"/>
      <c r="T108" s="88"/>
      <c r="U108" s="88"/>
      <c r="V108" s="88"/>
      <c r="W108" s="88"/>
      <c r="X108" s="88"/>
      <c r="Y108" s="88"/>
      <c r="Z108" s="88"/>
      <c r="AA108" s="88"/>
      <c r="AB108" s="88"/>
      <c r="AC108" s="88"/>
      <c r="AD108" s="88"/>
      <c r="AE108" s="88"/>
      <c r="AF108" s="88"/>
      <c r="AG108" s="88"/>
      <c r="AH108" s="88"/>
      <c r="AI108" s="88"/>
      <c r="AJ108" s="88"/>
      <c r="AK108" s="88"/>
      <c r="AL108" s="88"/>
      <c r="AM108" s="88"/>
      <c r="AN108" s="88"/>
      <c r="AO108" s="88"/>
      <c r="AP108" s="88"/>
      <c r="AQ108" s="88"/>
      <c r="AR108" s="88"/>
      <c r="AS108" s="88"/>
      <c r="AT108" s="88"/>
      <c r="AU108" s="88"/>
      <c r="AV108" s="88"/>
      <c r="AW108" s="88"/>
      <c r="AX108" s="88"/>
      <c r="AY108" s="88"/>
      <c r="AZ108" s="88"/>
      <c r="BA108" s="88"/>
      <c r="BB108" s="88"/>
      <c r="BC108" s="88"/>
      <c r="BD108" s="88"/>
      <c r="BE108" s="88"/>
      <c r="BF108" s="88"/>
      <c r="BG108" s="88"/>
      <c r="BH108" s="88"/>
      <c r="BI108" s="88"/>
      <c r="BJ108" s="88"/>
      <c r="BK108" s="88"/>
      <c r="BL108" s="88"/>
      <c r="BM108" s="88"/>
      <c r="BN108" s="88"/>
      <c r="BO108" s="88"/>
      <c r="BP108" s="88"/>
      <c r="BQ108" s="88"/>
      <c r="BR108" s="88"/>
      <c r="BS108" s="88"/>
      <c r="BT108" s="88"/>
      <c r="BU108" s="88"/>
      <c r="BV108" s="88"/>
      <c r="BW108" s="88"/>
      <c r="BX108" s="88"/>
      <c r="BY108" s="88"/>
      <c r="BZ108" s="88"/>
      <c r="CA108" s="88"/>
      <c r="CB108" s="88"/>
      <c r="CC108" s="88"/>
      <c r="CD108" s="88"/>
      <c r="CE108" s="88"/>
      <c r="CF108" s="88"/>
      <c r="CG108" s="88"/>
      <c r="CH108" s="88"/>
      <c r="CI108" s="88"/>
      <c r="CJ108" s="88"/>
      <c r="CK108" s="88"/>
      <c r="CL108" s="88"/>
      <c r="CM108" s="88"/>
      <c r="CN108" s="88"/>
      <c r="CO108" s="88"/>
      <c r="CP108" s="88"/>
      <c r="CQ108" s="88"/>
      <c r="CR108" s="88"/>
      <c r="CS108" s="88"/>
      <c r="CT108" s="88"/>
      <c r="CU108" s="88"/>
      <c r="CV108" s="88"/>
      <c r="CW108" s="88"/>
      <c r="CX108" s="88"/>
      <c r="CY108" s="88"/>
      <c r="CZ108" s="88"/>
      <c r="DA108" s="88"/>
      <c r="DB108" s="88"/>
      <c r="DC108" s="88"/>
      <c r="DD108" s="88"/>
      <c r="DE108" s="88"/>
      <c r="DF108" s="88"/>
      <c r="DG108" s="88"/>
      <c r="DH108" s="88"/>
      <c r="DI108" s="88"/>
      <c r="DJ108" s="88"/>
      <c r="DK108" s="88"/>
      <c r="DL108" s="88"/>
      <c r="DM108" s="88"/>
      <c r="DN108" s="88"/>
      <c r="DO108" s="88"/>
      <c r="DP108" s="88"/>
      <c r="DQ108" s="88"/>
      <c r="DR108" s="88"/>
      <c r="DS108" s="88"/>
      <c r="DT108" s="88"/>
      <c r="DU108" s="88"/>
      <c r="DV108" s="88"/>
      <c r="DW108" s="88"/>
      <c r="DX108" s="88"/>
      <c r="DY108" s="88"/>
      <c r="DZ108" s="88"/>
      <c r="EA108" s="88"/>
      <c r="EB108" s="88"/>
      <c r="EC108" s="88"/>
      <c r="ED108" s="88"/>
      <c r="EE108" s="88"/>
      <c r="EF108" s="88"/>
      <c r="EG108" s="88"/>
      <c r="EH108" s="88"/>
      <c r="EI108" s="88"/>
      <c r="EJ108" s="88"/>
      <c r="EK108" s="88"/>
      <c r="EL108" s="88"/>
      <c r="EM108" s="88"/>
      <c r="EN108" s="88"/>
      <c r="EO108" s="88"/>
      <c r="EP108" s="88"/>
      <c r="EQ108" s="88"/>
      <c r="ER108" s="88"/>
      <c r="ES108" s="88"/>
      <c r="ET108" s="88"/>
      <c r="EU108" s="88"/>
      <c r="EV108" s="88"/>
      <c r="EW108" s="88"/>
      <c r="EX108" s="88"/>
      <c r="EY108" s="88"/>
      <c r="EZ108" s="88"/>
      <c r="FA108" s="88"/>
      <c r="FB108" s="88"/>
      <c r="FC108" s="88"/>
      <c r="FD108" s="88"/>
      <c r="FE108" s="88"/>
      <c r="FF108" s="88"/>
      <c r="FG108" s="88"/>
      <c r="FH108" s="88"/>
      <c r="FI108" s="88"/>
      <c r="FJ108" s="88"/>
      <c r="FK108" s="88"/>
      <c r="FL108" s="88"/>
      <c r="FM108" s="88"/>
      <c r="FN108" s="88"/>
      <c r="FO108" s="88"/>
      <c r="FP108" s="88"/>
      <c r="FQ108" s="88"/>
      <c r="FR108" s="88"/>
      <c r="FS108" s="88"/>
      <c r="FT108" s="88"/>
      <c r="FU108" s="88"/>
      <c r="FV108" s="88"/>
      <c r="FW108" s="88"/>
      <c r="FX108" s="88"/>
      <c r="FY108" s="88"/>
      <c r="FZ108" s="88"/>
      <c r="GA108" s="88"/>
      <c r="GB108" s="88"/>
      <c r="GC108" s="88"/>
      <c r="GD108" s="88"/>
      <c r="GE108" s="88"/>
      <c r="GF108" s="88"/>
      <c r="GG108" s="88"/>
      <c r="GH108" s="88"/>
      <c r="GI108" s="88"/>
      <c r="GJ108" s="88"/>
      <c r="GK108" s="88"/>
      <c r="GL108" s="88"/>
      <c r="GM108" s="88"/>
      <c r="GN108" s="88"/>
      <c r="GO108" s="88"/>
      <c r="GP108" s="88"/>
      <c r="GQ108" s="88"/>
      <c r="GR108" s="88"/>
      <c r="GS108" s="88"/>
      <c r="GT108" s="88"/>
      <c r="GU108" s="88"/>
      <c r="GV108" s="88"/>
      <c r="GW108" s="88"/>
      <c r="GX108" s="88"/>
      <c r="GY108" s="88"/>
      <c r="GZ108" s="88"/>
      <c r="HA108" s="88"/>
      <c r="HB108" s="88"/>
      <c r="HC108" s="88"/>
      <c r="HD108" s="88"/>
      <c r="HE108" s="88"/>
    </row>
    <row r="109" spans="1:213">
      <c r="A109" s="1" t="s">
        <v>322</v>
      </c>
      <c r="B109" s="284">
        <v>0</v>
      </c>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row>
    <row r="110" spans="1:213">
      <c r="A110" s="1" t="s">
        <v>323</v>
      </c>
      <c r="B110" s="444">
        <v>0</v>
      </c>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88"/>
      <c r="AN110" s="88"/>
      <c r="AO110" s="88"/>
      <c r="AP110" s="88"/>
      <c r="AQ110" s="88"/>
      <c r="AR110" s="88"/>
      <c r="AS110" s="88"/>
      <c r="AT110" s="88"/>
      <c r="AU110" s="88"/>
      <c r="AV110" s="88"/>
      <c r="AW110" s="88"/>
      <c r="AX110" s="88"/>
      <c r="AY110" s="88"/>
      <c r="AZ110" s="88"/>
      <c r="BA110" s="88"/>
      <c r="BB110" s="88"/>
      <c r="BC110" s="88"/>
      <c r="BD110" s="88"/>
      <c r="BE110" s="88"/>
      <c r="BF110" s="88"/>
      <c r="BG110" s="88"/>
      <c r="BH110" s="88"/>
      <c r="BI110" s="88"/>
      <c r="BJ110" s="88"/>
      <c r="BK110" s="88"/>
      <c r="BL110" s="88"/>
      <c r="BM110" s="88"/>
      <c r="BN110" s="88"/>
      <c r="BO110" s="88"/>
      <c r="BP110" s="88"/>
      <c r="BQ110" s="88"/>
      <c r="BR110" s="88"/>
      <c r="BS110" s="88"/>
      <c r="BT110" s="88"/>
      <c r="BU110" s="88"/>
      <c r="BV110" s="88"/>
      <c r="BW110" s="88"/>
      <c r="BX110" s="88"/>
      <c r="BY110" s="88"/>
      <c r="BZ110" s="88"/>
      <c r="CA110" s="88"/>
      <c r="CB110" s="88"/>
      <c r="CC110" s="88"/>
      <c r="CD110" s="88"/>
      <c r="CE110" s="88"/>
      <c r="CF110" s="88"/>
      <c r="CG110" s="88"/>
      <c r="CH110" s="88"/>
      <c r="CI110" s="88"/>
      <c r="CJ110" s="88"/>
      <c r="CK110" s="88"/>
      <c r="CL110" s="88"/>
      <c r="CM110" s="88"/>
      <c r="CN110" s="88"/>
      <c r="CO110" s="88"/>
      <c r="CP110" s="88"/>
      <c r="CQ110" s="88"/>
      <c r="CR110" s="88"/>
      <c r="CS110" s="88"/>
      <c r="CT110" s="88"/>
      <c r="CU110" s="88"/>
      <c r="CV110" s="88"/>
      <c r="CW110" s="88"/>
      <c r="CX110" s="88"/>
      <c r="CY110" s="88"/>
      <c r="CZ110" s="88"/>
      <c r="DA110" s="88"/>
      <c r="DB110" s="88"/>
      <c r="DC110" s="88"/>
      <c r="DD110" s="88"/>
      <c r="DE110" s="88"/>
      <c r="DF110" s="88"/>
      <c r="DG110" s="88"/>
      <c r="DH110" s="88"/>
      <c r="DI110" s="88"/>
      <c r="DJ110" s="88"/>
      <c r="DK110" s="88"/>
      <c r="DL110" s="88"/>
      <c r="DM110" s="88"/>
      <c r="DN110" s="88"/>
      <c r="DO110" s="88"/>
      <c r="DP110" s="88"/>
      <c r="DQ110" s="88"/>
      <c r="DR110" s="88"/>
      <c r="DS110" s="88"/>
      <c r="DT110" s="88"/>
      <c r="DU110" s="88"/>
      <c r="DV110" s="88"/>
      <c r="DW110" s="88"/>
      <c r="DX110" s="88"/>
      <c r="DY110" s="88"/>
      <c r="DZ110" s="88"/>
      <c r="EA110" s="88"/>
      <c r="EB110" s="88"/>
      <c r="EC110" s="88"/>
      <c r="ED110" s="88"/>
      <c r="EE110" s="88"/>
      <c r="EF110" s="88"/>
      <c r="EG110" s="88"/>
      <c r="EH110" s="88"/>
      <c r="EI110" s="88"/>
      <c r="EJ110" s="88"/>
      <c r="EK110" s="88"/>
      <c r="EL110" s="88"/>
      <c r="EM110" s="88"/>
      <c r="EN110" s="88"/>
      <c r="EO110" s="88"/>
      <c r="EP110" s="88"/>
      <c r="EQ110" s="88"/>
      <c r="ER110" s="88"/>
      <c r="ES110" s="88"/>
      <c r="ET110" s="88"/>
      <c r="EU110" s="88"/>
      <c r="EV110" s="88"/>
      <c r="EW110" s="88"/>
      <c r="EX110" s="88"/>
      <c r="EY110" s="88"/>
      <c r="EZ110" s="88"/>
      <c r="FA110" s="88"/>
      <c r="FB110" s="88"/>
      <c r="FC110" s="88"/>
      <c r="FD110" s="88"/>
      <c r="FE110" s="88"/>
      <c r="FF110" s="88"/>
      <c r="FG110" s="88"/>
      <c r="FH110" s="88"/>
      <c r="FI110" s="88"/>
      <c r="FJ110" s="88"/>
      <c r="FK110" s="88"/>
      <c r="FL110" s="88"/>
      <c r="FM110" s="88"/>
      <c r="FN110" s="88"/>
      <c r="FO110" s="88"/>
      <c r="FP110" s="88"/>
      <c r="FQ110" s="88"/>
      <c r="FR110" s="88"/>
      <c r="FS110" s="88"/>
      <c r="FT110" s="88"/>
      <c r="FU110" s="88"/>
      <c r="FV110" s="88"/>
      <c r="FW110" s="88"/>
      <c r="FX110" s="88"/>
      <c r="FY110" s="88"/>
      <c r="FZ110" s="88"/>
      <c r="GA110" s="88"/>
      <c r="GB110" s="88"/>
      <c r="GC110" s="88"/>
      <c r="GD110" s="88"/>
      <c r="GE110" s="88"/>
      <c r="GF110" s="88"/>
      <c r="GG110" s="88"/>
      <c r="GH110" s="88"/>
      <c r="GI110" s="88"/>
      <c r="GJ110" s="88"/>
      <c r="GK110" s="88"/>
      <c r="GL110" s="88"/>
      <c r="GM110" s="88"/>
      <c r="GN110" s="88"/>
      <c r="GO110" s="88"/>
      <c r="GP110" s="88"/>
      <c r="GQ110" s="88"/>
      <c r="GR110" s="88"/>
      <c r="GS110" s="88"/>
      <c r="GT110" s="88"/>
      <c r="GU110" s="88"/>
      <c r="GV110" s="88"/>
      <c r="GW110" s="88"/>
      <c r="GX110" s="88"/>
      <c r="GY110" s="88"/>
      <c r="GZ110" s="88"/>
      <c r="HA110" s="88"/>
      <c r="HB110" s="88"/>
      <c r="HC110" s="88"/>
      <c r="HD110" s="88"/>
      <c r="HE110" s="88"/>
    </row>
    <row r="111" spans="1:213">
      <c r="A111" s="344" t="s">
        <v>324</v>
      </c>
      <c r="B111" s="444">
        <v>0</v>
      </c>
      <c r="C111" s="88"/>
      <c r="D111" s="88"/>
      <c r="E111" s="88"/>
      <c r="F111" s="88"/>
      <c r="G111" s="88"/>
      <c r="H111" s="88"/>
      <c r="I111" s="88"/>
      <c r="J111" s="88"/>
      <c r="K111" s="88"/>
      <c r="L111" s="88"/>
      <c r="M111" s="88"/>
      <c r="N111" s="88"/>
      <c r="O111" s="88"/>
      <c r="P111" s="88"/>
      <c r="Q111" s="88"/>
      <c r="R111" s="88"/>
      <c r="S111" s="88"/>
      <c r="T111" s="88"/>
      <c r="U111" s="88"/>
      <c r="V111" s="88"/>
      <c r="W111" s="88"/>
      <c r="X111" s="88"/>
      <c r="Y111" s="88"/>
      <c r="Z111" s="88"/>
      <c r="AA111" s="88"/>
      <c r="AB111" s="88"/>
      <c r="AC111" s="88"/>
      <c r="AD111" s="88"/>
      <c r="AE111" s="88"/>
      <c r="AF111" s="88"/>
      <c r="AG111" s="88"/>
      <c r="AH111" s="88"/>
      <c r="AI111" s="88"/>
      <c r="AJ111" s="88"/>
      <c r="AK111" s="88"/>
      <c r="AL111" s="88"/>
      <c r="AM111" s="88"/>
      <c r="AN111" s="88"/>
      <c r="AO111" s="88"/>
      <c r="AP111" s="88"/>
      <c r="AQ111" s="88"/>
      <c r="AR111" s="88"/>
      <c r="AS111" s="88"/>
      <c r="AT111" s="88"/>
      <c r="AU111" s="88"/>
      <c r="AV111" s="88"/>
      <c r="AW111" s="88"/>
      <c r="AX111" s="88"/>
      <c r="AY111" s="88"/>
      <c r="AZ111" s="88"/>
      <c r="BA111" s="88"/>
      <c r="BB111" s="88"/>
      <c r="BC111" s="88"/>
      <c r="BD111" s="88"/>
      <c r="BE111" s="88"/>
      <c r="BF111" s="88"/>
      <c r="BG111" s="88"/>
      <c r="BH111" s="88"/>
      <c r="BI111" s="88"/>
      <c r="BJ111" s="88"/>
      <c r="BK111" s="88"/>
      <c r="BL111" s="88"/>
      <c r="BM111" s="88"/>
      <c r="BN111" s="88"/>
      <c r="BO111" s="88"/>
      <c r="BP111" s="88"/>
      <c r="BQ111" s="88"/>
      <c r="BR111" s="88"/>
      <c r="BS111" s="88"/>
      <c r="BT111" s="88"/>
      <c r="BU111" s="88"/>
      <c r="BV111" s="88"/>
      <c r="BW111" s="88"/>
      <c r="BX111" s="88"/>
      <c r="BY111" s="88"/>
      <c r="BZ111" s="88"/>
      <c r="CA111" s="88"/>
      <c r="CB111" s="88"/>
      <c r="CC111" s="88"/>
      <c r="CD111" s="88"/>
      <c r="CE111" s="88"/>
      <c r="CF111" s="88"/>
      <c r="CG111" s="88"/>
      <c r="CH111" s="88"/>
      <c r="CI111" s="88"/>
      <c r="CJ111" s="88"/>
      <c r="CK111" s="88"/>
      <c r="CL111" s="88"/>
      <c r="CM111" s="88"/>
      <c r="CN111" s="88"/>
      <c r="CO111" s="88"/>
      <c r="CP111" s="88"/>
      <c r="CQ111" s="88"/>
      <c r="CR111" s="88"/>
      <c r="CS111" s="88"/>
      <c r="CT111" s="88"/>
      <c r="CU111" s="88"/>
      <c r="CV111" s="88"/>
      <c r="CW111" s="88"/>
      <c r="CX111" s="88"/>
      <c r="CY111" s="88"/>
      <c r="CZ111" s="88"/>
      <c r="DA111" s="88"/>
      <c r="DB111" s="88"/>
      <c r="DC111" s="88"/>
      <c r="DD111" s="88"/>
      <c r="DE111" s="88"/>
      <c r="DF111" s="88"/>
      <c r="DG111" s="88"/>
      <c r="DH111" s="88"/>
      <c r="DI111" s="88"/>
      <c r="DJ111" s="88"/>
      <c r="DK111" s="88"/>
      <c r="DL111" s="88"/>
      <c r="DM111" s="88"/>
      <c r="DN111" s="88"/>
      <c r="DO111" s="88"/>
      <c r="DP111" s="88"/>
      <c r="DQ111" s="88"/>
      <c r="DR111" s="88"/>
      <c r="DS111" s="88"/>
      <c r="DT111" s="88"/>
      <c r="DU111" s="88"/>
      <c r="DV111" s="88"/>
      <c r="DW111" s="88"/>
      <c r="DX111" s="88"/>
      <c r="DY111" s="88"/>
      <c r="DZ111" s="88"/>
      <c r="EA111" s="88"/>
      <c r="EB111" s="88"/>
      <c r="EC111" s="88"/>
      <c r="ED111" s="88"/>
      <c r="EE111" s="88"/>
      <c r="EF111" s="88"/>
      <c r="EG111" s="88"/>
      <c r="EH111" s="88"/>
      <c r="EI111" s="88"/>
      <c r="EJ111" s="88"/>
      <c r="EK111" s="88"/>
      <c r="EL111" s="88"/>
      <c r="EM111" s="88"/>
      <c r="EN111" s="88"/>
      <c r="EO111" s="88"/>
      <c r="EP111" s="88"/>
      <c r="EQ111" s="88"/>
      <c r="ER111" s="88"/>
      <c r="ES111" s="88"/>
      <c r="ET111" s="88"/>
      <c r="EU111" s="88"/>
      <c r="EV111" s="88"/>
      <c r="EW111" s="88"/>
      <c r="EX111" s="88"/>
      <c r="EY111" s="88"/>
      <c r="EZ111" s="88"/>
      <c r="FA111" s="88"/>
      <c r="FB111" s="88"/>
      <c r="FC111" s="88"/>
      <c r="FD111" s="88"/>
      <c r="FE111" s="88"/>
      <c r="FF111" s="88"/>
      <c r="FG111" s="88"/>
      <c r="FH111" s="88"/>
      <c r="FI111" s="88"/>
      <c r="FJ111" s="88"/>
      <c r="FK111" s="88"/>
      <c r="FL111" s="88"/>
      <c r="FM111" s="88"/>
      <c r="FN111" s="88"/>
      <c r="FO111" s="88"/>
      <c r="FP111" s="88"/>
      <c r="FQ111" s="88"/>
      <c r="FR111" s="88"/>
      <c r="FS111" s="88"/>
      <c r="FT111" s="88"/>
      <c r="FU111" s="88"/>
      <c r="FV111" s="88"/>
      <c r="FW111" s="88"/>
      <c r="FX111" s="88"/>
      <c r="FY111" s="88"/>
      <c r="FZ111" s="88"/>
      <c r="GA111" s="88"/>
      <c r="GB111" s="88"/>
      <c r="GC111" s="88"/>
      <c r="GD111" s="88"/>
      <c r="GE111" s="88"/>
      <c r="GF111" s="88"/>
      <c r="GG111" s="88"/>
      <c r="GH111" s="88"/>
      <c r="GI111" s="88"/>
      <c r="GJ111" s="88"/>
      <c r="GK111" s="88"/>
      <c r="GL111" s="88"/>
      <c r="GM111" s="88"/>
      <c r="GN111" s="88"/>
      <c r="GO111" s="88"/>
      <c r="GP111" s="88"/>
      <c r="GQ111" s="88"/>
      <c r="GR111" s="88"/>
      <c r="GS111" s="88"/>
      <c r="GT111" s="88"/>
      <c r="GU111" s="88"/>
      <c r="GV111" s="88"/>
      <c r="GW111" s="88"/>
      <c r="GX111" s="88"/>
      <c r="GY111" s="88"/>
      <c r="GZ111" s="88"/>
      <c r="HA111" s="88"/>
      <c r="HB111" s="88"/>
      <c r="HC111" s="88"/>
      <c r="HD111" s="88"/>
      <c r="HE111" s="88"/>
    </row>
    <row r="112" spans="1:213">
      <c r="A112" s="1" t="s">
        <v>325</v>
      </c>
      <c r="B112" s="444">
        <v>0</v>
      </c>
      <c r="C112" s="88"/>
      <c r="D112" s="88"/>
      <c r="E112" s="88"/>
      <c r="F112" s="88"/>
      <c r="G112" s="88"/>
      <c r="H112" s="88"/>
      <c r="I112" s="88"/>
      <c r="J112" s="88"/>
      <c r="K112" s="88"/>
      <c r="L112" s="88"/>
      <c r="M112" s="88"/>
      <c r="N112" s="88"/>
      <c r="O112" s="88"/>
      <c r="P112" s="88"/>
      <c r="Q112" s="88"/>
      <c r="R112" s="88"/>
      <c r="S112" s="88"/>
      <c r="T112" s="88"/>
      <c r="U112" s="88"/>
      <c r="V112" s="88"/>
      <c r="W112" s="88"/>
      <c r="X112" s="88"/>
      <c r="Y112" s="88"/>
      <c r="Z112" s="88"/>
      <c r="AA112" s="88"/>
      <c r="AB112" s="88"/>
      <c r="AC112" s="88"/>
      <c r="AD112" s="88"/>
      <c r="AE112" s="88"/>
      <c r="AF112" s="88"/>
      <c r="AG112" s="88"/>
      <c r="AH112" s="88"/>
      <c r="AI112" s="88"/>
      <c r="AJ112" s="88"/>
      <c r="AK112" s="88"/>
      <c r="AL112" s="88"/>
      <c r="AM112" s="88"/>
      <c r="AN112" s="88"/>
      <c r="AO112" s="88"/>
      <c r="AP112" s="88"/>
      <c r="AQ112" s="88"/>
      <c r="AR112" s="88"/>
      <c r="AS112" s="88"/>
      <c r="AT112" s="88"/>
      <c r="AU112" s="88"/>
      <c r="AV112" s="88"/>
      <c r="AW112" s="88"/>
      <c r="AX112" s="88"/>
      <c r="AY112" s="88"/>
      <c r="AZ112" s="88"/>
      <c r="BA112" s="88"/>
      <c r="BB112" s="88"/>
      <c r="BC112" s="88"/>
      <c r="BD112" s="88"/>
      <c r="BE112" s="88"/>
      <c r="BF112" s="88"/>
      <c r="BG112" s="88"/>
      <c r="BH112" s="88"/>
      <c r="BI112" s="88"/>
      <c r="BJ112" s="88"/>
      <c r="BK112" s="88"/>
      <c r="BL112" s="88"/>
      <c r="BM112" s="88"/>
      <c r="BN112" s="88"/>
      <c r="BO112" s="88"/>
      <c r="BP112" s="88"/>
      <c r="BQ112" s="88"/>
      <c r="BR112" s="88"/>
      <c r="BS112" s="88"/>
      <c r="BT112" s="88"/>
      <c r="BU112" s="88"/>
      <c r="BV112" s="88"/>
      <c r="BW112" s="88"/>
      <c r="BX112" s="88"/>
      <c r="BY112" s="88"/>
      <c r="BZ112" s="88"/>
      <c r="CA112" s="88"/>
      <c r="CB112" s="88"/>
      <c r="CC112" s="88"/>
      <c r="CD112" s="88"/>
      <c r="CE112" s="88"/>
      <c r="CF112" s="88"/>
      <c r="CG112" s="88"/>
      <c r="CH112" s="88"/>
      <c r="CI112" s="88"/>
      <c r="CJ112" s="88"/>
      <c r="CK112" s="88"/>
      <c r="CL112" s="88"/>
      <c r="CM112" s="88"/>
      <c r="CN112" s="88"/>
      <c r="CO112" s="88"/>
      <c r="CP112" s="88"/>
      <c r="CQ112" s="88"/>
      <c r="CR112" s="88"/>
      <c r="CS112" s="88"/>
      <c r="CT112" s="88"/>
      <c r="CU112" s="88"/>
      <c r="CV112" s="88"/>
      <c r="CW112" s="88"/>
      <c r="CX112" s="88"/>
      <c r="CY112" s="88"/>
      <c r="CZ112" s="88"/>
      <c r="DA112" s="88"/>
      <c r="DB112" s="88"/>
      <c r="DC112" s="88"/>
      <c r="DD112" s="88"/>
      <c r="DE112" s="88"/>
      <c r="DF112" s="88"/>
      <c r="DG112" s="88"/>
      <c r="DH112" s="88"/>
      <c r="DI112" s="88"/>
      <c r="DJ112" s="88"/>
      <c r="DK112" s="88"/>
      <c r="DL112" s="88"/>
      <c r="DM112" s="88"/>
      <c r="DN112" s="88"/>
      <c r="DO112" s="88"/>
      <c r="DP112" s="88"/>
      <c r="DQ112" s="88"/>
      <c r="DR112" s="88"/>
      <c r="DS112" s="88"/>
      <c r="DT112" s="88"/>
      <c r="DU112" s="88"/>
      <c r="DV112" s="88"/>
      <c r="DW112" s="88"/>
      <c r="DX112" s="88"/>
      <c r="DY112" s="88"/>
      <c r="DZ112" s="88"/>
      <c r="EA112" s="88"/>
      <c r="EB112" s="88"/>
      <c r="EC112" s="88"/>
      <c r="ED112" s="88"/>
      <c r="EE112" s="88"/>
      <c r="EF112" s="88"/>
      <c r="EG112" s="88"/>
      <c r="EH112" s="88"/>
      <c r="EI112" s="88"/>
      <c r="EJ112" s="88"/>
      <c r="EK112" s="88"/>
      <c r="EL112" s="88"/>
      <c r="EM112" s="88"/>
      <c r="EN112" s="88"/>
      <c r="EO112" s="88"/>
      <c r="EP112" s="88"/>
      <c r="EQ112" s="88"/>
      <c r="ER112" s="88"/>
      <c r="ES112" s="88"/>
      <c r="ET112" s="88"/>
      <c r="EU112" s="88"/>
      <c r="EV112" s="88"/>
      <c r="EW112" s="88"/>
      <c r="EX112" s="88"/>
      <c r="EY112" s="88"/>
      <c r="EZ112" s="88"/>
      <c r="FA112" s="88"/>
      <c r="FB112" s="88"/>
      <c r="FC112" s="88"/>
      <c r="FD112" s="88"/>
      <c r="FE112" s="88"/>
      <c r="FF112" s="88"/>
      <c r="FG112" s="88"/>
      <c r="FH112" s="88"/>
      <c r="FI112" s="88"/>
      <c r="FJ112" s="88"/>
      <c r="FK112" s="88"/>
      <c r="FL112" s="88"/>
      <c r="FM112" s="88"/>
      <c r="FN112" s="88"/>
      <c r="FO112" s="88"/>
      <c r="FP112" s="88"/>
      <c r="FQ112" s="88"/>
      <c r="FR112" s="88"/>
      <c r="FS112" s="88"/>
      <c r="FT112" s="88"/>
      <c r="FU112" s="88"/>
      <c r="FV112" s="88"/>
      <c r="FW112" s="88"/>
      <c r="FX112" s="88"/>
      <c r="FY112" s="88"/>
      <c r="FZ112" s="88"/>
      <c r="GA112" s="88"/>
      <c r="GB112" s="88"/>
      <c r="GC112" s="88"/>
      <c r="GD112" s="88"/>
      <c r="GE112" s="88"/>
      <c r="GF112" s="88"/>
      <c r="GG112" s="88"/>
      <c r="GH112" s="88"/>
      <c r="GI112" s="88"/>
      <c r="GJ112" s="88"/>
      <c r="GK112" s="88"/>
      <c r="GL112" s="88"/>
      <c r="GM112" s="88"/>
      <c r="GN112" s="88"/>
      <c r="GO112" s="88"/>
      <c r="GP112" s="88"/>
      <c r="GQ112" s="88"/>
      <c r="GR112" s="88"/>
      <c r="GS112" s="88"/>
      <c r="GT112" s="88"/>
      <c r="GU112" s="88"/>
      <c r="GV112" s="88"/>
      <c r="GW112" s="88"/>
      <c r="GX112" s="88"/>
      <c r="GY112" s="88"/>
      <c r="GZ112" s="88"/>
      <c r="HA112" s="88"/>
      <c r="HB112" s="88"/>
      <c r="HC112" s="88"/>
      <c r="HD112" s="88"/>
      <c r="HE112" s="88"/>
    </row>
    <row r="113" spans="1:213">
      <c r="A113" s="1" t="s">
        <v>326</v>
      </c>
      <c r="B113" s="444">
        <v>0</v>
      </c>
      <c r="C113" s="88"/>
      <c r="D113" s="88"/>
      <c r="E113" s="88"/>
      <c r="F113" s="88"/>
      <c r="G113" s="88"/>
      <c r="H113" s="88"/>
      <c r="I113" s="88"/>
      <c r="J113" s="88"/>
      <c r="K113" s="88"/>
      <c r="L113" s="88"/>
      <c r="M113" s="88"/>
      <c r="N113" s="88"/>
      <c r="O113" s="88"/>
      <c r="P113" s="88"/>
      <c r="Q113" s="88"/>
      <c r="R113" s="88"/>
      <c r="S113" s="88"/>
      <c r="T113" s="88"/>
      <c r="U113" s="88"/>
      <c r="V113" s="88"/>
      <c r="W113" s="88"/>
      <c r="X113" s="88"/>
      <c r="Y113" s="88"/>
      <c r="Z113" s="88"/>
      <c r="AA113" s="88"/>
      <c r="AB113" s="88"/>
      <c r="AC113" s="88"/>
      <c r="AD113" s="88"/>
      <c r="AE113" s="88"/>
      <c r="AF113" s="88"/>
      <c r="AG113" s="88"/>
      <c r="AH113" s="88"/>
      <c r="AI113" s="88"/>
      <c r="AJ113" s="88"/>
      <c r="AK113" s="88"/>
      <c r="AL113" s="88"/>
      <c r="AM113" s="88"/>
      <c r="AN113" s="88"/>
      <c r="AO113" s="88"/>
      <c r="AP113" s="88"/>
      <c r="AQ113" s="88"/>
      <c r="AR113" s="88"/>
      <c r="AS113" s="88"/>
      <c r="AT113" s="88"/>
      <c r="AU113" s="88"/>
      <c r="AV113" s="88"/>
      <c r="AW113" s="88"/>
      <c r="AX113" s="88"/>
      <c r="AY113" s="88"/>
      <c r="AZ113" s="88"/>
      <c r="BA113" s="88"/>
      <c r="BB113" s="88"/>
      <c r="BC113" s="88"/>
      <c r="BD113" s="88"/>
      <c r="BE113" s="88"/>
      <c r="BF113" s="88"/>
      <c r="BG113" s="88"/>
      <c r="BH113" s="88"/>
      <c r="BI113" s="88"/>
      <c r="BJ113" s="88"/>
      <c r="BK113" s="88"/>
      <c r="BL113" s="88"/>
      <c r="BM113" s="88"/>
      <c r="BN113" s="88"/>
      <c r="BO113" s="88"/>
      <c r="BP113" s="88"/>
      <c r="BQ113" s="88"/>
      <c r="BR113" s="88"/>
      <c r="BS113" s="88"/>
      <c r="BT113" s="88"/>
      <c r="BU113" s="88"/>
      <c r="BV113" s="88"/>
      <c r="BW113" s="88"/>
      <c r="BX113" s="88"/>
      <c r="BY113" s="88"/>
      <c r="BZ113" s="88"/>
      <c r="CA113" s="88"/>
      <c r="CB113" s="88"/>
      <c r="CC113" s="88"/>
      <c r="CD113" s="88"/>
      <c r="CE113" s="88"/>
      <c r="CF113" s="88"/>
      <c r="CG113" s="88"/>
      <c r="CH113" s="88"/>
      <c r="CI113" s="88"/>
      <c r="CJ113" s="88"/>
      <c r="CK113" s="88"/>
      <c r="CL113" s="88"/>
      <c r="CM113" s="88"/>
      <c r="CN113" s="88"/>
      <c r="CO113" s="88"/>
      <c r="CP113" s="88"/>
      <c r="CQ113" s="88"/>
      <c r="CR113" s="88"/>
      <c r="CS113" s="88"/>
      <c r="CT113" s="88"/>
      <c r="CU113" s="88"/>
      <c r="CV113" s="88"/>
      <c r="CW113" s="88"/>
      <c r="CX113" s="88"/>
      <c r="CY113" s="88"/>
      <c r="CZ113" s="88"/>
      <c r="DA113" s="88"/>
      <c r="DB113" s="88"/>
      <c r="DC113" s="88"/>
      <c r="DD113" s="88"/>
      <c r="DE113" s="88"/>
      <c r="DF113" s="88"/>
      <c r="DG113" s="88"/>
      <c r="DH113" s="88"/>
      <c r="DI113" s="88"/>
      <c r="DJ113" s="88"/>
      <c r="DK113" s="88"/>
      <c r="DL113" s="88"/>
      <c r="DM113" s="88"/>
      <c r="DN113" s="88"/>
      <c r="DO113" s="88"/>
      <c r="DP113" s="88"/>
      <c r="DQ113" s="88"/>
      <c r="DR113" s="88"/>
      <c r="DS113" s="88"/>
      <c r="DT113" s="88"/>
      <c r="DU113" s="88"/>
      <c r="DV113" s="88"/>
      <c r="DW113" s="88"/>
      <c r="DX113" s="88"/>
      <c r="DY113" s="88"/>
      <c r="DZ113" s="88"/>
      <c r="EA113" s="88"/>
      <c r="EB113" s="88"/>
      <c r="EC113" s="88"/>
      <c r="ED113" s="88"/>
      <c r="EE113" s="88"/>
      <c r="EF113" s="88"/>
      <c r="EG113" s="88"/>
      <c r="EH113" s="88"/>
      <c r="EI113" s="88"/>
      <c r="EJ113" s="88"/>
      <c r="EK113" s="88"/>
      <c r="EL113" s="88"/>
      <c r="EM113" s="88"/>
      <c r="EN113" s="88"/>
      <c r="EO113" s="88"/>
      <c r="EP113" s="88"/>
      <c r="EQ113" s="88"/>
      <c r="ER113" s="88"/>
      <c r="ES113" s="88"/>
      <c r="ET113" s="88"/>
      <c r="EU113" s="88"/>
      <c r="EV113" s="88"/>
      <c r="EW113" s="88"/>
      <c r="EX113" s="88"/>
      <c r="EY113" s="88"/>
      <c r="EZ113" s="88"/>
      <c r="FA113" s="88"/>
      <c r="FB113" s="88"/>
      <c r="FC113" s="88"/>
      <c r="FD113" s="88"/>
      <c r="FE113" s="88"/>
      <c r="FF113" s="88"/>
      <c r="FG113" s="88"/>
      <c r="FH113" s="88"/>
      <c r="FI113" s="88"/>
      <c r="FJ113" s="88"/>
      <c r="FK113" s="88"/>
      <c r="FL113" s="88"/>
      <c r="FM113" s="88"/>
      <c r="FN113" s="88"/>
      <c r="FO113" s="88"/>
      <c r="FP113" s="88"/>
      <c r="FQ113" s="88"/>
      <c r="FR113" s="88"/>
      <c r="FS113" s="88"/>
      <c r="FT113" s="88"/>
      <c r="FU113" s="88"/>
      <c r="FV113" s="88"/>
      <c r="FW113" s="88"/>
      <c r="FX113" s="88"/>
      <c r="FY113" s="88"/>
      <c r="FZ113" s="88"/>
      <c r="GA113" s="88"/>
      <c r="GB113" s="88"/>
      <c r="GC113" s="88"/>
      <c r="GD113" s="88"/>
      <c r="GE113" s="88"/>
      <c r="GF113" s="88"/>
      <c r="GG113" s="88"/>
      <c r="GH113" s="88"/>
      <c r="GI113" s="88"/>
      <c r="GJ113" s="88"/>
      <c r="GK113" s="88"/>
      <c r="GL113" s="88"/>
      <c r="GM113" s="88"/>
      <c r="GN113" s="88"/>
      <c r="GO113" s="88"/>
      <c r="GP113" s="88"/>
      <c r="GQ113" s="88"/>
      <c r="GR113" s="88"/>
      <c r="GS113" s="88"/>
      <c r="GT113" s="88"/>
      <c r="GU113" s="88"/>
      <c r="GV113" s="88"/>
      <c r="GW113" s="88"/>
      <c r="GX113" s="88"/>
      <c r="GY113" s="88"/>
      <c r="GZ113" s="88"/>
      <c r="HA113" s="88"/>
      <c r="HB113" s="88"/>
      <c r="HC113" s="88"/>
      <c r="HD113" s="88"/>
      <c r="HE113" s="88"/>
    </row>
    <row r="114" spans="1:213">
      <c r="A114" s="1" t="s">
        <v>327</v>
      </c>
      <c r="B114" s="444">
        <v>0</v>
      </c>
      <c r="C114"/>
      <c r="D114" s="88"/>
      <c r="E114" s="88"/>
      <c r="F114" s="88"/>
      <c r="G114" s="88"/>
      <c r="H114" s="88"/>
      <c r="I114" s="88"/>
      <c r="J114" s="88"/>
      <c r="K114" s="88"/>
      <c r="L114" s="88"/>
      <c r="M114" s="88"/>
      <c r="N114" s="88"/>
      <c r="O114" s="88"/>
      <c r="P114" s="88"/>
      <c r="Q114" s="88"/>
      <c r="R114" s="88"/>
      <c r="S114" s="88"/>
      <c r="T114" s="88"/>
      <c r="U114" s="88"/>
      <c r="V114" s="88"/>
      <c r="W114" s="88"/>
      <c r="X114" s="88"/>
      <c r="Y114" s="88"/>
      <c r="Z114" s="88"/>
      <c r="AA114" s="88"/>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8"/>
      <c r="BF114" s="88"/>
      <c r="BG114" s="88"/>
      <c r="BH114" s="88"/>
      <c r="BI114" s="88"/>
      <c r="BJ114" s="88"/>
      <c r="BK114" s="88"/>
      <c r="BL114" s="88"/>
      <c r="BM114" s="88"/>
      <c r="BN114" s="88"/>
      <c r="BO114" s="88"/>
      <c r="BP114" s="88"/>
      <c r="BQ114" s="88"/>
      <c r="BR114" s="88"/>
      <c r="BS114" s="88"/>
      <c r="BT114" s="88"/>
      <c r="BU114" s="88"/>
      <c r="BV114" s="88"/>
      <c r="BW114" s="88"/>
      <c r="BX114" s="88"/>
      <c r="BY114" s="88"/>
      <c r="BZ114" s="88"/>
      <c r="CA114" s="88"/>
      <c r="CB114" s="88"/>
      <c r="CC114" s="88"/>
      <c r="CD114" s="88"/>
      <c r="CE114" s="88"/>
      <c r="CF114" s="88"/>
      <c r="CG114" s="88"/>
      <c r="CH114" s="88"/>
      <c r="CI114" s="88"/>
      <c r="CJ114" s="88"/>
      <c r="CK114" s="88"/>
      <c r="CL114" s="88"/>
      <c r="CM114" s="88"/>
      <c r="CN114" s="88"/>
      <c r="CO114" s="88"/>
      <c r="CP114" s="88"/>
      <c r="CQ114" s="88"/>
      <c r="CR114" s="88"/>
      <c r="CS114" s="88"/>
      <c r="CT114" s="88"/>
      <c r="CU114" s="88"/>
      <c r="CV114" s="88"/>
      <c r="CW114" s="88"/>
      <c r="CX114" s="88"/>
      <c r="CY114" s="88"/>
      <c r="CZ114" s="88"/>
      <c r="DA114" s="88"/>
      <c r="DB114" s="88"/>
      <c r="DC114" s="88"/>
      <c r="DD114" s="88"/>
      <c r="DE114" s="88"/>
      <c r="DF114" s="88"/>
      <c r="DG114" s="88"/>
      <c r="DH114" s="88"/>
      <c r="DI114" s="88"/>
      <c r="DJ114" s="88"/>
      <c r="DK114" s="88"/>
      <c r="DL114" s="88"/>
      <c r="DM114" s="88"/>
      <c r="DN114" s="88"/>
      <c r="DO114" s="88"/>
      <c r="DP114" s="88"/>
      <c r="DQ114" s="88"/>
      <c r="DR114" s="88"/>
      <c r="DS114" s="88"/>
      <c r="DT114" s="88"/>
      <c r="DU114" s="88"/>
      <c r="DV114" s="88"/>
      <c r="DW114" s="88"/>
      <c r="DX114" s="88"/>
      <c r="DY114" s="88"/>
      <c r="DZ114" s="88"/>
      <c r="EA114" s="88"/>
      <c r="EB114" s="88"/>
      <c r="EC114" s="88"/>
      <c r="ED114" s="88"/>
      <c r="EE114" s="88"/>
      <c r="EF114" s="88"/>
      <c r="EG114" s="88"/>
      <c r="EH114" s="88"/>
      <c r="EI114" s="88"/>
      <c r="EJ114" s="88"/>
      <c r="EK114" s="88"/>
      <c r="EL114" s="88"/>
      <c r="EM114" s="88"/>
      <c r="EN114" s="88"/>
      <c r="EO114" s="88"/>
      <c r="EP114" s="88"/>
      <c r="EQ114" s="88"/>
      <c r="ER114" s="88"/>
      <c r="ES114" s="88"/>
      <c r="ET114" s="88"/>
      <c r="EU114" s="88"/>
      <c r="EV114" s="88"/>
      <c r="EW114" s="88"/>
      <c r="EX114" s="88"/>
      <c r="EY114" s="88"/>
      <c r="EZ114" s="88"/>
      <c r="FA114" s="88"/>
      <c r="FB114" s="88"/>
      <c r="FC114" s="88"/>
      <c r="FD114" s="88"/>
      <c r="FE114" s="88"/>
      <c r="FF114" s="88"/>
      <c r="FG114" s="88"/>
      <c r="FH114" s="88"/>
      <c r="FI114" s="88"/>
      <c r="FJ114" s="88"/>
      <c r="FK114" s="88"/>
      <c r="FL114" s="88"/>
      <c r="FM114" s="88"/>
      <c r="FN114" s="88"/>
      <c r="FO114" s="88"/>
      <c r="FP114" s="88"/>
      <c r="FQ114" s="88"/>
      <c r="FR114" s="88"/>
      <c r="FS114" s="88"/>
      <c r="FT114" s="88"/>
      <c r="FU114" s="88"/>
      <c r="FV114" s="88"/>
      <c r="FW114" s="88"/>
      <c r="FX114" s="88"/>
      <c r="FY114" s="88"/>
      <c r="FZ114" s="88"/>
      <c r="GA114" s="88"/>
      <c r="GB114" s="88"/>
      <c r="GC114" s="88"/>
      <c r="GD114" s="88"/>
      <c r="GE114" s="88"/>
      <c r="GF114" s="88"/>
      <c r="GG114" s="88"/>
      <c r="GH114" s="88"/>
      <c r="GI114" s="88"/>
      <c r="GJ114" s="88"/>
      <c r="GK114" s="88"/>
      <c r="GL114" s="88"/>
      <c r="GM114" s="88"/>
      <c r="GN114" s="88"/>
      <c r="GO114" s="88"/>
      <c r="GP114" s="88"/>
      <c r="GQ114" s="88"/>
      <c r="GR114" s="88"/>
      <c r="GS114" s="88"/>
      <c r="GT114" s="88"/>
      <c r="GU114" s="88"/>
      <c r="GV114" s="88"/>
      <c r="GW114" s="88"/>
      <c r="GX114" s="88"/>
      <c r="GY114" s="88"/>
      <c r="GZ114" s="88"/>
      <c r="HA114" s="88"/>
      <c r="HB114" s="88"/>
      <c r="HC114" s="88"/>
      <c r="HD114" s="88"/>
      <c r="HE114" s="88"/>
    </row>
    <row r="115" spans="1:213">
      <c r="A115" s="3" t="s">
        <v>328</v>
      </c>
      <c r="B115" s="593" t="s">
        <v>320</v>
      </c>
      <c r="C115" s="3"/>
      <c r="D115" s="88"/>
      <c r="E115" s="88"/>
      <c r="F115" s="88"/>
      <c r="G115" s="88"/>
      <c r="H115" s="88"/>
      <c r="I115" s="88"/>
      <c r="J115" s="88"/>
      <c r="K115" s="88"/>
      <c r="L115" s="88"/>
      <c r="M115" s="88"/>
      <c r="N115" s="88"/>
      <c r="O115" s="88"/>
      <c r="P115" s="88"/>
      <c r="Q115" s="88"/>
      <c r="R115" s="88"/>
      <c r="S115" s="88"/>
      <c r="T115" s="88"/>
      <c r="U115" s="88"/>
      <c r="V115" s="88"/>
      <c r="W115" s="88"/>
      <c r="X115" s="88"/>
      <c r="Y115" s="88"/>
      <c r="Z115" s="88"/>
      <c r="AA115" s="88"/>
      <c r="AB115" s="88"/>
      <c r="AC115" s="88"/>
      <c r="AD115" s="88"/>
      <c r="AE115" s="88"/>
      <c r="AF115" s="88"/>
      <c r="AG115" s="88"/>
      <c r="AH115" s="88"/>
      <c r="AI115" s="88"/>
      <c r="AJ115" s="88"/>
      <c r="AK115" s="88"/>
      <c r="AL115" s="88"/>
      <c r="AM115" s="88"/>
      <c r="AN115" s="88"/>
      <c r="AO115" s="88"/>
      <c r="AP115" s="88"/>
      <c r="AQ115" s="88"/>
      <c r="AR115" s="88"/>
      <c r="AS115" s="88"/>
      <c r="AT115" s="88"/>
      <c r="AU115" s="88"/>
      <c r="AV115" s="88"/>
      <c r="AW115" s="88"/>
      <c r="AX115" s="88"/>
      <c r="AY115" s="88"/>
      <c r="AZ115" s="88"/>
      <c r="BA115" s="88"/>
      <c r="BB115" s="88"/>
      <c r="BC115" s="88"/>
      <c r="BD115" s="88"/>
      <c r="BE115" s="88"/>
      <c r="BF115" s="88"/>
      <c r="BG115" s="88"/>
      <c r="BH115" s="88"/>
      <c r="BI115" s="88"/>
      <c r="BJ115" s="88"/>
      <c r="BK115" s="88"/>
      <c r="BL115" s="88"/>
      <c r="BM115" s="88"/>
      <c r="BN115" s="88"/>
      <c r="BO115" s="88"/>
      <c r="BP115" s="88"/>
      <c r="BQ115" s="88"/>
      <c r="BR115" s="88"/>
      <c r="BS115" s="88"/>
      <c r="BT115" s="88"/>
      <c r="BU115" s="88"/>
      <c r="BV115" s="88"/>
      <c r="BW115" s="88"/>
      <c r="BX115" s="88"/>
      <c r="BY115" s="88"/>
      <c r="BZ115" s="88"/>
      <c r="CA115" s="88"/>
      <c r="CB115" s="88"/>
      <c r="CC115" s="88"/>
      <c r="CD115" s="88"/>
      <c r="CE115" s="88"/>
      <c r="CF115" s="88"/>
      <c r="CG115" s="88"/>
      <c r="CH115" s="88"/>
      <c r="CI115" s="88"/>
      <c r="CJ115" s="88"/>
      <c r="CK115" s="88"/>
      <c r="CL115" s="88"/>
      <c r="CM115" s="88"/>
      <c r="CN115" s="88"/>
      <c r="CO115" s="88"/>
      <c r="CP115" s="88"/>
      <c r="CQ115" s="88"/>
      <c r="CR115" s="88"/>
      <c r="CS115" s="88"/>
      <c r="CT115" s="88"/>
      <c r="CU115" s="88"/>
      <c r="CV115" s="88"/>
      <c r="CW115" s="88"/>
      <c r="CX115" s="88"/>
      <c r="CY115" s="88"/>
      <c r="CZ115" s="88"/>
      <c r="DA115" s="88"/>
      <c r="DB115" s="88"/>
      <c r="DC115" s="88"/>
      <c r="DD115" s="88"/>
      <c r="DE115" s="88"/>
      <c r="DF115" s="88"/>
      <c r="DG115" s="88"/>
      <c r="DH115" s="88"/>
      <c r="DI115" s="88"/>
      <c r="DJ115" s="88"/>
      <c r="DK115" s="88"/>
      <c r="DL115" s="88"/>
      <c r="DM115" s="88"/>
      <c r="DN115" s="88"/>
      <c r="DO115" s="88"/>
      <c r="DP115" s="88"/>
      <c r="DQ115" s="88"/>
      <c r="DR115" s="88"/>
      <c r="DS115" s="88"/>
      <c r="DT115" s="88"/>
      <c r="DU115" s="88"/>
      <c r="DV115" s="88"/>
      <c r="DW115" s="88"/>
      <c r="DX115" s="88"/>
      <c r="DY115" s="88"/>
      <c r="DZ115" s="88"/>
      <c r="EA115" s="88"/>
      <c r="EB115" s="88"/>
      <c r="EC115" s="88"/>
      <c r="ED115" s="88"/>
      <c r="EE115" s="88"/>
      <c r="EF115" s="88"/>
      <c r="EG115" s="88"/>
      <c r="EH115" s="88"/>
      <c r="EI115" s="88"/>
      <c r="EJ115" s="88"/>
      <c r="EK115" s="88"/>
      <c r="EL115" s="88"/>
      <c r="EM115" s="88"/>
      <c r="EN115" s="88"/>
      <c r="EO115" s="88"/>
      <c r="EP115" s="88"/>
      <c r="EQ115" s="88"/>
      <c r="ER115" s="88"/>
      <c r="ES115" s="88"/>
      <c r="ET115" s="88"/>
      <c r="EU115" s="88"/>
      <c r="EV115" s="88"/>
      <c r="EW115" s="88"/>
      <c r="EX115" s="88"/>
      <c r="EY115" s="88"/>
      <c r="EZ115" s="88"/>
      <c r="FA115" s="88"/>
      <c r="FB115" s="88"/>
      <c r="FC115" s="88"/>
      <c r="FD115" s="88"/>
      <c r="FE115" s="88"/>
      <c r="FF115" s="88"/>
      <c r="FG115" s="88"/>
      <c r="FH115" s="88"/>
      <c r="FI115" s="88"/>
      <c r="FJ115" s="88"/>
      <c r="FK115" s="88"/>
      <c r="FL115" s="88"/>
      <c r="FM115" s="88"/>
      <c r="FN115" s="88"/>
      <c r="FO115" s="88"/>
      <c r="FP115" s="88"/>
      <c r="FQ115" s="88"/>
      <c r="FR115" s="88"/>
      <c r="FS115" s="88"/>
      <c r="FT115" s="88"/>
      <c r="FU115" s="88"/>
      <c r="FV115" s="88"/>
      <c r="FW115" s="88"/>
      <c r="FX115" s="88"/>
      <c r="FY115" s="88"/>
      <c r="FZ115" s="88"/>
      <c r="GA115" s="88"/>
      <c r="GB115" s="88"/>
      <c r="GC115" s="88"/>
      <c r="GD115" s="88"/>
      <c r="GE115" s="88"/>
      <c r="GF115" s="88"/>
      <c r="GG115" s="88"/>
      <c r="GH115" s="88"/>
      <c r="GI115" s="88"/>
      <c r="GJ115" s="88"/>
      <c r="GK115" s="88"/>
      <c r="GL115" s="88"/>
      <c r="GM115" s="88"/>
      <c r="GN115" s="88"/>
      <c r="GO115" s="88"/>
      <c r="GP115" s="88"/>
      <c r="GQ115" s="88"/>
      <c r="GR115" s="88"/>
      <c r="GS115" s="88"/>
      <c r="GT115" s="88"/>
      <c r="GU115" s="88"/>
      <c r="GV115" s="88"/>
      <c r="GW115" s="88"/>
      <c r="GX115" s="88"/>
      <c r="GY115" s="88"/>
      <c r="GZ115" s="88"/>
      <c r="HA115" s="88"/>
      <c r="HB115" s="88"/>
      <c r="HC115" s="88"/>
      <c r="HD115" s="88"/>
      <c r="HE115" s="88"/>
    </row>
    <row r="116" spans="1:213">
      <c r="A116" s="1" t="s">
        <v>329</v>
      </c>
      <c r="B116" s="444">
        <v>0</v>
      </c>
      <c r="C116"/>
      <c r="D116" s="88"/>
      <c r="E116" s="88"/>
      <c r="F116" s="88"/>
      <c r="G116" s="88"/>
      <c r="H116" s="88"/>
      <c r="I116" s="88"/>
      <c r="J116" s="88"/>
      <c r="K116" s="88"/>
      <c r="L116" s="88"/>
      <c r="M116" s="88"/>
      <c r="N116" s="88"/>
      <c r="O116" s="88"/>
      <c r="P116" s="88"/>
      <c r="Q116" s="88"/>
      <c r="R116" s="88"/>
      <c r="S116" s="88"/>
      <c r="T116" s="88"/>
      <c r="U116" s="88"/>
      <c r="V116" s="88"/>
      <c r="W116" s="88"/>
      <c r="X116" s="88"/>
      <c r="Y116" s="88"/>
      <c r="Z116" s="88"/>
      <c r="AA116" s="88"/>
      <c r="AB116" s="88"/>
      <c r="AC116" s="88"/>
      <c r="AD116" s="88"/>
      <c r="AE116" s="88"/>
      <c r="AF116" s="88"/>
      <c r="AG116" s="88"/>
      <c r="AH116" s="88"/>
      <c r="AI116" s="88"/>
      <c r="AJ116" s="88"/>
      <c r="AK116" s="88"/>
      <c r="AL116" s="88"/>
      <c r="AM116" s="88"/>
      <c r="AN116" s="88"/>
      <c r="AO116" s="88"/>
      <c r="AP116" s="88"/>
      <c r="AQ116" s="88"/>
      <c r="AR116" s="88"/>
      <c r="AS116" s="88"/>
      <c r="AT116" s="88"/>
      <c r="AU116" s="88"/>
      <c r="AV116" s="88"/>
      <c r="AW116" s="88"/>
      <c r="AX116" s="88"/>
      <c r="AY116" s="88"/>
      <c r="AZ116" s="88"/>
      <c r="BA116" s="88"/>
      <c r="BB116" s="88"/>
      <c r="BC116" s="88"/>
      <c r="BD116" s="88"/>
      <c r="BE116" s="88"/>
      <c r="BF116" s="88"/>
      <c r="BG116" s="88"/>
      <c r="BH116" s="88"/>
      <c r="BI116" s="88"/>
      <c r="BJ116" s="88"/>
      <c r="BK116" s="88"/>
      <c r="BL116" s="88"/>
      <c r="BM116" s="88"/>
      <c r="BN116" s="88"/>
      <c r="BO116" s="88"/>
      <c r="BP116" s="88"/>
      <c r="BQ116" s="88"/>
      <c r="BR116" s="88"/>
      <c r="BS116" s="88"/>
      <c r="BT116" s="88"/>
      <c r="BU116" s="88"/>
      <c r="BV116" s="88"/>
      <c r="BW116" s="88"/>
      <c r="BX116" s="88"/>
      <c r="BY116" s="88"/>
      <c r="BZ116" s="88"/>
      <c r="CA116" s="88"/>
      <c r="CB116" s="88"/>
      <c r="CC116" s="88"/>
      <c r="CD116" s="88"/>
      <c r="CE116" s="88"/>
      <c r="CF116" s="88"/>
      <c r="CG116" s="88"/>
      <c r="CH116" s="88"/>
      <c r="CI116" s="88"/>
      <c r="CJ116" s="88"/>
      <c r="CK116" s="88"/>
      <c r="CL116" s="88"/>
      <c r="CM116" s="88"/>
      <c r="CN116" s="88"/>
      <c r="CO116" s="88"/>
      <c r="CP116" s="88"/>
      <c r="CQ116" s="88"/>
      <c r="CR116" s="88"/>
      <c r="CS116" s="88"/>
      <c r="CT116" s="88"/>
      <c r="CU116" s="88"/>
      <c r="CV116" s="88"/>
      <c r="CW116" s="88"/>
      <c r="CX116" s="88"/>
      <c r="CY116" s="88"/>
      <c r="CZ116" s="88"/>
      <c r="DA116" s="88"/>
      <c r="DB116" s="88"/>
      <c r="DC116" s="88"/>
      <c r="DD116" s="88"/>
      <c r="DE116" s="88"/>
      <c r="DF116" s="88"/>
      <c r="DG116" s="88"/>
      <c r="DH116" s="88"/>
      <c r="DI116" s="88"/>
      <c r="DJ116" s="88"/>
      <c r="DK116" s="88"/>
      <c r="DL116" s="88"/>
      <c r="DM116" s="88"/>
      <c r="DN116" s="88"/>
      <c r="DO116" s="88"/>
      <c r="DP116" s="88"/>
      <c r="DQ116" s="88"/>
      <c r="DR116" s="88"/>
      <c r="DS116" s="88"/>
      <c r="DT116" s="88"/>
      <c r="DU116" s="88"/>
      <c r="DV116" s="88"/>
      <c r="DW116" s="88"/>
      <c r="DX116" s="88"/>
      <c r="DY116" s="88"/>
      <c r="DZ116" s="88"/>
      <c r="EA116" s="88"/>
      <c r="EB116" s="88"/>
      <c r="EC116" s="88"/>
      <c r="ED116" s="88"/>
      <c r="EE116" s="88"/>
      <c r="EF116" s="88"/>
      <c r="EG116" s="88"/>
      <c r="EH116" s="88"/>
      <c r="EI116" s="88"/>
      <c r="EJ116" s="88"/>
      <c r="EK116" s="88"/>
      <c r="EL116" s="88"/>
      <c r="EM116" s="88"/>
      <c r="EN116" s="88"/>
      <c r="EO116" s="88"/>
      <c r="EP116" s="88"/>
      <c r="EQ116" s="88"/>
      <c r="ER116" s="88"/>
      <c r="ES116" s="88"/>
      <c r="ET116" s="88"/>
      <c r="EU116" s="88"/>
      <c r="EV116" s="88"/>
      <c r="EW116" s="88"/>
      <c r="EX116" s="88"/>
      <c r="EY116" s="88"/>
      <c r="EZ116" s="88"/>
      <c r="FA116" s="88"/>
      <c r="FB116" s="88"/>
      <c r="FC116" s="88"/>
      <c r="FD116" s="88"/>
      <c r="FE116" s="88"/>
      <c r="FF116" s="88"/>
      <c r="FG116" s="88"/>
      <c r="FH116" s="88"/>
      <c r="FI116" s="88"/>
      <c r="FJ116" s="88"/>
      <c r="FK116" s="88"/>
      <c r="FL116" s="88"/>
      <c r="FM116" s="88"/>
      <c r="FN116" s="88"/>
      <c r="FO116" s="88"/>
      <c r="FP116" s="88"/>
      <c r="FQ116" s="88"/>
      <c r="FR116" s="88"/>
      <c r="FS116" s="88"/>
      <c r="FT116" s="88"/>
      <c r="FU116" s="88"/>
      <c r="FV116" s="88"/>
      <c r="FW116" s="88"/>
      <c r="FX116" s="88"/>
      <c r="FY116" s="88"/>
      <c r="FZ116" s="88"/>
      <c r="GA116" s="88"/>
      <c r="GB116" s="88"/>
      <c r="GC116" s="88"/>
      <c r="GD116" s="88"/>
      <c r="GE116" s="88"/>
      <c r="GF116" s="88"/>
      <c r="GG116" s="88"/>
      <c r="GH116" s="88"/>
      <c r="GI116" s="88"/>
      <c r="GJ116" s="88"/>
      <c r="GK116" s="88"/>
      <c r="GL116" s="88"/>
      <c r="GM116" s="88"/>
      <c r="GN116" s="88"/>
      <c r="GO116" s="88"/>
      <c r="GP116" s="88"/>
      <c r="GQ116" s="88"/>
      <c r="GR116" s="88"/>
      <c r="GS116" s="88"/>
      <c r="GT116" s="88"/>
      <c r="GU116" s="88"/>
      <c r="GV116" s="88"/>
      <c r="GW116" s="88"/>
      <c r="GX116" s="88"/>
      <c r="GY116" s="88"/>
      <c r="GZ116" s="88"/>
      <c r="HA116" s="88"/>
      <c r="HB116" s="88"/>
      <c r="HC116" s="88"/>
      <c r="HD116" s="88"/>
      <c r="HE116" s="88"/>
    </row>
    <row r="117" spans="1:213">
      <c r="A117" s="1" t="s">
        <v>330</v>
      </c>
      <c r="B117" s="444">
        <v>0</v>
      </c>
      <c r="C117"/>
      <c r="D117" s="88"/>
      <c r="E117" s="88"/>
      <c r="F117" s="88"/>
      <c r="G117" s="88"/>
      <c r="H117" s="88"/>
      <c r="I117" s="88"/>
      <c r="J117" s="88"/>
      <c r="K117" s="88"/>
      <c r="L117" s="88"/>
      <c r="M117" s="88"/>
      <c r="N117" s="88"/>
      <c r="O117" s="88"/>
      <c r="P117" s="88"/>
      <c r="Q117" s="88"/>
      <c r="R117" s="88"/>
      <c r="S117" s="88"/>
      <c r="T117" s="88"/>
      <c r="U117" s="88"/>
      <c r="V117" s="88"/>
      <c r="W117" s="88"/>
      <c r="X117" s="88"/>
      <c r="Y117" s="88"/>
      <c r="Z117" s="88"/>
      <c r="AA117" s="88"/>
      <c r="AB117" s="88"/>
      <c r="AC117" s="88"/>
      <c r="AD117" s="88"/>
      <c r="AE117" s="88"/>
      <c r="AF117" s="88"/>
      <c r="AG117" s="88"/>
      <c r="AH117" s="88"/>
      <c r="AI117" s="88"/>
      <c r="AJ117" s="88"/>
      <c r="AK117" s="88"/>
      <c r="AL117" s="88"/>
      <c r="AM117" s="88"/>
      <c r="AN117" s="88"/>
      <c r="AO117" s="88"/>
      <c r="AP117" s="88"/>
      <c r="AQ117" s="88"/>
      <c r="AR117" s="88"/>
      <c r="AS117" s="88"/>
      <c r="AT117" s="88"/>
      <c r="AU117" s="88"/>
      <c r="AV117" s="88"/>
      <c r="AW117" s="88"/>
      <c r="AX117" s="88"/>
      <c r="AY117" s="88"/>
      <c r="AZ117" s="88"/>
      <c r="BA117" s="88"/>
      <c r="BB117" s="88"/>
      <c r="BC117" s="88"/>
      <c r="BD117" s="88"/>
      <c r="BE117" s="88"/>
      <c r="BF117" s="88"/>
      <c r="BG117" s="88"/>
      <c r="BH117" s="88"/>
      <c r="BI117" s="88"/>
      <c r="BJ117" s="88"/>
      <c r="BK117" s="88"/>
      <c r="BL117" s="88"/>
      <c r="BM117" s="88"/>
      <c r="BN117" s="88"/>
      <c r="BO117" s="88"/>
      <c r="BP117" s="88"/>
      <c r="BQ117" s="88"/>
      <c r="BR117" s="88"/>
      <c r="BS117" s="88"/>
      <c r="BT117" s="88"/>
      <c r="BU117" s="88"/>
      <c r="BV117" s="88"/>
      <c r="BW117" s="88"/>
      <c r="BX117" s="88"/>
      <c r="BY117" s="88"/>
      <c r="BZ117" s="88"/>
      <c r="CA117" s="88"/>
      <c r="CB117" s="88"/>
      <c r="CC117" s="88"/>
      <c r="CD117" s="88"/>
      <c r="CE117" s="88"/>
      <c r="CF117" s="88"/>
      <c r="CG117" s="88"/>
      <c r="CH117" s="88"/>
      <c r="CI117" s="88"/>
      <c r="CJ117" s="88"/>
      <c r="CK117" s="88"/>
      <c r="CL117" s="88"/>
      <c r="CM117" s="88"/>
      <c r="CN117" s="88"/>
      <c r="CO117" s="88"/>
      <c r="CP117" s="88"/>
      <c r="CQ117" s="88"/>
      <c r="CR117" s="88"/>
      <c r="CS117" s="88"/>
      <c r="CT117" s="88"/>
      <c r="CU117" s="88"/>
      <c r="CV117" s="88"/>
      <c r="CW117" s="88"/>
      <c r="CX117" s="88"/>
      <c r="CY117" s="88"/>
      <c r="CZ117" s="88"/>
      <c r="DA117" s="88"/>
      <c r="DB117" s="88"/>
      <c r="DC117" s="88"/>
      <c r="DD117" s="88"/>
      <c r="DE117" s="88"/>
      <c r="DF117" s="88"/>
      <c r="DG117" s="88"/>
      <c r="DH117" s="88"/>
      <c r="DI117" s="88"/>
      <c r="DJ117" s="88"/>
      <c r="DK117" s="88"/>
      <c r="DL117" s="88"/>
      <c r="DM117" s="88"/>
      <c r="DN117" s="88"/>
      <c r="DO117" s="88"/>
      <c r="DP117" s="88"/>
      <c r="DQ117" s="88"/>
      <c r="DR117" s="88"/>
      <c r="DS117" s="88"/>
      <c r="DT117" s="88"/>
      <c r="DU117" s="88"/>
      <c r="DV117" s="88"/>
      <c r="DW117" s="88"/>
      <c r="DX117" s="88"/>
      <c r="DY117" s="88"/>
      <c r="DZ117" s="88"/>
      <c r="EA117" s="88"/>
      <c r="EB117" s="88"/>
      <c r="EC117" s="88"/>
      <c r="ED117" s="88"/>
      <c r="EE117" s="88"/>
      <c r="EF117" s="88"/>
      <c r="EG117" s="88"/>
      <c r="EH117" s="88"/>
      <c r="EI117" s="88"/>
      <c r="EJ117" s="88"/>
      <c r="EK117" s="88"/>
      <c r="EL117" s="88"/>
      <c r="EM117" s="88"/>
      <c r="EN117" s="88"/>
      <c r="EO117" s="88"/>
      <c r="EP117" s="88"/>
      <c r="EQ117" s="88"/>
      <c r="ER117" s="88"/>
      <c r="ES117" s="88"/>
      <c r="ET117" s="88"/>
      <c r="EU117" s="88"/>
      <c r="EV117" s="88"/>
      <c r="EW117" s="88"/>
      <c r="EX117" s="88"/>
      <c r="EY117" s="88"/>
      <c r="EZ117" s="88"/>
      <c r="FA117" s="88"/>
      <c r="FB117" s="88"/>
      <c r="FC117" s="88"/>
      <c r="FD117" s="88"/>
      <c r="FE117" s="88"/>
      <c r="FF117" s="88"/>
      <c r="FG117" s="88"/>
      <c r="FH117" s="88"/>
      <c r="FI117" s="88"/>
      <c r="FJ117" s="88"/>
      <c r="FK117" s="88"/>
      <c r="FL117" s="88"/>
      <c r="FM117" s="88"/>
      <c r="FN117" s="88"/>
      <c r="FO117" s="88"/>
      <c r="FP117" s="88"/>
      <c r="FQ117" s="88"/>
      <c r="FR117" s="88"/>
      <c r="FS117" s="88"/>
      <c r="FT117" s="88"/>
      <c r="FU117" s="88"/>
      <c r="FV117" s="88"/>
      <c r="FW117" s="88"/>
      <c r="FX117" s="88"/>
      <c r="FY117" s="88"/>
      <c r="FZ117" s="88"/>
      <c r="GA117" s="88"/>
      <c r="GB117" s="88"/>
      <c r="GC117" s="88"/>
      <c r="GD117" s="88"/>
      <c r="GE117" s="88"/>
      <c r="GF117" s="88"/>
      <c r="GG117" s="88"/>
      <c r="GH117" s="88"/>
      <c r="GI117" s="88"/>
      <c r="GJ117" s="88"/>
      <c r="GK117" s="88"/>
      <c r="GL117" s="88"/>
      <c r="GM117" s="88"/>
      <c r="GN117" s="88"/>
      <c r="GO117" s="88"/>
      <c r="GP117" s="88"/>
      <c r="GQ117" s="88"/>
      <c r="GR117" s="88"/>
      <c r="GS117" s="88"/>
      <c r="GT117" s="88"/>
      <c r="GU117" s="88"/>
      <c r="GV117" s="88"/>
      <c r="GW117" s="88"/>
      <c r="GX117" s="88"/>
      <c r="GY117" s="88"/>
      <c r="GZ117" s="88"/>
      <c r="HA117" s="88"/>
      <c r="HB117" s="88"/>
      <c r="HC117" s="88"/>
      <c r="HD117" s="88"/>
      <c r="HE117" s="88"/>
    </row>
    <row r="118" spans="1:213">
      <c r="A118" s="88"/>
      <c r="B118" s="88"/>
      <c r="C118"/>
      <c r="D118" s="88"/>
      <c r="E118" s="88"/>
      <c r="F118" s="88"/>
      <c r="G118" s="88"/>
      <c r="H118" s="88"/>
      <c r="I118" s="88"/>
      <c r="J118" s="88"/>
      <c r="K118" s="88"/>
      <c r="L118" s="88"/>
      <c r="M118" s="88"/>
      <c r="N118" s="88"/>
      <c r="O118" s="88"/>
      <c r="P118" s="88"/>
      <c r="Q118" s="88"/>
      <c r="R118" s="88"/>
      <c r="S118" s="88"/>
      <c r="T118" s="88"/>
      <c r="U118" s="88"/>
      <c r="V118" s="88"/>
      <c r="W118" s="88"/>
      <c r="X118" s="88"/>
      <c r="Y118" s="88"/>
      <c r="Z118" s="88"/>
      <c r="AA118" s="88"/>
      <c r="AB118" s="88"/>
      <c r="AC118" s="88"/>
      <c r="AD118" s="88"/>
      <c r="AE118" s="88"/>
      <c r="AF118" s="88"/>
      <c r="AG118" s="88"/>
      <c r="AH118" s="88"/>
      <c r="AI118" s="88"/>
      <c r="AJ118" s="88"/>
      <c r="AK118" s="88"/>
      <c r="AL118" s="88"/>
      <c r="AM118" s="88"/>
      <c r="AN118" s="88"/>
      <c r="AO118" s="88"/>
      <c r="AP118" s="88"/>
      <c r="AQ118" s="88"/>
      <c r="AR118" s="88"/>
      <c r="AS118" s="88"/>
      <c r="AT118" s="88"/>
      <c r="AU118" s="88"/>
      <c r="AV118" s="88"/>
      <c r="AW118" s="88"/>
      <c r="AX118" s="88"/>
      <c r="AY118" s="88"/>
      <c r="AZ118" s="88"/>
      <c r="BA118" s="88"/>
      <c r="BB118" s="88"/>
      <c r="BC118" s="88"/>
      <c r="BD118" s="88"/>
      <c r="BE118" s="88"/>
      <c r="BF118" s="88"/>
      <c r="BG118" s="88"/>
      <c r="BH118" s="88"/>
      <c r="BI118" s="88"/>
      <c r="BJ118" s="88"/>
      <c r="BK118" s="88"/>
      <c r="BL118" s="88"/>
      <c r="BM118" s="88"/>
      <c r="BN118" s="88"/>
      <c r="BO118" s="88"/>
      <c r="BP118" s="88"/>
      <c r="BQ118" s="88"/>
      <c r="BR118" s="88"/>
      <c r="BS118" s="88"/>
      <c r="BT118" s="88"/>
      <c r="BU118" s="88"/>
      <c r="BV118" s="88"/>
      <c r="BW118" s="88"/>
      <c r="BX118" s="88"/>
      <c r="BY118" s="88"/>
      <c r="BZ118" s="88"/>
      <c r="CA118" s="88"/>
      <c r="CB118" s="88"/>
      <c r="CC118" s="88"/>
      <c r="CD118" s="88"/>
      <c r="CE118" s="88"/>
      <c r="CF118" s="88"/>
      <c r="CG118" s="88"/>
      <c r="CH118" s="88"/>
      <c r="CI118" s="88"/>
      <c r="CJ118" s="88"/>
      <c r="CK118" s="88"/>
      <c r="CL118" s="88"/>
      <c r="CM118" s="88"/>
      <c r="CN118" s="88"/>
      <c r="CO118" s="88"/>
      <c r="CP118" s="88"/>
      <c r="CQ118" s="88"/>
      <c r="CR118" s="88"/>
      <c r="CS118" s="88"/>
      <c r="CT118" s="88"/>
      <c r="CU118" s="88"/>
      <c r="CV118" s="88"/>
      <c r="CW118" s="88"/>
      <c r="CX118" s="88"/>
      <c r="CY118" s="88"/>
      <c r="CZ118" s="88"/>
      <c r="DA118" s="88"/>
      <c r="DB118" s="88"/>
      <c r="DC118" s="88"/>
      <c r="DD118" s="88"/>
      <c r="DE118" s="88"/>
      <c r="DF118" s="88"/>
      <c r="DG118" s="88"/>
      <c r="DH118" s="88"/>
      <c r="DI118" s="88"/>
      <c r="DJ118" s="88"/>
      <c r="DK118" s="88"/>
      <c r="DL118" s="88"/>
      <c r="DM118" s="88"/>
      <c r="DN118" s="88"/>
      <c r="DO118" s="88"/>
      <c r="DP118" s="88"/>
      <c r="DQ118" s="88"/>
      <c r="DR118" s="88"/>
      <c r="DS118" s="88"/>
      <c r="DT118" s="88"/>
      <c r="DU118" s="88"/>
      <c r="DV118" s="88"/>
      <c r="DW118" s="88"/>
      <c r="DX118" s="88"/>
      <c r="DY118" s="88"/>
      <c r="DZ118" s="88"/>
      <c r="EA118" s="88"/>
      <c r="EB118" s="88"/>
      <c r="EC118" s="88"/>
      <c r="ED118" s="88"/>
      <c r="EE118" s="88"/>
      <c r="EF118" s="88"/>
      <c r="EG118" s="88"/>
      <c r="EH118" s="88"/>
      <c r="EI118" s="88"/>
      <c r="EJ118" s="88"/>
      <c r="EK118" s="88"/>
      <c r="EL118" s="88"/>
      <c r="EM118" s="88"/>
      <c r="EN118" s="88"/>
      <c r="EO118" s="88"/>
      <c r="EP118" s="88"/>
      <c r="EQ118" s="88"/>
      <c r="ER118" s="88"/>
      <c r="ES118" s="88"/>
      <c r="ET118" s="88"/>
      <c r="EU118" s="88"/>
      <c r="EV118" s="88"/>
      <c r="EW118" s="88"/>
      <c r="EX118" s="88"/>
      <c r="EY118" s="88"/>
      <c r="EZ118" s="88"/>
      <c r="FA118" s="88"/>
      <c r="FB118" s="88"/>
      <c r="FC118" s="88"/>
      <c r="FD118" s="88"/>
      <c r="FE118" s="88"/>
      <c r="FF118" s="88"/>
      <c r="FG118" s="88"/>
      <c r="FH118" s="88"/>
      <c r="FI118" s="88"/>
      <c r="FJ118" s="88"/>
      <c r="FK118" s="88"/>
      <c r="FL118" s="88"/>
      <c r="FM118" s="88"/>
      <c r="FN118" s="88"/>
      <c r="FO118" s="88"/>
      <c r="FP118" s="88"/>
      <c r="FQ118" s="88"/>
      <c r="FR118" s="88"/>
      <c r="FS118" s="88"/>
      <c r="FT118" s="88"/>
      <c r="FU118" s="88"/>
      <c r="FV118" s="88"/>
      <c r="FW118" s="88"/>
      <c r="FX118" s="88"/>
      <c r="FY118" s="88"/>
      <c r="FZ118" s="88"/>
      <c r="GA118" s="88"/>
      <c r="GB118" s="88"/>
      <c r="GC118" s="88"/>
      <c r="GD118" s="88"/>
      <c r="GE118" s="88"/>
      <c r="GF118" s="88"/>
      <c r="GG118" s="88"/>
      <c r="GH118" s="88"/>
      <c r="GI118" s="88"/>
      <c r="GJ118" s="88"/>
      <c r="GK118" s="88"/>
      <c r="GL118" s="88"/>
      <c r="GM118" s="88"/>
      <c r="GN118" s="88"/>
      <c r="GO118" s="88"/>
      <c r="GP118" s="88"/>
      <c r="GQ118" s="88"/>
      <c r="GR118" s="88"/>
      <c r="GS118" s="88"/>
      <c r="GT118" s="88"/>
      <c r="GU118" s="88"/>
      <c r="GV118" s="88"/>
      <c r="GW118" s="88"/>
      <c r="GX118" s="88"/>
      <c r="GY118" s="88"/>
      <c r="GZ118" s="88"/>
      <c r="HA118" s="88"/>
      <c r="HB118" s="88"/>
      <c r="HC118" s="88"/>
      <c r="HD118" s="88"/>
      <c r="HE118" s="88"/>
    </row>
    <row r="119" spans="1:213" ht="21">
      <c r="A119" s="7" t="s">
        <v>331</v>
      </c>
      <c r="B119" s="88"/>
      <c r="C119" s="88"/>
      <c r="D119" s="88"/>
      <c r="E119" s="88"/>
      <c r="F119" s="88"/>
      <c r="G119" s="88"/>
      <c r="H119" s="88"/>
      <c r="I119" s="88"/>
      <c r="J119" s="88"/>
      <c r="K119" s="88"/>
      <c r="L119" s="88"/>
      <c r="M119" s="88"/>
      <c r="N119" s="88"/>
      <c r="O119" s="88"/>
      <c r="P119" s="88"/>
      <c r="Q119" s="88"/>
      <c r="R119" s="88"/>
      <c r="S119" s="88"/>
      <c r="T119" s="88"/>
      <c r="U119" s="88"/>
      <c r="V119" s="88"/>
      <c r="W119" s="88"/>
      <c r="X119" s="88"/>
      <c r="Y119" s="88"/>
      <c r="Z119" s="88"/>
      <c r="AA119" s="88"/>
      <c r="AB119" s="88"/>
      <c r="AC119" s="88"/>
      <c r="AD119" s="88"/>
      <c r="AE119" s="88"/>
      <c r="AF119" s="88"/>
      <c r="AG119" s="88"/>
      <c r="AH119" s="88"/>
      <c r="AI119" s="88"/>
      <c r="AJ119" s="88"/>
      <c r="AK119" s="88"/>
      <c r="AL119" s="88"/>
      <c r="AM119" s="88"/>
      <c r="AN119" s="88"/>
      <c r="AO119" s="88"/>
      <c r="AP119" s="88"/>
      <c r="AQ119" s="88"/>
      <c r="AR119" s="88"/>
      <c r="AS119" s="88"/>
      <c r="AT119" s="88"/>
      <c r="AU119" s="88"/>
      <c r="AV119" s="88"/>
      <c r="AW119" s="88"/>
      <c r="AX119" s="88"/>
      <c r="AY119" s="88"/>
      <c r="AZ119" s="88"/>
      <c r="BA119" s="88"/>
      <c r="BB119" s="88"/>
      <c r="BC119" s="88"/>
      <c r="BD119" s="88"/>
      <c r="BE119" s="88"/>
      <c r="BF119" s="88"/>
      <c r="BG119" s="88"/>
      <c r="BH119" s="88"/>
      <c r="BI119" s="88"/>
      <c r="BJ119" s="88"/>
      <c r="BK119" s="88"/>
      <c r="BL119" s="88"/>
      <c r="BM119" s="88"/>
      <c r="BN119" s="88"/>
      <c r="BO119" s="88"/>
      <c r="BP119" s="88"/>
      <c r="BQ119" s="88"/>
      <c r="BR119" s="88"/>
      <c r="BS119" s="88"/>
      <c r="BT119" s="88"/>
      <c r="BU119" s="88"/>
      <c r="BV119" s="88"/>
      <c r="BW119" s="88"/>
      <c r="BX119" s="88"/>
      <c r="BY119" s="88"/>
      <c r="BZ119" s="88"/>
      <c r="CA119" s="88"/>
      <c r="CB119" s="88"/>
      <c r="CC119" s="88"/>
      <c r="CD119" s="88"/>
      <c r="CE119" s="88"/>
      <c r="CF119" s="88"/>
      <c r="CG119" s="88"/>
      <c r="CH119" s="88"/>
      <c r="CI119" s="88"/>
      <c r="CJ119" s="88"/>
      <c r="CK119" s="88"/>
      <c r="CL119" s="88"/>
      <c r="CM119" s="88"/>
      <c r="CN119" s="88"/>
      <c r="CO119" s="88"/>
      <c r="CP119" s="88"/>
      <c r="CQ119" s="88"/>
      <c r="CR119" s="88"/>
      <c r="CS119" s="88"/>
      <c r="CT119" s="88"/>
      <c r="CU119" s="88"/>
      <c r="CV119" s="88"/>
      <c r="CW119" s="88"/>
      <c r="CX119" s="88"/>
      <c r="CY119" s="88"/>
      <c r="CZ119" s="88"/>
      <c r="DA119" s="88"/>
      <c r="DB119" s="88"/>
      <c r="DC119" s="88"/>
      <c r="DD119" s="88"/>
      <c r="DE119" s="88"/>
      <c r="DF119" s="88"/>
      <c r="DG119" s="88"/>
      <c r="DH119" s="88"/>
      <c r="DI119" s="88"/>
      <c r="DJ119" s="88"/>
      <c r="DK119" s="88"/>
      <c r="DL119" s="88"/>
      <c r="DM119" s="88"/>
      <c r="DN119" s="88"/>
      <c r="DO119" s="88"/>
      <c r="DP119" s="88"/>
      <c r="DQ119" s="88"/>
      <c r="DR119" s="88"/>
      <c r="DS119" s="88"/>
      <c r="DT119" s="88"/>
      <c r="DU119" s="88"/>
      <c r="DV119" s="88"/>
      <c r="DW119" s="88"/>
      <c r="DX119" s="88"/>
      <c r="DY119" s="88"/>
      <c r="DZ119" s="88"/>
      <c r="EA119" s="88"/>
      <c r="EB119" s="88"/>
      <c r="EC119" s="88"/>
      <c r="ED119" s="88"/>
      <c r="EE119" s="88"/>
      <c r="EF119" s="88"/>
      <c r="EG119" s="88"/>
      <c r="EH119" s="88"/>
      <c r="EI119" s="88"/>
      <c r="EJ119" s="88"/>
      <c r="EK119" s="88"/>
      <c r="EL119" s="88"/>
      <c r="EM119" s="88"/>
      <c r="EN119" s="88"/>
      <c r="EO119" s="88"/>
      <c r="EP119" s="88"/>
      <c r="EQ119" s="88"/>
      <c r="ER119" s="88"/>
      <c r="ES119" s="88"/>
      <c r="ET119" s="88"/>
      <c r="EU119" s="88"/>
      <c r="EV119" s="88"/>
      <c r="EW119" s="88"/>
      <c r="EX119" s="88"/>
      <c r="EY119" s="88"/>
      <c r="EZ119" s="88"/>
      <c r="FA119" s="88"/>
      <c r="FB119" s="88"/>
      <c r="FC119" s="88"/>
      <c r="FD119" s="88"/>
      <c r="FE119" s="88"/>
      <c r="FF119" s="88"/>
      <c r="FG119" s="88"/>
      <c r="FH119" s="88"/>
      <c r="FI119" s="88"/>
      <c r="FJ119" s="88"/>
      <c r="FK119" s="88"/>
      <c r="FL119" s="88"/>
      <c r="FM119" s="88"/>
      <c r="FN119" s="88"/>
      <c r="FO119" s="88"/>
      <c r="FP119" s="88"/>
      <c r="FQ119" s="88"/>
      <c r="FR119" s="88"/>
      <c r="FS119" s="88"/>
      <c r="FT119" s="88"/>
      <c r="FU119" s="88"/>
      <c r="FV119" s="88"/>
      <c r="FW119" s="88"/>
      <c r="FX119" s="88"/>
      <c r="FY119" s="88"/>
      <c r="FZ119" s="88"/>
      <c r="GA119" s="88"/>
      <c r="GB119" s="88"/>
      <c r="GC119" s="88"/>
      <c r="GD119" s="88"/>
      <c r="GE119" s="88"/>
      <c r="GF119" s="88"/>
      <c r="GG119" s="88"/>
      <c r="GH119" s="88"/>
      <c r="GI119" s="88"/>
      <c r="GJ119" s="88"/>
      <c r="GK119" s="88"/>
      <c r="GL119" s="88"/>
      <c r="GM119" s="88"/>
      <c r="GN119" s="88"/>
      <c r="GO119" s="88"/>
      <c r="GP119" s="88"/>
      <c r="GQ119" s="88"/>
      <c r="GR119" s="88"/>
      <c r="GS119" s="88"/>
      <c r="GT119" s="88"/>
      <c r="GU119" s="88"/>
      <c r="GV119" s="88"/>
      <c r="GW119" s="88"/>
      <c r="GX119" s="88"/>
      <c r="GY119" s="88"/>
      <c r="GZ119" s="88"/>
      <c r="HA119" s="88"/>
      <c r="HB119" s="88"/>
      <c r="HC119" s="88"/>
      <c r="HD119" s="88"/>
      <c r="HE119" s="88"/>
    </row>
    <row r="120" spans="1:213">
      <c r="A120" s="3" t="s">
        <v>332</v>
      </c>
      <c r="B120" s="3"/>
      <c r="C120" s="3"/>
      <c r="D120" s="88"/>
      <c r="E120" s="88"/>
      <c r="F120" s="88"/>
      <c r="G120" s="88"/>
      <c r="H120" s="88"/>
      <c r="I120" s="88"/>
      <c r="J120" s="88"/>
      <c r="K120" s="88"/>
      <c r="L120" s="88"/>
      <c r="M120" s="88"/>
      <c r="N120" s="88"/>
      <c r="O120" s="88"/>
      <c r="P120" s="88"/>
      <c r="Q120" s="88"/>
      <c r="R120" s="88"/>
      <c r="S120" s="88"/>
      <c r="T120" s="88"/>
      <c r="U120" s="88"/>
      <c r="V120" s="88"/>
      <c r="W120" s="88"/>
      <c r="X120" s="88"/>
      <c r="Y120" s="88"/>
      <c r="Z120" s="88"/>
      <c r="AA120" s="88"/>
      <c r="AB120" s="88"/>
      <c r="AC120" s="88"/>
      <c r="AD120" s="88"/>
      <c r="AE120" s="88"/>
      <c r="AF120" s="88"/>
      <c r="AG120" s="88"/>
      <c r="AH120" s="88"/>
      <c r="AI120" s="88"/>
      <c r="AJ120" s="88"/>
      <c r="AK120" s="88"/>
      <c r="AL120" s="88"/>
      <c r="AM120" s="88"/>
      <c r="AN120" s="88"/>
      <c r="AO120" s="88"/>
      <c r="AP120" s="88"/>
      <c r="AQ120" s="88"/>
      <c r="AR120" s="88"/>
      <c r="AS120" s="88"/>
      <c r="AT120" s="88"/>
      <c r="AU120" s="88"/>
      <c r="AV120" s="88"/>
      <c r="AW120" s="88"/>
      <c r="AX120" s="88"/>
      <c r="AY120" s="88"/>
      <c r="AZ120" s="88"/>
      <c r="BA120" s="88"/>
      <c r="BB120" s="88"/>
      <c r="BC120" s="88"/>
      <c r="BD120" s="88"/>
      <c r="BE120" s="88"/>
      <c r="BF120" s="88"/>
      <c r="BG120" s="88"/>
      <c r="BH120" s="88"/>
      <c r="BI120" s="88"/>
      <c r="BJ120" s="88"/>
      <c r="BK120" s="88"/>
      <c r="BL120" s="88"/>
      <c r="BM120" s="88"/>
      <c r="BN120" s="88"/>
      <c r="BO120" s="88"/>
      <c r="BP120" s="88"/>
      <c r="BQ120" s="88"/>
      <c r="BR120" s="88"/>
      <c r="BS120" s="88"/>
      <c r="BT120" s="88"/>
      <c r="BU120" s="88"/>
      <c r="BV120" s="88"/>
      <c r="BW120" s="88"/>
      <c r="BX120" s="88"/>
      <c r="BY120" s="88"/>
      <c r="BZ120" s="88"/>
      <c r="CA120" s="88"/>
      <c r="CB120" s="88"/>
      <c r="CC120" s="88"/>
      <c r="CD120" s="88"/>
      <c r="CE120" s="88"/>
      <c r="CF120" s="88"/>
      <c r="CG120" s="88"/>
      <c r="CH120" s="88"/>
      <c r="CI120" s="88"/>
      <c r="CJ120" s="88"/>
      <c r="CK120" s="88"/>
      <c r="CL120" s="88"/>
      <c r="CM120" s="88"/>
      <c r="CN120" s="88"/>
      <c r="CO120" s="88"/>
      <c r="CP120" s="88"/>
      <c r="CQ120" s="88"/>
      <c r="CR120" s="88"/>
      <c r="CS120" s="88"/>
      <c r="CT120" s="88"/>
      <c r="CU120" s="88"/>
      <c r="CV120" s="88"/>
      <c r="CW120" s="88"/>
      <c r="CX120" s="88"/>
      <c r="CY120" s="88"/>
      <c r="CZ120" s="88"/>
      <c r="DA120" s="88"/>
      <c r="DB120" s="88"/>
      <c r="DC120" s="88"/>
      <c r="DD120" s="88"/>
      <c r="DE120" s="88"/>
      <c r="DF120" s="88"/>
      <c r="DG120" s="88"/>
      <c r="DH120" s="88"/>
      <c r="DI120" s="88"/>
      <c r="DJ120" s="88"/>
      <c r="DK120" s="88"/>
      <c r="DL120" s="88"/>
      <c r="DM120" s="88"/>
      <c r="DN120" s="88"/>
      <c r="DO120" s="88"/>
      <c r="DP120" s="88"/>
      <c r="DQ120" s="88"/>
      <c r="DR120" s="88"/>
      <c r="DS120" s="88"/>
      <c r="DT120" s="88"/>
      <c r="DU120" s="88"/>
      <c r="DV120" s="88"/>
      <c r="DW120" s="88"/>
      <c r="DX120" s="88"/>
      <c r="DY120" s="88"/>
      <c r="DZ120" s="88"/>
      <c r="EA120" s="88"/>
      <c r="EB120" s="88"/>
      <c r="EC120" s="88"/>
      <c r="ED120" s="88"/>
      <c r="EE120" s="88"/>
      <c r="EF120" s="88"/>
      <c r="EG120" s="88"/>
      <c r="EH120" s="88"/>
      <c r="EI120" s="88"/>
      <c r="EJ120" s="88"/>
      <c r="EK120" s="88"/>
      <c r="EL120" s="88"/>
      <c r="EM120" s="88"/>
      <c r="EN120" s="88"/>
      <c r="EO120" s="88"/>
      <c r="EP120" s="88"/>
      <c r="EQ120" s="88"/>
      <c r="ER120" s="88"/>
      <c r="ES120" s="88"/>
      <c r="ET120" s="88"/>
      <c r="EU120" s="88"/>
      <c r="EV120" s="88"/>
      <c r="EW120" s="88"/>
      <c r="EX120" s="88"/>
      <c r="EY120" s="88"/>
      <c r="EZ120" s="88"/>
      <c r="FA120" s="88"/>
      <c r="FB120" s="88"/>
      <c r="FC120" s="88"/>
      <c r="FD120" s="88"/>
      <c r="FE120" s="88"/>
      <c r="FF120" s="88"/>
      <c r="FG120" s="88"/>
      <c r="FH120" s="88"/>
      <c r="FI120" s="88"/>
      <c r="FJ120" s="88"/>
      <c r="FK120" s="88"/>
      <c r="FL120" s="88"/>
      <c r="FM120" s="88"/>
      <c r="FN120" s="88"/>
      <c r="FO120" s="88"/>
      <c r="FP120" s="88"/>
      <c r="FQ120" s="88"/>
      <c r="FR120" s="88"/>
      <c r="FS120" s="88"/>
      <c r="FT120" s="88"/>
      <c r="FU120" s="88"/>
      <c r="FV120" s="88"/>
      <c r="FW120" s="88"/>
      <c r="FX120" s="88"/>
      <c r="FY120" s="88"/>
      <c r="FZ120" s="88"/>
      <c r="GA120" s="88"/>
      <c r="GB120" s="88"/>
      <c r="GC120" s="88"/>
      <c r="GD120" s="88"/>
      <c r="GE120" s="88"/>
      <c r="GF120" s="88"/>
      <c r="GG120" s="88"/>
      <c r="GH120" s="88"/>
      <c r="GI120" s="88"/>
      <c r="GJ120" s="88"/>
      <c r="GK120" s="88"/>
      <c r="GL120" s="88"/>
      <c r="GM120" s="88"/>
      <c r="GN120" s="88"/>
      <c r="GO120" s="88"/>
      <c r="GP120" s="88"/>
      <c r="GQ120" s="88"/>
      <c r="GR120" s="88"/>
      <c r="GS120" s="88"/>
      <c r="GT120" s="88"/>
      <c r="GU120" s="88"/>
      <c r="GV120" s="88"/>
      <c r="GW120" s="88"/>
      <c r="GX120" s="88"/>
      <c r="GY120" s="88"/>
      <c r="GZ120" s="88"/>
      <c r="HA120" s="88"/>
      <c r="HB120" s="88"/>
      <c r="HC120" s="88"/>
      <c r="HD120" s="88"/>
      <c r="HE120" s="88"/>
    </row>
    <row r="121" spans="1:213">
      <c r="A121" s="1" t="s">
        <v>333</v>
      </c>
      <c r="B121" s="442"/>
      <c r="C121" s="88"/>
      <c r="D121" s="88"/>
      <c r="E121" s="88"/>
      <c r="F121" s="88"/>
      <c r="G121" s="88"/>
      <c r="H121" s="88"/>
      <c r="I121" s="88"/>
      <c r="J121" s="88"/>
      <c r="K121" s="88"/>
      <c r="L121" s="88"/>
      <c r="M121" s="88"/>
      <c r="N121" s="88"/>
      <c r="O121" s="88"/>
      <c r="P121" s="88"/>
      <c r="Q121" s="88"/>
      <c r="R121" s="88"/>
      <c r="S121" s="88"/>
      <c r="T121" s="88"/>
      <c r="U121" s="88"/>
      <c r="V121" s="88"/>
      <c r="W121" s="88"/>
      <c r="X121" s="88"/>
      <c r="Y121" s="88"/>
      <c r="Z121" s="88"/>
      <c r="AA121" s="88"/>
      <c r="AB121" s="88"/>
      <c r="AC121" s="88"/>
      <c r="AD121" s="88"/>
      <c r="AE121" s="88"/>
      <c r="AF121" s="88"/>
      <c r="AG121" s="88"/>
      <c r="AH121" s="88"/>
      <c r="AI121" s="88"/>
      <c r="AJ121" s="88"/>
      <c r="AK121" s="88"/>
      <c r="AL121" s="88"/>
      <c r="AM121" s="88"/>
      <c r="AN121" s="88"/>
      <c r="AO121" s="88"/>
      <c r="AP121" s="88"/>
      <c r="AQ121" s="88"/>
      <c r="AR121" s="88"/>
      <c r="AS121" s="88"/>
      <c r="AT121" s="88"/>
      <c r="AU121" s="88"/>
      <c r="AV121" s="88"/>
      <c r="AW121" s="88"/>
      <c r="AX121" s="88"/>
      <c r="AY121" s="88"/>
      <c r="AZ121" s="88"/>
      <c r="BA121" s="88"/>
      <c r="BB121" s="88"/>
      <c r="BC121" s="88"/>
      <c r="BD121" s="88"/>
      <c r="BE121" s="88"/>
      <c r="BF121" s="88"/>
      <c r="BG121" s="88"/>
      <c r="BH121" s="88"/>
      <c r="BI121" s="88"/>
      <c r="BJ121" s="88"/>
      <c r="BK121" s="88"/>
      <c r="BL121" s="88"/>
      <c r="BM121" s="88"/>
      <c r="BN121" s="88"/>
      <c r="BO121" s="88"/>
      <c r="BP121" s="88"/>
      <c r="BQ121" s="88"/>
      <c r="BR121" s="88"/>
      <c r="BS121" s="88"/>
      <c r="BT121" s="88"/>
      <c r="BU121" s="88"/>
      <c r="BV121" s="88"/>
      <c r="BW121" s="88"/>
      <c r="BX121" s="88"/>
      <c r="BY121" s="88"/>
      <c r="BZ121" s="88"/>
      <c r="CA121" s="88"/>
      <c r="CB121" s="88"/>
      <c r="CC121" s="88"/>
      <c r="CD121" s="88"/>
      <c r="CE121" s="88"/>
      <c r="CF121" s="88"/>
      <c r="CG121" s="88"/>
      <c r="CH121" s="88"/>
      <c r="CI121" s="88"/>
      <c r="CJ121" s="88"/>
      <c r="CK121" s="88"/>
      <c r="CL121" s="88"/>
      <c r="CM121" s="88"/>
      <c r="CN121" s="88"/>
      <c r="CO121" s="88"/>
      <c r="CP121" s="88"/>
      <c r="CQ121" s="88"/>
      <c r="CR121" s="88"/>
      <c r="CS121" s="88"/>
      <c r="CT121" s="88"/>
      <c r="CU121" s="88"/>
      <c r="CV121" s="88"/>
      <c r="CW121" s="88"/>
      <c r="CX121" s="88"/>
      <c r="CY121" s="88"/>
      <c r="CZ121" s="88"/>
      <c r="DA121" s="88"/>
      <c r="DB121" s="88"/>
      <c r="DC121" s="88"/>
      <c r="DD121" s="88"/>
      <c r="DE121" s="88"/>
      <c r="DF121" s="88"/>
      <c r="DG121" s="88"/>
      <c r="DH121" s="88"/>
      <c r="DI121" s="88"/>
      <c r="DJ121" s="88"/>
      <c r="DK121" s="88"/>
      <c r="DL121" s="88"/>
      <c r="DM121" s="88"/>
      <c r="DN121" s="88"/>
      <c r="DO121" s="88"/>
      <c r="DP121" s="88"/>
      <c r="DQ121" s="88"/>
      <c r="DR121" s="88"/>
      <c r="DS121" s="88"/>
      <c r="DT121" s="88"/>
      <c r="DU121" s="88"/>
      <c r="DV121" s="88"/>
      <c r="DW121" s="88"/>
      <c r="DX121" s="88"/>
      <c r="DY121" s="88"/>
      <c r="DZ121" s="88"/>
      <c r="EA121" s="88"/>
      <c r="EB121" s="88"/>
      <c r="EC121" s="88"/>
      <c r="ED121" s="88"/>
      <c r="EE121" s="88"/>
      <c r="EF121" s="88"/>
      <c r="EG121" s="88"/>
      <c r="EH121" s="88"/>
      <c r="EI121" s="88"/>
      <c r="EJ121" s="88"/>
      <c r="EK121" s="88"/>
      <c r="EL121" s="88"/>
      <c r="EM121" s="88"/>
      <c r="EN121" s="88"/>
      <c r="EO121" s="88"/>
      <c r="EP121" s="88"/>
      <c r="EQ121" s="88"/>
      <c r="ER121" s="88"/>
      <c r="ES121" s="88"/>
      <c r="ET121" s="88"/>
      <c r="EU121" s="88"/>
      <c r="EV121" s="88"/>
      <c r="EW121" s="88"/>
      <c r="EX121" s="88"/>
      <c r="EY121" s="88"/>
      <c r="EZ121" s="88"/>
      <c r="FA121" s="88"/>
      <c r="FB121" s="88"/>
      <c r="FC121" s="88"/>
      <c r="FD121" s="88"/>
      <c r="FE121" s="88"/>
      <c r="FF121" s="88"/>
      <c r="FG121" s="88"/>
      <c r="FH121" s="88"/>
      <c r="FI121" s="88"/>
      <c r="FJ121" s="88"/>
      <c r="FK121" s="88"/>
      <c r="FL121" s="88"/>
      <c r="FM121" s="88"/>
      <c r="FN121" s="88"/>
      <c r="FO121" s="88"/>
      <c r="FP121" s="88"/>
      <c r="FQ121" s="88"/>
      <c r="FR121" s="88"/>
      <c r="FS121" s="88"/>
      <c r="FT121" s="88"/>
      <c r="FU121" s="88"/>
      <c r="FV121" s="88"/>
      <c r="FW121" s="88"/>
      <c r="FX121" s="88"/>
      <c r="FY121" s="88"/>
      <c r="FZ121" s="88"/>
      <c r="GA121" s="88"/>
      <c r="GB121" s="88"/>
      <c r="GC121" s="88"/>
      <c r="GD121" s="88"/>
      <c r="GE121" s="88"/>
      <c r="GF121" s="88"/>
      <c r="GG121" s="88"/>
      <c r="GH121" s="88"/>
      <c r="GI121" s="88"/>
      <c r="GJ121" s="88"/>
      <c r="GK121" s="88"/>
      <c r="GL121" s="88"/>
      <c r="GM121" s="88"/>
      <c r="GN121" s="88"/>
      <c r="GO121" s="88"/>
      <c r="GP121" s="88"/>
      <c r="GQ121" s="88"/>
      <c r="GR121" s="88"/>
      <c r="GS121" s="88"/>
      <c r="GT121" s="88"/>
      <c r="GU121" s="88"/>
      <c r="GV121" s="88"/>
      <c r="GW121" s="88"/>
      <c r="GX121" s="88"/>
      <c r="GY121" s="88"/>
      <c r="GZ121" s="88"/>
      <c r="HA121" s="88"/>
      <c r="HB121" s="88"/>
      <c r="HC121" s="88"/>
      <c r="HD121" s="88"/>
      <c r="HE121" s="88"/>
    </row>
    <row r="122" spans="1:213">
      <c r="A122" s="1" t="s">
        <v>334</v>
      </c>
      <c r="B122" s="442"/>
      <c r="C122" s="88"/>
      <c r="D122" s="88"/>
      <c r="E122" s="88"/>
      <c r="F122" s="88"/>
      <c r="G122" s="88"/>
      <c r="H122" s="88"/>
      <c r="I122" s="88"/>
      <c r="J122" s="88"/>
      <c r="K122" s="88"/>
      <c r="L122" s="88"/>
      <c r="M122" s="88"/>
      <c r="N122" s="88"/>
      <c r="O122" s="88"/>
      <c r="P122" s="88"/>
      <c r="Q122" s="88"/>
      <c r="R122" s="88"/>
      <c r="S122" s="88"/>
      <c r="T122" s="88"/>
      <c r="U122" s="88"/>
      <c r="V122" s="88"/>
      <c r="W122" s="88"/>
      <c r="X122" s="88"/>
      <c r="Y122" s="88"/>
      <c r="Z122" s="88"/>
      <c r="AA122" s="88"/>
      <c r="AB122" s="88"/>
      <c r="AC122" s="88"/>
      <c r="AD122" s="88"/>
      <c r="AE122" s="88"/>
      <c r="AF122" s="88"/>
      <c r="AG122" s="88"/>
      <c r="AH122" s="88"/>
      <c r="AI122" s="88"/>
      <c r="AJ122" s="88"/>
      <c r="AK122" s="88"/>
      <c r="AL122" s="88"/>
      <c r="AM122" s="88"/>
      <c r="AN122" s="88"/>
      <c r="AO122" s="88"/>
      <c r="AP122" s="88"/>
      <c r="AQ122" s="88"/>
      <c r="AR122" s="88"/>
      <c r="AS122" s="88"/>
      <c r="AT122" s="88"/>
      <c r="AU122" s="88"/>
      <c r="AV122" s="88"/>
      <c r="AW122" s="88"/>
      <c r="AX122" s="88"/>
      <c r="AY122" s="88"/>
      <c r="AZ122" s="88"/>
      <c r="BA122" s="88"/>
      <c r="BB122" s="88"/>
      <c r="BC122" s="88"/>
      <c r="BD122" s="88"/>
      <c r="BE122" s="88"/>
      <c r="BF122" s="88"/>
      <c r="BG122" s="88"/>
      <c r="BH122" s="88"/>
      <c r="BI122" s="88"/>
      <c r="BJ122" s="88"/>
      <c r="BK122" s="88"/>
      <c r="BL122" s="88"/>
      <c r="BM122" s="88"/>
      <c r="BN122" s="88"/>
      <c r="BO122" s="88"/>
      <c r="BP122" s="88"/>
      <c r="BQ122" s="88"/>
      <c r="BR122" s="88"/>
      <c r="BS122" s="88"/>
      <c r="BT122" s="88"/>
      <c r="BU122" s="88"/>
      <c r="BV122" s="88"/>
      <c r="BW122" s="88"/>
      <c r="BX122" s="88"/>
      <c r="BY122" s="88"/>
      <c r="BZ122" s="88"/>
      <c r="CA122" s="88"/>
      <c r="CB122" s="88"/>
      <c r="CC122" s="88"/>
      <c r="CD122" s="88"/>
      <c r="CE122" s="88"/>
      <c r="CF122" s="88"/>
      <c r="CG122" s="88"/>
      <c r="CH122" s="88"/>
      <c r="CI122" s="88"/>
      <c r="CJ122" s="88"/>
      <c r="CK122" s="88"/>
      <c r="CL122" s="88"/>
      <c r="CM122" s="88"/>
      <c r="CN122" s="88"/>
      <c r="CO122" s="88"/>
      <c r="CP122" s="88"/>
      <c r="CQ122" s="88"/>
      <c r="CR122" s="88"/>
      <c r="CS122" s="88"/>
      <c r="CT122" s="88"/>
      <c r="CU122" s="88"/>
      <c r="CV122" s="88"/>
      <c r="CW122" s="88"/>
      <c r="CX122" s="88"/>
      <c r="CY122" s="88"/>
      <c r="CZ122" s="88"/>
      <c r="DA122" s="88"/>
      <c r="DB122" s="88"/>
      <c r="DC122" s="88"/>
      <c r="DD122" s="88"/>
      <c r="DE122" s="88"/>
      <c r="DF122" s="88"/>
      <c r="DG122" s="88"/>
      <c r="DH122" s="88"/>
      <c r="DI122" s="88"/>
      <c r="DJ122" s="88"/>
      <c r="DK122" s="88"/>
      <c r="DL122" s="88"/>
      <c r="DM122" s="88"/>
      <c r="DN122" s="88"/>
      <c r="DO122" s="88"/>
      <c r="DP122" s="88"/>
      <c r="DQ122" s="88"/>
      <c r="DR122" s="88"/>
      <c r="DS122" s="88"/>
      <c r="DT122" s="88"/>
      <c r="DU122" s="88"/>
      <c r="DV122" s="88"/>
      <c r="DW122" s="88"/>
      <c r="DX122" s="88"/>
      <c r="DY122" s="88"/>
      <c r="DZ122" s="88"/>
      <c r="EA122" s="88"/>
      <c r="EB122" s="88"/>
      <c r="EC122" s="88"/>
      <c r="ED122" s="88"/>
      <c r="EE122" s="88"/>
      <c r="EF122" s="88"/>
      <c r="EG122" s="88"/>
      <c r="EH122" s="88"/>
      <c r="EI122" s="88"/>
      <c r="EJ122" s="88"/>
      <c r="EK122" s="88"/>
      <c r="EL122" s="88"/>
      <c r="EM122" s="88"/>
      <c r="EN122" s="88"/>
      <c r="EO122" s="88"/>
      <c r="EP122" s="88"/>
      <c r="EQ122" s="88"/>
      <c r="ER122" s="88"/>
      <c r="ES122" s="88"/>
      <c r="ET122" s="88"/>
      <c r="EU122" s="88"/>
      <c r="EV122" s="88"/>
      <c r="EW122" s="88"/>
      <c r="EX122" s="88"/>
      <c r="EY122" s="88"/>
      <c r="EZ122" s="88"/>
      <c r="FA122" s="88"/>
      <c r="FB122" s="88"/>
      <c r="FC122" s="88"/>
      <c r="FD122" s="88"/>
      <c r="FE122" s="88"/>
      <c r="FF122" s="88"/>
      <c r="FG122" s="88"/>
      <c r="FH122" s="88"/>
      <c r="FI122" s="88"/>
      <c r="FJ122" s="88"/>
      <c r="FK122" s="88"/>
      <c r="FL122" s="88"/>
      <c r="FM122" s="88"/>
      <c r="FN122" s="88"/>
      <c r="FO122" s="88"/>
      <c r="FP122" s="88"/>
      <c r="FQ122" s="88"/>
      <c r="FR122" s="88"/>
      <c r="FS122" s="88"/>
      <c r="FT122" s="88"/>
      <c r="FU122" s="88"/>
      <c r="FV122" s="88"/>
      <c r="FW122" s="88"/>
      <c r="FX122" s="88"/>
      <c r="FY122" s="88"/>
      <c r="FZ122" s="88"/>
      <c r="GA122" s="88"/>
      <c r="GB122" s="88"/>
      <c r="GC122" s="88"/>
      <c r="GD122" s="88"/>
      <c r="GE122" s="88"/>
      <c r="GF122" s="88"/>
      <c r="GG122" s="88"/>
      <c r="GH122" s="88"/>
      <c r="GI122" s="88"/>
      <c r="GJ122" s="88"/>
      <c r="GK122" s="88"/>
      <c r="GL122" s="88"/>
      <c r="GM122" s="88"/>
      <c r="GN122" s="88"/>
      <c r="GO122" s="88"/>
      <c r="GP122" s="88"/>
      <c r="GQ122" s="88"/>
      <c r="GR122" s="88"/>
      <c r="GS122" s="88"/>
      <c r="GT122" s="88"/>
      <c r="GU122" s="88"/>
      <c r="GV122" s="88"/>
      <c r="GW122" s="88"/>
      <c r="GX122" s="88"/>
      <c r="GY122" s="88"/>
      <c r="GZ122" s="88"/>
      <c r="HA122" s="88"/>
      <c r="HB122" s="88"/>
      <c r="HC122" s="88"/>
      <c r="HD122" s="88"/>
      <c r="HE122" s="88"/>
    </row>
    <row r="123" spans="1:213">
      <c r="A123" s="1" t="s">
        <v>335</v>
      </c>
      <c r="B123" s="442"/>
      <c r="C123" s="88"/>
      <c r="D123" s="88"/>
      <c r="E123" s="88"/>
      <c r="F123" s="88"/>
      <c r="G123" s="88"/>
      <c r="H123" s="88"/>
      <c r="I123" s="88"/>
      <c r="J123" s="88"/>
      <c r="K123" s="88"/>
      <c r="L123" s="88"/>
      <c r="M123" s="88"/>
      <c r="N123" s="88"/>
      <c r="O123" s="88"/>
      <c r="P123" s="88"/>
      <c r="Q123" s="88"/>
      <c r="R123" s="88"/>
      <c r="S123" s="88"/>
      <c r="T123" s="88"/>
      <c r="U123" s="88"/>
      <c r="V123" s="88"/>
      <c r="W123" s="88"/>
      <c r="X123" s="88"/>
      <c r="Y123" s="88"/>
      <c r="Z123" s="88"/>
      <c r="AA123" s="88"/>
      <c r="AB123" s="88"/>
      <c r="AC123" s="88"/>
      <c r="AD123" s="88"/>
      <c r="AE123" s="88"/>
      <c r="AF123" s="88"/>
      <c r="AG123" s="88"/>
      <c r="AH123" s="88"/>
      <c r="AI123" s="88"/>
      <c r="AJ123" s="88"/>
      <c r="AK123" s="88"/>
      <c r="AL123" s="88"/>
      <c r="AM123" s="88"/>
      <c r="AN123" s="88"/>
      <c r="AO123" s="88"/>
      <c r="AP123" s="88"/>
      <c r="AQ123" s="88"/>
      <c r="AR123" s="88"/>
      <c r="AS123" s="88"/>
      <c r="AT123" s="88"/>
      <c r="AU123" s="88"/>
      <c r="AV123" s="88"/>
      <c r="AW123" s="88"/>
      <c r="AX123" s="88"/>
      <c r="AY123" s="88"/>
      <c r="AZ123" s="88"/>
      <c r="BA123" s="88"/>
      <c r="BB123" s="88"/>
      <c r="BC123" s="88"/>
      <c r="BD123" s="88"/>
      <c r="BE123" s="88"/>
      <c r="BF123" s="88"/>
      <c r="BG123" s="88"/>
      <c r="BH123" s="88"/>
      <c r="BI123" s="88"/>
      <c r="BJ123" s="88"/>
      <c r="BK123" s="88"/>
      <c r="BL123" s="88"/>
      <c r="BM123" s="88"/>
      <c r="BN123" s="88"/>
      <c r="BO123" s="88"/>
      <c r="BP123" s="88"/>
      <c r="BQ123" s="88"/>
      <c r="BR123" s="88"/>
      <c r="BS123" s="88"/>
      <c r="BT123" s="88"/>
      <c r="BU123" s="88"/>
      <c r="BV123" s="88"/>
      <c r="BW123" s="88"/>
      <c r="BX123" s="88"/>
      <c r="BY123" s="88"/>
      <c r="BZ123" s="88"/>
      <c r="CA123" s="88"/>
      <c r="CB123" s="88"/>
      <c r="CC123" s="88"/>
      <c r="CD123" s="88"/>
      <c r="CE123" s="88"/>
      <c r="CF123" s="88"/>
      <c r="CG123" s="88"/>
      <c r="CH123" s="88"/>
      <c r="CI123" s="88"/>
      <c r="CJ123" s="88"/>
      <c r="CK123" s="88"/>
      <c r="CL123" s="88"/>
      <c r="CM123" s="88"/>
      <c r="CN123" s="88"/>
      <c r="CO123" s="88"/>
      <c r="CP123" s="88"/>
      <c r="CQ123" s="88"/>
      <c r="CR123" s="88"/>
      <c r="CS123" s="88"/>
      <c r="CT123" s="88"/>
      <c r="CU123" s="88"/>
      <c r="CV123" s="88"/>
      <c r="CW123" s="88"/>
      <c r="CX123" s="88"/>
      <c r="CY123" s="88"/>
      <c r="CZ123" s="88"/>
      <c r="DA123" s="88"/>
      <c r="DB123" s="88"/>
      <c r="DC123" s="88"/>
      <c r="DD123" s="88"/>
      <c r="DE123" s="88"/>
      <c r="DF123" s="88"/>
      <c r="DG123" s="88"/>
      <c r="DH123" s="88"/>
      <c r="DI123" s="88"/>
      <c r="DJ123" s="88"/>
      <c r="DK123" s="88"/>
      <c r="DL123" s="88"/>
      <c r="DM123" s="88"/>
      <c r="DN123" s="88"/>
      <c r="DO123" s="88"/>
      <c r="DP123" s="88"/>
      <c r="DQ123" s="88"/>
      <c r="DR123" s="88"/>
      <c r="DS123" s="88"/>
      <c r="DT123" s="88"/>
      <c r="DU123" s="88"/>
      <c r="DV123" s="88"/>
      <c r="DW123" s="88"/>
      <c r="DX123" s="88"/>
      <c r="DY123" s="88"/>
      <c r="DZ123" s="88"/>
      <c r="EA123" s="88"/>
      <c r="EB123" s="88"/>
      <c r="EC123" s="88"/>
      <c r="ED123" s="88"/>
      <c r="EE123" s="88"/>
      <c r="EF123" s="88"/>
      <c r="EG123" s="88"/>
      <c r="EH123" s="88"/>
      <c r="EI123" s="88"/>
      <c r="EJ123" s="88"/>
      <c r="EK123" s="88"/>
      <c r="EL123" s="88"/>
      <c r="EM123" s="88"/>
      <c r="EN123" s="88"/>
      <c r="EO123" s="88"/>
      <c r="EP123" s="88"/>
      <c r="EQ123" s="88"/>
      <c r="ER123" s="88"/>
      <c r="ES123" s="88"/>
      <c r="ET123" s="88"/>
      <c r="EU123" s="88"/>
      <c r="EV123" s="88"/>
      <c r="EW123" s="88"/>
      <c r="EX123" s="88"/>
      <c r="EY123" s="88"/>
      <c r="EZ123" s="88"/>
      <c r="FA123" s="88"/>
      <c r="FB123" s="88"/>
      <c r="FC123" s="88"/>
      <c r="FD123" s="88"/>
      <c r="FE123" s="88"/>
      <c r="FF123" s="88"/>
      <c r="FG123" s="88"/>
      <c r="FH123" s="88"/>
      <c r="FI123" s="88"/>
      <c r="FJ123" s="88"/>
      <c r="FK123" s="88"/>
      <c r="FL123" s="88"/>
      <c r="FM123" s="88"/>
      <c r="FN123" s="88"/>
      <c r="FO123" s="88"/>
      <c r="FP123" s="88"/>
      <c r="FQ123" s="88"/>
      <c r="FR123" s="88"/>
      <c r="FS123" s="88"/>
      <c r="FT123" s="88"/>
      <c r="FU123" s="88"/>
      <c r="FV123" s="88"/>
      <c r="FW123" s="88"/>
      <c r="FX123" s="88"/>
      <c r="FY123" s="88"/>
      <c r="FZ123" s="88"/>
      <c r="GA123" s="88"/>
      <c r="GB123" s="88"/>
      <c r="GC123" s="88"/>
      <c r="GD123" s="88"/>
      <c r="GE123" s="88"/>
      <c r="GF123" s="88"/>
      <c r="GG123" s="88"/>
      <c r="GH123" s="88"/>
      <c r="GI123" s="88"/>
      <c r="GJ123" s="88"/>
      <c r="GK123" s="88"/>
      <c r="GL123" s="88"/>
      <c r="GM123" s="88"/>
      <c r="GN123" s="88"/>
      <c r="GO123" s="88"/>
      <c r="GP123" s="88"/>
      <c r="GQ123" s="88"/>
      <c r="GR123" s="88"/>
      <c r="GS123" s="88"/>
      <c r="GT123" s="88"/>
      <c r="GU123" s="88"/>
      <c r="GV123" s="88"/>
      <c r="GW123" s="88"/>
      <c r="GX123" s="88"/>
      <c r="GY123" s="88"/>
      <c r="GZ123" s="88"/>
      <c r="HA123" s="88"/>
      <c r="HB123" s="88"/>
      <c r="HC123" s="88"/>
      <c r="HD123" s="88"/>
      <c r="HE123" s="88"/>
    </row>
    <row r="124" spans="1:213" ht="15" customHeight="1">
      <c r="A124" s="3" t="s">
        <v>336</v>
      </c>
      <c r="B124" s="3"/>
      <c r="C124" s="3"/>
      <c r="D124" s="88"/>
      <c r="E124" s="88"/>
      <c r="F124" s="88"/>
      <c r="G124" s="88"/>
      <c r="H124" s="88"/>
      <c r="I124" s="88"/>
      <c r="J124" s="88"/>
      <c r="K124" s="88"/>
      <c r="L124" s="88"/>
      <c r="M124" s="88"/>
      <c r="N124" s="88"/>
      <c r="O124" s="88"/>
      <c r="P124" s="88"/>
      <c r="Q124" s="88"/>
      <c r="R124" s="88"/>
      <c r="S124" s="88"/>
      <c r="T124" s="88"/>
      <c r="U124" s="88"/>
      <c r="V124" s="88"/>
      <c r="W124" s="88"/>
      <c r="X124" s="88"/>
      <c r="Y124" s="88"/>
      <c r="Z124" s="88"/>
      <c r="AA124" s="88"/>
      <c r="AB124" s="88"/>
      <c r="AC124" s="88"/>
      <c r="AD124" s="88"/>
      <c r="AE124" s="88"/>
      <c r="AF124" s="88"/>
      <c r="AG124" s="88"/>
      <c r="AH124" s="88"/>
      <c r="AI124" s="88"/>
      <c r="AJ124" s="88"/>
      <c r="AK124" s="88"/>
      <c r="AL124" s="88"/>
      <c r="AM124" s="88"/>
      <c r="AN124" s="88"/>
      <c r="AO124" s="88"/>
      <c r="AP124" s="88"/>
      <c r="AQ124" s="88"/>
      <c r="AR124" s="88"/>
      <c r="AS124" s="88"/>
      <c r="AT124" s="88"/>
      <c r="AU124" s="88"/>
      <c r="AV124" s="88"/>
      <c r="AW124" s="88"/>
      <c r="AX124" s="88"/>
      <c r="AY124" s="88"/>
      <c r="AZ124" s="88"/>
      <c r="BA124" s="88"/>
      <c r="BB124" s="88"/>
      <c r="BC124" s="88"/>
      <c r="BD124" s="88"/>
      <c r="BE124" s="88"/>
      <c r="BF124" s="88"/>
      <c r="BG124" s="88"/>
      <c r="BH124" s="88"/>
      <c r="BI124" s="88"/>
      <c r="BJ124" s="88"/>
      <c r="BK124" s="88"/>
      <c r="BL124" s="88"/>
      <c r="BM124" s="88"/>
      <c r="BN124" s="88"/>
      <c r="BO124" s="88"/>
      <c r="BP124" s="88"/>
      <c r="BQ124" s="88"/>
      <c r="BR124" s="88"/>
      <c r="BS124" s="88"/>
      <c r="BT124" s="88"/>
      <c r="BU124" s="88"/>
      <c r="BV124" s="88"/>
      <c r="BW124" s="88"/>
      <c r="BX124" s="88"/>
      <c r="BY124" s="88"/>
      <c r="BZ124" s="88"/>
      <c r="CA124" s="88"/>
      <c r="CB124" s="88"/>
      <c r="CC124" s="88"/>
      <c r="CD124" s="88"/>
      <c r="CE124" s="88"/>
      <c r="CF124" s="88"/>
      <c r="CG124" s="88"/>
      <c r="CH124" s="88"/>
      <c r="CI124" s="88"/>
      <c r="CJ124" s="88"/>
      <c r="CK124" s="88"/>
      <c r="CL124" s="88"/>
      <c r="CM124" s="88"/>
      <c r="CN124" s="88"/>
      <c r="CO124" s="88"/>
      <c r="CP124" s="88"/>
      <c r="CQ124" s="88"/>
      <c r="CR124" s="88"/>
      <c r="CS124" s="88"/>
      <c r="CT124" s="88"/>
      <c r="CU124" s="88"/>
      <c r="CV124" s="88"/>
      <c r="CW124" s="88"/>
      <c r="CX124" s="88"/>
      <c r="CY124" s="88"/>
      <c r="CZ124" s="88"/>
      <c r="DA124" s="88"/>
      <c r="DB124" s="88"/>
      <c r="DC124" s="88"/>
      <c r="DD124" s="88"/>
      <c r="DE124" s="88"/>
      <c r="DF124" s="88"/>
      <c r="DG124" s="88"/>
      <c r="DH124" s="88"/>
      <c r="DI124" s="88"/>
      <c r="DJ124" s="88"/>
      <c r="DK124" s="88"/>
      <c r="DL124" s="88"/>
      <c r="DM124" s="88"/>
      <c r="DN124" s="88"/>
      <c r="DO124" s="88"/>
      <c r="DP124" s="88"/>
      <c r="DQ124" s="88"/>
      <c r="DR124" s="88"/>
      <c r="DS124" s="88"/>
      <c r="DT124" s="88"/>
      <c r="DU124" s="88"/>
      <c r="DV124" s="88"/>
      <c r="DW124" s="88"/>
      <c r="DX124" s="88"/>
      <c r="DY124" s="88"/>
      <c r="DZ124" s="88"/>
      <c r="EA124" s="88"/>
      <c r="EB124" s="88"/>
      <c r="EC124" s="88"/>
      <c r="ED124" s="88"/>
      <c r="EE124" s="88"/>
      <c r="EF124" s="88"/>
      <c r="EG124" s="88"/>
      <c r="EH124" s="88"/>
      <c r="EI124" s="88"/>
      <c r="EJ124" s="88"/>
      <c r="EK124" s="88"/>
      <c r="EL124" s="88"/>
      <c r="EM124" s="88"/>
      <c r="EN124" s="88"/>
      <c r="EO124" s="88"/>
      <c r="EP124" s="88"/>
      <c r="EQ124" s="88"/>
      <c r="ER124" s="88"/>
      <c r="ES124" s="88"/>
      <c r="ET124" s="88"/>
      <c r="EU124" s="88"/>
      <c r="EV124" s="88"/>
      <c r="EW124" s="88"/>
      <c r="EX124" s="88"/>
      <c r="EY124" s="88"/>
      <c r="EZ124" s="88"/>
      <c r="FA124" s="88"/>
      <c r="FB124" s="88"/>
      <c r="FC124" s="88"/>
      <c r="FD124" s="88"/>
      <c r="FE124" s="88"/>
      <c r="FF124" s="88"/>
      <c r="FG124" s="88"/>
      <c r="FH124" s="88"/>
      <c r="FI124" s="88"/>
      <c r="FJ124" s="88"/>
      <c r="FK124" s="88"/>
      <c r="FL124" s="88"/>
      <c r="FM124" s="88"/>
      <c r="FN124" s="88"/>
      <c r="FO124" s="88"/>
      <c r="FP124" s="88"/>
      <c r="FQ124" s="88"/>
      <c r="FR124" s="88"/>
      <c r="FS124" s="88"/>
      <c r="FT124" s="88"/>
      <c r="FU124" s="88"/>
      <c r="FV124" s="88"/>
      <c r="FW124" s="88"/>
      <c r="FX124" s="88"/>
      <c r="FY124" s="88"/>
      <c r="FZ124" s="88"/>
      <c r="GA124" s="88"/>
      <c r="GB124" s="88"/>
      <c r="GC124" s="88"/>
      <c r="GD124" s="88"/>
      <c r="GE124" s="88"/>
      <c r="GF124" s="88"/>
      <c r="GG124" s="88"/>
      <c r="GH124" s="88"/>
      <c r="GI124" s="88"/>
      <c r="GJ124" s="88"/>
      <c r="GK124" s="88"/>
      <c r="GL124" s="88"/>
      <c r="GM124" s="88"/>
      <c r="GN124" s="88"/>
      <c r="GO124" s="88"/>
      <c r="GP124" s="88"/>
      <c r="GQ124" s="88"/>
      <c r="GR124" s="88"/>
      <c r="GS124" s="88"/>
      <c r="GT124" s="88"/>
      <c r="GU124" s="88"/>
      <c r="GV124" s="88"/>
      <c r="GW124" s="88"/>
      <c r="GX124" s="88"/>
      <c r="GY124" s="88"/>
      <c r="GZ124" s="88"/>
      <c r="HA124" s="88"/>
      <c r="HB124" s="88"/>
      <c r="HC124" s="88"/>
      <c r="HD124" s="88"/>
      <c r="HE124" s="88"/>
    </row>
    <row r="125" spans="1:213">
      <c r="A125" s="1" t="s">
        <v>337</v>
      </c>
      <c r="B125" s="442"/>
      <c r="C125" t="s">
        <v>338</v>
      </c>
      <c r="D125" s="88"/>
      <c r="E125" s="88"/>
      <c r="F125" s="88"/>
      <c r="G125" s="88"/>
      <c r="H125" s="88"/>
      <c r="I125" s="88"/>
      <c r="J125" s="88"/>
      <c r="K125" s="88"/>
      <c r="L125" s="88"/>
      <c r="M125" s="88"/>
      <c r="N125" s="88"/>
      <c r="O125" s="88"/>
      <c r="P125" s="88"/>
      <c r="Q125" s="88"/>
      <c r="R125" s="88"/>
      <c r="S125" s="88"/>
      <c r="T125" s="88"/>
      <c r="U125" s="88"/>
      <c r="V125" s="88"/>
      <c r="W125" s="88"/>
      <c r="X125" s="88"/>
      <c r="Y125" s="88"/>
      <c r="Z125" s="88"/>
      <c r="AA125" s="88"/>
      <c r="AB125" s="88"/>
      <c r="AC125" s="88"/>
      <c r="AD125" s="88"/>
      <c r="AE125" s="88"/>
      <c r="AF125" s="88"/>
      <c r="AG125" s="88"/>
      <c r="AH125" s="88"/>
      <c r="AI125" s="88"/>
      <c r="AJ125" s="88"/>
      <c r="AK125" s="88"/>
      <c r="AL125" s="88"/>
      <c r="AM125" s="88"/>
      <c r="AN125" s="88"/>
      <c r="AO125" s="88"/>
      <c r="AP125" s="88"/>
      <c r="AQ125" s="88"/>
      <c r="AR125" s="88"/>
      <c r="AS125" s="88"/>
      <c r="AT125" s="88"/>
      <c r="AU125" s="88"/>
      <c r="AV125" s="88"/>
      <c r="AW125" s="88"/>
      <c r="AX125" s="88"/>
      <c r="AY125" s="88"/>
      <c r="AZ125" s="88"/>
      <c r="BA125" s="88"/>
      <c r="BB125" s="88"/>
      <c r="BC125" s="88"/>
      <c r="BD125" s="88"/>
      <c r="BE125" s="88"/>
      <c r="BF125" s="88"/>
      <c r="BG125" s="88"/>
      <c r="BH125" s="88"/>
      <c r="BI125" s="88"/>
      <c r="BJ125" s="88"/>
      <c r="BK125" s="88"/>
      <c r="BL125" s="88"/>
      <c r="BM125" s="88"/>
      <c r="BN125" s="88"/>
      <c r="BO125" s="88"/>
      <c r="BP125" s="88"/>
      <c r="BQ125" s="88"/>
      <c r="BR125" s="88"/>
      <c r="BS125" s="88"/>
      <c r="BT125" s="88"/>
      <c r="BU125" s="88"/>
      <c r="BV125" s="88"/>
      <c r="BW125" s="88"/>
      <c r="BX125" s="88"/>
      <c r="BY125" s="88"/>
      <c r="BZ125" s="88"/>
      <c r="CA125" s="88"/>
      <c r="CB125" s="88"/>
      <c r="CC125" s="88"/>
      <c r="CD125" s="88"/>
      <c r="CE125" s="88"/>
      <c r="CF125" s="88"/>
      <c r="CG125" s="88"/>
      <c r="CH125" s="88"/>
      <c r="CI125" s="88"/>
      <c r="CJ125" s="88"/>
      <c r="CK125" s="88"/>
      <c r="CL125" s="88"/>
      <c r="CM125" s="88"/>
      <c r="CN125" s="88"/>
      <c r="CO125" s="88"/>
      <c r="CP125" s="88"/>
      <c r="CQ125" s="88"/>
      <c r="CR125" s="88"/>
      <c r="CS125" s="88"/>
      <c r="CT125" s="88"/>
      <c r="CU125" s="88"/>
      <c r="CV125" s="88"/>
      <c r="CW125" s="88"/>
      <c r="CX125" s="88"/>
      <c r="CY125" s="88"/>
      <c r="CZ125" s="88"/>
      <c r="DA125" s="88"/>
      <c r="DB125" s="88"/>
      <c r="DC125" s="88"/>
      <c r="DD125" s="88"/>
      <c r="DE125" s="88"/>
      <c r="DF125" s="88"/>
      <c r="DG125" s="88"/>
      <c r="DH125" s="88"/>
      <c r="DI125" s="88"/>
      <c r="DJ125" s="88"/>
      <c r="DK125" s="88"/>
      <c r="DL125" s="88"/>
      <c r="DM125" s="88"/>
      <c r="DN125" s="88"/>
      <c r="DO125" s="88"/>
      <c r="DP125" s="88"/>
      <c r="DQ125" s="88"/>
      <c r="DR125" s="88"/>
      <c r="DS125" s="88"/>
      <c r="DT125" s="88"/>
      <c r="DU125" s="88"/>
      <c r="DV125" s="88"/>
      <c r="DW125" s="88"/>
      <c r="DX125" s="88"/>
      <c r="DY125" s="88"/>
      <c r="DZ125" s="88"/>
      <c r="EA125" s="88"/>
      <c r="EB125" s="88"/>
      <c r="EC125" s="88"/>
      <c r="ED125" s="88"/>
      <c r="EE125" s="88"/>
      <c r="EF125" s="88"/>
      <c r="EG125" s="88"/>
      <c r="EH125" s="88"/>
      <c r="EI125" s="88"/>
      <c r="EJ125" s="88"/>
      <c r="EK125" s="88"/>
      <c r="EL125" s="88"/>
      <c r="EM125" s="88"/>
      <c r="EN125" s="88"/>
      <c r="EO125" s="88"/>
      <c r="EP125" s="88"/>
      <c r="EQ125" s="88"/>
      <c r="ER125" s="88"/>
      <c r="ES125" s="88"/>
      <c r="ET125" s="88"/>
      <c r="EU125" s="88"/>
      <c r="EV125" s="88"/>
      <c r="EW125" s="88"/>
      <c r="EX125" s="88"/>
      <c r="EY125" s="88"/>
      <c r="EZ125" s="88"/>
      <c r="FA125" s="88"/>
      <c r="FB125" s="88"/>
      <c r="FC125" s="88"/>
      <c r="FD125" s="88"/>
      <c r="FE125" s="88"/>
      <c r="FF125" s="88"/>
      <c r="FG125" s="88"/>
      <c r="FH125" s="88"/>
      <c r="FI125" s="88"/>
      <c r="FJ125" s="88"/>
      <c r="FK125" s="88"/>
      <c r="FL125" s="88"/>
      <c r="FM125" s="88"/>
      <c r="FN125" s="88"/>
      <c r="FO125" s="88"/>
      <c r="FP125" s="88"/>
      <c r="FQ125" s="88"/>
      <c r="FR125" s="88"/>
      <c r="FS125" s="88"/>
      <c r="FT125" s="88"/>
      <c r="FU125" s="88"/>
      <c r="FV125" s="88"/>
      <c r="FW125" s="88"/>
      <c r="FX125" s="88"/>
      <c r="FY125" s="88"/>
      <c r="FZ125" s="88"/>
      <c r="GA125" s="88"/>
      <c r="GB125" s="88"/>
      <c r="GC125" s="88"/>
      <c r="GD125" s="88"/>
      <c r="GE125" s="88"/>
      <c r="GF125" s="88"/>
      <c r="GG125" s="88"/>
      <c r="GH125" s="88"/>
      <c r="GI125" s="88"/>
      <c r="GJ125" s="88"/>
      <c r="GK125" s="88"/>
      <c r="GL125" s="88"/>
      <c r="GM125" s="88"/>
      <c r="GN125" s="88"/>
      <c r="GO125" s="88"/>
      <c r="GP125" s="88"/>
      <c r="GQ125" s="88"/>
      <c r="GR125" s="88"/>
      <c r="GS125" s="88"/>
      <c r="GT125" s="88"/>
      <c r="GU125" s="88"/>
      <c r="GV125" s="88"/>
      <c r="GW125" s="88"/>
      <c r="GX125" s="88"/>
      <c r="GY125" s="88"/>
      <c r="GZ125" s="88"/>
      <c r="HA125" s="88"/>
      <c r="HB125" s="88"/>
      <c r="HC125" s="88"/>
      <c r="HD125" s="88"/>
      <c r="HE125" s="88"/>
    </row>
    <row r="126" spans="1:213">
      <c r="A126" s="1" t="s">
        <v>339</v>
      </c>
      <c r="B126" s="442"/>
      <c r="C126" t="s">
        <v>338</v>
      </c>
      <c r="D126" s="88"/>
      <c r="E126" s="88"/>
      <c r="F126" s="88"/>
      <c r="G126" s="88"/>
      <c r="H126" s="88"/>
      <c r="I126" s="88"/>
      <c r="J126" s="88"/>
      <c r="K126" s="88"/>
      <c r="L126" s="88"/>
      <c r="M126" s="88"/>
      <c r="N126" s="88"/>
      <c r="O126" s="88"/>
      <c r="P126" s="88"/>
      <c r="Q126" s="88"/>
      <c r="R126" s="88"/>
      <c r="S126" s="88"/>
      <c r="T126" s="88"/>
      <c r="U126" s="88"/>
      <c r="V126" s="88"/>
      <c r="W126" s="88"/>
      <c r="X126" s="88"/>
      <c r="Y126" s="88"/>
      <c r="Z126" s="88"/>
      <c r="AA126" s="88"/>
      <c r="AB126" s="88"/>
      <c r="AC126" s="88"/>
      <c r="AD126" s="88"/>
      <c r="AE126" s="88"/>
      <c r="AF126" s="88"/>
      <c r="AG126" s="88"/>
      <c r="AH126" s="88"/>
      <c r="AI126" s="88"/>
      <c r="AJ126" s="88"/>
      <c r="AK126" s="88"/>
      <c r="AL126" s="88"/>
      <c r="AM126" s="88"/>
      <c r="AN126" s="88"/>
      <c r="AO126" s="88"/>
      <c r="AP126" s="88"/>
      <c r="AQ126" s="88"/>
      <c r="AR126" s="88"/>
      <c r="AS126" s="88"/>
      <c r="AT126" s="88"/>
      <c r="AU126" s="88"/>
      <c r="AV126" s="88"/>
      <c r="AW126" s="88"/>
      <c r="AX126" s="88"/>
      <c r="AY126" s="88"/>
      <c r="AZ126" s="88"/>
      <c r="BA126" s="88"/>
      <c r="BB126" s="88"/>
      <c r="BC126" s="88"/>
      <c r="BD126" s="88"/>
      <c r="BE126" s="88"/>
      <c r="BF126" s="88"/>
      <c r="BG126" s="88"/>
      <c r="BH126" s="88"/>
      <c r="BI126" s="88"/>
      <c r="BJ126" s="88"/>
      <c r="BK126" s="88"/>
      <c r="BL126" s="88"/>
      <c r="BM126" s="88"/>
      <c r="BN126" s="88"/>
      <c r="BO126" s="88"/>
      <c r="BP126" s="88"/>
      <c r="BQ126" s="88"/>
      <c r="BR126" s="88"/>
      <c r="BS126" s="88"/>
      <c r="BT126" s="88"/>
      <c r="BU126" s="88"/>
      <c r="BV126" s="88"/>
      <c r="BW126" s="88"/>
      <c r="BX126" s="88"/>
      <c r="BY126" s="88"/>
      <c r="BZ126" s="88"/>
      <c r="CA126" s="88"/>
      <c r="CB126" s="88"/>
      <c r="CC126" s="88"/>
      <c r="CD126" s="88"/>
      <c r="CE126" s="88"/>
      <c r="CF126" s="88"/>
      <c r="CG126" s="88"/>
      <c r="CH126" s="88"/>
      <c r="CI126" s="88"/>
      <c r="CJ126" s="88"/>
      <c r="CK126" s="88"/>
      <c r="CL126" s="88"/>
      <c r="CM126" s="88"/>
      <c r="CN126" s="88"/>
      <c r="CO126" s="88"/>
      <c r="CP126" s="88"/>
      <c r="CQ126" s="88"/>
      <c r="CR126" s="88"/>
      <c r="CS126" s="88"/>
      <c r="CT126" s="88"/>
      <c r="CU126" s="88"/>
      <c r="CV126" s="88"/>
      <c r="CW126" s="88"/>
      <c r="CX126" s="88"/>
      <c r="CY126" s="88"/>
      <c r="CZ126" s="88"/>
      <c r="DA126" s="88"/>
      <c r="DB126" s="88"/>
      <c r="DC126" s="88"/>
      <c r="DD126" s="88"/>
      <c r="DE126" s="88"/>
      <c r="DF126" s="88"/>
      <c r="DG126" s="88"/>
      <c r="DH126" s="88"/>
      <c r="DI126" s="88"/>
      <c r="DJ126" s="88"/>
      <c r="DK126" s="88"/>
      <c r="DL126" s="88"/>
      <c r="DM126" s="88"/>
      <c r="DN126" s="88"/>
      <c r="DO126" s="88"/>
      <c r="DP126" s="88"/>
      <c r="DQ126" s="88"/>
      <c r="DR126" s="88"/>
      <c r="DS126" s="88"/>
      <c r="DT126" s="88"/>
      <c r="DU126" s="88"/>
      <c r="DV126" s="88"/>
      <c r="DW126" s="88"/>
      <c r="DX126" s="88"/>
      <c r="DY126" s="88"/>
      <c r="DZ126" s="88"/>
      <c r="EA126" s="88"/>
      <c r="EB126" s="88"/>
      <c r="EC126" s="88"/>
      <c r="ED126" s="88"/>
      <c r="EE126" s="88"/>
      <c r="EF126" s="88"/>
      <c r="EG126" s="88"/>
      <c r="EH126" s="88"/>
      <c r="EI126" s="88"/>
      <c r="EJ126" s="88"/>
      <c r="EK126" s="88"/>
      <c r="EL126" s="88"/>
      <c r="EM126" s="88"/>
      <c r="EN126" s="88"/>
      <c r="EO126" s="88"/>
      <c r="EP126" s="88"/>
      <c r="EQ126" s="88"/>
      <c r="ER126" s="88"/>
      <c r="ES126" s="88"/>
      <c r="ET126" s="88"/>
      <c r="EU126" s="88"/>
      <c r="EV126" s="88"/>
      <c r="EW126" s="88"/>
      <c r="EX126" s="88"/>
      <c r="EY126" s="88"/>
      <c r="EZ126" s="88"/>
      <c r="FA126" s="88"/>
      <c r="FB126" s="88"/>
      <c r="FC126" s="88"/>
      <c r="FD126" s="88"/>
      <c r="FE126" s="88"/>
      <c r="FF126" s="88"/>
      <c r="FG126" s="88"/>
      <c r="FH126" s="88"/>
      <c r="FI126" s="88"/>
      <c r="FJ126" s="88"/>
      <c r="FK126" s="88"/>
      <c r="FL126" s="88"/>
      <c r="FM126" s="88"/>
      <c r="FN126" s="88"/>
      <c r="FO126" s="88"/>
      <c r="FP126" s="88"/>
      <c r="FQ126" s="88"/>
      <c r="FR126" s="88"/>
      <c r="FS126" s="88"/>
      <c r="FT126" s="88"/>
      <c r="FU126" s="88"/>
      <c r="FV126" s="88"/>
      <c r="FW126" s="88"/>
      <c r="FX126" s="88"/>
      <c r="FY126" s="88"/>
      <c r="FZ126" s="88"/>
      <c r="GA126" s="88"/>
      <c r="GB126" s="88"/>
      <c r="GC126" s="88"/>
      <c r="GD126" s="88"/>
      <c r="GE126" s="88"/>
      <c r="GF126" s="88"/>
      <c r="GG126" s="88"/>
      <c r="GH126" s="88"/>
      <c r="GI126" s="88"/>
      <c r="GJ126" s="88"/>
      <c r="GK126" s="88"/>
      <c r="GL126" s="88"/>
      <c r="GM126" s="88"/>
      <c r="GN126" s="88"/>
      <c r="GO126" s="88"/>
      <c r="GP126" s="88"/>
      <c r="GQ126" s="88"/>
      <c r="GR126" s="88"/>
      <c r="GS126" s="88"/>
      <c r="GT126" s="88"/>
      <c r="GU126" s="88"/>
      <c r="GV126" s="88"/>
      <c r="GW126" s="88"/>
      <c r="GX126" s="88"/>
      <c r="GY126" s="88"/>
      <c r="GZ126" s="88"/>
      <c r="HA126" s="88"/>
      <c r="HB126" s="88"/>
      <c r="HC126" s="88"/>
      <c r="HD126" s="88"/>
      <c r="HE126" s="88"/>
    </row>
    <row r="127" spans="1:213">
      <c r="A127" s="1" t="s">
        <v>340</v>
      </c>
      <c r="B127" s="442"/>
      <c r="C127" t="s">
        <v>338</v>
      </c>
      <c r="D127" s="88"/>
      <c r="E127" s="88"/>
      <c r="F127" s="88"/>
      <c r="G127" s="88"/>
      <c r="H127" s="88"/>
      <c r="I127" s="88"/>
      <c r="J127" s="88"/>
      <c r="K127" s="88"/>
      <c r="L127" s="88"/>
      <c r="M127" s="88"/>
      <c r="N127" s="88"/>
      <c r="O127" s="88"/>
      <c r="P127" s="88"/>
      <c r="Q127" s="88"/>
      <c r="R127" s="88"/>
      <c r="S127" s="88"/>
      <c r="T127" s="88"/>
      <c r="U127" s="88"/>
      <c r="V127" s="88"/>
      <c r="W127" s="88"/>
      <c r="X127" s="88"/>
      <c r="Y127" s="88"/>
      <c r="Z127" s="88"/>
      <c r="AA127" s="88"/>
      <c r="AB127" s="88"/>
      <c r="AC127" s="88"/>
      <c r="AD127" s="88"/>
      <c r="AE127" s="88"/>
      <c r="AF127" s="88"/>
      <c r="AG127" s="88"/>
      <c r="AH127" s="88"/>
      <c r="AI127" s="88"/>
      <c r="AJ127" s="88"/>
      <c r="AK127" s="88"/>
      <c r="AL127" s="88"/>
      <c r="AM127" s="88"/>
      <c r="AN127" s="88"/>
      <c r="AO127" s="88"/>
      <c r="AP127" s="88"/>
      <c r="AQ127" s="88"/>
      <c r="AR127" s="88"/>
      <c r="AS127" s="88"/>
      <c r="AT127" s="88"/>
      <c r="AU127" s="88"/>
      <c r="AV127" s="88"/>
      <c r="AW127" s="88"/>
      <c r="AX127" s="88"/>
      <c r="AY127" s="88"/>
      <c r="AZ127" s="88"/>
      <c r="BA127" s="88"/>
      <c r="BB127" s="88"/>
      <c r="BC127" s="88"/>
      <c r="BD127" s="88"/>
      <c r="BE127" s="88"/>
      <c r="BF127" s="88"/>
      <c r="BG127" s="88"/>
      <c r="BH127" s="88"/>
      <c r="BI127" s="88"/>
      <c r="BJ127" s="88"/>
      <c r="BK127" s="88"/>
      <c r="BL127" s="88"/>
      <c r="BM127" s="88"/>
      <c r="BN127" s="88"/>
      <c r="BO127" s="88"/>
      <c r="BP127" s="88"/>
      <c r="BQ127" s="88"/>
      <c r="BR127" s="88"/>
      <c r="BS127" s="88"/>
      <c r="BT127" s="88"/>
      <c r="BU127" s="88"/>
      <c r="BV127" s="88"/>
      <c r="BW127" s="88"/>
      <c r="BX127" s="88"/>
      <c r="BY127" s="88"/>
      <c r="BZ127" s="88"/>
      <c r="CA127" s="88"/>
      <c r="CB127" s="88"/>
      <c r="CC127" s="88"/>
      <c r="CD127" s="88"/>
      <c r="CE127" s="88"/>
      <c r="CF127" s="88"/>
      <c r="CG127" s="88"/>
      <c r="CH127" s="88"/>
      <c r="CI127" s="88"/>
      <c r="CJ127" s="88"/>
      <c r="CK127" s="88"/>
      <c r="CL127" s="88"/>
      <c r="CM127" s="88"/>
      <c r="CN127" s="88"/>
      <c r="CO127" s="88"/>
      <c r="CP127" s="88"/>
      <c r="CQ127" s="88"/>
      <c r="CR127" s="88"/>
      <c r="CS127" s="88"/>
      <c r="CT127" s="88"/>
      <c r="CU127" s="88"/>
      <c r="CV127" s="88"/>
      <c r="CW127" s="88"/>
      <c r="CX127" s="88"/>
      <c r="CY127" s="88"/>
      <c r="CZ127" s="88"/>
      <c r="DA127" s="88"/>
      <c r="DB127" s="88"/>
      <c r="DC127" s="88"/>
      <c r="DD127" s="88"/>
      <c r="DE127" s="88"/>
      <c r="DF127" s="88"/>
      <c r="DG127" s="88"/>
      <c r="DH127" s="88"/>
      <c r="DI127" s="88"/>
      <c r="DJ127" s="88"/>
      <c r="DK127" s="88"/>
      <c r="DL127" s="88"/>
      <c r="DM127" s="88"/>
      <c r="DN127" s="88"/>
      <c r="DO127" s="88"/>
      <c r="DP127" s="88"/>
      <c r="DQ127" s="88"/>
      <c r="DR127" s="88"/>
      <c r="DS127" s="88"/>
      <c r="DT127" s="88"/>
      <c r="DU127" s="88"/>
      <c r="DV127" s="88"/>
      <c r="DW127" s="88"/>
      <c r="DX127" s="88"/>
      <c r="DY127" s="88"/>
      <c r="DZ127" s="88"/>
      <c r="EA127" s="88"/>
      <c r="EB127" s="88"/>
      <c r="EC127" s="88"/>
      <c r="ED127" s="88"/>
      <c r="EE127" s="88"/>
      <c r="EF127" s="88"/>
      <c r="EG127" s="88"/>
      <c r="EH127" s="88"/>
      <c r="EI127" s="88"/>
      <c r="EJ127" s="88"/>
      <c r="EK127" s="88"/>
      <c r="EL127" s="88"/>
      <c r="EM127" s="88"/>
      <c r="EN127" s="88"/>
      <c r="EO127" s="88"/>
      <c r="EP127" s="88"/>
      <c r="EQ127" s="88"/>
      <c r="ER127" s="88"/>
      <c r="ES127" s="88"/>
      <c r="ET127" s="88"/>
      <c r="EU127" s="88"/>
      <c r="EV127" s="88"/>
      <c r="EW127" s="88"/>
      <c r="EX127" s="88"/>
      <c r="EY127" s="88"/>
      <c r="EZ127" s="88"/>
      <c r="FA127" s="88"/>
      <c r="FB127" s="88"/>
      <c r="FC127" s="88"/>
      <c r="FD127" s="88"/>
      <c r="FE127" s="88"/>
      <c r="FF127" s="88"/>
      <c r="FG127" s="88"/>
      <c r="FH127" s="88"/>
      <c r="FI127" s="88"/>
      <c r="FJ127" s="88"/>
      <c r="FK127" s="88"/>
      <c r="FL127" s="88"/>
      <c r="FM127" s="88"/>
      <c r="FN127" s="88"/>
      <c r="FO127" s="88"/>
      <c r="FP127" s="88"/>
      <c r="FQ127" s="88"/>
      <c r="FR127" s="88"/>
      <c r="FS127" s="88"/>
      <c r="FT127" s="88"/>
      <c r="FU127" s="88"/>
      <c r="FV127" s="88"/>
      <c r="FW127" s="88"/>
      <c r="FX127" s="88"/>
      <c r="FY127" s="88"/>
      <c r="FZ127" s="88"/>
      <c r="GA127" s="88"/>
      <c r="GB127" s="88"/>
      <c r="GC127" s="88"/>
      <c r="GD127" s="88"/>
      <c r="GE127" s="88"/>
      <c r="GF127" s="88"/>
      <c r="GG127" s="88"/>
      <c r="GH127" s="88"/>
      <c r="GI127" s="88"/>
      <c r="GJ127" s="88"/>
      <c r="GK127" s="88"/>
      <c r="GL127" s="88"/>
      <c r="GM127" s="88"/>
      <c r="GN127" s="88"/>
      <c r="GO127" s="88"/>
      <c r="GP127" s="88"/>
      <c r="GQ127" s="88"/>
      <c r="GR127" s="88"/>
      <c r="GS127" s="88"/>
      <c r="GT127" s="88"/>
      <c r="GU127" s="88"/>
      <c r="GV127" s="88"/>
      <c r="GW127" s="88"/>
      <c r="GX127" s="88"/>
      <c r="GY127" s="88"/>
      <c r="GZ127" s="88"/>
      <c r="HA127" s="88"/>
      <c r="HB127" s="88"/>
      <c r="HC127" s="88"/>
      <c r="HD127" s="88"/>
      <c r="HE127" s="88"/>
    </row>
    <row r="128" spans="1:213" ht="15" customHeight="1">
      <c r="A128" s="1" t="s">
        <v>341</v>
      </c>
      <c r="B128" s="442"/>
      <c r="C128" s="88"/>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8"/>
      <c r="AB128" s="88"/>
      <c r="AC128" s="88"/>
      <c r="AD128" s="88"/>
      <c r="AE128" s="88"/>
      <c r="AF128" s="88"/>
      <c r="AG128" s="88"/>
      <c r="AH128" s="88"/>
      <c r="AI128" s="88"/>
      <c r="AJ128" s="88"/>
      <c r="AK128" s="88"/>
      <c r="AL128" s="88"/>
      <c r="AM128" s="88"/>
      <c r="AN128" s="88"/>
      <c r="AO128" s="88"/>
      <c r="AP128" s="88"/>
      <c r="AQ128" s="88"/>
      <c r="AR128" s="88"/>
      <c r="AS128" s="88"/>
      <c r="AT128" s="88"/>
      <c r="AU128" s="88"/>
      <c r="AV128" s="88"/>
      <c r="AW128" s="88"/>
      <c r="AX128" s="88"/>
      <c r="AY128" s="88"/>
      <c r="AZ128" s="88"/>
      <c r="BA128" s="88"/>
      <c r="BB128" s="88"/>
      <c r="BC128" s="88"/>
      <c r="BD128" s="88"/>
      <c r="BE128" s="88"/>
      <c r="BF128" s="88"/>
      <c r="BG128" s="88"/>
      <c r="BH128" s="88"/>
      <c r="BI128" s="88"/>
      <c r="BJ128" s="88"/>
      <c r="BK128" s="88"/>
      <c r="BL128" s="88"/>
      <c r="BM128" s="88"/>
      <c r="BN128" s="88"/>
      <c r="BO128" s="88"/>
      <c r="BP128" s="88"/>
      <c r="BQ128" s="88"/>
      <c r="BR128" s="88"/>
      <c r="BS128" s="88"/>
      <c r="BT128" s="88"/>
      <c r="BU128" s="88"/>
      <c r="BV128" s="88"/>
      <c r="BW128" s="88"/>
      <c r="BX128" s="88"/>
      <c r="BY128" s="88"/>
      <c r="BZ128" s="88"/>
      <c r="CA128" s="88"/>
      <c r="CB128" s="88"/>
      <c r="CC128" s="88"/>
      <c r="CD128" s="88"/>
      <c r="CE128" s="88"/>
      <c r="CF128" s="88"/>
      <c r="CG128" s="88"/>
      <c r="CH128" s="88"/>
      <c r="CI128" s="88"/>
      <c r="CJ128" s="88"/>
      <c r="CK128" s="88"/>
      <c r="CL128" s="88"/>
      <c r="CM128" s="88"/>
      <c r="CN128" s="88"/>
      <c r="CO128" s="88"/>
      <c r="CP128" s="88"/>
      <c r="CQ128" s="88"/>
      <c r="CR128" s="88"/>
      <c r="CS128" s="88"/>
      <c r="CT128" s="88"/>
      <c r="CU128" s="88"/>
      <c r="CV128" s="88"/>
      <c r="CW128" s="88"/>
      <c r="CX128" s="88"/>
      <c r="CY128" s="88"/>
      <c r="CZ128" s="88"/>
      <c r="DA128" s="88"/>
      <c r="DB128" s="88"/>
      <c r="DC128" s="88"/>
      <c r="DD128" s="88"/>
      <c r="DE128" s="88"/>
      <c r="DF128" s="88"/>
      <c r="DG128" s="88"/>
      <c r="DH128" s="88"/>
      <c r="DI128" s="88"/>
      <c r="DJ128" s="88"/>
      <c r="DK128" s="88"/>
      <c r="DL128" s="88"/>
      <c r="DM128" s="88"/>
      <c r="DN128" s="88"/>
      <c r="DO128" s="88"/>
      <c r="DP128" s="88"/>
      <c r="DQ128" s="88"/>
      <c r="DR128" s="88"/>
      <c r="DS128" s="88"/>
      <c r="DT128" s="88"/>
      <c r="DU128" s="88"/>
      <c r="DV128" s="88"/>
      <c r="DW128" s="88"/>
      <c r="DX128" s="88"/>
      <c r="DY128" s="88"/>
      <c r="DZ128" s="88"/>
      <c r="EA128" s="88"/>
      <c r="EB128" s="88"/>
      <c r="EC128" s="88"/>
      <c r="ED128" s="88"/>
      <c r="EE128" s="88"/>
      <c r="EF128" s="88"/>
      <c r="EG128" s="88"/>
      <c r="EH128" s="88"/>
      <c r="EI128" s="88"/>
      <c r="EJ128" s="88"/>
      <c r="EK128" s="88"/>
      <c r="EL128" s="88"/>
      <c r="EM128" s="88"/>
      <c r="EN128" s="88"/>
      <c r="EO128" s="88"/>
      <c r="EP128" s="88"/>
      <c r="EQ128" s="88"/>
      <c r="ER128" s="88"/>
      <c r="ES128" s="88"/>
      <c r="ET128" s="88"/>
      <c r="EU128" s="88"/>
      <c r="EV128" s="88"/>
      <c r="EW128" s="88"/>
      <c r="EX128" s="88"/>
      <c r="EY128" s="88"/>
      <c r="EZ128" s="88"/>
      <c r="FA128" s="88"/>
      <c r="FB128" s="88"/>
      <c r="FC128" s="88"/>
      <c r="FD128" s="88"/>
      <c r="FE128" s="88"/>
      <c r="FF128" s="88"/>
      <c r="FG128" s="88"/>
      <c r="FH128" s="88"/>
      <c r="FI128" s="88"/>
      <c r="FJ128" s="88"/>
      <c r="FK128" s="88"/>
      <c r="FL128" s="88"/>
      <c r="FM128" s="88"/>
      <c r="FN128" s="88"/>
      <c r="FO128" s="88"/>
      <c r="FP128" s="88"/>
      <c r="FQ128" s="88"/>
      <c r="FR128" s="88"/>
      <c r="FS128" s="88"/>
      <c r="FT128" s="88"/>
      <c r="FU128" s="88"/>
      <c r="FV128" s="88"/>
      <c r="FW128" s="88"/>
      <c r="FX128" s="88"/>
      <c r="FY128" s="88"/>
      <c r="FZ128" s="88"/>
      <c r="GA128" s="88"/>
      <c r="GB128" s="88"/>
      <c r="GC128" s="88"/>
      <c r="GD128" s="88"/>
      <c r="GE128" s="88"/>
      <c r="GF128" s="88"/>
      <c r="GG128" s="88"/>
      <c r="GH128" s="88"/>
      <c r="GI128" s="88"/>
      <c r="GJ128" s="88"/>
      <c r="GK128" s="88"/>
      <c r="GL128" s="88"/>
      <c r="GM128" s="88"/>
      <c r="GN128" s="88"/>
      <c r="GO128" s="88"/>
      <c r="GP128" s="88"/>
      <c r="GQ128" s="88"/>
      <c r="GR128" s="88"/>
      <c r="GS128" s="88"/>
      <c r="GT128" s="88"/>
      <c r="GU128" s="88"/>
      <c r="GV128" s="88"/>
      <c r="GW128" s="88"/>
      <c r="GX128" s="88"/>
      <c r="GY128" s="88"/>
      <c r="GZ128" s="88"/>
      <c r="HA128" s="88"/>
      <c r="HB128" s="88"/>
      <c r="HC128" s="88"/>
      <c r="HD128" s="88"/>
      <c r="HE128" s="88"/>
    </row>
    <row r="129" spans="1:213">
      <c r="A129" s="1" t="s">
        <v>342</v>
      </c>
      <c r="B129" s="442"/>
      <c r="C129" s="88"/>
      <c r="D129" s="88"/>
      <c r="E129" s="88"/>
      <c r="F129" s="88"/>
      <c r="G129" s="88"/>
      <c r="H129" s="88"/>
      <c r="I129" s="88"/>
      <c r="J129" s="88"/>
      <c r="K129" s="88"/>
      <c r="L129" s="88"/>
      <c r="M129" s="88"/>
      <c r="N129" s="88"/>
      <c r="O129" s="88"/>
      <c r="P129" s="88"/>
      <c r="Q129" s="88"/>
      <c r="R129" s="88"/>
      <c r="S129" s="88"/>
      <c r="T129" s="88"/>
      <c r="U129" s="88"/>
      <c r="V129" s="88"/>
      <c r="W129" s="88"/>
      <c r="X129" s="88"/>
      <c r="Y129" s="88"/>
      <c r="Z129" s="88"/>
      <c r="AA129" s="88"/>
      <c r="AB129" s="88"/>
      <c r="AC129" s="88"/>
      <c r="AD129" s="88"/>
      <c r="AE129" s="88"/>
      <c r="AF129" s="88"/>
      <c r="AG129" s="88"/>
      <c r="AH129" s="88"/>
      <c r="AI129" s="88"/>
      <c r="AJ129" s="88"/>
      <c r="AK129" s="88"/>
      <c r="AL129" s="88"/>
      <c r="AM129" s="88"/>
      <c r="AN129" s="88"/>
      <c r="AO129" s="88"/>
      <c r="AP129" s="88"/>
      <c r="AQ129" s="88"/>
      <c r="AR129" s="88"/>
      <c r="AS129" s="88"/>
      <c r="AT129" s="88"/>
      <c r="AU129" s="88"/>
      <c r="AV129" s="88"/>
      <c r="AW129" s="88"/>
      <c r="AX129" s="88"/>
      <c r="AY129" s="88"/>
      <c r="AZ129" s="88"/>
      <c r="BA129" s="88"/>
      <c r="BB129" s="88"/>
      <c r="BC129" s="88"/>
      <c r="BD129" s="88"/>
      <c r="BE129" s="88"/>
      <c r="BF129" s="88"/>
      <c r="BG129" s="88"/>
      <c r="BH129" s="88"/>
      <c r="BI129" s="88"/>
      <c r="BJ129" s="88"/>
      <c r="BK129" s="88"/>
      <c r="BL129" s="88"/>
      <c r="BM129" s="88"/>
      <c r="BN129" s="88"/>
      <c r="BO129" s="88"/>
      <c r="BP129" s="88"/>
      <c r="BQ129" s="88"/>
      <c r="BR129" s="88"/>
      <c r="BS129" s="88"/>
      <c r="BT129" s="88"/>
      <c r="BU129" s="88"/>
      <c r="BV129" s="88"/>
      <c r="BW129" s="88"/>
      <c r="BX129" s="88"/>
      <c r="BY129" s="88"/>
      <c r="BZ129" s="88"/>
      <c r="CA129" s="88"/>
      <c r="CB129" s="88"/>
      <c r="CC129" s="88"/>
      <c r="CD129" s="88"/>
      <c r="CE129" s="88"/>
      <c r="CF129" s="88"/>
      <c r="CG129" s="88"/>
      <c r="CH129" s="88"/>
      <c r="CI129" s="88"/>
      <c r="CJ129" s="88"/>
      <c r="CK129" s="88"/>
      <c r="CL129" s="88"/>
      <c r="CM129" s="88"/>
      <c r="CN129" s="88"/>
      <c r="CO129" s="88"/>
      <c r="CP129" s="88"/>
      <c r="CQ129" s="88"/>
      <c r="CR129" s="88"/>
      <c r="CS129" s="88"/>
      <c r="CT129" s="88"/>
      <c r="CU129" s="88"/>
      <c r="CV129" s="88"/>
      <c r="CW129" s="88"/>
      <c r="CX129" s="88"/>
      <c r="CY129" s="88"/>
      <c r="CZ129" s="88"/>
      <c r="DA129" s="88"/>
      <c r="DB129" s="88"/>
      <c r="DC129" s="88"/>
      <c r="DD129" s="88"/>
      <c r="DE129" s="88"/>
      <c r="DF129" s="88"/>
      <c r="DG129" s="88"/>
      <c r="DH129" s="88"/>
      <c r="DI129" s="88"/>
      <c r="DJ129" s="88"/>
      <c r="DK129" s="88"/>
      <c r="DL129" s="88"/>
      <c r="DM129" s="88"/>
      <c r="DN129" s="88"/>
      <c r="DO129" s="88"/>
      <c r="DP129" s="88"/>
      <c r="DQ129" s="88"/>
      <c r="DR129" s="88"/>
      <c r="DS129" s="88"/>
      <c r="DT129" s="88"/>
      <c r="DU129" s="88"/>
      <c r="DV129" s="88"/>
      <c r="DW129" s="88"/>
      <c r="DX129" s="88"/>
      <c r="DY129" s="88"/>
      <c r="DZ129" s="88"/>
      <c r="EA129" s="88"/>
      <c r="EB129" s="88"/>
      <c r="EC129" s="88"/>
      <c r="ED129" s="88"/>
      <c r="EE129" s="88"/>
      <c r="EF129" s="88"/>
      <c r="EG129" s="88"/>
      <c r="EH129" s="88"/>
      <c r="EI129" s="88"/>
      <c r="EJ129" s="88"/>
      <c r="EK129" s="88"/>
      <c r="EL129" s="88"/>
      <c r="EM129" s="88"/>
      <c r="EN129" s="88"/>
      <c r="EO129" s="88"/>
      <c r="EP129" s="88"/>
      <c r="EQ129" s="88"/>
      <c r="ER129" s="88"/>
      <c r="ES129" s="88"/>
      <c r="ET129" s="88"/>
      <c r="EU129" s="88"/>
      <c r="EV129" s="88"/>
      <c r="EW129" s="88"/>
      <c r="EX129" s="88"/>
      <c r="EY129" s="88"/>
      <c r="EZ129" s="88"/>
      <c r="FA129" s="88"/>
      <c r="FB129" s="88"/>
      <c r="FC129" s="88"/>
      <c r="FD129" s="88"/>
      <c r="FE129" s="88"/>
      <c r="FF129" s="88"/>
      <c r="FG129" s="88"/>
      <c r="FH129" s="88"/>
      <c r="FI129" s="88"/>
      <c r="FJ129" s="88"/>
      <c r="FK129" s="88"/>
      <c r="FL129" s="88"/>
      <c r="FM129" s="88"/>
      <c r="FN129" s="88"/>
      <c r="FO129" s="88"/>
      <c r="FP129" s="88"/>
      <c r="FQ129" s="88"/>
      <c r="FR129" s="88"/>
      <c r="FS129" s="88"/>
      <c r="FT129" s="88"/>
      <c r="FU129" s="88"/>
      <c r="FV129" s="88"/>
      <c r="FW129" s="88"/>
      <c r="FX129" s="88"/>
      <c r="FY129" s="88"/>
      <c r="FZ129" s="88"/>
      <c r="GA129" s="88"/>
      <c r="GB129" s="88"/>
      <c r="GC129" s="88"/>
      <c r="GD129" s="88"/>
      <c r="GE129" s="88"/>
      <c r="GF129" s="88"/>
      <c r="GG129" s="88"/>
      <c r="GH129" s="88"/>
      <c r="GI129" s="88"/>
      <c r="GJ129" s="88"/>
      <c r="GK129" s="88"/>
      <c r="GL129" s="88"/>
      <c r="GM129" s="88"/>
      <c r="GN129" s="88"/>
      <c r="GO129" s="88"/>
      <c r="GP129" s="88"/>
      <c r="GQ129" s="88"/>
      <c r="GR129" s="88"/>
      <c r="GS129" s="88"/>
      <c r="GT129" s="88"/>
      <c r="GU129" s="88"/>
      <c r="GV129" s="88"/>
      <c r="GW129" s="88"/>
      <c r="GX129" s="88"/>
      <c r="GY129" s="88"/>
      <c r="GZ129" s="88"/>
      <c r="HA129" s="88"/>
      <c r="HB129" s="88"/>
      <c r="HC129" s="88"/>
      <c r="HD129" s="88"/>
      <c r="HE129" s="88"/>
    </row>
    <row r="130" spans="1:213">
      <c r="A130" s="1" t="s">
        <v>343</v>
      </c>
      <c r="B130" s="442"/>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88"/>
      <c r="AE130" s="88"/>
      <c r="AF130" s="88"/>
      <c r="AG130" s="88"/>
      <c r="AH130" s="88"/>
      <c r="AI130" s="88"/>
      <c r="AJ130" s="88"/>
      <c r="AK130" s="88"/>
      <c r="AL130" s="88"/>
      <c r="AM130" s="88"/>
      <c r="AN130" s="88"/>
      <c r="AO130" s="88"/>
      <c r="AP130" s="88"/>
      <c r="AQ130" s="88"/>
      <c r="AR130" s="88"/>
      <c r="AS130" s="88"/>
      <c r="AT130" s="88"/>
      <c r="AU130" s="88"/>
      <c r="AV130" s="88"/>
      <c r="AW130" s="88"/>
      <c r="AX130" s="88"/>
      <c r="AY130" s="88"/>
      <c r="AZ130" s="88"/>
      <c r="BA130" s="88"/>
      <c r="BB130" s="88"/>
      <c r="BC130" s="88"/>
      <c r="BD130" s="88"/>
      <c r="BE130" s="88"/>
      <c r="BF130" s="88"/>
      <c r="BG130" s="88"/>
      <c r="BH130" s="88"/>
      <c r="BI130" s="88"/>
      <c r="BJ130" s="88"/>
      <c r="BK130" s="88"/>
      <c r="BL130" s="88"/>
      <c r="BM130" s="88"/>
      <c r="BN130" s="88"/>
      <c r="BO130" s="88"/>
      <c r="BP130" s="88"/>
      <c r="BQ130" s="88"/>
      <c r="BR130" s="88"/>
      <c r="BS130" s="88"/>
      <c r="BT130" s="88"/>
      <c r="BU130" s="88"/>
      <c r="BV130" s="88"/>
      <c r="BW130" s="88"/>
      <c r="BX130" s="88"/>
      <c r="BY130" s="88"/>
      <c r="BZ130" s="88"/>
      <c r="CA130" s="88"/>
      <c r="CB130" s="88"/>
      <c r="CC130" s="88"/>
      <c r="CD130" s="88"/>
      <c r="CE130" s="88"/>
      <c r="CF130" s="88"/>
      <c r="CG130" s="88"/>
      <c r="CH130" s="88"/>
      <c r="CI130" s="88"/>
      <c r="CJ130" s="88"/>
      <c r="CK130" s="88"/>
      <c r="CL130" s="88"/>
      <c r="CM130" s="88"/>
      <c r="CN130" s="88"/>
      <c r="CO130" s="88"/>
      <c r="CP130" s="88"/>
      <c r="CQ130" s="88"/>
      <c r="CR130" s="88"/>
      <c r="CS130" s="88"/>
      <c r="CT130" s="88"/>
      <c r="CU130" s="88"/>
      <c r="CV130" s="88"/>
      <c r="CW130" s="88"/>
      <c r="CX130" s="88"/>
      <c r="CY130" s="88"/>
      <c r="CZ130" s="88"/>
      <c r="DA130" s="88"/>
      <c r="DB130" s="88"/>
      <c r="DC130" s="88"/>
      <c r="DD130" s="88"/>
      <c r="DE130" s="88"/>
      <c r="DF130" s="88"/>
      <c r="DG130" s="88"/>
      <c r="DH130" s="88"/>
      <c r="DI130" s="88"/>
      <c r="DJ130" s="88"/>
      <c r="DK130" s="88"/>
      <c r="DL130" s="88"/>
      <c r="DM130" s="88"/>
      <c r="DN130" s="88"/>
      <c r="DO130" s="88"/>
      <c r="DP130" s="88"/>
      <c r="DQ130" s="88"/>
      <c r="DR130" s="88"/>
      <c r="DS130" s="88"/>
      <c r="DT130" s="88"/>
      <c r="DU130" s="88"/>
      <c r="DV130" s="88"/>
      <c r="DW130" s="88"/>
      <c r="DX130" s="88"/>
      <c r="DY130" s="88"/>
      <c r="DZ130" s="88"/>
      <c r="EA130" s="88"/>
      <c r="EB130" s="88"/>
      <c r="EC130" s="88"/>
      <c r="ED130" s="88"/>
      <c r="EE130" s="88"/>
      <c r="EF130" s="88"/>
      <c r="EG130" s="88"/>
      <c r="EH130" s="88"/>
      <c r="EI130" s="88"/>
      <c r="EJ130" s="88"/>
      <c r="EK130" s="88"/>
      <c r="EL130" s="88"/>
      <c r="EM130" s="88"/>
      <c r="EN130" s="88"/>
      <c r="EO130" s="88"/>
      <c r="EP130" s="88"/>
      <c r="EQ130" s="88"/>
      <c r="ER130" s="88"/>
      <c r="ES130" s="88"/>
      <c r="ET130" s="88"/>
      <c r="EU130" s="88"/>
      <c r="EV130" s="88"/>
      <c r="EW130" s="88"/>
      <c r="EX130" s="88"/>
      <c r="EY130" s="88"/>
      <c r="EZ130" s="88"/>
      <c r="FA130" s="88"/>
      <c r="FB130" s="88"/>
      <c r="FC130" s="88"/>
      <c r="FD130" s="88"/>
      <c r="FE130" s="88"/>
      <c r="FF130" s="88"/>
      <c r="FG130" s="88"/>
      <c r="FH130" s="88"/>
      <c r="FI130" s="88"/>
      <c r="FJ130" s="88"/>
      <c r="FK130" s="88"/>
      <c r="FL130" s="88"/>
      <c r="FM130" s="88"/>
      <c r="FN130" s="88"/>
      <c r="FO130" s="88"/>
      <c r="FP130" s="88"/>
      <c r="FQ130" s="88"/>
      <c r="FR130" s="88"/>
      <c r="FS130" s="88"/>
      <c r="FT130" s="88"/>
      <c r="FU130" s="88"/>
      <c r="FV130" s="88"/>
      <c r="FW130" s="88"/>
      <c r="FX130" s="88"/>
      <c r="FY130" s="88"/>
      <c r="FZ130" s="88"/>
      <c r="GA130" s="88"/>
      <c r="GB130" s="88"/>
      <c r="GC130" s="88"/>
      <c r="GD130" s="88"/>
      <c r="GE130" s="88"/>
      <c r="GF130" s="88"/>
      <c r="GG130" s="88"/>
      <c r="GH130" s="88"/>
      <c r="GI130" s="88"/>
      <c r="GJ130" s="88"/>
      <c r="GK130" s="88"/>
      <c r="GL130" s="88"/>
      <c r="GM130" s="88"/>
      <c r="GN130" s="88"/>
      <c r="GO130" s="88"/>
      <c r="GP130" s="88"/>
      <c r="GQ130" s="88"/>
      <c r="GR130" s="88"/>
      <c r="GS130" s="88"/>
      <c r="GT130" s="88"/>
      <c r="GU130" s="88"/>
      <c r="GV130" s="88"/>
      <c r="GW130" s="88"/>
      <c r="GX130" s="88"/>
      <c r="GY130" s="88"/>
      <c r="GZ130" s="88"/>
      <c r="HA130" s="88"/>
      <c r="HB130" s="88"/>
      <c r="HC130" s="88"/>
      <c r="HD130" s="88"/>
      <c r="HE130" s="88"/>
    </row>
    <row r="131" spans="1:213">
      <c r="A131" s="1" t="s">
        <v>344</v>
      </c>
      <c r="B131" s="442"/>
      <c r="C131" t="s">
        <v>345</v>
      </c>
      <c r="D131" s="88"/>
      <c r="E131" s="88"/>
      <c r="F131" s="88"/>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88"/>
      <c r="AO131" s="88"/>
      <c r="AP131" s="88"/>
      <c r="AQ131" s="88"/>
      <c r="AR131" s="88"/>
      <c r="AS131" s="88"/>
      <c r="AT131" s="88"/>
      <c r="AU131" s="88"/>
      <c r="AV131" s="88"/>
      <c r="AW131" s="88"/>
      <c r="AX131" s="88"/>
      <c r="AY131" s="88"/>
      <c r="AZ131" s="88"/>
      <c r="BA131" s="88"/>
      <c r="BB131" s="88"/>
      <c r="BC131" s="88"/>
      <c r="BD131" s="88"/>
      <c r="BE131" s="88"/>
      <c r="BF131" s="88"/>
      <c r="BG131" s="88"/>
      <c r="BH131" s="88"/>
      <c r="BI131" s="88"/>
      <c r="BJ131" s="88"/>
      <c r="BK131" s="88"/>
      <c r="BL131" s="88"/>
      <c r="BM131" s="88"/>
      <c r="BN131" s="88"/>
      <c r="BO131" s="88"/>
      <c r="BP131" s="88"/>
      <c r="BQ131" s="88"/>
      <c r="BR131" s="88"/>
      <c r="BS131" s="88"/>
      <c r="BT131" s="88"/>
      <c r="BU131" s="88"/>
      <c r="BV131" s="88"/>
      <c r="BW131" s="88"/>
      <c r="BX131" s="88"/>
      <c r="BY131" s="88"/>
      <c r="BZ131" s="88"/>
      <c r="CA131" s="88"/>
      <c r="CB131" s="88"/>
      <c r="CC131" s="88"/>
      <c r="CD131" s="88"/>
      <c r="CE131" s="88"/>
      <c r="CF131" s="88"/>
      <c r="CG131" s="88"/>
      <c r="CH131" s="88"/>
      <c r="CI131" s="88"/>
      <c r="CJ131" s="88"/>
      <c r="CK131" s="88"/>
      <c r="CL131" s="88"/>
      <c r="CM131" s="88"/>
      <c r="CN131" s="88"/>
      <c r="CO131" s="88"/>
      <c r="CP131" s="88"/>
      <c r="CQ131" s="88"/>
      <c r="CR131" s="88"/>
      <c r="CS131" s="88"/>
      <c r="CT131" s="88"/>
      <c r="CU131" s="88"/>
      <c r="CV131" s="88"/>
      <c r="CW131" s="88"/>
      <c r="CX131" s="88"/>
      <c r="CY131" s="88"/>
      <c r="CZ131" s="88"/>
      <c r="DA131" s="88"/>
      <c r="DB131" s="88"/>
      <c r="DC131" s="88"/>
      <c r="DD131" s="88"/>
      <c r="DE131" s="88"/>
      <c r="DF131" s="88"/>
      <c r="DG131" s="88"/>
      <c r="DH131" s="88"/>
      <c r="DI131" s="88"/>
      <c r="DJ131" s="88"/>
      <c r="DK131" s="88"/>
      <c r="DL131" s="88"/>
      <c r="DM131" s="88"/>
      <c r="DN131" s="88"/>
      <c r="DO131" s="88"/>
      <c r="DP131" s="88"/>
      <c r="DQ131" s="88"/>
      <c r="DR131" s="88"/>
      <c r="DS131" s="88"/>
      <c r="DT131" s="88"/>
      <c r="DU131" s="88"/>
      <c r="DV131" s="88"/>
      <c r="DW131" s="88"/>
      <c r="DX131" s="88"/>
      <c r="DY131" s="88"/>
      <c r="DZ131" s="88"/>
      <c r="EA131" s="88"/>
      <c r="EB131" s="88"/>
      <c r="EC131" s="88"/>
      <c r="ED131" s="88"/>
      <c r="EE131" s="88"/>
      <c r="EF131" s="88"/>
      <c r="EG131" s="88"/>
      <c r="EH131" s="88"/>
      <c r="EI131" s="88"/>
      <c r="EJ131" s="88"/>
      <c r="EK131" s="88"/>
      <c r="EL131" s="88"/>
      <c r="EM131" s="88"/>
      <c r="EN131" s="88"/>
      <c r="EO131" s="88"/>
      <c r="EP131" s="88"/>
      <c r="EQ131" s="88"/>
      <c r="ER131" s="88"/>
      <c r="ES131" s="88"/>
      <c r="ET131" s="88"/>
      <c r="EU131" s="88"/>
      <c r="EV131" s="88"/>
      <c r="EW131" s="88"/>
      <c r="EX131" s="88"/>
      <c r="EY131" s="88"/>
      <c r="EZ131" s="88"/>
      <c r="FA131" s="88"/>
      <c r="FB131" s="88"/>
      <c r="FC131" s="88"/>
      <c r="FD131" s="88"/>
      <c r="FE131" s="88"/>
      <c r="FF131" s="88"/>
      <c r="FG131" s="88"/>
      <c r="FH131" s="88"/>
      <c r="FI131" s="88"/>
      <c r="FJ131" s="88"/>
      <c r="FK131" s="88"/>
      <c r="FL131" s="88"/>
      <c r="FM131" s="88"/>
      <c r="FN131" s="88"/>
      <c r="FO131" s="88"/>
      <c r="FP131" s="88"/>
      <c r="FQ131" s="88"/>
      <c r="FR131" s="88"/>
      <c r="FS131" s="88"/>
      <c r="FT131" s="88"/>
      <c r="FU131" s="88"/>
      <c r="FV131" s="88"/>
      <c r="FW131" s="88"/>
      <c r="FX131" s="88"/>
      <c r="FY131" s="88"/>
      <c r="FZ131" s="88"/>
      <c r="GA131" s="88"/>
      <c r="GB131" s="88"/>
      <c r="GC131" s="88"/>
      <c r="GD131" s="88"/>
      <c r="GE131" s="88"/>
      <c r="GF131" s="88"/>
      <c r="GG131" s="88"/>
      <c r="GH131" s="88"/>
      <c r="GI131" s="88"/>
      <c r="GJ131" s="88"/>
      <c r="GK131" s="88"/>
      <c r="GL131" s="88"/>
      <c r="GM131" s="88"/>
      <c r="GN131" s="88"/>
      <c r="GO131" s="88"/>
      <c r="GP131" s="88"/>
      <c r="GQ131" s="88"/>
      <c r="GR131" s="88"/>
      <c r="GS131" s="88"/>
      <c r="GT131" s="88"/>
      <c r="GU131" s="88"/>
      <c r="GV131" s="88"/>
      <c r="GW131" s="88"/>
      <c r="GX131" s="88"/>
      <c r="GY131" s="88"/>
      <c r="GZ131" s="88"/>
      <c r="HA131" s="88"/>
      <c r="HB131" s="88"/>
      <c r="HC131" s="88"/>
      <c r="HD131" s="88"/>
      <c r="HE131" s="88"/>
    </row>
    <row r="132" spans="1:213">
      <c r="A132" s="1" t="s">
        <v>346</v>
      </c>
      <c r="B132" s="442"/>
      <c r="C132" t="s">
        <v>347</v>
      </c>
      <c r="D132" s="88"/>
      <c r="E132" s="88"/>
      <c r="F132" s="88"/>
      <c r="G132" s="88"/>
      <c r="H132" s="88"/>
      <c r="I132" s="88"/>
      <c r="J132" s="88"/>
      <c r="K132" s="88"/>
      <c r="L132" s="88"/>
      <c r="M132" s="88"/>
      <c r="N132" s="88"/>
      <c r="O132" s="88"/>
      <c r="P132" s="88"/>
      <c r="Q132" s="88"/>
      <c r="R132" s="88"/>
      <c r="S132" s="88"/>
      <c r="T132" s="88"/>
      <c r="U132" s="88"/>
      <c r="V132" s="88"/>
      <c r="W132" s="88"/>
      <c r="X132" s="88"/>
      <c r="Y132" s="88"/>
      <c r="Z132" s="88"/>
      <c r="AA132" s="88"/>
      <c r="AB132" s="88"/>
      <c r="AC132" s="88"/>
      <c r="AD132" s="88"/>
      <c r="AE132" s="88"/>
      <c r="AF132" s="88"/>
      <c r="AG132" s="88"/>
      <c r="AH132" s="88"/>
      <c r="AI132" s="88"/>
      <c r="AJ132" s="88"/>
      <c r="AK132" s="88"/>
      <c r="AL132" s="88"/>
      <c r="AM132" s="88"/>
      <c r="AN132" s="88"/>
      <c r="AO132" s="88"/>
      <c r="AP132" s="88"/>
      <c r="AQ132" s="88"/>
      <c r="AR132" s="88"/>
      <c r="AS132" s="88"/>
      <c r="AT132" s="88"/>
      <c r="AU132" s="88"/>
      <c r="AV132" s="88"/>
      <c r="AW132" s="88"/>
      <c r="AX132" s="88"/>
      <c r="AY132" s="88"/>
      <c r="AZ132" s="88"/>
      <c r="BA132" s="88"/>
      <c r="BB132" s="88"/>
      <c r="BC132" s="88"/>
      <c r="BD132" s="88"/>
      <c r="BE132" s="88"/>
      <c r="BF132" s="88"/>
      <c r="BG132" s="88"/>
      <c r="BH132" s="88"/>
      <c r="BI132" s="88"/>
      <c r="BJ132" s="88"/>
      <c r="BK132" s="88"/>
      <c r="BL132" s="88"/>
      <c r="BM132" s="88"/>
      <c r="BN132" s="88"/>
      <c r="BO132" s="88"/>
      <c r="BP132" s="88"/>
      <c r="BQ132" s="88"/>
      <c r="BR132" s="88"/>
      <c r="BS132" s="88"/>
      <c r="BT132" s="88"/>
      <c r="BU132" s="88"/>
      <c r="BV132" s="88"/>
      <c r="BW132" s="88"/>
      <c r="BX132" s="88"/>
      <c r="BY132" s="88"/>
      <c r="BZ132" s="88"/>
      <c r="CA132" s="88"/>
      <c r="CB132" s="88"/>
      <c r="CC132" s="88"/>
      <c r="CD132" s="88"/>
      <c r="CE132" s="88"/>
      <c r="CF132" s="88"/>
      <c r="CG132" s="88"/>
      <c r="CH132" s="88"/>
      <c r="CI132" s="88"/>
      <c r="CJ132" s="88"/>
      <c r="CK132" s="88"/>
      <c r="CL132" s="88"/>
      <c r="CM132" s="88"/>
      <c r="CN132" s="88"/>
      <c r="CO132" s="88"/>
      <c r="CP132" s="88"/>
      <c r="CQ132" s="88"/>
      <c r="CR132" s="88"/>
      <c r="CS132" s="88"/>
      <c r="CT132" s="88"/>
      <c r="CU132" s="88"/>
      <c r="CV132" s="88"/>
      <c r="CW132" s="88"/>
      <c r="CX132" s="88"/>
      <c r="CY132" s="88"/>
      <c r="CZ132" s="88"/>
      <c r="DA132" s="88"/>
      <c r="DB132" s="88"/>
      <c r="DC132" s="88"/>
      <c r="DD132" s="88"/>
      <c r="DE132" s="88"/>
      <c r="DF132" s="88"/>
      <c r="DG132" s="88"/>
      <c r="DH132" s="88"/>
      <c r="DI132" s="88"/>
      <c r="DJ132" s="88"/>
      <c r="DK132" s="88"/>
      <c r="DL132" s="88"/>
      <c r="DM132" s="88"/>
      <c r="DN132" s="88"/>
      <c r="DO132" s="88"/>
      <c r="DP132" s="88"/>
      <c r="DQ132" s="88"/>
      <c r="DR132" s="88"/>
      <c r="DS132" s="88"/>
      <c r="DT132" s="88"/>
      <c r="DU132" s="88"/>
      <c r="DV132" s="88"/>
      <c r="DW132" s="88"/>
      <c r="DX132" s="88"/>
      <c r="DY132" s="88"/>
      <c r="DZ132" s="88"/>
      <c r="EA132" s="88"/>
      <c r="EB132" s="88"/>
      <c r="EC132" s="88"/>
      <c r="ED132" s="88"/>
      <c r="EE132" s="88"/>
      <c r="EF132" s="88"/>
      <c r="EG132" s="88"/>
      <c r="EH132" s="88"/>
      <c r="EI132" s="88"/>
      <c r="EJ132" s="88"/>
      <c r="EK132" s="88"/>
      <c r="EL132" s="88"/>
      <c r="EM132" s="88"/>
      <c r="EN132" s="88"/>
      <c r="EO132" s="88"/>
      <c r="EP132" s="88"/>
      <c r="EQ132" s="88"/>
      <c r="ER132" s="88"/>
      <c r="ES132" s="88"/>
      <c r="ET132" s="88"/>
      <c r="EU132" s="88"/>
      <c r="EV132" s="88"/>
      <c r="EW132" s="88"/>
      <c r="EX132" s="88"/>
      <c r="EY132" s="88"/>
      <c r="EZ132" s="88"/>
      <c r="FA132" s="88"/>
      <c r="FB132" s="88"/>
      <c r="FC132" s="88"/>
      <c r="FD132" s="88"/>
      <c r="FE132" s="88"/>
      <c r="FF132" s="88"/>
      <c r="FG132" s="88"/>
      <c r="FH132" s="88"/>
      <c r="FI132" s="88"/>
      <c r="FJ132" s="88"/>
      <c r="FK132" s="88"/>
      <c r="FL132" s="88"/>
      <c r="FM132" s="88"/>
      <c r="FN132" s="88"/>
      <c r="FO132" s="88"/>
      <c r="FP132" s="88"/>
      <c r="FQ132" s="88"/>
      <c r="FR132" s="88"/>
      <c r="FS132" s="88"/>
      <c r="FT132" s="88"/>
      <c r="FU132" s="88"/>
      <c r="FV132" s="88"/>
      <c r="FW132" s="88"/>
      <c r="FX132" s="88"/>
      <c r="FY132" s="88"/>
      <c r="FZ132" s="88"/>
      <c r="GA132" s="88"/>
      <c r="GB132" s="88"/>
      <c r="GC132" s="88"/>
      <c r="GD132" s="88"/>
      <c r="GE132" s="88"/>
      <c r="GF132" s="88"/>
      <c r="GG132" s="88"/>
      <c r="GH132" s="88"/>
      <c r="GI132" s="88"/>
      <c r="GJ132" s="88"/>
      <c r="GK132" s="88"/>
      <c r="GL132" s="88"/>
      <c r="GM132" s="88"/>
      <c r="GN132" s="88"/>
      <c r="GO132" s="88"/>
      <c r="GP132" s="88"/>
      <c r="GQ132" s="88"/>
      <c r="GR132" s="88"/>
      <c r="GS132" s="88"/>
      <c r="GT132" s="88"/>
      <c r="GU132" s="88"/>
      <c r="GV132" s="88"/>
      <c r="GW132" s="88"/>
      <c r="GX132" s="88"/>
      <c r="GY132" s="88"/>
      <c r="GZ132" s="88"/>
      <c r="HA132" s="88"/>
      <c r="HB132" s="88"/>
      <c r="HC132" s="88"/>
      <c r="HD132" s="88"/>
      <c r="HE132" s="88"/>
    </row>
    <row r="133" spans="1:213">
      <c r="A133" s="3" t="s">
        <v>348</v>
      </c>
      <c r="B133" s="3"/>
      <c r="C133" s="3"/>
      <c r="D133" s="88"/>
      <c r="E133" s="88"/>
      <c r="F133" s="88"/>
      <c r="G133" s="88"/>
      <c r="H133" s="88"/>
      <c r="I133" s="88"/>
      <c r="J133" s="88"/>
      <c r="K133" s="88"/>
      <c r="L133" s="88"/>
      <c r="M133" s="88"/>
      <c r="N133" s="88"/>
      <c r="O133" s="88"/>
      <c r="P133" s="88"/>
      <c r="Q133" s="88"/>
      <c r="R133" s="88"/>
      <c r="S133" s="88"/>
      <c r="T133" s="88"/>
      <c r="U133" s="88"/>
      <c r="V133" s="88"/>
      <c r="W133" s="88"/>
      <c r="X133" s="88"/>
      <c r="Y133" s="88"/>
      <c r="Z133" s="88"/>
      <c r="AA133" s="88"/>
      <c r="AB133" s="88"/>
      <c r="AC133" s="88"/>
      <c r="AD133" s="88"/>
      <c r="AE133" s="88"/>
      <c r="AF133" s="88"/>
      <c r="AG133" s="88"/>
      <c r="AH133" s="88"/>
      <c r="AI133" s="88"/>
      <c r="AJ133" s="88"/>
      <c r="AK133" s="88"/>
      <c r="AL133" s="88"/>
      <c r="AM133" s="88"/>
      <c r="AN133" s="88"/>
      <c r="AO133" s="88"/>
      <c r="AP133" s="88"/>
      <c r="AQ133" s="88"/>
      <c r="AR133" s="88"/>
      <c r="AS133" s="88"/>
      <c r="AT133" s="88"/>
      <c r="AU133" s="88"/>
      <c r="AV133" s="88"/>
      <c r="AW133" s="88"/>
      <c r="AX133" s="88"/>
      <c r="AY133" s="88"/>
      <c r="AZ133" s="88"/>
      <c r="BA133" s="88"/>
      <c r="BB133" s="88"/>
      <c r="BC133" s="88"/>
      <c r="BD133" s="88"/>
      <c r="BE133" s="88"/>
      <c r="BF133" s="88"/>
      <c r="BG133" s="88"/>
      <c r="BH133" s="88"/>
      <c r="BI133" s="88"/>
      <c r="BJ133" s="88"/>
      <c r="BK133" s="88"/>
      <c r="BL133" s="88"/>
      <c r="BM133" s="88"/>
      <c r="BN133" s="88"/>
      <c r="BO133" s="88"/>
      <c r="BP133" s="88"/>
      <c r="BQ133" s="88"/>
      <c r="BR133" s="88"/>
      <c r="BS133" s="88"/>
      <c r="BT133" s="88"/>
      <c r="BU133" s="88"/>
      <c r="BV133" s="88"/>
      <c r="BW133" s="88"/>
      <c r="BX133" s="88"/>
      <c r="BY133" s="88"/>
      <c r="BZ133" s="88"/>
      <c r="CA133" s="88"/>
      <c r="CB133" s="88"/>
      <c r="CC133" s="88"/>
      <c r="CD133" s="88"/>
      <c r="CE133" s="88"/>
      <c r="CF133" s="88"/>
      <c r="CG133" s="88"/>
      <c r="CH133" s="88"/>
      <c r="CI133" s="88"/>
      <c r="CJ133" s="88"/>
      <c r="CK133" s="88"/>
      <c r="CL133" s="88"/>
      <c r="CM133" s="88"/>
      <c r="CN133" s="88"/>
      <c r="CO133" s="88"/>
      <c r="CP133" s="88"/>
      <c r="CQ133" s="88"/>
      <c r="CR133" s="88"/>
      <c r="CS133" s="88"/>
      <c r="CT133" s="88"/>
      <c r="CU133" s="88"/>
      <c r="CV133" s="88"/>
      <c r="CW133" s="88"/>
      <c r="CX133" s="88"/>
      <c r="CY133" s="88"/>
      <c r="CZ133" s="88"/>
      <c r="DA133" s="88"/>
      <c r="DB133" s="88"/>
      <c r="DC133" s="88"/>
      <c r="DD133" s="88"/>
      <c r="DE133" s="88"/>
      <c r="DF133" s="88"/>
      <c r="DG133" s="88"/>
      <c r="DH133" s="88"/>
      <c r="DI133" s="88"/>
      <c r="DJ133" s="88"/>
      <c r="DK133" s="88"/>
      <c r="DL133" s="88"/>
      <c r="DM133" s="88"/>
      <c r="DN133" s="88"/>
      <c r="DO133" s="88"/>
      <c r="DP133" s="88"/>
      <c r="DQ133" s="88"/>
      <c r="DR133" s="88"/>
      <c r="DS133" s="88"/>
      <c r="DT133" s="88"/>
      <c r="DU133" s="88"/>
      <c r="DV133" s="88"/>
      <c r="DW133" s="88"/>
      <c r="DX133" s="88"/>
      <c r="DY133" s="88"/>
      <c r="DZ133" s="88"/>
      <c r="EA133" s="88"/>
      <c r="EB133" s="88"/>
      <c r="EC133" s="88"/>
      <c r="ED133" s="88"/>
      <c r="EE133" s="88"/>
      <c r="EF133" s="88"/>
      <c r="EG133" s="88"/>
      <c r="EH133" s="88"/>
      <c r="EI133" s="88"/>
      <c r="EJ133" s="88"/>
      <c r="EK133" s="88"/>
      <c r="EL133" s="88"/>
      <c r="EM133" s="88"/>
      <c r="EN133" s="88"/>
      <c r="EO133" s="88"/>
      <c r="EP133" s="88"/>
      <c r="EQ133" s="88"/>
      <c r="ER133" s="88"/>
      <c r="ES133" s="88"/>
      <c r="ET133" s="88"/>
      <c r="EU133" s="88"/>
      <c r="EV133" s="88"/>
      <c r="EW133" s="88"/>
      <c r="EX133" s="88"/>
      <c r="EY133" s="88"/>
      <c r="EZ133" s="88"/>
      <c r="FA133" s="88"/>
      <c r="FB133" s="88"/>
      <c r="FC133" s="88"/>
      <c r="FD133" s="88"/>
      <c r="FE133" s="88"/>
      <c r="FF133" s="88"/>
      <c r="FG133" s="88"/>
      <c r="FH133" s="88"/>
      <c r="FI133" s="88"/>
      <c r="FJ133" s="88"/>
      <c r="FK133" s="88"/>
      <c r="FL133" s="88"/>
      <c r="FM133" s="88"/>
      <c r="FN133" s="88"/>
      <c r="FO133" s="88"/>
      <c r="FP133" s="88"/>
      <c r="FQ133" s="88"/>
      <c r="FR133" s="88"/>
      <c r="FS133" s="88"/>
      <c r="FT133" s="88"/>
      <c r="FU133" s="88"/>
      <c r="FV133" s="88"/>
      <c r="FW133" s="88"/>
      <c r="FX133" s="88"/>
      <c r="FY133" s="88"/>
      <c r="FZ133" s="88"/>
      <c r="GA133" s="88"/>
      <c r="GB133" s="88"/>
      <c r="GC133" s="88"/>
      <c r="GD133" s="88"/>
      <c r="GE133" s="88"/>
      <c r="GF133" s="88"/>
      <c r="GG133" s="88"/>
      <c r="GH133" s="88"/>
      <c r="GI133" s="88"/>
      <c r="GJ133" s="88"/>
      <c r="GK133" s="88"/>
      <c r="GL133" s="88"/>
      <c r="GM133" s="88"/>
      <c r="GN133" s="88"/>
      <c r="GO133" s="88"/>
      <c r="GP133" s="88"/>
      <c r="GQ133" s="88"/>
      <c r="GR133" s="88"/>
      <c r="GS133" s="88"/>
      <c r="GT133" s="88"/>
      <c r="GU133" s="88"/>
      <c r="GV133" s="88"/>
      <c r="GW133" s="88"/>
      <c r="GX133" s="88"/>
      <c r="GY133" s="88"/>
      <c r="GZ133" s="88"/>
      <c r="HA133" s="88"/>
      <c r="HB133" s="88"/>
      <c r="HC133" s="88"/>
      <c r="HD133" s="88"/>
      <c r="HE133" s="88"/>
    </row>
    <row r="134" spans="1:213" ht="28.8">
      <c r="A134" s="501" t="s">
        <v>349</v>
      </c>
      <c r="B134" s="442"/>
      <c r="C134" s="88"/>
      <c r="D134" s="88"/>
      <c r="E134" s="88"/>
      <c r="F134" s="88"/>
      <c r="G134" s="88"/>
      <c r="H134" s="88"/>
      <c r="I134" s="88"/>
      <c r="J134" s="88"/>
      <c r="K134" s="88"/>
      <c r="L134" s="88"/>
      <c r="M134" s="88"/>
      <c r="N134" s="88"/>
      <c r="O134" s="88"/>
      <c r="P134" s="88"/>
      <c r="Q134" s="88"/>
      <c r="R134" s="88"/>
      <c r="S134" s="88"/>
      <c r="T134" s="88"/>
      <c r="U134" s="88"/>
      <c r="V134" s="88"/>
      <c r="W134" s="88"/>
      <c r="X134" s="88"/>
      <c r="Y134" s="88"/>
      <c r="Z134" s="88"/>
      <c r="AA134" s="88"/>
      <c r="AB134" s="88"/>
      <c r="AC134" s="88"/>
      <c r="AD134" s="88"/>
      <c r="AE134" s="88"/>
      <c r="AF134" s="88"/>
      <c r="AG134" s="88"/>
      <c r="AH134" s="88"/>
      <c r="AI134" s="88"/>
      <c r="AJ134" s="88"/>
      <c r="AK134" s="88"/>
      <c r="AL134" s="88"/>
      <c r="AM134" s="88"/>
      <c r="AN134" s="88"/>
      <c r="AO134" s="88"/>
      <c r="AP134" s="88"/>
      <c r="AQ134" s="88"/>
      <c r="AR134" s="88"/>
      <c r="AS134" s="88"/>
      <c r="AT134" s="88"/>
      <c r="AU134" s="88"/>
      <c r="AV134" s="88"/>
      <c r="AW134" s="88"/>
      <c r="AX134" s="88"/>
      <c r="AY134" s="88"/>
      <c r="AZ134" s="88"/>
      <c r="BA134" s="88"/>
      <c r="BB134" s="88"/>
      <c r="BC134" s="88"/>
      <c r="BD134" s="88"/>
      <c r="BE134" s="88"/>
      <c r="BF134" s="88"/>
      <c r="BG134" s="88"/>
      <c r="BH134" s="88"/>
      <c r="BI134" s="88"/>
      <c r="BJ134" s="88"/>
      <c r="BK134" s="88"/>
      <c r="BL134" s="88"/>
      <c r="BM134" s="88"/>
      <c r="BN134" s="88"/>
      <c r="BO134" s="88"/>
      <c r="BP134" s="88"/>
      <c r="BQ134" s="88"/>
      <c r="BR134" s="88"/>
      <c r="BS134" s="88"/>
      <c r="BT134" s="88"/>
      <c r="BU134" s="88"/>
      <c r="BV134" s="88"/>
      <c r="BW134" s="88"/>
      <c r="BX134" s="88"/>
      <c r="BY134" s="88"/>
      <c r="BZ134" s="88"/>
      <c r="CA134" s="88"/>
      <c r="CB134" s="88"/>
      <c r="CC134" s="88"/>
      <c r="CD134" s="88"/>
      <c r="CE134" s="88"/>
      <c r="CF134" s="88"/>
      <c r="CG134" s="88"/>
      <c r="CH134" s="88"/>
      <c r="CI134" s="88"/>
      <c r="CJ134" s="88"/>
      <c r="CK134" s="88"/>
      <c r="CL134" s="88"/>
      <c r="CM134" s="88"/>
      <c r="CN134" s="88"/>
      <c r="CO134" s="88"/>
      <c r="CP134" s="88"/>
      <c r="CQ134" s="88"/>
      <c r="CR134" s="88"/>
      <c r="CS134" s="88"/>
      <c r="CT134" s="88"/>
      <c r="CU134" s="88"/>
      <c r="CV134" s="88"/>
      <c r="CW134" s="88"/>
      <c r="CX134" s="88"/>
      <c r="CY134" s="88"/>
      <c r="CZ134" s="88"/>
      <c r="DA134" s="88"/>
      <c r="DB134" s="88"/>
      <c r="DC134" s="88"/>
      <c r="DD134" s="88"/>
      <c r="DE134" s="88"/>
      <c r="DF134" s="88"/>
      <c r="DG134" s="88"/>
      <c r="DH134" s="88"/>
      <c r="DI134" s="88"/>
      <c r="DJ134" s="88"/>
      <c r="DK134" s="88"/>
      <c r="DL134" s="88"/>
      <c r="DM134" s="88"/>
      <c r="DN134" s="88"/>
      <c r="DO134" s="88"/>
      <c r="DP134" s="88"/>
      <c r="DQ134" s="88"/>
      <c r="DR134" s="88"/>
      <c r="DS134" s="88"/>
      <c r="DT134" s="88"/>
      <c r="DU134" s="88"/>
      <c r="DV134" s="88"/>
      <c r="DW134" s="88"/>
      <c r="DX134" s="88"/>
      <c r="DY134" s="88"/>
      <c r="DZ134" s="88"/>
      <c r="EA134" s="88"/>
      <c r="EB134" s="88"/>
      <c r="EC134" s="88"/>
      <c r="ED134" s="88"/>
      <c r="EE134" s="88"/>
      <c r="EF134" s="88"/>
      <c r="EG134" s="88"/>
      <c r="EH134" s="88"/>
      <c r="EI134" s="88"/>
      <c r="EJ134" s="88"/>
      <c r="EK134" s="88"/>
      <c r="EL134" s="88"/>
      <c r="EM134" s="88"/>
      <c r="EN134" s="88"/>
      <c r="EO134" s="88"/>
      <c r="EP134" s="88"/>
      <c r="EQ134" s="88"/>
      <c r="ER134" s="88"/>
      <c r="ES134" s="88"/>
      <c r="ET134" s="88"/>
      <c r="EU134" s="88"/>
      <c r="EV134" s="88"/>
      <c r="EW134" s="88"/>
      <c r="EX134" s="88"/>
      <c r="EY134" s="88"/>
      <c r="EZ134" s="88"/>
      <c r="FA134" s="88"/>
      <c r="FB134" s="88"/>
      <c r="FC134" s="88"/>
      <c r="FD134" s="88"/>
      <c r="FE134" s="88"/>
      <c r="FF134" s="88"/>
      <c r="FG134" s="88"/>
      <c r="FH134" s="88"/>
      <c r="FI134" s="88"/>
      <c r="FJ134" s="88"/>
      <c r="FK134" s="88"/>
      <c r="FL134" s="88"/>
      <c r="FM134" s="88"/>
      <c r="FN134" s="88"/>
      <c r="FO134" s="88"/>
      <c r="FP134" s="88"/>
      <c r="FQ134" s="88"/>
      <c r="FR134" s="88"/>
      <c r="FS134" s="88"/>
      <c r="FT134" s="88"/>
      <c r="FU134" s="88"/>
      <c r="FV134" s="88"/>
      <c r="FW134" s="88"/>
      <c r="FX134" s="88"/>
      <c r="FY134" s="88"/>
      <c r="FZ134" s="88"/>
      <c r="GA134" s="88"/>
      <c r="GB134" s="88"/>
      <c r="GC134" s="88"/>
      <c r="GD134" s="88"/>
      <c r="GE134" s="88"/>
      <c r="GF134" s="88"/>
      <c r="GG134" s="88"/>
      <c r="GH134" s="88"/>
      <c r="GI134" s="88"/>
      <c r="GJ134" s="88"/>
      <c r="GK134" s="88"/>
      <c r="GL134" s="88"/>
      <c r="GM134" s="88"/>
      <c r="GN134" s="88"/>
      <c r="GO134" s="88"/>
      <c r="GP134" s="88"/>
      <c r="GQ134" s="88"/>
      <c r="GR134" s="88"/>
      <c r="GS134" s="88"/>
      <c r="GT134" s="88"/>
      <c r="GU134" s="88"/>
      <c r="GV134" s="88"/>
      <c r="GW134" s="88"/>
      <c r="GX134" s="88"/>
      <c r="GY134" s="88"/>
      <c r="GZ134" s="88"/>
      <c r="HA134" s="88"/>
      <c r="HB134" s="88"/>
      <c r="HC134" s="88"/>
      <c r="HD134" s="88"/>
      <c r="HE134" s="88"/>
    </row>
    <row r="135" spans="1:213">
      <c r="A135" s="1" t="s">
        <v>350</v>
      </c>
      <c r="B135" s="442"/>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88"/>
      <c r="AC135" s="88"/>
      <c r="AD135" s="88"/>
      <c r="AE135" s="88"/>
      <c r="AF135" s="88"/>
      <c r="AG135" s="88"/>
      <c r="AH135" s="88"/>
      <c r="AI135" s="88"/>
      <c r="AJ135" s="88"/>
      <c r="AK135" s="88"/>
      <c r="AL135" s="88"/>
      <c r="AM135" s="88"/>
      <c r="AN135" s="88"/>
      <c r="AO135" s="88"/>
      <c r="AP135" s="88"/>
      <c r="AQ135" s="88"/>
      <c r="AR135" s="88"/>
      <c r="AS135" s="88"/>
      <c r="AT135" s="88"/>
      <c r="AU135" s="88"/>
      <c r="AV135" s="88"/>
      <c r="AW135" s="88"/>
      <c r="AX135" s="88"/>
      <c r="AY135" s="88"/>
      <c r="AZ135" s="88"/>
      <c r="BA135" s="88"/>
      <c r="BB135" s="88"/>
      <c r="BC135" s="88"/>
      <c r="BD135" s="88"/>
      <c r="BE135" s="88"/>
      <c r="BF135" s="88"/>
      <c r="BG135" s="88"/>
      <c r="BH135" s="88"/>
      <c r="BI135" s="88"/>
      <c r="BJ135" s="88"/>
      <c r="BK135" s="88"/>
      <c r="BL135" s="88"/>
      <c r="BM135" s="88"/>
      <c r="BN135" s="88"/>
      <c r="BO135" s="88"/>
      <c r="BP135" s="88"/>
      <c r="BQ135" s="88"/>
      <c r="BR135" s="88"/>
      <c r="BS135" s="88"/>
      <c r="BT135" s="88"/>
      <c r="BU135" s="88"/>
      <c r="BV135" s="88"/>
      <c r="BW135" s="88"/>
      <c r="BX135" s="88"/>
      <c r="BY135" s="88"/>
      <c r="BZ135" s="88"/>
      <c r="CA135" s="88"/>
      <c r="CB135" s="88"/>
      <c r="CC135" s="88"/>
      <c r="CD135" s="88"/>
      <c r="CE135" s="88"/>
      <c r="CF135" s="88"/>
      <c r="CG135" s="88"/>
      <c r="CH135" s="88"/>
      <c r="CI135" s="88"/>
      <c r="CJ135" s="88"/>
      <c r="CK135" s="88"/>
      <c r="CL135" s="88"/>
      <c r="CM135" s="88"/>
      <c r="CN135" s="88"/>
      <c r="CO135" s="88"/>
      <c r="CP135" s="88"/>
      <c r="CQ135" s="88"/>
      <c r="CR135" s="88"/>
      <c r="CS135" s="88"/>
      <c r="CT135" s="88"/>
      <c r="CU135" s="88"/>
      <c r="CV135" s="88"/>
      <c r="CW135" s="88"/>
      <c r="CX135" s="88"/>
      <c r="CY135" s="88"/>
      <c r="CZ135" s="88"/>
      <c r="DA135" s="88"/>
      <c r="DB135" s="88"/>
      <c r="DC135" s="88"/>
      <c r="DD135" s="88"/>
      <c r="DE135" s="88"/>
      <c r="DF135" s="88"/>
      <c r="DG135" s="88"/>
      <c r="DH135" s="88"/>
      <c r="DI135" s="88"/>
      <c r="DJ135" s="88"/>
      <c r="DK135" s="88"/>
      <c r="DL135" s="88"/>
      <c r="DM135" s="88"/>
      <c r="DN135" s="88"/>
      <c r="DO135" s="88"/>
      <c r="DP135" s="88"/>
      <c r="DQ135" s="88"/>
      <c r="DR135" s="88"/>
      <c r="DS135" s="88"/>
      <c r="DT135" s="88"/>
      <c r="DU135" s="88"/>
      <c r="DV135" s="88"/>
      <c r="DW135" s="88"/>
      <c r="DX135" s="88"/>
      <c r="DY135" s="88"/>
      <c r="DZ135" s="88"/>
      <c r="EA135" s="88"/>
      <c r="EB135" s="88"/>
      <c r="EC135" s="88"/>
      <c r="ED135" s="88"/>
      <c r="EE135" s="88"/>
      <c r="EF135" s="88"/>
      <c r="EG135" s="88"/>
      <c r="EH135" s="88"/>
      <c r="EI135" s="88"/>
      <c r="EJ135" s="88"/>
      <c r="EK135" s="88"/>
      <c r="EL135" s="88"/>
      <c r="EM135" s="88"/>
      <c r="EN135" s="88"/>
      <c r="EO135" s="88"/>
      <c r="EP135" s="88"/>
      <c r="EQ135" s="88"/>
      <c r="ER135" s="88"/>
      <c r="ES135" s="88"/>
      <c r="ET135" s="88"/>
      <c r="EU135" s="88"/>
      <c r="EV135" s="88"/>
      <c r="EW135" s="88"/>
      <c r="EX135" s="88"/>
      <c r="EY135" s="88"/>
      <c r="EZ135" s="88"/>
      <c r="FA135" s="88"/>
      <c r="FB135" s="88"/>
      <c r="FC135" s="88"/>
      <c r="FD135" s="88"/>
      <c r="FE135" s="88"/>
      <c r="FF135" s="88"/>
      <c r="FG135" s="88"/>
      <c r="FH135" s="88"/>
      <c r="FI135" s="88"/>
      <c r="FJ135" s="88"/>
      <c r="FK135" s="88"/>
      <c r="FL135" s="88"/>
      <c r="FM135" s="88"/>
      <c r="FN135" s="88"/>
      <c r="FO135" s="88"/>
      <c r="FP135" s="88"/>
      <c r="FQ135" s="88"/>
      <c r="FR135" s="88"/>
      <c r="FS135" s="88"/>
      <c r="FT135" s="88"/>
      <c r="FU135" s="88"/>
      <c r="FV135" s="88"/>
      <c r="FW135" s="88"/>
      <c r="FX135" s="88"/>
      <c r="FY135" s="88"/>
      <c r="FZ135" s="88"/>
      <c r="GA135" s="88"/>
      <c r="GB135" s="88"/>
      <c r="GC135" s="88"/>
      <c r="GD135" s="88"/>
      <c r="GE135" s="88"/>
      <c r="GF135" s="88"/>
      <c r="GG135" s="88"/>
      <c r="GH135" s="88"/>
      <c r="GI135" s="88"/>
      <c r="GJ135" s="88"/>
      <c r="GK135" s="88"/>
      <c r="GL135" s="88"/>
      <c r="GM135" s="88"/>
      <c r="GN135" s="88"/>
      <c r="GO135" s="88"/>
      <c r="GP135" s="88"/>
      <c r="GQ135" s="88"/>
      <c r="GR135" s="88"/>
      <c r="GS135" s="88"/>
      <c r="GT135" s="88"/>
      <c r="GU135" s="88"/>
      <c r="GV135" s="88"/>
      <c r="GW135" s="88"/>
      <c r="GX135" s="88"/>
      <c r="GY135" s="88"/>
      <c r="GZ135" s="88"/>
      <c r="HA135" s="88"/>
      <c r="HB135" s="88"/>
      <c r="HC135" s="88"/>
      <c r="HD135" s="88"/>
      <c r="HE135" s="88"/>
    </row>
    <row r="136" spans="1:213">
      <c r="A136" s="1" t="s">
        <v>351</v>
      </c>
      <c r="B136" s="442"/>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88"/>
      <c r="AB136" s="88"/>
      <c r="AC136" s="88"/>
      <c r="AD136" s="88"/>
      <c r="AE136" s="88"/>
      <c r="AF136" s="88"/>
      <c r="AG136" s="88"/>
      <c r="AH136" s="88"/>
      <c r="AI136" s="88"/>
      <c r="AJ136" s="88"/>
      <c r="AK136" s="88"/>
      <c r="AL136" s="88"/>
      <c r="AM136" s="88"/>
      <c r="AN136" s="88"/>
      <c r="AO136" s="88"/>
      <c r="AP136" s="88"/>
      <c r="AQ136" s="88"/>
      <c r="AR136" s="88"/>
      <c r="AS136" s="88"/>
      <c r="AT136" s="88"/>
      <c r="AU136" s="88"/>
      <c r="AV136" s="88"/>
      <c r="AW136" s="88"/>
      <c r="AX136" s="88"/>
      <c r="AY136" s="88"/>
      <c r="AZ136" s="88"/>
      <c r="BA136" s="88"/>
      <c r="BB136" s="88"/>
      <c r="BC136" s="88"/>
      <c r="BD136" s="88"/>
      <c r="BE136" s="88"/>
      <c r="BF136" s="88"/>
      <c r="BG136" s="88"/>
      <c r="BH136" s="88"/>
      <c r="BI136" s="88"/>
      <c r="BJ136" s="88"/>
      <c r="BK136" s="88"/>
      <c r="BL136" s="88"/>
      <c r="BM136" s="88"/>
      <c r="BN136" s="88"/>
      <c r="BO136" s="88"/>
      <c r="BP136" s="88"/>
      <c r="BQ136" s="88"/>
      <c r="BR136" s="88"/>
      <c r="BS136" s="88"/>
      <c r="BT136" s="88"/>
      <c r="BU136" s="88"/>
      <c r="BV136" s="88"/>
      <c r="BW136" s="88"/>
      <c r="BX136" s="88"/>
      <c r="BY136" s="88"/>
      <c r="BZ136" s="88"/>
      <c r="CA136" s="88"/>
      <c r="CB136" s="88"/>
      <c r="CC136" s="88"/>
      <c r="CD136" s="88"/>
      <c r="CE136" s="88"/>
      <c r="CF136" s="88"/>
      <c r="CG136" s="88"/>
      <c r="CH136" s="88"/>
      <c r="CI136" s="88"/>
      <c r="CJ136" s="88"/>
      <c r="CK136" s="88"/>
      <c r="CL136" s="88"/>
      <c r="CM136" s="88"/>
      <c r="CN136" s="88"/>
      <c r="CO136" s="88"/>
      <c r="CP136" s="88"/>
      <c r="CQ136" s="88"/>
      <c r="CR136" s="88"/>
      <c r="CS136" s="88"/>
      <c r="CT136" s="88"/>
      <c r="CU136" s="88"/>
      <c r="CV136" s="88"/>
      <c r="CW136" s="88"/>
      <c r="CX136" s="88"/>
      <c r="CY136" s="88"/>
      <c r="CZ136" s="88"/>
      <c r="DA136" s="88"/>
      <c r="DB136" s="88"/>
      <c r="DC136" s="88"/>
      <c r="DD136" s="88"/>
      <c r="DE136" s="88"/>
      <c r="DF136" s="88"/>
      <c r="DG136" s="88"/>
      <c r="DH136" s="88"/>
      <c r="DI136" s="88"/>
      <c r="DJ136" s="88"/>
      <c r="DK136" s="88"/>
      <c r="DL136" s="88"/>
      <c r="DM136" s="88"/>
      <c r="DN136" s="88"/>
      <c r="DO136" s="88"/>
      <c r="DP136" s="88"/>
      <c r="DQ136" s="88"/>
      <c r="DR136" s="88"/>
      <c r="DS136" s="88"/>
      <c r="DT136" s="88"/>
      <c r="DU136" s="88"/>
      <c r="DV136" s="88"/>
      <c r="DW136" s="88"/>
      <c r="DX136" s="88"/>
      <c r="DY136" s="88"/>
      <c r="DZ136" s="88"/>
      <c r="EA136" s="88"/>
      <c r="EB136" s="88"/>
      <c r="EC136" s="88"/>
      <c r="ED136" s="88"/>
      <c r="EE136" s="88"/>
      <c r="EF136" s="88"/>
      <c r="EG136" s="88"/>
      <c r="EH136" s="88"/>
      <c r="EI136" s="88"/>
      <c r="EJ136" s="88"/>
      <c r="EK136" s="88"/>
      <c r="EL136" s="88"/>
      <c r="EM136" s="88"/>
      <c r="EN136" s="88"/>
      <c r="EO136" s="88"/>
      <c r="EP136" s="88"/>
      <c r="EQ136" s="88"/>
      <c r="ER136" s="88"/>
      <c r="ES136" s="88"/>
      <c r="ET136" s="88"/>
      <c r="EU136" s="88"/>
      <c r="EV136" s="88"/>
      <c r="EW136" s="88"/>
      <c r="EX136" s="88"/>
      <c r="EY136" s="88"/>
      <c r="EZ136" s="88"/>
      <c r="FA136" s="88"/>
      <c r="FB136" s="88"/>
      <c r="FC136" s="88"/>
      <c r="FD136" s="88"/>
      <c r="FE136" s="88"/>
      <c r="FF136" s="88"/>
      <c r="FG136" s="88"/>
      <c r="FH136" s="88"/>
      <c r="FI136" s="88"/>
      <c r="FJ136" s="88"/>
      <c r="FK136" s="88"/>
      <c r="FL136" s="88"/>
      <c r="FM136" s="88"/>
      <c r="FN136" s="88"/>
      <c r="FO136" s="88"/>
      <c r="FP136" s="88"/>
      <c r="FQ136" s="88"/>
      <c r="FR136" s="88"/>
      <c r="FS136" s="88"/>
      <c r="FT136" s="88"/>
      <c r="FU136" s="88"/>
      <c r="FV136" s="88"/>
      <c r="FW136" s="88"/>
      <c r="FX136" s="88"/>
      <c r="FY136" s="88"/>
      <c r="FZ136" s="88"/>
      <c r="GA136" s="88"/>
      <c r="GB136" s="88"/>
      <c r="GC136" s="88"/>
      <c r="GD136" s="88"/>
      <c r="GE136" s="88"/>
      <c r="GF136" s="88"/>
      <c r="GG136" s="88"/>
      <c r="GH136" s="88"/>
      <c r="GI136" s="88"/>
      <c r="GJ136" s="88"/>
      <c r="GK136" s="88"/>
      <c r="GL136" s="88"/>
      <c r="GM136" s="88"/>
      <c r="GN136" s="88"/>
      <c r="GO136" s="88"/>
      <c r="GP136" s="88"/>
      <c r="GQ136" s="88"/>
      <c r="GR136" s="88"/>
      <c r="GS136" s="88"/>
      <c r="GT136" s="88"/>
      <c r="GU136" s="88"/>
      <c r="GV136" s="88"/>
      <c r="GW136" s="88"/>
      <c r="GX136" s="88"/>
      <c r="GY136" s="88"/>
      <c r="GZ136" s="88"/>
      <c r="HA136" s="88"/>
      <c r="HB136" s="88"/>
      <c r="HC136" s="88"/>
      <c r="HD136" s="88"/>
      <c r="HE136" s="88"/>
    </row>
    <row r="137" spans="1:213">
      <c r="A137" s="1" t="s">
        <v>352</v>
      </c>
      <c r="B137" s="442"/>
      <c r="C137" s="88"/>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c r="AI137" s="88"/>
      <c r="AJ137" s="88"/>
      <c r="AK137" s="88"/>
      <c r="AL137" s="88"/>
      <c r="AM137" s="88"/>
      <c r="AN137" s="88"/>
      <c r="AO137" s="88"/>
      <c r="AP137" s="88"/>
      <c r="AQ137" s="88"/>
      <c r="AR137" s="88"/>
      <c r="AS137" s="88"/>
      <c r="AT137" s="88"/>
      <c r="AU137" s="88"/>
      <c r="AV137" s="88"/>
      <c r="AW137" s="88"/>
      <c r="AX137" s="88"/>
      <c r="AY137" s="88"/>
      <c r="AZ137" s="88"/>
      <c r="BA137" s="88"/>
      <c r="BB137" s="88"/>
      <c r="BC137" s="88"/>
      <c r="BD137" s="88"/>
      <c r="BE137" s="88"/>
      <c r="BF137" s="88"/>
      <c r="BG137" s="88"/>
      <c r="BH137" s="88"/>
      <c r="BI137" s="88"/>
      <c r="BJ137" s="88"/>
      <c r="BK137" s="88"/>
      <c r="BL137" s="88"/>
      <c r="BM137" s="88"/>
      <c r="BN137" s="88"/>
      <c r="BO137" s="88"/>
      <c r="BP137" s="88"/>
      <c r="BQ137" s="88"/>
      <c r="BR137" s="88"/>
      <c r="BS137" s="88"/>
      <c r="BT137" s="88"/>
      <c r="BU137" s="88"/>
      <c r="BV137" s="88"/>
      <c r="BW137" s="88"/>
      <c r="BX137" s="88"/>
      <c r="BY137" s="88"/>
      <c r="BZ137" s="88"/>
      <c r="CA137" s="88"/>
      <c r="CB137" s="88"/>
      <c r="CC137" s="88"/>
      <c r="CD137" s="88"/>
      <c r="CE137" s="88"/>
      <c r="CF137" s="88"/>
      <c r="CG137" s="88"/>
      <c r="CH137" s="88"/>
      <c r="CI137" s="88"/>
      <c r="CJ137" s="88"/>
      <c r="CK137" s="88"/>
      <c r="CL137" s="88"/>
      <c r="CM137" s="88"/>
      <c r="CN137" s="88"/>
      <c r="CO137" s="88"/>
      <c r="CP137" s="88"/>
      <c r="CQ137" s="88"/>
      <c r="CR137" s="88"/>
      <c r="CS137" s="88"/>
      <c r="CT137" s="88"/>
      <c r="CU137" s="88"/>
      <c r="CV137" s="88"/>
      <c r="CW137" s="88"/>
      <c r="CX137" s="88"/>
      <c r="CY137" s="88"/>
      <c r="CZ137" s="88"/>
      <c r="DA137" s="88"/>
      <c r="DB137" s="88"/>
      <c r="DC137" s="88"/>
      <c r="DD137" s="88"/>
      <c r="DE137" s="88"/>
      <c r="DF137" s="88"/>
      <c r="DG137" s="88"/>
      <c r="DH137" s="88"/>
      <c r="DI137" s="88"/>
      <c r="DJ137" s="88"/>
      <c r="DK137" s="88"/>
      <c r="DL137" s="88"/>
      <c r="DM137" s="88"/>
      <c r="DN137" s="88"/>
      <c r="DO137" s="88"/>
      <c r="DP137" s="88"/>
      <c r="DQ137" s="88"/>
      <c r="DR137" s="88"/>
      <c r="DS137" s="88"/>
      <c r="DT137" s="88"/>
      <c r="DU137" s="88"/>
      <c r="DV137" s="88"/>
      <c r="DW137" s="88"/>
      <c r="DX137" s="88"/>
      <c r="DY137" s="88"/>
      <c r="DZ137" s="88"/>
      <c r="EA137" s="88"/>
      <c r="EB137" s="88"/>
      <c r="EC137" s="88"/>
      <c r="ED137" s="88"/>
      <c r="EE137" s="88"/>
      <c r="EF137" s="88"/>
      <c r="EG137" s="88"/>
      <c r="EH137" s="88"/>
      <c r="EI137" s="88"/>
      <c r="EJ137" s="88"/>
      <c r="EK137" s="88"/>
      <c r="EL137" s="88"/>
      <c r="EM137" s="88"/>
      <c r="EN137" s="88"/>
      <c r="EO137" s="88"/>
      <c r="EP137" s="88"/>
      <c r="EQ137" s="88"/>
      <c r="ER137" s="88"/>
      <c r="ES137" s="88"/>
      <c r="ET137" s="88"/>
      <c r="EU137" s="88"/>
      <c r="EV137" s="88"/>
      <c r="EW137" s="88"/>
      <c r="EX137" s="88"/>
      <c r="EY137" s="88"/>
      <c r="EZ137" s="88"/>
      <c r="FA137" s="88"/>
      <c r="FB137" s="88"/>
      <c r="FC137" s="88"/>
      <c r="FD137" s="88"/>
      <c r="FE137" s="88"/>
      <c r="FF137" s="88"/>
      <c r="FG137" s="88"/>
      <c r="FH137" s="88"/>
      <c r="FI137" s="88"/>
      <c r="FJ137" s="88"/>
      <c r="FK137" s="88"/>
      <c r="FL137" s="88"/>
      <c r="FM137" s="88"/>
      <c r="FN137" s="88"/>
      <c r="FO137" s="88"/>
      <c r="FP137" s="88"/>
      <c r="FQ137" s="88"/>
      <c r="FR137" s="88"/>
      <c r="FS137" s="88"/>
      <c r="FT137" s="88"/>
      <c r="FU137" s="88"/>
      <c r="FV137" s="88"/>
      <c r="FW137" s="88"/>
      <c r="FX137" s="88"/>
      <c r="FY137" s="88"/>
      <c r="FZ137" s="88"/>
      <c r="GA137" s="88"/>
      <c r="GB137" s="88"/>
      <c r="GC137" s="88"/>
      <c r="GD137" s="88"/>
      <c r="GE137" s="88"/>
      <c r="GF137" s="88"/>
      <c r="GG137" s="88"/>
      <c r="GH137" s="88"/>
      <c r="GI137" s="88"/>
      <c r="GJ137" s="88"/>
      <c r="GK137" s="88"/>
      <c r="GL137" s="88"/>
      <c r="GM137" s="88"/>
      <c r="GN137" s="88"/>
      <c r="GO137" s="88"/>
      <c r="GP137" s="88"/>
      <c r="GQ137" s="88"/>
      <c r="GR137" s="88"/>
      <c r="GS137" s="88"/>
      <c r="GT137" s="88"/>
      <c r="GU137" s="88"/>
      <c r="GV137" s="88"/>
      <c r="GW137" s="88"/>
      <c r="GX137" s="88"/>
      <c r="GY137" s="88"/>
      <c r="GZ137" s="88"/>
      <c r="HA137" s="88"/>
      <c r="HB137" s="88"/>
      <c r="HC137" s="88"/>
      <c r="HD137" s="88"/>
      <c r="HE137" s="88"/>
    </row>
    <row r="138" spans="1:213" ht="28.8">
      <c r="A138" s="501" t="s">
        <v>353</v>
      </c>
      <c r="B138" s="434"/>
      <c r="C138"/>
      <c r="D138" s="88"/>
      <c r="E138" s="88"/>
      <c r="F138" s="88"/>
      <c r="G138" s="88"/>
      <c r="H138" s="88"/>
      <c r="I138" s="88"/>
      <c r="J138" s="88"/>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c r="AI138" s="88"/>
      <c r="AJ138" s="88"/>
      <c r="AK138" s="88"/>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8"/>
      <c r="BH138" s="88"/>
      <c r="BI138" s="88"/>
      <c r="BJ138" s="88"/>
      <c r="BK138" s="88"/>
      <c r="BL138" s="88"/>
      <c r="BM138" s="88"/>
      <c r="BN138" s="88"/>
      <c r="BO138" s="88"/>
      <c r="BP138" s="88"/>
      <c r="BQ138" s="88"/>
      <c r="BR138" s="88"/>
      <c r="BS138" s="88"/>
      <c r="BT138" s="88"/>
      <c r="BU138" s="88"/>
      <c r="BV138" s="88"/>
      <c r="BW138" s="88"/>
      <c r="BX138" s="88"/>
      <c r="BY138" s="88"/>
      <c r="BZ138" s="88"/>
      <c r="CA138" s="88"/>
      <c r="CB138" s="88"/>
      <c r="CC138" s="88"/>
      <c r="CD138" s="88"/>
      <c r="CE138" s="88"/>
      <c r="CF138" s="88"/>
      <c r="CG138" s="88"/>
      <c r="CH138" s="88"/>
      <c r="CI138" s="88"/>
      <c r="CJ138" s="88"/>
      <c r="CK138" s="88"/>
      <c r="CL138" s="88"/>
      <c r="CM138" s="88"/>
      <c r="CN138" s="88"/>
      <c r="CO138" s="88"/>
      <c r="CP138" s="88"/>
      <c r="CQ138" s="88"/>
      <c r="CR138" s="88"/>
      <c r="CS138" s="88"/>
      <c r="CT138" s="88"/>
      <c r="CU138" s="88"/>
      <c r="CV138" s="88"/>
      <c r="CW138" s="88"/>
      <c r="CX138" s="88"/>
      <c r="CY138" s="88"/>
      <c r="CZ138" s="88"/>
      <c r="DA138" s="88"/>
      <c r="DB138" s="88"/>
      <c r="DC138" s="88"/>
      <c r="DD138" s="88"/>
      <c r="DE138" s="88"/>
      <c r="DF138" s="88"/>
      <c r="DG138" s="88"/>
      <c r="DH138" s="88"/>
      <c r="DI138" s="88"/>
      <c r="DJ138" s="88"/>
      <c r="DK138" s="88"/>
      <c r="DL138" s="88"/>
      <c r="DM138" s="88"/>
      <c r="DN138" s="88"/>
      <c r="DO138" s="88"/>
      <c r="DP138" s="88"/>
      <c r="DQ138" s="88"/>
      <c r="DR138" s="88"/>
      <c r="DS138" s="88"/>
      <c r="DT138" s="88"/>
      <c r="DU138" s="88"/>
      <c r="DV138" s="88"/>
      <c r="DW138" s="88"/>
      <c r="DX138" s="88"/>
      <c r="DY138" s="88"/>
      <c r="DZ138" s="88"/>
      <c r="EA138" s="88"/>
      <c r="EB138" s="88"/>
      <c r="EC138" s="88"/>
      <c r="ED138" s="88"/>
      <c r="EE138" s="88"/>
      <c r="EF138" s="88"/>
      <c r="EG138" s="88"/>
      <c r="EH138" s="88"/>
      <c r="EI138" s="88"/>
      <c r="EJ138" s="88"/>
      <c r="EK138" s="88"/>
      <c r="EL138" s="88"/>
      <c r="EM138" s="88"/>
      <c r="EN138" s="88"/>
      <c r="EO138" s="88"/>
      <c r="EP138" s="88"/>
      <c r="EQ138" s="88"/>
      <c r="ER138" s="88"/>
      <c r="ES138" s="88"/>
      <c r="ET138" s="88"/>
      <c r="EU138" s="88"/>
      <c r="EV138" s="88"/>
      <c r="EW138" s="88"/>
      <c r="EX138" s="88"/>
      <c r="EY138" s="88"/>
      <c r="EZ138" s="88"/>
      <c r="FA138" s="88"/>
      <c r="FB138" s="88"/>
      <c r="FC138" s="88"/>
      <c r="FD138" s="88"/>
      <c r="FE138" s="88"/>
      <c r="FF138" s="88"/>
      <c r="FG138" s="88"/>
      <c r="FH138" s="88"/>
      <c r="FI138" s="88"/>
      <c r="FJ138" s="88"/>
      <c r="FK138" s="88"/>
      <c r="FL138" s="88"/>
      <c r="FM138" s="88"/>
      <c r="FN138" s="88"/>
      <c r="FO138" s="88"/>
      <c r="FP138" s="88"/>
      <c r="FQ138" s="88"/>
      <c r="FR138" s="88"/>
      <c r="FS138" s="88"/>
      <c r="FT138" s="88"/>
      <c r="FU138" s="88"/>
      <c r="FV138" s="88"/>
      <c r="FW138" s="88"/>
      <c r="FX138" s="88"/>
      <c r="FY138" s="88"/>
      <c r="FZ138" s="88"/>
      <c r="GA138" s="88"/>
      <c r="GB138" s="88"/>
      <c r="GC138" s="88"/>
      <c r="GD138" s="88"/>
      <c r="GE138" s="88"/>
      <c r="GF138" s="88"/>
      <c r="GG138" s="88"/>
      <c r="GH138" s="88"/>
      <c r="GI138" s="88"/>
      <c r="GJ138" s="88"/>
      <c r="GK138" s="88"/>
      <c r="GL138" s="88"/>
      <c r="GM138" s="88"/>
      <c r="GN138" s="88"/>
      <c r="GO138" s="88"/>
      <c r="GP138" s="88"/>
      <c r="GQ138" s="88"/>
      <c r="GR138" s="88"/>
      <c r="GS138" s="88"/>
      <c r="GT138" s="88"/>
      <c r="GU138" s="88"/>
      <c r="GV138" s="88"/>
      <c r="GW138" s="88"/>
      <c r="GX138" s="88"/>
      <c r="GY138" s="88"/>
      <c r="GZ138" s="88"/>
      <c r="HA138" s="88"/>
      <c r="HB138" s="88"/>
      <c r="HC138" s="88"/>
      <c r="HD138" s="88"/>
      <c r="HE138" s="88"/>
    </row>
    <row r="139" spans="1:213">
      <c r="A139" s="1" t="s">
        <v>354</v>
      </c>
      <c r="B139" s="443"/>
      <c r="C139" s="88"/>
      <c r="D139" s="88"/>
      <c r="E139" s="88"/>
      <c r="F139" s="88"/>
      <c r="G139" s="88"/>
      <c r="H139" s="88"/>
      <c r="I139" s="88"/>
      <c r="J139" s="88"/>
      <c r="K139" s="88"/>
      <c r="L139" s="88"/>
      <c r="M139" s="88"/>
      <c r="N139" s="88"/>
      <c r="O139" s="88"/>
      <c r="P139" s="88"/>
      <c r="Q139" s="88"/>
      <c r="R139" s="88"/>
      <c r="S139" s="88"/>
      <c r="T139" s="88"/>
      <c r="U139" s="88"/>
      <c r="V139" s="88"/>
      <c r="W139" s="88"/>
      <c r="X139" s="88"/>
      <c r="Y139" s="88"/>
      <c r="Z139" s="88"/>
      <c r="AA139" s="88"/>
      <c r="AB139" s="88"/>
      <c r="AC139" s="88"/>
      <c r="AD139" s="88"/>
      <c r="AE139" s="88"/>
      <c r="AF139" s="88"/>
      <c r="AG139" s="88"/>
      <c r="AH139" s="88"/>
      <c r="AI139" s="88"/>
      <c r="AJ139" s="88"/>
      <c r="AK139" s="88"/>
      <c r="AL139" s="88"/>
      <c r="AM139" s="88"/>
      <c r="AN139" s="88"/>
      <c r="AO139" s="88"/>
      <c r="AP139" s="88"/>
      <c r="AQ139" s="88"/>
      <c r="AR139" s="88"/>
      <c r="AS139" s="88"/>
      <c r="AT139" s="88"/>
      <c r="AU139" s="88"/>
      <c r="AV139" s="88"/>
      <c r="AW139" s="88"/>
      <c r="AX139" s="88"/>
      <c r="AY139" s="88"/>
      <c r="AZ139" s="88"/>
      <c r="BA139" s="88"/>
      <c r="BB139" s="88"/>
      <c r="BC139" s="88"/>
      <c r="BD139" s="88"/>
      <c r="BE139" s="88"/>
      <c r="BF139" s="88"/>
      <c r="BG139" s="88"/>
      <c r="BH139" s="88"/>
      <c r="BI139" s="88"/>
      <c r="BJ139" s="88"/>
      <c r="BK139" s="88"/>
      <c r="BL139" s="88"/>
      <c r="BM139" s="88"/>
      <c r="BN139" s="88"/>
      <c r="BO139" s="88"/>
      <c r="BP139" s="88"/>
      <c r="BQ139" s="88"/>
      <c r="BR139" s="88"/>
      <c r="BS139" s="88"/>
      <c r="BT139" s="88"/>
      <c r="BU139" s="88"/>
      <c r="BV139" s="88"/>
      <c r="BW139" s="88"/>
      <c r="BX139" s="88"/>
      <c r="BY139" s="88"/>
      <c r="BZ139" s="88"/>
      <c r="CA139" s="88"/>
      <c r="CB139" s="88"/>
      <c r="CC139" s="88"/>
      <c r="CD139" s="88"/>
      <c r="CE139" s="88"/>
      <c r="CF139" s="88"/>
      <c r="CG139" s="88"/>
      <c r="CH139" s="88"/>
      <c r="CI139" s="88"/>
      <c r="CJ139" s="88"/>
      <c r="CK139" s="88"/>
      <c r="CL139" s="88"/>
      <c r="CM139" s="88"/>
      <c r="CN139" s="88"/>
      <c r="CO139" s="88"/>
      <c r="CP139" s="88"/>
      <c r="CQ139" s="88"/>
      <c r="CR139" s="88"/>
      <c r="CS139" s="88"/>
      <c r="CT139" s="88"/>
      <c r="CU139" s="88"/>
      <c r="CV139" s="88"/>
      <c r="CW139" s="88"/>
      <c r="CX139" s="88"/>
      <c r="CY139" s="88"/>
      <c r="CZ139" s="88"/>
      <c r="DA139" s="88"/>
      <c r="DB139" s="88"/>
      <c r="DC139" s="88"/>
      <c r="DD139" s="88"/>
      <c r="DE139" s="88"/>
      <c r="DF139" s="88"/>
      <c r="DG139" s="88"/>
      <c r="DH139" s="88"/>
      <c r="DI139" s="88"/>
      <c r="DJ139" s="88"/>
      <c r="DK139" s="88"/>
      <c r="DL139" s="88"/>
      <c r="DM139" s="88"/>
      <c r="DN139" s="88"/>
      <c r="DO139" s="88"/>
      <c r="DP139" s="88"/>
      <c r="DQ139" s="88"/>
      <c r="DR139" s="88"/>
      <c r="DS139" s="88"/>
      <c r="DT139" s="88"/>
      <c r="DU139" s="88"/>
      <c r="DV139" s="88"/>
      <c r="DW139" s="88"/>
      <c r="DX139" s="88"/>
      <c r="DY139" s="88"/>
      <c r="DZ139" s="88"/>
      <c r="EA139" s="88"/>
      <c r="EB139" s="88"/>
      <c r="EC139" s="88"/>
      <c r="ED139" s="88"/>
      <c r="EE139" s="88"/>
      <c r="EF139" s="88"/>
      <c r="EG139" s="88"/>
      <c r="EH139" s="88"/>
      <c r="EI139" s="88"/>
      <c r="EJ139" s="88"/>
      <c r="EK139" s="88"/>
      <c r="EL139" s="88"/>
      <c r="EM139" s="88"/>
      <c r="EN139" s="88"/>
      <c r="EO139" s="88"/>
      <c r="EP139" s="88"/>
      <c r="EQ139" s="88"/>
      <c r="ER139" s="88"/>
      <c r="ES139" s="88"/>
      <c r="ET139" s="88"/>
      <c r="EU139" s="88"/>
      <c r="EV139" s="88"/>
      <c r="EW139" s="88"/>
      <c r="EX139" s="88"/>
      <c r="EY139" s="88"/>
      <c r="EZ139" s="88"/>
      <c r="FA139" s="88"/>
      <c r="FB139" s="88"/>
      <c r="FC139" s="88"/>
      <c r="FD139" s="88"/>
      <c r="FE139" s="88"/>
      <c r="FF139" s="88"/>
      <c r="FG139" s="88"/>
      <c r="FH139" s="88"/>
      <c r="FI139" s="88"/>
      <c r="FJ139" s="88"/>
      <c r="FK139" s="88"/>
      <c r="FL139" s="88"/>
      <c r="FM139" s="88"/>
      <c r="FN139" s="88"/>
      <c r="FO139" s="88"/>
      <c r="FP139" s="88"/>
      <c r="FQ139" s="88"/>
      <c r="FR139" s="88"/>
      <c r="FS139" s="88"/>
      <c r="FT139" s="88"/>
      <c r="FU139" s="88"/>
      <c r="FV139" s="88"/>
      <c r="FW139" s="88"/>
      <c r="FX139" s="88"/>
      <c r="FY139" s="88"/>
      <c r="FZ139" s="88"/>
      <c r="GA139" s="88"/>
      <c r="GB139" s="88"/>
      <c r="GC139" s="88"/>
      <c r="GD139" s="88"/>
      <c r="GE139" s="88"/>
      <c r="GF139" s="88"/>
      <c r="GG139" s="88"/>
      <c r="GH139" s="88"/>
      <c r="GI139" s="88"/>
      <c r="GJ139" s="88"/>
      <c r="GK139" s="88"/>
      <c r="GL139" s="88"/>
      <c r="GM139" s="88"/>
      <c r="GN139" s="88"/>
      <c r="GO139" s="88"/>
      <c r="GP139" s="88"/>
      <c r="GQ139" s="88"/>
      <c r="GR139" s="88"/>
      <c r="GS139" s="88"/>
      <c r="GT139" s="88"/>
      <c r="GU139" s="88"/>
      <c r="GV139" s="88"/>
      <c r="GW139" s="88"/>
      <c r="GX139" s="88"/>
      <c r="GY139" s="88"/>
      <c r="GZ139" s="88"/>
      <c r="HA139" s="88"/>
      <c r="HB139" s="88"/>
      <c r="HC139" s="88"/>
      <c r="HD139" s="88"/>
      <c r="HE139" s="88"/>
    </row>
    <row r="140" spans="1:213">
      <c r="A140" s="3" t="s">
        <v>355</v>
      </c>
      <c r="B140" s="3"/>
      <c r="C140" s="3"/>
      <c r="D140" s="88"/>
      <c r="E140" s="88"/>
      <c r="F140" s="88"/>
      <c r="G140" s="88"/>
      <c r="H140" s="88"/>
      <c r="I140" s="88"/>
      <c r="J140" s="88"/>
      <c r="K140" s="88"/>
      <c r="L140" s="88"/>
      <c r="M140" s="88"/>
      <c r="N140" s="88"/>
      <c r="O140" s="88"/>
      <c r="P140" s="88"/>
      <c r="Q140" s="88"/>
      <c r="R140" s="88"/>
      <c r="S140" s="88"/>
      <c r="T140" s="88"/>
      <c r="U140" s="88"/>
      <c r="V140" s="88"/>
      <c r="W140" s="88"/>
      <c r="X140" s="88"/>
      <c r="Y140" s="88"/>
      <c r="Z140" s="88"/>
      <c r="AA140" s="88"/>
      <c r="AB140" s="88"/>
      <c r="AC140" s="88"/>
      <c r="AD140" s="88"/>
      <c r="AE140" s="88"/>
      <c r="AF140" s="88"/>
      <c r="AG140" s="88"/>
      <c r="AH140" s="88"/>
      <c r="AI140" s="88"/>
      <c r="AJ140" s="88"/>
      <c r="AK140" s="88"/>
      <c r="AL140" s="88"/>
      <c r="AM140" s="88"/>
      <c r="AN140" s="88"/>
      <c r="AO140" s="88"/>
      <c r="AP140" s="88"/>
      <c r="AQ140" s="88"/>
      <c r="AR140" s="88"/>
      <c r="AS140" s="88"/>
      <c r="AT140" s="88"/>
      <c r="AU140" s="88"/>
      <c r="AV140" s="88"/>
      <c r="AW140" s="88"/>
      <c r="AX140" s="88"/>
      <c r="AY140" s="88"/>
      <c r="AZ140" s="88"/>
      <c r="BA140" s="88"/>
      <c r="BB140" s="88"/>
      <c r="BC140" s="88"/>
      <c r="BD140" s="88"/>
      <c r="BE140" s="88"/>
      <c r="BF140" s="88"/>
      <c r="BG140" s="88"/>
      <c r="BH140" s="88"/>
      <c r="BI140" s="88"/>
      <c r="BJ140" s="88"/>
      <c r="BK140" s="88"/>
      <c r="BL140" s="88"/>
      <c r="BM140" s="88"/>
      <c r="BN140" s="88"/>
      <c r="BO140" s="88"/>
      <c r="BP140" s="88"/>
      <c r="BQ140" s="88"/>
      <c r="BR140" s="88"/>
      <c r="BS140" s="88"/>
      <c r="BT140" s="88"/>
      <c r="BU140" s="88"/>
      <c r="BV140" s="88"/>
      <c r="BW140" s="88"/>
      <c r="BX140" s="88"/>
      <c r="BY140" s="88"/>
      <c r="BZ140" s="88"/>
      <c r="CA140" s="88"/>
      <c r="CB140" s="88"/>
      <c r="CC140" s="88"/>
      <c r="CD140" s="88"/>
      <c r="CE140" s="88"/>
      <c r="CF140" s="88"/>
      <c r="CG140" s="88"/>
      <c r="CH140" s="88"/>
      <c r="CI140" s="88"/>
      <c r="CJ140" s="88"/>
      <c r="CK140" s="88"/>
      <c r="CL140" s="88"/>
      <c r="CM140" s="88"/>
      <c r="CN140" s="88"/>
      <c r="CO140" s="88"/>
      <c r="CP140" s="88"/>
      <c r="CQ140" s="88"/>
      <c r="CR140" s="88"/>
      <c r="CS140" s="88"/>
      <c r="CT140" s="88"/>
      <c r="CU140" s="88"/>
      <c r="CV140" s="88"/>
      <c r="CW140" s="88"/>
      <c r="CX140" s="88"/>
      <c r="CY140" s="88"/>
      <c r="CZ140" s="88"/>
      <c r="DA140" s="88"/>
      <c r="DB140" s="88"/>
      <c r="DC140" s="88"/>
      <c r="DD140" s="88"/>
      <c r="DE140" s="88"/>
      <c r="DF140" s="88"/>
      <c r="DG140" s="88"/>
      <c r="DH140" s="88"/>
      <c r="DI140" s="88"/>
      <c r="DJ140" s="88"/>
      <c r="DK140" s="88"/>
      <c r="DL140" s="88"/>
      <c r="DM140" s="88"/>
      <c r="DN140" s="88"/>
      <c r="DO140" s="88"/>
      <c r="DP140" s="88"/>
      <c r="DQ140" s="88"/>
      <c r="DR140" s="88"/>
      <c r="DS140" s="88"/>
      <c r="DT140" s="88"/>
      <c r="DU140" s="88"/>
      <c r="DV140" s="88"/>
      <c r="DW140" s="88"/>
      <c r="DX140" s="88"/>
      <c r="DY140" s="88"/>
      <c r="DZ140" s="88"/>
      <c r="EA140" s="88"/>
      <c r="EB140" s="88"/>
      <c r="EC140" s="88"/>
      <c r="ED140" s="88"/>
      <c r="EE140" s="88"/>
      <c r="EF140" s="88"/>
      <c r="EG140" s="88"/>
      <c r="EH140" s="88"/>
      <c r="EI140" s="88"/>
      <c r="EJ140" s="88"/>
      <c r="EK140" s="88"/>
      <c r="EL140" s="88"/>
      <c r="EM140" s="88"/>
      <c r="EN140" s="88"/>
      <c r="EO140" s="88"/>
      <c r="EP140" s="88"/>
      <c r="EQ140" s="88"/>
      <c r="ER140" s="88"/>
      <c r="ES140" s="88"/>
      <c r="ET140" s="88"/>
      <c r="EU140" s="88"/>
      <c r="EV140" s="88"/>
      <c r="EW140" s="88"/>
      <c r="EX140" s="88"/>
      <c r="EY140" s="88"/>
      <c r="EZ140" s="88"/>
      <c r="FA140" s="88"/>
      <c r="FB140" s="88"/>
      <c r="FC140" s="88"/>
      <c r="FD140" s="88"/>
      <c r="FE140" s="88"/>
      <c r="FF140" s="88"/>
      <c r="FG140" s="88"/>
      <c r="FH140" s="88"/>
      <c r="FI140" s="88"/>
      <c r="FJ140" s="88"/>
      <c r="FK140" s="88"/>
      <c r="FL140" s="88"/>
      <c r="FM140" s="88"/>
      <c r="FN140" s="88"/>
      <c r="FO140" s="88"/>
      <c r="FP140" s="88"/>
      <c r="FQ140" s="88"/>
      <c r="FR140" s="88"/>
      <c r="FS140" s="88"/>
      <c r="FT140" s="88"/>
      <c r="FU140" s="88"/>
      <c r="FV140" s="88"/>
      <c r="FW140" s="88"/>
      <c r="FX140" s="88"/>
      <c r="FY140" s="88"/>
      <c r="FZ140" s="88"/>
      <c r="GA140" s="88"/>
      <c r="GB140" s="88"/>
      <c r="GC140" s="88"/>
      <c r="GD140" s="88"/>
      <c r="GE140" s="88"/>
      <c r="GF140" s="88"/>
      <c r="GG140" s="88"/>
      <c r="GH140" s="88"/>
      <c r="GI140" s="88"/>
      <c r="GJ140" s="88"/>
      <c r="GK140" s="88"/>
      <c r="GL140" s="88"/>
      <c r="GM140" s="88"/>
      <c r="GN140" s="88"/>
      <c r="GO140" s="88"/>
      <c r="GP140" s="88"/>
      <c r="GQ140" s="88"/>
      <c r="GR140" s="88"/>
      <c r="GS140" s="88"/>
      <c r="GT140" s="88"/>
      <c r="GU140" s="88"/>
      <c r="GV140" s="88"/>
      <c r="GW140" s="88"/>
      <c r="GX140" s="88"/>
      <c r="GY140" s="88"/>
      <c r="GZ140" s="88"/>
      <c r="HA140" s="88"/>
      <c r="HB140" s="88"/>
      <c r="HC140" s="88"/>
      <c r="HD140" s="88"/>
      <c r="HE140" s="88"/>
    </row>
    <row r="141" spans="1:213" ht="28.8">
      <c r="A141" s="501" t="s">
        <v>356</v>
      </c>
      <c r="B141" s="442"/>
      <c r="C141" s="88"/>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8"/>
      <c r="AD141" s="88"/>
      <c r="AE141" s="88"/>
      <c r="AF141" s="88"/>
      <c r="AG141" s="88"/>
      <c r="AH141" s="88"/>
      <c r="AI141" s="88"/>
      <c r="AJ141" s="88"/>
      <c r="AK141" s="88"/>
      <c r="AL141" s="88"/>
      <c r="AM141" s="88"/>
      <c r="AN141" s="88"/>
      <c r="AO141" s="88"/>
      <c r="AP141" s="88"/>
      <c r="AQ141" s="88"/>
      <c r="AR141" s="88"/>
      <c r="AS141" s="88"/>
      <c r="AT141" s="88"/>
      <c r="AU141" s="88"/>
      <c r="AV141" s="88"/>
      <c r="AW141" s="88"/>
      <c r="AX141" s="88"/>
      <c r="AY141" s="88"/>
      <c r="AZ141" s="88"/>
      <c r="BA141" s="88"/>
      <c r="BB141" s="88"/>
      <c r="BC141" s="88"/>
      <c r="BD141" s="88"/>
      <c r="BE141" s="88"/>
      <c r="BF141" s="88"/>
      <c r="BG141" s="88"/>
      <c r="BH141" s="88"/>
      <c r="BI141" s="88"/>
      <c r="BJ141" s="88"/>
      <c r="BK141" s="88"/>
      <c r="BL141" s="88"/>
      <c r="BM141" s="88"/>
      <c r="BN141" s="88"/>
      <c r="BO141" s="88"/>
      <c r="BP141" s="88"/>
      <c r="BQ141" s="88"/>
      <c r="BR141" s="88"/>
      <c r="BS141" s="88"/>
      <c r="BT141" s="88"/>
      <c r="BU141" s="88"/>
      <c r="BV141" s="88"/>
      <c r="BW141" s="88"/>
      <c r="BX141" s="88"/>
      <c r="BY141" s="88"/>
      <c r="BZ141" s="88"/>
      <c r="CA141" s="88"/>
      <c r="CB141" s="88"/>
      <c r="CC141" s="88"/>
      <c r="CD141" s="88"/>
      <c r="CE141" s="88"/>
      <c r="CF141" s="88"/>
      <c r="CG141" s="88"/>
      <c r="CH141" s="88"/>
      <c r="CI141" s="88"/>
      <c r="CJ141" s="88"/>
      <c r="CK141" s="88"/>
      <c r="CL141" s="88"/>
      <c r="CM141" s="88"/>
      <c r="CN141" s="88"/>
      <c r="CO141" s="88"/>
      <c r="CP141" s="88"/>
      <c r="CQ141" s="88"/>
      <c r="CR141" s="88"/>
      <c r="CS141" s="88"/>
      <c r="CT141" s="88"/>
      <c r="CU141" s="88"/>
      <c r="CV141" s="88"/>
      <c r="CW141" s="88"/>
      <c r="CX141" s="88"/>
      <c r="CY141" s="88"/>
      <c r="CZ141" s="88"/>
      <c r="DA141" s="88"/>
      <c r="DB141" s="88"/>
      <c r="DC141" s="88"/>
      <c r="DD141" s="88"/>
      <c r="DE141" s="88"/>
      <c r="DF141" s="88"/>
      <c r="DG141" s="88"/>
      <c r="DH141" s="88"/>
      <c r="DI141" s="88"/>
      <c r="DJ141" s="88"/>
      <c r="DK141" s="88"/>
      <c r="DL141" s="88"/>
      <c r="DM141" s="88"/>
      <c r="DN141" s="88"/>
      <c r="DO141" s="88"/>
      <c r="DP141" s="88"/>
      <c r="DQ141" s="88"/>
      <c r="DR141" s="88"/>
      <c r="DS141" s="88"/>
      <c r="DT141" s="88"/>
      <c r="DU141" s="88"/>
      <c r="DV141" s="88"/>
      <c r="DW141" s="88"/>
      <c r="DX141" s="88"/>
      <c r="DY141" s="88"/>
      <c r="DZ141" s="88"/>
      <c r="EA141" s="88"/>
      <c r="EB141" s="88"/>
      <c r="EC141" s="88"/>
      <c r="ED141" s="88"/>
      <c r="EE141" s="88"/>
      <c r="EF141" s="88"/>
      <c r="EG141" s="88"/>
      <c r="EH141" s="88"/>
      <c r="EI141" s="88"/>
      <c r="EJ141" s="88"/>
      <c r="EK141" s="88"/>
      <c r="EL141" s="88"/>
      <c r="EM141" s="88"/>
      <c r="EN141" s="88"/>
      <c r="EO141" s="88"/>
      <c r="EP141" s="88"/>
      <c r="EQ141" s="88"/>
      <c r="ER141" s="88"/>
      <c r="ES141" s="88"/>
      <c r="ET141" s="88"/>
      <c r="EU141" s="88"/>
      <c r="EV141" s="88"/>
      <c r="EW141" s="88"/>
      <c r="EX141" s="88"/>
      <c r="EY141" s="88"/>
      <c r="EZ141" s="88"/>
      <c r="FA141" s="88"/>
      <c r="FB141" s="88"/>
      <c r="FC141" s="88"/>
      <c r="FD141" s="88"/>
      <c r="FE141" s="88"/>
      <c r="FF141" s="88"/>
      <c r="FG141" s="88"/>
      <c r="FH141" s="88"/>
      <c r="FI141" s="88"/>
      <c r="FJ141" s="88"/>
      <c r="FK141" s="88"/>
      <c r="FL141" s="88"/>
      <c r="FM141" s="88"/>
      <c r="FN141" s="88"/>
      <c r="FO141" s="88"/>
      <c r="FP141" s="88"/>
      <c r="FQ141" s="88"/>
      <c r="FR141" s="88"/>
      <c r="FS141" s="88"/>
      <c r="FT141" s="88"/>
      <c r="FU141" s="88"/>
      <c r="FV141" s="88"/>
      <c r="FW141" s="88"/>
      <c r="FX141" s="88"/>
      <c r="FY141" s="88"/>
      <c r="FZ141" s="88"/>
      <c r="GA141" s="88"/>
      <c r="GB141" s="88"/>
      <c r="GC141" s="88"/>
      <c r="GD141" s="88"/>
      <c r="GE141" s="88"/>
      <c r="GF141" s="88"/>
      <c r="GG141" s="88"/>
      <c r="GH141" s="88"/>
      <c r="GI141" s="88"/>
      <c r="GJ141" s="88"/>
      <c r="GK141" s="88"/>
      <c r="GL141" s="88"/>
      <c r="GM141" s="88"/>
      <c r="GN141" s="88"/>
      <c r="GO141" s="88"/>
      <c r="GP141" s="88"/>
      <c r="GQ141" s="88"/>
      <c r="GR141" s="88"/>
      <c r="GS141" s="88"/>
      <c r="GT141" s="88"/>
      <c r="GU141" s="88"/>
      <c r="GV141" s="88"/>
      <c r="GW141" s="88"/>
      <c r="GX141" s="88"/>
      <c r="GY141" s="88"/>
      <c r="GZ141" s="88"/>
      <c r="HA141" s="88"/>
      <c r="HB141" s="88"/>
      <c r="HC141" s="88"/>
      <c r="HD141" s="88"/>
      <c r="HE141" s="88"/>
    </row>
    <row r="142" spans="1:213">
      <c r="A142" s="501" t="s">
        <v>357</v>
      </c>
      <c r="B142" s="442"/>
      <c r="C142" s="88"/>
      <c r="D142" s="88"/>
      <c r="E142" s="88"/>
      <c r="F142" s="88"/>
      <c r="G142" s="88"/>
      <c r="H142" s="88"/>
      <c r="I142" s="88"/>
      <c r="J142" s="88"/>
      <c r="K142" s="88"/>
      <c r="L142" s="88"/>
      <c r="M142" s="88"/>
      <c r="N142" s="88"/>
      <c r="O142" s="88"/>
      <c r="P142" s="88"/>
      <c r="Q142" s="88"/>
      <c r="R142" s="88"/>
      <c r="S142" s="88"/>
      <c r="T142" s="88"/>
      <c r="U142" s="88"/>
      <c r="V142" s="88"/>
      <c r="W142" s="88"/>
      <c r="X142" s="88"/>
      <c r="Y142" s="88"/>
      <c r="Z142" s="88"/>
      <c r="AA142" s="88"/>
      <c r="AB142" s="88"/>
      <c r="AC142" s="88"/>
      <c r="AD142" s="88"/>
      <c r="AE142" s="88"/>
      <c r="AF142" s="88"/>
      <c r="AG142" s="88"/>
      <c r="AH142" s="88"/>
      <c r="AI142" s="88"/>
      <c r="AJ142" s="88"/>
      <c r="AK142" s="88"/>
      <c r="AL142" s="88"/>
      <c r="AM142" s="88"/>
      <c r="AN142" s="88"/>
      <c r="AO142" s="88"/>
      <c r="AP142" s="88"/>
      <c r="AQ142" s="88"/>
      <c r="AR142" s="88"/>
      <c r="AS142" s="88"/>
      <c r="AT142" s="88"/>
      <c r="AU142" s="88"/>
      <c r="AV142" s="88"/>
      <c r="AW142" s="88"/>
      <c r="AX142" s="88"/>
      <c r="AY142" s="88"/>
      <c r="AZ142" s="88"/>
      <c r="BA142" s="88"/>
      <c r="BB142" s="88"/>
      <c r="BC142" s="88"/>
      <c r="BD142" s="88"/>
      <c r="BE142" s="88"/>
      <c r="BF142" s="88"/>
      <c r="BG142" s="88"/>
      <c r="BH142" s="88"/>
      <c r="BI142" s="88"/>
      <c r="BJ142" s="88"/>
      <c r="BK142" s="88"/>
      <c r="BL142" s="88"/>
      <c r="BM142" s="88"/>
      <c r="BN142" s="88"/>
      <c r="BO142" s="88"/>
      <c r="BP142" s="88"/>
      <c r="BQ142" s="88"/>
      <c r="BR142" s="88"/>
      <c r="BS142" s="88"/>
      <c r="BT142" s="88"/>
      <c r="BU142" s="88"/>
      <c r="BV142" s="88"/>
      <c r="BW142" s="88"/>
      <c r="BX142" s="88"/>
      <c r="BY142" s="88"/>
      <c r="BZ142" s="88"/>
      <c r="CA142" s="88"/>
      <c r="CB142" s="88"/>
      <c r="CC142" s="88"/>
      <c r="CD142" s="88"/>
      <c r="CE142" s="88"/>
      <c r="CF142" s="88"/>
      <c r="CG142" s="88"/>
      <c r="CH142" s="88"/>
      <c r="CI142" s="88"/>
      <c r="CJ142" s="88"/>
      <c r="CK142" s="88"/>
      <c r="CL142" s="88"/>
      <c r="CM142" s="88"/>
      <c r="CN142" s="88"/>
      <c r="CO142" s="88"/>
      <c r="CP142" s="88"/>
      <c r="CQ142" s="88"/>
      <c r="CR142" s="88"/>
      <c r="CS142" s="88"/>
      <c r="CT142" s="88"/>
      <c r="CU142" s="88"/>
      <c r="CV142" s="88"/>
      <c r="CW142" s="88"/>
      <c r="CX142" s="88"/>
      <c r="CY142" s="88"/>
      <c r="CZ142" s="88"/>
      <c r="DA142" s="88"/>
      <c r="DB142" s="88"/>
      <c r="DC142" s="88"/>
      <c r="DD142" s="88"/>
      <c r="DE142" s="88"/>
      <c r="DF142" s="88"/>
      <c r="DG142" s="88"/>
      <c r="DH142" s="88"/>
      <c r="DI142" s="88"/>
      <c r="DJ142" s="88"/>
      <c r="DK142" s="88"/>
      <c r="DL142" s="88"/>
      <c r="DM142" s="88"/>
      <c r="DN142" s="88"/>
      <c r="DO142" s="88"/>
      <c r="DP142" s="88"/>
      <c r="DQ142" s="88"/>
      <c r="DR142" s="88"/>
      <c r="DS142" s="88"/>
      <c r="DT142" s="88"/>
      <c r="DU142" s="88"/>
      <c r="DV142" s="88"/>
      <c r="DW142" s="88"/>
      <c r="DX142" s="88"/>
      <c r="DY142" s="88"/>
      <c r="DZ142" s="88"/>
      <c r="EA142" s="88"/>
      <c r="EB142" s="88"/>
      <c r="EC142" s="88"/>
      <c r="ED142" s="88"/>
      <c r="EE142" s="88"/>
      <c r="EF142" s="88"/>
      <c r="EG142" s="88"/>
      <c r="EH142" s="88"/>
      <c r="EI142" s="88"/>
      <c r="EJ142" s="88"/>
      <c r="EK142" s="88"/>
      <c r="EL142" s="88"/>
      <c r="EM142" s="88"/>
      <c r="EN142" s="88"/>
      <c r="EO142" s="88"/>
      <c r="EP142" s="88"/>
      <c r="EQ142" s="88"/>
      <c r="ER142" s="88"/>
      <c r="ES142" s="88"/>
      <c r="ET142" s="88"/>
      <c r="EU142" s="88"/>
      <c r="EV142" s="88"/>
      <c r="EW142" s="88"/>
      <c r="EX142" s="88"/>
      <c r="EY142" s="88"/>
      <c r="EZ142" s="88"/>
      <c r="FA142" s="88"/>
      <c r="FB142" s="88"/>
      <c r="FC142" s="88"/>
      <c r="FD142" s="88"/>
      <c r="FE142" s="88"/>
      <c r="FF142" s="88"/>
      <c r="FG142" s="88"/>
      <c r="FH142" s="88"/>
      <c r="FI142" s="88"/>
      <c r="FJ142" s="88"/>
      <c r="FK142" s="88"/>
      <c r="FL142" s="88"/>
      <c r="FM142" s="88"/>
      <c r="FN142" s="88"/>
      <c r="FO142" s="88"/>
      <c r="FP142" s="88"/>
      <c r="FQ142" s="88"/>
      <c r="FR142" s="88"/>
      <c r="FS142" s="88"/>
      <c r="FT142" s="88"/>
      <c r="FU142" s="88"/>
      <c r="FV142" s="88"/>
      <c r="FW142" s="88"/>
      <c r="FX142" s="88"/>
      <c r="FY142" s="88"/>
      <c r="FZ142" s="88"/>
      <c r="GA142" s="88"/>
      <c r="GB142" s="88"/>
      <c r="GC142" s="88"/>
      <c r="GD142" s="88"/>
      <c r="GE142" s="88"/>
      <c r="GF142" s="88"/>
      <c r="GG142" s="88"/>
      <c r="GH142" s="88"/>
      <c r="GI142" s="88"/>
      <c r="GJ142" s="88"/>
      <c r="GK142" s="88"/>
      <c r="GL142" s="88"/>
      <c r="GM142" s="88"/>
      <c r="GN142" s="88"/>
      <c r="GO142" s="88"/>
      <c r="GP142" s="88"/>
      <c r="GQ142" s="88"/>
      <c r="GR142" s="88"/>
      <c r="GS142" s="88"/>
      <c r="GT142" s="88"/>
      <c r="GU142" s="88"/>
      <c r="GV142" s="88"/>
      <c r="GW142" s="88"/>
      <c r="GX142" s="88"/>
      <c r="GY142" s="88"/>
      <c r="GZ142" s="88"/>
      <c r="HA142" s="88"/>
      <c r="HB142" s="88"/>
      <c r="HC142" s="88"/>
      <c r="HD142" s="88"/>
      <c r="HE142" s="88"/>
    </row>
    <row r="143" spans="1:213">
      <c r="A143" s="1" t="s">
        <v>358</v>
      </c>
      <c r="B143" s="442"/>
      <c r="C143" s="88"/>
      <c r="D143" s="88"/>
      <c r="E143" s="88"/>
      <c r="F143" s="88"/>
      <c r="G143" s="88"/>
      <c r="H143" s="88"/>
      <c r="I143" s="88"/>
      <c r="J143" s="88"/>
      <c r="K143" s="88"/>
      <c r="L143" s="88"/>
      <c r="M143" s="88"/>
      <c r="N143" s="88"/>
      <c r="O143" s="88"/>
      <c r="P143" s="88"/>
      <c r="Q143" s="88"/>
      <c r="R143" s="88"/>
      <c r="S143" s="88"/>
      <c r="T143" s="88"/>
      <c r="U143" s="88"/>
      <c r="V143" s="88"/>
      <c r="W143" s="88"/>
      <c r="X143" s="88"/>
      <c r="Y143" s="88"/>
      <c r="Z143" s="88"/>
      <c r="AA143" s="88"/>
      <c r="AB143" s="88"/>
      <c r="AC143" s="88"/>
      <c r="AD143" s="88"/>
      <c r="AE143" s="88"/>
      <c r="AF143" s="88"/>
      <c r="AG143" s="88"/>
      <c r="AH143" s="88"/>
      <c r="AI143" s="88"/>
      <c r="AJ143" s="88"/>
      <c r="AK143" s="88"/>
      <c r="AL143" s="88"/>
      <c r="AM143" s="88"/>
      <c r="AN143" s="88"/>
      <c r="AO143" s="88"/>
      <c r="AP143" s="88"/>
      <c r="AQ143" s="88"/>
      <c r="AR143" s="88"/>
      <c r="AS143" s="88"/>
      <c r="AT143" s="88"/>
      <c r="AU143" s="88"/>
      <c r="AV143" s="88"/>
      <c r="AW143" s="88"/>
      <c r="AX143" s="88"/>
      <c r="AY143" s="88"/>
      <c r="AZ143" s="88"/>
      <c r="BA143" s="88"/>
      <c r="BB143" s="88"/>
      <c r="BC143" s="88"/>
      <c r="BD143" s="88"/>
      <c r="BE143" s="88"/>
      <c r="BF143" s="88"/>
      <c r="BG143" s="88"/>
      <c r="BH143" s="88"/>
      <c r="BI143" s="88"/>
      <c r="BJ143" s="88"/>
      <c r="BK143" s="88"/>
      <c r="BL143" s="88"/>
      <c r="BM143" s="88"/>
      <c r="BN143" s="88"/>
      <c r="BO143" s="88"/>
      <c r="BP143" s="88"/>
      <c r="BQ143" s="88"/>
      <c r="BR143" s="88"/>
      <c r="BS143" s="88"/>
      <c r="BT143" s="88"/>
      <c r="BU143" s="88"/>
      <c r="BV143" s="88"/>
      <c r="BW143" s="88"/>
      <c r="BX143" s="88"/>
      <c r="BY143" s="88"/>
      <c r="BZ143" s="88"/>
      <c r="CA143" s="88"/>
      <c r="CB143" s="88"/>
      <c r="CC143" s="88"/>
      <c r="CD143" s="88"/>
      <c r="CE143" s="88"/>
      <c r="CF143" s="88"/>
      <c r="CG143" s="88"/>
      <c r="CH143" s="88"/>
      <c r="CI143" s="88"/>
      <c r="CJ143" s="88"/>
      <c r="CK143" s="88"/>
      <c r="CL143" s="88"/>
      <c r="CM143" s="88"/>
      <c r="CN143" s="88"/>
      <c r="CO143" s="88"/>
      <c r="CP143" s="88"/>
      <c r="CQ143" s="88"/>
      <c r="CR143" s="88"/>
      <c r="CS143" s="88"/>
      <c r="CT143" s="88"/>
      <c r="CU143" s="88"/>
      <c r="CV143" s="88"/>
      <c r="CW143" s="88"/>
      <c r="CX143" s="88"/>
      <c r="CY143" s="88"/>
      <c r="CZ143" s="88"/>
      <c r="DA143" s="88"/>
      <c r="DB143" s="88"/>
      <c r="DC143" s="88"/>
      <c r="DD143" s="88"/>
      <c r="DE143" s="88"/>
      <c r="DF143" s="88"/>
      <c r="DG143" s="88"/>
      <c r="DH143" s="88"/>
      <c r="DI143" s="88"/>
      <c r="DJ143" s="88"/>
      <c r="DK143" s="88"/>
      <c r="DL143" s="88"/>
      <c r="DM143" s="88"/>
      <c r="DN143" s="88"/>
      <c r="DO143" s="88"/>
      <c r="DP143" s="88"/>
      <c r="DQ143" s="88"/>
      <c r="DR143" s="88"/>
      <c r="DS143" s="88"/>
      <c r="DT143" s="88"/>
      <c r="DU143" s="88"/>
      <c r="DV143" s="88"/>
      <c r="DW143" s="88"/>
      <c r="DX143" s="88"/>
      <c r="DY143" s="88"/>
      <c r="DZ143" s="88"/>
      <c r="EA143" s="88"/>
      <c r="EB143" s="88"/>
      <c r="EC143" s="88"/>
      <c r="ED143" s="88"/>
      <c r="EE143" s="88"/>
      <c r="EF143" s="88"/>
      <c r="EG143" s="88"/>
      <c r="EH143" s="88"/>
      <c r="EI143" s="88"/>
      <c r="EJ143" s="88"/>
      <c r="EK143" s="88"/>
      <c r="EL143" s="88"/>
      <c r="EM143" s="88"/>
      <c r="EN143" s="88"/>
      <c r="EO143" s="88"/>
      <c r="EP143" s="88"/>
      <c r="EQ143" s="88"/>
      <c r="ER143" s="88"/>
      <c r="ES143" s="88"/>
      <c r="ET143" s="88"/>
      <c r="EU143" s="88"/>
      <c r="EV143" s="88"/>
      <c r="EW143" s="88"/>
      <c r="EX143" s="88"/>
      <c r="EY143" s="88"/>
      <c r="EZ143" s="88"/>
      <c r="FA143" s="88"/>
      <c r="FB143" s="88"/>
      <c r="FC143" s="88"/>
      <c r="FD143" s="88"/>
      <c r="FE143" s="88"/>
      <c r="FF143" s="88"/>
      <c r="FG143" s="88"/>
      <c r="FH143" s="88"/>
      <c r="FI143" s="88"/>
      <c r="FJ143" s="88"/>
      <c r="FK143" s="88"/>
      <c r="FL143" s="88"/>
      <c r="FM143" s="88"/>
      <c r="FN143" s="88"/>
      <c r="FO143" s="88"/>
      <c r="FP143" s="88"/>
      <c r="FQ143" s="88"/>
      <c r="FR143" s="88"/>
      <c r="FS143" s="88"/>
      <c r="FT143" s="88"/>
      <c r="FU143" s="88"/>
      <c r="FV143" s="88"/>
      <c r="FW143" s="88"/>
      <c r="FX143" s="88"/>
      <c r="FY143" s="88"/>
      <c r="FZ143" s="88"/>
      <c r="GA143" s="88"/>
      <c r="GB143" s="88"/>
      <c r="GC143" s="88"/>
      <c r="GD143" s="88"/>
      <c r="GE143" s="88"/>
      <c r="GF143" s="88"/>
      <c r="GG143" s="88"/>
      <c r="GH143" s="88"/>
      <c r="GI143" s="88"/>
      <c r="GJ143" s="88"/>
      <c r="GK143" s="88"/>
      <c r="GL143" s="88"/>
      <c r="GM143" s="88"/>
      <c r="GN143" s="88"/>
      <c r="GO143" s="88"/>
      <c r="GP143" s="88"/>
      <c r="GQ143" s="88"/>
      <c r="GR143" s="88"/>
      <c r="GS143" s="88"/>
      <c r="GT143" s="88"/>
      <c r="GU143" s="88"/>
      <c r="GV143" s="88"/>
      <c r="GW143" s="88"/>
      <c r="GX143" s="88"/>
      <c r="GY143" s="88"/>
      <c r="GZ143" s="88"/>
      <c r="HA143" s="88"/>
      <c r="HB143" s="88"/>
      <c r="HC143" s="88"/>
      <c r="HD143" s="88"/>
      <c r="HE143" s="88"/>
    </row>
    <row r="144" spans="1:213">
      <c r="A144" s="1" t="s">
        <v>359</v>
      </c>
      <c r="B144" s="442"/>
      <c r="C144" s="88"/>
      <c r="D144" s="88"/>
      <c r="E144" s="88"/>
      <c r="F144" s="88"/>
      <c r="G144" s="88"/>
      <c r="H144" s="88"/>
      <c r="I144" s="88"/>
      <c r="J144" s="88"/>
      <c r="K144" s="88"/>
      <c r="L144" s="88"/>
      <c r="M144" s="88"/>
      <c r="N144" s="88"/>
      <c r="O144" s="88"/>
      <c r="P144" s="88"/>
      <c r="Q144" s="88"/>
      <c r="R144" s="88"/>
      <c r="S144" s="88"/>
      <c r="T144" s="88"/>
      <c r="U144" s="88"/>
      <c r="V144" s="88"/>
      <c r="W144" s="88"/>
      <c r="X144" s="88"/>
      <c r="Y144" s="88"/>
      <c r="Z144" s="88"/>
      <c r="AA144" s="88"/>
      <c r="AB144" s="88"/>
      <c r="AC144" s="88"/>
      <c r="AD144" s="88"/>
      <c r="AE144" s="88"/>
      <c r="AF144" s="88"/>
      <c r="AG144" s="88"/>
      <c r="AH144" s="88"/>
      <c r="AI144" s="88"/>
      <c r="AJ144" s="88"/>
      <c r="AK144" s="88"/>
      <c r="AL144" s="88"/>
      <c r="AM144" s="88"/>
      <c r="AN144" s="88"/>
      <c r="AO144" s="88"/>
      <c r="AP144" s="88"/>
      <c r="AQ144" s="88"/>
      <c r="AR144" s="88"/>
      <c r="AS144" s="88"/>
      <c r="AT144" s="88"/>
      <c r="AU144" s="88"/>
      <c r="AV144" s="88"/>
      <c r="AW144" s="88"/>
      <c r="AX144" s="88"/>
      <c r="AY144" s="88"/>
      <c r="AZ144" s="88"/>
      <c r="BA144" s="88"/>
      <c r="BB144" s="88"/>
      <c r="BC144" s="88"/>
      <c r="BD144" s="88"/>
      <c r="BE144" s="88"/>
      <c r="BF144" s="88"/>
      <c r="BG144" s="88"/>
      <c r="BH144" s="88"/>
      <c r="BI144" s="88"/>
      <c r="BJ144" s="88"/>
      <c r="BK144" s="88"/>
      <c r="BL144" s="88"/>
      <c r="BM144" s="88"/>
      <c r="BN144" s="88"/>
      <c r="BO144" s="88"/>
      <c r="BP144" s="88"/>
      <c r="BQ144" s="88"/>
      <c r="BR144" s="88"/>
      <c r="BS144" s="88"/>
      <c r="BT144" s="88"/>
      <c r="BU144" s="88"/>
      <c r="BV144" s="88"/>
      <c r="BW144" s="88"/>
      <c r="BX144" s="88"/>
      <c r="BY144" s="88"/>
      <c r="BZ144" s="88"/>
      <c r="CA144" s="88"/>
      <c r="CB144" s="88"/>
      <c r="CC144" s="88"/>
      <c r="CD144" s="88"/>
      <c r="CE144" s="88"/>
      <c r="CF144" s="88"/>
      <c r="CG144" s="88"/>
      <c r="CH144" s="88"/>
      <c r="CI144" s="88"/>
      <c r="CJ144" s="88"/>
      <c r="CK144" s="88"/>
      <c r="CL144" s="88"/>
      <c r="CM144" s="88"/>
      <c r="CN144" s="88"/>
      <c r="CO144" s="88"/>
      <c r="CP144" s="88"/>
      <c r="CQ144" s="88"/>
      <c r="CR144" s="88"/>
      <c r="CS144" s="88"/>
      <c r="CT144" s="88"/>
      <c r="CU144" s="88"/>
      <c r="CV144" s="88"/>
      <c r="CW144" s="88"/>
      <c r="CX144" s="88"/>
      <c r="CY144" s="88"/>
      <c r="CZ144" s="88"/>
      <c r="DA144" s="88"/>
      <c r="DB144" s="88"/>
      <c r="DC144" s="88"/>
      <c r="DD144" s="88"/>
      <c r="DE144" s="88"/>
      <c r="DF144" s="88"/>
      <c r="DG144" s="88"/>
      <c r="DH144" s="88"/>
      <c r="DI144" s="88"/>
      <c r="DJ144" s="88"/>
      <c r="DK144" s="88"/>
      <c r="DL144" s="88"/>
      <c r="DM144" s="88"/>
      <c r="DN144" s="88"/>
      <c r="DO144" s="88"/>
      <c r="DP144" s="88"/>
      <c r="DQ144" s="88"/>
      <c r="DR144" s="88"/>
      <c r="DS144" s="88"/>
      <c r="DT144" s="88"/>
      <c r="DU144" s="88"/>
      <c r="DV144" s="88"/>
      <c r="DW144" s="88"/>
      <c r="DX144" s="88"/>
      <c r="DY144" s="88"/>
      <c r="DZ144" s="88"/>
      <c r="EA144" s="88"/>
      <c r="EB144" s="88"/>
      <c r="EC144" s="88"/>
      <c r="ED144" s="88"/>
      <c r="EE144" s="88"/>
      <c r="EF144" s="88"/>
      <c r="EG144" s="88"/>
      <c r="EH144" s="88"/>
      <c r="EI144" s="88"/>
      <c r="EJ144" s="88"/>
      <c r="EK144" s="88"/>
      <c r="EL144" s="88"/>
      <c r="EM144" s="88"/>
      <c r="EN144" s="88"/>
      <c r="EO144" s="88"/>
      <c r="EP144" s="88"/>
      <c r="EQ144" s="88"/>
      <c r="ER144" s="88"/>
      <c r="ES144" s="88"/>
      <c r="ET144" s="88"/>
      <c r="EU144" s="88"/>
      <c r="EV144" s="88"/>
      <c r="EW144" s="88"/>
      <c r="EX144" s="88"/>
      <c r="EY144" s="88"/>
      <c r="EZ144" s="88"/>
      <c r="FA144" s="88"/>
      <c r="FB144" s="88"/>
      <c r="FC144" s="88"/>
      <c r="FD144" s="88"/>
      <c r="FE144" s="88"/>
      <c r="FF144" s="88"/>
      <c r="FG144" s="88"/>
      <c r="FH144" s="88"/>
      <c r="FI144" s="88"/>
      <c r="FJ144" s="88"/>
      <c r="FK144" s="88"/>
      <c r="FL144" s="88"/>
      <c r="FM144" s="88"/>
      <c r="FN144" s="88"/>
      <c r="FO144" s="88"/>
      <c r="FP144" s="88"/>
      <c r="FQ144" s="88"/>
      <c r="FR144" s="88"/>
      <c r="FS144" s="88"/>
      <c r="FT144" s="88"/>
      <c r="FU144" s="88"/>
      <c r="FV144" s="88"/>
      <c r="FW144" s="88"/>
      <c r="FX144" s="88"/>
      <c r="FY144" s="88"/>
      <c r="FZ144" s="88"/>
      <c r="GA144" s="88"/>
      <c r="GB144" s="88"/>
      <c r="GC144" s="88"/>
      <c r="GD144" s="88"/>
      <c r="GE144" s="88"/>
      <c r="GF144" s="88"/>
      <c r="GG144" s="88"/>
      <c r="GH144" s="88"/>
      <c r="GI144" s="88"/>
      <c r="GJ144" s="88"/>
      <c r="GK144" s="88"/>
      <c r="GL144" s="88"/>
      <c r="GM144" s="88"/>
      <c r="GN144" s="88"/>
      <c r="GO144" s="88"/>
      <c r="GP144" s="88"/>
      <c r="GQ144" s="88"/>
      <c r="GR144" s="88"/>
      <c r="GS144" s="88"/>
      <c r="GT144" s="88"/>
      <c r="GU144" s="88"/>
      <c r="GV144" s="88"/>
      <c r="GW144" s="88"/>
      <c r="GX144" s="88"/>
      <c r="GY144" s="88"/>
      <c r="GZ144" s="88"/>
      <c r="HA144" s="88"/>
      <c r="HB144" s="88"/>
      <c r="HC144" s="88"/>
      <c r="HD144" s="88"/>
      <c r="HE144" s="88"/>
    </row>
    <row r="145" spans="1:213">
      <c r="A145" s="1" t="s">
        <v>360</v>
      </c>
      <c r="B145" s="442"/>
      <c r="C145" s="88"/>
      <c r="D145" s="88"/>
      <c r="E145" s="88"/>
      <c r="F145" s="88"/>
      <c r="G145" s="88"/>
      <c r="H145" s="88"/>
      <c r="I145" s="88"/>
      <c r="J145" s="88"/>
      <c r="K145" s="88"/>
      <c r="L145" s="88"/>
      <c r="M145" s="88"/>
      <c r="N145" s="88"/>
      <c r="O145" s="88"/>
      <c r="P145" s="88"/>
      <c r="Q145" s="88"/>
      <c r="R145" s="88"/>
      <c r="S145" s="88"/>
      <c r="T145" s="88"/>
      <c r="U145" s="88"/>
      <c r="V145" s="88"/>
      <c r="W145" s="88"/>
      <c r="X145" s="88"/>
      <c r="Y145" s="88"/>
      <c r="Z145" s="88"/>
      <c r="AA145" s="88"/>
      <c r="AB145" s="88"/>
      <c r="AC145" s="88"/>
      <c r="AD145" s="88"/>
      <c r="AE145" s="88"/>
      <c r="AF145" s="88"/>
      <c r="AG145" s="88"/>
      <c r="AH145" s="88"/>
      <c r="AI145" s="88"/>
      <c r="AJ145" s="88"/>
      <c r="AK145" s="88"/>
      <c r="AL145" s="88"/>
      <c r="AM145" s="88"/>
      <c r="AN145" s="88"/>
      <c r="AO145" s="88"/>
      <c r="AP145" s="88"/>
      <c r="AQ145" s="88"/>
      <c r="AR145" s="88"/>
      <c r="AS145" s="88"/>
      <c r="AT145" s="88"/>
      <c r="AU145" s="88"/>
      <c r="AV145" s="88"/>
      <c r="AW145" s="88"/>
      <c r="AX145" s="88"/>
      <c r="AY145" s="88"/>
      <c r="AZ145" s="88"/>
      <c r="BA145" s="88"/>
      <c r="BB145" s="88"/>
      <c r="BC145" s="88"/>
      <c r="BD145" s="88"/>
      <c r="BE145" s="88"/>
      <c r="BF145" s="88"/>
      <c r="BG145" s="88"/>
      <c r="BH145" s="88"/>
      <c r="BI145" s="88"/>
      <c r="BJ145" s="88"/>
      <c r="BK145" s="88"/>
      <c r="BL145" s="88"/>
      <c r="BM145" s="88"/>
      <c r="BN145" s="88"/>
      <c r="BO145" s="88"/>
      <c r="BP145" s="88"/>
      <c r="BQ145" s="88"/>
      <c r="BR145" s="88"/>
      <c r="BS145" s="88"/>
      <c r="BT145" s="88"/>
      <c r="BU145" s="88"/>
      <c r="BV145" s="88"/>
      <c r="BW145" s="88"/>
      <c r="BX145" s="88"/>
      <c r="BY145" s="88"/>
      <c r="BZ145" s="88"/>
      <c r="CA145" s="88"/>
      <c r="CB145" s="88"/>
      <c r="CC145" s="88"/>
      <c r="CD145" s="88"/>
      <c r="CE145" s="88"/>
      <c r="CF145" s="88"/>
      <c r="CG145" s="88"/>
      <c r="CH145" s="88"/>
      <c r="CI145" s="88"/>
      <c r="CJ145" s="88"/>
      <c r="CK145" s="88"/>
      <c r="CL145" s="88"/>
      <c r="CM145" s="88"/>
      <c r="CN145" s="88"/>
      <c r="CO145" s="88"/>
      <c r="CP145" s="88"/>
      <c r="CQ145" s="88"/>
      <c r="CR145" s="88"/>
      <c r="CS145" s="88"/>
      <c r="CT145" s="88"/>
      <c r="CU145" s="88"/>
      <c r="CV145" s="88"/>
      <c r="CW145" s="88"/>
      <c r="CX145" s="88"/>
      <c r="CY145" s="88"/>
      <c r="CZ145" s="88"/>
      <c r="DA145" s="88"/>
      <c r="DB145" s="88"/>
      <c r="DC145" s="88"/>
      <c r="DD145" s="88"/>
      <c r="DE145" s="88"/>
      <c r="DF145" s="88"/>
      <c r="DG145" s="88"/>
      <c r="DH145" s="88"/>
      <c r="DI145" s="88"/>
      <c r="DJ145" s="88"/>
      <c r="DK145" s="88"/>
      <c r="DL145" s="88"/>
      <c r="DM145" s="88"/>
      <c r="DN145" s="88"/>
      <c r="DO145" s="88"/>
      <c r="DP145" s="88"/>
      <c r="DQ145" s="88"/>
      <c r="DR145" s="88"/>
      <c r="DS145" s="88"/>
      <c r="DT145" s="88"/>
      <c r="DU145" s="88"/>
      <c r="DV145" s="88"/>
      <c r="DW145" s="88"/>
      <c r="DX145" s="88"/>
      <c r="DY145" s="88"/>
      <c r="DZ145" s="88"/>
      <c r="EA145" s="88"/>
      <c r="EB145" s="88"/>
      <c r="EC145" s="88"/>
      <c r="ED145" s="88"/>
      <c r="EE145" s="88"/>
      <c r="EF145" s="88"/>
      <c r="EG145" s="88"/>
      <c r="EH145" s="88"/>
      <c r="EI145" s="88"/>
      <c r="EJ145" s="88"/>
      <c r="EK145" s="88"/>
      <c r="EL145" s="88"/>
      <c r="EM145" s="88"/>
      <c r="EN145" s="88"/>
      <c r="EO145" s="88"/>
      <c r="EP145" s="88"/>
      <c r="EQ145" s="88"/>
      <c r="ER145" s="88"/>
      <c r="ES145" s="88"/>
      <c r="ET145" s="88"/>
      <c r="EU145" s="88"/>
      <c r="EV145" s="88"/>
      <c r="EW145" s="88"/>
      <c r="EX145" s="88"/>
      <c r="EY145" s="88"/>
      <c r="EZ145" s="88"/>
      <c r="FA145" s="88"/>
      <c r="FB145" s="88"/>
      <c r="FC145" s="88"/>
      <c r="FD145" s="88"/>
      <c r="FE145" s="88"/>
      <c r="FF145" s="88"/>
      <c r="FG145" s="88"/>
      <c r="FH145" s="88"/>
      <c r="FI145" s="88"/>
      <c r="FJ145" s="88"/>
      <c r="FK145" s="88"/>
      <c r="FL145" s="88"/>
      <c r="FM145" s="88"/>
      <c r="FN145" s="88"/>
      <c r="FO145" s="88"/>
      <c r="FP145" s="88"/>
      <c r="FQ145" s="88"/>
      <c r="FR145" s="88"/>
      <c r="FS145" s="88"/>
      <c r="FT145" s="88"/>
      <c r="FU145" s="88"/>
      <c r="FV145" s="88"/>
      <c r="FW145" s="88"/>
      <c r="FX145" s="88"/>
      <c r="FY145" s="88"/>
      <c r="FZ145" s="88"/>
      <c r="GA145" s="88"/>
      <c r="GB145" s="88"/>
      <c r="GC145" s="88"/>
      <c r="GD145" s="88"/>
      <c r="GE145" s="88"/>
      <c r="GF145" s="88"/>
      <c r="GG145" s="88"/>
      <c r="GH145" s="88"/>
      <c r="GI145" s="88"/>
      <c r="GJ145" s="88"/>
      <c r="GK145" s="88"/>
      <c r="GL145" s="88"/>
      <c r="GM145" s="88"/>
      <c r="GN145" s="88"/>
      <c r="GO145" s="88"/>
      <c r="GP145" s="88"/>
      <c r="GQ145" s="88"/>
      <c r="GR145" s="88"/>
      <c r="GS145" s="88"/>
      <c r="GT145" s="88"/>
      <c r="GU145" s="88"/>
      <c r="GV145" s="88"/>
      <c r="GW145" s="88"/>
      <c r="GX145" s="88"/>
      <c r="GY145" s="88"/>
      <c r="GZ145" s="88"/>
      <c r="HA145" s="88"/>
      <c r="HB145" s="88"/>
      <c r="HC145" s="88"/>
      <c r="HD145" s="88"/>
      <c r="HE145" s="88"/>
    </row>
  </sheetData>
  <sheetProtection algorithmName="SHA-512" hashValue="NdpuRMBuYLkwQsYmcpdYNZkgjDxddxnY4SkRqHQUUGX4LEIVO6dGZ5NpwgfjBkTVy4FTru8tuZRteCwGSQYMeg==" saltValue="R3BGXmCmoknD4xfXQEUsFg==" spinCount="100000" sheet="1" objects="1" scenarios="1"/>
  <mergeCells count="1">
    <mergeCell ref="C21:C22"/>
  </mergeCells>
  <dataValidations count="34">
    <dataValidation type="decimal" allowBlank="1" showInputMessage="1" showErrorMessage="1" errorTitle="Applicable Percentage Rate" error="Value entered for Applicable Percentage Rate must be between 0 and 4%" sqref="B20:B22" xr:uid="{00000000-0002-0000-0300-000000000000}">
      <formula1>0</formula1>
      <formula2>0.09</formula2>
    </dataValidation>
    <dataValidation type="list" allowBlank="1" showInputMessage="1" showErrorMessage="1" errorTitle="Type of Tax Credit" error="Please select a valid value for Type of Tax Credit." sqref="B10" xr:uid="{00000000-0002-0000-0300-000006000000}">
      <formula1>Tax_Credit_Type_List</formula1>
    </dataValidation>
    <dataValidation type="list" allowBlank="1" showInputMessage="1" showErrorMessage="1" errorTitle="Project Type" error="Please select a valid value for Project Type." sqref="B13" xr:uid="{00000000-0002-0000-0300-000007000000}">
      <formula1>Project_Type_List</formula1>
    </dataValidation>
    <dataValidation type="list" allowBlank="1" showInputMessage="1" showErrorMessage="1" errorTitle="Site Control" error="Please select a valid value for Site Control." sqref="B38" xr:uid="{00000000-0002-0000-0300-000008000000}">
      <formula1>Site_Control_List</formula1>
    </dataValidation>
    <dataValidation type="list" allowBlank="1" showInputMessage="1" showErrorMessage="1" errorTitle="Type of Units/Housing" error="Please select a valid value for Type of Units/Housing." sqref="B66" xr:uid="{00000000-0002-0000-0300-000009000000}">
      <formula1>Type_of_Units_Housing_List</formula1>
    </dataValidation>
    <dataValidation type="list" allowBlank="1" showInputMessage="1" showErrorMessage="1" errorTitle="Building Construction" error="Please select a valid value for Building Construction." sqref="B61" xr:uid="{00000000-0002-0000-0300-00000A000000}">
      <formula1>Building_Construction_List</formula1>
    </dataValidation>
    <dataValidation type="list" allowBlank="1" showInputMessage="1" showErrorMessage="1" errorTitle="Building Type" error="Please select a valid value for Building Type." sqref="B62" xr:uid="{00000000-0002-0000-0300-00000B000000}">
      <formula1>Building_Type_List</formula1>
    </dataValidation>
    <dataValidation type="list" allowBlank="1" showInputMessage="1" showErrorMessage="1" errorTitle="Locking Aplicable Percentage" error="Please select a valid value for Locking Aplicable Percentage." sqref="B15" xr:uid="{00000000-0002-0000-0300-00000C000000}">
      <formula1>Yes_No_NA_List</formula1>
    </dataValidation>
    <dataValidation type="list" allowBlank="1" showInputMessage="1" showErrorMessage="1" errorTitle="Site Properly Zoned" error="Please select a valid value for Site Properly Zoned." sqref="B42" xr:uid="{00000000-0002-0000-0300-00000D000000}">
      <formula1>Yes_No_List</formula1>
    </dataValidation>
    <dataValidation type="list" allowBlank="1" showInputMessage="1" showErrorMessage="1" errorTitle="Supplemental Credit" error="Please select a valid value for Is Supplemental Credit being requested?_x000a_" sqref="B7" xr:uid="{00000000-0002-0000-0300-00001A000000}">
      <formula1>Yes_No_NA_List</formula1>
    </dataValidation>
    <dataValidation type="list" allowBlank="1" showInputMessage="1" showErrorMessage="1" errorTitle="CHFA DDA Basis Boost" error="Please select a valid value for Did Project receive a CHFA DDA Basis Boost." sqref="B8" xr:uid="{00000000-0002-0000-0300-00001B000000}">
      <formula1>Yes_No_NA_List</formula1>
    </dataValidation>
    <dataValidation type="list" allowBlank="1" showInputMessage="1" showErrorMessage="1" errorTitle="Lock-in gross rent floor" error="Please select a valid value for Lock-in gross rent floor?_x000a_" sqref="B24" xr:uid="{00000000-0002-0000-0300-00001C000000}">
      <formula1>Yes_No_NA_List</formula1>
    </dataValidation>
    <dataValidation type="custom" allowBlank="1" showInputMessage="1" showErrorMessage="1" errorTitle="Federal Equity Factor" error="Please enter a number for Federal Equity Factor and ensure that the number does not exceed 4 deimals." sqref="B16" xr:uid="{00000000-0002-0000-0300-00001D000000}">
      <formula1>INT(10000*B16) = (10000*B16)</formula1>
    </dataValidation>
    <dataValidation type="custom" allowBlank="1" showInputMessage="1" showErrorMessage="1" errorTitle="State Equity Factor" error="Please enter a number for State Equity Factor and ensure that the number does not exceed 4 deimals." sqref="B19" xr:uid="{00000000-0002-0000-0300-00001E000000}">
      <formula1>MOD(10000*B19,1)= 0</formula1>
    </dataValidation>
    <dataValidation type="whole" allowBlank="1" showInputMessage="1" showErrorMessage="1" errorTitle="Reservation Year" error="Please enter a valid reservation year." sqref="B5" xr:uid="{00000000-0002-0000-0300-000022000000}">
      <formula1>2010</formula1>
      <formula2>2030</formula2>
    </dataValidation>
    <dataValidation type="whole" allowBlank="1" showInputMessage="1" showErrorMessage="1" errorTitle="State Senate District" error="Please enter a valid value for State Senate District (whole number)" sqref="B35" xr:uid="{00000000-0002-0000-0300-000023000000}">
      <formula1>0</formula1>
      <formula2>100</formula2>
    </dataValidation>
    <dataValidation type="whole" allowBlank="1" showInputMessage="1" showErrorMessage="1" errorTitle="State House District" error="Please enter a valid value for State House Districtt (whole number)" sqref="B36" xr:uid="{00000000-0002-0000-0300-000024000000}">
      <formula1>0</formula1>
      <formula2>100</formula2>
    </dataValidation>
    <dataValidation type="whole" allowBlank="1" showInputMessage="1" showErrorMessage="1" errorTitle="Congressional District" error="Please enter a valid value for Congressional District (whole number)" sqref="B37" xr:uid="{00000000-0002-0000-0300-000025000000}">
      <formula1>0</formula1>
      <formula2>10</formula2>
    </dataValidation>
    <dataValidation type="custom" allowBlank="1" showInputMessage="1" showErrorMessage="1" errorTitle="State Equity Factor" error="Please enter a number for State Equity Factor and ensure that the number does not exceed 4 deimals." sqref="B17:B18" xr:uid="{00000000-0002-0000-0300-000026000000}">
      <formula1>INT(10000*B17) = (10000*B17)</formula1>
    </dataValidation>
    <dataValidation type="whole" allowBlank="1" showInputMessage="1" showErrorMessage="1" sqref="B59:B60" xr:uid="{00000000-0002-0000-0300-000027000000}">
      <formula1>0</formula1>
      <formula2>50</formula2>
    </dataValidation>
    <dataValidation type="date" allowBlank="1" showInputMessage="1" showErrorMessage="1" sqref="B26" xr:uid="{00000000-0002-0000-0300-000028000000}">
      <formula1>32874</formula1>
      <formula2>47484</formula2>
    </dataValidation>
    <dataValidation type="list" allowBlank="1" showInputMessage="1" showErrorMessage="1" errorTitle="Type of Heating In-Unit" error="Please select a valid value for Type of Heating In-Unit" sqref="B46" xr:uid="{00000000-0002-0000-0300-000029000000}">
      <formula1>Type_of_Heating_List</formula1>
    </dataValidation>
    <dataValidation type="whole" allowBlank="1" showInputMessage="1" showErrorMessage="1" sqref="B76:B79 B83 B85 B87 B89 B91" xr:uid="{4475B323-617B-4756-B964-957616185E11}">
      <formula1>0</formula1>
      <formula2>111111111111111</formula2>
    </dataValidation>
    <dataValidation type="whole" allowBlank="1" showInputMessage="1" showErrorMessage="1" sqref="B32" xr:uid="{72402B3E-5393-4193-BA8A-6652ABD5B3F6}">
      <formula1>0</formula1>
      <formula2>1111111</formula2>
    </dataValidation>
    <dataValidation type="date" allowBlank="1" showInputMessage="1" showErrorMessage="1" sqref="B121:B123 B134:B138 B141:B145 B125:B131" xr:uid="{B5527987-EC13-4E01-BDC4-1059FD3081E9}">
      <formula1>36161</formula1>
      <formula2>47484</formula2>
    </dataValidation>
    <dataValidation type="whole" allowBlank="1" showInputMessage="1" showErrorMessage="1" sqref="B139" xr:uid="{6BB0F7D2-147E-4A24-9C37-661ACAB4DE70}">
      <formula1>1</formula1>
      <formula2>48</formula2>
    </dataValidation>
    <dataValidation type="whole" allowBlank="1" showInputMessage="1" showErrorMessage="1" sqref="B99 B104" xr:uid="{E9523A0E-E3CA-4FBF-BE1A-92B6CDDBF970}">
      <formula1>0</formula1>
      <formula2>5000</formula2>
    </dataValidation>
    <dataValidation type="whole" allowBlank="1" showInputMessage="1" showErrorMessage="1" sqref="B64:B65" xr:uid="{FAE21AB3-2323-461B-9EDE-4B786614A378}">
      <formula1>0</formula1>
      <formula2>90000000</formula2>
    </dataValidation>
    <dataValidation type="list" allowBlank="1" showInputMessage="1" showErrorMessage="1" errorTitle="Related Party" error="Please select a valid value for Related Party._x000a_" sqref="B40" xr:uid="{CD9E5C2C-381F-44D2-B8FA-82F731255C6B}">
      <formula1>Yes_No_List</formula1>
    </dataValidation>
    <dataValidation type="list" allowBlank="1" showInputMessage="1" showErrorMessage="1" errorTitle="Zoning meets parking ratio req?" error="Zoning meets parking ratio req?" sqref="B43" xr:uid="{1E078509-75DF-4327-B3D4-9E26AE334013}">
      <formula1>Yes_No_List</formula1>
    </dataValidation>
    <dataValidation type="list" allowBlank="1" showInputMessage="1" showErrorMessage="1" errorTitle="Utilites avaiable " error="Please select a valid value for Utilites Avaiable. " sqref="B45" xr:uid="{6DF88094-9B5D-4407-9A25-75970CD7E5B5}">
      <formula1>Yes_No_List</formula1>
    </dataValidation>
    <dataValidation type="list" allowBlank="1" showInputMessage="1" showErrorMessage="1" errorTitle="Type of Cooling" error="Please select a valid value for Type of Cooling." sqref="B53:B54" xr:uid="{AB58CDB7-4124-4FF6-8700-4932707A4E56}">
      <formula1>Yes_No_List</formula1>
    </dataValidation>
    <dataValidation type="date" showInputMessage="1" showErrorMessage="1" sqref="B132" xr:uid="{D4818FBC-ECCC-4D98-84CC-02C0C95C3065}">
      <formula1>36161</formula1>
      <formula2>47484</formula2>
    </dataValidation>
    <dataValidation type="whole" allowBlank="1" showInputMessage="1" showErrorMessage="1" sqref="B116:B117 B109:B114" xr:uid="{86974C92-94CB-4C40-BF3C-BE1E6C9647E4}">
      <formula1>0</formula1>
      <formula2>500</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6">
        <x14:dataValidation type="list" allowBlank="1" showInputMessage="1" showErrorMessage="1" errorTitle="Type of Ventalation System" error="Please select a valid value for Type of Ventalation System" xr:uid="{00000000-0002-0000-0300-00002A000000}">
          <x14:formula1>
            <xm:f>Lookup!$I$45:$I$49</xm:f>
          </x14:formula1>
          <xm:sqref>B52</xm:sqref>
        </x14:dataValidation>
        <x14:dataValidation type="list" allowBlank="1" showInputMessage="1" showErrorMessage="1" errorTitle="County" error="Please select a valid value for County." xr:uid="{00000000-0002-0000-0300-00002B000000}">
          <x14:formula1>
            <xm:f>Admin!$A$120:$A$183</xm:f>
          </x14:formula1>
          <xm:sqref>B33</xm:sqref>
        </x14:dataValidation>
        <x14:dataValidation type="list" allowBlank="1" showInputMessage="1" showErrorMessage="1" errorTitle="CHFA DDA Basis Boost" error="Please select a valid value for Did Project receive a CHFA DDA Basis Boost." xr:uid="{00000000-0002-0000-0300-00002C000000}">
          <x14:formula1>
            <xm:f>Lookup!$A$126:$A$127</xm:f>
          </x14:formula1>
          <xm:sqref>B9</xm:sqref>
        </x14:dataValidation>
        <x14:dataValidation type="list" allowBlank="1" showInputMessage="1" showErrorMessage="1" errorTitle="Energy Efficiency Program " error="Please select a valid value for Energy Efficiency Program." xr:uid="{00000000-0002-0000-0300-00002E000000}">
          <x14:formula1>
            <xm:f>Lookup!$G$45:$G$59</xm:f>
          </x14:formula1>
          <xm:sqref>B56</xm:sqref>
        </x14:dataValidation>
        <x14:dataValidation type="list" allowBlank="1" showInputMessage="1" showErrorMessage="1" errorTitle="Project Type" error="Please select a valid value for Project Type." xr:uid="{00000000-0002-0000-0300-00002F000000}">
          <x14:formula1>
            <xm:f>Lookup!$A$4:$A$5</xm:f>
          </x14:formula1>
          <xm:sqref>B14 B12</xm:sqref>
        </x14:dataValidation>
        <x14:dataValidation type="list" allowBlank="1" showInputMessage="1" showErrorMessage="1" xr:uid="{115E908D-0B13-45EC-B5E7-528B064EAD68}">
          <x14:formula1>
            <xm:f>Lookup!$A$4:$A$5</xm:f>
          </x14:formula1>
          <xm:sqref>B86 B88 B68:B74 B82 B84 B107 B100:B102 B90 B92:B98</xm:sqref>
        </x14:dataValidation>
        <x14:dataValidation type="list" allowBlank="1" showInputMessage="1" showErrorMessage="1" errorTitle="Radon Mitigation" error="Please select a valid value for Radon Mitigation. " xr:uid="{A646E240-4DB9-41F0-ACD5-FB3A837BC681}">
          <x14:formula1>
            <xm:f>Lookup!$E$11:$E$13</xm:f>
          </x14:formula1>
          <xm:sqref>B57</xm:sqref>
        </x14:dataValidation>
        <x14:dataValidation type="list" allowBlank="1" showInputMessage="1" showErrorMessage="1" errorTitle="Green Systems" error="Please select a valid value for Green Systems." xr:uid="{00000000-0002-0000-0300-00002D000000}">
          <x14:formula1>
            <xm:f>Lookup!$E$52:$E$57</xm:f>
          </x14:formula1>
          <xm:sqref>B55</xm:sqref>
        </x14:dataValidation>
        <x14:dataValidation type="list" allowBlank="1" showInputMessage="1" showErrorMessage="1" errorTitle="Water-Wise Landscaping" error="Please select a valid value for Water-Wise Landscaping" xr:uid="{6B04F9C0-D3BC-44CB-8FD6-020018C77F2C}">
          <x14:formula1>
            <xm:f>Lookup!$C$4:$C$6</xm:f>
          </x14:formula1>
          <xm:sqref>B58</xm:sqref>
        </x14:dataValidation>
        <x14:dataValidation type="list" allowBlank="1" showInputMessage="1" showErrorMessage="1" errorTitle="Type of Heating Common Area" error="Please select a valid value for Type of Heating Common Area" xr:uid="{04887282-86DB-448E-A401-48297B84BEAC}">
          <x14:formula1>
            <xm:f>Lookup!$B$52:$B$58</xm:f>
          </x14:formula1>
          <xm:sqref>B47</xm:sqref>
        </x14:dataValidation>
        <x14:dataValidation type="list" allowBlank="1" showInputMessage="1" showErrorMessage="1" errorTitle="Type of Cooling In-Unit" error="Please select a valid value for Type of Cooling In-Unit" xr:uid="{8D1EC081-25CA-4A12-ADBF-04BE653F17E6}">
          <x14:formula1>
            <xm:f>Lookup!$C$52:$C$54</xm:f>
          </x14:formula1>
          <xm:sqref>B48</xm:sqref>
        </x14:dataValidation>
        <x14:dataValidation type="list" allowBlank="1" showInputMessage="1" showErrorMessage="1" errorTitle="Type of HVAC System In-Unit" error="Please select a valid value for Type of HVAC System In-Unit" xr:uid="{988893E8-876D-483E-91AC-87FC25969456}">
          <x14:formula1>
            <xm:f>Lookup!$F$52:$F$57</xm:f>
          </x14:formula1>
          <xm:sqref>B50</xm:sqref>
        </x14:dataValidation>
        <x14:dataValidation type="list" allowBlank="1" showInputMessage="1" showErrorMessage="1" errorTitle="Type of Hot Water Heating " error="Please select a valid value for Type of Hot Water Heating " xr:uid="{94A4DDC1-65FA-4D00-951E-ED536737D6FA}">
          <x14:formula1>
            <xm:f>Lookup!$H$45:$H$47</xm:f>
          </x14:formula1>
          <xm:sqref>B51</xm:sqref>
        </x14:dataValidation>
        <x14:dataValidation type="list" allowBlank="1" showInputMessage="1" showErrorMessage="1" errorTitle="Type of Cooling Common Area" error="Please select a valid value for Type of Cooling Common Area" xr:uid="{54251FF4-17B3-4392-984F-2246191DB54E}">
          <x14:formula1>
            <xm:f>Lookup!$D$52:$D$54</xm:f>
          </x14:formula1>
          <xm:sqref>B49</xm:sqref>
        </x14:dataValidation>
        <x14:dataValidation type="list" allowBlank="1" showInputMessage="1" showErrorMessage="1" errorTitle="Application Stage" error="Please select a valid value for Application Stage." xr:uid="{00000000-0002-0000-0300-000005000000}">
          <x14:formula1>
            <xm:f>Lookup!$A$31:$A$34</xm:f>
          </x14:formula1>
          <xm:sqref>B6</xm:sqref>
        </x14:dataValidation>
        <x14:dataValidation type="date" allowBlank="1" showInputMessage="1" showErrorMessage="1" errorTitle="Application Date" error="Please enter a valid application date." xr:uid="{00000000-0002-0000-0300-000030000000}">
          <x14:formula1>
            <xm:f>Admin!B2</xm:f>
          </x14:formula1>
          <x14:formula2>
            <xm:f>Admin!B3</xm:f>
          </x14:formula2>
          <xm:sqref>B4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92D050"/>
  </sheetPr>
  <dimension ref="A1:F76"/>
  <sheetViews>
    <sheetView showGridLines="0" workbookViewId="0"/>
  </sheetViews>
  <sheetFormatPr defaultRowHeight="14.4"/>
  <cols>
    <col min="1" max="1" width="23.109375" customWidth="1"/>
    <col min="2" max="2" width="20" customWidth="1"/>
    <col min="3" max="3" width="16.5546875" customWidth="1"/>
    <col min="4" max="4" width="14" customWidth="1"/>
    <col min="5" max="5" width="19" bestFit="1" customWidth="1"/>
    <col min="6" max="6" width="38.5546875" customWidth="1"/>
  </cols>
  <sheetData>
    <row r="1" spans="1:6" ht="21">
      <c r="A1" s="4" t="s">
        <v>18</v>
      </c>
      <c r="B1" s="4"/>
      <c r="C1" s="4"/>
      <c r="D1" s="4"/>
      <c r="E1" s="4"/>
    </row>
    <row r="3" spans="1:6">
      <c r="A3" s="1" t="s">
        <v>98</v>
      </c>
      <c r="B3" s="285"/>
    </row>
    <row r="4" spans="1:6">
      <c r="A4" s="1" t="s">
        <v>99</v>
      </c>
      <c r="B4" s="286"/>
    </row>
    <row r="5" spans="1:6">
      <c r="A5" s="1"/>
    </row>
    <row r="6" spans="1:6">
      <c r="A6" s="3" t="s">
        <v>100</v>
      </c>
      <c r="B6" s="3"/>
      <c r="C6" s="3"/>
      <c r="D6" s="3"/>
      <c r="E6" s="3"/>
    </row>
    <row r="7" spans="1:6">
      <c r="A7" s="1" t="s">
        <v>101</v>
      </c>
      <c r="B7" s="289">
        <v>0</v>
      </c>
    </row>
    <row r="8" spans="1:6">
      <c r="A8" s="1" t="s">
        <v>102</v>
      </c>
      <c r="B8" s="289">
        <v>0</v>
      </c>
    </row>
    <row r="9" spans="1:6">
      <c r="A9" s="1" t="s">
        <v>103</v>
      </c>
      <c r="B9" s="289">
        <v>0</v>
      </c>
    </row>
    <row r="10" spans="1:6">
      <c r="A10" s="1" t="s">
        <v>104</v>
      </c>
      <c r="B10" s="289">
        <v>0</v>
      </c>
    </row>
    <row r="11" spans="1:6">
      <c r="A11" s="1" t="s">
        <v>105</v>
      </c>
      <c r="B11" s="289">
        <v>0</v>
      </c>
    </row>
    <row r="12" spans="1:6">
      <c r="A12" s="1" t="s">
        <v>106</v>
      </c>
      <c r="B12" s="289">
        <v>0</v>
      </c>
    </row>
    <row r="14" spans="1:6" ht="39.75" customHeight="1">
      <c r="A14" s="1067" t="s">
        <v>107</v>
      </c>
      <c r="B14" s="1068"/>
      <c r="C14" s="1068"/>
      <c r="D14" s="1068"/>
      <c r="E14" s="1069"/>
    </row>
    <row r="16" spans="1:6">
      <c r="A16" s="3" t="s">
        <v>108</v>
      </c>
      <c r="B16" s="3" t="s">
        <v>109</v>
      </c>
      <c r="C16" s="3" t="s">
        <v>110</v>
      </c>
      <c r="D16" s="3" t="s">
        <v>111</v>
      </c>
      <c r="E16" s="3" t="s">
        <v>112</v>
      </c>
      <c r="F16" s="304" t="s">
        <v>113</v>
      </c>
    </row>
    <row r="17" spans="1:5">
      <c r="A17" s="652"/>
      <c r="B17" s="286"/>
      <c r="C17" s="287"/>
      <c r="D17" s="287"/>
      <c r="E17" s="289"/>
    </row>
    <row r="18" spans="1:5">
      <c r="A18" s="652"/>
      <c r="B18" s="286"/>
      <c r="C18" s="287"/>
      <c r="D18" s="287"/>
      <c r="E18" s="289"/>
    </row>
    <row r="19" spans="1:5">
      <c r="A19" s="652"/>
      <c r="B19" s="286"/>
      <c r="C19" s="287"/>
      <c r="D19" s="287"/>
      <c r="E19" s="289"/>
    </row>
    <row r="20" spans="1:5">
      <c r="A20" s="652"/>
      <c r="B20" s="286"/>
      <c r="C20" s="287"/>
      <c r="D20" s="287"/>
      <c r="E20" s="289"/>
    </row>
    <row r="21" spans="1:5">
      <c r="A21" s="652"/>
      <c r="B21" s="286"/>
      <c r="C21" s="287"/>
      <c r="D21" s="287"/>
      <c r="E21" s="289"/>
    </row>
    <row r="22" spans="1:5">
      <c r="A22" s="652"/>
      <c r="B22" s="286"/>
      <c r="C22" s="287"/>
      <c r="D22" s="287"/>
      <c r="E22" s="289"/>
    </row>
    <row r="23" spans="1:5">
      <c r="A23" s="652"/>
      <c r="B23" s="286"/>
      <c r="C23" s="287"/>
      <c r="D23" s="287"/>
      <c r="E23" s="289"/>
    </row>
    <row r="24" spans="1:5">
      <c r="A24" s="652"/>
      <c r="B24" s="286"/>
      <c r="C24" s="287"/>
      <c r="D24" s="287"/>
      <c r="E24" s="289"/>
    </row>
    <row r="25" spans="1:5">
      <c r="A25" s="652"/>
      <c r="B25" s="286"/>
      <c r="C25" s="287"/>
      <c r="D25" s="287"/>
      <c r="E25" s="289"/>
    </row>
    <row r="26" spans="1:5">
      <c r="A26" s="652"/>
      <c r="B26" s="286"/>
      <c r="C26" s="287"/>
      <c r="D26" s="287"/>
      <c r="E26" s="289"/>
    </row>
    <row r="27" spans="1:5">
      <c r="A27" s="652"/>
      <c r="B27" s="286"/>
      <c r="C27" s="287"/>
      <c r="D27" s="287"/>
      <c r="E27" s="289"/>
    </row>
    <row r="28" spans="1:5">
      <c r="A28" s="652"/>
      <c r="B28" s="286"/>
      <c r="C28" s="287"/>
      <c r="D28" s="287"/>
      <c r="E28" s="289"/>
    </row>
    <row r="29" spans="1:5">
      <c r="A29" s="652"/>
      <c r="B29" s="286"/>
      <c r="C29" s="287"/>
      <c r="D29" s="287"/>
      <c r="E29" s="289"/>
    </row>
    <row r="30" spans="1:5">
      <c r="A30" s="652"/>
      <c r="B30" s="286"/>
      <c r="C30" s="287"/>
      <c r="D30" s="287"/>
      <c r="E30" s="289"/>
    </row>
    <row r="31" spans="1:5">
      <c r="A31" s="652"/>
      <c r="B31" s="286"/>
      <c r="C31" s="287"/>
      <c r="D31" s="287"/>
      <c r="E31" s="289"/>
    </row>
    <row r="32" spans="1:5">
      <c r="A32" s="652"/>
      <c r="B32" s="286"/>
      <c r="C32" s="287"/>
      <c r="D32" s="287"/>
      <c r="E32" s="289"/>
    </row>
    <row r="33" spans="1:5">
      <c r="A33" s="652"/>
      <c r="B33" s="286"/>
      <c r="C33" s="287"/>
      <c r="D33" s="287"/>
      <c r="E33" s="289"/>
    </row>
    <row r="34" spans="1:5">
      <c r="A34" s="652"/>
      <c r="B34" s="286"/>
      <c r="C34" s="287"/>
      <c r="D34" s="287"/>
      <c r="E34" s="289"/>
    </row>
    <row r="35" spans="1:5">
      <c r="A35" s="652"/>
      <c r="B35" s="286"/>
      <c r="C35" s="287"/>
      <c r="D35" s="287"/>
      <c r="E35" s="289"/>
    </row>
    <row r="36" spans="1:5">
      <c r="A36" s="652"/>
      <c r="B36" s="286"/>
      <c r="C36" s="287"/>
      <c r="D36" s="287"/>
      <c r="E36" s="289"/>
    </row>
    <row r="37" spans="1:5">
      <c r="A37" s="652"/>
      <c r="B37" s="286"/>
      <c r="C37" s="287"/>
      <c r="D37" s="287"/>
      <c r="E37" s="289"/>
    </row>
    <row r="38" spans="1:5">
      <c r="A38" s="652"/>
      <c r="B38" s="286"/>
      <c r="C38" s="287"/>
      <c r="D38" s="287"/>
      <c r="E38" s="289"/>
    </row>
    <row r="39" spans="1:5">
      <c r="A39" s="652"/>
      <c r="B39" s="286"/>
      <c r="C39" s="287"/>
      <c r="D39" s="287"/>
      <c r="E39" s="289"/>
    </row>
    <row r="40" spans="1:5">
      <c r="A40" s="652"/>
      <c r="B40" s="286"/>
      <c r="C40" s="287"/>
      <c r="D40" s="287"/>
      <c r="E40" s="289"/>
    </row>
    <row r="41" spans="1:5">
      <c r="A41" s="652"/>
      <c r="B41" s="286"/>
      <c r="C41" s="287"/>
      <c r="D41" s="287"/>
      <c r="E41" s="289"/>
    </row>
    <row r="42" spans="1:5">
      <c r="A42" s="652"/>
      <c r="B42" s="286"/>
      <c r="C42" s="287"/>
      <c r="D42" s="287"/>
      <c r="E42" s="289"/>
    </row>
    <row r="43" spans="1:5">
      <c r="A43" s="652"/>
      <c r="B43" s="286"/>
      <c r="C43" s="287"/>
      <c r="D43" s="287"/>
      <c r="E43" s="289"/>
    </row>
    <row r="44" spans="1:5">
      <c r="A44" s="652"/>
      <c r="B44" s="286"/>
      <c r="C44" s="287"/>
      <c r="D44" s="287"/>
      <c r="E44" s="289"/>
    </row>
    <row r="45" spans="1:5">
      <c r="A45" s="652"/>
      <c r="B45" s="286"/>
      <c r="C45" s="287"/>
      <c r="D45" s="287"/>
      <c r="E45" s="289"/>
    </row>
    <row r="46" spans="1:5">
      <c r="A46" s="652"/>
      <c r="B46" s="286"/>
      <c r="C46" s="287"/>
      <c r="D46" s="287"/>
      <c r="E46" s="289"/>
    </row>
    <row r="47" spans="1:5">
      <c r="A47" s="652"/>
      <c r="B47" s="286"/>
      <c r="C47" s="287"/>
      <c r="D47" s="287"/>
      <c r="E47" s="289"/>
    </row>
    <row r="48" spans="1:5">
      <c r="A48" s="652"/>
      <c r="B48" s="286"/>
      <c r="C48" s="287"/>
      <c r="D48" s="287"/>
      <c r="E48" s="289"/>
    </row>
    <row r="49" spans="1:5">
      <c r="A49" s="652"/>
      <c r="B49" s="286"/>
      <c r="C49" s="287"/>
      <c r="D49" s="287"/>
      <c r="E49" s="289"/>
    </row>
    <row r="50" spans="1:5">
      <c r="A50" s="652"/>
      <c r="B50" s="286"/>
      <c r="C50" s="287"/>
      <c r="D50" s="287"/>
      <c r="E50" s="289"/>
    </row>
    <row r="51" spans="1:5">
      <c r="A51" s="652"/>
      <c r="B51" s="286"/>
      <c r="C51" s="287"/>
      <c r="D51" s="287"/>
      <c r="E51" s="289"/>
    </row>
    <row r="52" spans="1:5">
      <c r="A52" s="652"/>
      <c r="B52" s="286"/>
      <c r="C52" s="287"/>
      <c r="D52" s="287"/>
      <c r="E52" s="289"/>
    </row>
    <row r="53" spans="1:5">
      <c r="A53" s="652"/>
      <c r="B53" s="286"/>
      <c r="C53" s="287"/>
      <c r="D53" s="287"/>
      <c r="E53" s="289"/>
    </row>
    <row r="54" spans="1:5">
      <c r="A54" s="652"/>
      <c r="B54" s="286"/>
      <c r="C54" s="287"/>
      <c r="D54" s="287"/>
      <c r="E54" s="289"/>
    </row>
    <row r="55" spans="1:5">
      <c r="A55" s="652"/>
      <c r="B55" s="286"/>
      <c r="C55" s="287"/>
      <c r="D55" s="287"/>
      <c r="E55" s="289"/>
    </row>
    <row r="56" spans="1:5">
      <c r="A56" s="652"/>
      <c r="B56" s="286"/>
      <c r="C56" s="287"/>
      <c r="D56" s="287"/>
      <c r="E56" s="289"/>
    </row>
    <row r="57" spans="1:5">
      <c r="A57" s="652"/>
      <c r="B57" s="286"/>
      <c r="C57" s="287"/>
      <c r="D57" s="287"/>
      <c r="E57" s="289"/>
    </row>
    <row r="58" spans="1:5">
      <c r="A58" s="652"/>
      <c r="B58" s="286"/>
      <c r="C58" s="287"/>
      <c r="D58" s="287"/>
      <c r="E58" s="289"/>
    </row>
    <row r="59" spans="1:5">
      <c r="A59" s="652"/>
      <c r="B59" s="286"/>
      <c r="C59" s="287"/>
      <c r="D59" s="287"/>
      <c r="E59" s="289"/>
    </row>
    <row r="60" spans="1:5">
      <c r="A60" s="652"/>
      <c r="B60" s="286"/>
      <c r="C60" s="287"/>
      <c r="D60" s="287"/>
      <c r="E60" s="289"/>
    </row>
    <row r="61" spans="1:5">
      <c r="A61" s="652"/>
      <c r="B61" s="286"/>
      <c r="C61" s="287"/>
      <c r="D61" s="287"/>
      <c r="E61" s="289"/>
    </row>
    <row r="62" spans="1:5">
      <c r="A62" s="652"/>
      <c r="B62" s="286"/>
      <c r="C62" s="287"/>
      <c r="D62" s="287"/>
      <c r="E62" s="289"/>
    </row>
    <row r="63" spans="1:5">
      <c r="A63" s="652"/>
      <c r="B63" s="286"/>
      <c r="C63" s="287"/>
      <c r="D63" s="287"/>
      <c r="E63" s="289"/>
    </row>
    <row r="64" spans="1:5">
      <c r="A64" s="652"/>
      <c r="B64" s="286"/>
      <c r="C64" s="287"/>
      <c r="D64" s="287"/>
      <c r="E64" s="289"/>
    </row>
    <row r="65" spans="1:5">
      <c r="A65" s="652"/>
      <c r="B65" s="286"/>
      <c r="C65" s="287"/>
      <c r="D65" s="287"/>
      <c r="E65" s="289"/>
    </row>
    <row r="66" spans="1:5">
      <c r="A66" s="652"/>
      <c r="B66" s="286"/>
      <c r="C66" s="287"/>
      <c r="D66" s="287"/>
      <c r="E66" s="289"/>
    </row>
    <row r="67" spans="1:5">
      <c r="A67" s="652"/>
      <c r="B67" s="286"/>
      <c r="C67" s="287"/>
      <c r="D67" s="287"/>
      <c r="E67" s="289"/>
    </row>
    <row r="68" spans="1:5">
      <c r="A68" s="652"/>
      <c r="B68" s="286"/>
      <c r="C68" s="287"/>
      <c r="D68" s="287"/>
      <c r="E68" s="289"/>
    </row>
    <row r="69" spans="1:5">
      <c r="A69" s="652"/>
      <c r="B69" s="286"/>
      <c r="C69" s="287"/>
      <c r="D69" s="287"/>
      <c r="E69" s="289"/>
    </row>
    <row r="70" spans="1:5">
      <c r="A70" s="652"/>
      <c r="B70" s="286"/>
      <c r="C70" s="287"/>
      <c r="D70" s="287"/>
      <c r="E70" s="289"/>
    </row>
    <row r="71" spans="1:5">
      <c r="A71" s="652"/>
      <c r="B71" s="286"/>
      <c r="C71" s="287"/>
      <c r="D71" s="287"/>
      <c r="E71" s="289"/>
    </row>
    <row r="72" spans="1:5">
      <c r="A72" s="652"/>
      <c r="B72" s="286"/>
      <c r="C72" s="287"/>
      <c r="D72" s="287"/>
      <c r="E72" s="289"/>
    </row>
    <row r="73" spans="1:5">
      <c r="A73" s="652"/>
      <c r="B73" s="286"/>
      <c r="C73" s="287"/>
      <c r="D73" s="287"/>
      <c r="E73" s="289"/>
    </row>
    <row r="74" spans="1:5">
      <c r="A74" s="652"/>
      <c r="B74" s="286"/>
      <c r="C74" s="287"/>
      <c r="D74" s="287"/>
      <c r="E74" s="289"/>
    </row>
    <row r="75" spans="1:5">
      <c r="A75" s="652"/>
      <c r="B75" s="286"/>
      <c r="C75" s="287"/>
      <c r="D75" s="287"/>
      <c r="E75" s="289"/>
    </row>
    <row r="76" spans="1:5">
      <c r="A76" s="652"/>
      <c r="B76" s="286"/>
      <c r="C76" s="287"/>
      <c r="D76" s="287"/>
      <c r="E76" s="289"/>
    </row>
  </sheetData>
  <sheetProtection algorithmName="SHA-512" hashValue="MEjDNOL8AmJLW1HwDHRgJrsSECECl0GiceiOcON7Sj5brjjhN5UqBj0eBBWbgz7z623qIJ3xIbW1ck3GhXM0hA==" saltValue="ZJjwzhpuaVjfnOjsxJBGcA==" spinCount="100000" sheet="1" objects="1" scenarios="1"/>
  <mergeCells count="1">
    <mergeCell ref="A14:E14"/>
  </mergeCells>
  <dataValidations count="7">
    <dataValidation type="whole" allowBlank="1" showInputMessage="1" showErrorMessage="1" errorTitle="# of  Units" error="Please enter a whole number for number of units." sqref="B3" xr:uid="{00000000-0002-0000-0400-000000000000}">
      <formula1>1</formula1>
      <formula2>1000</formula2>
    </dataValidation>
    <dataValidation type="list" allowBlank="1" showInputMessage="1" showErrorMessage="1" errorTitle="Do Rents Include Utilities" error="Please select a valid value for Do Rents Include Utilities." sqref="B4" xr:uid="{00000000-0002-0000-0400-000001000000}">
      <formula1>Yes_No_List</formula1>
    </dataValidation>
    <dataValidation type="list" allowBlank="1" showInputMessage="1" showErrorMessage="1" errorTitle="Income Level" error="Please select a valid value for Income Level." sqref="A17:A76" xr:uid="{00000000-0002-0000-0400-000002000000}">
      <formula1>Income_Level_List</formula1>
    </dataValidation>
    <dataValidation type="list" allowBlank="1" showInputMessage="1" showErrorMessage="1" errorTitle="Type of Unit" error="Please select a valid value for Type of Unit." sqref="B17:B76" xr:uid="{00000000-0002-0000-0400-000003000000}">
      <formula1>Unit_Mix_Type_List</formula1>
    </dataValidation>
    <dataValidation type="whole" allowBlank="1" showInputMessage="1" showErrorMessage="1" errorTitle="Whole Numbers Only" error="All Actual Rent per Unit values on the Unit Mix &amp; Rents worksheet must be entered as a whole number." sqref="E17:E76" xr:uid="{00000000-0002-0000-0400-000004000000}">
      <formula1>0</formula1>
      <formula2>100000</formula2>
    </dataValidation>
    <dataValidation type="whole" allowBlank="1" showInputMessage="1" showErrorMessage="1" errorTitle="Whole Numbers Only" error="All # of Units values on the Unit Mix &amp; Rents worksheet must be entered as a whole number." sqref="D17:D76" xr:uid="{00000000-0002-0000-0400-000005000000}">
      <formula1>0</formula1>
      <formula2>100000</formula2>
    </dataValidation>
    <dataValidation type="whole" allowBlank="1" showInputMessage="1" showErrorMessage="1" errorTitle="Whole Numbers Only" error="All Unit Size (sq. ft.) values on the Unit Mix &amp; Rents worksheet must be entered as a whole number." sqref="C17:C76" xr:uid="{00000000-0002-0000-0400-000006000000}">
      <formula1>0</formula1>
      <formula2>100000</formula2>
    </dataValidation>
  </dataValidations>
  <hyperlinks>
    <hyperlink ref="F16" location="'Tax Credit Summary'!A212" tooltip="Show me the maximum allowable rents in Tax Credit Details" display="Show me the maximum allowable rents" xr:uid="{00000000-0004-0000-0400-000000000000}"/>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92D050"/>
  </sheetPr>
  <dimension ref="A1:H79"/>
  <sheetViews>
    <sheetView showGridLines="0" workbookViewId="0"/>
  </sheetViews>
  <sheetFormatPr defaultRowHeight="14.4"/>
  <cols>
    <col min="1" max="1" width="29.5546875" customWidth="1"/>
    <col min="2" max="2" width="36.5546875" customWidth="1"/>
    <col min="3" max="3" width="19.109375" customWidth="1"/>
    <col min="4" max="4" width="14.109375" customWidth="1"/>
    <col min="5" max="6" width="19.5546875" bestFit="1" customWidth="1"/>
    <col min="7" max="7" width="16.5546875" customWidth="1"/>
    <col min="8" max="8" width="12.5546875" customWidth="1"/>
  </cols>
  <sheetData>
    <row r="1" spans="1:8" ht="21">
      <c r="A1" s="4" t="s">
        <v>361</v>
      </c>
      <c r="B1" s="4"/>
      <c r="C1" s="4"/>
      <c r="D1" s="4"/>
      <c r="E1" s="4"/>
      <c r="F1" s="4"/>
      <c r="G1" s="4"/>
      <c r="H1" s="4"/>
    </row>
    <row r="3" spans="1:8">
      <c r="A3" s="1" t="s">
        <v>362</v>
      </c>
      <c r="B3" s="289"/>
    </row>
    <row r="4" spans="1:8">
      <c r="A4" s="1" t="s">
        <v>363</v>
      </c>
      <c r="B4" s="418"/>
    </row>
    <row r="5" spans="1:8">
      <c r="A5" s="359" t="s">
        <v>364</v>
      </c>
      <c r="B5" s="444"/>
    </row>
    <row r="7" spans="1:8" ht="18">
      <c r="A7" s="5" t="s">
        <v>365</v>
      </c>
    </row>
    <row r="8" spans="1:8">
      <c r="A8" s="3" t="s">
        <v>366</v>
      </c>
      <c r="B8" s="3" t="s">
        <v>367</v>
      </c>
      <c r="C8" s="3" t="s">
        <v>368</v>
      </c>
      <c r="D8" s="3" t="s">
        <v>369</v>
      </c>
      <c r="E8" s="3" t="s">
        <v>370</v>
      </c>
      <c r="F8" s="3" t="s">
        <v>371</v>
      </c>
    </row>
    <row r="9" spans="1:8">
      <c r="A9" s="286"/>
      <c r="B9" s="289"/>
      <c r="C9" s="288"/>
      <c r="D9" s="286"/>
      <c r="E9" s="286"/>
      <c r="F9" s="286"/>
      <c r="G9" s="304" t="s">
        <v>372</v>
      </c>
    </row>
    <row r="10" spans="1:8">
      <c r="A10" s="286"/>
      <c r="B10" s="289"/>
      <c r="C10" s="288"/>
      <c r="D10" s="286"/>
      <c r="E10" s="286"/>
      <c r="F10" s="286"/>
    </row>
    <row r="11" spans="1:8">
      <c r="A11" s="286"/>
      <c r="B11" s="289"/>
      <c r="C11" s="288"/>
      <c r="D11" s="286"/>
      <c r="E11" s="286"/>
      <c r="F11" s="286"/>
    </row>
    <row r="12" spans="1:8">
      <c r="A12" s="68" t="s">
        <v>373</v>
      </c>
      <c r="B12" s="66">
        <f>SUM(B9:B11)</f>
        <v>0</v>
      </c>
    </row>
    <row r="14" spans="1:8" ht="18">
      <c r="A14" s="5" t="s">
        <v>374</v>
      </c>
    </row>
    <row r="15" spans="1:8">
      <c r="A15" s="3" t="s">
        <v>366</v>
      </c>
      <c r="B15" s="3" t="s">
        <v>367</v>
      </c>
      <c r="C15" s="3" t="s">
        <v>368</v>
      </c>
      <c r="D15" s="3" t="s">
        <v>369</v>
      </c>
      <c r="E15" s="3" t="s">
        <v>371</v>
      </c>
    </row>
    <row r="16" spans="1:8">
      <c r="A16" s="286"/>
      <c r="B16" s="289"/>
      <c r="C16" s="288"/>
      <c r="D16" s="286"/>
      <c r="E16" s="286"/>
    </row>
    <row r="17" spans="1:5">
      <c r="A17" s="286"/>
      <c r="B17" s="289"/>
      <c r="C17" s="288"/>
      <c r="D17" s="286"/>
      <c r="E17" s="286"/>
    </row>
    <row r="18" spans="1:5">
      <c r="A18" s="286"/>
      <c r="B18" s="289"/>
      <c r="C18" s="288"/>
      <c r="D18" s="286"/>
      <c r="E18" s="286"/>
    </row>
    <row r="19" spans="1:5">
      <c r="A19" s="286"/>
      <c r="B19" s="289"/>
      <c r="C19" s="288"/>
      <c r="D19" s="286"/>
      <c r="E19" s="286"/>
    </row>
    <row r="20" spans="1:5">
      <c r="A20" s="286"/>
      <c r="B20" s="289"/>
      <c r="C20" s="288"/>
      <c r="D20" s="286"/>
      <c r="E20" s="286"/>
    </row>
    <row r="21" spans="1:5">
      <c r="A21" s="286"/>
      <c r="B21" s="289"/>
      <c r="C21" s="288"/>
      <c r="D21" s="286"/>
      <c r="E21" s="286"/>
    </row>
    <row r="22" spans="1:5">
      <c r="A22" s="68" t="s">
        <v>373</v>
      </c>
      <c r="B22" s="66">
        <f>SUM(B16:B21)</f>
        <v>0</v>
      </c>
    </row>
    <row r="24" spans="1:5" ht="18">
      <c r="A24" s="5" t="s">
        <v>4095</v>
      </c>
    </row>
    <row r="25" spans="1:5">
      <c r="A25" s="3" t="s">
        <v>377</v>
      </c>
      <c r="B25" s="3" t="s">
        <v>367</v>
      </c>
    </row>
    <row r="26" spans="1:5">
      <c r="A26" s="286"/>
      <c r="B26" s="289"/>
    </row>
    <row r="27" spans="1:5">
      <c r="A27" s="286"/>
      <c r="B27" s="289"/>
    </row>
    <row r="28" spans="1:5">
      <c r="A28" s="286"/>
      <c r="B28" s="289"/>
    </row>
    <row r="29" spans="1:5">
      <c r="A29" s="286"/>
      <c r="B29" s="289"/>
    </row>
    <row r="30" spans="1:5">
      <c r="A30" s="286"/>
      <c r="B30" s="289"/>
    </row>
    <row r="31" spans="1:5">
      <c r="A31" s="286"/>
      <c r="B31" s="289"/>
    </row>
    <row r="32" spans="1:5">
      <c r="A32" s="286"/>
      <c r="B32" s="289"/>
    </row>
    <row r="33" spans="1:6">
      <c r="A33" s="286"/>
      <c r="B33" s="289"/>
    </row>
    <row r="34" spans="1:6">
      <c r="A34" s="68" t="s">
        <v>373</v>
      </c>
      <c r="B34" s="66">
        <f>SUM(B26:B33)</f>
        <v>0</v>
      </c>
    </row>
    <row r="36" spans="1:6" ht="18">
      <c r="A36" s="5" t="s">
        <v>376</v>
      </c>
    </row>
    <row r="37" spans="1:6">
      <c r="A37" s="3" t="s">
        <v>377</v>
      </c>
      <c r="B37" s="3" t="s">
        <v>367</v>
      </c>
    </row>
    <row r="38" spans="1:6">
      <c r="A38" s="1" t="s">
        <v>378</v>
      </c>
      <c r="B38" s="289">
        <v>0</v>
      </c>
    </row>
    <row r="39" spans="1:6">
      <c r="A39" s="1" t="s">
        <v>379</v>
      </c>
      <c r="B39" s="289">
        <v>0</v>
      </c>
    </row>
    <row r="40" spans="1:6">
      <c r="A40" s="1" t="s">
        <v>380</v>
      </c>
      <c r="B40" s="289">
        <v>0</v>
      </c>
      <c r="C40" s="10" t="s">
        <v>381</v>
      </c>
    </row>
    <row r="41" spans="1:6">
      <c r="A41" s="68" t="s">
        <v>373</v>
      </c>
      <c r="B41" s="66">
        <f>SUM(B38:B40)</f>
        <v>0</v>
      </c>
    </row>
    <row r="42" spans="1:6">
      <c r="A42" s="68" t="s">
        <v>382</v>
      </c>
      <c r="B42" s="66">
        <f>SUM(B12,B22,B34,B41)</f>
        <v>0</v>
      </c>
    </row>
    <row r="44" spans="1:6" ht="18">
      <c r="A44" s="5" t="s">
        <v>383</v>
      </c>
    </row>
    <row r="45" spans="1:6">
      <c r="A45" s="3" t="s">
        <v>366</v>
      </c>
      <c r="B45" s="3" t="s">
        <v>367</v>
      </c>
      <c r="C45" s="3" t="s">
        <v>368</v>
      </c>
      <c r="D45" s="3" t="s">
        <v>369</v>
      </c>
      <c r="E45" s="3" t="s">
        <v>370</v>
      </c>
      <c r="F45" s="10"/>
    </row>
    <row r="46" spans="1:6">
      <c r="A46" s="286"/>
      <c r="B46" s="289"/>
      <c r="C46" s="288"/>
      <c r="D46" s="286"/>
      <c r="E46" s="286"/>
    </row>
    <row r="47" spans="1:6">
      <c r="A47" s="286"/>
      <c r="B47" s="289"/>
      <c r="C47" s="288"/>
      <c r="D47" s="286"/>
      <c r="E47" s="286"/>
    </row>
    <row r="48" spans="1:6">
      <c r="A48" s="286"/>
      <c r="B48" s="289"/>
      <c r="C48" s="288"/>
      <c r="D48" s="286"/>
      <c r="E48" s="286"/>
    </row>
    <row r="49" spans="1:4">
      <c r="A49" s="68" t="s">
        <v>373</v>
      </c>
      <c r="B49" s="66">
        <f>SUM(B46:B48)</f>
        <v>0</v>
      </c>
    </row>
    <row r="51" spans="1:4" ht="18">
      <c r="A51" s="5" t="s">
        <v>384</v>
      </c>
    </row>
    <row r="52" spans="1:4">
      <c r="A52" s="3" t="s">
        <v>366</v>
      </c>
      <c r="B52" s="3" t="s">
        <v>367</v>
      </c>
      <c r="C52" s="3" t="s">
        <v>368</v>
      </c>
      <c r="D52" s="3" t="s">
        <v>369</v>
      </c>
    </row>
    <row r="53" spans="1:4">
      <c r="A53" s="286"/>
      <c r="B53" s="289"/>
      <c r="C53" s="288"/>
      <c r="D53" s="286"/>
    </row>
    <row r="54" spans="1:4">
      <c r="A54" s="286"/>
      <c r="B54" s="289"/>
      <c r="C54" s="288"/>
      <c r="D54" s="286"/>
    </row>
    <row r="55" spans="1:4">
      <c r="A55" s="286"/>
      <c r="B55" s="289"/>
      <c r="C55" s="288"/>
      <c r="D55" s="286"/>
    </row>
    <row r="56" spans="1:4">
      <c r="A56" s="286"/>
      <c r="B56" s="289"/>
      <c r="C56" s="288"/>
      <c r="D56" s="286"/>
    </row>
    <row r="57" spans="1:4">
      <c r="A57" s="286"/>
      <c r="B57" s="289"/>
      <c r="C57" s="288"/>
      <c r="D57" s="286"/>
    </row>
    <row r="58" spans="1:4">
      <c r="A58" s="286"/>
      <c r="B58" s="289"/>
      <c r="C58" s="288"/>
      <c r="D58" s="286"/>
    </row>
    <row r="59" spans="1:4">
      <c r="A59" s="68" t="s">
        <v>373</v>
      </c>
      <c r="B59" s="65">
        <f>SUM(B50:B58)</f>
        <v>0</v>
      </c>
    </row>
    <row r="61" spans="1:4" ht="18">
      <c r="A61" s="5" t="s">
        <v>385</v>
      </c>
    </row>
    <row r="62" spans="1:4">
      <c r="A62" s="3" t="s">
        <v>375</v>
      </c>
      <c r="B62" s="3" t="s">
        <v>367</v>
      </c>
    </row>
    <row r="63" spans="1:4">
      <c r="A63" s="286"/>
      <c r="B63" s="289"/>
    </row>
    <row r="64" spans="1:4">
      <c r="A64" s="286"/>
      <c r="B64" s="289"/>
    </row>
    <row r="65" spans="1:2">
      <c r="A65" s="286"/>
      <c r="B65" s="289"/>
    </row>
    <row r="66" spans="1:2">
      <c r="A66" s="286"/>
      <c r="B66" s="289"/>
    </row>
    <row r="67" spans="1:2">
      <c r="A67" s="286"/>
      <c r="B67" s="289"/>
    </row>
    <row r="68" spans="1:2">
      <c r="A68" s="286"/>
      <c r="B68" s="289"/>
    </row>
    <row r="69" spans="1:2">
      <c r="A69" s="286"/>
      <c r="B69" s="289"/>
    </row>
    <row r="70" spans="1:2">
      <c r="A70" s="286"/>
      <c r="B70" s="289"/>
    </row>
    <row r="71" spans="1:2">
      <c r="A71" s="68" t="s">
        <v>373</v>
      </c>
      <c r="B71" s="65">
        <f>SUM(B63:B70)</f>
        <v>0</v>
      </c>
    </row>
    <row r="73" spans="1:2" ht="18">
      <c r="A73" s="5" t="s">
        <v>386</v>
      </c>
    </row>
    <row r="74" spans="1:2">
      <c r="A74" s="3" t="s">
        <v>377</v>
      </c>
      <c r="B74" s="3" t="s">
        <v>387</v>
      </c>
    </row>
    <row r="75" spans="1:2">
      <c r="A75" s="1" t="s">
        <v>378</v>
      </c>
      <c r="B75" s="289">
        <v>0</v>
      </c>
    </row>
    <row r="76" spans="1:2">
      <c r="A76" s="1" t="s">
        <v>379</v>
      </c>
      <c r="B76" s="289">
        <v>0</v>
      </c>
    </row>
    <row r="77" spans="1:2">
      <c r="A77" s="68" t="s">
        <v>373</v>
      </c>
      <c r="B77" s="65">
        <f>SUM(B75:B76)</f>
        <v>0</v>
      </c>
    </row>
    <row r="78" spans="1:2">
      <c r="A78" s="68" t="s">
        <v>388</v>
      </c>
      <c r="B78" s="66">
        <f>SUM(B77,B71,B59,B49)</f>
        <v>0</v>
      </c>
    </row>
    <row r="79" spans="1:2">
      <c r="A79" s="6" t="s">
        <v>389</v>
      </c>
    </row>
  </sheetData>
  <sheetProtection algorithmName="SHA-512" hashValue="LEwOSCoZ6pTmmFcAd1EpD164gt+pqJf6IBENqcRs+Z5dc0RI3jmxP6wd0gtdpT1tSt6dQ4E4wx1gB4sj/5Tlsw==" saltValue="zgUaXncajUQueZLLblV+Rw==" spinCount="100000" sheet="1" objects="1" scenarios="1"/>
  <dataValidations count="8">
    <dataValidation type="list" allowBlank="1" showInputMessage="1" showErrorMessage="1" errorTitle="Residential Loan Type" error="Please enter a valid value for Residential Loan Type." sqref="G22 G12:G13" xr:uid="{00000000-0002-0000-0500-000000000000}">
      <formula1>Residential_Loan_Type_List</formula1>
    </dataValidation>
    <dataValidation type="list" allowBlank="1" showInputMessage="1" showErrorMessage="1" errorTitle="Residential Loan" error="Please select a valid value for Residential Loan Is Cash Flow." sqref="E22 E49:E50 E59" xr:uid="{00000000-0002-0000-0500-000001000000}">
      <formula1>Yes_No_List</formula1>
    </dataValidation>
    <dataValidation type="list" allowBlank="1" showInputMessage="1" showErrorMessage="1" errorTitle="Residential Loan Type" error="Please enter a valid value for Residential Loan Type." sqref="F9:F11 E16:E21" xr:uid="{00000000-0002-0000-0500-000002000000}">
      <formula1>Approval_List</formula1>
    </dataValidation>
    <dataValidation type="whole" allowBlank="1" showInputMessage="1" showErrorMessage="1" errorTitle="Whole Numbers Only" error="All Amount of Funds values on financing worksheet must be entered as a whole number." sqref="B9:B11 B75:B78 B26:B33 B38:B40 B46:B48 B53:B58 B63:B70 B16:B21" xr:uid="{00000000-0002-0000-0500-000003000000}">
      <formula1>0</formula1>
      <formula2>100000000</formula2>
    </dataValidation>
    <dataValidation type="whole" allowBlank="1" showInputMessage="1" showErrorMessage="1" sqref="D9:D11 D16:D21" xr:uid="{00000000-0002-0000-0500-000004000000}">
      <formula1>0</formula1>
      <formula2>100000</formula2>
    </dataValidation>
    <dataValidation type="decimal" allowBlank="1" showInputMessage="1" showErrorMessage="1" sqref="C9:C11 C16:C21" xr:uid="{00000000-0002-0000-0500-000005000000}">
      <formula1>0</formula1>
      <formula2>100</formula2>
    </dataValidation>
    <dataValidation type="list" allowBlank="1" showInputMessage="1" showErrorMessage="1" errorTitle="Site Properly Zoned" error="Please select a valid value for Site Properly Zoned." sqref="B5" xr:uid="{00000000-0002-0000-0500-000006000000}">
      <formula1>Yes_No_List</formula1>
    </dataValidation>
    <dataValidation type="decimal" allowBlank="1" showInputMessage="1" showErrorMessage="1" sqref="B4" xr:uid="{C44637F1-B4A2-4B58-A587-302793CDBF3A}">
      <formula1>0</formula1>
      <formula2>111.111111111</formula2>
    </dataValidation>
  </dataValidations>
  <hyperlinks>
    <hyperlink ref="G9" location="'Tax Credit Summary'!A134" tooltip="Show me annual debt in Tax Credit Summary" display="Show me annual debt" xr:uid="{00000000-0004-0000-0500-000000000000}"/>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rgb="FF92D050"/>
  </sheetPr>
  <dimension ref="A1:BP126"/>
  <sheetViews>
    <sheetView showGridLines="0" zoomScaleNormal="100" workbookViewId="0"/>
  </sheetViews>
  <sheetFormatPr defaultRowHeight="14.4"/>
  <cols>
    <col min="1" max="1" width="54.5546875" customWidth="1"/>
    <col min="2" max="6" width="23.5546875" customWidth="1"/>
    <col min="7" max="7" width="103.5546875" customWidth="1"/>
  </cols>
  <sheetData>
    <row r="1" spans="1:8" ht="21">
      <c r="A1" s="4" t="s">
        <v>390</v>
      </c>
      <c r="B1" s="4"/>
      <c r="C1" s="4"/>
      <c r="D1" s="4"/>
      <c r="E1" s="4"/>
      <c r="F1" s="4"/>
      <c r="G1" s="4"/>
    </row>
    <row r="2" spans="1:8">
      <c r="B2" s="1" t="s">
        <v>391</v>
      </c>
    </row>
    <row r="3" spans="1:8" ht="28.8">
      <c r="A3" s="3" t="s">
        <v>392</v>
      </c>
      <c r="B3" s="3" t="s">
        <v>393</v>
      </c>
      <c r="C3" s="3" t="s">
        <v>394</v>
      </c>
      <c r="D3" s="3" t="s">
        <v>395</v>
      </c>
      <c r="E3" s="502" t="s">
        <v>396</v>
      </c>
      <c r="F3" s="502" t="s">
        <v>397</v>
      </c>
      <c r="G3" s="502" t="s">
        <v>398</v>
      </c>
    </row>
    <row r="4" spans="1:8">
      <c r="A4" s="1" t="s">
        <v>399</v>
      </c>
      <c r="B4" s="289">
        <v>0</v>
      </c>
      <c r="E4" s="289">
        <v>0</v>
      </c>
      <c r="F4" s="289">
        <v>0</v>
      </c>
      <c r="G4" s="286"/>
    </row>
    <row r="5" spans="1:8">
      <c r="A5" s="1" t="s">
        <v>400</v>
      </c>
      <c r="B5" s="289">
        <v>0</v>
      </c>
      <c r="C5" s="289">
        <v>0</v>
      </c>
      <c r="E5" s="289">
        <v>0</v>
      </c>
      <c r="F5" s="289">
        <v>0</v>
      </c>
      <c r="G5" s="286"/>
    </row>
    <row r="6" spans="1:8">
      <c r="A6" s="1" t="s">
        <v>401</v>
      </c>
      <c r="B6" s="289">
        <v>0</v>
      </c>
      <c r="E6" s="289">
        <v>0</v>
      </c>
      <c r="F6" s="289">
        <v>0</v>
      </c>
      <c r="G6" s="286"/>
    </row>
    <row r="7" spans="1:8">
      <c r="A7" s="67"/>
      <c r="B7" s="66">
        <f>SUM(B4:B6)</f>
        <v>0</v>
      </c>
      <c r="C7" s="66">
        <f t="shared" ref="C7:F7" si="0">SUM(C4:C6)</f>
        <v>0</v>
      </c>
      <c r="D7" s="66">
        <f t="shared" si="0"/>
        <v>0</v>
      </c>
      <c r="E7" s="66">
        <f t="shared" si="0"/>
        <v>0</v>
      </c>
      <c r="F7" s="66">
        <f t="shared" si="0"/>
        <v>0</v>
      </c>
      <c r="G7" s="66"/>
    </row>
    <row r="8" spans="1:8">
      <c r="A8" s="3" t="s">
        <v>402</v>
      </c>
      <c r="B8" s="3"/>
      <c r="C8" s="3"/>
      <c r="D8" s="3"/>
      <c r="E8" s="3"/>
      <c r="F8" s="3"/>
      <c r="G8" s="3"/>
    </row>
    <row r="9" spans="1:8">
      <c r="A9" s="1" t="s">
        <v>4166</v>
      </c>
      <c r="B9" s="289">
        <v>0</v>
      </c>
      <c r="C9" s="289">
        <v>0</v>
      </c>
      <c r="D9" s="289">
        <v>0</v>
      </c>
      <c r="E9" s="289">
        <v>0</v>
      </c>
      <c r="F9" s="289">
        <v>0</v>
      </c>
      <c r="G9" s="286"/>
      <c r="H9" s="49"/>
    </row>
    <row r="10" spans="1:8">
      <c r="A10" s="1" t="s">
        <v>404</v>
      </c>
      <c r="B10" s="289">
        <v>0</v>
      </c>
      <c r="E10" s="289">
        <v>0</v>
      </c>
      <c r="F10" s="358"/>
      <c r="G10" s="286"/>
    </row>
    <row r="11" spans="1:8">
      <c r="B11" s="66">
        <f>SUM(B9:B10)</f>
        <v>0</v>
      </c>
      <c r="C11" s="66">
        <f t="shared" ref="C11:E11" si="1">SUM(C9:C10)</f>
        <v>0</v>
      </c>
      <c r="D11" s="66">
        <f t="shared" si="1"/>
        <v>0</v>
      </c>
      <c r="E11" s="66">
        <f t="shared" si="1"/>
        <v>0</v>
      </c>
      <c r="F11" s="66">
        <f>SUM(F9:F10)</f>
        <v>0</v>
      </c>
    </row>
    <row r="12" spans="1:8">
      <c r="A12" s="3" t="s">
        <v>405</v>
      </c>
      <c r="B12" s="3"/>
      <c r="C12" s="3"/>
      <c r="D12" s="3"/>
      <c r="E12" s="3"/>
      <c r="F12" s="3"/>
      <c r="G12" s="3"/>
    </row>
    <row r="13" spans="1:8">
      <c r="A13" s="1" t="s">
        <v>406</v>
      </c>
      <c r="B13" s="289">
        <v>0</v>
      </c>
      <c r="C13" s="289">
        <v>0</v>
      </c>
      <c r="D13" s="289">
        <v>0</v>
      </c>
      <c r="E13" s="289">
        <v>0</v>
      </c>
      <c r="F13" s="289">
        <v>0</v>
      </c>
      <c r="G13" s="286"/>
    </row>
    <row r="14" spans="1:8">
      <c r="A14" s="1" t="s">
        <v>407</v>
      </c>
      <c r="B14" s="289">
        <v>0</v>
      </c>
      <c r="C14" s="289">
        <v>0</v>
      </c>
      <c r="D14" s="289">
        <v>0</v>
      </c>
      <c r="E14" s="289">
        <v>0</v>
      </c>
      <c r="F14" s="289">
        <v>0</v>
      </c>
      <c r="G14" s="286"/>
    </row>
    <row r="15" spans="1:8">
      <c r="A15" s="1" t="s">
        <v>408</v>
      </c>
      <c r="B15" s="289">
        <v>0</v>
      </c>
      <c r="C15" s="289">
        <v>0</v>
      </c>
      <c r="D15" s="289">
        <v>0</v>
      </c>
      <c r="E15" s="289">
        <v>0</v>
      </c>
      <c r="F15" s="289">
        <v>0</v>
      </c>
      <c r="G15" s="286"/>
    </row>
    <row r="16" spans="1:8">
      <c r="A16" s="1" t="s">
        <v>409</v>
      </c>
      <c r="B16" s="289">
        <v>0</v>
      </c>
      <c r="C16" s="289">
        <v>0</v>
      </c>
      <c r="D16" s="289">
        <v>0</v>
      </c>
      <c r="E16" s="289">
        <v>0</v>
      </c>
      <c r="F16" s="289">
        <v>0</v>
      </c>
      <c r="G16" s="286"/>
    </row>
    <row r="17" spans="1:7">
      <c r="A17" s="1" t="s">
        <v>410</v>
      </c>
      <c r="B17" s="289">
        <v>0</v>
      </c>
      <c r="C17" s="289">
        <v>0</v>
      </c>
      <c r="D17" s="289">
        <v>0</v>
      </c>
      <c r="E17" s="289">
        <v>0</v>
      </c>
      <c r="F17" s="289">
        <v>0</v>
      </c>
      <c r="G17" s="286"/>
    </row>
    <row r="18" spans="1:7">
      <c r="A18" s="1" t="s">
        <v>411</v>
      </c>
      <c r="B18" s="289">
        <v>0</v>
      </c>
      <c r="C18" s="289">
        <v>0</v>
      </c>
      <c r="D18" s="289">
        <v>0</v>
      </c>
      <c r="E18" s="289">
        <v>0</v>
      </c>
      <c r="F18" s="289">
        <v>0</v>
      </c>
      <c r="G18" s="286"/>
    </row>
    <row r="19" spans="1:7">
      <c r="A19" s="1" t="s">
        <v>412</v>
      </c>
      <c r="B19" s="289">
        <v>0</v>
      </c>
      <c r="C19" s="289">
        <v>0</v>
      </c>
      <c r="D19" s="289">
        <v>0</v>
      </c>
      <c r="E19" s="289">
        <v>0</v>
      </c>
      <c r="F19" s="289">
        <v>0</v>
      </c>
      <c r="G19" s="286"/>
    </row>
    <row r="20" spans="1:7">
      <c r="A20" s="1" t="s">
        <v>413</v>
      </c>
      <c r="B20" s="289">
        <v>0</v>
      </c>
      <c r="C20" s="289">
        <v>0</v>
      </c>
      <c r="D20" s="289">
        <v>0</v>
      </c>
      <c r="E20" s="289">
        <v>0</v>
      </c>
      <c r="F20" s="289">
        <v>0</v>
      </c>
      <c r="G20" s="286"/>
    </row>
    <row r="21" spans="1:7">
      <c r="A21" s="1" t="s">
        <v>414</v>
      </c>
      <c r="B21" s="289">
        <v>0</v>
      </c>
      <c r="C21" s="289">
        <v>0</v>
      </c>
      <c r="D21" s="289">
        <v>0</v>
      </c>
      <c r="E21" s="289">
        <v>0</v>
      </c>
      <c r="F21" s="289">
        <v>0</v>
      </c>
      <c r="G21" s="286"/>
    </row>
    <row r="22" spans="1:7">
      <c r="A22" s="1" t="s">
        <v>415</v>
      </c>
      <c r="B22" s="289">
        <v>0</v>
      </c>
      <c r="C22" s="289">
        <v>0</v>
      </c>
      <c r="D22" s="289">
        <v>0</v>
      </c>
      <c r="E22" s="289">
        <v>0</v>
      </c>
      <c r="F22" s="289">
        <v>0</v>
      </c>
      <c r="G22" s="286"/>
    </row>
    <row r="23" spans="1:7">
      <c r="A23" s="1" t="s">
        <v>416</v>
      </c>
      <c r="B23" s="289">
        <v>0</v>
      </c>
      <c r="C23" s="289">
        <v>0</v>
      </c>
      <c r="D23" s="289">
        <v>0</v>
      </c>
      <c r="E23" s="289">
        <v>0</v>
      </c>
      <c r="F23" s="289">
        <v>0</v>
      </c>
      <c r="G23" s="286"/>
    </row>
    <row r="24" spans="1:7">
      <c r="A24" s="290" t="str">
        <f>"Other (Specify)"</f>
        <v>Other (Specify)</v>
      </c>
      <c r="B24" s="289">
        <v>0</v>
      </c>
      <c r="C24" s="289">
        <v>0</v>
      </c>
      <c r="D24" s="289">
        <v>0</v>
      </c>
      <c r="E24" s="289">
        <v>0</v>
      </c>
      <c r="F24" s="289">
        <v>0</v>
      </c>
      <c r="G24" s="286"/>
    </row>
    <row r="25" spans="1:7">
      <c r="A25" s="290" t="str">
        <f t="shared" ref="A25:A26" si="2">"Other (Specify)"</f>
        <v>Other (Specify)</v>
      </c>
      <c r="B25" s="289">
        <v>0</v>
      </c>
      <c r="C25" s="289">
        <v>0</v>
      </c>
      <c r="D25" s="289">
        <v>0</v>
      </c>
      <c r="E25" s="289">
        <v>0</v>
      </c>
      <c r="F25" s="289">
        <v>0</v>
      </c>
      <c r="G25" s="286"/>
    </row>
    <row r="26" spans="1:7">
      <c r="A26" s="290" t="str">
        <f t="shared" si="2"/>
        <v>Other (Specify)</v>
      </c>
      <c r="B26" s="289">
        <v>0</v>
      </c>
      <c r="C26" s="289">
        <v>0</v>
      </c>
      <c r="D26" s="289">
        <v>0</v>
      </c>
      <c r="E26" s="289">
        <v>0</v>
      </c>
      <c r="F26" s="289">
        <v>0</v>
      </c>
      <c r="G26" s="286"/>
    </row>
    <row r="27" spans="1:7">
      <c r="B27" s="66">
        <f>SUM(B13:B26)</f>
        <v>0</v>
      </c>
      <c r="C27" s="66">
        <f t="shared" ref="C27:F27" si="3">SUM(C13:C26)</f>
        <v>0</v>
      </c>
      <c r="D27" s="66">
        <f t="shared" si="3"/>
        <v>0</v>
      </c>
      <c r="E27" s="66">
        <f t="shared" si="3"/>
        <v>0</v>
      </c>
      <c r="F27" s="66">
        <f t="shared" si="3"/>
        <v>0</v>
      </c>
    </row>
    <row r="28" spans="1:7">
      <c r="A28" s="3" t="s">
        <v>417</v>
      </c>
      <c r="B28" s="3"/>
      <c r="C28" s="3"/>
      <c r="D28" s="3"/>
      <c r="E28" s="3"/>
      <c r="F28" s="3"/>
      <c r="G28" s="3"/>
    </row>
    <row r="29" spans="1:7">
      <c r="A29" s="1" t="s">
        <v>418</v>
      </c>
      <c r="B29" s="289">
        <v>0</v>
      </c>
      <c r="C29" s="289">
        <v>0</v>
      </c>
      <c r="D29" s="289">
        <v>0</v>
      </c>
      <c r="E29" s="289">
        <v>0</v>
      </c>
      <c r="F29" s="289">
        <v>0</v>
      </c>
      <c r="G29" s="286"/>
    </row>
    <row r="30" spans="1:7">
      <c r="A30" s="1" t="s">
        <v>419</v>
      </c>
      <c r="B30" s="289">
        <v>0</v>
      </c>
      <c r="C30" s="289">
        <v>0</v>
      </c>
      <c r="D30" s="289">
        <v>0</v>
      </c>
      <c r="E30" s="289">
        <v>0</v>
      </c>
      <c r="F30" s="289">
        <v>0</v>
      </c>
      <c r="G30" s="286"/>
    </row>
    <row r="31" spans="1:7">
      <c r="A31" s="1" t="s">
        <v>420</v>
      </c>
      <c r="B31" s="289">
        <v>0</v>
      </c>
      <c r="C31" s="289">
        <v>0</v>
      </c>
      <c r="D31" s="289">
        <v>0</v>
      </c>
      <c r="E31" s="289">
        <v>0</v>
      </c>
      <c r="F31" s="289">
        <v>0</v>
      </c>
      <c r="G31" s="286"/>
    </row>
    <row r="32" spans="1:7">
      <c r="A32" s="1" t="s">
        <v>421</v>
      </c>
      <c r="B32" s="289">
        <v>0</v>
      </c>
      <c r="C32" s="289">
        <v>0</v>
      </c>
      <c r="D32" s="289">
        <v>0</v>
      </c>
      <c r="E32" s="289">
        <v>0</v>
      </c>
      <c r="F32" s="289">
        <v>0</v>
      </c>
      <c r="G32" s="286"/>
    </row>
    <row r="33" spans="1:7">
      <c r="A33" s="1" t="s">
        <v>422</v>
      </c>
      <c r="B33" s="289">
        <v>0</v>
      </c>
      <c r="C33" s="289">
        <v>0</v>
      </c>
      <c r="D33" s="289">
        <v>0</v>
      </c>
      <c r="E33" s="289">
        <v>0</v>
      </c>
      <c r="F33" s="289">
        <v>0</v>
      </c>
      <c r="G33" s="286"/>
    </row>
    <row r="34" spans="1:7">
      <c r="A34" s="1" t="s">
        <v>423</v>
      </c>
      <c r="B34" s="289">
        <v>0</v>
      </c>
      <c r="C34" s="289">
        <v>0</v>
      </c>
      <c r="D34" s="289">
        <v>0</v>
      </c>
      <c r="E34" s="289">
        <v>0</v>
      </c>
      <c r="F34" s="289">
        <v>0</v>
      </c>
      <c r="G34" s="286"/>
    </row>
    <row r="35" spans="1:7">
      <c r="A35" s="1" t="s">
        <v>424</v>
      </c>
      <c r="B35" s="289">
        <v>0</v>
      </c>
      <c r="C35" s="289">
        <v>0</v>
      </c>
      <c r="D35" s="289">
        <v>0</v>
      </c>
      <c r="E35" s="289">
        <v>0</v>
      </c>
      <c r="F35" s="289">
        <v>0</v>
      </c>
      <c r="G35" s="286"/>
    </row>
    <row r="36" spans="1:7">
      <c r="A36" s="1" t="s">
        <v>425</v>
      </c>
      <c r="B36" s="289">
        <v>0</v>
      </c>
      <c r="C36" s="289">
        <v>0</v>
      </c>
      <c r="D36" s="289">
        <v>0</v>
      </c>
      <c r="E36" s="289">
        <v>0</v>
      </c>
      <c r="F36" s="289">
        <v>0</v>
      </c>
      <c r="G36" s="286"/>
    </row>
    <row r="37" spans="1:7">
      <c r="A37" s="1" t="s">
        <v>191</v>
      </c>
      <c r="B37" s="289">
        <v>0</v>
      </c>
      <c r="C37" s="289">
        <v>0</v>
      </c>
      <c r="D37" s="289">
        <v>0</v>
      </c>
      <c r="E37" s="289">
        <v>0</v>
      </c>
      <c r="F37" s="289">
        <v>0</v>
      </c>
      <c r="G37" s="286"/>
    </row>
    <row r="38" spans="1:7">
      <c r="A38" s="1" t="s">
        <v>426</v>
      </c>
      <c r="B38" s="289">
        <v>0</v>
      </c>
      <c r="C38" s="289">
        <v>0</v>
      </c>
      <c r="D38" s="289">
        <v>0</v>
      </c>
      <c r="E38" s="289">
        <v>0</v>
      </c>
      <c r="F38" s="289">
        <v>0</v>
      </c>
      <c r="G38" s="286"/>
    </row>
    <row r="39" spans="1:7">
      <c r="A39" s="1" t="s">
        <v>427</v>
      </c>
      <c r="B39" s="289">
        <v>0</v>
      </c>
      <c r="C39" s="289">
        <v>0</v>
      </c>
      <c r="D39" s="289">
        <v>0</v>
      </c>
      <c r="E39" s="289">
        <v>0</v>
      </c>
      <c r="F39" s="289">
        <v>0</v>
      </c>
      <c r="G39" s="286"/>
    </row>
    <row r="40" spans="1:7">
      <c r="A40" s="290" t="str">
        <f t="shared" ref="A40:A42" si="4">"Other (Specify)"</f>
        <v>Other (Specify)</v>
      </c>
      <c r="B40" s="289">
        <v>0</v>
      </c>
      <c r="C40" s="289">
        <v>0</v>
      </c>
      <c r="D40" s="289">
        <v>0</v>
      </c>
      <c r="E40" s="289">
        <v>0</v>
      </c>
      <c r="F40" s="289">
        <v>0</v>
      </c>
      <c r="G40" s="286"/>
    </row>
    <row r="41" spans="1:7">
      <c r="A41" s="290" t="str">
        <f t="shared" si="4"/>
        <v>Other (Specify)</v>
      </c>
      <c r="B41" s="289">
        <v>0</v>
      </c>
      <c r="C41" s="289">
        <v>0</v>
      </c>
      <c r="D41" s="289">
        <v>0</v>
      </c>
      <c r="E41" s="289">
        <v>0</v>
      </c>
      <c r="F41" s="289">
        <v>0</v>
      </c>
      <c r="G41" s="286"/>
    </row>
    <row r="42" spans="1:7">
      <c r="A42" s="290" t="str">
        <f t="shared" si="4"/>
        <v>Other (Specify)</v>
      </c>
      <c r="B42" s="289">
        <v>0</v>
      </c>
      <c r="C42" s="289">
        <v>0</v>
      </c>
      <c r="D42" s="289">
        <v>0</v>
      </c>
      <c r="E42" s="289">
        <v>0</v>
      </c>
      <c r="F42" s="289">
        <v>0</v>
      </c>
      <c r="G42" s="286"/>
    </row>
    <row r="43" spans="1:7">
      <c r="B43" s="66">
        <f>SUM(B29:B42)</f>
        <v>0</v>
      </c>
      <c r="C43" s="66">
        <f t="shared" ref="C43:F43" si="5">SUM(C29:C42)</f>
        <v>0</v>
      </c>
      <c r="D43" s="66">
        <f t="shared" si="5"/>
        <v>0</v>
      </c>
      <c r="E43" s="66">
        <f t="shared" si="5"/>
        <v>0</v>
      </c>
      <c r="F43" s="66">
        <f t="shared" si="5"/>
        <v>0</v>
      </c>
    </row>
    <row r="44" spans="1:7">
      <c r="A44" s="3" t="s">
        <v>428</v>
      </c>
      <c r="B44" s="3"/>
      <c r="C44" s="3"/>
      <c r="D44" s="3"/>
      <c r="E44" s="3"/>
      <c r="F44" s="3"/>
      <c r="G44" s="3"/>
    </row>
    <row r="45" spans="1:7">
      <c r="A45" s="1" t="s">
        <v>429</v>
      </c>
      <c r="B45" s="289">
        <v>0</v>
      </c>
      <c r="C45" s="289">
        <v>0</v>
      </c>
      <c r="D45" s="289">
        <v>0</v>
      </c>
      <c r="E45" s="289">
        <v>0</v>
      </c>
      <c r="F45" s="289">
        <v>0</v>
      </c>
      <c r="G45" s="286"/>
    </row>
    <row r="46" spans="1:7">
      <c r="A46" s="1" t="s">
        <v>430</v>
      </c>
      <c r="B46" s="289">
        <v>0</v>
      </c>
      <c r="C46" s="289">
        <v>0</v>
      </c>
      <c r="D46" s="289">
        <v>0</v>
      </c>
      <c r="E46" s="289">
        <v>0</v>
      </c>
      <c r="F46" s="289">
        <v>0</v>
      </c>
      <c r="G46" s="286"/>
    </row>
    <row r="47" spans="1:7">
      <c r="A47" s="1" t="s">
        <v>431</v>
      </c>
      <c r="B47" s="289">
        <v>0</v>
      </c>
      <c r="C47" s="289">
        <v>0</v>
      </c>
      <c r="D47" s="289">
        <v>0</v>
      </c>
      <c r="E47" s="289">
        <v>0</v>
      </c>
      <c r="F47" s="289">
        <v>0</v>
      </c>
      <c r="G47" s="286"/>
    </row>
    <row r="48" spans="1:7">
      <c r="A48" s="1" t="s">
        <v>432</v>
      </c>
      <c r="B48" s="289">
        <v>0</v>
      </c>
      <c r="C48" s="289">
        <v>0</v>
      </c>
      <c r="D48" s="289">
        <v>0</v>
      </c>
      <c r="E48" s="289">
        <v>0</v>
      </c>
      <c r="F48" s="289">
        <v>0</v>
      </c>
      <c r="G48" s="286"/>
    </row>
    <row r="49" spans="1:7">
      <c r="A49" s="1" t="s">
        <v>433</v>
      </c>
      <c r="B49" s="289">
        <v>0</v>
      </c>
      <c r="C49" s="289">
        <v>0</v>
      </c>
      <c r="D49" s="289">
        <v>0</v>
      </c>
      <c r="E49" s="289">
        <v>0</v>
      </c>
      <c r="F49" s="289">
        <v>0</v>
      </c>
      <c r="G49" s="286"/>
    </row>
    <row r="50" spans="1:7">
      <c r="A50" s="1" t="s">
        <v>434</v>
      </c>
      <c r="B50" s="289">
        <v>0</v>
      </c>
      <c r="C50" s="289">
        <v>0</v>
      </c>
      <c r="D50" s="289">
        <v>0</v>
      </c>
      <c r="E50" s="289">
        <v>0</v>
      </c>
      <c r="F50" s="289">
        <v>0</v>
      </c>
      <c r="G50" s="286"/>
    </row>
    <row r="51" spans="1:7">
      <c r="A51" s="1" t="s">
        <v>435</v>
      </c>
      <c r="B51" s="289">
        <v>0</v>
      </c>
      <c r="C51" s="289">
        <v>0</v>
      </c>
      <c r="D51" s="289">
        <v>0</v>
      </c>
      <c r="E51" s="289">
        <v>0</v>
      </c>
      <c r="F51" s="289">
        <v>0</v>
      </c>
      <c r="G51" s="286"/>
    </row>
    <row r="52" spans="1:7">
      <c r="A52" s="1" t="s">
        <v>436</v>
      </c>
      <c r="B52" s="289">
        <v>0</v>
      </c>
      <c r="C52" s="289">
        <v>0</v>
      </c>
      <c r="D52" s="289">
        <v>0</v>
      </c>
      <c r="E52" s="289">
        <v>0</v>
      </c>
      <c r="F52" s="289">
        <v>0</v>
      </c>
      <c r="G52" s="286"/>
    </row>
    <row r="53" spans="1:7">
      <c r="A53" s="1" t="s">
        <v>437</v>
      </c>
      <c r="B53" s="289">
        <v>0</v>
      </c>
      <c r="C53" s="289">
        <v>0</v>
      </c>
      <c r="D53" s="289">
        <v>0</v>
      </c>
      <c r="E53" s="289">
        <v>0</v>
      </c>
      <c r="F53" s="289">
        <v>0</v>
      </c>
      <c r="G53" s="286"/>
    </row>
    <row r="54" spans="1:7">
      <c r="A54" s="1" t="s">
        <v>438</v>
      </c>
      <c r="B54" s="289">
        <v>0</v>
      </c>
      <c r="C54" s="289">
        <v>0</v>
      </c>
      <c r="D54" s="289">
        <v>0</v>
      </c>
      <c r="E54" s="289">
        <v>0</v>
      </c>
      <c r="F54" s="289">
        <v>0</v>
      </c>
      <c r="G54" s="286"/>
    </row>
    <row r="55" spans="1:7">
      <c r="A55" s="1" t="s">
        <v>439</v>
      </c>
      <c r="B55" s="289">
        <v>0</v>
      </c>
      <c r="C55" s="289">
        <v>0</v>
      </c>
      <c r="D55" s="289">
        <v>0</v>
      </c>
      <c r="E55" s="289">
        <v>0</v>
      </c>
      <c r="F55" s="289">
        <v>0</v>
      </c>
      <c r="G55" s="286"/>
    </row>
    <row r="56" spans="1:7">
      <c r="A56" s="1" t="s">
        <v>440</v>
      </c>
      <c r="B56" s="289">
        <v>0</v>
      </c>
      <c r="C56" s="289">
        <v>0</v>
      </c>
      <c r="D56" s="289">
        <v>0</v>
      </c>
      <c r="E56" s="289">
        <v>0</v>
      </c>
      <c r="F56" s="289">
        <v>0</v>
      </c>
      <c r="G56" s="286"/>
    </row>
    <row r="57" spans="1:7">
      <c r="A57" s="1" t="s">
        <v>441</v>
      </c>
      <c r="B57" s="289">
        <v>0</v>
      </c>
      <c r="C57" s="289">
        <v>0</v>
      </c>
      <c r="D57" s="289">
        <v>0</v>
      </c>
      <c r="E57" s="289">
        <v>0</v>
      </c>
      <c r="F57" s="289">
        <v>0</v>
      </c>
      <c r="G57" s="286"/>
    </row>
    <row r="58" spans="1:7">
      <c r="A58" s="1" t="s">
        <v>442</v>
      </c>
      <c r="B58" s="289">
        <v>0</v>
      </c>
      <c r="C58" s="289">
        <v>0</v>
      </c>
      <c r="D58" s="289">
        <v>0</v>
      </c>
      <c r="E58" s="289">
        <v>0</v>
      </c>
      <c r="F58" s="289">
        <v>0</v>
      </c>
      <c r="G58" s="286"/>
    </row>
    <row r="59" spans="1:7">
      <c r="A59" s="1" t="s">
        <v>443</v>
      </c>
      <c r="B59" s="289">
        <v>0</v>
      </c>
      <c r="C59" s="289">
        <v>0</v>
      </c>
      <c r="D59" s="289">
        <v>0</v>
      </c>
      <c r="E59" s="289">
        <v>0</v>
      </c>
      <c r="F59" s="289">
        <v>0</v>
      </c>
      <c r="G59" s="286"/>
    </row>
    <row r="60" spans="1:7">
      <c r="A60" s="290" t="str">
        <f t="shared" ref="A60" si="6">"Other (Specify)"</f>
        <v>Other (Specify)</v>
      </c>
      <c r="B60" s="289">
        <v>0</v>
      </c>
      <c r="C60" s="289">
        <v>0</v>
      </c>
      <c r="D60" s="289">
        <v>0</v>
      </c>
      <c r="E60" s="289">
        <v>0</v>
      </c>
      <c r="F60" s="289">
        <v>0</v>
      </c>
      <c r="G60" s="286"/>
    </row>
    <row r="61" spans="1:7">
      <c r="A61" s="290" t="str">
        <f t="shared" ref="A61:A62" si="7">"Other (Specify)"</f>
        <v>Other (Specify)</v>
      </c>
      <c r="B61" s="289">
        <v>0</v>
      </c>
      <c r="C61" s="289">
        <v>0</v>
      </c>
      <c r="D61" s="289">
        <v>0</v>
      </c>
      <c r="E61" s="289">
        <v>0</v>
      </c>
      <c r="F61" s="289">
        <v>0</v>
      </c>
      <c r="G61" s="286"/>
    </row>
    <row r="62" spans="1:7">
      <c r="A62" s="290" t="str">
        <f t="shared" si="7"/>
        <v>Other (Specify)</v>
      </c>
      <c r="B62" s="289">
        <v>0</v>
      </c>
      <c r="C62" s="289">
        <v>0</v>
      </c>
      <c r="D62" s="289">
        <v>0</v>
      </c>
      <c r="E62" s="289">
        <v>0</v>
      </c>
      <c r="F62" s="289">
        <v>0</v>
      </c>
      <c r="G62" s="286"/>
    </row>
    <row r="63" spans="1:7">
      <c r="B63" s="66">
        <f>SUM(B45:B62)</f>
        <v>0</v>
      </c>
      <c r="C63" s="66">
        <f t="shared" ref="C63:F63" si="8">SUM(C45:C62)</f>
        <v>0</v>
      </c>
      <c r="D63" s="66">
        <f t="shared" si="8"/>
        <v>0</v>
      </c>
      <c r="E63" s="66">
        <f t="shared" si="8"/>
        <v>0</v>
      </c>
      <c r="F63" s="66">
        <f t="shared" si="8"/>
        <v>0</v>
      </c>
    </row>
    <row r="64" spans="1:7">
      <c r="A64" s="3" t="s">
        <v>444</v>
      </c>
      <c r="B64" s="3"/>
      <c r="C64" s="3"/>
      <c r="D64" s="3"/>
      <c r="E64" s="3"/>
      <c r="F64" s="3"/>
      <c r="G64" s="3"/>
    </row>
    <row r="65" spans="1:7">
      <c r="A65" s="1" t="s">
        <v>445</v>
      </c>
      <c r="B65" s="289">
        <v>0</v>
      </c>
      <c r="E65" s="289">
        <v>0</v>
      </c>
      <c r="F65" s="358"/>
      <c r="G65" s="286"/>
    </row>
    <row r="66" spans="1:7">
      <c r="A66" s="1" t="s">
        <v>446</v>
      </c>
      <c r="B66" s="289">
        <v>0</v>
      </c>
      <c r="E66" s="289">
        <v>0</v>
      </c>
      <c r="F66" s="358"/>
      <c r="G66" s="286"/>
    </row>
    <row r="67" spans="1:7">
      <c r="A67" s="1" t="s">
        <v>447</v>
      </c>
      <c r="B67" s="289">
        <v>0</v>
      </c>
      <c r="E67" s="289">
        <v>0</v>
      </c>
      <c r="F67" s="358"/>
      <c r="G67" s="286"/>
    </row>
    <row r="68" spans="1:7">
      <c r="A68" s="1" t="s">
        <v>448</v>
      </c>
      <c r="B68" s="289">
        <v>0</v>
      </c>
      <c r="E68" s="289">
        <v>0</v>
      </c>
      <c r="F68" s="358"/>
      <c r="G68" s="286"/>
    </row>
    <row r="69" spans="1:7">
      <c r="A69" s="1" t="s">
        <v>449</v>
      </c>
      <c r="B69" s="289">
        <v>0</v>
      </c>
      <c r="E69" s="289">
        <v>0</v>
      </c>
      <c r="F69" s="358"/>
      <c r="G69" s="286"/>
    </row>
    <row r="70" spans="1:7">
      <c r="A70" s="1" t="s">
        <v>450</v>
      </c>
      <c r="B70" s="289">
        <v>0</v>
      </c>
      <c r="E70" s="289">
        <v>0</v>
      </c>
      <c r="F70" s="358"/>
      <c r="G70" s="286"/>
    </row>
    <row r="71" spans="1:7">
      <c r="A71" s="1" t="s">
        <v>439</v>
      </c>
      <c r="B71" s="289">
        <v>0</v>
      </c>
      <c r="E71" s="289">
        <v>0</v>
      </c>
      <c r="F71" s="358"/>
      <c r="G71" s="286"/>
    </row>
    <row r="72" spans="1:7">
      <c r="A72" s="1" t="s">
        <v>451</v>
      </c>
      <c r="B72" s="289">
        <v>0</v>
      </c>
      <c r="E72" s="289">
        <v>0</v>
      </c>
      <c r="F72" s="358"/>
      <c r="G72" s="286"/>
    </row>
    <row r="73" spans="1:7">
      <c r="A73" s="1" t="s">
        <v>452</v>
      </c>
      <c r="B73" s="289">
        <v>0</v>
      </c>
      <c r="E73" s="289">
        <v>0</v>
      </c>
      <c r="F73" s="358"/>
      <c r="G73" s="286"/>
    </row>
    <row r="74" spans="1:7">
      <c r="A74" s="1" t="s">
        <v>453</v>
      </c>
      <c r="B74" s="289">
        <v>0</v>
      </c>
      <c r="E74" s="289">
        <v>0</v>
      </c>
      <c r="F74" s="358"/>
      <c r="G74" s="286"/>
    </row>
    <row r="75" spans="1:7">
      <c r="A75" s="1" t="s">
        <v>454</v>
      </c>
      <c r="B75" s="289">
        <v>0</v>
      </c>
      <c r="E75" s="289">
        <v>0</v>
      </c>
      <c r="F75" s="358"/>
      <c r="G75" s="286"/>
    </row>
    <row r="76" spans="1:7">
      <c r="A76" s="290" t="str">
        <f t="shared" ref="A76:A78" si="9">"Other (Specify)"</f>
        <v>Other (Specify)</v>
      </c>
      <c r="B76" s="289">
        <v>0</v>
      </c>
      <c r="E76" s="289">
        <v>0</v>
      </c>
      <c r="F76" s="358"/>
      <c r="G76" s="286"/>
    </row>
    <row r="77" spans="1:7">
      <c r="A77" s="290" t="str">
        <f t="shared" si="9"/>
        <v>Other (Specify)</v>
      </c>
      <c r="B77" s="289">
        <v>0</v>
      </c>
      <c r="E77" s="289">
        <v>0</v>
      </c>
      <c r="F77" s="358"/>
      <c r="G77" s="286"/>
    </row>
    <row r="78" spans="1:7">
      <c r="A78" s="290" t="str">
        <f t="shared" si="9"/>
        <v>Other (Specify)</v>
      </c>
      <c r="B78" s="289">
        <v>0</v>
      </c>
      <c r="E78" s="289">
        <v>0</v>
      </c>
      <c r="F78" s="358"/>
      <c r="G78" s="286"/>
    </row>
    <row r="79" spans="1:7">
      <c r="B79" s="66">
        <f>SUM(B65:B78)</f>
        <v>0</v>
      </c>
      <c r="E79" s="66">
        <f t="shared" ref="E79" si="10">SUM(E65:E78)</f>
        <v>0</v>
      </c>
      <c r="F79" s="358"/>
      <c r="G79" s="319"/>
    </row>
    <row r="80" spans="1:7">
      <c r="A80" s="3" t="s">
        <v>455</v>
      </c>
      <c r="B80" s="3"/>
      <c r="C80" s="3"/>
      <c r="D80" s="3"/>
      <c r="E80" s="3"/>
      <c r="F80" s="3"/>
      <c r="G80" s="3"/>
    </row>
    <row r="81" spans="1:7">
      <c r="A81" s="1" t="s">
        <v>456</v>
      </c>
      <c r="B81" s="289">
        <v>0</v>
      </c>
      <c r="C81" t="s">
        <v>457</v>
      </c>
      <c r="D81" t="s">
        <v>457</v>
      </c>
      <c r="E81" s="289">
        <v>0</v>
      </c>
      <c r="F81" s="358"/>
      <c r="G81" s="286"/>
    </row>
    <row r="82" spans="1:7">
      <c r="A82" s="1" t="s">
        <v>458</v>
      </c>
      <c r="B82" s="289">
        <v>0</v>
      </c>
      <c r="C82" s="289">
        <v>0</v>
      </c>
      <c r="D82" s="289">
        <v>0</v>
      </c>
      <c r="E82" s="289">
        <v>0</v>
      </c>
      <c r="F82" s="289">
        <v>0</v>
      </c>
      <c r="G82" s="286"/>
    </row>
    <row r="83" spans="1:7">
      <c r="A83" s="1" t="s">
        <v>459</v>
      </c>
      <c r="B83" s="289">
        <v>0</v>
      </c>
      <c r="C83" s="289">
        <v>0</v>
      </c>
      <c r="D83" s="289">
        <v>0</v>
      </c>
      <c r="E83" s="289">
        <v>0</v>
      </c>
      <c r="F83" s="289">
        <v>0</v>
      </c>
      <c r="G83" s="286"/>
    </row>
    <row r="84" spans="1:7">
      <c r="A84" s="1" t="s">
        <v>460</v>
      </c>
      <c r="B84" s="289">
        <v>0</v>
      </c>
      <c r="C84" s="289">
        <v>0</v>
      </c>
      <c r="D84" s="289">
        <v>0</v>
      </c>
      <c r="E84" s="289">
        <v>0</v>
      </c>
      <c r="F84" s="289">
        <v>0</v>
      </c>
      <c r="G84" s="286"/>
    </row>
    <row r="85" spans="1:7">
      <c r="A85" s="1" t="s">
        <v>461</v>
      </c>
      <c r="B85" s="289">
        <v>0</v>
      </c>
      <c r="C85" s="289">
        <v>0</v>
      </c>
      <c r="D85" s="289">
        <v>0</v>
      </c>
      <c r="E85" s="289">
        <v>0</v>
      </c>
      <c r="F85" s="289">
        <v>0</v>
      </c>
      <c r="G85" s="286"/>
    </row>
    <row r="86" spans="1:7">
      <c r="A86" s="1" t="s">
        <v>462</v>
      </c>
      <c r="B86" s="289">
        <v>0</v>
      </c>
      <c r="C86" s="289">
        <v>0</v>
      </c>
      <c r="D86" s="289">
        <v>0</v>
      </c>
      <c r="E86" s="289">
        <v>0</v>
      </c>
      <c r="F86" s="289">
        <v>0</v>
      </c>
      <c r="G86" s="286"/>
    </row>
    <row r="87" spans="1:7">
      <c r="A87" s="1" t="s">
        <v>463</v>
      </c>
      <c r="B87" s="289">
        <v>0</v>
      </c>
      <c r="C87" s="289">
        <v>0</v>
      </c>
      <c r="D87" s="289">
        <v>0</v>
      </c>
      <c r="E87" s="289">
        <v>0</v>
      </c>
      <c r="F87" s="289">
        <v>0</v>
      </c>
      <c r="G87" s="286"/>
    </row>
    <row r="88" spans="1:7">
      <c r="A88" s="1" t="s">
        <v>464</v>
      </c>
      <c r="B88" s="289">
        <v>0</v>
      </c>
      <c r="C88" t="s">
        <v>457</v>
      </c>
      <c r="D88" t="s">
        <v>457</v>
      </c>
      <c r="E88" s="289">
        <v>0</v>
      </c>
      <c r="F88" s="289">
        <v>0</v>
      </c>
      <c r="G88" s="286"/>
    </row>
    <row r="89" spans="1:7">
      <c r="A89" s="1" t="s">
        <v>465</v>
      </c>
      <c r="B89" s="289">
        <v>0</v>
      </c>
      <c r="C89" t="s">
        <v>457</v>
      </c>
      <c r="D89" t="s">
        <v>457</v>
      </c>
      <c r="E89" s="289">
        <v>0</v>
      </c>
      <c r="F89" s="289">
        <v>0</v>
      </c>
      <c r="G89" s="286"/>
    </row>
    <row r="90" spans="1:7">
      <c r="A90" s="1" t="s">
        <v>466</v>
      </c>
      <c r="B90" s="289">
        <v>0</v>
      </c>
      <c r="C90" s="289">
        <v>0</v>
      </c>
      <c r="D90" s="289">
        <v>0</v>
      </c>
      <c r="E90" s="289">
        <v>0</v>
      </c>
      <c r="F90" s="289">
        <v>0</v>
      </c>
      <c r="G90" s="286"/>
    </row>
    <row r="91" spans="1:7">
      <c r="A91" s="1" t="s">
        <v>467</v>
      </c>
      <c r="B91" s="289">
        <v>0</v>
      </c>
      <c r="C91" s="289">
        <v>0</v>
      </c>
      <c r="D91" s="289">
        <v>0</v>
      </c>
      <c r="E91" s="289">
        <v>0</v>
      </c>
      <c r="F91" s="289">
        <v>0</v>
      </c>
      <c r="G91" s="286"/>
    </row>
    <row r="92" spans="1:7">
      <c r="A92" s="1" t="s">
        <v>468</v>
      </c>
      <c r="B92" s="289">
        <v>0</v>
      </c>
      <c r="C92" s="289">
        <v>0</v>
      </c>
      <c r="D92" s="289">
        <v>0</v>
      </c>
      <c r="E92" s="289">
        <v>0</v>
      </c>
      <c r="F92" s="289">
        <v>0</v>
      </c>
      <c r="G92" s="286"/>
    </row>
    <row r="93" spans="1:7">
      <c r="A93" s="1" t="s">
        <v>469</v>
      </c>
      <c r="B93" s="289">
        <v>0</v>
      </c>
      <c r="C93" s="289">
        <v>0</v>
      </c>
      <c r="D93" s="289">
        <v>0</v>
      </c>
      <c r="E93" s="289">
        <v>0</v>
      </c>
      <c r="F93" s="289">
        <v>0</v>
      </c>
      <c r="G93" s="286"/>
    </row>
    <row r="94" spans="1:7">
      <c r="A94" s="1" t="s">
        <v>470</v>
      </c>
      <c r="B94" s="289">
        <v>0</v>
      </c>
      <c r="C94" s="289">
        <v>0</v>
      </c>
      <c r="D94" s="289">
        <v>0</v>
      </c>
      <c r="E94" s="289">
        <v>0</v>
      </c>
      <c r="F94" s="289">
        <v>0</v>
      </c>
      <c r="G94" s="286"/>
    </row>
    <row r="95" spans="1:7">
      <c r="A95" s="290" t="str">
        <f t="shared" ref="A95:A96" si="11">"Other (Specify)"</f>
        <v>Other (Specify)</v>
      </c>
      <c r="B95" s="289">
        <v>0</v>
      </c>
      <c r="C95" s="289">
        <v>0</v>
      </c>
      <c r="D95" s="289">
        <v>0</v>
      </c>
      <c r="E95" s="289">
        <v>0</v>
      </c>
      <c r="F95" s="289">
        <v>0</v>
      </c>
      <c r="G95" s="286"/>
    </row>
    <row r="96" spans="1:7">
      <c r="A96" s="290" t="str">
        <f t="shared" si="11"/>
        <v>Other (Specify)</v>
      </c>
      <c r="B96" s="289">
        <v>0</v>
      </c>
      <c r="C96" s="289">
        <v>0</v>
      </c>
      <c r="D96" s="289">
        <v>0</v>
      </c>
      <c r="E96" s="289">
        <v>0</v>
      </c>
      <c r="F96" s="289">
        <v>0</v>
      </c>
      <c r="G96" s="286"/>
    </row>
    <row r="97" spans="1:68">
      <c r="A97" s="290" t="str">
        <f t="shared" ref="A97" si="12">"Other (Specify)"</f>
        <v>Other (Specify)</v>
      </c>
      <c r="B97" s="289">
        <v>0</v>
      </c>
      <c r="C97" s="289">
        <v>0</v>
      </c>
      <c r="D97" s="289">
        <v>0</v>
      </c>
      <c r="E97" s="289">
        <v>0</v>
      </c>
      <c r="F97" s="289">
        <v>0</v>
      </c>
      <c r="G97" s="286"/>
    </row>
    <row r="98" spans="1:68">
      <c r="B98" s="66">
        <f>SUM(B81:B97)</f>
        <v>0</v>
      </c>
      <c r="C98" s="66">
        <f t="shared" ref="C98:F98" si="13">SUM(C81:C97)</f>
        <v>0</v>
      </c>
      <c r="D98" s="66">
        <f t="shared" si="13"/>
        <v>0</v>
      </c>
      <c r="E98" s="66">
        <f t="shared" si="13"/>
        <v>0</v>
      </c>
      <c r="F98" s="66">
        <f t="shared" si="13"/>
        <v>0</v>
      </c>
    </row>
    <row r="99" spans="1:68">
      <c r="A99" s="3" t="s">
        <v>471</v>
      </c>
      <c r="B99" s="3"/>
      <c r="C99" s="3"/>
      <c r="D99" s="3"/>
      <c r="E99" s="3"/>
      <c r="F99" s="3"/>
      <c r="G99" s="3"/>
    </row>
    <row r="100" spans="1:68">
      <c r="A100" s="1" t="s">
        <v>472</v>
      </c>
      <c r="B100" s="289">
        <v>0</v>
      </c>
      <c r="E100" s="289"/>
      <c r="F100" s="358"/>
      <c r="G100" s="286"/>
    </row>
    <row r="101" spans="1:68">
      <c r="A101" s="1" t="s">
        <v>473</v>
      </c>
      <c r="B101" s="289">
        <v>0</v>
      </c>
      <c r="E101" s="289">
        <v>0</v>
      </c>
      <c r="F101" s="358"/>
      <c r="G101" s="286"/>
    </row>
    <row r="102" spans="1:68">
      <c r="A102" s="1" t="s">
        <v>474</v>
      </c>
      <c r="B102" s="289">
        <v>0</v>
      </c>
      <c r="E102" s="289">
        <v>0</v>
      </c>
      <c r="F102" s="358"/>
      <c r="G102" s="286"/>
    </row>
    <row r="103" spans="1:68">
      <c r="A103" s="290" t="str">
        <f t="shared" ref="A103:A105" si="14">"Other (Specify)"</f>
        <v>Other (Specify)</v>
      </c>
      <c r="B103" s="289">
        <v>0</v>
      </c>
      <c r="E103" s="289">
        <v>0</v>
      </c>
      <c r="F103" s="358"/>
      <c r="G103" s="286"/>
    </row>
    <row r="104" spans="1:68">
      <c r="A104" s="290" t="str">
        <f t="shared" si="14"/>
        <v>Other (Specify)</v>
      </c>
      <c r="B104" s="289">
        <v>0</v>
      </c>
      <c r="E104" s="289">
        <v>0</v>
      </c>
      <c r="F104" s="358"/>
      <c r="G104" s="286"/>
    </row>
    <row r="105" spans="1:68">
      <c r="A105" s="290" t="str">
        <f t="shared" si="14"/>
        <v>Other (Specify)</v>
      </c>
      <c r="B105" s="289">
        <v>0</v>
      </c>
      <c r="E105" s="289">
        <v>0</v>
      </c>
      <c r="F105" s="358"/>
      <c r="G105" s="286"/>
    </row>
    <row r="106" spans="1:68">
      <c r="B106" s="66">
        <f>SUM(B100:B105)</f>
        <v>0</v>
      </c>
      <c r="E106" s="66">
        <f t="shared" ref="E106" si="15">SUM(E100:E105)</f>
        <v>0</v>
      </c>
      <c r="F106" s="66"/>
    </row>
    <row r="107" spans="1:68">
      <c r="A107" s="3" t="s">
        <v>475</v>
      </c>
      <c r="B107" s="3"/>
      <c r="C107" s="3"/>
      <c r="D107" s="3"/>
      <c r="E107" s="3"/>
      <c r="F107" s="3"/>
      <c r="G107" s="3"/>
    </row>
    <row r="108" spans="1:68">
      <c r="A108" s="1" t="s">
        <v>476</v>
      </c>
      <c r="B108" s="289">
        <v>0</v>
      </c>
      <c r="C108" s="289">
        <v>0</v>
      </c>
      <c r="D108" s="289">
        <v>0</v>
      </c>
      <c r="E108" s="289">
        <v>0</v>
      </c>
      <c r="F108" s="289">
        <v>0</v>
      </c>
      <c r="G108" s="286"/>
    </row>
    <row r="109" spans="1:68">
      <c r="A109" s="1" t="s">
        <v>477</v>
      </c>
      <c r="B109" s="289">
        <v>0</v>
      </c>
      <c r="C109" s="289">
        <v>0</v>
      </c>
      <c r="D109" s="289">
        <v>0</v>
      </c>
      <c r="E109" s="289">
        <v>0</v>
      </c>
      <c r="F109" s="289">
        <v>0</v>
      </c>
      <c r="G109" s="286"/>
    </row>
    <row r="110" spans="1:68">
      <c r="A110" s="1" t="s">
        <v>478</v>
      </c>
      <c r="B110" s="289">
        <v>0</v>
      </c>
      <c r="C110" s="289">
        <v>0</v>
      </c>
      <c r="D110" s="289">
        <v>0</v>
      </c>
      <c r="E110" s="289">
        <v>0</v>
      </c>
      <c r="F110" s="289">
        <v>0</v>
      </c>
      <c r="G110" s="286"/>
    </row>
    <row r="111" spans="1:68" s="16" customFormat="1">
      <c r="A111" s="1" t="s">
        <v>479</v>
      </c>
      <c r="B111" s="289">
        <v>0</v>
      </c>
      <c r="C111" s="289">
        <v>0</v>
      </c>
      <c r="D111" s="289">
        <v>0</v>
      </c>
      <c r="E111" s="289">
        <v>0</v>
      </c>
      <c r="F111" s="289">
        <v>0</v>
      </c>
      <c r="G111" s="286"/>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row>
    <row r="112" spans="1:68">
      <c r="A112" s="1" t="s">
        <v>480</v>
      </c>
      <c r="B112" s="289">
        <v>0</v>
      </c>
      <c r="C112" s="289">
        <v>0</v>
      </c>
      <c r="D112" s="289">
        <v>0</v>
      </c>
      <c r="E112" s="289">
        <v>0</v>
      </c>
      <c r="F112" s="289">
        <v>0</v>
      </c>
      <c r="G112" s="286"/>
    </row>
    <row r="113" spans="1:7">
      <c r="A113" s="1" t="s">
        <v>481</v>
      </c>
      <c r="B113" s="289">
        <v>0</v>
      </c>
      <c r="C113" s="289">
        <v>0</v>
      </c>
      <c r="D113" s="289">
        <v>0</v>
      </c>
      <c r="E113" s="289">
        <v>0</v>
      </c>
      <c r="F113" s="289">
        <v>0</v>
      </c>
      <c r="G113" s="286"/>
    </row>
    <row r="114" spans="1:7">
      <c r="A114" s="1" t="s">
        <v>482</v>
      </c>
      <c r="B114" s="289">
        <v>0</v>
      </c>
      <c r="C114" s="289">
        <v>0</v>
      </c>
      <c r="D114" s="289">
        <v>0</v>
      </c>
      <c r="E114" s="289">
        <v>0</v>
      </c>
      <c r="F114" s="289">
        <v>0</v>
      </c>
      <c r="G114" s="286"/>
    </row>
    <row r="115" spans="1:7">
      <c r="B115" s="66">
        <f>SUM(B108:B114)</f>
        <v>0</v>
      </c>
      <c r="C115" s="66">
        <f t="shared" ref="C115:F115" si="16">SUM(C108:C114)</f>
        <v>0</v>
      </c>
      <c r="D115" s="66">
        <f t="shared" si="16"/>
        <v>0</v>
      </c>
      <c r="E115" s="66">
        <f t="shared" si="16"/>
        <v>0</v>
      </c>
      <c r="F115" s="66">
        <f t="shared" si="16"/>
        <v>0</v>
      </c>
    </row>
    <row r="116" spans="1:7">
      <c r="A116" s="3" t="s">
        <v>483</v>
      </c>
      <c r="B116" s="3"/>
      <c r="C116" s="3"/>
      <c r="D116" s="3"/>
      <c r="E116" s="3"/>
      <c r="F116" s="3"/>
      <c r="G116" s="3"/>
    </row>
    <row r="117" spans="1:7">
      <c r="A117" s="1" t="s">
        <v>484</v>
      </c>
      <c r="B117" s="289">
        <v>0</v>
      </c>
      <c r="E117" s="289">
        <v>0</v>
      </c>
      <c r="F117" s="358"/>
      <c r="G117" s="286"/>
    </row>
    <row r="118" spans="1:7">
      <c r="A118" s="1" t="s">
        <v>485</v>
      </c>
      <c r="B118" s="289">
        <v>0</v>
      </c>
      <c r="E118" s="289">
        <v>0</v>
      </c>
      <c r="F118" s="358"/>
      <c r="G118" s="286"/>
    </row>
    <row r="119" spans="1:7">
      <c r="A119" s="1" t="s">
        <v>486</v>
      </c>
      <c r="B119" s="289">
        <v>0</v>
      </c>
      <c r="E119" s="289">
        <v>0</v>
      </c>
      <c r="F119" s="358"/>
      <c r="G119" s="286"/>
    </row>
    <row r="120" spans="1:7">
      <c r="A120" s="1" t="s">
        <v>487</v>
      </c>
      <c r="B120" s="289">
        <v>0</v>
      </c>
      <c r="E120" s="289">
        <v>0</v>
      </c>
      <c r="F120" s="358"/>
      <c r="G120" s="286"/>
    </row>
    <row r="121" spans="1:7">
      <c r="A121" s="290" t="str">
        <f t="shared" ref="A121:A122" si="17">"Other (Specify)"</f>
        <v>Other (Specify)</v>
      </c>
      <c r="B121" s="289">
        <v>0</v>
      </c>
      <c r="E121" s="289">
        <v>0</v>
      </c>
      <c r="F121" s="358"/>
      <c r="G121" s="286"/>
    </row>
    <row r="122" spans="1:7">
      <c r="A122" s="290" t="str">
        <f t="shared" si="17"/>
        <v>Other (Specify)</v>
      </c>
      <c r="B122" s="289">
        <v>0</v>
      </c>
      <c r="E122" s="289">
        <v>0</v>
      </c>
      <c r="F122" s="358"/>
      <c r="G122" s="286"/>
    </row>
    <row r="123" spans="1:7" ht="15" thickBot="1">
      <c r="B123" s="66">
        <f>SUM(B117:B122)</f>
        <v>0</v>
      </c>
      <c r="E123" s="66">
        <f t="shared" ref="E123" si="18">SUM(E117:E122)</f>
        <v>0</v>
      </c>
      <c r="F123" s="358"/>
      <c r="G123" s="319"/>
    </row>
    <row r="124" spans="1:7" ht="15" thickTop="1">
      <c r="A124" s="68" t="s">
        <v>373</v>
      </c>
      <c r="B124" s="440">
        <f>SUM(B4:B6,B9:B10,B13:B26,B29:B42,B45:B62,B65:B78,B81:B97,B100:B105,B108:B114,B117:B122)</f>
        <v>0</v>
      </c>
      <c r="C124" s="440">
        <f t="shared" ref="C124:E124" si="19">SUM(C4:C6,C9:C10,C13:C26,C29:C42,C45:C62,C65:C78,C81:C97,C100:C105,C108:C114,C117:C122)</f>
        <v>0</v>
      </c>
      <c r="D124" s="440">
        <f t="shared" si="19"/>
        <v>0</v>
      </c>
      <c r="E124" s="440">
        <f t="shared" si="19"/>
        <v>0</v>
      </c>
      <c r="F124" s="440">
        <f>SUM(F4:F6,F9,F13:F26,F29:F42,F45:F62,F82:F97,F108:F114)</f>
        <v>0</v>
      </c>
      <c r="G124" s="440"/>
    </row>
    <row r="126" spans="1:7">
      <c r="A126" t="s">
        <v>488</v>
      </c>
    </row>
  </sheetData>
  <sheetProtection algorithmName="SHA-512" hashValue="wmH8IIVdYAbOYYVodeoAMmihjtsi4lsCY3FzkCjWXsUgBaUHFq82FNF7FoLek3mk96/Cbk2PEpwZZWMsvDewYQ==" saltValue="++0hcv7KF0upf35Zx0l0Cw==" spinCount="100000" sheet="1" objects="1" scenarios="1"/>
  <dataValidations count="1">
    <dataValidation type="whole" allowBlank="1" showInputMessage="1" showErrorMessage="1" errorTitle="Whole Numbers Only" error="All numbers on development budget must be entered as a whole number." sqref="C5 B4:B6 B45:F62 B9:F10 E4:F6 B29:F42 B117:B122 B65:B78 E65:F78 B81:B97 C82:D87 C90:D97 E81:F97 B100:B105 E100:F105 B108:F114 E117:F122 B13:F26" xr:uid="{00000000-0002-0000-0600-000000000000}">
      <formula1>0</formula1>
      <formula2>100000000</formula2>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92D050"/>
  </sheetPr>
  <dimension ref="A1:D98"/>
  <sheetViews>
    <sheetView showGridLines="0" workbookViewId="0"/>
  </sheetViews>
  <sheetFormatPr defaultRowHeight="14.4"/>
  <cols>
    <col min="1" max="1" width="47.5546875" customWidth="1"/>
    <col min="2" max="2" width="18" customWidth="1"/>
    <col min="3" max="3" width="19.109375" customWidth="1"/>
  </cols>
  <sheetData>
    <row r="1" spans="1:4" ht="21">
      <c r="A1" s="4" t="s">
        <v>489</v>
      </c>
      <c r="B1" s="4"/>
      <c r="C1" s="4"/>
    </row>
    <row r="2" spans="1:4">
      <c r="B2" s="1" t="s">
        <v>391</v>
      </c>
    </row>
    <row r="3" spans="1:4" ht="28.8">
      <c r="A3" s="3" t="s">
        <v>392</v>
      </c>
      <c r="B3" s="3" t="s">
        <v>393</v>
      </c>
      <c r="C3" s="502" t="s">
        <v>396</v>
      </c>
      <c r="D3" s="10" t="s">
        <v>490</v>
      </c>
    </row>
    <row r="4" spans="1:4">
      <c r="A4" s="1" t="s">
        <v>399</v>
      </c>
      <c r="B4" s="289">
        <v>0</v>
      </c>
      <c r="C4" s="289">
        <v>0</v>
      </c>
    </row>
    <row r="5" spans="1:4">
      <c r="A5" s="1" t="s">
        <v>400</v>
      </c>
      <c r="B5" s="289">
        <v>0</v>
      </c>
      <c r="C5" s="289">
        <v>0</v>
      </c>
    </row>
    <row r="6" spans="1:4">
      <c r="A6" s="1" t="s">
        <v>401</v>
      </c>
      <c r="B6" s="289">
        <v>0</v>
      </c>
      <c r="C6" s="289">
        <v>0</v>
      </c>
    </row>
    <row r="7" spans="1:4">
      <c r="B7" s="66">
        <f>SUM(B4:B6)</f>
        <v>0</v>
      </c>
      <c r="C7" s="66">
        <f>SUM(C4:C6)</f>
        <v>0</v>
      </c>
    </row>
    <row r="8" spans="1:4">
      <c r="A8" s="3" t="s">
        <v>402</v>
      </c>
      <c r="B8" s="3"/>
      <c r="C8" s="3"/>
    </row>
    <row r="9" spans="1:4">
      <c r="A9" s="1" t="s">
        <v>403</v>
      </c>
      <c r="B9" s="289">
        <v>0</v>
      </c>
      <c r="C9" s="289">
        <v>0</v>
      </c>
    </row>
    <row r="10" spans="1:4">
      <c r="A10" s="1" t="s">
        <v>404</v>
      </c>
      <c r="B10" s="289">
        <v>0</v>
      </c>
      <c r="C10" s="289">
        <v>0</v>
      </c>
    </row>
    <row r="11" spans="1:4">
      <c r="B11" s="66">
        <f>SUM(B9:B10)</f>
        <v>0</v>
      </c>
      <c r="C11" s="66">
        <f>SUM(C9:C10)</f>
        <v>0</v>
      </c>
    </row>
    <row r="12" spans="1:4">
      <c r="A12" s="3" t="s">
        <v>405</v>
      </c>
      <c r="B12" s="3"/>
      <c r="C12" s="3"/>
    </row>
    <row r="13" spans="1:4">
      <c r="A13" s="1" t="s">
        <v>406</v>
      </c>
      <c r="B13" s="289">
        <v>0</v>
      </c>
      <c r="C13" s="289">
        <v>0</v>
      </c>
    </row>
    <row r="14" spans="1:4">
      <c r="A14" s="1" t="s">
        <v>407</v>
      </c>
      <c r="B14" s="289">
        <v>0</v>
      </c>
      <c r="C14" s="289">
        <v>0</v>
      </c>
    </row>
    <row r="15" spans="1:4">
      <c r="A15" s="1" t="s">
        <v>491</v>
      </c>
      <c r="B15" s="289">
        <v>0</v>
      </c>
      <c r="C15" s="289">
        <v>0</v>
      </c>
    </row>
    <row r="16" spans="1:4">
      <c r="A16" s="1" t="s">
        <v>410</v>
      </c>
      <c r="B16" s="289">
        <v>0</v>
      </c>
      <c r="C16" s="289">
        <v>0</v>
      </c>
    </row>
    <row r="17" spans="1:3">
      <c r="A17" s="1" t="s">
        <v>411</v>
      </c>
      <c r="B17" s="289">
        <v>0</v>
      </c>
      <c r="C17" s="289">
        <v>0</v>
      </c>
    </row>
    <row r="18" spans="1:3">
      <c r="A18" s="1" t="s">
        <v>412</v>
      </c>
      <c r="B18" s="289">
        <v>0</v>
      </c>
      <c r="C18" s="289">
        <v>0</v>
      </c>
    </row>
    <row r="19" spans="1:3">
      <c r="A19" s="1" t="s">
        <v>492</v>
      </c>
      <c r="B19" s="289">
        <v>0</v>
      </c>
      <c r="C19" s="289">
        <v>0</v>
      </c>
    </row>
    <row r="20" spans="1:3">
      <c r="A20" s="1" t="s">
        <v>416</v>
      </c>
      <c r="B20" s="289">
        <v>0</v>
      </c>
      <c r="C20" s="289">
        <v>0</v>
      </c>
    </row>
    <row r="21" spans="1:3">
      <c r="A21" s="290" t="str">
        <f>"Other (Specify)"</f>
        <v>Other (Specify)</v>
      </c>
      <c r="B21" s="289">
        <v>0</v>
      </c>
      <c r="C21" s="289">
        <v>0</v>
      </c>
    </row>
    <row r="22" spans="1:3">
      <c r="A22" s="290" t="str">
        <f>"Other (Specify)"</f>
        <v>Other (Specify)</v>
      </c>
      <c r="B22" s="289">
        <v>0</v>
      </c>
      <c r="C22" s="289">
        <v>0</v>
      </c>
    </row>
    <row r="23" spans="1:3">
      <c r="A23" s="290" t="str">
        <f>"Other (Specify)"</f>
        <v>Other (Specify)</v>
      </c>
      <c r="B23" s="289">
        <v>0</v>
      </c>
      <c r="C23" s="289">
        <v>0</v>
      </c>
    </row>
    <row r="24" spans="1:3">
      <c r="B24" s="66">
        <f>SUM(B13:B23)</f>
        <v>0</v>
      </c>
      <c r="C24" s="66">
        <f>SUM(C13:C23)</f>
        <v>0</v>
      </c>
    </row>
    <row r="25" spans="1:3">
      <c r="A25" s="3" t="s">
        <v>417</v>
      </c>
      <c r="B25" s="3"/>
      <c r="C25" s="3"/>
    </row>
    <row r="26" spans="1:3">
      <c r="A26" s="1" t="s">
        <v>418</v>
      </c>
      <c r="B26" s="289">
        <v>0</v>
      </c>
      <c r="C26" s="289">
        <v>0</v>
      </c>
    </row>
    <row r="27" spans="1:3">
      <c r="A27" s="1" t="s">
        <v>493</v>
      </c>
      <c r="B27" s="289">
        <v>0</v>
      </c>
      <c r="C27" s="289">
        <v>0</v>
      </c>
    </row>
    <row r="28" spans="1:3">
      <c r="A28" s="1" t="s">
        <v>425</v>
      </c>
      <c r="B28" s="289">
        <v>0</v>
      </c>
      <c r="C28" s="289">
        <v>0</v>
      </c>
    </row>
    <row r="29" spans="1:3">
      <c r="A29" s="1" t="s">
        <v>494</v>
      </c>
      <c r="B29" s="289">
        <v>0</v>
      </c>
      <c r="C29" s="289">
        <v>0</v>
      </c>
    </row>
    <row r="30" spans="1:3">
      <c r="A30" s="1" t="s">
        <v>495</v>
      </c>
      <c r="B30" s="289">
        <v>0</v>
      </c>
      <c r="C30" s="289">
        <v>0</v>
      </c>
    </row>
    <row r="31" spans="1:3">
      <c r="A31" s="290" t="str">
        <f>"Other (Specify)"</f>
        <v>Other (Specify)</v>
      </c>
      <c r="B31" s="289">
        <v>0</v>
      </c>
      <c r="C31" s="289">
        <v>0</v>
      </c>
    </row>
    <row r="32" spans="1:3">
      <c r="A32" s="290" t="str">
        <f>"Other (Specify)"</f>
        <v>Other (Specify)</v>
      </c>
      <c r="B32" s="289">
        <v>0</v>
      </c>
      <c r="C32" s="289">
        <v>0</v>
      </c>
    </row>
    <row r="33" spans="1:3">
      <c r="A33" s="1" t="s">
        <v>496</v>
      </c>
      <c r="B33" s="289">
        <v>0</v>
      </c>
      <c r="C33" s="289">
        <v>0</v>
      </c>
    </row>
    <row r="34" spans="1:3">
      <c r="B34" s="66">
        <f>SUM(B26:B33)</f>
        <v>0</v>
      </c>
      <c r="C34" s="66">
        <f>SUM(C26:C33)</f>
        <v>0</v>
      </c>
    </row>
    <row r="35" spans="1:3">
      <c r="A35" s="3" t="s">
        <v>428</v>
      </c>
      <c r="B35" s="3"/>
      <c r="C35" s="3"/>
    </row>
    <row r="36" spans="1:3">
      <c r="A36" s="1" t="s">
        <v>429</v>
      </c>
      <c r="B36" s="289">
        <v>0</v>
      </c>
      <c r="C36" s="289">
        <v>0</v>
      </c>
    </row>
    <row r="37" spans="1:3">
      <c r="A37" s="1" t="s">
        <v>430</v>
      </c>
      <c r="B37" s="289">
        <v>0</v>
      </c>
      <c r="C37" s="289">
        <v>0</v>
      </c>
    </row>
    <row r="38" spans="1:3">
      <c r="A38" s="1" t="s">
        <v>431</v>
      </c>
      <c r="B38" s="289">
        <v>0</v>
      </c>
      <c r="C38" s="289">
        <v>0</v>
      </c>
    </row>
    <row r="39" spans="1:3">
      <c r="A39" s="1" t="s">
        <v>497</v>
      </c>
      <c r="B39" s="289">
        <v>0</v>
      </c>
      <c r="C39" s="289">
        <v>0</v>
      </c>
    </row>
    <row r="40" spans="1:3">
      <c r="A40" s="1" t="s">
        <v>432</v>
      </c>
      <c r="B40" s="289">
        <v>0</v>
      </c>
      <c r="C40" s="289">
        <v>0</v>
      </c>
    </row>
    <row r="41" spans="1:3">
      <c r="A41" s="1" t="s">
        <v>433</v>
      </c>
      <c r="B41" s="289">
        <v>0</v>
      </c>
      <c r="C41" s="289">
        <v>0</v>
      </c>
    </row>
    <row r="42" spans="1:3">
      <c r="A42" s="1" t="s">
        <v>434</v>
      </c>
      <c r="B42" s="289">
        <v>0</v>
      </c>
      <c r="C42" s="289">
        <v>0</v>
      </c>
    </row>
    <row r="43" spans="1:3">
      <c r="A43" s="1" t="s">
        <v>447</v>
      </c>
      <c r="B43" s="289">
        <v>0</v>
      </c>
      <c r="C43" s="289">
        <v>0</v>
      </c>
    </row>
    <row r="44" spans="1:3">
      <c r="A44" s="1" t="s">
        <v>498</v>
      </c>
      <c r="B44" s="289">
        <v>0</v>
      </c>
      <c r="C44" s="289">
        <v>0</v>
      </c>
    </row>
    <row r="45" spans="1:3">
      <c r="A45" s="1" t="s">
        <v>439</v>
      </c>
      <c r="B45" s="289">
        <v>0</v>
      </c>
      <c r="C45" s="289">
        <v>0</v>
      </c>
    </row>
    <row r="46" spans="1:3">
      <c r="A46" s="1" t="s">
        <v>451</v>
      </c>
      <c r="B46" s="289">
        <v>0</v>
      </c>
      <c r="C46" s="289">
        <v>0</v>
      </c>
    </row>
    <row r="47" spans="1:3">
      <c r="A47" s="1" t="s">
        <v>499</v>
      </c>
      <c r="B47" s="289">
        <v>0</v>
      </c>
      <c r="C47" s="289">
        <v>0</v>
      </c>
    </row>
    <row r="48" spans="1:3">
      <c r="A48" s="290" t="str">
        <f>"Other (Specify)"</f>
        <v>Other (Specify)</v>
      </c>
      <c r="B48" s="289">
        <v>0</v>
      </c>
      <c r="C48" s="289">
        <v>0</v>
      </c>
    </row>
    <row r="49" spans="1:3">
      <c r="A49" s="290" t="str">
        <f>"Other (Specify)"</f>
        <v>Other (Specify)</v>
      </c>
      <c r="B49" s="289">
        <v>0</v>
      </c>
      <c r="C49" s="289">
        <v>0</v>
      </c>
    </row>
    <row r="50" spans="1:3">
      <c r="A50" s="290" t="str">
        <f>"Other (Specify)"</f>
        <v>Other (Specify)</v>
      </c>
      <c r="B50" s="289">
        <v>0</v>
      </c>
      <c r="C50" s="289">
        <v>0</v>
      </c>
    </row>
    <row r="51" spans="1:3">
      <c r="B51" s="66">
        <f>SUM(B36:B50)</f>
        <v>0</v>
      </c>
      <c r="C51" s="66">
        <f>SUM(C36:C50)</f>
        <v>0</v>
      </c>
    </row>
    <row r="52" spans="1:3">
      <c r="A52" s="3" t="s">
        <v>444</v>
      </c>
      <c r="B52" s="3"/>
      <c r="C52" s="3"/>
    </row>
    <row r="53" spans="1:3">
      <c r="A53" s="1" t="s">
        <v>445</v>
      </c>
      <c r="B53" s="289">
        <v>0</v>
      </c>
      <c r="C53" s="289">
        <v>0</v>
      </c>
    </row>
    <row r="54" spans="1:3">
      <c r="A54" s="1" t="s">
        <v>446</v>
      </c>
      <c r="B54" s="289">
        <v>0</v>
      </c>
      <c r="C54" s="289">
        <v>0</v>
      </c>
    </row>
    <row r="55" spans="1:3">
      <c r="A55" s="1" t="s">
        <v>448</v>
      </c>
      <c r="B55" s="289">
        <v>0</v>
      </c>
      <c r="C55" s="289">
        <v>0</v>
      </c>
    </row>
    <row r="56" spans="1:3">
      <c r="A56" s="1" t="s">
        <v>449</v>
      </c>
      <c r="B56" s="289">
        <v>0</v>
      </c>
      <c r="C56" s="289">
        <v>0</v>
      </c>
    </row>
    <row r="57" spans="1:3">
      <c r="A57" s="1" t="s">
        <v>450</v>
      </c>
      <c r="B57" s="289">
        <v>0</v>
      </c>
      <c r="C57" s="289">
        <v>0</v>
      </c>
    </row>
    <row r="58" spans="1:3">
      <c r="A58" s="1" t="s">
        <v>439</v>
      </c>
      <c r="B58" s="289">
        <v>0</v>
      </c>
      <c r="C58" s="289">
        <v>0</v>
      </c>
    </row>
    <row r="59" spans="1:3">
      <c r="A59" s="1" t="s">
        <v>451</v>
      </c>
      <c r="B59" s="289">
        <v>0</v>
      </c>
      <c r="C59" s="289">
        <v>0</v>
      </c>
    </row>
    <row r="60" spans="1:3">
      <c r="A60" s="1" t="s">
        <v>452</v>
      </c>
      <c r="B60" s="289">
        <v>0</v>
      </c>
      <c r="C60" s="289">
        <v>0</v>
      </c>
    </row>
    <row r="61" spans="1:3">
      <c r="A61" s="290" t="str">
        <f>"Other (Specify)"</f>
        <v>Other (Specify)</v>
      </c>
      <c r="B61" s="289">
        <v>0</v>
      </c>
      <c r="C61" s="289">
        <v>0</v>
      </c>
    </row>
    <row r="62" spans="1:3">
      <c r="A62" s="290" t="str">
        <f>"Other (Specify)"</f>
        <v>Other (Specify)</v>
      </c>
      <c r="B62" s="289">
        <v>0</v>
      </c>
      <c r="C62" s="289">
        <v>0</v>
      </c>
    </row>
    <row r="63" spans="1:3">
      <c r="A63" s="290" t="str">
        <f>"Other (Specify)"</f>
        <v>Other (Specify)</v>
      </c>
      <c r="B63" s="289">
        <v>0</v>
      </c>
      <c r="C63" s="289">
        <v>0</v>
      </c>
    </row>
    <row r="64" spans="1:3">
      <c r="B64" s="66">
        <f>SUM(B53:B63)</f>
        <v>0</v>
      </c>
      <c r="C64" s="66">
        <f>SUM(C53:C63)</f>
        <v>0</v>
      </c>
    </row>
    <row r="65" spans="1:3">
      <c r="A65" s="3" t="s">
        <v>455</v>
      </c>
      <c r="B65" s="3"/>
      <c r="C65" s="3"/>
    </row>
    <row r="66" spans="1:3">
      <c r="A66" s="1" t="s">
        <v>500</v>
      </c>
      <c r="B66" s="289">
        <v>0</v>
      </c>
      <c r="C66" s="289">
        <v>0</v>
      </c>
    </row>
    <row r="67" spans="1:3">
      <c r="A67" s="1" t="s">
        <v>461</v>
      </c>
      <c r="B67" s="289">
        <v>0</v>
      </c>
      <c r="C67" s="289">
        <v>0</v>
      </c>
    </row>
    <row r="68" spans="1:3">
      <c r="A68" s="1" t="s">
        <v>501</v>
      </c>
      <c r="B68" s="289">
        <v>0</v>
      </c>
      <c r="C68" s="289">
        <v>0</v>
      </c>
    </row>
    <row r="69" spans="1:3">
      <c r="A69" s="1" t="s">
        <v>464</v>
      </c>
      <c r="B69" s="289">
        <v>0</v>
      </c>
      <c r="C69" s="289">
        <v>0</v>
      </c>
    </row>
    <row r="70" spans="1:3">
      <c r="A70" s="1" t="s">
        <v>465</v>
      </c>
      <c r="B70" s="289">
        <v>0</v>
      </c>
      <c r="C70" s="289">
        <v>0</v>
      </c>
    </row>
    <row r="71" spans="1:3">
      <c r="A71" s="1" t="s">
        <v>460</v>
      </c>
      <c r="B71" s="289">
        <v>0</v>
      </c>
      <c r="C71" s="289">
        <v>0</v>
      </c>
    </row>
    <row r="72" spans="1:3">
      <c r="A72" s="1" t="s">
        <v>466</v>
      </c>
      <c r="B72" s="289">
        <v>0</v>
      </c>
      <c r="C72" s="289">
        <v>0</v>
      </c>
    </row>
    <row r="73" spans="1:3">
      <c r="A73" s="290" t="str">
        <f>"Other (Specify)"</f>
        <v>Other (Specify)</v>
      </c>
      <c r="B73" s="289">
        <v>0</v>
      </c>
      <c r="C73" s="289">
        <v>0</v>
      </c>
    </row>
    <row r="74" spans="1:3">
      <c r="A74" s="290" t="str">
        <f>"Other (Specify)"</f>
        <v>Other (Specify)</v>
      </c>
      <c r="B74" s="289">
        <v>0</v>
      </c>
      <c r="C74" s="289">
        <v>0</v>
      </c>
    </row>
    <row r="75" spans="1:3">
      <c r="A75" s="290" t="str">
        <f>"Other (Specify)"</f>
        <v>Other (Specify)</v>
      </c>
      <c r="B75" s="289">
        <v>0</v>
      </c>
      <c r="C75" s="289">
        <v>0</v>
      </c>
    </row>
    <row r="76" spans="1:3">
      <c r="B76" s="66">
        <f>SUM(B66:B75)</f>
        <v>0</v>
      </c>
      <c r="C76" s="66">
        <f>SUM(C66:C75)</f>
        <v>0</v>
      </c>
    </row>
    <row r="77" spans="1:3">
      <c r="A77" s="3" t="s">
        <v>471</v>
      </c>
      <c r="B77" s="3"/>
      <c r="C77" s="3"/>
    </row>
    <row r="78" spans="1:3">
      <c r="A78" s="1" t="s">
        <v>472</v>
      </c>
      <c r="B78" s="289">
        <v>0</v>
      </c>
      <c r="C78" s="289">
        <v>0</v>
      </c>
    </row>
    <row r="79" spans="1:3">
      <c r="A79" s="1" t="s">
        <v>442</v>
      </c>
      <c r="B79" s="289">
        <v>0</v>
      </c>
      <c r="C79" s="289">
        <v>0</v>
      </c>
    </row>
    <row r="80" spans="1:3">
      <c r="A80" s="1" t="s">
        <v>473</v>
      </c>
      <c r="B80" s="289">
        <v>0</v>
      </c>
      <c r="C80" s="289">
        <v>0</v>
      </c>
    </row>
    <row r="81" spans="1:3">
      <c r="A81" s="290" t="str">
        <f>"Other (Specify)"</f>
        <v>Other (Specify)</v>
      </c>
      <c r="B81" s="289">
        <v>0</v>
      </c>
      <c r="C81" s="289">
        <v>0</v>
      </c>
    </row>
    <row r="82" spans="1:3">
      <c r="A82" s="290" t="str">
        <f>"Other (Specify)"</f>
        <v>Other (Specify)</v>
      </c>
      <c r="B82" s="289">
        <v>0</v>
      </c>
      <c r="C82" s="289">
        <v>0</v>
      </c>
    </row>
    <row r="83" spans="1:3">
      <c r="A83" s="1" t="s">
        <v>502</v>
      </c>
      <c r="B83" s="289">
        <v>0</v>
      </c>
      <c r="C83" s="289">
        <v>0</v>
      </c>
    </row>
    <row r="84" spans="1:3">
      <c r="B84" s="66">
        <f>SUM(B78:B83)</f>
        <v>0</v>
      </c>
      <c r="C84" s="66">
        <f>SUM(C78:C83)</f>
        <v>0</v>
      </c>
    </row>
    <row r="85" spans="1:3">
      <c r="A85" s="3" t="s">
        <v>475</v>
      </c>
      <c r="B85" s="3"/>
      <c r="C85" s="3"/>
    </row>
    <row r="86" spans="1:3">
      <c r="A86" s="1" t="s">
        <v>476</v>
      </c>
      <c r="B86" s="289">
        <v>0</v>
      </c>
      <c r="C86" s="289">
        <v>0</v>
      </c>
    </row>
    <row r="87" spans="1:3">
      <c r="A87" s="1" t="s">
        <v>477</v>
      </c>
      <c r="B87" s="289">
        <v>0</v>
      </c>
      <c r="C87" s="289">
        <v>0</v>
      </c>
    </row>
    <row r="88" spans="1:3">
      <c r="A88" s="1" t="s">
        <v>478</v>
      </c>
      <c r="B88" s="289">
        <v>0</v>
      </c>
      <c r="C88" s="289">
        <v>0</v>
      </c>
    </row>
    <row r="89" spans="1:3">
      <c r="A89" s="290" t="str">
        <f>"Other (Specify)"</f>
        <v>Other (Specify)</v>
      </c>
      <c r="B89" s="289">
        <v>0</v>
      </c>
      <c r="C89" s="289">
        <v>0</v>
      </c>
    </row>
    <row r="90" spans="1:3">
      <c r="B90" s="66">
        <f>SUM(B86:B89)</f>
        <v>0</v>
      </c>
      <c r="C90" s="66">
        <f>SUM(C86:C89)</f>
        <v>0</v>
      </c>
    </row>
    <row r="91" spans="1:3">
      <c r="A91" s="3" t="s">
        <v>483</v>
      </c>
      <c r="B91" s="3"/>
      <c r="C91" s="3"/>
    </row>
    <row r="92" spans="1:3">
      <c r="A92" s="1" t="s">
        <v>484</v>
      </c>
      <c r="B92" s="289">
        <v>0</v>
      </c>
      <c r="C92" s="289">
        <v>0</v>
      </c>
    </row>
    <row r="93" spans="1:3">
      <c r="A93" s="1" t="s">
        <v>485</v>
      </c>
      <c r="B93" s="289">
        <v>0</v>
      </c>
      <c r="C93" s="289">
        <v>0</v>
      </c>
    </row>
    <row r="94" spans="1:3">
      <c r="A94" s="1" t="s">
        <v>486</v>
      </c>
      <c r="B94" s="289">
        <v>0</v>
      </c>
      <c r="C94" s="289">
        <v>0</v>
      </c>
    </row>
    <row r="95" spans="1:3">
      <c r="A95" s="1" t="s">
        <v>503</v>
      </c>
      <c r="B95" s="289">
        <v>0</v>
      </c>
      <c r="C95" s="289">
        <v>0</v>
      </c>
    </row>
    <row r="96" spans="1:3">
      <c r="A96" s="290" t="str">
        <f>"Other (Specify)"</f>
        <v>Other (Specify)</v>
      </c>
      <c r="B96" s="289">
        <v>0</v>
      </c>
      <c r="C96" s="289">
        <v>0</v>
      </c>
    </row>
    <row r="97" spans="1:3" ht="15" thickBot="1">
      <c r="B97" s="66">
        <f>SUM(B92:B96)</f>
        <v>0</v>
      </c>
      <c r="C97" s="66">
        <f>SUM(C92:C96)</f>
        <v>0</v>
      </c>
    </row>
    <row r="98" spans="1:3" ht="15" thickTop="1">
      <c r="A98" s="68" t="s">
        <v>373</v>
      </c>
      <c r="B98" s="440">
        <f>SUM(B4:B6,B9:B10,B13:B23,B26:B33,B36:B50,B53:B63,B66:B75,B78:B83, B86:B89, B92:B96)</f>
        <v>0</v>
      </c>
      <c r="C98" s="440">
        <f>SUM(C4:C6,C9:C10,C13:C23,C26:C33,C36:C50,C53:C63,C66:C75,C78:C83, C86:C89, C92:C96)</f>
        <v>0</v>
      </c>
    </row>
  </sheetData>
  <sheetProtection algorithmName="SHA-512" hashValue="woVADBDaDK/OQoO4ggxmhlLDN5NxOWIxl2h2XgF4cK0gFfwvxqrdVMXFQSjCRZXMcYB7n+Xfj2TfPR122/n8ig==" saltValue="3mfnrP6Url+edTc9ZcVI1Q==" spinCount="100000" sheet="1" objects="1" scenarios="1"/>
  <dataValidations count="1">
    <dataValidation type="whole" allowBlank="1" showInputMessage="1" showErrorMessage="1" errorTitle="Whole Numbers Only" error="All numbers on commercial budget must be entered as a whole number." sqref="B4:C6 B9:C10 B13:C23 B26:C33 B36:C50 B53:C63 B66:C75 B78:C83 B86:C89 B92:C96" xr:uid="{00000000-0002-0000-0700-000000000000}">
      <formula1>0</formula1>
      <formula2>100000000</formula2>
    </dataValidation>
  </dataValidation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92D050"/>
  </sheetPr>
  <dimension ref="A1:R80"/>
  <sheetViews>
    <sheetView showGridLines="0" zoomScaleNormal="100" workbookViewId="0"/>
  </sheetViews>
  <sheetFormatPr defaultColWidth="9" defaultRowHeight="14.4"/>
  <cols>
    <col min="1" max="1" width="33" style="58" customWidth="1"/>
    <col min="2" max="2" width="12.5546875" style="58" customWidth="1"/>
    <col min="3" max="4" width="12" style="58" customWidth="1"/>
    <col min="5" max="5" width="12.5546875" style="58" customWidth="1"/>
    <col min="6" max="16" width="12" style="58" customWidth="1"/>
    <col min="17" max="16384" width="9" style="58"/>
  </cols>
  <sheetData>
    <row r="1" spans="1:18" ht="21">
      <c r="A1" s="4" t="s">
        <v>51</v>
      </c>
      <c r="B1" s="4"/>
      <c r="C1" s="4"/>
      <c r="D1" s="4"/>
      <c r="E1" s="4"/>
      <c r="F1" s="4"/>
      <c r="G1" s="4"/>
      <c r="H1" s="4"/>
      <c r="I1" s="4"/>
      <c r="J1" s="4"/>
      <c r="K1" s="4"/>
      <c r="L1" s="4"/>
      <c r="M1" s="4"/>
      <c r="N1" s="4"/>
      <c r="O1" s="4"/>
      <c r="P1" s="4"/>
      <c r="Q1" s="88"/>
      <c r="R1" s="88"/>
    </row>
    <row r="2" spans="1:18">
      <c r="A2" s="88"/>
      <c r="B2" s="304" t="s">
        <v>529</v>
      </c>
      <c r="C2" s="88"/>
      <c r="D2"/>
      <c r="E2" s="88"/>
      <c r="F2" s="88"/>
      <c r="G2" s="88"/>
      <c r="H2" s="88"/>
      <c r="I2" s="88"/>
      <c r="J2" s="88"/>
      <c r="K2" s="88"/>
      <c r="L2" s="88"/>
      <c r="M2" s="88"/>
      <c r="N2" s="88"/>
      <c r="O2" s="88"/>
      <c r="P2" s="88"/>
      <c r="Q2" s="88"/>
      <c r="R2" s="88"/>
    </row>
    <row r="3" spans="1:18">
      <c r="A3" s="3" t="s">
        <v>530</v>
      </c>
      <c r="B3" s="3" t="s">
        <v>531</v>
      </c>
      <c r="C3" s="3" t="s">
        <v>532</v>
      </c>
      <c r="D3" s="3" t="s">
        <v>533</v>
      </c>
      <c r="E3" s="3" t="s">
        <v>534</v>
      </c>
      <c r="F3" s="3" t="s">
        <v>535</v>
      </c>
      <c r="G3" s="3" t="s">
        <v>536</v>
      </c>
      <c r="H3" s="3" t="s">
        <v>537</v>
      </c>
      <c r="I3" s="3" t="s">
        <v>538</v>
      </c>
      <c r="J3" s="3" t="s">
        <v>539</v>
      </c>
      <c r="K3" s="3" t="s">
        <v>540</v>
      </c>
      <c r="L3" s="3" t="s">
        <v>541</v>
      </c>
      <c r="M3" s="3" t="s">
        <v>542</v>
      </c>
      <c r="N3" s="3" t="s">
        <v>543</v>
      </c>
      <c r="O3" s="3" t="s">
        <v>544</v>
      </c>
      <c r="P3" s="3" t="s">
        <v>545</v>
      </c>
      <c r="Q3" s="88"/>
      <c r="R3" s="88"/>
    </row>
    <row r="4" spans="1:18">
      <c r="A4" s="1" t="s">
        <v>546</v>
      </c>
      <c r="B4" s="289">
        <v>0</v>
      </c>
      <c r="C4" s="289">
        <v>0</v>
      </c>
      <c r="D4" s="289">
        <v>0</v>
      </c>
      <c r="E4" s="289">
        <v>0</v>
      </c>
      <c r="F4" s="289">
        <v>0</v>
      </c>
      <c r="G4" s="289">
        <v>0</v>
      </c>
      <c r="H4" s="289">
        <v>0</v>
      </c>
      <c r="I4" s="289">
        <v>0</v>
      </c>
      <c r="J4" s="289">
        <v>0</v>
      </c>
      <c r="K4" s="289">
        <v>0</v>
      </c>
      <c r="L4" s="289">
        <v>0</v>
      </c>
      <c r="M4" s="289">
        <v>0</v>
      </c>
      <c r="N4" s="289">
        <v>0</v>
      </c>
      <c r="O4" s="289">
        <v>0</v>
      </c>
      <c r="P4" s="289">
        <v>0</v>
      </c>
      <c r="Q4" s="88"/>
      <c r="R4" s="88"/>
    </row>
    <row r="5" spans="1:18" ht="13.2" customHeight="1">
      <c r="A5" s="501" t="s">
        <v>547</v>
      </c>
      <c r="B5" s="289">
        <v>0</v>
      </c>
      <c r="C5" s="289">
        <v>0</v>
      </c>
      <c r="D5" s="289">
        <v>0</v>
      </c>
      <c r="E5" s="289">
        <v>0</v>
      </c>
      <c r="F5" s="289">
        <v>0</v>
      </c>
      <c r="G5" s="289">
        <v>0</v>
      </c>
      <c r="H5" s="289">
        <v>0</v>
      </c>
      <c r="I5" s="289">
        <v>0</v>
      </c>
      <c r="J5" s="289">
        <v>0</v>
      </c>
      <c r="K5" s="289">
        <v>0</v>
      </c>
      <c r="L5" s="289">
        <v>0</v>
      </c>
      <c r="M5" s="289">
        <v>0</v>
      </c>
      <c r="N5" s="289">
        <v>0</v>
      </c>
      <c r="O5" s="289">
        <v>0</v>
      </c>
      <c r="P5" s="289">
        <v>0</v>
      </c>
      <c r="Q5" s="88"/>
      <c r="R5" s="88"/>
    </row>
    <row r="6" spans="1:18" ht="13.2" customHeight="1">
      <c r="A6" s="501" t="s">
        <v>548</v>
      </c>
      <c r="B6" s="289">
        <v>0</v>
      </c>
      <c r="C6" s="289">
        <v>0</v>
      </c>
      <c r="D6" s="289">
        <v>0</v>
      </c>
      <c r="E6" s="289">
        <v>0</v>
      </c>
      <c r="F6" s="289">
        <v>0</v>
      </c>
      <c r="G6" s="289">
        <v>0</v>
      </c>
      <c r="H6" s="289">
        <v>0</v>
      </c>
      <c r="I6" s="289">
        <v>0</v>
      </c>
      <c r="J6" s="289">
        <v>0</v>
      </c>
      <c r="K6" s="289">
        <v>0</v>
      </c>
      <c r="L6" s="289">
        <v>0</v>
      </c>
      <c r="M6" s="289">
        <v>0</v>
      </c>
      <c r="N6" s="289">
        <v>0</v>
      </c>
      <c r="O6" s="289">
        <v>0</v>
      </c>
      <c r="P6" s="289">
        <v>0</v>
      </c>
      <c r="Q6"/>
      <c r="R6" s="88"/>
    </row>
    <row r="7" spans="1:18" customFormat="1">
      <c r="A7" s="290" t="str">
        <f>"Other (Specify)"</f>
        <v>Other (Specify)</v>
      </c>
      <c r="B7" s="289">
        <v>0</v>
      </c>
      <c r="C7" s="289">
        <v>0</v>
      </c>
      <c r="D7" s="289">
        <v>0</v>
      </c>
      <c r="E7" s="289">
        <v>0</v>
      </c>
      <c r="F7" s="289">
        <v>0</v>
      </c>
      <c r="G7" s="289">
        <v>0</v>
      </c>
      <c r="H7" s="289">
        <v>0</v>
      </c>
      <c r="I7" s="289">
        <v>0</v>
      </c>
      <c r="J7" s="289">
        <v>0</v>
      </c>
      <c r="K7" s="289">
        <v>0</v>
      </c>
      <c r="L7" s="289">
        <v>0</v>
      </c>
      <c r="M7" s="289">
        <v>0</v>
      </c>
      <c r="N7" s="289">
        <v>0</v>
      </c>
      <c r="O7" s="289">
        <v>0</v>
      </c>
      <c r="P7" s="289">
        <v>0</v>
      </c>
    </row>
    <row r="8" spans="1:18" customFormat="1">
      <c r="A8" s="501" t="s">
        <v>549</v>
      </c>
      <c r="B8" s="289">
        <v>0</v>
      </c>
      <c r="C8" s="289">
        <v>0</v>
      </c>
      <c r="D8" s="289">
        <v>0</v>
      </c>
      <c r="E8" s="289">
        <v>0</v>
      </c>
      <c r="F8" s="289">
        <v>0</v>
      </c>
      <c r="G8" s="289">
        <v>0</v>
      </c>
      <c r="H8" s="289">
        <v>0</v>
      </c>
      <c r="I8" s="289">
        <v>0</v>
      </c>
      <c r="J8" s="289">
        <v>0</v>
      </c>
      <c r="K8" s="289">
        <v>0</v>
      </c>
      <c r="L8" s="289">
        <v>0</v>
      </c>
      <c r="M8" s="289">
        <v>0</v>
      </c>
      <c r="N8" s="289">
        <v>0</v>
      </c>
      <c r="O8" s="289">
        <v>0</v>
      </c>
      <c r="P8" s="289">
        <v>0</v>
      </c>
    </row>
    <row r="9" spans="1:18">
      <c r="A9" s="1076" t="s">
        <v>550</v>
      </c>
      <c r="B9" s="1076"/>
      <c r="C9" s="1076"/>
      <c r="D9" s="611"/>
      <c r="E9" s="611"/>
      <c r="F9" s="611"/>
      <c r="G9" s="611"/>
      <c r="H9" s="611"/>
      <c r="I9" s="611"/>
      <c r="J9" s="611"/>
      <c r="K9" s="611"/>
      <c r="L9" s="611"/>
      <c r="M9" s="611"/>
      <c r="N9" s="611"/>
      <c r="O9" s="611"/>
      <c r="P9" s="611"/>
      <c r="Q9" s="88"/>
      <c r="R9" s="88"/>
    </row>
    <row r="10" spans="1:18" customFormat="1" ht="21">
      <c r="A10" s="7" t="s">
        <v>551</v>
      </c>
    </row>
    <row r="11" spans="1:18" ht="30" customHeight="1">
      <c r="A11" s="3" t="s">
        <v>4421</v>
      </c>
      <c r="B11" s="502" t="s">
        <v>4422</v>
      </c>
      <c r="C11" s="1077" t="s">
        <v>396</v>
      </c>
      <c r="D11" s="1077"/>
      <c r="E11" s="10" t="s">
        <v>552</v>
      </c>
      <c r="F11" s="88"/>
      <c r="G11" s="88"/>
      <c r="H11" s="88"/>
      <c r="I11" s="88"/>
      <c r="J11" s="88"/>
      <c r="K11" s="88"/>
      <c r="L11" s="88"/>
      <c r="M11" s="88"/>
      <c r="N11" s="88"/>
      <c r="O11" s="88"/>
      <c r="P11" s="88"/>
      <c r="Q11" s="88"/>
      <c r="R11" s="88"/>
    </row>
    <row r="12" spans="1:18">
      <c r="A12" s="1" t="s">
        <v>553</v>
      </c>
      <c r="B12" s="452">
        <v>0</v>
      </c>
      <c r="C12" s="1078">
        <v>0</v>
      </c>
      <c r="D12" s="1079"/>
      <c r="E12" s="304" t="s">
        <v>554</v>
      </c>
      <c r="F12" s="88"/>
      <c r="G12"/>
      <c r="H12" s="88"/>
      <c r="I12" s="88"/>
      <c r="J12" s="88"/>
      <c r="K12" s="88"/>
      <c r="L12" s="88"/>
      <c r="M12" s="88"/>
      <c r="N12" s="88"/>
      <c r="O12" s="88"/>
      <c r="P12" s="88"/>
      <c r="Q12" s="88"/>
      <c r="R12" s="88"/>
    </row>
    <row r="13" spans="1:18">
      <c r="A13" s="1" t="s">
        <v>555</v>
      </c>
      <c r="B13" s="519">
        <v>0</v>
      </c>
      <c r="C13" s="1078">
        <v>0</v>
      </c>
      <c r="D13" s="1079"/>
      <c r="E13" s="88"/>
      <c r="F13" s="88"/>
      <c r="G13" s="88"/>
      <c r="H13" s="88"/>
      <c r="I13" s="88"/>
      <c r="J13" s="88"/>
      <c r="K13" s="88"/>
      <c r="L13" s="88"/>
      <c r="M13" s="88"/>
      <c r="N13" s="88"/>
      <c r="O13" s="88"/>
      <c r="P13" s="88"/>
      <c r="Q13" s="88"/>
      <c r="R13" s="88"/>
    </row>
    <row r="14" spans="1:18">
      <c r="A14" s="290" t="str">
        <f>"Other (Specify)"</f>
        <v>Other (Specify)</v>
      </c>
      <c r="B14" s="452">
        <v>0</v>
      </c>
      <c r="C14" s="1078">
        <v>0</v>
      </c>
      <c r="D14" s="1079"/>
      <c r="E14" s="88"/>
      <c r="F14" s="88"/>
      <c r="G14" s="88"/>
      <c r="H14" s="88"/>
      <c r="I14" s="88"/>
      <c r="J14" s="88"/>
      <c r="K14" s="88"/>
      <c r="L14" s="88"/>
      <c r="M14" s="88"/>
      <c r="N14" s="88"/>
      <c r="O14" s="88"/>
      <c r="P14" s="88"/>
      <c r="Q14" s="88"/>
      <c r="R14" s="88" t="s">
        <v>556</v>
      </c>
    </row>
    <row r="15" spans="1:18">
      <c r="A15" s="290" t="str">
        <f>"Other (Specify)"</f>
        <v>Other (Specify)</v>
      </c>
      <c r="B15" s="452">
        <v>0</v>
      </c>
      <c r="C15" s="1078">
        <v>0</v>
      </c>
      <c r="D15" s="1079"/>
      <c r="E15" s="88"/>
      <c r="F15" s="88"/>
      <c r="G15" s="88"/>
      <c r="H15" s="88"/>
      <c r="I15" s="88"/>
      <c r="J15" s="88"/>
      <c r="K15" s="88"/>
      <c r="L15" s="88"/>
      <c r="M15" s="88"/>
      <c r="N15" s="88"/>
      <c r="O15" s="88"/>
      <c r="P15" s="88"/>
      <c r="Q15" s="88"/>
      <c r="R15" s="88"/>
    </row>
    <row r="16" spans="1:18">
      <c r="A16" s="88"/>
      <c r="B16" s="88"/>
      <c r="C16" s="88"/>
      <c r="D16" s="88"/>
      <c r="E16" s="88"/>
      <c r="F16" s="88"/>
      <c r="G16" s="88"/>
      <c r="H16" s="88"/>
      <c r="I16" s="88"/>
      <c r="J16" s="88"/>
      <c r="K16" s="88"/>
      <c r="L16" s="88"/>
      <c r="M16" s="88"/>
      <c r="N16" s="88"/>
      <c r="O16" s="88"/>
      <c r="P16" s="88"/>
      <c r="Q16" s="88"/>
      <c r="R16" s="88" t="s">
        <v>556</v>
      </c>
    </row>
    <row r="17" spans="1:18">
      <c r="A17" s="88"/>
      <c r="B17" s="3" t="s">
        <v>393</v>
      </c>
      <c r="C17" s="88"/>
      <c r="D17" s="88"/>
      <c r="E17" s="88"/>
      <c r="F17" s="88"/>
      <c r="G17" s="88"/>
      <c r="H17" s="88"/>
      <c r="I17" s="88"/>
      <c r="J17" s="88"/>
      <c r="K17" s="88"/>
      <c r="L17" s="88"/>
      <c r="M17" s="88"/>
      <c r="N17" s="88"/>
      <c r="O17" s="88"/>
      <c r="P17" s="88"/>
      <c r="Q17" s="88"/>
      <c r="R17" s="88"/>
    </row>
    <row r="18" spans="1:18" ht="28.8">
      <c r="A18" s="501" t="s">
        <v>557</v>
      </c>
      <c r="B18" s="289">
        <v>0</v>
      </c>
      <c r="C18" s="88"/>
      <c r="D18" s="88"/>
      <c r="E18" s="88"/>
      <c r="F18" s="88"/>
      <c r="G18" s="88"/>
      <c r="H18" s="88"/>
      <c r="I18" s="88"/>
      <c r="J18" s="88"/>
      <c r="K18" s="88"/>
      <c r="L18" s="88"/>
      <c r="M18" s="88"/>
      <c r="N18" s="88"/>
      <c r="O18" s="88"/>
      <c r="P18" s="88"/>
      <c r="Q18" s="88"/>
      <c r="R18" s="88"/>
    </row>
    <row r="19" spans="1:18" customFormat="1"/>
    <row r="20" spans="1:18" ht="21">
      <c r="A20" s="7" t="s">
        <v>558</v>
      </c>
      <c r="B20" s="88"/>
      <c r="C20" s="88"/>
      <c r="D20" s="88"/>
      <c r="E20" s="88"/>
      <c r="F20" s="88"/>
      <c r="G20" s="88"/>
      <c r="H20" s="88"/>
      <c r="I20" s="88"/>
      <c r="J20" s="88"/>
      <c r="K20" s="88"/>
      <c r="L20" s="88"/>
      <c r="M20" s="88"/>
      <c r="N20" s="88"/>
      <c r="O20" s="88"/>
      <c r="P20" s="88"/>
      <c r="Q20" s="88"/>
      <c r="R20" s="88"/>
    </row>
    <row r="21" spans="1:18" ht="30" customHeight="1">
      <c r="A21" s="3" t="s">
        <v>559</v>
      </c>
      <c r="B21" s="3" t="s">
        <v>560</v>
      </c>
      <c r="C21" s="1077" t="s">
        <v>396</v>
      </c>
      <c r="D21" s="1077"/>
      <c r="E21" s="3" t="s">
        <v>561</v>
      </c>
      <c r="F21" s="10" t="s">
        <v>552</v>
      </c>
      <c r="G21" s="88"/>
      <c r="H21" s="88"/>
      <c r="I21" s="88"/>
      <c r="J21" s="88"/>
      <c r="K21" s="88"/>
      <c r="L21" s="88"/>
      <c r="M21" s="88"/>
      <c r="N21" s="88"/>
      <c r="O21" s="88"/>
      <c r="P21" s="88"/>
      <c r="Q21" s="88"/>
      <c r="R21" s="88"/>
    </row>
    <row r="22" spans="1:18">
      <c r="A22" s="1" t="s">
        <v>562</v>
      </c>
      <c r="B22" s="289">
        <v>0</v>
      </c>
      <c r="C22" s="1071">
        <v>0</v>
      </c>
      <c r="D22" s="1072"/>
      <c r="E22" s="289">
        <v>0</v>
      </c>
      <c r="F22" s="88"/>
      <c r="G22" s="88"/>
      <c r="H22" s="88"/>
      <c r="I22" s="88"/>
      <c r="J22" s="88"/>
      <c r="K22" s="88"/>
      <c r="L22" s="88"/>
      <c r="M22" s="88"/>
      <c r="N22" s="88"/>
      <c r="O22" s="88"/>
      <c r="P22" s="88"/>
      <c r="Q22" s="88"/>
      <c r="R22" s="88"/>
    </row>
    <row r="23" spans="1:18">
      <c r="A23" s="1" t="s">
        <v>563</v>
      </c>
      <c r="B23" s="289">
        <v>0</v>
      </c>
      <c r="C23" s="1071">
        <v>0</v>
      </c>
      <c r="D23" s="1072"/>
      <c r="E23" s="289">
        <v>0</v>
      </c>
      <c r="F23" s="88"/>
      <c r="G23" s="88"/>
      <c r="H23" s="88"/>
      <c r="I23" s="88"/>
      <c r="J23" s="88"/>
      <c r="K23" s="88"/>
      <c r="L23" s="88"/>
      <c r="M23" s="88"/>
      <c r="N23" s="88"/>
      <c r="O23" s="88"/>
      <c r="P23" s="88"/>
      <c r="Q23" s="88"/>
      <c r="R23" s="88"/>
    </row>
    <row r="24" spans="1:18">
      <c r="A24" s="1" t="s">
        <v>564</v>
      </c>
      <c r="B24" s="289">
        <v>0</v>
      </c>
      <c r="C24" s="1071">
        <v>0</v>
      </c>
      <c r="D24" s="1072"/>
      <c r="E24" s="289">
        <v>0</v>
      </c>
      <c r="F24" s="88"/>
      <c r="G24" s="88"/>
      <c r="H24" s="88"/>
      <c r="I24" s="88"/>
      <c r="J24" s="88"/>
      <c r="K24" s="88"/>
      <c r="L24" s="88"/>
      <c r="M24" s="88"/>
      <c r="N24" s="88"/>
      <c r="O24" s="88"/>
      <c r="P24" s="88"/>
      <c r="Q24" s="88"/>
      <c r="R24" s="88"/>
    </row>
    <row r="25" spans="1:18">
      <c r="A25" s="1" t="s">
        <v>565</v>
      </c>
      <c r="B25" s="289">
        <v>0</v>
      </c>
      <c r="C25" s="1071">
        <v>0</v>
      </c>
      <c r="D25" s="1072"/>
      <c r="E25" s="289">
        <v>0</v>
      </c>
      <c r="F25"/>
      <c r="G25" s="88"/>
      <c r="H25" s="88"/>
      <c r="I25" s="88"/>
      <c r="J25" s="88"/>
      <c r="K25" s="88"/>
      <c r="L25" s="88"/>
      <c r="M25" s="88"/>
      <c r="N25" s="88"/>
      <c r="O25" s="88"/>
      <c r="P25" s="88"/>
      <c r="Q25" s="88"/>
      <c r="R25" s="88"/>
    </row>
    <row r="26" spans="1:18">
      <c r="A26" s="1" t="s">
        <v>566</v>
      </c>
      <c r="B26" s="289">
        <v>0</v>
      </c>
      <c r="C26" s="1071">
        <v>0</v>
      </c>
      <c r="D26" s="1072"/>
      <c r="E26" s="289">
        <v>0</v>
      </c>
      <c r="F26" s="88"/>
      <c r="G26" s="88"/>
      <c r="H26" s="88"/>
      <c r="I26" s="88"/>
      <c r="J26" s="88"/>
      <c r="K26" s="88"/>
      <c r="L26" s="88"/>
      <c r="M26" s="88"/>
      <c r="N26" s="88"/>
      <c r="O26" s="88"/>
      <c r="P26" s="88"/>
      <c r="Q26" s="88"/>
      <c r="R26" s="88"/>
    </row>
    <row r="27" spans="1:18">
      <c r="A27" s="1" t="s">
        <v>567</v>
      </c>
      <c r="B27" s="289">
        <v>0</v>
      </c>
      <c r="C27" s="1071">
        <v>0</v>
      </c>
      <c r="D27" s="1072"/>
      <c r="E27" s="289">
        <v>0</v>
      </c>
      <c r="F27" s="88"/>
      <c r="G27" s="88"/>
      <c r="H27" s="88"/>
      <c r="I27" s="88"/>
      <c r="J27" s="88"/>
      <c r="K27" s="88"/>
      <c r="L27" s="88"/>
      <c r="M27" s="88"/>
      <c r="N27" s="88"/>
      <c r="O27" s="88"/>
      <c r="P27" s="88"/>
      <c r="Q27" s="88"/>
      <c r="R27" s="88"/>
    </row>
    <row r="28" spans="1:18">
      <c r="A28" s="1" t="s">
        <v>568</v>
      </c>
      <c r="B28" s="289">
        <v>0</v>
      </c>
      <c r="C28" s="1071">
        <v>0</v>
      </c>
      <c r="D28" s="1072"/>
      <c r="E28" s="289">
        <v>0</v>
      </c>
      <c r="F28" s="88"/>
      <c r="G28" s="88"/>
      <c r="H28" s="88"/>
      <c r="I28" s="88"/>
      <c r="J28" s="88"/>
      <c r="K28" s="88"/>
      <c r="L28" s="88"/>
      <c r="M28" s="88"/>
      <c r="N28" s="88"/>
      <c r="O28" s="88"/>
      <c r="P28" s="88"/>
      <c r="Q28" s="88"/>
      <c r="R28" s="88"/>
    </row>
    <row r="29" spans="1:18">
      <c r="A29" s="1" t="s">
        <v>569</v>
      </c>
      <c r="B29" s="289">
        <v>0</v>
      </c>
      <c r="C29" s="1071">
        <v>0</v>
      </c>
      <c r="D29" s="1072"/>
      <c r="E29" s="289">
        <v>0</v>
      </c>
      <c r="F29" s="88"/>
      <c r="G29" s="88"/>
      <c r="H29" s="88"/>
      <c r="I29" s="88"/>
      <c r="J29" s="88"/>
      <c r="K29" s="88"/>
      <c r="L29" s="88"/>
      <c r="M29" s="88"/>
      <c r="N29" s="88"/>
      <c r="O29" s="88"/>
      <c r="P29" s="88"/>
      <c r="Q29" s="88"/>
      <c r="R29" s="88"/>
    </row>
    <row r="30" spans="1:18">
      <c r="A30" s="1" t="s">
        <v>570</v>
      </c>
      <c r="B30" s="289">
        <v>0</v>
      </c>
      <c r="C30" s="1071">
        <v>0</v>
      </c>
      <c r="D30" s="1072"/>
      <c r="E30" s="289">
        <v>0</v>
      </c>
      <c r="F30" s="88"/>
      <c r="G30" s="88"/>
      <c r="H30" s="88"/>
      <c r="I30" s="88"/>
      <c r="J30" s="88"/>
      <c r="K30" s="88"/>
      <c r="L30" s="88"/>
      <c r="M30" s="88"/>
      <c r="N30" s="88"/>
      <c r="O30" s="88"/>
      <c r="P30" s="88"/>
      <c r="Q30" s="88"/>
      <c r="R30" s="88"/>
    </row>
    <row r="31" spans="1:18">
      <c r="A31" s="1" t="s">
        <v>571</v>
      </c>
      <c r="B31" s="289">
        <v>0</v>
      </c>
      <c r="C31" s="1071">
        <v>0</v>
      </c>
      <c r="D31" s="1072"/>
      <c r="E31" s="289">
        <v>0</v>
      </c>
      <c r="F31" s="88"/>
      <c r="G31" s="88"/>
      <c r="H31" s="88"/>
      <c r="I31" s="88"/>
      <c r="J31" s="88"/>
      <c r="K31" s="88"/>
      <c r="L31" s="88"/>
      <c r="M31" s="88"/>
      <c r="N31" s="88"/>
      <c r="O31" s="88"/>
      <c r="P31" s="88"/>
      <c r="Q31" s="88"/>
      <c r="R31" s="88"/>
    </row>
    <row r="32" spans="1:18">
      <c r="A32" s="290" t="str">
        <f>"Other (Specify)"</f>
        <v>Other (Specify)</v>
      </c>
      <c r="B32" s="289">
        <v>0</v>
      </c>
      <c r="C32" s="1071">
        <v>0</v>
      </c>
      <c r="D32" s="1072"/>
      <c r="E32" s="289">
        <v>0</v>
      </c>
      <c r="F32" s="88"/>
      <c r="G32" s="88"/>
      <c r="H32" s="88"/>
      <c r="I32" s="88"/>
      <c r="J32" s="88"/>
      <c r="K32" s="88"/>
      <c r="L32" s="88"/>
      <c r="M32" s="88"/>
      <c r="N32" s="88"/>
      <c r="O32" s="88"/>
      <c r="P32" s="88"/>
      <c r="Q32" s="88"/>
      <c r="R32" s="88"/>
    </row>
    <row r="33" spans="1:6">
      <c r="A33" s="290" t="str">
        <f t="shared" ref="A33:A34" si="0">"Other (Specify)"</f>
        <v>Other (Specify)</v>
      </c>
      <c r="B33" s="289">
        <v>0</v>
      </c>
      <c r="C33" s="1071">
        <v>0</v>
      </c>
      <c r="D33" s="1072"/>
      <c r="E33" s="289">
        <v>0</v>
      </c>
      <c r="F33" s="88"/>
    </row>
    <row r="34" spans="1:6">
      <c r="A34" s="290" t="str">
        <f t="shared" si="0"/>
        <v>Other (Specify)</v>
      </c>
      <c r="B34" s="289">
        <v>0</v>
      </c>
      <c r="C34" s="1071">
        <v>0</v>
      </c>
      <c r="D34" s="1072"/>
      <c r="E34" s="289">
        <v>0</v>
      </c>
      <c r="F34" s="88"/>
    </row>
    <row r="35" spans="1:6" customFormat="1">
      <c r="B35" s="66">
        <f>SUM(B22:B34)</f>
        <v>0</v>
      </c>
      <c r="C35" s="1074">
        <f>SUM(C22:C34)</f>
        <v>0</v>
      </c>
      <c r="D35" s="1075"/>
      <c r="E35" s="66">
        <f>SUM(E22:E34)</f>
        <v>0</v>
      </c>
    </row>
    <row r="36" spans="1:6">
      <c r="A36" s="3" t="s">
        <v>572</v>
      </c>
      <c r="B36" s="453"/>
      <c r="C36" s="3"/>
      <c r="D36" s="3"/>
      <c r="E36" s="453"/>
      <c r="F36" s="88"/>
    </row>
    <row r="37" spans="1:6">
      <c r="A37" s="1" t="s">
        <v>573</v>
      </c>
      <c r="B37" s="289">
        <v>0</v>
      </c>
      <c r="C37" s="1071">
        <v>0</v>
      </c>
      <c r="D37" s="1072"/>
      <c r="E37" s="289">
        <v>0</v>
      </c>
      <c r="F37" s="88"/>
    </row>
    <row r="38" spans="1:6">
      <c r="A38" s="1" t="s">
        <v>574</v>
      </c>
      <c r="B38" s="289">
        <v>0</v>
      </c>
      <c r="C38" s="1071">
        <v>0</v>
      </c>
      <c r="D38" s="1072"/>
      <c r="E38" s="289">
        <v>0</v>
      </c>
      <c r="F38" s="88"/>
    </row>
    <row r="39" spans="1:6">
      <c r="A39" s="1" t="s">
        <v>575</v>
      </c>
      <c r="B39" s="289">
        <v>0</v>
      </c>
      <c r="C39" s="1071">
        <v>0</v>
      </c>
      <c r="D39" s="1072"/>
      <c r="E39" s="289">
        <v>0</v>
      </c>
      <c r="F39" s="88"/>
    </row>
    <row r="40" spans="1:6">
      <c r="A40" s="1" t="s">
        <v>576</v>
      </c>
      <c r="B40" s="289">
        <v>0</v>
      </c>
      <c r="C40" s="1071">
        <v>0</v>
      </c>
      <c r="D40" s="1072"/>
      <c r="E40" s="289">
        <v>0</v>
      </c>
      <c r="F40" s="88"/>
    </row>
    <row r="41" spans="1:6">
      <c r="A41" s="1" t="s">
        <v>577</v>
      </c>
      <c r="B41" s="289">
        <v>0</v>
      </c>
      <c r="C41" s="1071">
        <v>0</v>
      </c>
      <c r="D41" s="1072"/>
      <c r="E41" s="289">
        <v>0</v>
      </c>
      <c r="F41" s="88"/>
    </row>
    <row r="42" spans="1:6">
      <c r="A42" s="1" t="s">
        <v>578</v>
      </c>
      <c r="B42" s="289">
        <v>0</v>
      </c>
      <c r="C42" s="1071">
        <v>0</v>
      </c>
      <c r="D42" s="1072"/>
      <c r="E42" s="289">
        <v>0</v>
      </c>
      <c r="F42" s="88"/>
    </row>
    <row r="43" spans="1:6">
      <c r="A43" s="1" t="s">
        <v>579</v>
      </c>
      <c r="B43" s="289">
        <v>0</v>
      </c>
      <c r="C43" s="1071">
        <v>0</v>
      </c>
      <c r="D43" s="1072"/>
      <c r="E43" s="289">
        <v>0</v>
      </c>
      <c r="F43" s="88"/>
    </row>
    <row r="44" spans="1:6">
      <c r="A44" s="1" t="s">
        <v>580</v>
      </c>
      <c r="B44" s="289">
        <v>0</v>
      </c>
      <c r="C44" s="1071">
        <v>0</v>
      </c>
      <c r="D44" s="1072"/>
      <c r="E44" s="289">
        <v>0</v>
      </c>
      <c r="F44" s="88"/>
    </row>
    <row r="45" spans="1:6">
      <c r="A45" s="290" t="str">
        <f t="shared" ref="A45:A48" si="1">"Other (Specify)"</f>
        <v>Other (Specify)</v>
      </c>
      <c r="B45" s="289">
        <v>0</v>
      </c>
      <c r="C45" s="1071">
        <v>0</v>
      </c>
      <c r="D45" s="1072"/>
      <c r="E45" s="289">
        <v>0</v>
      </c>
      <c r="F45" s="88"/>
    </row>
    <row r="46" spans="1:6">
      <c r="A46" s="290" t="str">
        <f t="shared" si="1"/>
        <v>Other (Specify)</v>
      </c>
      <c r="B46" s="289">
        <v>0</v>
      </c>
      <c r="C46" s="1071">
        <v>0</v>
      </c>
      <c r="D46" s="1072"/>
      <c r="E46" s="289">
        <v>0</v>
      </c>
      <c r="F46" s="88"/>
    </row>
    <row r="47" spans="1:6">
      <c r="A47" s="290" t="str">
        <f t="shared" si="1"/>
        <v>Other (Specify)</v>
      </c>
      <c r="B47" s="289">
        <v>0</v>
      </c>
      <c r="C47" s="1071">
        <v>0</v>
      </c>
      <c r="D47" s="1072"/>
      <c r="E47" s="289">
        <v>0</v>
      </c>
      <c r="F47" s="88"/>
    </row>
    <row r="48" spans="1:6">
      <c r="A48" s="290" t="str">
        <f t="shared" si="1"/>
        <v>Other (Specify)</v>
      </c>
      <c r="B48" s="289">
        <v>0</v>
      </c>
      <c r="C48" s="1071">
        <v>0</v>
      </c>
      <c r="D48" s="1072"/>
      <c r="E48" s="289">
        <v>0</v>
      </c>
      <c r="F48" s="88"/>
    </row>
    <row r="49" spans="1:5" customFormat="1">
      <c r="B49" s="66">
        <f>SUM(B37:B48)</f>
        <v>0</v>
      </c>
      <c r="C49" s="1074">
        <f>SUM(C36:C48)</f>
        <v>0</v>
      </c>
      <c r="D49" s="1075"/>
      <c r="E49" s="66">
        <f>SUM(E37:E48)</f>
        <v>0</v>
      </c>
    </row>
    <row r="50" spans="1:5">
      <c r="A50" s="3" t="s">
        <v>581</v>
      </c>
      <c r="B50" s="453"/>
      <c r="C50" s="3"/>
      <c r="D50" s="3"/>
      <c r="E50" s="453"/>
    </row>
    <row r="51" spans="1:5">
      <c r="A51" s="1" t="s">
        <v>582</v>
      </c>
      <c r="B51" s="289">
        <v>0</v>
      </c>
      <c r="C51" s="1071">
        <v>0</v>
      </c>
      <c r="D51" s="1072"/>
      <c r="E51" s="289">
        <v>0</v>
      </c>
    </row>
    <row r="52" spans="1:5">
      <c r="A52" s="1" t="s">
        <v>583</v>
      </c>
      <c r="B52" s="289">
        <v>0</v>
      </c>
      <c r="C52" s="1071">
        <v>0</v>
      </c>
      <c r="D52" s="1072"/>
      <c r="E52" s="289">
        <v>0</v>
      </c>
    </row>
    <row r="53" spans="1:5">
      <c r="A53" s="1" t="s">
        <v>584</v>
      </c>
      <c r="B53" s="289">
        <v>0</v>
      </c>
      <c r="C53" s="1071">
        <v>0</v>
      </c>
      <c r="D53" s="1072"/>
      <c r="E53" s="289">
        <v>0</v>
      </c>
    </row>
    <row r="54" spans="1:5">
      <c r="A54" s="1" t="s">
        <v>585</v>
      </c>
      <c r="B54" s="289">
        <v>0</v>
      </c>
      <c r="C54" s="1071">
        <v>0</v>
      </c>
      <c r="D54" s="1072"/>
      <c r="E54" s="289">
        <v>0</v>
      </c>
    </row>
    <row r="55" spans="1:5">
      <c r="A55" s="1" t="s">
        <v>586</v>
      </c>
      <c r="B55" s="289">
        <v>0</v>
      </c>
      <c r="C55" s="1071">
        <v>0</v>
      </c>
      <c r="D55" s="1072"/>
      <c r="E55" s="289">
        <v>0</v>
      </c>
    </row>
    <row r="56" spans="1:5">
      <c r="A56" s="1" t="s">
        <v>587</v>
      </c>
      <c r="B56" s="289">
        <v>0</v>
      </c>
      <c r="C56" s="1071">
        <v>0</v>
      </c>
      <c r="D56" s="1072"/>
      <c r="E56" s="289">
        <v>0</v>
      </c>
    </row>
    <row r="57" spans="1:5">
      <c r="A57" s="1" t="s">
        <v>588</v>
      </c>
      <c r="B57" s="289">
        <v>0</v>
      </c>
      <c r="C57" s="1071">
        <v>0</v>
      </c>
      <c r="D57" s="1072"/>
      <c r="E57" s="289">
        <v>0</v>
      </c>
    </row>
    <row r="58" spans="1:5">
      <c r="A58" s="1" t="s">
        <v>589</v>
      </c>
      <c r="B58" s="289">
        <v>0</v>
      </c>
      <c r="C58" s="1071">
        <v>0</v>
      </c>
      <c r="D58" s="1072"/>
      <c r="E58" s="289">
        <v>0</v>
      </c>
    </row>
    <row r="59" spans="1:5">
      <c r="A59" s="1" t="s">
        <v>590</v>
      </c>
      <c r="B59" s="289">
        <v>0</v>
      </c>
      <c r="C59" s="1071">
        <v>0</v>
      </c>
      <c r="D59" s="1072"/>
      <c r="E59" s="289">
        <v>0</v>
      </c>
    </row>
    <row r="60" spans="1:5">
      <c r="A60" s="290" t="str">
        <f t="shared" ref="A60:A62" si="2">"Other (Specify)"</f>
        <v>Other (Specify)</v>
      </c>
      <c r="B60" s="289">
        <v>0</v>
      </c>
      <c r="C60" s="1071">
        <v>0</v>
      </c>
      <c r="D60" s="1072"/>
      <c r="E60" s="289">
        <v>0</v>
      </c>
    </row>
    <row r="61" spans="1:5">
      <c r="A61" s="290" t="str">
        <f t="shared" si="2"/>
        <v>Other (Specify)</v>
      </c>
      <c r="B61" s="289">
        <v>0</v>
      </c>
      <c r="C61" s="1071">
        <v>0</v>
      </c>
      <c r="D61" s="1072"/>
      <c r="E61" s="289">
        <v>0</v>
      </c>
    </row>
    <row r="62" spans="1:5">
      <c r="A62" s="290" t="str">
        <f t="shared" si="2"/>
        <v>Other (Specify)</v>
      </c>
      <c r="B62" s="289">
        <v>0</v>
      </c>
      <c r="C62" s="1071">
        <v>0</v>
      </c>
      <c r="D62" s="1072"/>
      <c r="E62" s="289">
        <v>0</v>
      </c>
    </row>
    <row r="63" spans="1:5" customFormat="1">
      <c r="B63" s="66">
        <f>SUM(B51:B62)</f>
        <v>0</v>
      </c>
      <c r="C63" s="1074">
        <f>SUM(C50:C62)</f>
        <v>0</v>
      </c>
      <c r="D63" s="1075"/>
      <c r="E63" s="66">
        <f>SUM(E51:E62)</f>
        <v>0</v>
      </c>
    </row>
    <row r="64" spans="1:5">
      <c r="A64" s="3" t="s">
        <v>591</v>
      </c>
      <c r="B64" s="453"/>
      <c r="C64" s="3"/>
      <c r="D64" s="3"/>
      <c r="E64" s="453"/>
    </row>
    <row r="65" spans="1:5">
      <c r="A65" s="1" t="s">
        <v>592</v>
      </c>
      <c r="B65" s="289">
        <v>0</v>
      </c>
      <c r="C65" s="1071">
        <v>0</v>
      </c>
      <c r="D65" s="1072"/>
      <c r="E65" s="289">
        <v>0</v>
      </c>
    </row>
    <row r="66" spans="1:5">
      <c r="A66" s="1" t="s">
        <v>593</v>
      </c>
      <c r="B66" s="289">
        <v>0</v>
      </c>
      <c r="C66" s="1071">
        <v>0</v>
      </c>
      <c r="D66" s="1072"/>
      <c r="E66" s="289">
        <v>0</v>
      </c>
    </row>
    <row r="67" spans="1:5">
      <c r="A67" s="1" t="s">
        <v>594</v>
      </c>
      <c r="B67" s="289">
        <v>0</v>
      </c>
      <c r="C67" s="1071">
        <v>0</v>
      </c>
      <c r="D67" s="1072"/>
      <c r="E67" s="289">
        <v>0</v>
      </c>
    </row>
    <row r="68" spans="1:5">
      <c r="A68" s="1" t="s">
        <v>595</v>
      </c>
      <c r="B68" s="289">
        <v>0</v>
      </c>
      <c r="C68" s="1071">
        <v>0</v>
      </c>
      <c r="D68" s="1072"/>
      <c r="E68" s="289">
        <v>0</v>
      </c>
    </row>
    <row r="69" spans="1:5">
      <c r="A69" s="1" t="s">
        <v>596</v>
      </c>
      <c r="B69" s="289">
        <v>0</v>
      </c>
      <c r="C69" s="1071">
        <v>0</v>
      </c>
      <c r="D69" s="1072"/>
      <c r="E69" s="289">
        <v>0</v>
      </c>
    </row>
    <row r="70" spans="1:5">
      <c r="A70" s="290" t="str">
        <f t="shared" ref="A70:A71" si="3">"Other (Specify)"</f>
        <v>Other (Specify)</v>
      </c>
      <c r="B70" s="289">
        <v>0</v>
      </c>
      <c r="C70" s="1071">
        <v>0</v>
      </c>
      <c r="D70" s="1072"/>
      <c r="E70" s="289">
        <v>0</v>
      </c>
    </row>
    <row r="71" spans="1:5">
      <c r="A71" s="290" t="str">
        <f t="shared" si="3"/>
        <v>Other (Specify)</v>
      </c>
      <c r="B71" s="289">
        <v>0</v>
      </c>
      <c r="C71" s="1071">
        <v>0</v>
      </c>
      <c r="D71" s="1072"/>
      <c r="E71" s="289">
        <v>0</v>
      </c>
    </row>
    <row r="72" spans="1:5" ht="15" thickBot="1">
      <c r="A72" s="68"/>
      <c r="B72" s="454">
        <f>SUM(B65:B71)</f>
        <v>0</v>
      </c>
      <c r="C72" s="1073">
        <f>SUM(C65:C71)</f>
        <v>0</v>
      </c>
      <c r="D72" s="1073"/>
      <c r="E72" s="454">
        <f>SUM(E65:E71)</f>
        <v>0</v>
      </c>
    </row>
    <row r="73" spans="1:5" ht="15" thickTop="1">
      <c r="A73" s="68" t="s">
        <v>373</v>
      </c>
      <c r="B73" s="440">
        <f>SUM(B22:B34,B37:B48,B51:B62,B65:B71)</f>
        <v>0</v>
      </c>
      <c r="C73" s="1070">
        <f>SUM(C22:C34,C37:C48,C51:C62,C65:C71)</f>
        <v>0</v>
      </c>
      <c r="D73" s="1070"/>
      <c r="E73" s="440">
        <f>SUM(E22:E34,E37:E48,E51:E62,E65:E71)</f>
        <v>0</v>
      </c>
    </row>
    <row r="76" spans="1:5" ht="28.8">
      <c r="A76" s="501" t="s">
        <v>597</v>
      </c>
      <c r="B76" s="289"/>
      <c r="C76" s="88"/>
      <c r="D76" s="88"/>
      <c r="E76" s="88"/>
    </row>
    <row r="77" spans="1:5" ht="28.8">
      <c r="A77" s="501" t="s">
        <v>598</v>
      </c>
      <c r="B77" s="455" t="s">
        <v>599</v>
      </c>
      <c r="C77" s="88"/>
      <c r="D77" s="88"/>
      <c r="E77" s="88"/>
    </row>
    <row r="80" spans="1:5">
      <c r="A80" s="88"/>
      <c r="B80" s="49"/>
      <c r="C80" s="88"/>
      <c r="D80" s="88"/>
      <c r="E80" s="88"/>
    </row>
  </sheetData>
  <sheetProtection algorithmName="SHA-512" hashValue="1bVMCDXxvxEtrOBVa/g1kUYXsLVeHFCIyhHKHCIF6WLYgdPXz225fkGpITmUiLqp84R+MO1Cq+BWkWevx1pyGw==" saltValue="oKM4QEwEIsspCha1S6iaWg==" spinCount="100000" sheet="1" objects="1" scenarios="1"/>
  <mergeCells count="56">
    <mergeCell ref="A9:C9"/>
    <mergeCell ref="C21:D21"/>
    <mergeCell ref="C22:D22"/>
    <mergeCell ref="C11:D11"/>
    <mergeCell ref="C12:D12"/>
    <mergeCell ref="C13:D13"/>
    <mergeCell ref="C14:D14"/>
    <mergeCell ref="C15:D15"/>
    <mergeCell ref="C34:D34"/>
    <mergeCell ref="C23:D23"/>
    <mergeCell ref="C24:D24"/>
    <mergeCell ref="C25:D25"/>
    <mergeCell ref="C26:D26"/>
    <mergeCell ref="C27:D27"/>
    <mergeCell ref="C28:D28"/>
    <mergeCell ref="C29:D29"/>
    <mergeCell ref="C30:D30"/>
    <mergeCell ref="C31:D31"/>
    <mergeCell ref="C32:D32"/>
    <mergeCell ref="C33:D33"/>
    <mergeCell ref="C48:D48"/>
    <mergeCell ref="C37:D37"/>
    <mergeCell ref="C38:D38"/>
    <mergeCell ref="C39:D39"/>
    <mergeCell ref="C40:D40"/>
    <mergeCell ref="C41:D41"/>
    <mergeCell ref="C42:D42"/>
    <mergeCell ref="C43:D43"/>
    <mergeCell ref="C44:D44"/>
    <mergeCell ref="C45:D45"/>
    <mergeCell ref="C46:D46"/>
    <mergeCell ref="C47:D47"/>
    <mergeCell ref="C61:D61"/>
    <mergeCell ref="C70:D70"/>
    <mergeCell ref="C62:D62"/>
    <mergeCell ref="C53:D53"/>
    <mergeCell ref="C54:D54"/>
    <mergeCell ref="C55:D55"/>
    <mergeCell ref="C56:D56"/>
    <mergeCell ref="C57:D57"/>
    <mergeCell ref="C73:D73"/>
    <mergeCell ref="C51:D51"/>
    <mergeCell ref="C52:D52"/>
    <mergeCell ref="C72:D72"/>
    <mergeCell ref="C35:D35"/>
    <mergeCell ref="C49:D49"/>
    <mergeCell ref="C63:D63"/>
    <mergeCell ref="C71:D71"/>
    <mergeCell ref="C65:D65"/>
    <mergeCell ref="C66:D66"/>
    <mergeCell ref="C67:D67"/>
    <mergeCell ref="C68:D68"/>
    <mergeCell ref="C69:D69"/>
    <mergeCell ref="C58:D58"/>
    <mergeCell ref="C59:D59"/>
    <mergeCell ref="C60:D60"/>
  </mergeCells>
  <dataValidations count="5">
    <dataValidation type="list" allowBlank="1" showInputMessage="1" showErrorMessage="1" errorTitle="Minimum PUPA Requirement" error="Please select a valid value for Waiver of Minimum PUPA Requirement." sqref="B77" xr:uid="{00000000-0002-0000-0800-000000000000}">
      <formula1>Yes_No_List</formula1>
    </dataValidation>
    <dataValidation type="whole" allowBlank="1" showInputMessage="1" showErrorMessage="1" errorTitle="Whole Numbers Only" error="All numbers on Annual Operating Expenses must be entered as a whole number." sqref="B65:E71 B22:E34 B37:E48 B51:E62" xr:uid="{00000000-0002-0000-0800-000001000000}">
      <formula1>0</formula1>
      <formula2>100000000</formula2>
    </dataValidation>
    <dataValidation type="whole" allowBlank="1" showInputMessage="1" showErrorMessage="1" errorTitle="Whole Numbers Only" error="Total Per Unit Annual Replacement Reserves must be entered as a whole number." sqref="B76" xr:uid="{00000000-0002-0000-0800-000002000000}">
      <formula1>0</formula1>
      <formula2>1000</formula2>
    </dataValidation>
    <dataValidation type="whole" allowBlank="1" showInputMessage="1" showErrorMessage="1" errorTitle="Whole Numbers Only" error="Total Annual Retail/Commercial Income must be entered as a whole number." sqref="B18" xr:uid="{00000000-0002-0000-0800-000003000000}">
      <formula1>0</formula1>
      <formula2>100000000</formula2>
    </dataValidation>
    <dataValidation type="whole" allowBlank="1" showInputMessage="1" showErrorMessage="1" errorTitle="Whole Numbers Only" error="All numbers on proforma must be entered as a whole number." sqref="B4:P8" xr:uid="{00000000-0002-0000-0800-000004000000}">
      <formula1>0</formula1>
      <formula2>100000000</formula2>
    </dataValidation>
  </dataValidations>
  <hyperlinks>
    <hyperlink ref="B2" location="'Tax Credit Summary'!A106" tooltip="Show me the full proforma" display="Show me the full proforma" xr:uid="{00000000-0004-0000-0800-000000000000}"/>
    <hyperlink ref="E12" location="'Tax Credit Summary'!A113" tooltip="Show me the income details" display="Show me the income details" xr:uid="{00000000-0004-0000-0800-000001000000}"/>
  </hyperlink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6a127908-9e32-4e62-ae59-2487f976f7a6">
      <UserInfo>
        <DisplayName>Kaylen Lanser</DisplayName>
        <AccountId>16</AccountId>
        <AccountType/>
      </UserInfo>
      <UserInfo>
        <DisplayName>Lolita M. Monjaraz</DisplayName>
        <AccountId>384</AccountId>
        <AccountType/>
      </UserInfo>
      <UserInfo>
        <DisplayName>Wes Bauer</DisplayName>
        <AccountId>155</AccountId>
        <AccountType/>
      </UserInfo>
      <UserInfo>
        <DisplayName>Megan Herrera</DisplayName>
        <AccountId>237</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916C7433835294CA926112460FC2029" ma:contentTypeVersion="" ma:contentTypeDescription="Create a new document." ma:contentTypeScope="" ma:versionID="ed5640a0c9f2c7640ec612485b45eb06">
  <xsd:schema xmlns:xsd="http://www.w3.org/2001/XMLSchema" xmlns:xs="http://www.w3.org/2001/XMLSchema" xmlns:p="http://schemas.microsoft.com/office/2006/metadata/properties" xmlns:ns2="9478f293-2795-44b5-9bde-ea8184e0b4d4" xmlns:ns3="6a127908-9e32-4e62-ae59-2487f976f7a6" targetNamespace="http://schemas.microsoft.com/office/2006/metadata/properties" ma:root="true" ma:fieldsID="4edfc17f0942f0a95f34cf1270a01294" ns2:_="" ns3:_="">
    <xsd:import namespace="9478f293-2795-44b5-9bde-ea8184e0b4d4"/>
    <xsd:import namespace="6a127908-9e32-4e62-ae59-2487f976f7a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78f293-2795-44b5-9bde-ea8184e0b4d4"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a127908-9e32-4e62-ae59-2487f976f7a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M U D A A B Q S w M E F A A C A A g A A F 0 r V 8 4 e l 8 e j A A A A 9 g A A A B I A H A B D b 2 5 m a W c v U G F j a 2 F n Z S 5 4 b W w g o h g A K K A U A A A A A A A A A A A A A A A A A A A A A A A A A A A A h Y + x D o I w G I R f h X S n L X U x 5 K c O r p K Y E I 1 r U y o 0 w o + h x f J u D j 6 S r y B G U T f H u / s u u b t f b 7 A a 2 y a 6 m N 7 Z D j O S U E 4 i g 7 o r L V Y Z G f w x X p K V h K 3 S J 1 W Z a I L R p a O z G a m 9 P 6 e M h R B o W N C u r 5 j g P G G H f F P o 2 r Q q t u i 8 Q m 3 I p 1 X + b x E J + 9 c Y K W g i O B V C U A 5 s N i G 3 + A X E t P e Z / p i w H h o / 9 E Y a j H c F s F k C e 3 + Q D 1 B L A w Q U A A I A C A A A X S t X 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A F 0 r V x D i j j P A A A A A q w E A A B M A H A B G b 3 J t d W x h c y 9 T Z W N 0 a W 9 u M S 5 t I K I Y A C i g F A A A A A A A A A A A A A A A A A A A A A A A A A A A A K 2 P v Q r C Q B C E + 0 D e Y T k b A 1 E Q L C J i I Y e g j U 3 8 K S T F G V c N J n t y t w E l 5 N 2 9 G D s t R N x m Y W b 2 W 8 Z i y p k m i N s 9 G P u e 7 9 m z M n i A l d r n O B z B B H J k 3 w M 3 s S 5 N i k 6 Z 3 V L M + 7 I 0 B o m 3 2 l z 2 W l + 6 Q b V b q g I n 4 n U q k n o n N b H L J G F L 6 A h 5 V n R q 8 P c r C o d 6 Z v s r o 8 g e t S m k z s u C G t N 2 2 3 d h V Y l W H Y g Q 2 D n A e O O 6 D n w v o 4 / Y 9 x r R 7 z W i / 9 W Y b 6 Y S 4 r t l L G B B v T V l / H W l B 1 B L A Q I t A B Q A A g A I A A B d K 1 f O H p f H o w A A A P Y A A A A S A A A A A A A A A A A A A A A A A A A A A A B D b 2 5 m a W c v U G F j a 2 F n Z S 5 4 b W x Q S w E C L Q A U A A I A C A A A X S t X D 8 r p q 6 Q A A A D p A A A A E w A A A A A A A A A A A A A A A A D v A A A A W 0 N v b n R l b n R f V H l w Z X N d L n h t b F B L A Q I t A B Q A A g A I A A B d K 1 c Q 4 o 4 z w A A A A K s B A A A T A A A A A A A A A A A A A A A A A O A B A A B G b 3 J t d W x h c y 9 T Z W N 0 a W 9 u M S 5 t U E s F B g A A A A A D A A M A w g A A A O 0 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o 8 O A A A A A A A A b Q 4 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R h Y m x l N D 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F k Z G V k V G 9 E Y X R h T W 9 k Z W w i I F Z h b H V l P S J s M C I g L z 4 8 R W 5 0 c n k g V H l w Z T 0 i R m l s b E N v d W 5 0 I i B W Y W x 1 Z T 0 i b D I i I C 8 + P E V u d H J 5 I F R 5 c G U 9 I k Z p b G x F c n J v c k N v Z G U i I F Z h b H V l P S J z V W 5 r b m 9 3 b i I g L z 4 8 R W 5 0 c n k g V H l w Z T 0 i R m l s b E V y c m 9 y Q 2 9 1 b n Q i I F Z h b H V l P S J s M C I g L z 4 8 R W 5 0 c n k g V H l w Z T 0 i R m l s b E x h c 3 R V c G R h d G V k I i B W Y W x 1 Z T 0 i Z D I w M j E t M T E t M j N U M j A 6 M j c 6 N D Y u O T M 0 N T E 5 N V o i I C 8 + P E V u d H J 5 I F R 5 c G U 9 I k Z p b G x D b 2 x 1 b W 5 U e X B l c y I g V m F s d W U 9 I n N C Z z 0 9 I i A v P j x F b n R y e S B U e X B l P S J G a W x s Q 2 9 s d W 1 u T m F t Z X M i I F Z h b H V l P S J z W y Z x d W 9 0 O 0 N v b H V t b j E m c X V v d D t d I i A v P j x F b n R y e S B U e X B l P S J G a W x s U 3 R h d H V z I i B W Y W x 1 Z T 0 i c 0 N v b X B s Z X R l I i A v P j x F b n R y e S B U e X B l P S J S Z W x h d G l v b n N o a X B J b m Z v Q 2 9 u d G F p b m V y I i B W Y W x 1 Z T 0 i c 3 s m c X V v d D t j b 2 x 1 b W 5 D b 3 V u d C Z x d W 9 0 O z o x L C Z x d W 9 0 O 2 t l e U N v b H V t b k 5 h b W V z J n F 1 b 3 Q 7 O l t d L C Z x d W 9 0 O 3 F 1 Z X J 5 U m V s Y X R p b 2 5 z a G l w c y Z x d W 9 0 O z p b X S w m c X V v d D t j b 2 x 1 b W 5 J Z G V u d G l 0 a W V z J n F 1 b 3 Q 7 O l s m c X V v d D t T Z W N 0 a W 9 u M S 9 U Y W J s Z T Q 5 L 0 N o Y W 5 n Z W Q g V H l w Z S 5 7 Q 2 9 s d W 1 u M S w w f S Z x d W 9 0 O 1 0 s J n F 1 b 3 Q 7 Q 2 9 s d W 1 u Q 2 9 1 b n Q m c X V v d D s 6 M S w m c X V v d D t L Z X l D b 2 x 1 b W 5 O Y W 1 l c y Z x d W 9 0 O z p b X S w m c X V v d D t D b 2 x 1 b W 5 J Z G V u d G l 0 a W V z J n F 1 b 3 Q 7 O l s m c X V v d D t T Z W N 0 a W 9 u M S 9 U Y W J s Z T Q 5 L 0 N o Y W 5 n Z W Q g V H l w Z S 5 7 Q 2 9 s d W 1 u M S w w f S Z x d W 9 0 O 1 0 s J n F 1 b 3 Q 7 U m V s Y X R p b 2 5 z a G l w S W 5 m b y Z x d W 9 0 O z p b X X 0 i I C 8 + P C 9 T d G F i b G V F b n R y a W V z P j w v S X R l b T 4 8 S X R l b T 4 8 S X R l b U x v Y 2 F 0 a W 9 u P j x J d G V t V H l w Z T 5 G b 3 J t d W x h P C 9 J d G V t V H l w Z T 4 8 S X R l b V B h d G g + U 2 V j d G l v b j E v V G F i b G U 0 O S 9 T b 3 V y Y 2 U 8 L 0 l 0 Z W 1 Q Y X R o P j w v S X R l b U x v Y 2 F 0 a W 9 u P j x T d G F i b G V F b n R y a W V z I C 8 + P C 9 J d G V t P j x J d G V t P j x J d G V t T G 9 j Y X R p b 2 4 + P E l 0 Z W 1 U e X B l P k Z v c m 1 1 b G E 8 L 0 l 0 Z W 1 U e X B l P j x J d G V t U G F 0 a D 5 T Z W N 0 a W 9 u M S 9 U Y W J s Z T Q 5 L 0 N o Y W 5 n Z W Q l M j B U e X B l P C 9 J d G V t U G F 0 a D 4 8 L 0 l 0 Z W 1 M b 2 N h d G l v b j 4 8 U 3 R h Y m x l R W 5 0 c m l l c y A v P j w v S X R l b T 4 8 S X R l b T 4 8 S X R l b U x v Y 2 F 0 a W 9 u P j x J d G V t V H l w Z T 5 G b 3 J t d W x h P C 9 J d G V t V H l w Z T 4 8 S X R l b V B h d G g + U 2 V j d G l v b j E v V G F i b G U 0 O 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B Z G R l Z F R v R G F 0 Y U 1 v Z G V s I i B W Y W x 1 Z T 0 i b D A i I C 8 + P E V u d H J 5 I F R 5 c G U 9 I k Z p b G x D b 3 V u d C I g V m F s d W U 9 I m w 2 I i A v P j x F b n R y e S B U e X B l P S J G a W x s R X J y b 3 J D b 2 R l I i B W Y W x 1 Z T 0 i c 1 V u a 2 5 v d 2 4 i I C 8 + P E V u d H J 5 I F R 5 c G U 9 I k Z p b G x F c n J v c k N v d W 5 0 I i B W Y W x 1 Z T 0 i b D A i I C 8 + P E V u d H J 5 I F R 5 c G U 9 I k Z p b G x M Y X N 0 V X B k Y X R l Z C I g V m F s d W U 9 I m Q y M D I z L T A 5 L T E x V D E 3 O j M 5 O j A 0 L j M 0 M j A 4 O D V a I i A v P j x F b n R y e S B U e X B l P S J G a W x s Q 2 9 s d W 1 u V H l w Z X M i I F Z h b H V l P S J z Q m c 9 P S I g L z 4 8 R W 5 0 c n k g V H l w Z T 0 i R m l s b E N v b H V t b k 5 h b W V z I i B W Y W x 1 Z T 0 i c 1 s m c X V v d D t I V k F D I F N 5 c 3 R l b S B J b i 1 V b m l 0 J n F 1 b 3 Q 7 X S I g L z 4 8 R W 5 0 c n k g V H l w Z T 0 i R m l s b F N 0 Y X R 1 c y I g V m F s d W U 9 I n N D b 2 1 w b G V 0 Z S I g L z 4 8 R W 5 0 c n k g V H l w Z T 0 i U m V s Y X R p b 2 5 z a G l w S W 5 m b 0 N v b n R h a W 5 l c i I g V m F s d W U 9 I n N 7 J n F 1 b 3 Q 7 Y 2 9 s d W 1 u Q 2 9 1 b n Q m c X V v d D s 6 M S w m c X V v d D t r Z X l D b 2 x 1 b W 5 O Y W 1 l c y Z x d W 9 0 O z p b X S w m c X V v d D t x d W V y e V J l b G F 0 a W 9 u c 2 h p c H M m c X V v d D s 6 W 1 0 s J n F 1 b 3 Q 7 Y 2 9 s d W 1 u S W R l b n R p d G l l c y Z x d W 9 0 O z p b J n F 1 b 3 Q 7 U 2 V j d G l v b j E v V G F i b G U 0 O C 9 B d X R v U m V t b 3 Z l Z E N v b H V t b n M x L n t I V k F D I F N 5 c 3 R l b S B J b i 1 V b m l 0 L D B 9 J n F 1 b 3 Q 7 X S w m c X V v d D t D b 2 x 1 b W 5 D b 3 V u d C Z x d W 9 0 O z o x L C Z x d W 9 0 O 0 t l e U N v b H V t b k 5 h b W V z J n F 1 b 3 Q 7 O l t d L C Z x d W 9 0 O 0 N v b H V t b k l k Z W 5 0 a X R p Z X M m c X V v d D s 6 W y Z x d W 9 0 O 1 N l Y 3 R p b 2 4 x L 1 R h Y m x l N D g v Q X V 0 b 1 J l b W 9 2 Z W R D b 2 x 1 b W 5 z M S 5 7 S F Z B Q y B T e X N 0 Z W 0 g S W 4 t V W 5 p d C w w f S Z x d W 9 0 O 1 0 s J n F 1 b 3 Q 7 U m V s Y X R p b 2 5 z a G l w S W 5 m b y Z x d W 9 0 O z p b X X 0 i I C 8 + P C 9 T d G F i b G V F b n R y a W V z P j w v S X R l b T 4 8 S X R l b T 4 8 S X R l b U x v Y 2 F 0 a W 9 u P j x J d G V t V H l w Z T 5 G b 3 J t d W x h P C 9 J d G V t V H l w Z T 4 8 S X R l b V B h d G g + U 2 V j d G l v b j E v V G F i b G U 0 O C 9 T b 3 V y Y 2 U 8 L 0 l 0 Z W 1 Q Y X R o P j w v S X R l b U x v Y 2 F 0 a W 9 u P j x T d G F i b G V F b n R y a W V z I C 8 + P C 9 J d G V t P j x J d G V t P j x J d G V t T G 9 j Y X R p b 2 4 + P E l 0 Z W 1 U e X B l P k Z v c m 1 1 b G E 8 L 0 l 0 Z W 1 U e X B l P j x J d G V t U G F 0 a D 5 T Z W N 0 a W 9 u M S 9 U Y W J s Z T Q 4 L 0 N o Y W 5 n Z W Q l M j B U e X B l P C 9 J d G V t U G F 0 a D 4 8 L 0 l 0 Z W 1 M b 2 N h d G l v b j 4 8 U 3 R h Y m x l R W 5 0 c m l l c y A v P j w v S X R l b T 4 8 L 0 l 0 Z W 1 z P j w v T G 9 j Y W x Q Y W N r Y W d l T W V 0 Y W R h d G F G a W x l P h Y A A A B Q S w U G A A A A A A A A A A A A A A A A A A A A A A A A 2 g A A A A E A A A D Q j J 3 f A R X R E Y x 6 A M B P w p f r A Q A A A P A J k j H Q m m h G q s e + p b S n 3 + E A A A A A A g A A A A A A A 2 Y A A M A A A A A Q A A A A t 7 p + R 2 y g 5 C j d l M d 4 e R b 5 d g A A A A A E g A A A o A A A A B A A A A A A m y X L g G s G e 7 A / v D h h o N a 9 U A A A A O a L d A i H f 2 Y G r H 4 i 5 D K Z o U s 3 9 a Q 4 + k D Y k K 1 0 o I s N z D 2 E N Y K g 2 n 1 K d S A 9 k 8 8 W 4 Z R 0 3 k m D k U M a U d g 0 I e r B / 3 A Z G r 9 p K G F U m I / 9 w k X b c + x u j y K K F A A A A E p A m 0 C j 4 f 6 N Q W E + V 7 X h S 0 i g O e 7 M < / D a t a M a s h u p > 
</file>

<file path=customXml/itemProps1.xml><?xml version="1.0" encoding="utf-8"?>
<ds:datastoreItem xmlns:ds="http://schemas.openxmlformats.org/officeDocument/2006/customXml" ds:itemID="{E07FF757-1722-4EB6-968E-9A8AF3DDAD9B}">
  <ds:schemaRefs>
    <ds:schemaRef ds:uri="http://schemas.microsoft.com/sharepoint/v3/contenttype/forms"/>
  </ds:schemaRefs>
</ds:datastoreItem>
</file>

<file path=customXml/itemProps2.xml><?xml version="1.0" encoding="utf-8"?>
<ds:datastoreItem xmlns:ds="http://schemas.openxmlformats.org/officeDocument/2006/customXml" ds:itemID="{8B810C07-6853-4A8A-855E-DE09CBDC2220}">
  <ds:schemaRefs>
    <ds:schemaRef ds:uri="9478f293-2795-44b5-9bde-ea8184e0b4d4"/>
    <ds:schemaRef ds:uri="6a127908-9e32-4e62-ae59-2487f976f7a6"/>
    <ds:schemaRef ds:uri="http://purl.org/dc/dcmitype/"/>
    <ds:schemaRef ds:uri="http://schemas.openxmlformats.org/package/2006/metadata/core-properties"/>
    <ds:schemaRef ds:uri="http://schemas.microsoft.com/office/2006/documentManagement/types"/>
    <ds:schemaRef ds:uri="http://purl.org/dc/terms/"/>
    <ds:schemaRef ds:uri="http://purl.org/dc/elements/1.1/"/>
    <ds:schemaRef ds:uri="http://schemas.microsoft.com/office/infopath/2007/PartnerControl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DD00824-1F7A-4FDD-99F9-A373A50A29F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78f293-2795-44b5-9bde-ea8184e0b4d4"/>
    <ds:schemaRef ds:uri="6a127908-9e32-4e62-ae59-2487f976f7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DB1988D4-5F60-464B-871C-FF1797F508F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49</vt:i4>
      </vt:variant>
    </vt:vector>
  </HeadingPairs>
  <TitlesOfParts>
    <vt:vector size="79" baseType="lpstr">
      <vt:lpstr>Application Instructions</vt:lpstr>
      <vt:lpstr>Data Issues</vt:lpstr>
      <vt:lpstr>Contact Information</vt:lpstr>
      <vt:lpstr>Application</vt:lpstr>
      <vt:lpstr>Unit Mix &amp; Rents</vt:lpstr>
      <vt:lpstr>Financing</vt:lpstr>
      <vt:lpstr>Development Budget</vt:lpstr>
      <vt:lpstr>Commercial Budget</vt:lpstr>
      <vt:lpstr>Proforma, Income &amp; Expense</vt:lpstr>
      <vt:lpstr>Amenities</vt:lpstr>
      <vt:lpstr>Cost Summary</vt:lpstr>
      <vt:lpstr>Scoring</vt:lpstr>
      <vt:lpstr>Final Building Profile</vt:lpstr>
      <vt:lpstr>Contact Summary</vt:lpstr>
      <vt:lpstr>Tax Credit Details</vt:lpstr>
      <vt:lpstr>Development Summary</vt:lpstr>
      <vt:lpstr>Budget Output</vt:lpstr>
      <vt:lpstr>DOH Underwriting</vt:lpstr>
      <vt:lpstr>DOH Assessment</vt:lpstr>
      <vt:lpstr>DOH Assisted Units</vt:lpstr>
      <vt:lpstr>DOH Proforma</vt:lpstr>
      <vt:lpstr>DOH Services Contribution</vt:lpstr>
      <vt:lpstr>Rent &amp; Income Limits</vt:lpstr>
      <vt:lpstr>Final Totals</vt:lpstr>
      <vt:lpstr>Stress Test &amp; Attachments</vt:lpstr>
      <vt:lpstr>Calculations</vt:lpstr>
      <vt:lpstr>Prolink</vt:lpstr>
      <vt:lpstr>Admin</vt:lpstr>
      <vt:lpstr>Validation</vt:lpstr>
      <vt:lpstr>Lookup</vt:lpstr>
      <vt:lpstr>Application_Stage_List</vt:lpstr>
      <vt:lpstr>Approval_List</vt:lpstr>
      <vt:lpstr>Bond_Placement_List</vt:lpstr>
      <vt:lpstr>Building_Construction_List</vt:lpstr>
      <vt:lpstr>Building_Type_List</vt:lpstr>
      <vt:lpstr>Cable_List</vt:lpstr>
      <vt:lpstr>City_List</vt:lpstr>
      <vt:lpstr>Determination_TC_Range</vt:lpstr>
      <vt:lpstr>Developer_Additional_Question_List</vt:lpstr>
      <vt:lpstr>Drawings_Complete</vt:lpstr>
      <vt:lpstr>Entity_Type_List</vt:lpstr>
      <vt:lpstr>Extended_Low_Income_Use_List</vt:lpstr>
      <vt:lpstr>Historic_Rehabilitation_Tax_Credits_List</vt:lpstr>
      <vt:lpstr>Income_Level_List</vt:lpstr>
      <vt:lpstr>Jurisdiction_Title_List</vt:lpstr>
      <vt:lpstr>Legal_Status_List</vt:lpstr>
      <vt:lpstr>Number_of_beds_per_room_List</vt:lpstr>
      <vt:lpstr>'Budget Output'!Print_Area</vt:lpstr>
      <vt:lpstr>'Development Summary'!Print_Area</vt:lpstr>
      <vt:lpstr>'DOH Assessment'!Print_Area</vt:lpstr>
      <vt:lpstr>'DOH Assisted Units'!Print_Area</vt:lpstr>
      <vt:lpstr>'DOH Underwriting'!Print_Area</vt:lpstr>
      <vt:lpstr>'Stress Test &amp; Attachments'!Print_Area</vt:lpstr>
      <vt:lpstr>'Tax Credit Details'!Print_Area</vt:lpstr>
      <vt:lpstr>'Budget Output'!Print_Titles</vt:lpstr>
      <vt:lpstr>'Development Summary'!Print_Titles</vt:lpstr>
      <vt:lpstr>'Stress Test &amp; Attachments'!Print_Titles</vt:lpstr>
      <vt:lpstr>'Tax Credit Details'!Print_Titles</vt:lpstr>
      <vt:lpstr>Project_Type_List</vt:lpstr>
      <vt:lpstr>Residential_Loan_Type_List</vt:lpstr>
      <vt:lpstr>Scoring_Details_Range</vt:lpstr>
      <vt:lpstr>Scoring_Threshold_List</vt:lpstr>
      <vt:lpstr>Scoring_VeryLowIncome</vt:lpstr>
      <vt:lpstr>Site_Control_List</vt:lpstr>
      <vt:lpstr>Tax_Credit_Type_List</vt:lpstr>
      <vt:lpstr>Tenant_Population_with_Special_Housing_Needs_List</vt:lpstr>
      <vt:lpstr>Type_of_Cooling_List</vt:lpstr>
      <vt:lpstr>Type_of_Heating_List</vt:lpstr>
      <vt:lpstr>Type_of_Units_Housing_List</vt:lpstr>
      <vt:lpstr>Unit_Mix_Type_List</vt:lpstr>
      <vt:lpstr>Unit_Rent_Matrix_Income</vt:lpstr>
      <vt:lpstr>Unit_Rent_Matrix_NumberUnits</vt:lpstr>
      <vt:lpstr>Unit_Rent_Matrix_TotalRent</vt:lpstr>
      <vt:lpstr>Unit_Rent_Matrix_TotalSqFt</vt:lpstr>
      <vt:lpstr>Unit_Rent_Matrix_UnitType</vt:lpstr>
      <vt:lpstr>Utilitiy_Model_List</vt:lpstr>
      <vt:lpstr>Very_Very_Low_Income_Targeting_List</vt:lpstr>
      <vt:lpstr>Yes_No_List</vt:lpstr>
      <vt:lpstr>Yes_No_NA_List</vt:lpstr>
    </vt:vector>
  </TitlesOfParts>
  <Manager/>
  <Company>CHFA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Wes Bauer</dc:creator>
  <cp:keywords/>
  <dc:description/>
  <cp:lastModifiedBy>Megan Herrera</cp:lastModifiedBy>
  <cp:revision/>
  <dcterms:created xsi:type="dcterms:W3CDTF">2017-09-13T19:27:22Z</dcterms:created>
  <dcterms:modified xsi:type="dcterms:W3CDTF">2025-11-14T21:07:38Z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chemaType">
    <vt:lpwstr>Tax Credit Deal</vt:lpwstr>
  </property>
  <property fmtid="{D5CDD505-2E9C-101B-9397-08002B2CF9AE}" pid="3" name="SD_RESERVED_IsProtected">
    <vt:lpwstr>False</vt:lpwstr>
  </property>
  <property fmtid="{D5CDD505-2E9C-101B-9397-08002B2CF9AE}" pid="4" name="SD_RESERVED_Protection0«7b0HYBxJliUmL23Ke39K9UrX4HShCIBgEyTYkEAQ7MGIzeaS7B1pRyMpqyqBymVWZV1mFkDM7Z28995777333nvvvfe6O51OJ/ff/z9cZmQBbPbOStrJniGAqsgfP358Hz8iHr98nb787KO3D76qfir/9t373zn95Dt1+fndn2rW1cVnn32Unn335elnH7X1Osfvr90fx8efffTpR+l3X742n3z35Xc/++g8K5v">
    <vt:lpwstr>SD_RESERVED_Protection1«8o6PH33395iX+PTpercpimrVFtUzPlg01neL35vFd+hINnmZtlp41zTp3n3kv2c++WhZt+kXxLv2F2WJ1mL7Kl6174VmxzJbTYnnhwOaXeVmtFtQsfbKeXeSt/eqkWizyelpkZfebl3V1XtWLbESoTqtFrn2dvlvlyya3zd5k79KTOp8RQk/zNitKh4j31ev1YpHV1/Yr6Sv9ct2u1q7L19Oq9vE+JoyLtvCIcV</vt:lpwstr>
  </property>
  <property fmtid="{D5CDD505-2E9C-101B-9397-08002B2CF9AE}" pid="5" name="SD_RESERVED_Protection2«It22zaEkqMW0CUk6rpdwRiYGhFOSPIKQZVlA57UE4HpqN8XiwKj5hEOsB1H3y5Ihh9WqcnT7/8tkMlK6frMgsn9yezspiFKB/PFoX7S3B9U7WZR0R/VOkxNbhuCvft67bOmyZ9kzceFYvlW2D0bL2chd88r6q365U/wyW1tX+flsVFMSlzM2nHi2q91LfvChPfffk=+uj/AQ==§">
    <vt:lpwstr/>
  </property>
  <property fmtid="{D5CDD505-2E9C-101B-9397-08002B2CF9AE}" pid="6" name="ContentTypeId">
    <vt:lpwstr>0x010100C916C7433835294CA926112460FC2029</vt:lpwstr>
  </property>
  <property fmtid="{D5CDD505-2E9C-101B-9397-08002B2CF9AE}" pid="7" name="AuthorIds_UIVersion_6656">
    <vt:lpwstr>75</vt:lpwstr>
  </property>
  <property fmtid="{D5CDD505-2E9C-101B-9397-08002B2CF9AE}" pid="8" name="BeforeSendVBAMethod">
    <vt:lpwstr/>
  </property>
  <property fmtid="{D5CDD505-2E9C-101B-9397-08002B2CF9AE}" pid="9" name="WorkbookGuid">
    <vt:lpwstr>a7c7662e-ec99-462b-b26c-9547d087f97f</vt:lpwstr>
  </property>
  <property fmtid="{D5CDD505-2E9C-101B-9397-08002B2CF9AE}" pid="10" name="SmartDoxTemplateName">
    <vt:lpwstr/>
  </property>
  <property fmtid="{D5CDD505-2E9C-101B-9397-08002B2CF9AE}" pid="11" name="AfterGetVBAMethod">
    <vt:lpwstr/>
  </property>
  <property fmtid="{D5CDD505-2E9C-101B-9397-08002B2CF9AE}" pid="12" name="BeforeGetVBAMethod">
    <vt:lpwstr/>
  </property>
  <property fmtid="{D5CDD505-2E9C-101B-9397-08002B2CF9AE}" pid="13" name="AfterSendVBAMethod">
    <vt:lpwstr/>
  </property>
</Properties>
</file>